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9.xml" ContentType="application/vnd.openxmlformats-officedocument.themeOverrid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0.xml" ContentType="application/vnd.openxmlformats-officedocument.themeOverrid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1.xml" ContentType="application/vnd.openxmlformats-officedocument.themeOverrid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2.xml" ContentType="application/vnd.openxmlformats-officedocument.themeOverrid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3.xml" ContentType="application/vnd.openxmlformats-officedocument.themeOverrid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4.xml" ContentType="application/vnd.openxmlformats-officedocument.themeOverrid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5.xml" ContentType="application/vnd.openxmlformats-officedocument.themeOverrid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6.xml" ContentType="application/vnd.openxmlformats-officedocument.themeOverride+xml"/>
  <Override PartName="/xl/drawings/drawing16.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7.xml" ContentType="application/vnd.openxmlformats-officedocument.themeOverrid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8.xml" ContentType="application/vnd.openxmlformats-officedocument.themeOverrid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9.xml" ContentType="application/vnd.openxmlformats-officedocument.themeOverrid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0.xml" ContentType="application/vnd.openxmlformats-officedocument.themeOverrid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21.xml" ContentType="application/vnd.openxmlformats-officedocument.themeOverrid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22.xml" ContentType="application/vnd.openxmlformats-officedocument.themeOverrid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3.xml" ContentType="application/vnd.openxmlformats-officedocument.themeOverride+xml"/>
  <Override PartName="/xl/drawings/drawing17.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24.xml" ContentType="application/vnd.openxmlformats-officedocument.themeOverrid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25.xml" ContentType="application/vnd.openxmlformats-officedocument.themeOverrid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26.xml" ContentType="application/vnd.openxmlformats-officedocument.themeOverrid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27.xml" ContentType="application/vnd.openxmlformats-officedocument.themeOverrid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8.xml" ContentType="application/vnd.openxmlformats-officedocument.themeOverrid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29.xml" ContentType="application/vnd.openxmlformats-officedocument.themeOverrid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0.xml" ContentType="application/vnd.openxmlformats-officedocument.themeOverride+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bitsom-my.sharepoint.com/personal/vedang_poddar2026_bitsom_edu_in/Documents/Master/TresVista/"/>
    </mc:Choice>
  </mc:AlternateContent>
  <xr:revisionPtr revIDLastSave="0" documentId="13_ncr:1_{CE1DC46B-B23A-403F-85E8-249F85AF4BF4}" xr6:coauthVersionLast="47" xr6:coauthVersionMax="47" xr10:uidLastSave="{00000000-0000-0000-0000-000000000000}"/>
  <bookViews>
    <workbookView xWindow="-98" yWindow="-98" windowWidth="19396" windowHeight="11475" tabRatio="910" activeTab="1" xr2:uid="{0A54F7EB-771A-4D69-934C-22F30DD8EE3B}"/>
  </bookViews>
  <sheets>
    <sheet name="Assumptions" sheetId="11" r:id="rId1"/>
    <sheet name="DCF" sheetId="12" r:id="rId2"/>
    <sheet name="Financials" sheetId="1" r:id="rId3"/>
    <sheet name="Variance Q1'23" sheetId="68" r:id="rId4"/>
    <sheet name="Segment Snapshot" sheetId="21" r:id="rId5"/>
    <sheet name="Comp" sheetId="42" r:id="rId6"/>
    <sheet name="Historicals (Peers- A) " sheetId="83" r:id="rId7"/>
    <sheet name="Peer Analysiss" sheetId="35" r:id="rId8"/>
    <sheet name="Debt" sheetId="9" r:id="rId9"/>
    <sheet name="TSR List" sheetId="49" r:id="rId10"/>
    <sheet name="Historical Consolidated" sheetId="17" r:id="rId11"/>
    <sheet name="TSR decomposition" sheetId="43" r:id="rId12"/>
    <sheet name="ahihih" sheetId="67" state="hidden" r:id="rId13"/>
    <sheet name="New Peers" sheetId="44" r:id="rId14"/>
    <sheet name="Other Pulls" sheetId="41" r:id="rId15"/>
    <sheet name="Chart EV-EBITDA" sheetId="31" r:id="rId16"/>
    <sheet name="Forward EV-EBITDA" sheetId="30" r:id="rId17"/>
    <sheet name="Peer Analysis" sheetId="10" state="hidden" r:id="rId18"/>
    <sheet name="SOTP" sheetId="20" r:id="rId19"/>
    <sheet name="Consensus Summary TR" sheetId="32" r:id="rId20"/>
    <sheet name="Construction Spending" sheetId="58" r:id="rId21"/>
    <sheet name="WACC Calculation" sheetId="36" r:id="rId22"/>
    <sheet name="Chart EV-EBITDA (2)" sheetId="45" r:id="rId23"/>
    <sheet name="Forward EV Revenue" sheetId="37" r:id="rId24"/>
    <sheet name="Chart EV Revenue" sheetId="38" r:id="rId25"/>
    <sheet name="Forward PE" sheetId="39" r:id="rId26"/>
    <sheet name="Chart Forward PE" sheetId="40" r:id="rId27"/>
    <sheet name="Consensus Summary" sheetId="13" state="hidden" r:id="rId28"/>
    <sheet name="Pension" sheetId="2" r:id="rId29"/>
    <sheet name="Segment Research &gt;&gt;" sheetId="4" r:id="rId30"/>
    <sheet name="Business Overview" sheetId="3" r:id="rId31"/>
    <sheet name="AFP" sheetId="5" r:id="rId32"/>
    <sheet name="AM" sheetId="6" r:id="rId33"/>
    <sheet name="CI" sheetId="7" r:id="rId34"/>
    <sheet name="Fibers" sheetId="8" r:id="rId35"/>
    <sheet name="By Segment" sheetId="15" r:id="rId36"/>
    <sheet name="Historical Segment" sheetId="16" r:id="rId37"/>
    <sheet name="AFP (Factset Multiple)" sheetId="23" r:id="rId38"/>
    <sheet name="AM (Factset Multiple)" sheetId="24"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123Graph_A" localSheetId="0" hidden="1">[1]P!#REF!</definedName>
    <definedName name="__123Graph_A" localSheetId="27" hidden="1">[1]P!#REF!</definedName>
    <definedName name="__123Graph_A" localSheetId="19" hidden="1">[1]P!#REF!</definedName>
    <definedName name="__123Graph_A" localSheetId="1" hidden="1">[1]P!#REF!</definedName>
    <definedName name="__123Graph_A" localSheetId="6" hidden="1">[2]P!#REF!</definedName>
    <definedName name="__123Graph_A" localSheetId="17" hidden="1">[1]P!#REF!</definedName>
    <definedName name="__123Graph_A" localSheetId="7" hidden="1">[1]P!#REF!</definedName>
    <definedName name="__123Graph_A" localSheetId="3" hidden="1">#REF!</definedName>
    <definedName name="__123Graph_A" localSheetId="21" hidden="1">[3]PRICE_W!#REF!</definedName>
    <definedName name="__123Graph_A" hidden="1">[1]P!#REF!</definedName>
    <definedName name="__123Graph_AChart1" localSheetId="0" hidden="1">[1]P!#REF!</definedName>
    <definedName name="__123Graph_AChart1" localSheetId="27" hidden="1">[1]P!#REF!</definedName>
    <definedName name="__123Graph_AChart1" localSheetId="19" hidden="1">[1]P!#REF!</definedName>
    <definedName name="__123Graph_AChart1" localSheetId="1" hidden="1">[1]P!#REF!</definedName>
    <definedName name="__123Graph_AChart1" localSheetId="6" hidden="1">[2]P!#REF!</definedName>
    <definedName name="__123Graph_AChart1" localSheetId="17" hidden="1">[1]P!#REF!</definedName>
    <definedName name="__123Graph_AChart1" localSheetId="7" hidden="1">[1]P!#REF!</definedName>
    <definedName name="__123Graph_AChart1" localSheetId="3" hidden="1">#REF!</definedName>
    <definedName name="__123Graph_AChart1" localSheetId="21" hidden="1">[1]P!#REF!</definedName>
    <definedName name="__123Graph_AChart1" hidden="1">[1]P!#REF!</definedName>
    <definedName name="__123Graph_ACurrent" localSheetId="0" hidden="1">[1]P!#REF!</definedName>
    <definedName name="__123Graph_ACurrent" localSheetId="19" hidden="1">[1]P!#REF!</definedName>
    <definedName name="__123Graph_ACurrent" localSheetId="1" hidden="1">[1]P!#REF!</definedName>
    <definedName name="__123Graph_ACurrent" localSheetId="6" hidden="1">[2]P!#REF!</definedName>
    <definedName name="__123Graph_ACurrent" localSheetId="17" hidden="1">[1]P!#REF!</definedName>
    <definedName name="__123Graph_ACurrent" localSheetId="7" hidden="1">[1]P!#REF!</definedName>
    <definedName name="__123Graph_ACurrent" localSheetId="3" hidden="1">#REF!</definedName>
    <definedName name="__123Graph_ACurrent" localSheetId="21" hidden="1">[1]P!#REF!</definedName>
    <definedName name="__123Graph_ACurrent" hidden="1">[1]P!#REF!</definedName>
    <definedName name="__123Graph_B" localSheetId="0" hidden="1">[4]XOM!#REF!</definedName>
    <definedName name="__123Graph_B" localSheetId="19" hidden="1">[4]XOM!#REF!</definedName>
    <definedName name="__123Graph_B" localSheetId="1" hidden="1">[4]XOM!#REF!</definedName>
    <definedName name="__123Graph_B" localSheetId="6" hidden="1">[5]XOM!#REF!</definedName>
    <definedName name="__123Graph_B" localSheetId="17" hidden="1">[4]XOM!#REF!</definedName>
    <definedName name="__123Graph_B" localSheetId="7" hidden="1">[4]XOM!#REF!</definedName>
    <definedName name="__123Graph_B" localSheetId="3" hidden="1">#REF!</definedName>
    <definedName name="__123Graph_B" localSheetId="21" hidden="1">[4]XOM!#REF!</definedName>
    <definedName name="__123Graph_B" hidden="1">[4]XOM!#REF!</definedName>
    <definedName name="__123Graph_X" localSheetId="19" hidden="1">[6]P!$R$29:$AK$29</definedName>
    <definedName name="__123Graph_X" localSheetId="6" hidden="1">[7]P!$R$29:$AK$29</definedName>
    <definedName name="__123Graph_X" localSheetId="7" hidden="1">[6]P!$R$29:$AK$29</definedName>
    <definedName name="__123Graph_X" localSheetId="3" hidden="1">#REF!</definedName>
    <definedName name="__123Graph_X" localSheetId="21" hidden="1">[3]PRICE_W!#REF!</definedName>
    <definedName name="__123Graph_X" hidden="1">[6]P!$R$29:$AK$29</definedName>
    <definedName name="__123Graph_XChart1" localSheetId="6" hidden="1">[7]P!$R$29:$AK$29</definedName>
    <definedName name="__123Graph_XChart1" localSheetId="3" hidden="1">#REF!</definedName>
    <definedName name="__123Graph_XChart1" hidden="1">[6]P!$R$29:$AK$29</definedName>
    <definedName name="__123Graph_XCurrent" localSheetId="6" hidden="1">[7]P!$R$29:$AK$29</definedName>
    <definedName name="__123Graph_XCurrent" localSheetId="3" hidden="1">#REF!</definedName>
    <definedName name="__123Graph_XCurrent" hidden="1">[6]P!$R$29:$AK$29</definedName>
    <definedName name="__a1" localSheetId="0" hidden="1">{"comp1",#N/A,FALSE,"COMPS";"footnotes",#N/A,FALSE,"COMPS"}</definedName>
    <definedName name="__a1" localSheetId="27" hidden="1">{"comp1",#N/A,FALSE,"COMPS";"footnotes",#N/A,FALSE,"COMPS"}</definedName>
    <definedName name="__a1" localSheetId="19" hidden="1">{"comp1",#N/A,FALSE,"COMPS";"footnotes",#N/A,FALSE,"COMPS"}</definedName>
    <definedName name="__a1" localSheetId="1" hidden="1">{"comp1",#N/A,FALSE,"COMPS";"footnotes",#N/A,FALSE,"COMPS"}</definedName>
    <definedName name="__a1" localSheetId="8" hidden="1">{"comp1",#N/A,FALSE,"COMPS";"footnotes",#N/A,FALSE,"COMPS"}</definedName>
    <definedName name="__a1" localSheetId="6" hidden="1">{"comp1",#N/A,FALSE,"COMPS";"footnotes",#N/A,FALSE,"COMPS"}</definedName>
    <definedName name="__a1" localSheetId="17" hidden="1">{"comp1",#N/A,FALSE,"COMPS";"footnotes",#N/A,FALSE,"COMPS"}</definedName>
    <definedName name="__a1" localSheetId="7" hidden="1">{"comp1",#N/A,FALSE,"COMPS";"footnotes",#N/A,FALSE,"COMPS"}</definedName>
    <definedName name="__a1" localSheetId="3" hidden="1">{"comp1",#N/A,FALSE,"COMPS";"footnotes",#N/A,FALSE,"COMPS"}</definedName>
    <definedName name="__a1" localSheetId="21" hidden="1">{"comp1",#N/A,FALSE,"COMPS";"footnotes",#N/A,FALSE,"COMPS"}</definedName>
    <definedName name="__a1" hidden="1">{"comp1",#N/A,FALSE,"COMPS";"footnotes",#N/A,FALSE,"COMPS"}</definedName>
    <definedName name="__aa1" localSheetId="0" hidden="1">{#N/A,#N/A,TRUE,"Pro Forma";#N/A,#N/A,TRUE,"PF_Bal";#N/A,#N/A,TRUE,"PF_INC";#N/A,#N/A,TRUE,"CBE";#N/A,#N/A,TRUE,"SWK"}</definedName>
    <definedName name="__aa1" localSheetId="27" hidden="1">{#N/A,#N/A,TRUE,"Pro Forma";#N/A,#N/A,TRUE,"PF_Bal";#N/A,#N/A,TRUE,"PF_INC";#N/A,#N/A,TRUE,"CBE";#N/A,#N/A,TRUE,"SWK"}</definedName>
    <definedName name="__aa1" localSheetId="19" hidden="1">{#N/A,#N/A,TRUE,"Pro Forma";#N/A,#N/A,TRUE,"PF_Bal";#N/A,#N/A,TRUE,"PF_INC";#N/A,#N/A,TRUE,"CBE";#N/A,#N/A,TRUE,"SWK"}</definedName>
    <definedName name="__aa1" localSheetId="1" hidden="1">{#N/A,#N/A,TRUE,"Pro Forma";#N/A,#N/A,TRUE,"PF_Bal";#N/A,#N/A,TRUE,"PF_INC";#N/A,#N/A,TRUE,"CBE";#N/A,#N/A,TRUE,"SWK"}</definedName>
    <definedName name="__aa1" localSheetId="8" hidden="1">{#N/A,#N/A,TRUE,"Pro Forma";#N/A,#N/A,TRUE,"PF_Bal";#N/A,#N/A,TRUE,"PF_INC";#N/A,#N/A,TRUE,"CBE";#N/A,#N/A,TRUE,"SWK"}</definedName>
    <definedName name="__aa1" localSheetId="6" hidden="1">{#N/A,#N/A,TRUE,"Pro Forma";#N/A,#N/A,TRUE,"PF_Bal";#N/A,#N/A,TRUE,"PF_INC";#N/A,#N/A,TRUE,"CBE";#N/A,#N/A,TRUE,"SWK"}</definedName>
    <definedName name="__aa1" localSheetId="17" hidden="1">{#N/A,#N/A,TRUE,"Pro Forma";#N/A,#N/A,TRUE,"PF_Bal";#N/A,#N/A,TRUE,"PF_INC";#N/A,#N/A,TRUE,"CBE";#N/A,#N/A,TRUE,"SWK"}</definedName>
    <definedName name="__aa1" localSheetId="7" hidden="1">{#N/A,#N/A,TRUE,"Pro Forma";#N/A,#N/A,TRUE,"PF_Bal";#N/A,#N/A,TRUE,"PF_INC";#N/A,#N/A,TRUE,"CBE";#N/A,#N/A,TRUE,"SWK"}</definedName>
    <definedName name="__aa1" localSheetId="3" hidden="1">{#N/A,#N/A,TRUE,"Pro Forma";#N/A,#N/A,TRUE,"PF_Bal";#N/A,#N/A,TRUE,"PF_INC";#N/A,#N/A,TRUE,"CBE";#N/A,#N/A,TRUE,"SWK"}</definedName>
    <definedName name="__aa1" localSheetId="21" hidden="1">{#N/A,#N/A,TRUE,"Pro Forma";#N/A,#N/A,TRUE,"PF_Bal";#N/A,#N/A,TRUE,"PF_INC";#N/A,#N/A,TRUE,"CBE";#N/A,#N/A,TRUE,"SWK"}</definedName>
    <definedName name="__aa1" hidden="1">{#N/A,#N/A,TRUE,"Pro Forma";#N/A,#N/A,TRUE,"PF_Bal";#N/A,#N/A,TRUE,"PF_INC";#N/A,#N/A,TRUE,"CBE";#N/A,#N/A,TRUE,"SWK"}</definedName>
    <definedName name="__ab1" localSheetId="0" hidden="1">{"comp1",#N/A,FALSE,"COMPS";"footnotes",#N/A,FALSE,"COMPS"}</definedName>
    <definedName name="__ab1" localSheetId="27" hidden="1">{"comp1",#N/A,FALSE,"COMPS";"footnotes",#N/A,FALSE,"COMPS"}</definedName>
    <definedName name="__ab1" localSheetId="19" hidden="1">{"comp1",#N/A,FALSE,"COMPS";"footnotes",#N/A,FALSE,"COMPS"}</definedName>
    <definedName name="__ab1" localSheetId="1" hidden="1">{"comp1",#N/A,FALSE,"COMPS";"footnotes",#N/A,FALSE,"COMPS"}</definedName>
    <definedName name="__ab1" localSheetId="8" hidden="1">{"comp1",#N/A,FALSE,"COMPS";"footnotes",#N/A,FALSE,"COMPS"}</definedName>
    <definedName name="__ab1" localSheetId="6" hidden="1">{"comp1",#N/A,FALSE,"COMPS";"footnotes",#N/A,FALSE,"COMPS"}</definedName>
    <definedName name="__ab1" localSheetId="17" hidden="1">{"comp1",#N/A,FALSE,"COMPS";"footnotes",#N/A,FALSE,"COMPS"}</definedName>
    <definedName name="__ab1" localSheetId="7" hidden="1">{"comp1",#N/A,FALSE,"COMPS";"footnotes",#N/A,FALSE,"COMPS"}</definedName>
    <definedName name="__ab1" localSheetId="3" hidden="1">{"comp1",#N/A,FALSE,"COMPS";"footnotes",#N/A,FALSE,"COMPS"}</definedName>
    <definedName name="__ab1" localSheetId="21" hidden="1">{"comp1",#N/A,FALSE,"COMPS";"footnotes",#N/A,FALSE,"COMPS"}</definedName>
    <definedName name="__ab1" hidden="1">{"comp1",#N/A,FALSE,"COMPS";"footnotes",#N/A,FALSE,"COMPS"}</definedName>
    <definedName name="__ae1" localSheetId="0" hidden="1">{#N/A,#N/A,FALSE,"Calc";#N/A,#N/A,FALSE,"Sensitivity";#N/A,#N/A,FALSE,"LT Earn.Dil.";#N/A,#N/A,FALSE,"Dil. AVP"}</definedName>
    <definedName name="__ae1" localSheetId="27" hidden="1">{#N/A,#N/A,FALSE,"Calc";#N/A,#N/A,FALSE,"Sensitivity";#N/A,#N/A,FALSE,"LT Earn.Dil.";#N/A,#N/A,FALSE,"Dil. AVP"}</definedName>
    <definedName name="__ae1" localSheetId="19" hidden="1">{#N/A,#N/A,FALSE,"Calc";#N/A,#N/A,FALSE,"Sensitivity";#N/A,#N/A,FALSE,"LT Earn.Dil.";#N/A,#N/A,FALSE,"Dil. AVP"}</definedName>
    <definedName name="__ae1" localSheetId="1" hidden="1">{#N/A,#N/A,FALSE,"Calc";#N/A,#N/A,FALSE,"Sensitivity";#N/A,#N/A,FALSE,"LT Earn.Dil.";#N/A,#N/A,FALSE,"Dil. AVP"}</definedName>
    <definedName name="__ae1" localSheetId="8" hidden="1">{#N/A,#N/A,FALSE,"Calc";#N/A,#N/A,FALSE,"Sensitivity";#N/A,#N/A,FALSE,"LT Earn.Dil.";#N/A,#N/A,FALSE,"Dil. AVP"}</definedName>
    <definedName name="__ae1" localSheetId="6" hidden="1">{#N/A,#N/A,FALSE,"Calc";#N/A,#N/A,FALSE,"Sensitivity";#N/A,#N/A,FALSE,"LT Earn.Dil.";#N/A,#N/A,FALSE,"Dil. AVP"}</definedName>
    <definedName name="__ae1" localSheetId="17" hidden="1">{#N/A,#N/A,FALSE,"Calc";#N/A,#N/A,FALSE,"Sensitivity";#N/A,#N/A,FALSE,"LT Earn.Dil.";#N/A,#N/A,FALSE,"Dil. AVP"}</definedName>
    <definedName name="__ae1" localSheetId="7" hidden="1">{#N/A,#N/A,FALSE,"Calc";#N/A,#N/A,FALSE,"Sensitivity";#N/A,#N/A,FALSE,"LT Earn.Dil.";#N/A,#N/A,FALSE,"Dil. AVP"}</definedName>
    <definedName name="__ae1" localSheetId="3" hidden="1">{#N/A,#N/A,FALSE,"Calc";#N/A,#N/A,FALSE,"Sensitivity";#N/A,#N/A,FALSE,"LT Earn.Dil.";#N/A,#N/A,FALSE,"Dil. AVP"}</definedName>
    <definedName name="__ae1" localSheetId="21" hidden="1">{#N/A,#N/A,FALSE,"Calc";#N/A,#N/A,FALSE,"Sensitivity";#N/A,#N/A,FALSE,"LT Earn.Dil.";#N/A,#N/A,FALSE,"Dil. AVP"}</definedName>
    <definedName name="__ae1" hidden="1">{#N/A,#N/A,FALSE,"Calc";#N/A,#N/A,FALSE,"Sensitivity";#N/A,#N/A,FALSE,"LT Earn.Dil.";#N/A,#N/A,FALSE,"Dil. AVP"}</definedName>
    <definedName name="__am1" localSheetId="0" hidden="1">{#N/A,#N/A,TRUE,"Pro Forma";#N/A,#N/A,TRUE,"PF_Bal";#N/A,#N/A,TRUE,"PF_INC";#N/A,#N/A,TRUE,"CBE";#N/A,#N/A,TRUE,"SWK"}</definedName>
    <definedName name="__am1" localSheetId="27" hidden="1">{#N/A,#N/A,TRUE,"Pro Forma";#N/A,#N/A,TRUE,"PF_Bal";#N/A,#N/A,TRUE,"PF_INC";#N/A,#N/A,TRUE,"CBE";#N/A,#N/A,TRUE,"SWK"}</definedName>
    <definedName name="__am1" localSheetId="19" hidden="1">{#N/A,#N/A,TRUE,"Pro Forma";#N/A,#N/A,TRUE,"PF_Bal";#N/A,#N/A,TRUE,"PF_INC";#N/A,#N/A,TRUE,"CBE";#N/A,#N/A,TRUE,"SWK"}</definedName>
    <definedName name="__am1" localSheetId="1" hidden="1">{#N/A,#N/A,TRUE,"Pro Forma";#N/A,#N/A,TRUE,"PF_Bal";#N/A,#N/A,TRUE,"PF_INC";#N/A,#N/A,TRUE,"CBE";#N/A,#N/A,TRUE,"SWK"}</definedName>
    <definedName name="__am1" localSheetId="8" hidden="1">{#N/A,#N/A,TRUE,"Pro Forma";#N/A,#N/A,TRUE,"PF_Bal";#N/A,#N/A,TRUE,"PF_INC";#N/A,#N/A,TRUE,"CBE";#N/A,#N/A,TRUE,"SWK"}</definedName>
    <definedName name="__am1" localSheetId="6" hidden="1">{#N/A,#N/A,TRUE,"Pro Forma";#N/A,#N/A,TRUE,"PF_Bal";#N/A,#N/A,TRUE,"PF_INC";#N/A,#N/A,TRUE,"CBE";#N/A,#N/A,TRUE,"SWK"}</definedName>
    <definedName name="__am1" localSheetId="17" hidden="1">{#N/A,#N/A,TRUE,"Pro Forma";#N/A,#N/A,TRUE,"PF_Bal";#N/A,#N/A,TRUE,"PF_INC";#N/A,#N/A,TRUE,"CBE";#N/A,#N/A,TRUE,"SWK"}</definedName>
    <definedName name="__am1" localSheetId="7" hidden="1">{#N/A,#N/A,TRUE,"Pro Forma";#N/A,#N/A,TRUE,"PF_Bal";#N/A,#N/A,TRUE,"PF_INC";#N/A,#N/A,TRUE,"CBE";#N/A,#N/A,TRUE,"SWK"}</definedName>
    <definedName name="__am1" localSheetId="3" hidden="1">{#N/A,#N/A,TRUE,"Pro Forma";#N/A,#N/A,TRUE,"PF_Bal";#N/A,#N/A,TRUE,"PF_INC";#N/A,#N/A,TRUE,"CBE";#N/A,#N/A,TRUE,"SWK"}</definedName>
    <definedName name="__am1" localSheetId="21" hidden="1">{#N/A,#N/A,TRUE,"Pro Forma";#N/A,#N/A,TRUE,"PF_Bal";#N/A,#N/A,TRUE,"PF_INC";#N/A,#N/A,TRUE,"CBE";#N/A,#N/A,TRUE,"SWK"}</definedName>
    <definedName name="__am1" hidden="1">{#N/A,#N/A,TRUE,"Pro Forma";#N/A,#N/A,TRUE,"PF_Bal";#N/A,#N/A,TRUE,"PF_INC";#N/A,#N/A,TRUE,"CBE";#N/A,#N/A,TRUE,"SWK"}</definedName>
    <definedName name="__as1" localSheetId="0" hidden="1">{"comp1",#N/A,FALSE,"COMPS";"footnotes",#N/A,FALSE,"COMPS"}</definedName>
    <definedName name="__as1" localSheetId="27" hidden="1">{"comp1",#N/A,FALSE,"COMPS";"footnotes",#N/A,FALSE,"COMPS"}</definedName>
    <definedName name="__as1" localSheetId="19" hidden="1">{"comp1",#N/A,FALSE,"COMPS";"footnotes",#N/A,FALSE,"COMPS"}</definedName>
    <definedName name="__as1" localSheetId="1" hidden="1">{"comp1",#N/A,FALSE,"COMPS";"footnotes",#N/A,FALSE,"COMPS"}</definedName>
    <definedName name="__as1" localSheetId="8" hidden="1">{"comp1",#N/A,FALSE,"COMPS";"footnotes",#N/A,FALSE,"COMPS"}</definedName>
    <definedName name="__as1" localSheetId="6" hidden="1">{"comp1",#N/A,FALSE,"COMPS";"footnotes",#N/A,FALSE,"COMPS"}</definedName>
    <definedName name="__as1" localSheetId="17" hidden="1">{"comp1",#N/A,FALSE,"COMPS";"footnotes",#N/A,FALSE,"COMPS"}</definedName>
    <definedName name="__as1" localSheetId="7" hidden="1">{"comp1",#N/A,FALSE,"COMPS";"footnotes",#N/A,FALSE,"COMPS"}</definedName>
    <definedName name="__as1" localSheetId="3" hidden="1">{"comp1",#N/A,FALSE,"COMPS";"footnotes",#N/A,FALSE,"COMPS"}</definedName>
    <definedName name="__as1" localSheetId="21" hidden="1">{"comp1",#N/A,FALSE,"COMPS";"footnotes",#N/A,FALSE,"COMPS"}</definedName>
    <definedName name="__as1" hidden="1">{"comp1",#N/A,FALSE,"COMPS";"footnotes",#N/A,FALSE,"COMPS"}</definedName>
    <definedName name="__f1" localSheetId="0" hidden="1">{"assumption cash",#N/A,TRUE,"Merger";"has gets cash",#N/A,TRUE,"Merger";"accretion dilution",#N/A,TRUE,"Merger";"comparison credit stats",#N/A,TRUE,"Merger";"pf credit stats",#N/A,TRUE,"Merger";"pf sheets",#N/A,TRUE,"Merger"}</definedName>
    <definedName name="__f1" localSheetId="27" hidden="1">{"assumption cash",#N/A,TRUE,"Merger";"has gets cash",#N/A,TRUE,"Merger";"accretion dilution",#N/A,TRUE,"Merger";"comparison credit stats",#N/A,TRUE,"Merger";"pf credit stats",#N/A,TRUE,"Merger";"pf sheets",#N/A,TRUE,"Merger"}</definedName>
    <definedName name="__f1" localSheetId="19" hidden="1">{"assumption cash",#N/A,TRUE,"Merger";"has gets cash",#N/A,TRUE,"Merger";"accretion dilution",#N/A,TRUE,"Merger";"comparison credit stats",#N/A,TRUE,"Merger";"pf credit stats",#N/A,TRUE,"Merger";"pf sheets",#N/A,TRUE,"Merger"}</definedName>
    <definedName name="__f1" localSheetId="1" hidden="1">{"assumption cash",#N/A,TRUE,"Merger";"has gets cash",#N/A,TRUE,"Merger";"accretion dilution",#N/A,TRUE,"Merger";"comparison credit stats",#N/A,TRUE,"Merger";"pf credit stats",#N/A,TRUE,"Merger";"pf sheets",#N/A,TRUE,"Merger"}</definedName>
    <definedName name="__f1" localSheetId="8" hidden="1">{"assumption cash",#N/A,TRUE,"Merger";"has gets cash",#N/A,TRUE,"Merger";"accretion dilution",#N/A,TRUE,"Merger";"comparison credit stats",#N/A,TRUE,"Merger";"pf credit stats",#N/A,TRUE,"Merger";"pf sheets",#N/A,TRUE,"Merger"}</definedName>
    <definedName name="__f1" localSheetId="6" hidden="1">{"assumption cash",#N/A,TRUE,"Merger";"has gets cash",#N/A,TRUE,"Merger";"accretion dilution",#N/A,TRUE,"Merger";"comparison credit stats",#N/A,TRUE,"Merger";"pf credit stats",#N/A,TRUE,"Merger";"pf sheets",#N/A,TRUE,"Merger"}</definedName>
    <definedName name="__f1" localSheetId="17" hidden="1">{"assumption cash",#N/A,TRUE,"Merger";"has gets cash",#N/A,TRUE,"Merger";"accretion dilution",#N/A,TRUE,"Merger";"comparison credit stats",#N/A,TRUE,"Merger";"pf credit stats",#N/A,TRUE,"Merger";"pf sheets",#N/A,TRUE,"Merger"}</definedName>
    <definedName name="__f1" localSheetId="7" hidden="1">{"assumption cash",#N/A,TRUE,"Merger";"has gets cash",#N/A,TRUE,"Merger";"accretion dilution",#N/A,TRUE,"Merger";"comparison credit stats",#N/A,TRUE,"Merger";"pf credit stats",#N/A,TRUE,"Merger";"pf sheets",#N/A,TRUE,"Merger"}</definedName>
    <definedName name="__f1" localSheetId="3" hidden="1">{"assumption cash",#N/A,TRUE,"Merger";"has gets cash",#N/A,TRUE,"Merger";"accretion dilution",#N/A,TRUE,"Merger";"comparison credit stats",#N/A,TRUE,"Merger";"pf credit stats",#N/A,TRUE,"Merger";"pf sheets",#N/A,TRUE,"Merger"}</definedName>
    <definedName name="__f1" localSheetId="21" hidden="1">{"assumption cash",#N/A,TRUE,"Merger";"has gets cash",#N/A,TRUE,"Merger";"accretion dilution",#N/A,TRUE,"Merger";"comparison credit stats",#N/A,TRUE,"Merger";"pf credit stats",#N/A,TRUE,"Merger";"pf sheets",#N/A,TRUE,"Merger"}</definedName>
    <definedName name="__f1" hidden="1">{"assumption cash",#N/A,TRUE,"Merger";"has gets cash",#N/A,TRUE,"Merger";"accretion dilution",#N/A,TRUE,"Merger";"comparison credit stats",#N/A,TRUE,"Merger";"pf credit stats",#N/A,TRUE,"Merger";"pf sheets",#N/A,TRUE,"Merger"}</definedName>
    <definedName name="__FDS_HYPERLINK_TOGGLE_STATE__" hidden="1">"ON"</definedName>
    <definedName name="__FDS_UNIQUE_RANGE_ID_GENERATOR_COUNTER" localSheetId="19" hidden="1">1</definedName>
    <definedName name="__FDS_UNIQUE_RANGE_ID_GENERATOR_COUNTER" localSheetId="7" hidden="1">1</definedName>
    <definedName name="__FDS_UNIQUE_RANGE_ID_GENERATOR_COUNTER" localSheetId="3" hidden="1">1</definedName>
    <definedName name="__FDS_UNIQUE_RANGE_ID_GENERATOR_COUNTER" localSheetId="21" hidden="1">416</definedName>
    <definedName name="__FDS_UNIQUE_RANGE_ID_GENERATOR_COUNTER" hidden="1">1</definedName>
    <definedName name="__FDS_USED_FOR_REUSING_RANGE_IDS_RECYCLE" localSheetId="19"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6"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7"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3"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1"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ik1" localSheetId="0" hidden="1">{"casespecific",#N/A,FALSE,"Assumptions"}</definedName>
    <definedName name="__ik1" localSheetId="27" hidden="1">{"casespecific",#N/A,FALSE,"Assumptions"}</definedName>
    <definedName name="__ik1" localSheetId="19" hidden="1">{"casespecific",#N/A,FALSE,"Assumptions"}</definedName>
    <definedName name="__ik1" localSheetId="1" hidden="1">{"casespecific",#N/A,FALSE,"Assumptions"}</definedName>
    <definedName name="__ik1" localSheetId="8" hidden="1">{"casespecific",#N/A,FALSE,"Assumptions"}</definedName>
    <definedName name="__ik1" localSheetId="6" hidden="1">{"casespecific",#N/A,FALSE,"Assumptions"}</definedName>
    <definedName name="__ik1" localSheetId="17" hidden="1">{"casespecific",#N/A,FALSE,"Assumptions"}</definedName>
    <definedName name="__ik1" localSheetId="7" hidden="1">{"casespecific",#N/A,FALSE,"Assumptions"}</definedName>
    <definedName name="__ik1" localSheetId="3" hidden="1">{"casespecific",#N/A,FALSE,"Assumptions"}</definedName>
    <definedName name="__ik1" localSheetId="21" hidden="1">{"casespecific",#N/A,FALSE,"Assumptions"}</definedName>
    <definedName name="__ik1" hidden="1">{"casespecific",#N/A,FALSE,"Assumptions"}</definedName>
    <definedName name="__xlfn.RTD" hidden="1">#NAME?</definedName>
    <definedName name="_1__123Graph_AADV_GDP" localSheetId="3" hidden="1">#REF!</definedName>
    <definedName name="_1__123Graph_AADV_GDP" hidden="1">[8]ADVOL!$C$97:$C$128</definedName>
    <definedName name="_1__123Graph_ACHART_1" localSheetId="0" hidden="1">'[9]Edge 10797 Drilling Inventory'!#REF!</definedName>
    <definedName name="_1__123Graph_ACHART_1" localSheetId="27" hidden="1">'[9]Edge 10797 Drilling Inventory'!#REF!</definedName>
    <definedName name="_1__123Graph_ACHART_1" localSheetId="19" hidden="1">'[9]Edge 10797 Drilling Inventory'!#REF!</definedName>
    <definedName name="_1__123Graph_ACHART_1" localSheetId="1" hidden="1">'[9]Edge 10797 Drilling Inventory'!#REF!</definedName>
    <definedName name="_1__123Graph_ACHART_1" localSheetId="17" hidden="1">'[9]Edge 10797 Drilling Inventory'!#REF!</definedName>
    <definedName name="_1__123Graph_ACHART_1" localSheetId="7" hidden="1">'[9]Edge 10797 Drilling Inventory'!#REF!</definedName>
    <definedName name="_1__123Graph_ACHART_1" localSheetId="3" hidden="1">#REF!</definedName>
    <definedName name="_1__123Graph_ACHART_1" localSheetId="21" hidden="1">'[9]Edge 10797 Drilling Inventory'!#REF!</definedName>
    <definedName name="_1__123Graph_ACHART_1" hidden="1">'[9]Edge 10797 Drilling Inventory'!#REF!</definedName>
    <definedName name="_1__FDSAUDITLINK__" localSheetId="19"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6"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7"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3"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1"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0__123Graph_BADV_GDPR" localSheetId="3" hidden="1">#REF!</definedName>
    <definedName name="_10__123Graph_BADV_GDPR" hidden="1">[8]ADVOL!$A$97:$A$132</definedName>
    <definedName name="_10__123Graph_LBL_ACHART_3" localSheetId="0" hidden="1">'[9]Edge 10797 Drilling Inventory'!#REF!</definedName>
    <definedName name="_10__123Graph_LBL_ACHART_3" localSheetId="27" hidden="1">'[9]Edge 10797 Drilling Inventory'!#REF!</definedName>
    <definedName name="_10__123Graph_LBL_ACHART_3" localSheetId="19" hidden="1">'[9]Edge 10797 Drilling Inventory'!#REF!</definedName>
    <definedName name="_10__123Graph_LBL_ACHART_3" localSheetId="1" hidden="1">'[9]Edge 10797 Drilling Inventory'!#REF!</definedName>
    <definedName name="_10__123Graph_LBL_ACHART_3" localSheetId="17" hidden="1">'[9]Edge 10797 Drilling Inventory'!#REF!</definedName>
    <definedName name="_10__123Graph_LBL_ACHART_3" localSheetId="7" hidden="1">'[9]Edge 10797 Drilling Inventory'!#REF!</definedName>
    <definedName name="_10__123Graph_LBL_ACHART_3" localSheetId="3" hidden="1">#REF!</definedName>
    <definedName name="_10__123Graph_LBL_ACHART_3" localSheetId="21" hidden="1">'[9]Edge 10797 Drilling Inventory'!#REF!</definedName>
    <definedName name="_10__123Graph_LBL_ACHART_3" hidden="1">'[9]Edge 10797 Drilling Inventory'!#REF!</definedName>
    <definedName name="_10__FDSAUDITLINK__" localSheetId="1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0__FDSAUDITLINK__" localSheetId="0"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7"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9"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8"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6"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7"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7"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3"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1__FDSAUDITLINK__" localSheetId="0"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7"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9"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8"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6"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7"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7"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3"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1"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hidden="1">{"fdsup://Directions/FactSet Auditing Viewer?action=AUDIT_VALUE&amp;DB=129&amp;ID1=03116210&amp;VALUEID=02001&amp;SDATE=201102&amp;PERIODTYPE=QTR_STD&amp;SCFT=3&amp;window=popup_no_bar&amp;width=385&amp;height=120&amp;START_MAXIMIZED=FALSE&amp;creator=factset&amp;display_string=Audit"}</definedName>
    <definedName name="_102__FDSAUDITLINK__" localSheetId="0"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7"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9"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8"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6"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7"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7"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3"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3__FDSAUDITLINK__" localSheetId="0"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7"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9"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8"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6"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7"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7"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3"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hidden="1">{"fdsup://Directions/FactSet Auditing Viewer?action=AUDIT_VALUE&amp;DB=129&amp;ID1=09062X10&amp;VALUEID=02001&amp;SDATE=201102&amp;PERIODTYPE=QTR_STD&amp;SCFT=3&amp;window=popup_no_bar&amp;width=385&amp;height=120&amp;START_MAXIMIZED=FALSE&amp;creator=factset&amp;display_string=Audit"}</definedName>
    <definedName name="_104__FDSAUDITLINK__" localSheetId="0"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7"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9"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8"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6"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7"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7"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3"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5__FDSAUDITLINK__" localSheetId="0"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7"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9"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8"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6"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7"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7"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3"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hidden="1">{"fdsup://Directions/FactSet Auditing Viewer?action=AUDIT_VALUE&amp;DB=129&amp;ID1=15102010&amp;VALUEID=02001&amp;SDATE=201102&amp;PERIODTYPE=QTR_STD&amp;SCFT=3&amp;window=popup_no_bar&amp;width=385&amp;height=120&amp;START_MAXIMIZED=FALSE&amp;creator=factset&amp;display_string=Audit"}</definedName>
    <definedName name="_106__FDSAUDITLINK__" localSheetId="0"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7"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9"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8"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6"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7"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7"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3"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7__FDSAUDITLINK__" localSheetId="0"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7"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9"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8"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6"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7"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7"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3"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1"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hidden="1">{"fdsup://Directions/FactSet Auditing Viewer?action=AUDIT_VALUE&amp;DB=129&amp;ID1=37555810&amp;VALUEID=02001&amp;SDATE=201102&amp;PERIODTYPE=QTR_STD&amp;SCFT=3&amp;window=popup_no_bar&amp;width=385&amp;height=120&amp;START_MAXIMIZED=FALSE&amp;creator=factset&amp;display_string=Audit"}</definedName>
    <definedName name="_108__FDSAUDITLINK__" localSheetId="0"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7"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9"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8"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6"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7"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7"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3"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9__FDSAUDITLINK__" localSheetId="0"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7"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9"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8"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6"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7"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7"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3"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1"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hidden="1">{"fdsup://Directions/FactSet Auditing Viewer?action=AUDIT_VALUE&amp;DB=129&amp;ID1=01849010&amp;VALUEID=02001&amp;SDATE=201102&amp;PERIODTYPE=QTR_STD&amp;SCFT=3&amp;window=popup_no_bar&amp;width=385&amp;height=120&amp;START_MAXIMIZED=FALSE&amp;creator=factset&amp;display_string=Audit"}</definedName>
    <definedName name="_11__123Graph_BADV_PCE" localSheetId="3" hidden="1">#REF!</definedName>
    <definedName name="_11__123Graph_BADV_PCE" hidden="1">[8]ADVOL!$G$170:$G$202</definedName>
    <definedName name="_11__123Graph_LBL_ACHART_4" localSheetId="0" hidden="1">'[9]Edge 10797 Drilling Inventory'!#REF!</definedName>
    <definedName name="_11__123Graph_LBL_ACHART_4" localSheetId="27" hidden="1">'[9]Edge 10797 Drilling Inventory'!#REF!</definedName>
    <definedName name="_11__123Graph_LBL_ACHART_4" localSheetId="19" hidden="1">'[9]Edge 10797 Drilling Inventory'!#REF!</definedName>
    <definedName name="_11__123Graph_LBL_ACHART_4" localSheetId="1" hidden="1">'[9]Edge 10797 Drilling Inventory'!#REF!</definedName>
    <definedName name="_11__123Graph_LBL_ACHART_4" localSheetId="17" hidden="1">'[9]Edge 10797 Drilling Inventory'!#REF!</definedName>
    <definedName name="_11__123Graph_LBL_ACHART_4" localSheetId="7" hidden="1">'[9]Edge 10797 Drilling Inventory'!#REF!</definedName>
    <definedName name="_11__123Graph_LBL_ACHART_4" localSheetId="3" hidden="1">#REF!</definedName>
    <definedName name="_11__123Graph_LBL_ACHART_4" localSheetId="21" hidden="1">'[9]Edge 10797 Drilling Inventory'!#REF!</definedName>
    <definedName name="_11__123Graph_LBL_ACHART_4" hidden="1">'[9]Edge 10797 Drilling Inventory'!#REF!</definedName>
    <definedName name="_11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0__FDSAUDITLINK__" localSheetId="0"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7"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9"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8"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6"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7"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7"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3"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1"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1__FDSAUDITLINK__" localSheetId="0"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7"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9"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8"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6"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7"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7"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3"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1"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hidden="1">{"fdsup://Directions/FactSet Auditing Viewer?action=AUDIT_VALUE&amp;DB=129&amp;ID1=15670810&amp;VALUEID=02001&amp;SDATE=201102&amp;PERIODTYPE=QTR_STD&amp;SCFT=3&amp;window=popup_no_bar&amp;width=385&amp;height=120&amp;START_MAXIMIZED=FALSE&amp;creator=factset&amp;display_string=Audit"}</definedName>
    <definedName name="_112__FDSAUDITLINK__" localSheetId="0"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7"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9"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8"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6"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7"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7"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3"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1"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3__FDSAUDITLINK__" localSheetId="0"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7"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9"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8"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6"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7"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7"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3"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1"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hidden="1">{"fdsup://Directions/FactSet Auditing Viewer?action=AUDIT_VALUE&amp;DB=129&amp;ID1=29264F20&amp;VALUEID=02001&amp;SDATE=201102&amp;PERIODTYPE=QTR_STD&amp;SCFT=3&amp;window=popup_no_bar&amp;width=385&amp;height=120&amp;START_MAXIMIZED=FALSE&amp;creator=factset&amp;display_string=Audit"}</definedName>
    <definedName name="_114__FDSAUDITLINK__" localSheetId="0"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7"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9"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8"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6"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7"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7"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3"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5__FDSAUDITLINK__" localSheetId="0"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7"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9"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8"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6"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7"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7"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3"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hidden="1">{"fdsup://Directions/FactSet Auditing Viewer?action=AUDIT_VALUE&amp;DB=129&amp;ID1=34583810&amp;VALUEID=02001&amp;SDATE=201101&amp;PERIODTYPE=QTR_STD&amp;SCFT=3&amp;window=popup_no_bar&amp;width=385&amp;height=120&amp;START_MAXIMIZED=FALSE&amp;creator=factset&amp;display_string=Audit"}</definedName>
    <definedName name="_116__FDSAUDITLINK__" localSheetId="0"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7"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9"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8"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6"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7"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7"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3"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7__FDSAUDITLINK__" localSheetId="0"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7"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9"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8"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6"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7"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7"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3"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hidden="1">{"fdsup://Directions/FactSet Auditing Viewer?action=AUDIT_VALUE&amp;DB=129&amp;ID1=47214710&amp;VALUEID=02001&amp;SDATE=201102&amp;PERIODTYPE=QTR_STD&amp;SCFT=3&amp;window=popup_no_bar&amp;width=385&amp;height=120&amp;START_MAXIMIZED=FALSE&amp;creator=factset&amp;display_string=Audit"}</definedName>
    <definedName name="_118__FDSAUDITLINK__" localSheetId="0"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7"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9"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8"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6"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7"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7"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3"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9__FDSAUDITLINK__" localSheetId="0"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7"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9"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8"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6"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7"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7"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3"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1"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hidden="1">{"fdsup://Directions/FactSet Auditing Viewer?action=AUDIT_VALUE&amp;DB=129&amp;ID1=58469030&amp;VALUEID=02001&amp;SDATE=201102&amp;PERIODTYPE=QTR_STD&amp;SCFT=3&amp;window=popup_no_bar&amp;width=385&amp;height=120&amp;START_MAXIMIZED=FALSE&amp;creator=factset&amp;display_string=Audit"}</definedName>
    <definedName name="_12__123Graph_BADV_PCGD" localSheetId="3" hidden="1">#REF!</definedName>
    <definedName name="_12__123Graph_BADV_PCGD" hidden="1">[8]ADVOL!$E$170:$E$202</definedName>
    <definedName name="_12__123Graph_LBL_BCHART_1" localSheetId="0" hidden="1">'[9]Edge 10797 Drilling Inventory'!#REF!</definedName>
    <definedName name="_12__123Graph_LBL_BCHART_1" localSheetId="27" hidden="1">'[9]Edge 10797 Drilling Inventory'!#REF!</definedName>
    <definedName name="_12__123Graph_LBL_BCHART_1" localSheetId="19" hidden="1">'[9]Edge 10797 Drilling Inventory'!#REF!</definedName>
    <definedName name="_12__123Graph_LBL_BCHART_1" localSheetId="1" hidden="1">'[9]Edge 10797 Drilling Inventory'!#REF!</definedName>
    <definedName name="_12__123Graph_LBL_BCHART_1" localSheetId="17" hidden="1">'[9]Edge 10797 Drilling Inventory'!#REF!</definedName>
    <definedName name="_12__123Graph_LBL_BCHART_1" localSheetId="7" hidden="1">'[9]Edge 10797 Drilling Inventory'!#REF!</definedName>
    <definedName name="_12__123Graph_LBL_BCHART_1" localSheetId="3" hidden="1">#REF!</definedName>
    <definedName name="_12__123Graph_LBL_BCHART_1" localSheetId="21" hidden="1">'[9]Edge 10797 Drilling Inventory'!#REF!</definedName>
    <definedName name="_12__123Graph_LBL_BCHART_1" hidden="1">'[9]Edge 10797 Drilling Inventory'!#REF!</definedName>
    <definedName name="_12__FDSAUDITLINK__" localSheetId="19"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6"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7"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3"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1"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0__FDSAUDITLINK__" localSheetId="0"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7"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9"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8"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6"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7"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7"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3"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1__FDSAUDITLINK__" localSheetId="0"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7"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9"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8"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6"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7"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7"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3"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hidden="1">{"fdsup://Directions/FactSet Auditing Viewer?action=AUDIT_VALUE&amp;DB=129&amp;ID1=79543510&amp;VALUEID=02001&amp;SDATE=201102&amp;PERIODTYPE=QTR_STD&amp;SCFT=3&amp;window=popup_no_bar&amp;width=385&amp;height=120&amp;START_MAXIMIZED=FALSE&amp;creator=factset&amp;display_string=Audit"}</definedName>
    <definedName name="_122__FDSAUDITLINK__" localSheetId="0"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7"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9"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8"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6"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7"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7"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3"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3__FDSAUDITLINK__" localSheetId="0"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7"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9"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8"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6"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7"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7"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3"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4__FDSAUDITLINK__" localSheetId="0"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7"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9"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8"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6"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7"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7"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3"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hidden="1">{"fdsup://Directions/FactSet Auditing Viewer?action=AUDIT_VALUE&amp;DB=129&amp;ID1=92824110&amp;VALUEID=02001&amp;SDATE=201102&amp;PERIODTYPE=QTR_STD&amp;SCFT=3&amp;window=popup_no_bar&amp;width=385&amp;height=120&amp;START_MAXIMIZED=FALSE&amp;creator=factset&amp;display_string=Audit"}</definedName>
    <definedName name="_125__FDSAUDITLINK__" localSheetId="0"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7"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9"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8"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6"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7"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7"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3"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6__FDSAUDITLINK__" localSheetId="0"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7"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9"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8"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6"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7"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7"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3"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1"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hidden="1">{"fdsup://Directions/FactSet Auditing Viewer?action=AUDIT_VALUE&amp;DB=129&amp;ID1=G9436810&amp;VALUEID=02001&amp;SDATE=201102&amp;PERIODTYPE=QTR_STD&amp;SCFT=3&amp;window=popup_no_bar&amp;width=385&amp;height=120&amp;START_MAXIMIZED=FALSE&amp;creator=factset&amp;display_string=Audit"}</definedName>
    <definedName name="_127__FDSAUDITLINK__" localSheetId="0"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7"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9"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8"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6"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7"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7"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3"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1"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8__FDSAUDITLINK__" localSheetId="0"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7"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9"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8"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6"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7"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7"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3"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1"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hidden="1">{"fdsup://Directions/FactSet Auditing Viewer?action=AUDIT_VALUE&amp;DB=129&amp;ID1=42840B10&amp;VALUEID=02001&amp;SDATE=201004&amp;PERIODTYPE=QTR_STD&amp;SCFT=3&amp;window=popup_no_bar&amp;width=385&amp;height=120&amp;START_MAXIMIZED=FALSE&amp;creator=factset&amp;display_string=Audit"}</definedName>
    <definedName name="_129__FDSAUDITLINK__" localSheetId="0"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7"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9"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8"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6"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7"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7"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3"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3__123Graph_BMAG_PCE" localSheetId="3" hidden="1">#REF!</definedName>
    <definedName name="_13__123Graph_BMAG_PCE" hidden="1">[8]ADVOL!$A$171:$A$204</definedName>
    <definedName name="_13__123Graph_LBL_BCHART_2" localSheetId="0" hidden="1">'[9]Edge 10797 Drilling Inventory'!#REF!</definedName>
    <definedName name="_13__123Graph_LBL_BCHART_2" localSheetId="27" hidden="1">'[9]Edge 10797 Drilling Inventory'!#REF!</definedName>
    <definedName name="_13__123Graph_LBL_BCHART_2" localSheetId="19" hidden="1">'[9]Edge 10797 Drilling Inventory'!#REF!</definedName>
    <definedName name="_13__123Graph_LBL_BCHART_2" localSheetId="1" hidden="1">'[9]Edge 10797 Drilling Inventory'!#REF!</definedName>
    <definedName name="_13__123Graph_LBL_BCHART_2" localSheetId="17" hidden="1">'[9]Edge 10797 Drilling Inventory'!#REF!</definedName>
    <definedName name="_13__123Graph_LBL_BCHART_2" localSheetId="7" hidden="1">'[9]Edge 10797 Drilling Inventory'!#REF!</definedName>
    <definedName name="_13__123Graph_LBL_BCHART_2" localSheetId="3" hidden="1">#REF!</definedName>
    <definedName name="_13__123Graph_LBL_BCHART_2" localSheetId="21" hidden="1">'[9]Edge 10797 Drilling Inventory'!#REF!</definedName>
    <definedName name="_13__123Graph_LBL_BCHART_2" hidden="1">'[9]Edge 10797 Drilling Inventory'!#REF!</definedName>
    <definedName name="_13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0__FDSAUDITLINK__" localSheetId="0"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7"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9"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8"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6"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7"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7"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3"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hidden="1">{"fdsup://Directions/FactSet Auditing Viewer?action=AUDIT_VALUE&amp;DB=129&amp;ID1=44106010&amp;VALUEID=02001&amp;SDATE=201102&amp;PERIODTYPE=QTR_STD&amp;SCFT=3&amp;window=popup_no_bar&amp;width=385&amp;height=120&amp;START_MAXIMIZED=FALSE&amp;creator=factset&amp;display_string=Audit"}</definedName>
    <definedName name="_131__FDSAUDITLINK__" localSheetId="0"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7"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9"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8"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6"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7"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7"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3"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2__FDSAUDITLINK__" localSheetId="0"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7"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9"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8"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6"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7"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7"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3"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hidden="1">{"fdsup://Directions/FactSet Auditing Viewer?action=AUDIT_VALUE&amp;DB=129&amp;ID1=45256B10&amp;VALUEID=02001&amp;SDATE=201102&amp;PERIODTYPE=QTR_STD&amp;SCFT=3&amp;window=popup_no_bar&amp;width=385&amp;height=120&amp;START_MAXIMIZED=FALSE&amp;creator=factset&amp;display_string=Audit"}</definedName>
    <definedName name="_133__FDSAUDITLINK__" localSheetId="0"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7"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9"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8"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6"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7"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7"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3"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4__FDSAUDITLINK__" localSheetId="0"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7"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9"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8"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6"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7"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7"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3"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1"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hidden="1">{"fdsup://Directions/FactSet Auditing Viewer?action=AUDIT_VALUE&amp;DB=129&amp;ID1=62853010&amp;VALUEID=02001&amp;SDATE=201102&amp;PERIODTYPE=QTR_STD&amp;SCFT=3&amp;window=popup_no_bar&amp;width=385&amp;height=120&amp;START_MAXIMIZED=FALSE&amp;creator=factset&amp;display_string=Audit"}</definedName>
    <definedName name="_135__FDSAUDITLINK__" localSheetId="0"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7"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9"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8"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6"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7"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7"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3"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6__FDSAUDITLINK__" localSheetId="0"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7"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9"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8"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6"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7"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7"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3"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hidden="1">{"fdsup://Directions/FactSet Auditing Viewer?action=AUDIT_VALUE&amp;DB=129&amp;ID1=71429010&amp;VALUEID=02001&amp;SDATE=201104&amp;PERIODTYPE=QTR_STD&amp;SCFT=3&amp;window=popup_no_bar&amp;width=385&amp;height=120&amp;START_MAXIMIZED=FALSE&amp;creator=factset&amp;display_string=Audit"}</definedName>
    <definedName name="_137__FDSAUDITLINK__" localSheetId="0"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7"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9"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8"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6"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7"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7"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3"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8__FDSAUDITLINK__" localSheetId="0"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7"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9"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8"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6"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7"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7"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3"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hidden="1">{"fdsup://Directions/FactSet Auditing Viewer?action=AUDIT_VALUE&amp;DB=129&amp;ID1=69888P10&amp;VALUEID=02001&amp;SDATE=201102&amp;PERIODTYPE=QTR_STD&amp;SCFT=3&amp;window=popup_no_bar&amp;width=385&amp;height=120&amp;START_MAXIMIZED=FALSE&amp;creator=factset&amp;display_string=Audit"}</definedName>
    <definedName name="_139__FDSAUDITLINK__" localSheetId="0"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7"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9"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8"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6"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7"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7"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3"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1"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4__123Graph_BNRET_PCE" localSheetId="3" hidden="1">#REF!</definedName>
    <definedName name="_14__123Graph_BNRET_PCE" hidden="1">[8]ADVOL!$A$171:$A$206</definedName>
    <definedName name="_14__123Graph_LBL_BCHART_3" localSheetId="0" hidden="1">'[9]Edge 10797 Drilling Inventory'!#REF!</definedName>
    <definedName name="_14__123Graph_LBL_BCHART_3" localSheetId="27" hidden="1">'[9]Edge 10797 Drilling Inventory'!#REF!</definedName>
    <definedName name="_14__123Graph_LBL_BCHART_3" localSheetId="19" hidden="1">'[9]Edge 10797 Drilling Inventory'!#REF!</definedName>
    <definedName name="_14__123Graph_LBL_BCHART_3" localSheetId="1" hidden="1">'[9]Edge 10797 Drilling Inventory'!#REF!</definedName>
    <definedName name="_14__123Graph_LBL_BCHART_3" localSheetId="17" hidden="1">'[9]Edge 10797 Drilling Inventory'!#REF!</definedName>
    <definedName name="_14__123Graph_LBL_BCHART_3" localSheetId="7" hidden="1">'[9]Edge 10797 Drilling Inventory'!#REF!</definedName>
    <definedName name="_14__123Graph_LBL_BCHART_3" localSheetId="3" hidden="1">#REF!</definedName>
    <definedName name="_14__123Graph_LBL_BCHART_3" localSheetId="21" hidden="1">'[9]Edge 10797 Drilling Inventory'!#REF!</definedName>
    <definedName name="_14__123Graph_LBL_BCHART_3" hidden="1">'[9]Edge 10797 Drilling Inventory'!#REF!</definedName>
    <definedName name="_14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0__FDSAUDITLINK__" localSheetId="0"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7"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9"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8"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6"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7"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7"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3"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1"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hidden="1">{"fdsup://Directions/FactSet Auditing Viewer?action=AUDIT_VALUE&amp;DB=129&amp;ID1=78669210&amp;VALUEID=02001&amp;SDATE=201102&amp;PERIODTYPE=QTR_STD&amp;SCFT=3&amp;window=popup_no_bar&amp;width=385&amp;height=120&amp;START_MAXIMIZED=FALSE&amp;creator=factset&amp;display_string=Audit"}</definedName>
    <definedName name="_141__FDSAUDITLINK__" localSheetId="0"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7"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9"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8"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6"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7"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7"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3"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1"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2__FDSAUDITLINK__" localSheetId="0"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7"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9"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8"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6"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7"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7"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3"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1"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3__FDSAUDITLINK__" localSheetId="0"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7"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9"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8"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6"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7"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7"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3"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1"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hidden="1">{"fdsup://Directions/FactSet Auditing Viewer?action=AUDIT_VALUE&amp;DB=129&amp;ID1=94268310&amp;VALUEID=02001&amp;SDATE=201102&amp;PERIODTYPE=QTR_STD&amp;SCFT=3&amp;window=popup_no_bar&amp;width=385&amp;height=120&amp;START_MAXIMIZED=FALSE&amp;creator=factset&amp;display_string=Audit"}</definedName>
    <definedName name="_144__FDSAUDITLINK__" localSheetId="0"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7"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9"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8"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6"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7"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7"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3"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1"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5__FDSAUDITLINK__" localSheetId="0"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7"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9"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8"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6"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7"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7"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3"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1"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6__FDSAUDITLINK__" localSheetId="0"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7"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9"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8"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6"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7"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7"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3"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1"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7__FDSAUDITLINK__" localSheetId="0"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7"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9"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8"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6"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7"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7"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3"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1"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8__FDSAUDITLINK__" localSheetId="19"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6"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7"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3"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1"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9__FDSAUDITLINK__" localSheetId="19"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6"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7"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3"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1"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5__123Graph_BNRT_PCE" localSheetId="3" hidden="1">#REF!</definedName>
    <definedName name="_15__123Graph_BNRT_PCE" hidden="1">[8]ADVOL!$A$171:$A$206</definedName>
    <definedName name="_15__123Graph_XCHART_1" localSheetId="0" hidden="1">'[9]Edge 10797 Drilling Inventory'!#REF!</definedName>
    <definedName name="_15__123Graph_XCHART_1" localSheetId="27" hidden="1">'[9]Edge 10797 Drilling Inventory'!#REF!</definedName>
    <definedName name="_15__123Graph_XCHART_1" localSheetId="19" hidden="1">'[9]Edge 10797 Drilling Inventory'!#REF!</definedName>
    <definedName name="_15__123Graph_XCHART_1" localSheetId="1" hidden="1">'[9]Edge 10797 Drilling Inventory'!#REF!</definedName>
    <definedName name="_15__123Graph_XCHART_1" localSheetId="17" hidden="1">'[9]Edge 10797 Drilling Inventory'!#REF!</definedName>
    <definedName name="_15__123Graph_XCHART_1" localSheetId="7" hidden="1">'[9]Edge 10797 Drilling Inventory'!#REF!</definedName>
    <definedName name="_15__123Graph_XCHART_1" localSheetId="3" hidden="1">#REF!</definedName>
    <definedName name="_15__123Graph_XCHART_1" localSheetId="21" hidden="1">'[9]Edge 10797 Drilling Inventory'!#REF!</definedName>
    <definedName name="_15__123Graph_XCHART_1" hidden="1">'[9]Edge 10797 Drilling Inventory'!#REF!</definedName>
    <definedName name="_15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0__FDSAUDITLINK__" localSheetId="19"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6"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7"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3"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1"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9"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6"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7"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3"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1"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9"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6"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7"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3"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1"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9"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6"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7"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3"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1"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4__FDSAUDITLINK__" localSheetId="19"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6"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7"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3"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1"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5__FDSAUDITLINK__" localSheetId="19"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6"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7"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3"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1"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6__FDSAUDITLINK__" localSheetId="1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7__FDSAUDITLINK__" localSheetId="19"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6"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7"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3"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1"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8__FDSAUDITLINK__" localSheetId="19"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6"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7"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3"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1"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9"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6"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7"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3"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1"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6__123Graph_CADV_PCE" localSheetId="3" hidden="1">#REF!</definedName>
    <definedName name="_16__123Graph_CADV_PCE" hidden="1">[8]ADVOL!$H$170:$H$202</definedName>
    <definedName name="_16__123Graph_XCHART_2" localSheetId="0" hidden="1">'[9]Edge 10797 Drilling Inventory'!#REF!</definedName>
    <definedName name="_16__123Graph_XCHART_2" localSheetId="27" hidden="1">'[9]Edge 10797 Drilling Inventory'!#REF!</definedName>
    <definedName name="_16__123Graph_XCHART_2" localSheetId="19" hidden="1">'[9]Edge 10797 Drilling Inventory'!#REF!</definedName>
    <definedName name="_16__123Graph_XCHART_2" localSheetId="1" hidden="1">'[9]Edge 10797 Drilling Inventory'!#REF!</definedName>
    <definedName name="_16__123Graph_XCHART_2" localSheetId="17" hidden="1">'[9]Edge 10797 Drilling Inventory'!#REF!</definedName>
    <definedName name="_16__123Graph_XCHART_2" localSheetId="7" hidden="1">'[9]Edge 10797 Drilling Inventory'!#REF!</definedName>
    <definedName name="_16__123Graph_XCHART_2" localSheetId="3" hidden="1">#REF!</definedName>
    <definedName name="_16__123Graph_XCHART_2" localSheetId="21" hidden="1">'[9]Edge 10797 Drilling Inventory'!#REF!</definedName>
    <definedName name="_16__123Graph_XCHART_2" hidden="1">'[9]Edge 10797 Drilling Inventory'!#REF!</definedName>
    <definedName name="_16__FDSAUDITLINK__" localSheetId="19"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6"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7"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3"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1"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0__FDSAUDITLINK__" localSheetId="19"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6"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7"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3"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1"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9"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6"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7"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3"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1"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9"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6"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7"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3"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1"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3__FDSAUDITLINK__" localSheetId="1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4__FDSAUDITLINK__" localSheetId="19"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6"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7"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3"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1"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5__FDSAUDITLINK__" localSheetId="1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7__123Graph_XADV_GDP" localSheetId="3" hidden="1">#REF!</definedName>
    <definedName name="_17__123Graph_XADV_GDP" hidden="1">[8]ADVOL!$A$23:$A$54</definedName>
    <definedName name="_17__123Graph_XCHART_3" localSheetId="0" hidden="1">'[9]Edge 10797 Drilling Inventory'!#REF!</definedName>
    <definedName name="_17__123Graph_XCHART_3" localSheetId="27" hidden="1">'[9]Edge 10797 Drilling Inventory'!#REF!</definedName>
    <definedName name="_17__123Graph_XCHART_3" localSheetId="19" hidden="1">'[9]Edge 10797 Drilling Inventory'!#REF!</definedName>
    <definedName name="_17__123Graph_XCHART_3" localSheetId="1" hidden="1">'[9]Edge 10797 Drilling Inventory'!#REF!</definedName>
    <definedName name="_17__123Graph_XCHART_3" localSheetId="17" hidden="1">'[9]Edge 10797 Drilling Inventory'!#REF!</definedName>
    <definedName name="_17__123Graph_XCHART_3" localSheetId="7" hidden="1">'[9]Edge 10797 Drilling Inventory'!#REF!</definedName>
    <definedName name="_17__123Graph_XCHART_3" localSheetId="3" hidden="1">#REF!</definedName>
    <definedName name="_17__123Graph_XCHART_3" localSheetId="21" hidden="1">'[9]Edge 10797 Drilling Inventory'!#REF!</definedName>
    <definedName name="_17__123Graph_XCHART_3" hidden="1">'[9]Edge 10797 Drilling Inventory'!#REF!</definedName>
    <definedName name="_17__FDSAUDITLINK__" localSheetId="1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0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1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2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3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9"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6"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7"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3"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1"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9"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6"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7"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3"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1"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9"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6"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7"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3"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1"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9__FDSAUDITLINK__" localSheetId="19"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6"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7"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3"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1"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8__123Graph_XADV_GDPR" localSheetId="3" hidden="1">#REF!</definedName>
    <definedName name="_18__123Graph_XADV_GDPR" hidden="1">[8]ADVOL!$A$23:$A$58</definedName>
    <definedName name="_18__123Graph_XCHART_4" localSheetId="0" hidden="1">'[9]Edge 10797 Drilling Inventory'!#REF!</definedName>
    <definedName name="_18__123Graph_XCHART_4" localSheetId="27" hidden="1">'[9]Edge 10797 Drilling Inventory'!#REF!</definedName>
    <definedName name="_18__123Graph_XCHART_4" localSheetId="19" hidden="1">'[9]Edge 10797 Drilling Inventory'!#REF!</definedName>
    <definedName name="_18__123Graph_XCHART_4" localSheetId="1" hidden="1">'[9]Edge 10797 Drilling Inventory'!#REF!</definedName>
    <definedName name="_18__123Graph_XCHART_4" localSheetId="17" hidden="1">'[9]Edge 10797 Drilling Inventory'!#REF!</definedName>
    <definedName name="_18__123Graph_XCHART_4" localSheetId="7" hidden="1">'[9]Edge 10797 Drilling Inventory'!#REF!</definedName>
    <definedName name="_18__123Graph_XCHART_4" localSheetId="3" hidden="1">#REF!</definedName>
    <definedName name="_18__123Graph_XCHART_4" localSheetId="21" hidden="1">'[9]Edge 10797 Drilling Inventory'!#REF!</definedName>
    <definedName name="_18__123Graph_XCHART_4" hidden="1">'[9]Edge 10797 Drilling Inventory'!#REF!</definedName>
    <definedName name="_18__FDSAUDITLINK__" localSheetId="19"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6"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7"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3"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1"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0__FDSAUDITLINK__" localSheetId="19"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6"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7"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3"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1"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9"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6"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7"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3"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1"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4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5__FDSAUDITLINK__" localSheetId="19"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6"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7"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3"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1"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6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9__FDSAUDITLINK__" localSheetId="1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9__123Graph_XADV_PCE" localSheetId="3" hidden="1">#REF!</definedName>
    <definedName name="_19__123Graph_XADV_PCE" hidden="1">[8]ADVOL!$A$22:$A$54</definedName>
    <definedName name="_1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0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1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2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4__FDSAUDITLINK__" localSheetId="1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5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6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8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9__FDSAUDITLINK__" localSheetId="19"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6"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7"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3"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1"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2__123Graph_AADV_GDPR" localSheetId="3" hidden="1">#REF!</definedName>
    <definedName name="_2__123Graph_AADV_GDPR" hidden="1">[8]ADVOL!$C$97:$C$131</definedName>
    <definedName name="_2__123Graph_ACHART_2" localSheetId="0" hidden="1">'[9]Edge 10797 Drilling Inventory'!#REF!</definedName>
    <definedName name="_2__123Graph_ACHART_2" localSheetId="27" hidden="1">'[9]Edge 10797 Drilling Inventory'!#REF!</definedName>
    <definedName name="_2__123Graph_ACHART_2" localSheetId="19" hidden="1">'[9]Edge 10797 Drilling Inventory'!#REF!</definedName>
    <definedName name="_2__123Graph_ACHART_2" localSheetId="1" hidden="1">'[9]Edge 10797 Drilling Inventory'!#REF!</definedName>
    <definedName name="_2__123Graph_ACHART_2" localSheetId="17" hidden="1">'[9]Edge 10797 Drilling Inventory'!#REF!</definedName>
    <definedName name="_2__123Graph_ACHART_2" localSheetId="7" hidden="1">'[9]Edge 10797 Drilling Inventory'!#REF!</definedName>
    <definedName name="_2__123Graph_ACHART_2" localSheetId="3" hidden="1">#REF!</definedName>
    <definedName name="_2__123Graph_ACHART_2" localSheetId="21" hidden="1">'[9]Edge 10797 Drilling Inventory'!#REF!</definedName>
    <definedName name="_2__123Graph_ACHART_2" hidden="1">'[9]Edge 10797 Drilling Inventory'!#REF!</definedName>
    <definedName name="_2__FDSAUDITLINK__" localSheetId="19"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6"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7"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3"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1"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0__123Graph_XADV_PCGD" localSheetId="3" hidden="1">#REF!</definedName>
    <definedName name="_20__123Graph_XADV_PCGD" hidden="1">[8]ADVOL!$A$22:$A$54</definedName>
    <definedName name="_20__FDSAUDITLINK__" localSheetId="1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0__FDSAUDITLINK__" localSheetId="19"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6"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7"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3"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1"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9"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6"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7"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3"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1"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2__FDSAUDITLINK__" localSheetId="19"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6"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7"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3"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1"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9"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6"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7"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3"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1"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4__FDSAUDITLINK__" localSheetId="19"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6"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7"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3"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1"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9"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6"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7"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3"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1"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9"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6"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7"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3"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1"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9"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6"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7"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3"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1"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9"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6"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7"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3"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1"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9"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6"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7"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3"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1"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1__123Graph_XMAG_PCE" localSheetId="3" hidden="1">#REF!</definedName>
    <definedName name="_21__123Graph_XMAG_PCE" hidden="1">[8]ADVOL!$A$23:$A$56</definedName>
    <definedName name="_21__FDSAUDITLINK__" localSheetId="1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0__FDSAUDITLINK__" localSheetId="19"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6"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7"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3"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1"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1__FDSAUDITLINK__" localSheetId="1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2__FDSAUDITLINK__" localSheetId="1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5__FDSAUDITLINK__" localSheetId="1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6__FDSAUDITLINK__" localSheetId="1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7__FDSAUDITLINK__" localSheetId="1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2__123Graph_XNRET_PCE" localSheetId="3" hidden="1">#REF!</definedName>
    <definedName name="_22__123Graph_XNRET_PCE" hidden="1">[8]ADVOL!$A$23:$A$58</definedName>
    <definedName name="_22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0__FDSAUDITLINK__" localSheetId="1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9"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6"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7"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3"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1"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2__FDSAUDITLINK__" localSheetId="1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9"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6"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7"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3"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1"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9"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6"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7"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3"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1"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5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6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8__FDSAUDITLINK__" localSheetId="1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3__123Graph_XNRET_RS" localSheetId="3" hidden="1">#REF!</definedName>
    <definedName name="_23__123Graph_XNRET_RS" hidden="1">[8]ADVOL!$A$30:$A$58</definedName>
    <definedName name="_23__FDSAUDITLINK__" localSheetId="1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9"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6"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7"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3"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1"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9"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6"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7"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3"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1"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9"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6"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7"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3"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1"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3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4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5__FDSAUDITLINK__" localSheetId="1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9"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6"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7"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3"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1"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9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4__123Graph_XNRT_PCE" localSheetId="3" hidden="1">#REF!</definedName>
    <definedName name="_24__123Graph_XNRT_PCE" hidden="1">[8]ADVOL!$A$23:$A$58</definedName>
    <definedName name="_24__FDSAUDITLINK__" localSheetId="1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0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4__FDSAUDITLINK__" localSheetId="19"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6"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7"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3"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1"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5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6__FDSAUDITLINK__" localSheetId="1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9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5__FDSAUDITLINK__" localSheetId="1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0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1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4__FDSAUDITLINK__" localSheetId="1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5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9"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6"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7"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3"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1"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8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9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6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0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9"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6"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7"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3"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1"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9"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6"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7"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3"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1"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9"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6"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7"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3"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1"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5__FDSAUDITLINK__" localSheetId="19"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6"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7"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3"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1"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6__FDSAUDITLINK__" localSheetId="19"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6"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7"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3"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1"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8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9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7__FDSAUDITLINK__" localSheetId="1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0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3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5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6__FDSAUDITLINK__" localSheetId="1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9"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6"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7"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3"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1"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8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0__FDSAUDITLINK__" localSheetId="1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1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2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3__FDSAUDITLINK__" localSheetId="19"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6"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7"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3"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1"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9"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6"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7"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3"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1"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9"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6"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7"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3"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1"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9"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6"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7"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3"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1"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7__FDSAUDITLINK__" localSheetId="19"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6"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7"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3"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1"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8__FDSAUDITLINK__" localSheetId="1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9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9__FDSAUDITLINK__" localSheetId="0"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7"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9"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8"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6"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7"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7"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3"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1"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0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2__FDSAUDITLINK__" localSheetId="19"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6"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7"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3"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1"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5__FDSAUDITLINK__" localSheetId="19"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6"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7"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3"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1"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6__FDSAUDITLINK__" localSheetId="19"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6"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7"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3"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1"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7__FDSAUDITLINK__" localSheetId="19"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6"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7"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3"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1"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9"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6"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7"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3"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1"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9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3__123Graph_AADV_PCE" localSheetId="3" hidden="1">#REF!</definedName>
    <definedName name="_3__123Graph_AADV_PCE" hidden="1">[8]ADVOL!$F$170:$F$202</definedName>
    <definedName name="_3__123Graph_ACHART_3" localSheetId="0" hidden="1">'[9]Edge 10797 Drilling Inventory'!#REF!</definedName>
    <definedName name="_3__123Graph_ACHART_3" localSheetId="27" hidden="1">'[9]Edge 10797 Drilling Inventory'!#REF!</definedName>
    <definedName name="_3__123Graph_ACHART_3" localSheetId="19" hidden="1">'[9]Edge 10797 Drilling Inventory'!#REF!</definedName>
    <definedName name="_3__123Graph_ACHART_3" localSheetId="1" hidden="1">'[9]Edge 10797 Drilling Inventory'!#REF!</definedName>
    <definedName name="_3__123Graph_ACHART_3" localSheetId="17" hidden="1">'[9]Edge 10797 Drilling Inventory'!#REF!</definedName>
    <definedName name="_3__123Graph_ACHART_3" localSheetId="7" hidden="1">'[9]Edge 10797 Drilling Inventory'!#REF!</definedName>
    <definedName name="_3__123Graph_ACHART_3" localSheetId="3" hidden="1">#REF!</definedName>
    <definedName name="_3__123Graph_ACHART_3" localSheetId="21" hidden="1">'[9]Edge 10797 Drilling Inventory'!#REF!</definedName>
    <definedName name="_3__123Graph_ACHART_3" hidden="1">'[9]Edge 10797 Drilling Inventory'!#REF!</definedName>
    <definedName name="_3__123Graph_ALIQUIDS" localSheetId="6" hidden="1">[7]P!$S$78:$AL$78</definedName>
    <definedName name="_3__123Graph_ALIQUIDS" localSheetId="3" hidden="1">#REF!</definedName>
    <definedName name="_3__123Graph_ALIQUIDS" hidden="1">[6]P!$S$78:$AL$78</definedName>
    <definedName name="_3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0__FDSAUDITLINK__" localSheetId="0"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7"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9"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8"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6"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7"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7"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3"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1"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0__FDSAUDITLINK__" localSheetId="1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9"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6"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7"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3"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1"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9"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6"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7"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3"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1"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9"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6"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7"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3"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1"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9"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6"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7"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3"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1"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5__FDSAUDITLINK__" localSheetId="19"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6"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7"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3"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1"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6__FDSAUDITLINK__" localSheetId="19"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6"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7"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3"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1"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7__FDSAUDITLINK__" localSheetId="1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8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9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1__FDSAUDITLINK__" localSheetId="19"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6"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7"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3"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1"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0__FDSAUDITLINK__" localSheetId="19"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6"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7"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3"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1"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2__FDSAUDITLINK__" localSheetId="1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3__FDSAUDITLINK__" localSheetId="1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4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5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7__FDSAUDITLINK__" localSheetId="1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2__FDSAUDITLINK__" localSheetId="19"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6"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7"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3"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1"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0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1__FDSAUDITLINK__" localSheetId="1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2__FDSAUDITLINK__" localSheetId="19"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6"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7"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3"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1"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4__FDSAUDITLINK__" localSheetId="1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5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9"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6"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7"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3"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1"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9"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6"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7"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3"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1"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9"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6"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7"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3"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1"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0__FDSAUDITLINK__" localSheetId="1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1__FDSAUDITLINK__" localSheetId="19"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6"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7"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3"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1"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2__FDSAUDITLINK__" localSheetId="19"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6"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7"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3"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1"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3__FDSAUDITLINK__" localSheetId="19"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6"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7"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3"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1"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4__FDSAUDITLINK__" localSheetId="19"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6"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7"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3"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1"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9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4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0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9"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6"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7"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3"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1"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9"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6"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7"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3"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1"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9"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6"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7"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3"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1"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9"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6"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7"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3"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1"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9"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6"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7"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3"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1"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9"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6"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7"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3"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1"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9__FDSAUDITLINK__" localSheetId="19"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6"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7"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3"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1"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5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0__FDSAUDITLINK__" localSheetId="19"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6"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7"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3"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1"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9"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6"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7"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3"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1"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2__FDSAUDITLINK__" localSheetId="1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3__FDSAUDITLINK__" localSheetId="19"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6"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7"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3"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1"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4__FDSAUDITLINK__" localSheetId="19"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6"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7"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3"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1"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5__FDSAUDITLINK__" localSheetId="19"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6"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7"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3"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1"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0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1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9"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6"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7"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3"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1"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9"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6"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7"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3"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1"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6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7__FDSAUDITLINK__" localSheetId="19"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6"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7"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3"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1"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9"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6"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7"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3"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1"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7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0__FDSAUDITLINK__" localSheetId="19"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6"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7"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3"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1"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1__FDSAUDITLINK__" localSheetId="19"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6"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7"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3"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1"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2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3__FDSAUDITLINK__" localSheetId="1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4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8__FDSAUDITLINK__" localSheetId="1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9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0"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7"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9"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8"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6"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7"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7"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3"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0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1__FDSAUDITLINK__" localSheetId="1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2__FDSAUDITLINK__" localSheetId="19"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6"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7"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3"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1"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3__FDSAUDITLINK__" localSheetId="19"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6"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7"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3"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1"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9"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6"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7"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3"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1"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9"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6"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7"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3"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1"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9"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6"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7"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3"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1"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7__FDSAUDITLINK__" localSheetId="19"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6"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7"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3"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1"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8__FDSAUDITLINK__" localSheetId="19"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6"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7"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3"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1"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9__FDSAUDITLINK__" localSheetId="0"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7"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9"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8"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6"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7"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7"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3"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1"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0__FDSAUDITLINK__" localSheetId="1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9"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6"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7"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3"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1"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9"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6"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7"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3"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1"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4__FDSAUDITLINK__" localSheetId="19"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6"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7"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3"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1"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5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9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4__123Graph_AADV_PCGD" localSheetId="3" hidden="1">#REF!</definedName>
    <definedName name="_4__123Graph_AADV_PCGD" hidden="1">[8]ADVOL!$F$170:$F$202</definedName>
    <definedName name="_4__123Graph_ACHART_4" localSheetId="0" hidden="1">'[9]Edge 10797 Drilling Inventory'!#REF!</definedName>
    <definedName name="_4__123Graph_ACHART_4" localSheetId="27" hidden="1">'[9]Edge 10797 Drilling Inventory'!#REF!</definedName>
    <definedName name="_4__123Graph_ACHART_4" localSheetId="19" hidden="1">'[9]Edge 10797 Drilling Inventory'!#REF!</definedName>
    <definedName name="_4__123Graph_ACHART_4" localSheetId="1" hidden="1">'[9]Edge 10797 Drilling Inventory'!#REF!</definedName>
    <definedName name="_4__123Graph_ACHART_4" localSheetId="17" hidden="1">'[9]Edge 10797 Drilling Inventory'!#REF!</definedName>
    <definedName name="_4__123Graph_ACHART_4" localSheetId="7" hidden="1">'[9]Edge 10797 Drilling Inventory'!#REF!</definedName>
    <definedName name="_4__123Graph_ACHART_4" localSheetId="3" hidden="1">#REF!</definedName>
    <definedName name="_4__123Graph_ACHART_4" localSheetId="21" hidden="1">'[9]Edge 10797 Drilling Inventory'!#REF!</definedName>
    <definedName name="_4__123Graph_ACHART_4" hidden="1">'[9]Edge 10797 Drilling Inventory'!#REF!</definedName>
    <definedName name="_4__123Graph_AR_M_MARG" localSheetId="0" hidden="1">[1]P!#REF!</definedName>
    <definedName name="_4__123Graph_AR_M_MARG" localSheetId="27" hidden="1">[1]P!#REF!</definedName>
    <definedName name="_4__123Graph_AR_M_MARG" localSheetId="19" hidden="1">[1]P!#REF!</definedName>
    <definedName name="_4__123Graph_AR_M_MARG" localSheetId="1" hidden="1">[1]P!#REF!</definedName>
    <definedName name="_4__123Graph_AR_M_MARG" localSheetId="6" hidden="1">[2]P!#REF!</definedName>
    <definedName name="_4__123Graph_AR_M_MARG" localSheetId="17" hidden="1">[1]P!#REF!</definedName>
    <definedName name="_4__123Graph_AR_M_MARG" localSheetId="3" hidden="1">#REF!</definedName>
    <definedName name="_4__123Graph_AR_M_MARG" hidden="1">[1]P!#REF!</definedName>
    <definedName name="_4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__FDSAUDITLINK__" localSheetId="0"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7"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9"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8"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6"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7"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7"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3"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1"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0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1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2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3__FDSAUDITLINK__" localSheetId="1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4__FDSAUDITLINK__" localSheetId="1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9"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6"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7"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3"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1"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8__FDSAUDITLINK__" localSheetId="19"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6"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7"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3"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1"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9__FDSAUDITLINK__" localSheetId="19"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6"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7"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3"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1"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1__FDSAUDITLINK__" localSheetId="0"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7"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9"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8"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6"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7"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7"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3"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0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5__FDSAUDITLINK__" localSheetId="1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2__FDSAUDITLINK__" localSheetId="0"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7"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9"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8"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6"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7"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7"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3"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3__FDSAUDITLINK__" localSheetId="0"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7"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9"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8"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6"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7"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7"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3"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4__FDSAUDITLINK__" localSheetId="0"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7"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9"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8"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6"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7"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7"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3"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5__FDSAUDITLINK__" localSheetId="0"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7"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9"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8"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6"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7"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7"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3"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0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9"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6"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7"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3"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1"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3__FDSAUDITLINK__" localSheetId="19"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6"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7"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3"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1"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4__FDSAUDITLINK__" localSheetId="19"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6"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7"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3"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1"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9"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6"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7"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3"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1"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9"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6"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7"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3"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1"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8__FDSAUDITLINK__" localSheetId="19"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6"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7"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3"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1"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9__FDSAUDITLINK__" localSheetId="19"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6"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7"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3"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1"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6__FDSAUDITLINK__" localSheetId="0"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7"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9"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8"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6"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7"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7"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3"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1"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0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2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5__FDSAUDITLINK__" localSheetId="1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6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9"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6"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7"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3"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1"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7__FDSAUDITLINK__" localSheetId="0"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7"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9"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8"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6"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7"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7"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3"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1"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1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2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3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5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8__FDSAUDITLINK__" localSheetId="0"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7"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9"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8"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6"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7"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7"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3"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1"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0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2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3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5__FDSAUDITLINK__" localSheetId="19"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6"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3"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6__FDSAUDITLINK__" localSheetId="1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8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9__FDSAUDITLINK__" localSheetId="19"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6"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7"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3"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1"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9__FDSAUDITLINK__" localSheetId="0"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7"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9"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8"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6"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7"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7"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3"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1"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0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1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2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5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8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9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__123Graph_AMAG_PCE" localSheetId="3" hidden="1">#REF!</definedName>
    <definedName name="_5__123Graph_AMAG_PCE" hidden="1">[8]ADVOL!$S$23:$S$54</definedName>
    <definedName name="_5__123Graph_BCHART_1" localSheetId="0" hidden="1">'[9]Edge 10797 Drilling Inventory'!#REF!</definedName>
    <definedName name="_5__123Graph_BCHART_1" localSheetId="27" hidden="1">'[9]Edge 10797 Drilling Inventory'!#REF!</definedName>
    <definedName name="_5__123Graph_BCHART_1" localSheetId="19" hidden="1">'[9]Edge 10797 Drilling Inventory'!#REF!</definedName>
    <definedName name="_5__123Graph_BCHART_1" localSheetId="1" hidden="1">'[9]Edge 10797 Drilling Inventory'!#REF!</definedName>
    <definedName name="_5__123Graph_BCHART_1" localSheetId="17" hidden="1">'[9]Edge 10797 Drilling Inventory'!#REF!</definedName>
    <definedName name="_5__123Graph_BCHART_1" localSheetId="7" hidden="1">'[9]Edge 10797 Drilling Inventory'!#REF!</definedName>
    <definedName name="_5__123Graph_BCHART_1" localSheetId="3" hidden="1">#REF!</definedName>
    <definedName name="_5__123Graph_BCHART_1" localSheetId="21" hidden="1">'[9]Edge 10797 Drilling Inventory'!#REF!</definedName>
    <definedName name="_5__123Graph_BCHART_1" hidden="1">'[9]Edge 10797 Drilling Inventory'!#REF!</definedName>
    <definedName name="_5__123Graph_XLIQUIDS" localSheetId="6" hidden="1">[7]P!$R$29:$AK$29</definedName>
    <definedName name="_5__123Graph_XLIQUIDS" localSheetId="3" hidden="1">#REF!</definedName>
    <definedName name="_5__123Graph_XLIQUIDS" hidden="1">[6]P!$R$29:$AK$29</definedName>
    <definedName name="_5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0"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7"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9"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8"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6"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7"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7"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3"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1"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0__FDSAUDITLINK__" localSheetId="1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1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2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7__FDSAUDITLINK__" localSheetId="1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8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9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1__FDSAUDITLINK__" localSheetId="0"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7"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9"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8"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6"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7"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7"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3"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1"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0__FDSAUDITLINK__" localSheetId="1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3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6__FDSAUDITLINK__" localSheetId="1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7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0"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7"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9"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8"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6"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7"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7"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3"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1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5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8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9__FDSAUDITLINK__" localSheetId="19"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6"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7"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3"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1"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3__FDSAUDITLINK__" localSheetId="0"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7"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9"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8"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6"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7"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7"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3"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1"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0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1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4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5__FDSAUDITLINK__" localSheetId="1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8__FDSAUDITLINK__" localSheetId="1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9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4__FDSAUDITLINK__" localSheetId="0"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7"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9"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8"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6"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7"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7"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3"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0__FDSAUDITLINK__" localSheetId="1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3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4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5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7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0"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7"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9"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8"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6"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7"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7"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3"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0__FDSAUDITLINK__" localSheetId="1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1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2__FDSAUDITLINK__" localSheetId="1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5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6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8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9__FDSAUDITLINK__" localSheetId="1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6__FDSAUDITLINK__" localSheetId="0"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7"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9"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8"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6"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7"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7"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3"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1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9"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6"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7"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3"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1"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0"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7"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9"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8"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6"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7"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7"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3"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0__FDSAUDITLINK__" localSheetId="19"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6"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7"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3"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1"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1__FDSAUDITLINK__" localSheetId="19"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6"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7"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3"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1"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3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5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6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8__FDSAUDITLINK__" localSheetId="1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9__FDSAUDITLINK__" localSheetId="19"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6"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7"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3"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1"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8__FDSAUDITLINK__" localSheetId="0"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7"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9"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8"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6"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7"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7"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3"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0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1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2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3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4__FDSAUDITLINK__" localSheetId="19"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6"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7"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3"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1"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9"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6"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7"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3"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1"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9"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6"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7"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3"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1"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9"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6"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7"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3"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1"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8__FDSAUDITLINK__" localSheetId="1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0"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7"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9"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8"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6"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7"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7"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3"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0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2__FDSAUDITLINK__" localSheetId="1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3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4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5__FDSAUDITLINK__" localSheetId="1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6__FDSAUDITLINK__" localSheetId="1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7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9__FDSAUDITLINK__" localSheetId="1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6__123Graph_ANRET_PCE" localSheetId="3" hidden="1">#REF!</definedName>
    <definedName name="_6__123Graph_ANRET_PCE" hidden="1">[8]ADVOL!$AD$23:$AD$57</definedName>
    <definedName name="_6__123Graph_BCHART_2" localSheetId="0" hidden="1">'[9]Edge 10797 Drilling Inventory'!#REF!</definedName>
    <definedName name="_6__123Graph_BCHART_2" localSheetId="27" hidden="1">'[9]Edge 10797 Drilling Inventory'!#REF!</definedName>
    <definedName name="_6__123Graph_BCHART_2" localSheetId="19" hidden="1">'[9]Edge 10797 Drilling Inventory'!#REF!</definedName>
    <definedName name="_6__123Graph_BCHART_2" localSheetId="1" hidden="1">'[9]Edge 10797 Drilling Inventory'!#REF!</definedName>
    <definedName name="_6__123Graph_BCHART_2" localSheetId="17" hidden="1">'[9]Edge 10797 Drilling Inventory'!#REF!</definedName>
    <definedName name="_6__123Graph_BCHART_2" localSheetId="7" hidden="1">'[9]Edge 10797 Drilling Inventory'!#REF!</definedName>
    <definedName name="_6__123Graph_BCHART_2" localSheetId="3" hidden="1">#REF!</definedName>
    <definedName name="_6__123Graph_BCHART_2" localSheetId="21" hidden="1">'[9]Edge 10797 Drilling Inventory'!#REF!</definedName>
    <definedName name="_6__123Graph_BCHART_2" hidden="1">'[9]Edge 10797 Drilling Inventory'!#REF!</definedName>
    <definedName name="_6__123Graph_XR_M_MARG" localSheetId="6" hidden="1">[7]P!$R$29:$AK$29</definedName>
    <definedName name="_6__123Graph_XR_M_MARG" localSheetId="3" hidden="1">#REF!</definedName>
    <definedName name="_6__123Graph_XR_M_MARG" hidden="1">[6]P!$R$29:$AK$29</definedName>
    <definedName name="_6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0"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7"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9"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8"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6"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7"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7"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3"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0__FDSAUDITLINK__" localSheetId="1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1__FDSAUDITLINK__" localSheetId="1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4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5__FDSAUDITLINK__" localSheetId="1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6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1__FDSAUDITLINK__" localSheetId="0"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7"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9"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8"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6"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7"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7"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3"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0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3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4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5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6__FDSAUDITLINK__" localSheetId="1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7__FDSAUDITLINK__" localSheetId="1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2__FDSAUDITLINK__" localSheetId="0"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7"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9"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8"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6"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7"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7"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3"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0__FDSAUDITLINK__" localSheetId="19"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6"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7"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3"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1"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1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6__FDSAUDITLINK__" localSheetId="1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3__FDSAUDITLINK__" localSheetId="0"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7"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9"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8"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6"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7"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7"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3"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4__FDSAUDITLINK__" localSheetId="0"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7"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9"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8"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6"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7"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7"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3"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1"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5__FDSAUDITLINK__" localSheetId="0"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7"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9"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8"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6"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7"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7"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3"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6__FDSAUDITLINK__" localSheetId="0"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7"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9"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8"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6"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7"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7"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3"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1"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7__FDSAUDITLINK__" localSheetId="0"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7"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9"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8"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6"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7"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7"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3"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8__FDSAUDITLINK__" localSheetId="0"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7"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9"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8"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6"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7"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7"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3"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1"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9__FDSAUDITLINK__" localSheetId="0"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7"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9"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8"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6"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7"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7"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3"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1"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7__123Graph_ANRET_RS" localSheetId="3" hidden="1">#REF!</definedName>
    <definedName name="_7__123Graph_ANRET_RS" hidden="1">[8]ADVOL!$AG$30:$AG$56</definedName>
    <definedName name="_7__123Graph_BCHART_3" localSheetId="0" hidden="1">'[9]Edge 10797 Drilling Inventory'!#REF!</definedName>
    <definedName name="_7__123Graph_BCHART_3" localSheetId="27" hidden="1">'[9]Edge 10797 Drilling Inventory'!#REF!</definedName>
    <definedName name="_7__123Graph_BCHART_3" localSheetId="19" hidden="1">'[9]Edge 10797 Drilling Inventory'!#REF!</definedName>
    <definedName name="_7__123Graph_BCHART_3" localSheetId="1" hidden="1">'[9]Edge 10797 Drilling Inventory'!#REF!</definedName>
    <definedName name="_7__123Graph_BCHART_3" localSheetId="17" hidden="1">'[9]Edge 10797 Drilling Inventory'!#REF!</definedName>
    <definedName name="_7__123Graph_BCHART_3" localSheetId="7" hidden="1">'[9]Edge 10797 Drilling Inventory'!#REF!</definedName>
    <definedName name="_7__123Graph_BCHART_3" localSheetId="3" hidden="1">#REF!</definedName>
    <definedName name="_7__123Graph_BCHART_3" localSheetId="21" hidden="1">'[9]Edge 10797 Drilling Inventory'!#REF!</definedName>
    <definedName name="_7__123Graph_BCHART_3" hidden="1">'[9]Edge 10797 Drilling Inventory'!#REF!</definedName>
    <definedName name="_7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0__FDSAUDITLINK__" localSheetId="0"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7"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9"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8"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6"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7"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7"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3"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1"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1__FDSAUDITLINK__" localSheetId="0"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7"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9"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8"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6"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7"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7"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3"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1"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2__FDSAUDITLINK__" localSheetId="0"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7"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9"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8"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6"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7"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7"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3"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1"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3__FDSAUDITLINK__" localSheetId="0"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7"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9"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8"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6"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7"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7"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3"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1"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4__FDSAUDITLINK__" localSheetId="0"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7"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9"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8"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6"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7"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7"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3"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1"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5__FDSAUDITLINK__" localSheetId="0"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7"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9"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8"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6"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7"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7"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3"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1"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6__FDSAUDITLINK__" localSheetId="0"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7"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9"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8"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6"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7"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7"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3"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1"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7__FDSAUDITLINK__" localSheetId="0"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7"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9"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8"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6"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7"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7"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3"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1"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8__FDSAUDITLINK__" localSheetId="0"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7"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9"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8"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6"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7"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7"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3"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1"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9__FDSAUDITLINK__" localSheetId="0"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7"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9"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8"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6"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7"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7"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3"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1"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8__123Graph_ANRT_PCE" localSheetId="3" hidden="1">#REF!</definedName>
    <definedName name="_8__123Graph_ANRT_PCE" hidden="1">[8]ADVOL!$AD$97:$AD$131</definedName>
    <definedName name="_8__123Graph_LBL_ACHART_1" localSheetId="0" hidden="1">'[9]Edge 10797 Drilling Inventory'!#REF!</definedName>
    <definedName name="_8__123Graph_LBL_ACHART_1" localSheetId="27" hidden="1">'[9]Edge 10797 Drilling Inventory'!#REF!</definedName>
    <definedName name="_8__123Graph_LBL_ACHART_1" localSheetId="19" hidden="1">'[9]Edge 10797 Drilling Inventory'!#REF!</definedName>
    <definedName name="_8__123Graph_LBL_ACHART_1" localSheetId="1" hidden="1">'[9]Edge 10797 Drilling Inventory'!#REF!</definedName>
    <definedName name="_8__123Graph_LBL_ACHART_1" localSheetId="17" hidden="1">'[9]Edge 10797 Drilling Inventory'!#REF!</definedName>
    <definedName name="_8__123Graph_LBL_ACHART_1" localSheetId="7" hidden="1">'[9]Edge 10797 Drilling Inventory'!#REF!</definedName>
    <definedName name="_8__123Graph_LBL_ACHART_1" localSheetId="3" hidden="1">#REF!</definedName>
    <definedName name="_8__123Graph_LBL_ACHART_1" localSheetId="21" hidden="1">'[9]Edge 10797 Drilling Inventory'!#REF!</definedName>
    <definedName name="_8__123Graph_LBL_ACHART_1" hidden="1">'[9]Edge 10797 Drilling Inventory'!#REF!</definedName>
    <definedName name="_8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0__FDSAUDITLINK__" localSheetId="0"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7"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9"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8"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6"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7"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7"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3"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1"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1__FDSAUDITLINK__" localSheetId="0"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7"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9"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8"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6"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7"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7"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3"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2__FDSAUDITLINK__" localSheetId="0"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7"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9"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8"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6"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7"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7"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3"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3__FDSAUDITLINK__" localSheetId="0"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7"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9"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8"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6"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7"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7"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3"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4__FDSAUDITLINK__" localSheetId="0"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7"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9"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8"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6"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7"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7"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3"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hidden="1">{"fdsup://Directions/FactSet Auditing Viewer?action=AUDIT_VALUE&amp;DB=129&amp;ID1=00282410&amp;VALUEID=02001&amp;SDATE=201102&amp;PERIODTYPE=QTR_STD&amp;SCFT=3&amp;window=popup_no_bar&amp;width=385&amp;height=120&amp;START_MAXIMIZED=FALSE&amp;creator=factset&amp;display_string=Audit"}</definedName>
    <definedName name="_85__FDSAUDITLINK__" localSheetId="0"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7"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9"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8"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6"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7"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7"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3"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6__FDSAUDITLINK__" localSheetId="0"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7"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9"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8"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6"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7"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7"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3"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hidden="1">{"fdsup://Directions/FactSet Auditing Viewer?action=AUDIT_VALUE&amp;DB=129&amp;ID1=11012210&amp;VALUEID=02001&amp;SDATE=201102&amp;PERIODTYPE=QTR_STD&amp;SCFT=3&amp;window=popup_no_bar&amp;width=385&amp;height=120&amp;START_MAXIMIZED=FALSE&amp;creator=factset&amp;display_string=Audit"}</definedName>
    <definedName name="_87__FDSAUDITLINK__" localSheetId="0"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7"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9"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8"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6"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7"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7"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3"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8__FDSAUDITLINK__" localSheetId="0"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7"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9"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8"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6"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7"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7"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3"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hidden="1">{"fdsup://Directions/FactSet Auditing Viewer?action=AUDIT_VALUE&amp;DB=129&amp;ID1=47816010&amp;VALUEID=02001&amp;SDATE=201102&amp;PERIODTYPE=QTR_STD&amp;SCFT=3&amp;window=popup_no_bar&amp;width=385&amp;height=120&amp;START_MAXIMIZED=FALSE&amp;creator=factset&amp;display_string=Audit"}</definedName>
    <definedName name="_89__FDSAUDITLINK__" localSheetId="0"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7"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9"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8"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6"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7"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7"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3"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9__123Graph_BADV_GDP" localSheetId="3" hidden="1">#REF!</definedName>
    <definedName name="_9__123Graph_BADV_GDP" hidden="1">[8]ADVOL!$F$97:$F$128</definedName>
    <definedName name="_9__123Graph_LBL_ACHART_2" localSheetId="0" hidden="1">'[9]Edge 10797 Drilling Inventory'!#REF!</definedName>
    <definedName name="_9__123Graph_LBL_ACHART_2" localSheetId="27" hidden="1">'[9]Edge 10797 Drilling Inventory'!#REF!</definedName>
    <definedName name="_9__123Graph_LBL_ACHART_2" localSheetId="19" hidden="1">'[9]Edge 10797 Drilling Inventory'!#REF!</definedName>
    <definedName name="_9__123Graph_LBL_ACHART_2" localSheetId="1" hidden="1">'[9]Edge 10797 Drilling Inventory'!#REF!</definedName>
    <definedName name="_9__123Graph_LBL_ACHART_2" localSheetId="17" hidden="1">'[9]Edge 10797 Drilling Inventory'!#REF!</definedName>
    <definedName name="_9__123Graph_LBL_ACHART_2" localSheetId="7" hidden="1">'[9]Edge 10797 Drilling Inventory'!#REF!</definedName>
    <definedName name="_9__123Graph_LBL_ACHART_2" localSheetId="3" hidden="1">#REF!</definedName>
    <definedName name="_9__123Graph_LBL_ACHART_2" localSheetId="21" hidden="1">'[9]Edge 10797 Drilling Inventory'!#REF!</definedName>
    <definedName name="_9__123Graph_LBL_ACHART_2" hidden="1">'[9]Edge 10797 Drilling Inventory'!#REF!</definedName>
    <definedName name="_9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0__FDSAUDITLINK__" localSheetId="0"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7"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9"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8"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6"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7"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7"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3"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1"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hidden="1">{"fdsup://Directions/FactSet Auditing Viewer?action=AUDIT_VALUE&amp;DB=129&amp;ID1=53245710&amp;VALUEID=02001&amp;SDATE=201102&amp;PERIODTYPE=QTR_STD&amp;SCFT=3&amp;window=popup_no_bar&amp;width=385&amp;height=120&amp;START_MAXIMIZED=FALSE&amp;creator=factset&amp;display_string=Audit"}</definedName>
    <definedName name="_91__FDSAUDITLINK__" localSheetId="0"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7"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9"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8"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6"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7"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7"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3"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1"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2__FDSAUDITLINK__" localSheetId="0"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7"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9"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8"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6"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7"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7"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3"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1"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hidden="1">{"fdsup://Directions/FactSet Auditing Viewer?action=AUDIT_VALUE&amp;DB=129&amp;ID1=58933Y10&amp;VALUEID=02001&amp;SDATE=201102&amp;PERIODTYPE=QTR_STD&amp;SCFT=3&amp;window=popup_no_bar&amp;width=385&amp;height=120&amp;START_MAXIMIZED=FALSE&amp;creator=factset&amp;display_string=Audit"}</definedName>
    <definedName name="_93__FDSAUDITLINK__" localSheetId="0"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7"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9"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8"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6"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7"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7"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3"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1"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4__FDSAUDITLINK__" localSheetId="0"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7"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9"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8"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6"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7"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7"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3"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hidden="1">{"fdsup://Directions/FactSet Auditing Viewer?action=AUDIT_VALUE&amp;DB=129&amp;ID1=71708110&amp;VALUEID=02001&amp;SDATE=201102&amp;PERIODTYPE=QTR_STD&amp;SCFT=3&amp;window=popup_no_bar&amp;width=385&amp;height=120&amp;START_MAXIMIZED=FALSE&amp;creator=factset&amp;display_string=Audit"}</definedName>
    <definedName name="_95__FDSAUDITLINK__" localSheetId="0"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7"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9"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8"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6"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7"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7"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3"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6__FDSAUDITLINK__" localSheetId="0"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7"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9"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8"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6"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7"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7"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3"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7__FDSAUDITLINK__" localSheetId="0"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7"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9"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8"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6"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7"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7"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3"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8__FDSAUDITLINK__" localSheetId="0"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7"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9"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8"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6"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7"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7"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3"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9__FDSAUDITLINK__" localSheetId="0"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7"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9"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8"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6"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7"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7"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3"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hidden="1">{"fdsup://Directions/FactSet Auditing Viewer?action=AUDIT_VALUE&amp;DB=129&amp;ID1=01535110&amp;VALUEID=02001&amp;SDATE=201102&amp;PERIODTYPE=QTR_STD&amp;SCFT=3&amp;window=popup_no_bar&amp;width=385&amp;height=120&amp;START_MAXIMIZED=FALSE&amp;creator=factset&amp;display_string=Audit"}</definedName>
    <definedName name="_bdm.02E29E7B1053433EA3CCCBE4E5141596.edm" localSheetId="6" hidden="1">[10]Sheet1!$1:$1048576</definedName>
    <definedName name="_bdm.02E29E7B1053433EA3CCCBE4E5141596.edm" localSheetId="3" hidden="1">#REF!</definedName>
    <definedName name="_bdm.02E29E7B1053433EA3CCCBE4E5141596.edm" hidden="1">[11]Sheet1!$1:$1048576</definedName>
    <definedName name="_bdm.0465D0F8BD2C4E888AB9C11EA0CBE52C.edm" localSheetId="6" hidden="1">'[12]rev change analysis'!$1:$1048576</definedName>
    <definedName name="_bdm.0465D0F8BD2C4E888AB9C11EA0CBE52C.edm" localSheetId="3" hidden="1">#REF!</definedName>
    <definedName name="_bdm.0465D0F8BD2C4E888AB9C11EA0CBE52C.edm" hidden="1">'[13]rev change analysis'!$1:$1048576</definedName>
    <definedName name="_bdm.05014202F2F74FEBA82C7ECB9BD89D08.edm" localSheetId="6" hidden="1">'[14]Ace-Out'!$1:$1048576</definedName>
    <definedName name="_bdm.05014202F2F74FEBA82C7ECB9BD89D08.edm" localSheetId="3" hidden="1">#REF!</definedName>
    <definedName name="_bdm.05014202F2F74FEBA82C7ECB9BD89D08.edm" hidden="1">'[15]Ace-Out'!$1:$1048576</definedName>
    <definedName name="_bdm.07B5818A383F4DC2A6BFA30C130CBB78.edm" localSheetId="6" hidden="1">'[14]AFFILIATES (2)'!$1:$1048576</definedName>
    <definedName name="_bdm.07B5818A383F4DC2A6BFA30C130CBB78.edm" localSheetId="3" hidden="1">#REF!</definedName>
    <definedName name="_bdm.07B5818A383F4DC2A6BFA30C130CBB78.edm" hidden="1">'[15]AFFILIATES (2)'!$1:$1048576</definedName>
    <definedName name="_bdm.0B341BE4D8094DE588E2D5F8CE090BA0.edm" localSheetId="19" hidden="1">#REF!</definedName>
    <definedName name="_bdm.0B341BE4D8094DE588E2D5F8CE090BA0.edm" localSheetId="6" hidden="1">#REF!</definedName>
    <definedName name="_bdm.0B341BE4D8094DE588E2D5F8CE090BA0.edm" localSheetId="7" hidden="1">#REF!</definedName>
    <definedName name="_bdm.0B341BE4D8094DE588E2D5F8CE090BA0.edm" localSheetId="3" hidden="1">#REF!</definedName>
    <definedName name="_bdm.0B341BE4D8094DE588E2D5F8CE090BA0.edm" localSheetId="21" hidden="1">#REF!</definedName>
    <definedName name="_bdm.0B341BE4D8094DE588E2D5F8CE090BA0.edm" hidden="1">#REF!</definedName>
    <definedName name="_bdm.14D1A22932234486A69AAF8B879B86C4.edm" localSheetId="6" hidden="1">'[16]Ace-Out'!$1:$1048576</definedName>
    <definedName name="_bdm.14D1A22932234486A69AAF8B879B86C4.edm" localSheetId="3" hidden="1">#REF!</definedName>
    <definedName name="_bdm.14D1A22932234486A69AAF8B879B86C4.edm" hidden="1">'[17]Ace-Out'!$1:$1048576</definedName>
    <definedName name="_bdm.1BB247BF873F4738A7B222A36B9E0B0F.edm" localSheetId="6" hidden="1">[12]DCF!$1:$1048576</definedName>
    <definedName name="_bdm.1BB247BF873F4738A7B222A36B9E0B0F.edm" localSheetId="3" hidden="1">#REF!</definedName>
    <definedName name="_bdm.1BB247BF873F4738A7B222A36B9E0B0F.edm" hidden="1">[13]DCF!$1:$1048576</definedName>
    <definedName name="_bdm.2DD2C96D34A94119897BA9F9064DA371.edm" localSheetId="6" hidden="1">'[18]rev change analysis'!$1:$1048576</definedName>
    <definedName name="_bdm.2DD2C96D34A94119897BA9F9064DA371.edm" localSheetId="3" hidden="1">#REF!</definedName>
    <definedName name="_bdm.2DD2C96D34A94119897BA9F9064DA371.edm" hidden="1">'[19]rev change analysis'!$1:$1048576</definedName>
    <definedName name="_bdm.312C5E895E1543D19C7EFF6DFE3C9678.edm" localSheetId="6" hidden="1">[20]Performance!$1:$1048576</definedName>
    <definedName name="_bdm.312C5E895E1543D19C7EFF6DFE3C9678.edm" localSheetId="3" hidden="1">#REF!</definedName>
    <definedName name="_bdm.312C5E895E1543D19C7EFF6DFE3C9678.edm" hidden="1">[21]Performance!$1:$1048576</definedName>
    <definedName name="_bdm.31B38A4456914D13B036C519BB497D92.edm" localSheetId="6" hidden="1">'[22]rev change analysis'!$1:$1048576</definedName>
    <definedName name="_bdm.31B38A4456914D13B036C519BB497D92.edm" localSheetId="3" hidden="1">#REF!</definedName>
    <definedName name="_bdm.31B38A4456914D13B036C519BB497D92.edm" hidden="1">'[23]rev change analysis'!$1:$1048576</definedName>
    <definedName name="_bdm.32D7B9D24AF64DA9AE0D64C1FEF4C1CC.edm" localSheetId="19" hidden="1">#REF!</definedName>
    <definedName name="_bdm.32D7B9D24AF64DA9AE0D64C1FEF4C1CC.edm" localSheetId="6" hidden="1">#REF!</definedName>
    <definedName name="_bdm.32D7B9D24AF64DA9AE0D64C1FEF4C1CC.edm" localSheetId="7" hidden="1">#REF!</definedName>
    <definedName name="_bdm.32D7B9D24AF64DA9AE0D64C1FEF4C1CC.edm" localSheetId="3" hidden="1">#REF!</definedName>
    <definedName name="_bdm.32D7B9D24AF64DA9AE0D64C1FEF4C1CC.edm" localSheetId="21" hidden="1">#REF!</definedName>
    <definedName name="_bdm.32D7B9D24AF64DA9AE0D64C1FEF4C1CC.edm" hidden="1">#REF!</definedName>
    <definedName name="_bdm.384BFCED33ED4B149016C877E23F998D.edm" localSheetId="6" hidden="1">'[22]short IS'!$1:$1048576</definedName>
    <definedName name="_bdm.384BFCED33ED4B149016C877E23F998D.edm" localSheetId="3" hidden="1">#REF!</definedName>
    <definedName name="_bdm.384BFCED33ED4B149016C877E23F998D.edm" hidden="1">'[23]short IS'!$1:$1048576</definedName>
    <definedName name="_bdm.42F67CCC3C1C45638B5EC98256E90947.edm" localSheetId="6" hidden="1">'[24]Good 12-00 (2)'!$1:$1048576</definedName>
    <definedName name="_bdm.42F67CCC3C1C45638B5EC98256E90947.edm" localSheetId="3" hidden="1">#REF!</definedName>
    <definedName name="_bdm.42F67CCC3C1C45638B5EC98256E90947.edm" hidden="1">'[25]Good 12-00 (2)'!$1:$1048576</definedName>
    <definedName name="_bdm.46D56600DB7840728F138544F8E425DB.edm" localSheetId="6" hidden="1">'[24]Good 11-36'!$1:$1048576</definedName>
    <definedName name="_bdm.46D56600DB7840728F138544F8E425DB.edm" localSheetId="3" hidden="1">#REF!</definedName>
    <definedName name="_bdm.46D56600DB7840728F138544F8E425DB.edm" hidden="1">'[25]Good 11-36'!$1:$1048576</definedName>
    <definedName name="_bdm.47A9582B933E4E72A394E87C9154471A.edm" localSheetId="6" hidden="1">'[20]PE FY1'!$1:$1048576</definedName>
    <definedName name="_bdm.47A9582B933E4E72A394E87C9154471A.edm" localSheetId="3" hidden="1">#REF!</definedName>
    <definedName name="_bdm.47A9582B933E4E72A394E87C9154471A.edm" hidden="1">'[21]PE FY1'!$1:$1048576</definedName>
    <definedName name="_bdm.47EB3A8D6EB649F8A5D7883E75A2EDC8.edm" localSheetId="19" hidden="1">#REF!</definedName>
    <definedName name="_bdm.47EB3A8D6EB649F8A5D7883E75A2EDC8.edm" localSheetId="6" hidden="1">#REF!</definedName>
    <definedName name="_bdm.47EB3A8D6EB649F8A5D7883E75A2EDC8.edm" localSheetId="7" hidden="1">#REF!</definedName>
    <definedName name="_bdm.47EB3A8D6EB649F8A5D7883E75A2EDC8.edm" localSheetId="3" hidden="1">#REF!</definedName>
    <definedName name="_bdm.47EB3A8D6EB649F8A5D7883E75A2EDC8.edm" localSheetId="21" hidden="1">#REF!</definedName>
    <definedName name="_bdm.47EB3A8D6EB649F8A5D7883E75A2EDC8.edm" hidden="1">#REF!</definedName>
    <definedName name="_bdm.4B0C5E9A7A304C39AE91E40CECBE19EC.edm" localSheetId="6" hidden="1">'[26]Vs Global'!$1:$1048576</definedName>
    <definedName name="_bdm.4B0C5E9A7A304C39AE91E40CECBE19EC.edm" localSheetId="3" hidden="1">#REF!</definedName>
    <definedName name="_bdm.4B0C5E9A7A304C39AE91E40CECBE19EC.edm" hidden="1">'[27]Vs Global'!$1:$1048576</definedName>
    <definedName name="_bdm.5DABC0184DB54AB5A1B2CA684F814CAA.edm" localSheetId="19" hidden="1">#REF!</definedName>
    <definedName name="_bdm.5DABC0184DB54AB5A1B2CA684F814CAA.edm" localSheetId="6" hidden="1">#REF!</definedName>
    <definedName name="_bdm.5DABC0184DB54AB5A1B2CA684F814CAA.edm" localSheetId="7" hidden="1">#REF!</definedName>
    <definedName name="_bdm.5DABC0184DB54AB5A1B2CA684F814CAA.edm" localSheetId="3" hidden="1">#REF!</definedName>
    <definedName name="_bdm.5DABC0184DB54AB5A1B2CA684F814CAA.edm" localSheetId="21" hidden="1">#REF!</definedName>
    <definedName name="_bdm.5DABC0184DB54AB5A1B2CA684F814CAA.edm" hidden="1">#REF!</definedName>
    <definedName name="_bdm.60A1016E4A5045B0B4BE42FB21AAF6D6.edm" localSheetId="6" hidden="1">'[24]Good 11-50'!$1:$1048576</definedName>
    <definedName name="_bdm.60A1016E4A5045B0B4BE42FB21AAF6D6.edm" localSheetId="3" hidden="1">#REF!</definedName>
    <definedName name="_bdm.60A1016E4A5045B0B4BE42FB21AAF6D6.edm" hidden="1">'[25]Good 11-50'!$1:$1048576</definedName>
    <definedName name="_bdm.616E44005FE6405981F35900D6DC2E1A.edm" localSheetId="6" hidden="1">'[28]SLC USD'!$1:$1048576</definedName>
    <definedName name="_bdm.616E44005FE6405981F35900D6DC2E1A.edm" localSheetId="3" hidden="1">#REF!</definedName>
    <definedName name="_bdm.616E44005FE6405981F35900D6DC2E1A.edm" hidden="1">'[29]SLC USD'!$1:$1048576</definedName>
    <definedName name="_bdm.72DEA641117C458FB001A8023143E740.edm" localSheetId="6" hidden="1">'[30]pipeline-handout'!$1:$1048576</definedName>
    <definedName name="_bdm.72DEA641117C458FB001A8023143E740.edm" localSheetId="3" hidden="1">#REF!</definedName>
    <definedName name="_bdm.72DEA641117C458FB001A8023143E740.edm" hidden="1">'[31]pipeline-handout'!$1:$1048576</definedName>
    <definedName name="_bdm.7317521E367C4A50896524C70180A68C.edm" localSheetId="6" hidden="1">'[22]2015 rev change'!$1:$1048576</definedName>
    <definedName name="_bdm.7317521E367C4A50896524C70180A68C.edm" localSheetId="3" hidden="1">#REF!</definedName>
    <definedName name="_bdm.7317521E367C4A50896524C70180A68C.edm" hidden="1">'[23]2015 rev change'!$1:$1048576</definedName>
    <definedName name="_bdm.76074D17ADD044A287D271B1AAFC4036.edm" localSheetId="6" hidden="1">'[22]Product Mix 100%'!$1:$1048576</definedName>
    <definedName name="_bdm.76074D17ADD044A287D271B1AAFC4036.edm" localSheetId="3" hidden="1">#REF!</definedName>
    <definedName name="_bdm.76074D17ADD044A287D271B1AAFC4036.edm" hidden="1">'[23]Product Mix 100%'!$1:$1048576</definedName>
    <definedName name="_bdm.77192A69936D48368D0A13E908672759.edm" localSheetId="6" hidden="1">'[22]cost savings'!$1:$1048576</definedName>
    <definedName name="_bdm.77192A69936D48368D0A13E908672759.edm" localSheetId="3" hidden="1">#REF!</definedName>
    <definedName name="_bdm.77192A69936D48368D0A13E908672759.edm" hidden="1">'[23]cost savings'!$1:$1048576</definedName>
    <definedName name="_bdm.7AD0907D10F74471B9EAB1D380B65FFA.edm" localSheetId="19" hidden="1">#REF!</definedName>
    <definedName name="_bdm.7AD0907D10F74471B9EAB1D380B65FFA.edm" localSheetId="6" hidden="1">#REF!</definedName>
    <definedName name="_bdm.7AD0907D10F74471B9EAB1D380B65FFA.edm" localSheetId="7" hidden="1">#REF!</definedName>
    <definedName name="_bdm.7AD0907D10F74471B9EAB1D380B65FFA.edm" localSheetId="3" hidden="1">#REF!</definedName>
    <definedName name="_bdm.7AD0907D10F74471B9EAB1D380B65FFA.edm" localSheetId="21" hidden="1">#REF!</definedName>
    <definedName name="_bdm.7AD0907D10F74471B9EAB1D380B65FFA.edm" hidden="1">#REF!</definedName>
    <definedName name="_bdm.7BD26B3608B542F58E240F2B55D81C5F.edm" localSheetId="6" hidden="1">[20]Results!$1:$1048576</definedName>
    <definedName name="_bdm.7BD26B3608B542F58E240F2B55D81C5F.edm" localSheetId="3" hidden="1">#REF!</definedName>
    <definedName name="_bdm.7BD26B3608B542F58E240F2B55D81C5F.edm" hidden="1">[21]Results!$1:$1048576</definedName>
    <definedName name="_bdm.803A27019B5442DB920C7AA8DB319C37.edm" localSheetId="19" hidden="1">#REF!</definedName>
    <definedName name="_bdm.803A27019B5442DB920C7AA8DB319C37.edm" localSheetId="6" hidden="1">#REF!</definedName>
    <definedName name="_bdm.803A27019B5442DB920C7AA8DB319C37.edm" localSheetId="7" hidden="1">#REF!</definedName>
    <definedName name="_bdm.803A27019B5442DB920C7AA8DB319C37.edm" localSheetId="3" hidden="1">#REF!</definedName>
    <definedName name="_bdm.803A27019B5442DB920C7AA8DB319C37.edm" localSheetId="21" hidden="1">#REF!</definedName>
    <definedName name="_bdm.803A27019B5442DB920C7AA8DB319C37.edm" hidden="1">#REF!</definedName>
    <definedName name="_bdm.84F38A9759994A80A6CF34B5BBEB633C.edm" localSheetId="6" hidden="1">'[32]rev change analysis'!$1:$1048576</definedName>
    <definedName name="_bdm.84F38A9759994A80A6CF34B5BBEB633C.edm" localSheetId="3" hidden="1">#REF!</definedName>
    <definedName name="_bdm.84F38A9759994A80A6CF34B5BBEB633C.edm" hidden="1">'[33]rev change analysis'!$1:$1048576</definedName>
    <definedName name="_bdm.879B950EBBAB4597B88189350706EC93.edm" localSheetId="6" hidden="1">'[34]Ace-Out'!$1:$1048576</definedName>
    <definedName name="_bdm.879B950EBBAB4597B88189350706EC93.edm" localSheetId="3" hidden="1">#REF!</definedName>
    <definedName name="_bdm.879B950EBBAB4597B88189350706EC93.edm" hidden="1">'[35]Ace-Out'!$1:$1048576</definedName>
    <definedName name="_bdm.9301DDFC67D846248C16E96B86458D94.edm" localSheetId="6" hidden="1">'[12]rev contribution analysis'!$1:$1048576</definedName>
    <definedName name="_bdm.9301DDFC67D846248C16E96B86458D94.edm" localSheetId="3" hidden="1">#REF!</definedName>
    <definedName name="_bdm.9301DDFC67D846248C16E96B86458D94.edm" hidden="1">'[13]rev contribution analysis'!$1:$1048576</definedName>
    <definedName name="_bdm.94C3FC3AA30F4A2A98F01CBD81AF3400.edm" localSheetId="19" hidden="1">#REF!</definedName>
    <definedName name="_bdm.94C3FC3AA30F4A2A98F01CBD81AF3400.edm" localSheetId="6" hidden="1">#REF!</definedName>
    <definedName name="_bdm.94C3FC3AA30F4A2A98F01CBD81AF3400.edm" localSheetId="7" hidden="1">#REF!</definedName>
    <definedName name="_bdm.94C3FC3AA30F4A2A98F01CBD81AF3400.edm" localSheetId="3" hidden="1">#REF!</definedName>
    <definedName name="_bdm.94C3FC3AA30F4A2A98F01CBD81AF3400.edm" localSheetId="21" hidden="1">#REF!</definedName>
    <definedName name="_bdm.94C3FC3AA30F4A2A98F01CBD81AF3400.edm" hidden="1">#REF!</definedName>
    <definedName name="_bdm.9B45399882F64A698DD1C1BDB9A04C25.edm" localSheetId="6" hidden="1">[26]Peers!$1:$1048576</definedName>
    <definedName name="_bdm.9B45399882F64A698DD1C1BDB9A04C25.edm" localSheetId="3" hidden="1">#REF!</definedName>
    <definedName name="_bdm.9B45399882F64A698DD1C1BDB9A04C25.edm" hidden="1">[27]Peers!$1:$1048576</definedName>
    <definedName name="_bdm.A02D80F893DD4C7DA6D997E701C867FB.edm" localSheetId="6" hidden="1">[16]Results!$1:$1048576</definedName>
    <definedName name="_bdm.A02D80F893DD4C7DA6D997E701C867FB.edm" localSheetId="3" hidden="1">#REF!</definedName>
    <definedName name="_bdm.A02D80F893DD4C7DA6D997E701C867FB.edm" hidden="1">[17]Results!$1:$1048576</definedName>
    <definedName name="_bdm.ABF68B911D8942438A2B464C7A4E0C3F.edm" localSheetId="6" hidden="1">'[28]AGRO BRL'!$1:$1048576</definedName>
    <definedName name="_bdm.ABF68B911D8942438A2B464C7A4E0C3F.edm" localSheetId="3" hidden="1">#REF!</definedName>
    <definedName name="_bdm.ABF68B911D8942438A2B464C7A4E0C3F.edm" hidden="1">'[29]AGRO BRL'!$1:$1048576</definedName>
    <definedName name="_bdm.B7CC83D9B1D34661812434787CF5F95D.edm" localSheetId="6" hidden="1">'[36]Ace-Out'!$1:$1048576</definedName>
    <definedName name="_bdm.B7CC83D9B1D34661812434787CF5F95D.edm" localSheetId="3" hidden="1">#REF!</definedName>
    <definedName name="_bdm.B7CC83D9B1D34661812434787CF5F95D.edm" hidden="1">'[37]Ace-Out'!$1:$1048576</definedName>
    <definedName name="_bdm.BC24D84D167F490CB707C13DAD482FB0.edm" localSheetId="19" hidden="1">#REF!</definedName>
    <definedName name="_bdm.BC24D84D167F490CB707C13DAD482FB0.edm" localSheetId="6" hidden="1">#REF!</definedName>
    <definedName name="_bdm.BC24D84D167F490CB707C13DAD482FB0.edm" localSheetId="7" hidden="1">#REF!</definedName>
    <definedName name="_bdm.BC24D84D167F490CB707C13DAD482FB0.edm" localSheetId="3" hidden="1">#REF!</definedName>
    <definedName name="_bdm.BC24D84D167F490CB707C13DAD482FB0.edm" localSheetId="21" hidden="1">#REF!</definedName>
    <definedName name="_bdm.BC24D84D167F490CB707C13DAD482FB0.edm" hidden="1">#REF!</definedName>
    <definedName name="_bdm.BE7E13023C594ED083AA3198647FF8FD.edm" localSheetId="19" hidden="1">#REF!</definedName>
    <definedName name="_bdm.BE7E13023C594ED083AA3198647FF8FD.edm" localSheetId="6" hidden="1">#REF!</definedName>
    <definedName name="_bdm.BE7E13023C594ED083AA3198647FF8FD.edm" localSheetId="7" hidden="1">#REF!</definedName>
    <definedName name="_bdm.BE7E13023C594ED083AA3198647FF8FD.edm" localSheetId="3" hidden="1">#REF!</definedName>
    <definedName name="_bdm.BE7E13023C594ED083AA3198647FF8FD.edm" localSheetId="21" hidden="1">#REF!</definedName>
    <definedName name="_bdm.BE7E13023C594ED083AA3198647FF8FD.edm" hidden="1">#REF!</definedName>
    <definedName name="_bdm.C7C6FBA36F39444B8BCEC128D5B7F931.edm" localSheetId="6" hidden="1">'[24]Sheet3 (5)'!$1:$1048576</definedName>
    <definedName name="_bdm.C7C6FBA36F39444B8BCEC128D5B7F931.edm" localSheetId="3" hidden="1">#REF!</definedName>
    <definedName name="_bdm.C7C6FBA36F39444B8BCEC128D5B7F931.edm" hidden="1">'[25]Sheet3 (5)'!$1:$1048576</definedName>
    <definedName name="_bdm.D8226746037A4B218F06698B6B570FD4.edm" localSheetId="6" hidden="1">'[38]Risk-Reward_View_Chart'!$1:$1048576</definedName>
    <definedName name="_bdm.D8226746037A4B218F06698B6B570FD4.edm" localSheetId="3" hidden="1">#REF!</definedName>
    <definedName name="_bdm.D8226746037A4B218F06698B6B570FD4.edm" hidden="1">'[39]Risk-Reward_View_Chart'!$1:$1048576</definedName>
    <definedName name="_bdm.E2B991B7B5454C4CBE252B2B73D6513B.edm" localSheetId="6" hidden="1">[40]margins!$1:$1048576</definedName>
    <definedName name="_bdm.E2B991B7B5454C4CBE252B2B73D6513B.edm" localSheetId="3" hidden="1">#REF!</definedName>
    <definedName name="_bdm.E2B991B7B5454C4CBE252B2B73D6513B.edm" hidden="1">[41]margins!$1:$1048576</definedName>
    <definedName name="_bdm.E8E1D9C16424403FB6536CF6D099CF86.edm" localSheetId="6" hidden="1">[26]Performance!$1:$1048576</definedName>
    <definedName name="_bdm.E8E1D9C16424403FB6536CF6D099CF86.edm" localSheetId="3" hidden="1">#REF!</definedName>
    <definedName name="_bdm.E8E1D9C16424403FB6536CF6D099CF86.edm" hidden="1">[27]Performance!$1:$1048576</definedName>
    <definedName name="_bdm.F0D73515AC3D4919BC3602806970DE2D.edm" localSheetId="6" hidden="1">'[22]Per Pharma Traditional &amp; Biolog'!$1:$1048576</definedName>
    <definedName name="_bdm.F0D73515AC3D4919BC3602806970DE2D.edm" localSheetId="3" hidden="1">#REF!</definedName>
    <definedName name="_bdm.F0D73515AC3D4919BC3602806970DE2D.edm" hidden="1">'[23]Per Pharma Traditional &amp; Biolog'!$1:$1048576</definedName>
    <definedName name="_bdm.F503F160FFA641EDB1AD757205401861.edm" localSheetId="6" hidden="1">'[40]rev change analysis'!$1:$1048576</definedName>
    <definedName name="_bdm.F503F160FFA641EDB1AD757205401861.edm" localSheetId="3" hidden="1">#REF!</definedName>
    <definedName name="_bdm.F503F160FFA641EDB1AD757205401861.edm" hidden="1">'[41]rev change analysis'!$1:$1048576</definedName>
    <definedName name="_bdm.FA5426C63BEA4CFAA7E2E8F12419DEE9.edm" localSheetId="19" hidden="1">#REF!</definedName>
    <definedName name="_bdm.FA5426C63BEA4CFAA7E2E8F12419DEE9.edm" localSheetId="6" hidden="1">#REF!</definedName>
    <definedName name="_bdm.FA5426C63BEA4CFAA7E2E8F12419DEE9.edm" localSheetId="7" hidden="1">#REF!</definedName>
    <definedName name="_bdm.FA5426C63BEA4CFAA7E2E8F12419DEE9.edm" localSheetId="3" hidden="1">#REF!</definedName>
    <definedName name="_bdm.FA5426C63BEA4CFAA7E2E8F12419DEE9.edm" localSheetId="21" hidden="1">#REF!</definedName>
    <definedName name="_bdm.FA5426C63BEA4CFAA7E2E8F12419DEE9.edm" hidden="1">#REF!</definedName>
    <definedName name="_Fill" localSheetId="0" hidden="1">'[42]US&amp;EuroEarnings'!#REF!</definedName>
    <definedName name="_Fill" localSheetId="27" hidden="1">'[42]US&amp;EuroEarnings'!#REF!</definedName>
    <definedName name="_Fill" localSheetId="19" hidden="1">'[42]US&amp;EuroEarnings'!#REF!</definedName>
    <definedName name="_Fill" localSheetId="1" hidden="1">'[42]US&amp;EuroEarnings'!#REF!</definedName>
    <definedName name="_Fill" localSheetId="17" hidden="1">'[42]US&amp;EuroEarnings'!#REF!</definedName>
    <definedName name="_Fill" localSheetId="7" hidden="1">'[42]US&amp;EuroEarnings'!#REF!</definedName>
    <definedName name="_Fill" localSheetId="3" hidden="1">#REF!</definedName>
    <definedName name="_Fill" localSheetId="21" hidden="1">#REF!</definedName>
    <definedName name="_Fill" hidden="1">'[42]US&amp;EuroEarnings'!#REF!</definedName>
    <definedName name="_xlnm._FilterDatabase" localSheetId="38" hidden="1">'AM (Factset Multiple)'!$A$1:$J$51</definedName>
    <definedName name="_xlnm._FilterDatabase" localSheetId="6" hidden="1">'Historicals (Peers- A) '!$E$7:$V$7</definedName>
    <definedName name="_xlnm._FilterDatabase" localSheetId="11" hidden="1">'TSR decomposition'!$D$26:$E$27</definedName>
    <definedName name="_xlnm._FilterDatabase" localSheetId="9" hidden="1">'TSR List'!$C$34:$E$35</definedName>
    <definedName name="_Key1" localSheetId="0" hidden="1">'[9]Edge 10797 Drilling Inventory'!#REF!</definedName>
    <definedName name="_Key1" localSheetId="27" hidden="1">'[9]Edge 10797 Drilling Inventory'!#REF!</definedName>
    <definedName name="_Key1" localSheetId="19" hidden="1">'[9]Edge 10797 Drilling Inventory'!#REF!</definedName>
    <definedName name="_Key1" localSheetId="1" hidden="1">'[9]Edge 10797 Drilling Inventory'!#REF!</definedName>
    <definedName name="_Key1" localSheetId="17" hidden="1">'[9]Edge 10797 Drilling Inventory'!#REF!</definedName>
    <definedName name="_Key1" localSheetId="7" hidden="1">'[9]Edge 10797 Drilling Inventory'!#REF!</definedName>
    <definedName name="_Key1" localSheetId="3" hidden="1">#REF!</definedName>
    <definedName name="_Key1" localSheetId="21" hidden="1">#REF!</definedName>
    <definedName name="_Key1" hidden="1">'[9]Edge 10797 Drilling Inventory'!#REF!</definedName>
    <definedName name="_Order1" localSheetId="19" hidden="1">255</definedName>
    <definedName name="_Order1" localSheetId="7" hidden="1">255</definedName>
    <definedName name="_Order1" localSheetId="3" hidden="1">0</definedName>
    <definedName name="_Order1" localSheetId="21" hidden="1">0</definedName>
    <definedName name="_Order1" hidden="1">255</definedName>
    <definedName name="_Order2" hidden="1">255</definedName>
    <definedName name="_Regression_Int" hidden="1">1</definedName>
    <definedName name="_Regression_Out" localSheetId="19" hidden="1">#REF!</definedName>
    <definedName name="_Regression_Out" localSheetId="6" hidden="1">#REF!</definedName>
    <definedName name="_Regression_Out" localSheetId="7" hidden="1">#REF!</definedName>
    <definedName name="_Regression_Out" localSheetId="3" hidden="1">#REF!</definedName>
    <definedName name="_Regression_Out" localSheetId="21" hidden="1">#REF!</definedName>
    <definedName name="_Regression_Out" hidden="1">#REF!</definedName>
    <definedName name="_Regression_X" localSheetId="19" hidden="1">#REF!</definedName>
    <definedName name="_Regression_X" localSheetId="6" hidden="1">#REF!</definedName>
    <definedName name="_Regression_X" localSheetId="7" hidden="1">#REF!</definedName>
    <definedName name="_Regression_X" localSheetId="3" hidden="1">#REF!</definedName>
    <definedName name="_Regression_X" localSheetId="21" hidden="1">#REF!</definedName>
    <definedName name="_Regression_X" hidden="1">#REF!</definedName>
    <definedName name="_Regression_Y" localSheetId="19" hidden="1">#REF!</definedName>
    <definedName name="_Regression_Y" localSheetId="6" hidden="1">#REF!</definedName>
    <definedName name="_Regression_Y" localSheetId="7" hidden="1">#REF!</definedName>
    <definedName name="_Regression_Y" localSheetId="3" hidden="1">#REF!</definedName>
    <definedName name="_Regression_Y" localSheetId="21" hidden="1">#REF!</definedName>
    <definedName name="_Regression_Y" hidden="1">#REF!</definedName>
    <definedName name="_Sort" localSheetId="0" hidden="1">'[9]Edge 10797 Drilling Inventory'!#REF!</definedName>
    <definedName name="_Sort" localSheetId="27" hidden="1">'[9]Edge 10797 Drilling Inventory'!#REF!</definedName>
    <definedName name="_Sort" localSheetId="19" hidden="1">'[9]Edge 10797 Drilling Inventory'!#REF!</definedName>
    <definedName name="_Sort" localSheetId="1" hidden="1">'[9]Edge 10797 Drilling Inventory'!#REF!</definedName>
    <definedName name="_Sort" localSheetId="17" hidden="1">'[9]Edge 10797 Drilling Inventory'!#REF!</definedName>
    <definedName name="_Sort" localSheetId="7" hidden="1">'[9]Edge 10797 Drilling Inventory'!#REF!</definedName>
    <definedName name="_Sort" localSheetId="3" hidden="1">#REF!</definedName>
    <definedName name="_Sort" localSheetId="21" hidden="1">#REF!</definedName>
    <definedName name="_Sort" hidden="1">'[9]Edge 10797 Drilling Inventory'!#REF!</definedName>
    <definedName name="_Table1_In1" localSheetId="0" hidden="1">'[9]#REF'!#REF!</definedName>
    <definedName name="_Table1_In1" localSheetId="27" hidden="1">'[9]#REF'!#REF!</definedName>
    <definedName name="_Table1_In1" localSheetId="19" hidden="1">'[9]#REF'!#REF!</definedName>
    <definedName name="_Table1_In1" localSheetId="1" hidden="1">'[9]#REF'!#REF!</definedName>
    <definedName name="_Table1_In1" localSheetId="17" hidden="1">'[9]#REF'!#REF!</definedName>
    <definedName name="_Table1_In1" localSheetId="7" hidden="1">'[9]#REF'!#REF!</definedName>
    <definedName name="_Table1_In1" localSheetId="3" hidden="1">#REF!</definedName>
    <definedName name="_Table1_In1" localSheetId="21" hidden="1">'[43]qtrly cash flow'!$AI$30:$AI$30</definedName>
    <definedName name="_Table1_In1" hidden="1">'[9]#REF'!#REF!</definedName>
    <definedName name="_Table1_Out" localSheetId="0" hidden="1">#REF!</definedName>
    <definedName name="_Table1_Out" localSheetId="27" hidden="1">#REF!</definedName>
    <definedName name="_Table1_Out" localSheetId="19" hidden="1">#REF!</definedName>
    <definedName name="_Table1_Out" localSheetId="1" hidden="1">#REF!</definedName>
    <definedName name="_Table1_Out" localSheetId="8" hidden="1">#REF!</definedName>
    <definedName name="_Table1_Out" localSheetId="6" hidden="1">#REF!</definedName>
    <definedName name="_Table1_Out" localSheetId="17" hidden="1">#REF!</definedName>
    <definedName name="_Table1_Out" localSheetId="7" hidden="1">#REF!</definedName>
    <definedName name="_Table1_Out" localSheetId="3" hidden="1">#REF!</definedName>
    <definedName name="_Table1_Out" localSheetId="21" hidden="1">'[43]qtrly cash flow'!$AT$27:$AU$31</definedName>
    <definedName name="_Table1_Out" hidden="1">#REF!</definedName>
    <definedName name="_Table2_In1" localSheetId="0" hidden="1">'[9]#REF'!#REF!</definedName>
    <definedName name="_Table2_In1" localSheetId="27" hidden="1">'[9]#REF'!#REF!</definedName>
    <definedName name="_Table2_In1" localSheetId="19" hidden="1">'[9]#REF'!#REF!</definedName>
    <definedName name="_Table2_In1" localSheetId="1" hidden="1">'[9]#REF'!#REF!</definedName>
    <definedName name="_Table2_In1" localSheetId="8" hidden="1">'[9]#REF'!#REF!</definedName>
    <definedName name="_Table2_In1" localSheetId="17" hidden="1">'[9]#REF'!#REF!</definedName>
    <definedName name="_Table2_In1" localSheetId="7" hidden="1">'[9]#REF'!#REF!</definedName>
    <definedName name="_Table2_In1" localSheetId="3" hidden="1">#REF!</definedName>
    <definedName name="_Table2_In1" hidden="1">'[9]#REF'!#REF!</definedName>
    <definedName name="a" localSheetId="0" hidden="1">'[9]#REF'!#REF!</definedName>
    <definedName name="a" localSheetId="27" hidden="1">'[9]#REF'!#REF!</definedName>
    <definedName name="a" localSheetId="19" hidden="1">'[9]#REF'!#REF!</definedName>
    <definedName name="a" localSheetId="1" hidden="1">'[9]#REF'!#REF!</definedName>
    <definedName name="a" localSheetId="17" hidden="1">'[9]#REF'!#REF!</definedName>
    <definedName name="a" localSheetId="7" hidden="1">'[9]#REF'!#REF!</definedName>
    <definedName name="a" localSheetId="3" hidden="1">#REF!</definedName>
    <definedName name="a" localSheetId="21" hidden="1">[44]!PRT6BD5BK32</definedName>
    <definedName name="a" hidden="1">'[9]#REF'!#REF!</definedName>
    <definedName name="aaa" localSheetId="19" hidden="1">{"AVSHAR","BSHAR"}</definedName>
    <definedName name="aaa" localSheetId="6" hidden="1">{"AVSHAR","BSHAR"}</definedName>
    <definedName name="aaa" localSheetId="7" hidden="1">{"AVSHAR","BSHAR"}</definedName>
    <definedName name="aaa" localSheetId="3" hidden="1">{"AVSHAR","BSHAR"}</definedName>
    <definedName name="aaa" localSheetId="21" hidden="1">{"AVSHAR","BSHAR"}</definedName>
    <definedName name="aaa" hidden="1">{"AVSHAR","BSHAR"}</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c"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tual" localSheetId="0" hidden="1">{#N/A,#N/A,TRUE,"Historicals";#N/A,#N/A,TRUE,"Charts";#N/A,#N/A,TRUE,"Forecasts"}</definedName>
    <definedName name="Actual" localSheetId="27" hidden="1">{#N/A,#N/A,TRUE,"Historicals";#N/A,#N/A,TRUE,"Charts";#N/A,#N/A,TRUE,"Forecasts"}</definedName>
    <definedName name="Actual" localSheetId="19" hidden="1">{#N/A,#N/A,TRUE,"Historicals";#N/A,#N/A,TRUE,"Charts";#N/A,#N/A,TRUE,"Forecasts"}</definedName>
    <definedName name="Actual" localSheetId="1" hidden="1">{#N/A,#N/A,TRUE,"Historicals";#N/A,#N/A,TRUE,"Charts";#N/A,#N/A,TRUE,"Forecasts"}</definedName>
    <definedName name="Actual" localSheetId="8" hidden="1">{#N/A,#N/A,TRUE,"Historicals";#N/A,#N/A,TRUE,"Charts";#N/A,#N/A,TRUE,"Forecasts"}</definedName>
    <definedName name="Actual" localSheetId="6" hidden="1">{#N/A,#N/A,TRUE,"Historicals";#N/A,#N/A,TRUE,"Charts";#N/A,#N/A,TRUE,"Forecasts"}</definedName>
    <definedName name="Actual" localSheetId="17" hidden="1">{#N/A,#N/A,TRUE,"Historicals";#N/A,#N/A,TRUE,"Charts";#N/A,#N/A,TRUE,"Forecasts"}</definedName>
    <definedName name="Actual" localSheetId="7" hidden="1">{#N/A,#N/A,TRUE,"Historicals";#N/A,#N/A,TRUE,"Charts";#N/A,#N/A,TRUE,"Forecasts"}</definedName>
    <definedName name="Actual" localSheetId="3" hidden="1">{#N/A,#N/A,TRUE,"Historicals";#N/A,#N/A,TRUE,"Charts";#N/A,#N/A,TRUE,"Forecasts"}</definedName>
    <definedName name="Actual" localSheetId="21" hidden="1">{#N/A,#N/A,TRUE,"Historicals";#N/A,#N/A,TRUE,"Charts";#N/A,#N/A,TRUE,"Forecasts"}</definedName>
    <definedName name="Actual" hidden="1">{#N/A,#N/A,TRUE,"Historicals";#N/A,#N/A,TRUE,"Charts";#N/A,#N/A,TRUE,"Forecasts"}</definedName>
    <definedName name="AllBondRatingsFields" localSheetId="6">'[45]How to create formulas'!$D$42:$D$55</definedName>
    <definedName name="AllBondRatingsFields">'[46]How to create formulas'!$D$42:$D$55</definedName>
    <definedName name="AllIssuerOutlookFields" localSheetId="6">'[45]How to create formulas'!$D$302:$D$309</definedName>
    <definedName name="AllIssuerOutlookFields">'[46]How to create formulas'!$D$302:$D$309</definedName>
    <definedName name="AllOutlookRatingsFields" localSheetId="6">'[45]How to create formulas'!$D$143:$D$148</definedName>
    <definedName name="AllOutlookRatingsFields">'[46]How to create formulas'!$D$143:$D$148</definedName>
    <definedName name="AllWatchRatingsFields" localSheetId="6">'[45]How to create formulas'!$D$101:$D$106</definedName>
    <definedName name="AllWatchRatingsFields">'[46]How to create formulas'!$D$101:$D$106</definedName>
    <definedName name="anscount" hidden="1">1</definedName>
    <definedName name="AS2DocOpenMode" hidden="1">"AS2DocumentEdit"</definedName>
    <definedName name="as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1" hidden="1">{"comps",#N/A,FALSE,"TXTCOMPS";"segment_EPS",#N/A,FALSE,"TXTCOMPS";"valuation",#N/A,FALSE,"TXTCOMPS"}</definedName>
    <definedName name="as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 localSheetId="0"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9"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8"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6"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3"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1"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f" localSheetId="0" hidden="1">#REF!</definedName>
    <definedName name="asdf" localSheetId="27" hidden="1">#REF!</definedName>
    <definedName name="asdf" localSheetId="19" hidden="1">#REF!</definedName>
    <definedName name="asdf" localSheetId="1" hidden="1">#REF!</definedName>
    <definedName name="asdf" localSheetId="8" hidden="1">#REF!</definedName>
    <definedName name="asdf" localSheetId="6" hidden="1">#REF!</definedName>
    <definedName name="asdf" localSheetId="17" hidden="1">#REF!</definedName>
    <definedName name="asdf" localSheetId="7" hidden="1">#REF!</definedName>
    <definedName name="asdf" localSheetId="3" hidden="1">#REF!</definedName>
    <definedName name="asdf" localSheetId="21" hidden="1">#REF!</definedName>
    <definedName name="asdf" hidden="1">#REF!</definedName>
    <definedName name="asdfa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hifoea" localSheetId="19" hidden="1">#REF!</definedName>
    <definedName name="asdhifoea" localSheetId="6" hidden="1">#REF!</definedName>
    <definedName name="asdhifoea" localSheetId="7" hidden="1">#REF!</definedName>
    <definedName name="asdhifoea" localSheetId="3" hidden="1">#REF!</definedName>
    <definedName name="asdhifoea" localSheetId="21" hidden="1">#REF!</definedName>
    <definedName name="asdhifoea" hidden="1">#REF!</definedName>
    <definedName name="ax" localSheetId="19" hidden="1">{"comps",#N/A,FALSE,"TXTCOMPS"}</definedName>
    <definedName name="ax" localSheetId="6" hidden="1">{"comps",#N/A,FALSE,"TXTCOMPS"}</definedName>
    <definedName name="ax" localSheetId="7" hidden="1">{"comps",#N/A,FALSE,"TXTCOMPS"}</definedName>
    <definedName name="ax" localSheetId="3" hidden="1">{"comps",#N/A,FALSE,"TXTCOMPS"}</definedName>
    <definedName name="ax" localSheetId="21" hidden="1">{"comps",#N/A,FALSE,"TXTCOMPS"}</definedName>
    <definedName name="ax" hidden="1">{"comps",#N/A,FALSE,"TXTCOMPS"}</definedName>
    <definedName name="azs.a" localSheetId="0" hidden="1">{"Corp. Profile",#N/A,FALSE,"Corporate Profile"}</definedName>
    <definedName name="azs.a" localSheetId="27" hidden="1">{"Corp. Profile",#N/A,FALSE,"Corporate Profile"}</definedName>
    <definedName name="azs.a" localSheetId="19" hidden="1">{"Corp. Profile",#N/A,FALSE,"Corporate Profile"}</definedName>
    <definedName name="azs.a" localSheetId="1" hidden="1">{"Corp. Profile",#N/A,FALSE,"Corporate Profile"}</definedName>
    <definedName name="azs.a" localSheetId="8" hidden="1">{"Corp. Profile",#N/A,FALSE,"Corporate Profile"}</definedName>
    <definedName name="azs.a" localSheetId="6" hidden="1">{"Corp. Profile",#N/A,FALSE,"Corporate Profile"}</definedName>
    <definedName name="azs.a" localSheetId="17" hidden="1">{"Corp. Profile",#N/A,FALSE,"Corporate Profile"}</definedName>
    <definedName name="azs.a" localSheetId="7" hidden="1">{"Corp. Profile",#N/A,FALSE,"Corporate Profile"}</definedName>
    <definedName name="azs.a" localSheetId="3" hidden="1">{"Corp. Profile",#N/A,FALSE,"Corporate Profile"}</definedName>
    <definedName name="azs.a" localSheetId="21" hidden="1">{"Corp. Profile",#N/A,FALSE,"Corporate Profile"}</definedName>
    <definedName name="azs.a" hidden="1">{"Corp. Profile",#N/A,FALSE,"Corporate Profile"}</definedName>
    <definedName name="azz.corrporate" localSheetId="0" hidden="1">{"Corporate",#N/A,FALSE,"Corporate Profile"}</definedName>
    <definedName name="azz.corrporate" localSheetId="27" hidden="1">{"Corporate",#N/A,FALSE,"Corporate Profile"}</definedName>
    <definedName name="azz.corrporate" localSheetId="19" hidden="1">{"Corporate",#N/A,FALSE,"Corporate Profile"}</definedName>
    <definedName name="azz.corrporate" localSheetId="1" hidden="1">{"Corporate",#N/A,FALSE,"Corporate Profile"}</definedName>
    <definedName name="azz.corrporate" localSheetId="8" hidden="1">{"Corporate",#N/A,FALSE,"Corporate Profile"}</definedName>
    <definedName name="azz.corrporate" localSheetId="6" hidden="1">{"Corporate",#N/A,FALSE,"Corporate Profile"}</definedName>
    <definedName name="azz.corrporate" localSheetId="17" hidden="1">{"Corporate",#N/A,FALSE,"Corporate Profile"}</definedName>
    <definedName name="azz.corrporate" localSheetId="7" hidden="1">{"Corporate",#N/A,FALSE,"Corporate Profile"}</definedName>
    <definedName name="azz.corrporate" localSheetId="3" hidden="1">{"Corporate",#N/A,FALSE,"Corporate Profile"}</definedName>
    <definedName name="azz.corrporate" localSheetId="21" hidden="1">{"Corporate",#N/A,FALSE,"Corporate Profile"}</definedName>
    <definedName name="azz.corrporate" hidden="1">{"Corporate",#N/A,FALSE,"Corporate Profile"}</definedName>
    <definedName name="b"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1" hidden="1">{"comps",#N/A,FALSE,"TXTCOMPS";"segment_EPS",#N/A,FALSE,"TXTCOMPS";"valuation",#N/A,FALSE,"TXTCOMPS"}</definedName>
    <definedName name="b"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B_Price">'[47]Market Prices'!$X$3</definedName>
    <definedName name="BB_Switch" localSheetId="6">'[48]Peer Analysis'!$I$2</definedName>
    <definedName name="BB_Switch">'Peer Analysis'!$I$2</definedName>
    <definedName name="BBswitch" localSheetId="27">'Consensus Summary'!$E$3</definedName>
    <definedName name="BBswitch" localSheetId="6">'[49]Consensus &amp; Guidance'!$E$3</definedName>
    <definedName name="BBswitch" localSheetId="7">'[50]One Pager'!$Z$3</definedName>
    <definedName name="BBswitch" localSheetId="21">'[50]One Pager'!$Z$3</definedName>
    <definedName name="BBswitch">'[51]Consensus &amp; Guidance'!$E$3</definedName>
    <definedName name="bethany" localSheetId="0" hidden="1">{"income statement",#N/A,FALSE,"ATLAS-A"}</definedName>
    <definedName name="bethany" localSheetId="27" hidden="1">{"income statement",#N/A,FALSE,"ATLAS-A"}</definedName>
    <definedName name="bethany" localSheetId="19" hidden="1">{"income statement",#N/A,FALSE,"ATLAS-A"}</definedName>
    <definedName name="bethany" localSheetId="1" hidden="1">{"income statement",#N/A,FALSE,"ATLAS-A"}</definedName>
    <definedName name="bethany" localSheetId="8" hidden="1">{"income statement",#N/A,FALSE,"ATLAS-A"}</definedName>
    <definedName name="bethany" localSheetId="6" hidden="1">{"income statement",#N/A,FALSE,"ATLAS-A"}</definedName>
    <definedName name="bethany" localSheetId="17" hidden="1">{"income statement",#N/A,FALSE,"ATLAS-A"}</definedName>
    <definedName name="bethany" localSheetId="7" hidden="1">{"income statement",#N/A,FALSE,"ATLAS-A"}</definedName>
    <definedName name="bethany" localSheetId="3" hidden="1">{"income statement",#N/A,FALSE,"ATLAS-A"}</definedName>
    <definedName name="bethany" localSheetId="21" hidden="1">{"income statement",#N/A,FALSE,"ATLAS-A"}</definedName>
    <definedName name="bethany" hidden="1">{"income statement",#N/A,FALSE,"ATLAS-A"}</definedName>
    <definedName name="BLPH1" localSheetId="0" hidden="1">#REF!</definedName>
    <definedName name="BLPH1" localSheetId="27" hidden="1">#REF!</definedName>
    <definedName name="BLPH1" localSheetId="19" hidden="1">#REF!</definedName>
    <definedName name="BLPH1" localSheetId="1" hidden="1">#REF!</definedName>
    <definedName name="BLPH1" localSheetId="8" hidden="1">#REF!</definedName>
    <definedName name="BLPH1" localSheetId="6" hidden="1">#REF!</definedName>
    <definedName name="BLPH1" localSheetId="17" hidden="1">#REF!</definedName>
    <definedName name="BLPH1" localSheetId="7" hidden="1">#REF!</definedName>
    <definedName name="BLPH1" localSheetId="3" hidden="1">#REF!</definedName>
    <definedName name="BLPH1" localSheetId="21" hidden="1">#REF!</definedName>
    <definedName name="BLPH1" hidden="1">#REF!</definedName>
    <definedName name="BLPH10" localSheetId="0" hidden="1">#REF!</definedName>
    <definedName name="BLPH10" localSheetId="27" hidden="1">#REF!</definedName>
    <definedName name="BLPH10" localSheetId="19" hidden="1">#REF!</definedName>
    <definedName name="BLPH10" localSheetId="1" hidden="1">#REF!</definedName>
    <definedName name="BLPH10" localSheetId="8" hidden="1">#REF!</definedName>
    <definedName name="BLPH10" localSheetId="6" hidden="1">#REF!</definedName>
    <definedName name="BLPH10" localSheetId="17" hidden="1">#REF!</definedName>
    <definedName name="BLPH10" localSheetId="7" hidden="1">#REF!</definedName>
    <definedName name="BLPH10" localSheetId="3" hidden="1">#REF!</definedName>
    <definedName name="BLPH10" localSheetId="21" hidden="1">#REF!</definedName>
    <definedName name="BLPH10" hidden="1">#REF!</definedName>
    <definedName name="BLPH100" localSheetId="0" hidden="1">#REF!</definedName>
    <definedName name="BLPH100" localSheetId="27" hidden="1">#REF!</definedName>
    <definedName name="BLPH100" localSheetId="19" hidden="1">#REF!</definedName>
    <definedName name="BLPH100" localSheetId="1" hidden="1">#REF!</definedName>
    <definedName name="BLPH100" localSheetId="8" hidden="1">#REF!</definedName>
    <definedName name="BLPH100" localSheetId="6" hidden="1">#REF!</definedName>
    <definedName name="BLPH100" localSheetId="17" hidden="1">#REF!</definedName>
    <definedName name="BLPH100" localSheetId="7" hidden="1">#REF!</definedName>
    <definedName name="BLPH100" localSheetId="3" hidden="1">#REF!</definedName>
    <definedName name="BLPH100" localSheetId="21" hidden="1">#REF!</definedName>
    <definedName name="BLPH100" hidden="1">#REF!</definedName>
    <definedName name="blph1000" localSheetId="0" hidden="1">#REF!</definedName>
    <definedName name="blph1000" localSheetId="27" hidden="1">#REF!</definedName>
    <definedName name="blph1000" localSheetId="19" hidden="1">#REF!</definedName>
    <definedName name="blph1000" localSheetId="1" hidden="1">#REF!</definedName>
    <definedName name="blph1000" localSheetId="8" hidden="1">#REF!</definedName>
    <definedName name="blph1000" localSheetId="6" hidden="1">#REF!</definedName>
    <definedName name="blph1000" localSheetId="17" hidden="1">#REF!</definedName>
    <definedName name="blph1000" localSheetId="7" hidden="1">#REF!</definedName>
    <definedName name="blph1000" localSheetId="3" hidden="1">#REF!</definedName>
    <definedName name="blph1000" localSheetId="21" hidden="1">#REF!</definedName>
    <definedName name="blph1000" hidden="1">#REF!</definedName>
    <definedName name="BLPH101" localSheetId="0" hidden="1">#REF!</definedName>
    <definedName name="BLPH101" localSheetId="27" hidden="1">#REF!</definedName>
    <definedName name="BLPH101" localSheetId="19" hidden="1">#REF!</definedName>
    <definedName name="BLPH101" localSheetId="1" hidden="1">#REF!</definedName>
    <definedName name="BLPH101" localSheetId="8" hidden="1">#REF!</definedName>
    <definedName name="BLPH101" localSheetId="6" hidden="1">#REF!</definedName>
    <definedName name="BLPH101" localSheetId="17" hidden="1">#REF!</definedName>
    <definedName name="BLPH101" localSheetId="7" hidden="1">#REF!</definedName>
    <definedName name="BLPH101" localSheetId="3" hidden="1">#REF!</definedName>
    <definedName name="BLPH101" localSheetId="21" hidden="1">#REF!</definedName>
    <definedName name="BLPH101" hidden="1">#REF!</definedName>
    <definedName name="BLPH102" localSheetId="0" hidden="1">#REF!</definedName>
    <definedName name="BLPH102" localSheetId="27" hidden="1">#REF!</definedName>
    <definedName name="BLPH102" localSheetId="19" hidden="1">#REF!</definedName>
    <definedName name="BLPH102" localSheetId="1" hidden="1">#REF!</definedName>
    <definedName name="BLPH102" localSheetId="8" hidden="1">#REF!</definedName>
    <definedName name="BLPH102" localSheetId="6" hidden="1">#REF!</definedName>
    <definedName name="BLPH102" localSheetId="17" hidden="1">#REF!</definedName>
    <definedName name="BLPH102" localSheetId="7" hidden="1">#REF!</definedName>
    <definedName name="BLPH102" localSheetId="3" hidden="1">#REF!</definedName>
    <definedName name="BLPH102" localSheetId="21" hidden="1">#REF!</definedName>
    <definedName name="BLPH102" hidden="1">#REF!</definedName>
    <definedName name="BLPH103" localSheetId="0" hidden="1">#REF!</definedName>
    <definedName name="BLPH103" localSheetId="27" hidden="1">#REF!</definedName>
    <definedName name="BLPH103" localSheetId="19" hidden="1">#REF!</definedName>
    <definedName name="BLPH103" localSheetId="1" hidden="1">#REF!</definedName>
    <definedName name="BLPH103" localSheetId="8" hidden="1">#REF!</definedName>
    <definedName name="BLPH103" localSheetId="6" hidden="1">#REF!</definedName>
    <definedName name="BLPH103" localSheetId="17" hidden="1">#REF!</definedName>
    <definedName name="BLPH103" localSheetId="7" hidden="1">#REF!</definedName>
    <definedName name="BLPH103" localSheetId="3" hidden="1">#REF!</definedName>
    <definedName name="BLPH103" localSheetId="21" hidden="1">#REF!</definedName>
    <definedName name="BLPH103" hidden="1">#REF!</definedName>
    <definedName name="BLPH104" localSheetId="0" hidden="1">#REF!</definedName>
    <definedName name="BLPH104" localSheetId="27" hidden="1">#REF!</definedName>
    <definedName name="BLPH104" localSheetId="19" hidden="1">#REF!</definedName>
    <definedName name="BLPH104" localSheetId="1" hidden="1">#REF!</definedName>
    <definedName name="BLPH104" localSheetId="8" hidden="1">#REF!</definedName>
    <definedName name="BLPH104" localSheetId="6" hidden="1">#REF!</definedName>
    <definedName name="BLPH104" localSheetId="17" hidden="1">#REF!</definedName>
    <definedName name="BLPH104" localSheetId="7" hidden="1">#REF!</definedName>
    <definedName name="BLPH104" localSheetId="3" hidden="1">#REF!</definedName>
    <definedName name="BLPH104" localSheetId="21" hidden="1">#REF!</definedName>
    <definedName name="BLPH104" hidden="1">#REF!</definedName>
    <definedName name="BLPH105" localSheetId="0" hidden="1">#REF!</definedName>
    <definedName name="BLPH105" localSheetId="27" hidden="1">#REF!</definedName>
    <definedName name="BLPH105" localSheetId="19" hidden="1">#REF!</definedName>
    <definedName name="BLPH105" localSheetId="1" hidden="1">#REF!</definedName>
    <definedName name="BLPH105" localSheetId="8" hidden="1">#REF!</definedName>
    <definedName name="BLPH105" localSheetId="6" hidden="1">#REF!</definedName>
    <definedName name="BLPH105" localSheetId="17" hidden="1">#REF!</definedName>
    <definedName name="BLPH105" localSheetId="7" hidden="1">#REF!</definedName>
    <definedName name="BLPH105" localSheetId="3" hidden="1">#REF!</definedName>
    <definedName name="BLPH105" localSheetId="21" hidden="1">#REF!</definedName>
    <definedName name="BLPH105" hidden="1">#REF!</definedName>
    <definedName name="BLPH106" localSheetId="0" hidden="1">#REF!</definedName>
    <definedName name="BLPH106" localSheetId="27" hidden="1">#REF!</definedName>
    <definedName name="BLPH106" localSheetId="19" hidden="1">#REF!</definedName>
    <definedName name="BLPH106" localSheetId="1" hidden="1">#REF!</definedName>
    <definedName name="BLPH106" localSheetId="8" hidden="1">#REF!</definedName>
    <definedName name="BLPH106" localSheetId="6" hidden="1">#REF!</definedName>
    <definedName name="BLPH106" localSheetId="17" hidden="1">#REF!</definedName>
    <definedName name="BLPH106" localSheetId="7" hidden="1">#REF!</definedName>
    <definedName name="BLPH106" localSheetId="3" hidden="1">#REF!</definedName>
    <definedName name="BLPH106" localSheetId="21" hidden="1">#REF!</definedName>
    <definedName name="BLPH106" hidden="1">#REF!</definedName>
    <definedName name="BLPH107" localSheetId="0" hidden="1">#REF!</definedName>
    <definedName name="BLPH107" localSheetId="27" hidden="1">#REF!</definedName>
    <definedName name="BLPH107" localSheetId="19" hidden="1">#REF!</definedName>
    <definedName name="BLPH107" localSheetId="1" hidden="1">#REF!</definedName>
    <definedName name="BLPH107" localSheetId="8" hidden="1">#REF!</definedName>
    <definedName name="BLPH107" localSheetId="6" hidden="1">#REF!</definedName>
    <definedName name="BLPH107" localSheetId="17" hidden="1">#REF!</definedName>
    <definedName name="BLPH107" localSheetId="7" hidden="1">#REF!</definedName>
    <definedName name="BLPH107" localSheetId="3" hidden="1">#REF!</definedName>
    <definedName name="BLPH107" localSheetId="21" hidden="1">#REF!</definedName>
    <definedName name="BLPH107" hidden="1">#REF!</definedName>
    <definedName name="BLPH108" localSheetId="0" hidden="1">#REF!</definedName>
    <definedName name="BLPH108" localSheetId="27" hidden="1">#REF!</definedName>
    <definedName name="BLPH108" localSheetId="19" hidden="1">#REF!</definedName>
    <definedName name="BLPH108" localSheetId="1" hidden="1">#REF!</definedName>
    <definedName name="BLPH108" localSheetId="8" hidden="1">#REF!</definedName>
    <definedName name="BLPH108" localSheetId="6" hidden="1">#REF!</definedName>
    <definedName name="BLPH108" localSheetId="17" hidden="1">#REF!</definedName>
    <definedName name="BLPH108" localSheetId="7" hidden="1">#REF!</definedName>
    <definedName name="BLPH108" localSheetId="3" hidden="1">#REF!</definedName>
    <definedName name="BLPH108" localSheetId="21" hidden="1">#REF!</definedName>
    <definedName name="BLPH108" hidden="1">#REF!</definedName>
    <definedName name="BLPH109" localSheetId="0" hidden="1">#REF!</definedName>
    <definedName name="BLPH109" localSheetId="27" hidden="1">#REF!</definedName>
    <definedName name="BLPH109" localSheetId="19" hidden="1">#REF!</definedName>
    <definedName name="BLPH109" localSheetId="1" hidden="1">#REF!</definedName>
    <definedName name="BLPH109" localSheetId="8" hidden="1">#REF!</definedName>
    <definedName name="BLPH109" localSheetId="6" hidden="1">#REF!</definedName>
    <definedName name="BLPH109" localSheetId="17" hidden="1">#REF!</definedName>
    <definedName name="BLPH109" localSheetId="7" hidden="1">#REF!</definedName>
    <definedName name="BLPH109" localSheetId="3" hidden="1">#REF!</definedName>
    <definedName name="BLPH109" localSheetId="21" hidden="1">#REF!</definedName>
    <definedName name="BLPH109" hidden="1">#REF!</definedName>
    <definedName name="BLPH11" localSheetId="0" hidden="1">#REF!</definedName>
    <definedName name="BLPH11" localSheetId="27" hidden="1">#REF!</definedName>
    <definedName name="BLPH11" localSheetId="19" hidden="1">#REF!</definedName>
    <definedName name="BLPH11" localSheetId="1" hidden="1">#REF!</definedName>
    <definedName name="BLPH11" localSheetId="8" hidden="1">#REF!</definedName>
    <definedName name="BLPH11" localSheetId="6" hidden="1">#REF!</definedName>
    <definedName name="BLPH11" localSheetId="17" hidden="1">#REF!</definedName>
    <definedName name="BLPH11" localSheetId="7" hidden="1">#REF!</definedName>
    <definedName name="BLPH11" localSheetId="3" hidden="1">#REF!</definedName>
    <definedName name="BLPH11" localSheetId="21" hidden="1">#REF!</definedName>
    <definedName name="BLPH11" hidden="1">#REF!</definedName>
    <definedName name="BLPH110" localSheetId="0" hidden="1">#REF!</definedName>
    <definedName name="BLPH110" localSheetId="27" hidden="1">#REF!</definedName>
    <definedName name="BLPH110" localSheetId="19" hidden="1">#REF!</definedName>
    <definedName name="BLPH110" localSheetId="1" hidden="1">#REF!</definedName>
    <definedName name="BLPH110" localSheetId="8" hidden="1">#REF!</definedName>
    <definedName name="BLPH110" localSheetId="6" hidden="1">#REF!</definedName>
    <definedName name="BLPH110" localSheetId="17" hidden="1">#REF!</definedName>
    <definedName name="BLPH110" localSheetId="7" hidden="1">#REF!</definedName>
    <definedName name="BLPH110" localSheetId="3" hidden="1">#REF!</definedName>
    <definedName name="BLPH110" localSheetId="21" hidden="1">#REF!</definedName>
    <definedName name="BLPH110" hidden="1">#REF!</definedName>
    <definedName name="BLPH111" localSheetId="0" hidden="1">#REF!</definedName>
    <definedName name="BLPH111" localSheetId="27" hidden="1">#REF!</definedName>
    <definedName name="BLPH111" localSheetId="19" hidden="1">#REF!</definedName>
    <definedName name="BLPH111" localSheetId="1" hidden="1">#REF!</definedName>
    <definedName name="BLPH111" localSheetId="8" hidden="1">#REF!</definedName>
    <definedName name="BLPH111" localSheetId="6" hidden="1">#REF!</definedName>
    <definedName name="BLPH111" localSheetId="17" hidden="1">#REF!</definedName>
    <definedName name="BLPH111" localSheetId="7" hidden="1">#REF!</definedName>
    <definedName name="BLPH111" localSheetId="3" hidden="1">#REF!</definedName>
    <definedName name="BLPH111" localSheetId="21" hidden="1">#REF!</definedName>
    <definedName name="BLPH111" hidden="1">#REF!</definedName>
    <definedName name="BLPH112" localSheetId="0" hidden="1">#REF!</definedName>
    <definedName name="BLPH112" localSheetId="27" hidden="1">#REF!</definedName>
    <definedName name="BLPH112" localSheetId="19" hidden="1">#REF!</definedName>
    <definedName name="BLPH112" localSheetId="1" hidden="1">#REF!</definedName>
    <definedName name="BLPH112" localSheetId="8" hidden="1">#REF!</definedName>
    <definedName name="BLPH112" localSheetId="6" hidden="1">#REF!</definedName>
    <definedName name="BLPH112" localSheetId="17" hidden="1">#REF!</definedName>
    <definedName name="BLPH112" localSheetId="7" hidden="1">#REF!</definedName>
    <definedName name="BLPH112" localSheetId="3" hidden="1">#REF!</definedName>
    <definedName name="BLPH112" localSheetId="21" hidden="1">#REF!</definedName>
    <definedName name="BLPH112" hidden="1">#REF!</definedName>
    <definedName name="BLPH113" localSheetId="0" hidden="1">#REF!</definedName>
    <definedName name="BLPH113" localSheetId="27" hidden="1">#REF!</definedName>
    <definedName name="BLPH113" localSheetId="19" hidden="1">#REF!</definedName>
    <definedName name="BLPH113" localSheetId="1" hidden="1">#REF!</definedName>
    <definedName name="BLPH113" localSheetId="8" hidden="1">#REF!</definedName>
    <definedName name="BLPH113" localSheetId="6" hidden="1">#REF!</definedName>
    <definedName name="BLPH113" localSheetId="17" hidden="1">#REF!</definedName>
    <definedName name="BLPH113" localSheetId="7" hidden="1">#REF!</definedName>
    <definedName name="BLPH113" localSheetId="3" hidden="1">#REF!</definedName>
    <definedName name="BLPH113" localSheetId="21" hidden="1">#REF!</definedName>
    <definedName name="BLPH113" hidden="1">#REF!</definedName>
    <definedName name="BLPH114" localSheetId="0" hidden="1">#REF!</definedName>
    <definedName name="BLPH114" localSheetId="27" hidden="1">#REF!</definedName>
    <definedName name="BLPH114" localSheetId="19" hidden="1">#REF!</definedName>
    <definedName name="BLPH114" localSheetId="1" hidden="1">#REF!</definedName>
    <definedName name="BLPH114" localSheetId="8" hidden="1">#REF!</definedName>
    <definedName name="BLPH114" localSheetId="6" hidden="1">#REF!</definedName>
    <definedName name="BLPH114" localSheetId="17" hidden="1">#REF!</definedName>
    <definedName name="BLPH114" localSheetId="7" hidden="1">#REF!</definedName>
    <definedName name="BLPH114" localSheetId="3" hidden="1">#REF!</definedName>
    <definedName name="BLPH114" localSheetId="21" hidden="1">#REF!</definedName>
    <definedName name="BLPH114" hidden="1">#REF!</definedName>
    <definedName name="BLPH115" localSheetId="0" hidden="1">#REF!</definedName>
    <definedName name="BLPH115" localSheetId="27" hidden="1">#REF!</definedName>
    <definedName name="BLPH115" localSheetId="19" hidden="1">#REF!</definedName>
    <definedName name="BLPH115" localSheetId="1" hidden="1">#REF!</definedName>
    <definedName name="BLPH115" localSheetId="8" hidden="1">#REF!</definedName>
    <definedName name="BLPH115" localSheetId="6" hidden="1">#REF!</definedName>
    <definedName name="BLPH115" localSheetId="17" hidden="1">#REF!</definedName>
    <definedName name="BLPH115" localSheetId="7" hidden="1">#REF!</definedName>
    <definedName name="BLPH115" localSheetId="3" hidden="1">#REF!</definedName>
    <definedName name="BLPH115" localSheetId="21" hidden="1">#REF!</definedName>
    <definedName name="BLPH115" hidden="1">#REF!</definedName>
    <definedName name="BLPH116" localSheetId="0" hidden="1">#REF!</definedName>
    <definedName name="BLPH116" localSheetId="27" hidden="1">#REF!</definedName>
    <definedName name="BLPH116" localSheetId="19" hidden="1">#REF!</definedName>
    <definedName name="BLPH116" localSheetId="1" hidden="1">#REF!</definedName>
    <definedName name="BLPH116" localSheetId="8" hidden="1">#REF!</definedName>
    <definedName name="BLPH116" localSheetId="6" hidden="1">#REF!</definedName>
    <definedName name="BLPH116" localSheetId="17" hidden="1">#REF!</definedName>
    <definedName name="BLPH116" localSheetId="7" hidden="1">#REF!</definedName>
    <definedName name="BLPH116" localSheetId="3" hidden="1">#REF!</definedName>
    <definedName name="BLPH116" localSheetId="21" hidden="1">#REF!</definedName>
    <definedName name="BLPH116" hidden="1">#REF!</definedName>
    <definedName name="BLPH117" localSheetId="0" hidden="1">#REF!</definedName>
    <definedName name="BLPH117" localSheetId="27" hidden="1">#REF!</definedName>
    <definedName name="BLPH117" localSheetId="19" hidden="1">#REF!</definedName>
    <definedName name="BLPH117" localSheetId="1" hidden="1">#REF!</definedName>
    <definedName name="BLPH117" localSheetId="8" hidden="1">#REF!</definedName>
    <definedName name="BLPH117" localSheetId="6" hidden="1">#REF!</definedName>
    <definedName name="BLPH117" localSheetId="17" hidden="1">#REF!</definedName>
    <definedName name="BLPH117" localSheetId="7" hidden="1">#REF!</definedName>
    <definedName name="BLPH117" localSheetId="3" hidden="1">#REF!</definedName>
    <definedName name="BLPH117" localSheetId="21" hidden="1">#REF!</definedName>
    <definedName name="BLPH117" hidden="1">#REF!</definedName>
    <definedName name="BLPH118" localSheetId="0" hidden="1">#REF!</definedName>
    <definedName name="BLPH118" localSheetId="27" hidden="1">#REF!</definedName>
    <definedName name="BLPH118" localSheetId="19" hidden="1">#REF!</definedName>
    <definedName name="BLPH118" localSheetId="1" hidden="1">#REF!</definedName>
    <definedName name="BLPH118" localSheetId="8" hidden="1">#REF!</definedName>
    <definedName name="BLPH118" localSheetId="6" hidden="1">#REF!</definedName>
    <definedName name="BLPH118" localSheetId="17" hidden="1">#REF!</definedName>
    <definedName name="BLPH118" localSheetId="7" hidden="1">#REF!</definedName>
    <definedName name="BLPH118" localSheetId="3" hidden="1">#REF!</definedName>
    <definedName name="BLPH118" localSheetId="21" hidden="1">#REF!</definedName>
    <definedName name="BLPH118" hidden="1">#REF!</definedName>
    <definedName name="BLPH119" localSheetId="0" hidden="1">#REF!</definedName>
    <definedName name="BLPH119" localSheetId="27" hidden="1">#REF!</definedName>
    <definedName name="BLPH119" localSheetId="19" hidden="1">#REF!</definedName>
    <definedName name="BLPH119" localSheetId="1" hidden="1">#REF!</definedName>
    <definedName name="BLPH119" localSheetId="8" hidden="1">#REF!</definedName>
    <definedName name="BLPH119" localSheetId="6" hidden="1">#REF!</definedName>
    <definedName name="BLPH119" localSheetId="17" hidden="1">#REF!</definedName>
    <definedName name="BLPH119" localSheetId="7" hidden="1">#REF!</definedName>
    <definedName name="BLPH119" localSheetId="3" hidden="1">#REF!</definedName>
    <definedName name="BLPH119" localSheetId="21" hidden="1">#REF!</definedName>
    <definedName name="BLPH119" hidden="1">#REF!</definedName>
    <definedName name="BLPH12" localSheetId="0" hidden="1">#REF!</definedName>
    <definedName name="BLPH12" localSheetId="27" hidden="1">#REF!</definedName>
    <definedName name="BLPH12" localSheetId="19" hidden="1">#REF!</definedName>
    <definedName name="BLPH12" localSheetId="1" hidden="1">#REF!</definedName>
    <definedName name="BLPH12" localSheetId="8" hidden="1">#REF!</definedName>
    <definedName name="BLPH12" localSheetId="6" hidden="1">#REF!</definedName>
    <definedName name="BLPH12" localSheetId="17" hidden="1">#REF!</definedName>
    <definedName name="BLPH12" localSheetId="7" hidden="1">#REF!</definedName>
    <definedName name="BLPH12" localSheetId="3" hidden="1">#REF!</definedName>
    <definedName name="BLPH12" localSheetId="21" hidden="1">#REF!</definedName>
    <definedName name="BLPH12" hidden="1">#REF!</definedName>
    <definedName name="BLPH120" localSheetId="0" hidden="1">#REF!</definedName>
    <definedName name="BLPH120" localSheetId="27" hidden="1">#REF!</definedName>
    <definedName name="BLPH120" localSheetId="19" hidden="1">#REF!</definedName>
    <definedName name="BLPH120" localSheetId="1" hidden="1">#REF!</definedName>
    <definedName name="BLPH120" localSheetId="8" hidden="1">#REF!</definedName>
    <definedName name="BLPH120" localSheetId="6" hidden="1">#REF!</definedName>
    <definedName name="BLPH120" localSheetId="17" hidden="1">#REF!</definedName>
    <definedName name="BLPH120" localSheetId="7" hidden="1">#REF!</definedName>
    <definedName name="BLPH120" localSheetId="3" hidden="1">#REF!</definedName>
    <definedName name="BLPH120" localSheetId="21" hidden="1">#REF!</definedName>
    <definedName name="BLPH120" hidden="1">#REF!</definedName>
    <definedName name="BLPH121" localSheetId="0" hidden="1">#REF!</definedName>
    <definedName name="BLPH121" localSheetId="27" hidden="1">#REF!</definedName>
    <definedName name="BLPH121" localSheetId="19" hidden="1">#REF!</definedName>
    <definedName name="BLPH121" localSheetId="1" hidden="1">#REF!</definedName>
    <definedName name="BLPH121" localSheetId="8" hidden="1">#REF!</definedName>
    <definedName name="BLPH121" localSheetId="6" hidden="1">#REF!</definedName>
    <definedName name="BLPH121" localSheetId="17" hidden="1">#REF!</definedName>
    <definedName name="BLPH121" localSheetId="7" hidden="1">#REF!</definedName>
    <definedName name="BLPH121" localSheetId="3" hidden="1">#REF!</definedName>
    <definedName name="BLPH121" localSheetId="21" hidden="1">#REF!</definedName>
    <definedName name="BLPH121" hidden="1">#REF!</definedName>
    <definedName name="BLPH122" localSheetId="0" hidden="1">#REF!</definedName>
    <definedName name="BLPH122" localSheetId="27" hidden="1">#REF!</definedName>
    <definedName name="BLPH122" localSheetId="19" hidden="1">#REF!</definedName>
    <definedName name="BLPH122" localSheetId="1" hidden="1">#REF!</definedName>
    <definedName name="BLPH122" localSheetId="8" hidden="1">#REF!</definedName>
    <definedName name="BLPH122" localSheetId="6" hidden="1">#REF!</definedName>
    <definedName name="BLPH122" localSheetId="17" hidden="1">#REF!</definedName>
    <definedName name="BLPH122" localSheetId="7" hidden="1">#REF!</definedName>
    <definedName name="BLPH122" localSheetId="3" hidden="1">#REF!</definedName>
    <definedName name="BLPH122" localSheetId="21" hidden="1">#REF!</definedName>
    <definedName name="BLPH122" hidden="1">#REF!</definedName>
    <definedName name="BLPH123" localSheetId="0" hidden="1">#REF!</definedName>
    <definedName name="BLPH123" localSheetId="27" hidden="1">#REF!</definedName>
    <definedName name="BLPH123" localSheetId="19" hidden="1">#REF!</definedName>
    <definedName name="BLPH123" localSheetId="1" hidden="1">#REF!</definedName>
    <definedName name="BLPH123" localSheetId="8" hidden="1">#REF!</definedName>
    <definedName name="BLPH123" localSheetId="6" hidden="1">#REF!</definedName>
    <definedName name="BLPH123" localSheetId="17" hidden="1">#REF!</definedName>
    <definedName name="BLPH123" localSheetId="7" hidden="1">#REF!</definedName>
    <definedName name="BLPH123" localSheetId="3" hidden="1">#REF!</definedName>
    <definedName name="BLPH123" localSheetId="21" hidden="1">#REF!</definedName>
    <definedName name="BLPH123" hidden="1">#REF!</definedName>
    <definedName name="BLPH124" localSheetId="0" hidden="1">#REF!</definedName>
    <definedName name="BLPH124" localSheetId="27" hidden="1">#REF!</definedName>
    <definedName name="BLPH124" localSheetId="19" hidden="1">#REF!</definedName>
    <definedName name="BLPH124" localSheetId="1" hidden="1">#REF!</definedName>
    <definedName name="BLPH124" localSheetId="8" hidden="1">#REF!</definedName>
    <definedName name="BLPH124" localSheetId="6" hidden="1">#REF!</definedName>
    <definedName name="BLPH124" localSheetId="17" hidden="1">#REF!</definedName>
    <definedName name="BLPH124" localSheetId="7" hidden="1">#REF!</definedName>
    <definedName name="BLPH124" localSheetId="3" hidden="1">#REF!</definedName>
    <definedName name="BLPH124" localSheetId="21" hidden="1">#REF!</definedName>
    <definedName name="BLPH124" hidden="1">#REF!</definedName>
    <definedName name="BLPH125" localSheetId="0" hidden="1">#REF!</definedName>
    <definedName name="BLPH125" localSheetId="27" hidden="1">#REF!</definedName>
    <definedName name="BLPH125" localSheetId="19" hidden="1">#REF!</definedName>
    <definedName name="BLPH125" localSheetId="1" hidden="1">#REF!</definedName>
    <definedName name="BLPH125" localSheetId="8" hidden="1">#REF!</definedName>
    <definedName name="BLPH125" localSheetId="6" hidden="1">#REF!</definedName>
    <definedName name="BLPH125" localSheetId="17" hidden="1">#REF!</definedName>
    <definedName name="BLPH125" localSheetId="7" hidden="1">#REF!</definedName>
    <definedName name="BLPH125" localSheetId="3" hidden="1">#REF!</definedName>
    <definedName name="BLPH125" localSheetId="21" hidden="1">#REF!</definedName>
    <definedName name="BLPH125" hidden="1">#REF!</definedName>
    <definedName name="BLPH126" localSheetId="0" hidden="1">#REF!</definedName>
    <definedName name="BLPH126" localSheetId="27" hidden="1">#REF!</definedName>
    <definedName name="BLPH126" localSheetId="19" hidden="1">#REF!</definedName>
    <definedName name="BLPH126" localSheetId="1" hidden="1">#REF!</definedName>
    <definedName name="BLPH126" localSheetId="8" hidden="1">#REF!</definedName>
    <definedName name="BLPH126" localSheetId="6" hidden="1">#REF!</definedName>
    <definedName name="BLPH126" localSheetId="17" hidden="1">#REF!</definedName>
    <definedName name="BLPH126" localSheetId="7" hidden="1">#REF!</definedName>
    <definedName name="BLPH126" localSheetId="3" hidden="1">#REF!</definedName>
    <definedName name="BLPH126" localSheetId="21" hidden="1">#REF!</definedName>
    <definedName name="BLPH126" hidden="1">#REF!</definedName>
    <definedName name="BLPH127" localSheetId="0" hidden="1">#REF!</definedName>
    <definedName name="BLPH127" localSheetId="27" hidden="1">#REF!</definedName>
    <definedName name="BLPH127" localSheetId="19" hidden="1">#REF!</definedName>
    <definedName name="BLPH127" localSheetId="1" hidden="1">#REF!</definedName>
    <definedName name="BLPH127" localSheetId="8" hidden="1">#REF!</definedName>
    <definedName name="BLPH127" localSheetId="6" hidden="1">#REF!</definedName>
    <definedName name="BLPH127" localSheetId="17" hidden="1">#REF!</definedName>
    <definedName name="BLPH127" localSheetId="7" hidden="1">#REF!</definedName>
    <definedName name="BLPH127" localSheetId="3" hidden="1">#REF!</definedName>
    <definedName name="BLPH127" localSheetId="21" hidden="1">#REF!</definedName>
    <definedName name="BLPH127" hidden="1">#REF!</definedName>
    <definedName name="BLPH128" localSheetId="0" hidden="1">#REF!</definedName>
    <definedName name="BLPH128" localSheetId="27" hidden="1">#REF!</definedName>
    <definedName name="BLPH128" localSheetId="19" hidden="1">#REF!</definedName>
    <definedName name="BLPH128" localSheetId="1" hidden="1">#REF!</definedName>
    <definedName name="BLPH128" localSheetId="8" hidden="1">#REF!</definedName>
    <definedName name="BLPH128" localSheetId="6" hidden="1">#REF!</definedName>
    <definedName name="BLPH128" localSheetId="17" hidden="1">#REF!</definedName>
    <definedName name="BLPH128" localSheetId="7" hidden="1">#REF!</definedName>
    <definedName name="BLPH128" localSheetId="3" hidden="1">#REF!</definedName>
    <definedName name="BLPH128" localSheetId="21" hidden="1">#REF!</definedName>
    <definedName name="BLPH128" hidden="1">#REF!</definedName>
    <definedName name="BLPH129" localSheetId="0" hidden="1">#REF!</definedName>
    <definedName name="BLPH129" localSheetId="27" hidden="1">#REF!</definedName>
    <definedName name="BLPH129" localSheetId="19" hidden="1">#REF!</definedName>
    <definedName name="BLPH129" localSheetId="1" hidden="1">#REF!</definedName>
    <definedName name="BLPH129" localSheetId="8" hidden="1">#REF!</definedName>
    <definedName name="BLPH129" localSheetId="6" hidden="1">#REF!</definedName>
    <definedName name="BLPH129" localSheetId="17" hidden="1">#REF!</definedName>
    <definedName name="BLPH129" localSheetId="7" hidden="1">#REF!</definedName>
    <definedName name="BLPH129" localSheetId="3" hidden="1">#REF!</definedName>
    <definedName name="BLPH129" localSheetId="21" hidden="1">#REF!</definedName>
    <definedName name="BLPH129" hidden="1">#REF!</definedName>
    <definedName name="BLPH13" localSheetId="0" hidden="1">#REF!</definedName>
    <definedName name="BLPH13" localSheetId="27" hidden="1">#REF!</definedName>
    <definedName name="BLPH13" localSheetId="19" hidden="1">#REF!</definedName>
    <definedName name="BLPH13" localSheetId="1" hidden="1">#REF!</definedName>
    <definedName name="BLPH13" localSheetId="8" hidden="1">#REF!</definedName>
    <definedName name="BLPH13" localSheetId="6" hidden="1">#REF!</definedName>
    <definedName name="BLPH13" localSheetId="17" hidden="1">#REF!</definedName>
    <definedName name="BLPH13" localSheetId="7" hidden="1">#REF!</definedName>
    <definedName name="BLPH13" localSheetId="3" hidden="1">#REF!</definedName>
    <definedName name="BLPH13" localSheetId="21" hidden="1">#REF!</definedName>
    <definedName name="BLPH13" hidden="1">#REF!</definedName>
    <definedName name="BLPH130" localSheetId="0" hidden="1">#REF!</definedName>
    <definedName name="BLPH130" localSheetId="27" hidden="1">#REF!</definedName>
    <definedName name="BLPH130" localSheetId="19" hidden="1">#REF!</definedName>
    <definedName name="BLPH130" localSheetId="1" hidden="1">#REF!</definedName>
    <definedName name="BLPH130" localSheetId="8" hidden="1">#REF!</definedName>
    <definedName name="BLPH130" localSheetId="6" hidden="1">#REF!</definedName>
    <definedName name="BLPH130" localSheetId="17" hidden="1">#REF!</definedName>
    <definedName name="BLPH130" localSheetId="7" hidden="1">#REF!</definedName>
    <definedName name="BLPH130" localSheetId="3" hidden="1">#REF!</definedName>
    <definedName name="BLPH130" localSheetId="21" hidden="1">#REF!</definedName>
    <definedName name="BLPH130" hidden="1">#REF!</definedName>
    <definedName name="BLPH131" localSheetId="0" hidden="1">#REF!</definedName>
    <definedName name="BLPH131" localSheetId="27" hidden="1">#REF!</definedName>
    <definedName name="BLPH131" localSheetId="19" hidden="1">#REF!</definedName>
    <definedName name="BLPH131" localSheetId="1" hidden="1">#REF!</definedName>
    <definedName name="BLPH131" localSheetId="8" hidden="1">#REF!</definedName>
    <definedName name="BLPH131" localSheetId="6" hidden="1">#REF!</definedName>
    <definedName name="BLPH131" localSheetId="17" hidden="1">#REF!</definedName>
    <definedName name="BLPH131" localSheetId="7" hidden="1">#REF!</definedName>
    <definedName name="BLPH131" localSheetId="3" hidden="1">#REF!</definedName>
    <definedName name="BLPH131" localSheetId="21" hidden="1">#REF!</definedName>
    <definedName name="BLPH131" hidden="1">#REF!</definedName>
    <definedName name="BLPH132" localSheetId="0" hidden="1">#REF!</definedName>
    <definedName name="BLPH132" localSheetId="27" hidden="1">#REF!</definedName>
    <definedName name="BLPH132" localSheetId="19" hidden="1">#REF!</definedName>
    <definedName name="BLPH132" localSheetId="1" hidden="1">#REF!</definedName>
    <definedName name="BLPH132" localSheetId="8" hidden="1">#REF!</definedName>
    <definedName name="BLPH132" localSheetId="6" hidden="1">#REF!</definedName>
    <definedName name="BLPH132" localSheetId="17" hidden="1">#REF!</definedName>
    <definedName name="BLPH132" localSheetId="7" hidden="1">#REF!</definedName>
    <definedName name="BLPH132" localSheetId="3" hidden="1">#REF!</definedName>
    <definedName name="BLPH132" localSheetId="21" hidden="1">#REF!</definedName>
    <definedName name="BLPH132" hidden="1">#REF!</definedName>
    <definedName name="BLPH133" localSheetId="0" hidden="1">#REF!</definedName>
    <definedName name="BLPH133" localSheetId="27" hidden="1">#REF!</definedName>
    <definedName name="BLPH133" localSheetId="19" hidden="1">#REF!</definedName>
    <definedName name="BLPH133" localSheetId="1" hidden="1">#REF!</definedName>
    <definedName name="BLPH133" localSheetId="8" hidden="1">#REF!</definedName>
    <definedName name="BLPH133" localSheetId="6" hidden="1">#REF!</definedName>
    <definedName name="BLPH133" localSheetId="17" hidden="1">#REF!</definedName>
    <definedName name="BLPH133" localSheetId="7" hidden="1">#REF!</definedName>
    <definedName name="BLPH133" localSheetId="3" hidden="1">#REF!</definedName>
    <definedName name="BLPH133" localSheetId="21" hidden="1">#REF!</definedName>
    <definedName name="BLPH133" hidden="1">#REF!</definedName>
    <definedName name="BLPH134" localSheetId="0" hidden="1">#REF!</definedName>
    <definedName name="BLPH134" localSheetId="27" hidden="1">#REF!</definedName>
    <definedName name="BLPH134" localSheetId="19" hidden="1">#REF!</definedName>
    <definedName name="BLPH134" localSheetId="1" hidden="1">#REF!</definedName>
    <definedName name="BLPH134" localSheetId="8" hidden="1">#REF!</definedName>
    <definedName name="BLPH134" localSheetId="6" hidden="1">#REF!</definedName>
    <definedName name="BLPH134" localSheetId="17" hidden="1">#REF!</definedName>
    <definedName name="BLPH134" localSheetId="7" hidden="1">#REF!</definedName>
    <definedName name="BLPH134" localSheetId="3" hidden="1">#REF!</definedName>
    <definedName name="BLPH134" localSheetId="21" hidden="1">#REF!</definedName>
    <definedName name="BLPH134" hidden="1">#REF!</definedName>
    <definedName name="BLPH135" localSheetId="0" hidden="1">#REF!</definedName>
    <definedName name="BLPH135" localSheetId="27" hidden="1">#REF!</definedName>
    <definedName name="BLPH135" localSheetId="19" hidden="1">#REF!</definedName>
    <definedName name="BLPH135" localSheetId="1" hidden="1">#REF!</definedName>
    <definedName name="BLPH135" localSheetId="8" hidden="1">#REF!</definedName>
    <definedName name="BLPH135" localSheetId="6" hidden="1">#REF!</definedName>
    <definedName name="BLPH135" localSheetId="17" hidden="1">#REF!</definedName>
    <definedName name="BLPH135" localSheetId="7" hidden="1">#REF!</definedName>
    <definedName name="BLPH135" localSheetId="3" hidden="1">#REF!</definedName>
    <definedName name="BLPH135" localSheetId="21" hidden="1">#REF!</definedName>
    <definedName name="BLPH135" hidden="1">#REF!</definedName>
    <definedName name="BLPH136" localSheetId="0" hidden="1">#REF!</definedName>
    <definedName name="BLPH136" localSheetId="27" hidden="1">#REF!</definedName>
    <definedName name="BLPH136" localSheetId="19" hidden="1">#REF!</definedName>
    <definedName name="BLPH136" localSheetId="1" hidden="1">#REF!</definedName>
    <definedName name="BLPH136" localSheetId="8" hidden="1">#REF!</definedName>
    <definedName name="BLPH136" localSheetId="6" hidden="1">#REF!</definedName>
    <definedName name="BLPH136" localSheetId="17" hidden="1">#REF!</definedName>
    <definedName name="BLPH136" localSheetId="7" hidden="1">#REF!</definedName>
    <definedName name="BLPH136" localSheetId="3" hidden="1">#REF!</definedName>
    <definedName name="BLPH136" localSheetId="21" hidden="1">#REF!</definedName>
    <definedName name="BLPH136" hidden="1">#REF!</definedName>
    <definedName name="BLPH137" localSheetId="0" hidden="1">#REF!</definedName>
    <definedName name="BLPH137" localSheetId="27" hidden="1">#REF!</definedName>
    <definedName name="BLPH137" localSheetId="19" hidden="1">#REF!</definedName>
    <definedName name="BLPH137" localSheetId="1" hidden="1">#REF!</definedName>
    <definedName name="BLPH137" localSheetId="8" hidden="1">#REF!</definedName>
    <definedName name="BLPH137" localSheetId="6" hidden="1">#REF!</definedName>
    <definedName name="BLPH137" localSheetId="17" hidden="1">#REF!</definedName>
    <definedName name="BLPH137" localSheetId="7" hidden="1">#REF!</definedName>
    <definedName name="BLPH137" localSheetId="3" hidden="1">#REF!</definedName>
    <definedName name="BLPH137" localSheetId="21" hidden="1">#REF!</definedName>
    <definedName name="BLPH137" hidden="1">#REF!</definedName>
    <definedName name="BLPH138" localSheetId="0" hidden="1">#REF!</definedName>
    <definedName name="BLPH138" localSheetId="27" hidden="1">#REF!</definedName>
    <definedName name="BLPH138" localSheetId="19" hidden="1">#REF!</definedName>
    <definedName name="BLPH138" localSheetId="1" hidden="1">#REF!</definedName>
    <definedName name="BLPH138" localSheetId="8" hidden="1">#REF!</definedName>
    <definedName name="BLPH138" localSheetId="6" hidden="1">#REF!</definedName>
    <definedName name="BLPH138" localSheetId="17" hidden="1">#REF!</definedName>
    <definedName name="BLPH138" localSheetId="7" hidden="1">#REF!</definedName>
    <definedName name="BLPH138" localSheetId="3" hidden="1">#REF!</definedName>
    <definedName name="BLPH138" localSheetId="21" hidden="1">#REF!</definedName>
    <definedName name="BLPH138" hidden="1">#REF!</definedName>
    <definedName name="BLPH139" localSheetId="0" hidden="1">#REF!</definedName>
    <definedName name="BLPH139" localSheetId="27" hidden="1">#REF!</definedName>
    <definedName name="BLPH139" localSheetId="19" hidden="1">#REF!</definedName>
    <definedName name="BLPH139" localSheetId="1" hidden="1">#REF!</definedName>
    <definedName name="BLPH139" localSheetId="8" hidden="1">#REF!</definedName>
    <definedName name="BLPH139" localSheetId="6" hidden="1">#REF!</definedName>
    <definedName name="BLPH139" localSheetId="17" hidden="1">#REF!</definedName>
    <definedName name="BLPH139" localSheetId="7" hidden="1">#REF!</definedName>
    <definedName name="BLPH139" localSheetId="3" hidden="1">#REF!</definedName>
    <definedName name="BLPH139" localSheetId="21" hidden="1">#REF!</definedName>
    <definedName name="BLPH139" hidden="1">#REF!</definedName>
    <definedName name="BLPH14" localSheetId="0" hidden="1">#REF!</definedName>
    <definedName name="BLPH14" localSheetId="27" hidden="1">#REF!</definedName>
    <definedName name="BLPH14" localSheetId="19" hidden="1">#REF!</definedName>
    <definedName name="BLPH14" localSheetId="1" hidden="1">#REF!</definedName>
    <definedName name="BLPH14" localSheetId="8" hidden="1">#REF!</definedName>
    <definedName name="BLPH14" localSheetId="6" hidden="1">#REF!</definedName>
    <definedName name="BLPH14" localSheetId="17" hidden="1">#REF!</definedName>
    <definedName name="BLPH14" localSheetId="7" hidden="1">#REF!</definedName>
    <definedName name="BLPH14" localSheetId="3" hidden="1">#REF!</definedName>
    <definedName name="BLPH14" localSheetId="21" hidden="1">#REF!</definedName>
    <definedName name="BLPH14" hidden="1">#REF!</definedName>
    <definedName name="BLPH140" localSheetId="0" hidden="1">#REF!</definedName>
    <definedName name="BLPH140" localSheetId="27" hidden="1">#REF!</definedName>
    <definedName name="BLPH140" localSheetId="19" hidden="1">#REF!</definedName>
    <definedName name="BLPH140" localSheetId="1" hidden="1">#REF!</definedName>
    <definedName name="BLPH140" localSheetId="8" hidden="1">#REF!</definedName>
    <definedName name="BLPH140" localSheetId="6" hidden="1">#REF!</definedName>
    <definedName name="BLPH140" localSheetId="17" hidden="1">#REF!</definedName>
    <definedName name="BLPH140" localSheetId="7" hidden="1">#REF!</definedName>
    <definedName name="BLPH140" localSheetId="3" hidden="1">#REF!</definedName>
    <definedName name="BLPH140" localSheetId="21" hidden="1">#REF!</definedName>
    <definedName name="BLPH140" hidden="1">#REF!</definedName>
    <definedName name="BLPH141" localSheetId="0" hidden="1">#REF!</definedName>
    <definedName name="BLPH141" localSheetId="27" hidden="1">#REF!</definedName>
    <definedName name="BLPH141" localSheetId="19" hidden="1">#REF!</definedName>
    <definedName name="BLPH141" localSheetId="1" hidden="1">#REF!</definedName>
    <definedName name="BLPH141" localSheetId="8" hidden="1">#REF!</definedName>
    <definedName name="BLPH141" localSheetId="6" hidden="1">#REF!</definedName>
    <definedName name="BLPH141" localSheetId="17" hidden="1">#REF!</definedName>
    <definedName name="BLPH141" localSheetId="7" hidden="1">#REF!</definedName>
    <definedName name="BLPH141" localSheetId="3" hidden="1">#REF!</definedName>
    <definedName name="BLPH141" localSheetId="21" hidden="1">#REF!</definedName>
    <definedName name="BLPH141" hidden="1">#REF!</definedName>
    <definedName name="BLPH142" localSheetId="0" hidden="1">#REF!</definedName>
    <definedName name="BLPH142" localSheetId="27" hidden="1">#REF!</definedName>
    <definedName name="BLPH142" localSheetId="19" hidden="1">#REF!</definedName>
    <definedName name="BLPH142" localSheetId="1" hidden="1">#REF!</definedName>
    <definedName name="BLPH142" localSheetId="8" hidden="1">#REF!</definedName>
    <definedName name="BLPH142" localSheetId="6" hidden="1">#REF!</definedName>
    <definedName name="BLPH142" localSheetId="17" hidden="1">#REF!</definedName>
    <definedName name="BLPH142" localSheetId="7" hidden="1">#REF!</definedName>
    <definedName name="BLPH142" localSheetId="3" hidden="1">#REF!</definedName>
    <definedName name="BLPH142" localSheetId="21" hidden="1">#REF!</definedName>
    <definedName name="BLPH142" hidden="1">#REF!</definedName>
    <definedName name="BLPH143" localSheetId="0" hidden="1">#REF!</definedName>
    <definedName name="BLPH143" localSheetId="27" hidden="1">#REF!</definedName>
    <definedName name="BLPH143" localSheetId="19" hidden="1">#REF!</definedName>
    <definedName name="BLPH143" localSheetId="1" hidden="1">#REF!</definedName>
    <definedName name="BLPH143" localSheetId="8" hidden="1">#REF!</definedName>
    <definedName name="BLPH143" localSheetId="6" hidden="1">#REF!</definedName>
    <definedName name="BLPH143" localSheetId="17" hidden="1">#REF!</definedName>
    <definedName name="BLPH143" localSheetId="7" hidden="1">#REF!</definedName>
    <definedName name="BLPH143" localSheetId="3" hidden="1">#REF!</definedName>
    <definedName name="BLPH143" localSheetId="21" hidden="1">#REF!</definedName>
    <definedName name="BLPH143" hidden="1">#REF!</definedName>
    <definedName name="BLPH144" localSheetId="0" hidden="1">#REF!</definedName>
    <definedName name="BLPH144" localSheetId="27" hidden="1">#REF!</definedName>
    <definedName name="BLPH144" localSheetId="19" hidden="1">#REF!</definedName>
    <definedName name="BLPH144" localSheetId="1" hidden="1">#REF!</definedName>
    <definedName name="BLPH144" localSheetId="8" hidden="1">#REF!</definedName>
    <definedName name="BLPH144" localSheetId="6" hidden="1">#REF!</definedName>
    <definedName name="BLPH144" localSheetId="17" hidden="1">#REF!</definedName>
    <definedName name="BLPH144" localSheetId="7" hidden="1">#REF!</definedName>
    <definedName name="BLPH144" localSheetId="3" hidden="1">#REF!</definedName>
    <definedName name="BLPH144" localSheetId="21" hidden="1">#REF!</definedName>
    <definedName name="BLPH144" hidden="1">#REF!</definedName>
    <definedName name="BLPH145" localSheetId="0" hidden="1">#REF!</definedName>
    <definedName name="BLPH145" localSheetId="27" hidden="1">#REF!</definedName>
    <definedName name="BLPH145" localSheetId="19" hidden="1">#REF!</definedName>
    <definedName name="BLPH145" localSheetId="1" hidden="1">#REF!</definedName>
    <definedName name="BLPH145" localSheetId="8" hidden="1">#REF!</definedName>
    <definedName name="BLPH145" localSheetId="6" hidden="1">#REF!</definedName>
    <definedName name="BLPH145" localSheetId="17" hidden="1">#REF!</definedName>
    <definedName name="BLPH145" localSheetId="7" hidden="1">#REF!</definedName>
    <definedName name="BLPH145" localSheetId="3" hidden="1">#REF!</definedName>
    <definedName name="BLPH145" localSheetId="21" hidden="1">#REF!</definedName>
    <definedName name="BLPH145" hidden="1">#REF!</definedName>
    <definedName name="BLPH146" localSheetId="0" hidden="1">#REF!</definedName>
    <definedName name="BLPH146" localSheetId="27" hidden="1">#REF!</definedName>
    <definedName name="BLPH146" localSheetId="19" hidden="1">#REF!</definedName>
    <definedName name="BLPH146" localSheetId="1" hidden="1">#REF!</definedName>
    <definedName name="BLPH146" localSheetId="8" hidden="1">#REF!</definedName>
    <definedName name="BLPH146" localSheetId="6" hidden="1">#REF!</definedName>
    <definedName name="BLPH146" localSheetId="17" hidden="1">#REF!</definedName>
    <definedName name="BLPH146" localSheetId="7" hidden="1">#REF!</definedName>
    <definedName name="BLPH146" localSheetId="3" hidden="1">#REF!</definedName>
    <definedName name="BLPH146" localSheetId="21" hidden="1">#REF!</definedName>
    <definedName name="BLPH146" hidden="1">#REF!</definedName>
    <definedName name="BLPH147" localSheetId="0" hidden="1">#REF!</definedName>
    <definedName name="BLPH147" localSheetId="27" hidden="1">#REF!</definedName>
    <definedName name="BLPH147" localSheetId="19" hidden="1">#REF!</definedName>
    <definedName name="BLPH147" localSheetId="1" hidden="1">#REF!</definedName>
    <definedName name="BLPH147" localSheetId="8" hidden="1">#REF!</definedName>
    <definedName name="BLPH147" localSheetId="6" hidden="1">#REF!</definedName>
    <definedName name="BLPH147" localSheetId="17" hidden="1">#REF!</definedName>
    <definedName name="BLPH147" localSheetId="7" hidden="1">#REF!</definedName>
    <definedName name="BLPH147" localSheetId="3" hidden="1">#REF!</definedName>
    <definedName name="BLPH147" localSheetId="21" hidden="1">#REF!</definedName>
    <definedName name="BLPH147" hidden="1">#REF!</definedName>
    <definedName name="BLPH148" localSheetId="0" hidden="1">#REF!</definedName>
    <definedName name="BLPH148" localSheetId="27" hidden="1">#REF!</definedName>
    <definedName name="BLPH148" localSheetId="19" hidden="1">#REF!</definedName>
    <definedName name="BLPH148" localSheetId="1" hidden="1">#REF!</definedName>
    <definedName name="BLPH148" localSheetId="8" hidden="1">#REF!</definedName>
    <definedName name="BLPH148" localSheetId="6" hidden="1">#REF!</definedName>
    <definedName name="BLPH148" localSheetId="17" hidden="1">#REF!</definedName>
    <definedName name="BLPH148" localSheetId="7" hidden="1">#REF!</definedName>
    <definedName name="BLPH148" localSheetId="3" hidden="1">#REF!</definedName>
    <definedName name="BLPH148" localSheetId="21" hidden="1">#REF!</definedName>
    <definedName name="BLPH148" hidden="1">#REF!</definedName>
    <definedName name="BLPH149" localSheetId="0" hidden="1">#REF!</definedName>
    <definedName name="BLPH149" localSheetId="27" hidden="1">#REF!</definedName>
    <definedName name="BLPH149" localSheetId="19" hidden="1">#REF!</definedName>
    <definedName name="BLPH149" localSheetId="1" hidden="1">#REF!</definedName>
    <definedName name="BLPH149" localSheetId="8" hidden="1">#REF!</definedName>
    <definedName name="BLPH149" localSheetId="6" hidden="1">#REF!</definedName>
    <definedName name="BLPH149" localSheetId="17" hidden="1">#REF!</definedName>
    <definedName name="BLPH149" localSheetId="7" hidden="1">#REF!</definedName>
    <definedName name="BLPH149" localSheetId="3" hidden="1">#REF!</definedName>
    <definedName name="BLPH149" localSheetId="21" hidden="1">#REF!</definedName>
    <definedName name="BLPH149" hidden="1">#REF!</definedName>
    <definedName name="BLPH15" localSheetId="0" hidden="1">#REF!</definedName>
    <definedName name="BLPH15" localSheetId="27" hidden="1">#REF!</definedName>
    <definedName name="BLPH15" localSheetId="19" hidden="1">#REF!</definedName>
    <definedName name="BLPH15" localSheetId="1" hidden="1">#REF!</definedName>
    <definedName name="BLPH15" localSheetId="8" hidden="1">#REF!</definedName>
    <definedName name="BLPH15" localSheetId="6" hidden="1">#REF!</definedName>
    <definedName name="BLPH15" localSheetId="17" hidden="1">#REF!</definedName>
    <definedName name="BLPH15" localSheetId="7" hidden="1">#REF!</definedName>
    <definedName name="BLPH15" localSheetId="3" hidden="1">#REF!</definedName>
    <definedName name="BLPH15" localSheetId="21" hidden="1">#REF!</definedName>
    <definedName name="BLPH15" hidden="1">#REF!</definedName>
    <definedName name="BLPH150" localSheetId="0" hidden="1">#REF!</definedName>
    <definedName name="BLPH150" localSheetId="27" hidden="1">#REF!</definedName>
    <definedName name="BLPH150" localSheetId="19" hidden="1">#REF!</definedName>
    <definedName name="BLPH150" localSheetId="1" hidden="1">#REF!</definedName>
    <definedName name="BLPH150" localSheetId="8" hidden="1">#REF!</definedName>
    <definedName name="BLPH150" localSheetId="6" hidden="1">#REF!</definedName>
    <definedName name="BLPH150" localSheetId="17" hidden="1">#REF!</definedName>
    <definedName name="BLPH150" localSheetId="7" hidden="1">#REF!</definedName>
    <definedName name="BLPH150" localSheetId="3" hidden="1">#REF!</definedName>
    <definedName name="BLPH150" localSheetId="21" hidden="1">#REF!</definedName>
    <definedName name="BLPH150" hidden="1">#REF!</definedName>
    <definedName name="BLPH151" localSheetId="0" hidden="1">#REF!</definedName>
    <definedName name="BLPH151" localSheetId="27" hidden="1">#REF!</definedName>
    <definedName name="BLPH151" localSheetId="19" hidden="1">#REF!</definedName>
    <definedName name="BLPH151" localSheetId="1" hidden="1">#REF!</definedName>
    <definedName name="BLPH151" localSheetId="8" hidden="1">#REF!</definedName>
    <definedName name="BLPH151" localSheetId="6" hidden="1">#REF!</definedName>
    <definedName name="BLPH151" localSheetId="17" hidden="1">#REF!</definedName>
    <definedName name="BLPH151" localSheetId="7" hidden="1">#REF!</definedName>
    <definedName name="BLPH151" localSheetId="3" hidden="1">#REF!</definedName>
    <definedName name="BLPH151" localSheetId="21" hidden="1">#REF!</definedName>
    <definedName name="BLPH151" hidden="1">#REF!</definedName>
    <definedName name="BLPH152" localSheetId="0" hidden="1">#REF!</definedName>
    <definedName name="BLPH152" localSheetId="27" hidden="1">#REF!</definedName>
    <definedName name="BLPH152" localSheetId="19" hidden="1">#REF!</definedName>
    <definedName name="BLPH152" localSheetId="1" hidden="1">#REF!</definedName>
    <definedName name="BLPH152" localSheetId="8" hidden="1">#REF!</definedName>
    <definedName name="BLPH152" localSheetId="6" hidden="1">#REF!</definedName>
    <definedName name="BLPH152" localSheetId="17" hidden="1">#REF!</definedName>
    <definedName name="BLPH152" localSheetId="7" hidden="1">#REF!</definedName>
    <definedName name="BLPH152" localSheetId="3" hidden="1">#REF!</definedName>
    <definedName name="BLPH152" localSheetId="21" hidden="1">#REF!</definedName>
    <definedName name="BLPH152" hidden="1">#REF!</definedName>
    <definedName name="BLPH153" localSheetId="0" hidden="1">#REF!</definedName>
    <definedName name="BLPH153" localSheetId="27" hidden="1">#REF!</definedName>
    <definedName name="BLPH153" localSheetId="19" hidden="1">#REF!</definedName>
    <definedName name="BLPH153" localSheetId="1" hidden="1">#REF!</definedName>
    <definedName name="BLPH153" localSheetId="8" hidden="1">#REF!</definedName>
    <definedName name="BLPH153" localSheetId="6" hidden="1">#REF!</definedName>
    <definedName name="BLPH153" localSheetId="17" hidden="1">#REF!</definedName>
    <definedName name="BLPH153" localSheetId="7" hidden="1">#REF!</definedName>
    <definedName name="BLPH153" localSheetId="3" hidden="1">#REF!</definedName>
    <definedName name="BLPH153" localSheetId="21" hidden="1">#REF!</definedName>
    <definedName name="BLPH153" hidden="1">#REF!</definedName>
    <definedName name="BLPH154" localSheetId="0" hidden="1">#REF!</definedName>
    <definedName name="BLPH154" localSheetId="27" hidden="1">#REF!</definedName>
    <definedName name="BLPH154" localSheetId="19" hidden="1">#REF!</definedName>
    <definedName name="BLPH154" localSheetId="1" hidden="1">#REF!</definedName>
    <definedName name="BLPH154" localSheetId="8" hidden="1">#REF!</definedName>
    <definedName name="BLPH154" localSheetId="6" hidden="1">#REF!</definedName>
    <definedName name="BLPH154" localSheetId="17" hidden="1">#REF!</definedName>
    <definedName name="BLPH154" localSheetId="7" hidden="1">#REF!</definedName>
    <definedName name="BLPH154" localSheetId="3" hidden="1">#REF!</definedName>
    <definedName name="BLPH154" localSheetId="21" hidden="1">#REF!</definedName>
    <definedName name="BLPH154" hidden="1">#REF!</definedName>
    <definedName name="BLPH155" localSheetId="0" hidden="1">#REF!</definedName>
    <definedName name="BLPH155" localSheetId="27" hidden="1">#REF!</definedName>
    <definedName name="BLPH155" localSheetId="19" hidden="1">#REF!</definedName>
    <definedName name="BLPH155" localSheetId="1" hidden="1">#REF!</definedName>
    <definedName name="BLPH155" localSheetId="8" hidden="1">#REF!</definedName>
    <definedName name="BLPH155" localSheetId="6" hidden="1">#REF!</definedName>
    <definedName name="BLPH155" localSheetId="17" hidden="1">#REF!</definedName>
    <definedName name="BLPH155" localSheetId="7" hidden="1">#REF!</definedName>
    <definedName name="BLPH155" localSheetId="3" hidden="1">#REF!</definedName>
    <definedName name="BLPH155" localSheetId="21" hidden="1">#REF!</definedName>
    <definedName name="BLPH155" hidden="1">#REF!</definedName>
    <definedName name="BLPH156" localSheetId="0" hidden="1">#REF!</definedName>
    <definedName name="BLPH156" localSheetId="27" hidden="1">#REF!</definedName>
    <definedName name="BLPH156" localSheetId="19" hidden="1">#REF!</definedName>
    <definedName name="BLPH156" localSheetId="1" hidden="1">#REF!</definedName>
    <definedName name="BLPH156" localSheetId="8" hidden="1">#REF!</definedName>
    <definedName name="BLPH156" localSheetId="6" hidden="1">#REF!</definedName>
    <definedName name="BLPH156" localSheetId="17" hidden="1">#REF!</definedName>
    <definedName name="BLPH156" localSheetId="7" hidden="1">#REF!</definedName>
    <definedName name="BLPH156" localSheetId="3" hidden="1">#REF!</definedName>
    <definedName name="BLPH156" localSheetId="21" hidden="1">#REF!</definedName>
    <definedName name="BLPH156" hidden="1">#REF!</definedName>
    <definedName name="BLPH157" localSheetId="0" hidden="1">#REF!</definedName>
    <definedName name="BLPH157" localSheetId="27" hidden="1">#REF!</definedName>
    <definedName name="BLPH157" localSheetId="19" hidden="1">#REF!</definedName>
    <definedName name="BLPH157" localSheetId="1" hidden="1">#REF!</definedName>
    <definedName name="BLPH157" localSheetId="8" hidden="1">#REF!</definedName>
    <definedName name="BLPH157" localSheetId="6" hidden="1">#REF!</definedName>
    <definedName name="BLPH157" localSheetId="17" hidden="1">#REF!</definedName>
    <definedName name="BLPH157" localSheetId="7" hidden="1">#REF!</definedName>
    <definedName name="BLPH157" localSheetId="3" hidden="1">#REF!</definedName>
    <definedName name="BLPH157" localSheetId="21" hidden="1">#REF!</definedName>
    <definedName name="BLPH157" hidden="1">#REF!</definedName>
    <definedName name="BLPH158" localSheetId="0" hidden="1">#REF!</definedName>
    <definedName name="BLPH158" localSheetId="27" hidden="1">#REF!</definedName>
    <definedName name="BLPH158" localSheetId="19" hidden="1">#REF!</definedName>
    <definedName name="BLPH158" localSheetId="1" hidden="1">#REF!</definedName>
    <definedName name="BLPH158" localSheetId="8" hidden="1">#REF!</definedName>
    <definedName name="BLPH158" localSheetId="6" hidden="1">#REF!</definedName>
    <definedName name="BLPH158" localSheetId="17" hidden="1">#REF!</definedName>
    <definedName name="BLPH158" localSheetId="7" hidden="1">#REF!</definedName>
    <definedName name="BLPH158" localSheetId="3" hidden="1">#REF!</definedName>
    <definedName name="BLPH158" localSheetId="21" hidden="1">#REF!</definedName>
    <definedName name="BLPH158" hidden="1">#REF!</definedName>
    <definedName name="BLPH159" localSheetId="0" hidden="1">#REF!</definedName>
    <definedName name="BLPH159" localSheetId="27" hidden="1">#REF!</definedName>
    <definedName name="BLPH159" localSheetId="19" hidden="1">#REF!</definedName>
    <definedName name="BLPH159" localSheetId="1" hidden="1">#REF!</definedName>
    <definedName name="BLPH159" localSheetId="8" hidden="1">#REF!</definedName>
    <definedName name="BLPH159" localSheetId="6" hidden="1">#REF!</definedName>
    <definedName name="BLPH159" localSheetId="17" hidden="1">#REF!</definedName>
    <definedName name="BLPH159" localSheetId="7" hidden="1">#REF!</definedName>
    <definedName name="BLPH159" localSheetId="3" hidden="1">#REF!</definedName>
    <definedName name="BLPH159" localSheetId="21" hidden="1">#REF!</definedName>
    <definedName name="BLPH159" hidden="1">#REF!</definedName>
    <definedName name="BLPH16" localSheetId="0" hidden="1">#REF!</definedName>
    <definedName name="BLPH16" localSheetId="27" hidden="1">#REF!</definedName>
    <definedName name="BLPH16" localSheetId="19" hidden="1">#REF!</definedName>
    <definedName name="BLPH16" localSheetId="1" hidden="1">#REF!</definedName>
    <definedName name="BLPH16" localSheetId="8" hidden="1">#REF!</definedName>
    <definedName name="BLPH16" localSheetId="6" hidden="1">#REF!</definedName>
    <definedName name="BLPH16" localSheetId="17" hidden="1">#REF!</definedName>
    <definedName name="BLPH16" localSheetId="7" hidden="1">#REF!</definedName>
    <definedName name="BLPH16" localSheetId="3" hidden="1">#REF!</definedName>
    <definedName name="BLPH16" localSheetId="21" hidden="1">#REF!</definedName>
    <definedName name="BLPH16" hidden="1">#REF!</definedName>
    <definedName name="BLPH160" localSheetId="0" hidden="1">#REF!</definedName>
    <definedName name="BLPH160" localSheetId="27" hidden="1">#REF!</definedName>
    <definedName name="BLPH160" localSheetId="19" hidden="1">#REF!</definedName>
    <definedName name="BLPH160" localSheetId="1" hidden="1">#REF!</definedName>
    <definedName name="BLPH160" localSheetId="8" hidden="1">#REF!</definedName>
    <definedName name="BLPH160" localSheetId="6" hidden="1">#REF!</definedName>
    <definedName name="BLPH160" localSheetId="17" hidden="1">#REF!</definedName>
    <definedName name="BLPH160" localSheetId="7" hidden="1">#REF!</definedName>
    <definedName name="BLPH160" localSheetId="3" hidden="1">#REF!</definedName>
    <definedName name="BLPH160" localSheetId="21" hidden="1">#REF!</definedName>
    <definedName name="BLPH160" hidden="1">#REF!</definedName>
    <definedName name="BLPH161" localSheetId="0" hidden="1">#REF!</definedName>
    <definedName name="BLPH161" localSheetId="27" hidden="1">#REF!</definedName>
    <definedName name="BLPH161" localSheetId="19" hidden="1">#REF!</definedName>
    <definedName name="BLPH161" localSheetId="1" hidden="1">#REF!</definedName>
    <definedName name="BLPH161" localSheetId="8" hidden="1">#REF!</definedName>
    <definedName name="BLPH161" localSheetId="6" hidden="1">#REF!</definedName>
    <definedName name="BLPH161" localSheetId="17" hidden="1">#REF!</definedName>
    <definedName name="BLPH161" localSheetId="7" hidden="1">#REF!</definedName>
    <definedName name="BLPH161" localSheetId="3" hidden="1">#REF!</definedName>
    <definedName name="BLPH161" localSheetId="21" hidden="1">#REF!</definedName>
    <definedName name="BLPH161" hidden="1">#REF!</definedName>
    <definedName name="BLPH162" localSheetId="0" hidden="1">#REF!</definedName>
    <definedName name="BLPH162" localSheetId="27" hidden="1">#REF!</definedName>
    <definedName name="BLPH162" localSheetId="19" hidden="1">#REF!</definedName>
    <definedName name="BLPH162" localSheetId="1" hidden="1">#REF!</definedName>
    <definedName name="BLPH162" localSheetId="8" hidden="1">#REF!</definedName>
    <definedName name="BLPH162" localSheetId="6" hidden="1">#REF!</definedName>
    <definedName name="BLPH162" localSheetId="17" hidden="1">#REF!</definedName>
    <definedName name="BLPH162" localSheetId="7" hidden="1">#REF!</definedName>
    <definedName name="BLPH162" localSheetId="3" hidden="1">#REF!</definedName>
    <definedName name="BLPH162" localSheetId="21" hidden="1">#REF!</definedName>
    <definedName name="BLPH162" hidden="1">#REF!</definedName>
    <definedName name="BLPH163" localSheetId="0" hidden="1">#REF!</definedName>
    <definedName name="BLPH163" localSheetId="27" hidden="1">#REF!</definedName>
    <definedName name="BLPH163" localSheetId="19" hidden="1">#REF!</definedName>
    <definedName name="BLPH163" localSheetId="1" hidden="1">#REF!</definedName>
    <definedName name="BLPH163" localSheetId="8" hidden="1">#REF!</definedName>
    <definedName name="BLPH163" localSheetId="6" hidden="1">#REF!</definedName>
    <definedName name="BLPH163" localSheetId="17" hidden="1">#REF!</definedName>
    <definedName name="BLPH163" localSheetId="7" hidden="1">#REF!</definedName>
    <definedName name="BLPH163" localSheetId="3" hidden="1">#REF!</definedName>
    <definedName name="BLPH163" localSheetId="21" hidden="1">#REF!</definedName>
    <definedName name="BLPH163" hidden="1">#REF!</definedName>
    <definedName name="BLPH164" localSheetId="0" hidden="1">#REF!</definedName>
    <definedName name="BLPH164" localSheetId="27" hidden="1">#REF!</definedName>
    <definedName name="BLPH164" localSheetId="19" hidden="1">#REF!</definedName>
    <definedName name="BLPH164" localSheetId="1" hidden="1">#REF!</definedName>
    <definedName name="BLPH164" localSheetId="8" hidden="1">#REF!</definedName>
    <definedName name="BLPH164" localSheetId="6" hidden="1">#REF!</definedName>
    <definedName name="BLPH164" localSheetId="17" hidden="1">#REF!</definedName>
    <definedName name="BLPH164" localSheetId="7" hidden="1">#REF!</definedName>
    <definedName name="BLPH164" localSheetId="3" hidden="1">#REF!</definedName>
    <definedName name="BLPH164" localSheetId="21" hidden="1">#REF!</definedName>
    <definedName name="BLPH164" hidden="1">#REF!</definedName>
    <definedName name="BLPH165" localSheetId="0" hidden="1">#REF!</definedName>
    <definedName name="BLPH165" localSheetId="27" hidden="1">#REF!</definedName>
    <definedName name="BLPH165" localSheetId="19" hidden="1">#REF!</definedName>
    <definedName name="BLPH165" localSheetId="1" hidden="1">#REF!</definedName>
    <definedName name="BLPH165" localSheetId="8" hidden="1">#REF!</definedName>
    <definedName name="BLPH165" localSheetId="6" hidden="1">#REF!</definedName>
    <definedName name="BLPH165" localSheetId="17" hidden="1">#REF!</definedName>
    <definedName name="BLPH165" localSheetId="7" hidden="1">#REF!</definedName>
    <definedName name="BLPH165" localSheetId="3" hidden="1">#REF!</definedName>
    <definedName name="BLPH165" localSheetId="21" hidden="1">#REF!</definedName>
    <definedName name="BLPH165" hidden="1">#REF!</definedName>
    <definedName name="BLPH166" localSheetId="0" hidden="1">#REF!</definedName>
    <definedName name="BLPH166" localSheetId="27" hidden="1">#REF!</definedName>
    <definedName name="BLPH166" localSheetId="19" hidden="1">#REF!</definedName>
    <definedName name="BLPH166" localSheetId="1" hidden="1">#REF!</definedName>
    <definedName name="BLPH166" localSheetId="8" hidden="1">#REF!</definedName>
    <definedName name="BLPH166" localSheetId="6" hidden="1">#REF!</definedName>
    <definedName name="BLPH166" localSheetId="17" hidden="1">#REF!</definedName>
    <definedName name="BLPH166" localSheetId="7" hidden="1">#REF!</definedName>
    <definedName name="BLPH166" localSheetId="3" hidden="1">#REF!</definedName>
    <definedName name="BLPH166" localSheetId="21" hidden="1">#REF!</definedName>
    <definedName name="BLPH166" hidden="1">#REF!</definedName>
    <definedName name="BLPH167" localSheetId="0" hidden="1">#REF!</definedName>
    <definedName name="BLPH167" localSheetId="27" hidden="1">#REF!</definedName>
    <definedName name="BLPH167" localSheetId="19" hidden="1">#REF!</definedName>
    <definedName name="BLPH167" localSheetId="1" hidden="1">#REF!</definedName>
    <definedName name="BLPH167" localSheetId="8" hidden="1">#REF!</definedName>
    <definedName name="BLPH167" localSheetId="6" hidden="1">#REF!</definedName>
    <definedName name="BLPH167" localSheetId="17" hidden="1">#REF!</definedName>
    <definedName name="BLPH167" localSheetId="7" hidden="1">#REF!</definedName>
    <definedName name="BLPH167" localSheetId="3" hidden="1">#REF!</definedName>
    <definedName name="BLPH167" localSheetId="21" hidden="1">#REF!</definedName>
    <definedName name="BLPH167" hidden="1">#REF!</definedName>
    <definedName name="BLPH168" localSheetId="0" hidden="1">#REF!</definedName>
    <definedName name="BLPH168" localSheetId="27" hidden="1">#REF!</definedName>
    <definedName name="BLPH168" localSheetId="19" hidden="1">#REF!</definedName>
    <definedName name="BLPH168" localSheetId="1" hidden="1">#REF!</definedName>
    <definedName name="BLPH168" localSheetId="8" hidden="1">#REF!</definedName>
    <definedName name="BLPH168" localSheetId="6" hidden="1">#REF!</definedName>
    <definedName name="BLPH168" localSheetId="17" hidden="1">#REF!</definedName>
    <definedName name="BLPH168" localSheetId="7" hidden="1">#REF!</definedName>
    <definedName name="BLPH168" localSheetId="3" hidden="1">#REF!</definedName>
    <definedName name="BLPH168" localSheetId="21" hidden="1">#REF!</definedName>
    <definedName name="BLPH168" hidden="1">#REF!</definedName>
    <definedName name="BLPH169" localSheetId="0" hidden="1">#REF!</definedName>
    <definedName name="BLPH169" localSheetId="27" hidden="1">#REF!</definedName>
    <definedName name="BLPH169" localSheetId="19" hidden="1">#REF!</definedName>
    <definedName name="BLPH169" localSheetId="1" hidden="1">#REF!</definedName>
    <definedName name="BLPH169" localSheetId="8" hidden="1">#REF!</definedName>
    <definedName name="BLPH169" localSheetId="6" hidden="1">#REF!</definedName>
    <definedName name="BLPH169" localSheetId="17" hidden="1">#REF!</definedName>
    <definedName name="BLPH169" localSheetId="7" hidden="1">#REF!</definedName>
    <definedName name="BLPH169" localSheetId="3" hidden="1">#REF!</definedName>
    <definedName name="BLPH169" localSheetId="21" hidden="1">#REF!</definedName>
    <definedName name="BLPH169" hidden="1">#REF!</definedName>
    <definedName name="BLPH17" localSheetId="0" hidden="1">#REF!</definedName>
    <definedName name="BLPH17" localSheetId="27" hidden="1">#REF!</definedName>
    <definedName name="BLPH17" localSheetId="19" hidden="1">#REF!</definedName>
    <definedName name="BLPH17" localSheetId="1" hidden="1">#REF!</definedName>
    <definedName name="BLPH17" localSheetId="8" hidden="1">#REF!</definedName>
    <definedName name="BLPH17" localSheetId="6" hidden="1">#REF!</definedName>
    <definedName name="BLPH17" localSheetId="17" hidden="1">#REF!</definedName>
    <definedName name="BLPH17" localSheetId="7" hidden="1">#REF!</definedName>
    <definedName name="BLPH17" localSheetId="3" hidden="1">#REF!</definedName>
    <definedName name="BLPH17" localSheetId="21" hidden="1">#REF!</definedName>
    <definedName name="BLPH17" hidden="1">#REF!</definedName>
    <definedName name="BLPH170" localSheetId="0" hidden="1">#REF!</definedName>
    <definedName name="BLPH170" localSheetId="27" hidden="1">#REF!</definedName>
    <definedName name="BLPH170" localSheetId="19" hidden="1">#REF!</definedName>
    <definedName name="BLPH170" localSheetId="1" hidden="1">#REF!</definedName>
    <definedName name="BLPH170" localSheetId="8" hidden="1">#REF!</definedName>
    <definedName name="BLPH170" localSheetId="6" hidden="1">#REF!</definedName>
    <definedName name="BLPH170" localSheetId="17" hidden="1">#REF!</definedName>
    <definedName name="BLPH170" localSheetId="7" hidden="1">#REF!</definedName>
    <definedName name="BLPH170" localSheetId="3" hidden="1">#REF!</definedName>
    <definedName name="BLPH170" localSheetId="21" hidden="1">#REF!</definedName>
    <definedName name="BLPH170" hidden="1">#REF!</definedName>
    <definedName name="BLPH171" localSheetId="0" hidden="1">#REF!</definedName>
    <definedName name="BLPH171" localSheetId="27" hidden="1">#REF!</definedName>
    <definedName name="BLPH171" localSheetId="19" hidden="1">#REF!</definedName>
    <definedName name="BLPH171" localSheetId="1" hidden="1">#REF!</definedName>
    <definedName name="BLPH171" localSheetId="8" hidden="1">#REF!</definedName>
    <definedName name="BLPH171" localSheetId="6" hidden="1">#REF!</definedName>
    <definedName name="BLPH171" localSheetId="17" hidden="1">#REF!</definedName>
    <definedName name="BLPH171" localSheetId="7" hidden="1">#REF!</definedName>
    <definedName name="BLPH171" localSheetId="3" hidden="1">#REF!</definedName>
    <definedName name="BLPH171" localSheetId="21" hidden="1">#REF!</definedName>
    <definedName name="BLPH171" hidden="1">#REF!</definedName>
    <definedName name="BLPH172" localSheetId="0" hidden="1">#REF!</definedName>
    <definedName name="BLPH172" localSheetId="27" hidden="1">#REF!</definedName>
    <definedName name="BLPH172" localSheetId="19" hidden="1">#REF!</definedName>
    <definedName name="BLPH172" localSheetId="1" hidden="1">#REF!</definedName>
    <definedName name="BLPH172" localSheetId="8" hidden="1">#REF!</definedName>
    <definedName name="BLPH172" localSheetId="6" hidden="1">#REF!</definedName>
    <definedName name="BLPH172" localSheetId="17" hidden="1">#REF!</definedName>
    <definedName name="BLPH172" localSheetId="7" hidden="1">#REF!</definedName>
    <definedName name="BLPH172" localSheetId="3" hidden="1">#REF!</definedName>
    <definedName name="BLPH172" localSheetId="21" hidden="1">#REF!</definedName>
    <definedName name="BLPH172" hidden="1">#REF!</definedName>
    <definedName name="BLPH173" localSheetId="0" hidden="1">#REF!</definedName>
    <definedName name="BLPH173" localSheetId="27" hidden="1">#REF!</definedName>
    <definedName name="BLPH173" localSheetId="19" hidden="1">#REF!</definedName>
    <definedName name="BLPH173" localSheetId="1" hidden="1">#REF!</definedName>
    <definedName name="BLPH173" localSheetId="8" hidden="1">#REF!</definedName>
    <definedName name="BLPH173" localSheetId="6" hidden="1">#REF!</definedName>
    <definedName name="BLPH173" localSheetId="17" hidden="1">#REF!</definedName>
    <definedName name="BLPH173" localSheetId="7" hidden="1">#REF!</definedName>
    <definedName name="BLPH173" localSheetId="3" hidden="1">#REF!</definedName>
    <definedName name="BLPH173" localSheetId="21" hidden="1">#REF!</definedName>
    <definedName name="BLPH173" hidden="1">#REF!</definedName>
    <definedName name="BLPH174" localSheetId="0" hidden="1">#REF!</definedName>
    <definedName name="BLPH174" localSheetId="27" hidden="1">#REF!</definedName>
    <definedName name="BLPH174" localSheetId="19" hidden="1">#REF!</definedName>
    <definedName name="BLPH174" localSheetId="1" hidden="1">#REF!</definedName>
    <definedName name="BLPH174" localSheetId="8" hidden="1">#REF!</definedName>
    <definedName name="BLPH174" localSheetId="6" hidden="1">#REF!</definedName>
    <definedName name="BLPH174" localSheetId="17" hidden="1">#REF!</definedName>
    <definedName name="BLPH174" localSheetId="7" hidden="1">#REF!</definedName>
    <definedName name="BLPH174" localSheetId="3" hidden="1">#REF!</definedName>
    <definedName name="BLPH174" localSheetId="21" hidden="1">#REF!</definedName>
    <definedName name="BLPH174" hidden="1">#REF!</definedName>
    <definedName name="BLPH175" localSheetId="0" hidden="1">#REF!</definedName>
    <definedName name="BLPH175" localSheetId="27" hidden="1">#REF!</definedName>
    <definedName name="BLPH175" localSheetId="19" hidden="1">#REF!</definedName>
    <definedName name="BLPH175" localSheetId="1" hidden="1">#REF!</definedName>
    <definedName name="BLPH175" localSheetId="8" hidden="1">#REF!</definedName>
    <definedName name="BLPH175" localSheetId="6" hidden="1">#REF!</definedName>
    <definedName name="BLPH175" localSheetId="17" hidden="1">#REF!</definedName>
    <definedName name="BLPH175" localSheetId="7" hidden="1">#REF!</definedName>
    <definedName name="BLPH175" localSheetId="3" hidden="1">#REF!</definedName>
    <definedName name="BLPH175" localSheetId="21" hidden="1">#REF!</definedName>
    <definedName name="BLPH175" hidden="1">#REF!</definedName>
    <definedName name="BLPH176" localSheetId="0" hidden="1">#REF!</definedName>
    <definedName name="BLPH176" localSheetId="27" hidden="1">#REF!</definedName>
    <definedName name="BLPH176" localSheetId="19" hidden="1">#REF!</definedName>
    <definedName name="BLPH176" localSheetId="1" hidden="1">#REF!</definedName>
    <definedName name="BLPH176" localSheetId="8" hidden="1">#REF!</definedName>
    <definedName name="BLPH176" localSheetId="6" hidden="1">#REF!</definedName>
    <definedName name="BLPH176" localSheetId="17" hidden="1">#REF!</definedName>
    <definedName name="BLPH176" localSheetId="7" hidden="1">#REF!</definedName>
    <definedName name="BLPH176" localSheetId="3" hidden="1">#REF!</definedName>
    <definedName name="BLPH176" localSheetId="21" hidden="1">#REF!</definedName>
    <definedName name="BLPH176" hidden="1">#REF!</definedName>
    <definedName name="BLPH177" localSheetId="0" hidden="1">#REF!</definedName>
    <definedName name="BLPH177" localSheetId="27" hidden="1">#REF!</definedName>
    <definedName name="BLPH177" localSheetId="19" hidden="1">#REF!</definedName>
    <definedName name="BLPH177" localSheetId="1" hidden="1">#REF!</definedName>
    <definedName name="BLPH177" localSheetId="8" hidden="1">#REF!</definedName>
    <definedName name="BLPH177" localSheetId="6" hidden="1">#REF!</definedName>
    <definedName name="BLPH177" localSheetId="17" hidden="1">#REF!</definedName>
    <definedName name="BLPH177" localSheetId="7" hidden="1">#REF!</definedName>
    <definedName name="BLPH177" localSheetId="3" hidden="1">#REF!</definedName>
    <definedName name="BLPH177" localSheetId="21" hidden="1">#REF!</definedName>
    <definedName name="BLPH177" hidden="1">#REF!</definedName>
    <definedName name="BLPH178" localSheetId="0" hidden="1">#REF!</definedName>
    <definedName name="BLPH178" localSheetId="27" hidden="1">#REF!</definedName>
    <definedName name="BLPH178" localSheetId="19" hidden="1">#REF!</definedName>
    <definedName name="BLPH178" localSheetId="1" hidden="1">#REF!</definedName>
    <definedName name="BLPH178" localSheetId="8" hidden="1">#REF!</definedName>
    <definedName name="BLPH178" localSheetId="6" hidden="1">#REF!</definedName>
    <definedName name="BLPH178" localSheetId="17" hidden="1">#REF!</definedName>
    <definedName name="BLPH178" localSheetId="7" hidden="1">#REF!</definedName>
    <definedName name="BLPH178" localSheetId="3" hidden="1">#REF!</definedName>
    <definedName name="BLPH178" localSheetId="21" hidden="1">#REF!</definedName>
    <definedName name="BLPH178" hidden="1">#REF!</definedName>
    <definedName name="BLPH179" localSheetId="0" hidden="1">#REF!</definedName>
    <definedName name="BLPH179" localSheetId="27" hidden="1">#REF!</definedName>
    <definedName name="BLPH179" localSheetId="19" hidden="1">#REF!</definedName>
    <definedName name="BLPH179" localSheetId="1" hidden="1">#REF!</definedName>
    <definedName name="BLPH179" localSheetId="8" hidden="1">#REF!</definedName>
    <definedName name="BLPH179" localSheetId="6" hidden="1">#REF!</definedName>
    <definedName name="BLPH179" localSheetId="17" hidden="1">#REF!</definedName>
    <definedName name="BLPH179" localSheetId="7" hidden="1">#REF!</definedName>
    <definedName name="BLPH179" localSheetId="3" hidden="1">#REF!</definedName>
    <definedName name="BLPH179" localSheetId="21" hidden="1">#REF!</definedName>
    <definedName name="BLPH179" hidden="1">#REF!</definedName>
    <definedName name="BLPH18" localSheetId="0" hidden="1">#REF!</definedName>
    <definedName name="BLPH18" localSheetId="27" hidden="1">#REF!</definedName>
    <definedName name="BLPH18" localSheetId="19" hidden="1">#REF!</definedName>
    <definedName name="BLPH18" localSheetId="1" hidden="1">#REF!</definedName>
    <definedName name="BLPH18" localSheetId="8" hidden="1">#REF!</definedName>
    <definedName name="BLPH18" localSheetId="6" hidden="1">#REF!</definedName>
    <definedName name="BLPH18" localSheetId="17" hidden="1">#REF!</definedName>
    <definedName name="BLPH18" localSheetId="7" hidden="1">#REF!</definedName>
    <definedName name="BLPH18" localSheetId="3" hidden="1">#REF!</definedName>
    <definedName name="BLPH18" localSheetId="21" hidden="1">#REF!</definedName>
    <definedName name="BLPH18" hidden="1">#REF!</definedName>
    <definedName name="BLPH180" localSheetId="0" hidden="1">#REF!</definedName>
    <definedName name="BLPH180" localSheetId="27" hidden="1">#REF!</definedName>
    <definedName name="BLPH180" localSheetId="19" hidden="1">#REF!</definedName>
    <definedName name="BLPH180" localSheetId="1" hidden="1">#REF!</definedName>
    <definedName name="BLPH180" localSheetId="8" hidden="1">#REF!</definedName>
    <definedName name="BLPH180" localSheetId="6" hidden="1">#REF!</definedName>
    <definedName name="BLPH180" localSheetId="17" hidden="1">#REF!</definedName>
    <definedName name="BLPH180" localSheetId="7" hidden="1">#REF!</definedName>
    <definedName name="BLPH180" localSheetId="3" hidden="1">#REF!</definedName>
    <definedName name="BLPH180" localSheetId="21" hidden="1">#REF!</definedName>
    <definedName name="BLPH180" hidden="1">#REF!</definedName>
    <definedName name="BLPH181" localSheetId="0" hidden="1">#REF!</definedName>
    <definedName name="BLPH181" localSheetId="27" hidden="1">#REF!</definedName>
    <definedName name="BLPH181" localSheetId="19" hidden="1">#REF!</definedName>
    <definedName name="BLPH181" localSheetId="1" hidden="1">#REF!</definedName>
    <definedName name="BLPH181" localSheetId="8" hidden="1">#REF!</definedName>
    <definedName name="BLPH181" localSheetId="6" hidden="1">#REF!</definedName>
    <definedName name="BLPH181" localSheetId="17" hidden="1">#REF!</definedName>
    <definedName name="BLPH181" localSheetId="7" hidden="1">#REF!</definedName>
    <definedName name="BLPH181" localSheetId="3" hidden="1">#REF!</definedName>
    <definedName name="BLPH181" localSheetId="21" hidden="1">#REF!</definedName>
    <definedName name="BLPH181" hidden="1">#REF!</definedName>
    <definedName name="BLPH182" localSheetId="0" hidden="1">#REF!</definedName>
    <definedName name="BLPH182" localSheetId="27" hidden="1">#REF!</definedName>
    <definedName name="BLPH182" localSheetId="19" hidden="1">#REF!</definedName>
    <definedName name="BLPH182" localSheetId="1" hidden="1">#REF!</definedName>
    <definedName name="BLPH182" localSheetId="8" hidden="1">#REF!</definedName>
    <definedName name="BLPH182" localSheetId="6" hidden="1">#REF!</definedName>
    <definedName name="BLPH182" localSheetId="17" hidden="1">#REF!</definedName>
    <definedName name="BLPH182" localSheetId="7" hidden="1">#REF!</definedName>
    <definedName name="BLPH182" localSheetId="3" hidden="1">#REF!</definedName>
    <definedName name="BLPH182" localSheetId="21" hidden="1">#REF!</definedName>
    <definedName name="BLPH182" hidden="1">#REF!</definedName>
    <definedName name="BLPH183" localSheetId="0" hidden="1">#REF!</definedName>
    <definedName name="BLPH183" localSheetId="27" hidden="1">#REF!</definedName>
    <definedName name="BLPH183" localSheetId="19" hidden="1">#REF!</definedName>
    <definedName name="BLPH183" localSheetId="1" hidden="1">#REF!</definedName>
    <definedName name="BLPH183" localSheetId="8" hidden="1">#REF!</definedName>
    <definedName name="BLPH183" localSheetId="6" hidden="1">#REF!</definedName>
    <definedName name="BLPH183" localSheetId="17" hidden="1">#REF!</definedName>
    <definedName name="BLPH183" localSheetId="7" hidden="1">#REF!</definedName>
    <definedName name="BLPH183" localSheetId="3" hidden="1">#REF!</definedName>
    <definedName name="BLPH183" localSheetId="21" hidden="1">#REF!</definedName>
    <definedName name="BLPH183" hidden="1">#REF!</definedName>
    <definedName name="BLPH184" localSheetId="0" hidden="1">#REF!</definedName>
    <definedName name="BLPH184" localSheetId="27" hidden="1">#REF!</definedName>
    <definedName name="BLPH184" localSheetId="19" hidden="1">#REF!</definedName>
    <definedName name="BLPH184" localSheetId="1" hidden="1">#REF!</definedName>
    <definedName name="BLPH184" localSheetId="8" hidden="1">#REF!</definedName>
    <definedName name="BLPH184" localSheetId="6" hidden="1">#REF!</definedName>
    <definedName name="BLPH184" localSheetId="17" hidden="1">#REF!</definedName>
    <definedName name="BLPH184" localSheetId="7" hidden="1">#REF!</definedName>
    <definedName name="BLPH184" localSheetId="3" hidden="1">#REF!</definedName>
    <definedName name="BLPH184" localSheetId="21" hidden="1">#REF!</definedName>
    <definedName name="BLPH184" hidden="1">#REF!</definedName>
    <definedName name="BLPH185" localSheetId="0" hidden="1">#REF!</definedName>
    <definedName name="BLPH185" localSheetId="27" hidden="1">#REF!</definedName>
    <definedName name="BLPH185" localSheetId="19" hidden="1">#REF!</definedName>
    <definedName name="BLPH185" localSheetId="1" hidden="1">#REF!</definedName>
    <definedName name="BLPH185" localSheetId="8" hidden="1">#REF!</definedName>
    <definedName name="BLPH185" localSheetId="6" hidden="1">#REF!</definedName>
    <definedName name="BLPH185" localSheetId="17" hidden="1">#REF!</definedName>
    <definedName name="BLPH185" localSheetId="7" hidden="1">#REF!</definedName>
    <definedName name="BLPH185" localSheetId="3" hidden="1">#REF!</definedName>
    <definedName name="BLPH185" localSheetId="21" hidden="1">#REF!</definedName>
    <definedName name="BLPH185" hidden="1">#REF!</definedName>
    <definedName name="BLPH186" localSheetId="0" hidden="1">#REF!</definedName>
    <definedName name="BLPH186" localSheetId="27" hidden="1">#REF!</definedName>
    <definedName name="BLPH186" localSheetId="19" hidden="1">#REF!</definedName>
    <definedName name="BLPH186" localSheetId="1" hidden="1">#REF!</definedName>
    <definedName name="BLPH186" localSheetId="8" hidden="1">#REF!</definedName>
    <definedName name="BLPH186" localSheetId="6" hidden="1">#REF!</definedName>
    <definedName name="BLPH186" localSheetId="17" hidden="1">#REF!</definedName>
    <definedName name="BLPH186" localSheetId="7" hidden="1">#REF!</definedName>
    <definedName name="BLPH186" localSheetId="3" hidden="1">#REF!</definedName>
    <definedName name="BLPH186" localSheetId="21" hidden="1">#REF!</definedName>
    <definedName name="BLPH186" hidden="1">#REF!</definedName>
    <definedName name="BLPH187" localSheetId="0" hidden="1">#REF!</definedName>
    <definedName name="BLPH187" localSheetId="27" hidden="1">#REF!</definedName>
    <definedName name="BLPH187" localSheetId="19" hidden="1">#REF!</definedName>
    <definedName name="BLPH187" localSheetId="1" hidden="1">#REF!</definedName>
    <definedName name="BLPH187" localSheetId="8" hidden="1">#REF!</definedName>
    <definedName name="BLPH187" localSheetId="6" hidden="1">#REF!</definedName>
    <definedName name="BLPH187" localSheetId="17" hidden="1">#REF!</definedName>
    <definedName name="BLPH187" localSheetId="7" hidden="1">#REF!</definedName>
    <definedName name="BLPH187" localSheetId="3" hidden="1">#REF!</definedName>
    <definedName name="BLPH187" localSheetId="21" hidden="1">#REF!</definedName>
    <definedName name="BLPH187" hidden="1">#REF!</definedName>
    <definedName name="BLPH188" localSheetId="0" hidden="1">#REF!</definedName>
    <definedName name="BLPH188" localSheetId="27" hidden="1">#REF!</definedName>
    <definedName name="BLPH188" localSheetId="19" hidden="1">#REF!</definedName>
    <definedName name="BLPH188" localSheetId="1" hidden="1">#REF!</definedName>
    <definedName name="BLPH188" localSheetId="8" hidden="1">#REF!</definedName>
    <definedName name="BLPH188" localSheetId="6" hidden="1">#REF!</definedName>
    <definedName name="BLPH188" localSheetId="17" hidden="1">#REF!</definedName>
    <definedName name="BLPH188" localSheetId="7" hidden="1">#REF!</definedName>
    <definedName name="BLPH188" localSheetId="3" hidden="1">#REF!</definedName>
    <definedName name="BLPH188" localSheetId="21" hidden="1">#REF!</definedName>
    <definedName name="BLPH188" hidden="1">#REF!</definedName>
    <definedName name="BLPH189" localSheetId="0" hidden="1">#REF!</definedName>
    <definedName name="BLPH189" localSheetId="27" hidden="1">#REF!</definedName>
    <definedName name="BLPH189" localSheetId="19" hidden="1">#REF!</definedName>
    <definedName name="BLPH189" localSheetId="1" hidden="1">#REF!</definedName>
    <definedName name="BLPH189" localSheetId="8" hidden="1">#REF!</definedName>
    <definedName name="BLPH189" localSheetId="6" hidden="1">#REF!</definedName>
    <definedName name="BLPH189" localSheetId="17" hidden="1">#REF!</definedName>
    <definedName name="BLPH189" localSheetId="7" hidden="1">#REF!</definedName>
    <definedName name="BLPH189" localSheetId="3" hidden="1">#REF!</definedName>
    <definedName name="BLPH189" localSheetId="21" hidden="1">#REF!</definedName>
    <definedName name="BLPH189" hidden="1">#REF!</definedName>
    <definedName name="BLPH19" localSheetId="0" hidden="1">#REF!</definedName>
    <definedName name="BLPH19" localSheetId="27" hidden="1">#REF!</definedName>
    <definedName name="BLPH19" localSheetId="19" hidden="1">#REF!</definedName>
    <definedName name="BLPH19" localSheetId="1" hidden="1">#REF!</definedName>
    <definedName name="BLPH19" localSheetId="8" hidden="1">#REF!</definedName>
    <definedName name="BLPH19" localSheetId="6" hidden="1">#REF!</definedName>
    <definedName name="BLPH19" localSheetId="17" hidden="1">#REF!</definedName>
    <definedName name="BLPH19" localSheetId="7" hidden="1">#REF!</definedName>
    <definedName name="BLPH19" localSheetId="3" hidden="1">#REF!</definedName>
    <definedName name="BLPH19" localSheetId="21" hidden="1">#REF!</definedName>
    <definedName name="BLPH19" hidden="1">#REF!</definedName>
    <definedName name="BLPH190" localSheetId="0" hidden="1">#REF!</definedName>
    <definedName name="BLPH190" localSheetId="27" hidden="1">#REF!</definedName>
    <definedName name="BLPH190" localSheetId="19" hidden="1">#REF!</definedName>
    <definedName name="BLPH190" localSheetId="1" hidden="1">#REF!</definedName>
    <definedName name="BLPH190" localSheetId="8" hidden="1">#REF!</definedName>
    <definedName name="BLPH190" localSheetId="6" hidden="1">#REF!</definedName>
    <definedName name="BLPH190" localSheetId="17" hidden="1">#REF!</definedName>
    <definedName name="BLPH190" localSheetId="7" hidden="1">#REF!</definedName>
    <definedName name="BLPH190" localSheetId="3" hidden="1">#REF!</definedName>
    <definedName name="BLPH190" localSheetId="21" hidden="1">#REF!</definedName>
    <definedName name="BLPH190" hidden="1">#REF!</definedName>
    <definedName name="BLPH191" localSheetId="0" hidden="1">#REF!</definedName>
    <definedName name="BLPH191" localSheetId="27" hidden="1">#REF!</definedName>
    <definedName name="BLPH191" localSheetId="19" hidden="1">#REF!</definedName>
    <definedName name="BLPH191" localSheetId="1" hidden="1">#REF!</definedName>
    <definedName name="BLPH191" localSheetId="8" hidden="1">#REF!</definedName>
    <definedName name="BLPH191" localSheetId="6" hidden="1">#REF!</definedName>
    <definedName name="BLPH191" localSheetId="17" hidden="1">#REF!</definedName>
    <definedName name="BLPH191" localSheetId="7" hidden="1">#REF!</definedName>
    <definedName name="BLPH191" localSheetId="3" hidden="1">#REF!</definedName>
    <definedName name="BLPH191" localSheetId="21" hidden="1">#REF!</definedName>
    <definedName name="BLPH191" hidden="1">#REF!</definedName>
    <definedName name="BLPH192" localSheetId="0" hidden="1">#REF!</definedName>
    <definedName name="BLPH192" localSheetId="27" hidden="1">#REF!</definedName>
    <definedName name="BLPH192" localSheetId="19" hidden="1">#REF!</definedName>
    <definedName name="BLPH192" localSheetId="1" hidden="1">#REF!</definedName>
    <definedName name="BLPH192" localSheetId="8" hidden="1">#REF!</definedName>
    <definedName name="BLPH192" localSheetId="6" hidden="1">#REF!</definedName>
    <definedName name="BLPH192" localSheetId="17" hidden="1">#REF!</definedName>
    <definedName name="BLPH192" localSheetId="7" hidden="1">#REF!</definedName>
    <definedName name="BLPH192" localSheetId="3" hidden="1">#REF!</definedName>
    <definedName name="BLPH192" localSheetId="21" hidden="1">#REF!</definedName>
    <definedName name="BLPH192" hidden="1">#REF!</definedName>
    <definedName name="BLPH193" localSheetId="0" hidden="1">#REF!</definedName>
    <definedName name="BLPH193" localSheetId="27" hidden="1">#REF!</definedName>
    <definedName name="BLPH193" localSheetId="19" hidden="1">#REF!</definedName>
    <definedName name="BLPH193" localSheetId="1" hidden="1">#REF!</definedName>
    <definedName name="BLPH193" localSheetId="8" hidden="1">#REF!</definedName>
    <definedName name="BLPH193" localSheetId="6" hidden="1">#REF!</definedName>
    <definedName name="BLPH193" localSheetId="17" hidden="1">#REF!</definedName>
    <definedName name="BLPH193" localSheetId="7" hidden="1">#REF!</definedName>
    <definedName name="BLPH193" localSheetId="3" hidden="1">#REF!</definedName>
    <definedName name="BLPH193" localSheetId="21" hidden="1">#REF!</definedName>
    <definedName name="BLPH193" hidden="1">#REF!</definedName>
    <definedName name="BLPH194" localSheetId="0" hidden="1">#REF!</definedName>
    <definedName name="BLPH194" localSheetId="27" hidden="1">#REF!</definedName>
    <definedName name="BLPH194" localSheetId="19" hidden="1">#REF!</definedName>
    <definedName name="BLPH194" localSheetId="1" hidden="1">#REF!</definedName>
    <definedName name="BLPH194" localSheetId="8" hidden="1">#REF!</definedName>
    <definedName name="BLPH194" localSheetId="6" hidden="1">#REF!</definedName>
    <definedName name="BLPH194" localSheetId="17" hidden="1">#REF!</definedName>
    <definedName name="BLPH194" localSheetId="7" hidden="1">#REF!</definedName>
    <definedName name="BLPH194" localSheetId="3" hidden="1">#REF!</definedName>
    <definedName name="BLPH194" localSheetId="21" hidden="1">#REF!</definedName>
    <definedName name="BLPH194" hidden="1">#REF!</definedName>
    <definedName name="BLPH195" localSheetId="0" hidden="1">#REF!</definedName>
    <definedName name="BLPH195" localSheetId="27" hidden="1">#REF!</definedName>
    <definedName name="BLPH195" localSheetId="19" hidden="1">#REF!</definedName>
    <definedName name="BLPH195" localSheetId="1" hidden="1">#REF!</definedName>
    <definedName name="BLPH195" localSheetId="8" hidden="1">#REF!</definedName>
    <definedName name="BLPH195" localSheetId="6" hidden="1">#REF!</definedName>
    <definedName name="BLPH195" localSheetId="17" hidden="1">#REF!</definedName>
    <definedName name="BLPH195" localSheetId="7" hidden="1">#REF!</definedName>
    <definedName name="BLPH195" localSheetId="3" hidden="1">#REF!</definedName>
    <definedName name="BLPH195" localSheetId="21" hidden="1">#REF!</definedName>
    <definedName name="BLPH195" hidden="1">#REF!</definedName>
    <definedName name="BLPH196" localSheetId="0" hidden="1">#REF!</definedName>
    <definedName name="BLPH196" localSheetId="27" hidden="1">#REF!</definedName>
    <definedName name="BLPH196" localSheetId="19" hidden="1">#REF!</definedName>
    <definedName name="BLPH196" localSheetId="1" hidden="1">#REF!</definedName>
    <definedName name="BLPH196" localSheetId="8" hidden="1">#REF!</definedName>
    <definedName name="BLPH196" localSheetId="6" hidden="1">#REF!</definedName>
    <definedName name="BLPH196" localSheetId="17" hidden="1">#REF!</definedName>
    <definedName name="BLPH196" localSheetId="7" hidden="1">#REF!</definedName>
    <definedName name="BLPH196" localSheetId="3" hidden="1">#REF!</definedName>
    <definedName name="BLPH196" localSheetId="21" hidden="1">#REF!</definedName>
    <definedName name="BLPH196" hidden="1">#REF!</definedName>
    <definedName name="BLPH197" localSheetId="0" hidden="1">#REF!</definedName>
    <definedName name="BLPH197" localSheetId="27" hidden="1">#REF!</definedName>
    <definedName name="BLPH197" localSheetId="19" hidden="1">#REF!</definedName>
    <definedName name="BLPH197" localSheetId="1" hidden="1">#REF!</definedName>
    <definedName name="BLPH197" localSheetId="8" hidden="1">#REF!</definedName>
    <definedName name="BLPH197" localSheetId="6" hidden="1">#REF!</definedName>
    <definedName name="BLPH197" localSheetId="17" hidden="1">#REF!</definedName>
    <definedName name="BLPH197" localSheetId="7" hidden="1">#REF!</definedName>
    <definedName name="BLPH197" localSheetId="3" hidden="1">#REF!</definedName>
    <definedName name="BLPH197" localSheetId="21" hidden="1">#REF!</definedName>
    <definedName name="BLPH197" hidden="1">#REF!</definedName>
    <definedName name="BLPH198" localSheetId="0" hidden="1">#REF!</definedName>
    <definedName name="BLPH198" localSheetId="27" hidden="1">#REF!</definedName>
    <definedName name="BLPH198" localSheetId="19" hidden="1">#REF!</definedName>
    <definedName name="BLPH198" localSheetId="1" hidden="1">#REF!</definedName>
    <definedName name="BLPH198" localSheetId="8" hidden="1">#REF!</definedName>
    <definedName name="BLPH198" localSheetId="6" hidden="1">#REF!</definedName>
    <definedName name="BLPH198" localSheetId="17" hidden="1">#REF!</definedName>
    <definedName name="BLPH198" localSheetId="7" hidden="1">#REF!</definedName>
    <definedName name="BLPH198" localSheetId="3" hidden="1">#REF!</definedName>
    <definedName name="BLPH198" localSheetId="21" hidden="1">#REF!</definedName>
    <definedName name="BLPH198" hidden="1">#REF!</definedName>
    <definedName name="BLPH199" localSheetId="0" hidden="1">#REF!</definedName>
    <definedName name="BLPH199" localSheetId="27" hidden="1">#REF!</definedName>
    <definedName name="BLPH199" localSheetId="19" hidden="1">#REF!</definedName>
    <definedName name="BLPH199" localSheetId="1" hidden="1">#REF!</definedName>
    <definedName name="BLPH199" localSheetId="8" hidden="1">#REF!</definedName>
    <definedName name="BLPH199" localSheetId="6" hidden="1">#REF!</definedName>
    <definedName name="BLPH199" localSheetId="17" hidden="1">#REF!</definedName>
    <definedName name="BLPH199" localSheetId="7" hidden="1">#REF!</definedName>
    <definedName name="BLPH199" localSheetId="3" hidden="1">#REF!</definedName>
    <definedName name="BLPH199" localSheetId="21" hidden="1">#REF!</definedName>
    <definedName name="BLPH199" hidden="1">#REF!</definedName>
    <definedName name="BLPH2" localSheetId="0" hidden="1">#REF!</definedName>
    <definedName name="BLPH2" localSheetId="27" hidden="1">#REF!</definedName>
    <definedName name="BLPH2" localSheetId="19" hidden="1">#REF!</definedName>
    <definedName name="BLPH2" localSheetId="1" hidden="1">#REF!</definedName>
    <definedName name="BLPH2" localSheetId="8" hidden="1">#REF!</definedName>
    <definedName name="BLPH2" localSheetId="6" hidden="1">#REF!</definedName>
    <definedName name="BLPH2" localSheetId="17" hidden="1">#REF!</definedName>
    <definedName name="BLPH2" localSheetId="7" hidden="1">#REF!</definedName>
    <definedName name="BLPH2" localSheetId="3" hidden="1">#REF!</definedName>
    <definedName name="BLPH2" localSheetId="21" hidden="1">#REF!</definedName>
    <definedName name="BLPH2" hidden="1">#REF!</definedName>
    <definedName name="BLPH20" localSheetId="0" hidden="1">#REF!</definedName>
    <definedName name="BLPH20" localSheetId="27" hidden="1">#REF!</definedName>
    <definedName name="BLPH20" localSheetId="19" hidden="1">#REF!</definedName>
    <definedName name="BLPH20" localSheetId="1" hidden="1">#REF!</definedName>
    <definedName name="BLPH20" localSheetId="8" hidden="1">#REF!</definedName>
    <definedName name="BLPH20" localSheetId="6" hidden="1">#REF!</definedName>
    <definedName name="BLPH20" localSheetId="17" hidden="1">#REF!</definedName>
    <definedName name="BLPH20" localSheetId="7" hidden="1">#REF!</definedName>
    <definedName name="BLPH20" localSheetId="3" hidden="1">#REF!</definedName>
    <definedName name="BLPH20" localSheetId="21" hidden="1">#REF!</definedName>
    <definedName name="BLPH20" hidden="1">#REF!</definedName>
    <definedName name="BLPH200" localSheetId="0" hidden="1">#REF!</definedName>
    <definedName name="BLPH200" localSheetId="27" hidden="1">#REF!</definedName>
    <definedName name="BLPH200" localSheetId="19" hidden="1">#REF!</definedName>
    <definedName name="BLPH200" localSheetId="1" hidden="1">#REF!</definedName>
    <definedName name="BLPH200" localSheetId="8" hidden="1">#REF!</definedName>
    <definedName name="BLPH200" localSheetId="6" hidden="1">#REF!</definedName>
    <definedName name="BLPH200" localSheetId="17" hidden="1">#REF!</definedName>
    <definedName name="BLPH200" localSheetId="7" hidden="1">#REF!</definedName>
    <definedName name="BLPH200" localSheetId="3" hidden="1">#REF!</definedName>
    <definedName name="BLPH200" localSheetId="21" hidden="1">#REF!</definedName>
    <definedName name="BLPH200" hidden="1">#REF!</definedName>
    <definedName name="BLPH201" localSheetId="0" hidden="1">#REF!</definedName>
    <definedName name="BLPH201" localSheetId="27" hidden="1">#REF!</definedName>
    <definedName name="BLPH201" localSheetId="19" hidden="1">#REF!</definedName>
    <definedName name="BLPH201" localSheetId="1" hidden="1">#REF!</definedName>
    <definedName name="BLPH201" localSheetId="8" hidden="1">#REF!</definedName>
    <definedName name="BLPH201" localSheetId="6" hidden="1">#REF!</definedName>
    <definedName name="BLPH201" localSheetId="17" hidden="1">#REF!</definedName>
    <definedName name="BLPH201" localSheetId="7" hidden="1">#REF!</definedName>
    <definedName name="BLPH201" localSheetId="3" hidden="1">#REF!</definedName>
    <definedName name="BLPH201" localSheetId="21" hidden="1">#REF!</definedName>
    <definedName name="BLPH201" hidden="1">#REF!</definedName>
    <definedName name="BLPH21" localSheetId="0" hidden="1">#REF!</definedName>
    <definedName name="BLPH21" localSheetId="27" hidden="1">#REF!</definedName>
    <definedName name="BLPH21" localSheetId="19" hidden="1">#REF!</definedName>
    <definedName name="BLPH21" localSheetId="1" hidden="1">#REF!</definedName>
    <definedName name="BLPH21" localSheetId="8" hidden="1">#REF!</definedName>
    <definedName name="BLPH21" localSheetId="6" hidden="1">#REF!</definedName>
    <definedName name="BLPH21" localSheetId="17" hidden="1">#REF!</definedName>
    <definedName name="BLPH21" localSheetId="7" hidden="1">#REF!</definedName>
    <definedName name="BLPH21" localSheetId="3" hidden="1">#REF!</definedName>
    <definedName name="BLPH21" localSheetId="21" hidden="1">#REF!</definedName>
    <definedName name="BLPH21" hidden="1">#REF!</definedName>
    <definedName name="BLPH22" localSheetId="0" hidden="1">#REF!</definedName>
    <definedName name="BLPH22" localSheetId="27" hidden="1">#REF!</definedName>
    <definedName name="BLPH22" localSheetId="19" hidden="1">#REF!</definedName>
    <definedName name="BLPH22" localSheetId="1" hidden="1">#REF!</definedName>
    <definedName name="BLPH22" localSheetId="8" hidden="1">#REF!</definedName>
    <definedName name="BLPH22" localSheetId="6" hidden="1">#REF!</definedName>
    <definedName name="BLPH22" localSheetId="17" hidden="1">#REF!</definedName>
    <definedName name="BLPH22" localSheetId="7" hidden="1">#REF!</definedName>
    <definedName name="BLPH22" localSheetId="3" hidden="1">#REF!</definedName>
    <definedName name="BLPH22" localSheetId="21" hidden="1">#REF!</definedName>
    <definedName name="BLPH22" hidden="1">#REF!</definedName>
    <definedName name="BLPH23" localSheetId="0" hidden="1">#REF!</definedName>
    <definedName name="BLPH23" localSheetId="27" hidden="1">#REF!</definedName>
    <definedName name="BLPH23" localSheetId="19" hidden="1">#REF!</definedName>
    <definedName name="BLPH23" localSheetId="1" hidden="1">#REF!</definedName>
    <definedName name="BLPH23" localSheetId="8" hidden="1">#REF!</definedName>
    <definedName name="BLPH23" localSheetId="6" hidden="1">#REF!</definedName>
    <definedName name="BLPH23" localSheetId="17" hidden="1">#REF!</definedName>
    <definedName name="BLPH23" localSheetId="7" hidden="1">#REF!</definedName>
    <definedName name="BLPH23" localSheetId="3" hidden="1">#REF!</definedName>
    <definedName name="BLPH23" localSheetId="21" hidden="1">#REF!</definedName>
    <definedName name="BLPH23" hidden="1">#REF!</definedName>
    <definedName name="BLPH24" localSheetId="0" hidden="1">#REF!</definedName>
    <definedName name="BLPH24" localSheetId="27" hidden="1">#REF!</definedName>
    <definedName name="BLPH24" localSheetId="19" hidden="1">#REF!</definedName>
    <definedName name="BLPH24" localSheetId="1" hidden="1">#REF!</definedName>
    <definedName name="BLPH24" localSheetId="8" hidden="1">#REF!</definedName>
    <definedName name="BLPH24" localSheetId="6" hidden="1">#REF!</definedName>
    <definedName name="BLPH24" localSheetId="17" hidden="1">#REF!</definedName>
    <definedName name="BLPH24" localSheetId="7" hidden="1">#REF!</definedName>
    <definedName name="BLPH24" localSheetId="3" hidden="1">#REF!</definedName>
    <definedName name="BLPH24" localSheetId="21" hidden="1">#REF!</definedName>
    <definedName name="BLPH24" hidden="1">#REF!</definedName>
    <definedName name="BLPH25" localSheetId="0" hidden="1">#REF!</definedName>
    <definedName name="BLPH25" localSheetId="27" hidden="1">#REF!</definedName>
    <definedName name="BLPH25" localSheetId="19" hidden="1">#REF!</definedName>
    <definedName name="BLPH25" localSheetId="1" hidden="1">#REF!</definedName>
    <definedName name="BLPH25" localSheetId="8" hidden="1">#REF!</definedName>
    <definedName name="BLPH25" localSheetId="6" hidden="1">#REF!</definedName>
    <definedName name="BLPH25" localSheetId="17" hidden="1">#REF!</definedName>
    <definedName name="BLPH25" localSheetId="7" hidden="1">#REF!</definedName>
    <definedName name="BLPH25" localSheetId="3" hidden="1">#REF!</definedName>
    <definedName name="BLPH25" localSheetId="21" hidden="1">#REF!</definedName>
    <definedName name="BLPH25" hidden="1">#REF!</definedName>
    <definedName name="BLPH26" localSheetId="0" hidden="1">#REF!</definedName>
    <definedName name="BLPH26" localSheetId="27" hidden="1">#REF!</definedName>
    <definedName name="BLPH26" localSheetId="19" hidden="1">#REF!</definedName>
    <definedName name="BLPH26" localSheetId="1" hidden="1">#REF!</definedName>
    <definedName name="BLPH26" localSheetId="8" hidden="1">#REF!</definedName>
    <definedName name="BLPH26" localSheetId="6" hidden="1">#REF!</definedName>
    <definedName name="BLPH26" localSheetId="17" hidden="1">#REF!</definedName>
    <definedName name="BLPH26" localSheetId="7" hidden="1">#REF!</definedName>
    <definedName name="BLPH26" localSheetId="3" hidden="1">#REF!</definedName>
    <definedName name="BLPH26" localSheetId="21" hidden="1">#REF!</definedName>
    <definedName name="BLPH26" hidden="1">#REF!</definedName>
    <definedName name="BLPH27" localSheetId="0" hidden="1">#REF!</definedName>
    <definedName name="BLPH27" localSheetId="27" hidden="1">#REF!</definedName>
    <definedName name="BLPH27" localSheetId="19" hidden="1">#REF!</definedName>
    <definedName name="BLPH27" localSheetId="1" hidden="1">#REF!</definedName>
    <definedName name="BLPH27" localSheetId="8" hidden="1">#REF!</definedName>
    <definedName name="BLPH27" localSheetId="6" hidden="1">#REF!</definedName>
    <definedName name="BLPH27" localSheetId="17" hidden="1">#REF!</definedName>
    <definedName name="BLPH27" localSheetId="7" hidden="1">#REF!</definedName>
    <definedName name="BLPH27" localSheetId="3" hidden="1">#REF!</definedName>
    <definedName name="BLPH27" localSheetId="21" hidden="1">#REF!</definedName>
    <definedName name="BLPH27" hidden="1">#REF!</definedName>
    <definedName name="BLPH28" localSheetId="0" hidden="1">#REF!</definedName>
    <definedName name="BLPH28" localSheetId="27" hidden="1">#REF!</definedName>
    <definedName name="BLPH28" localSheetId="19" hidden="1">#REF!</definedName>
    <definedName name="BLPH28" localSheetId="1" hidden="1">#REF!</definedName>
    <definedName name="BLPH28" localSheetId="8" hidden="1">#REF!</definedName>
    <definedName name="BLPH28" localSheetId="6" hidden="1">#REF!</definedName>
    <definedName name="BLPH28" localSheetId="17" hidden="1">#REF!</definedName>
    <definedName name="BLPH28" localSheetId="7" hidden="1">#REF!</definedName>
    <definedName name="BLPH28" localSheetId="3" hidden="1">#REF!</definedName>
    <definedName name="BLPH28" localSheetId="21" hidden="1">#REF!</definedName>
    <definedName name="BLPH28" hidden="1">#REF!</definedName>
    <definedName name="BLPH29" localSheetId="0" hidden="1">#REF!</definedName>
    <definedName name="BLPH29" localSheetId="27" hidden="1">#REF!</definedName>
    <definedName name="BLPH29" localSheetId="19" hidden="1">#REF!</definedName>
    <definedName name="BLPH29" localSheetId="1" hidden="1">#REF!</definedName>
    <definedName name="BLPH29" localSheetId="8" hidden="1">#REF!</definedName>
    <definedName name="BLPH29" localSheetId="6" hidden="1">#REF!</definedName>
    <definedName name="BLPH29" localSheetId="17" hidden="1">#REF!</definedName>
    <definedName name="BLPH29" localSheetId="7" hidden="1">#REF!</definedName>
    <definedName name="BLPH29" localSheetId="3" hidden="1">#REF!</definedName>
    <definedName name="BLPH29" localSheetId="21" hidden="1">#REF!</definedName>
    <definedName name="BLPH29" hidden="1">#REF!</definedName>
    <definedName name="BLPH3" localSheetId="0" hidden="1">#REF!</definedName>
    <definedName name="BLPH3" localSheetId="27" hidden="1">#REF!</definedName>
    <definedName name="BLPH3" localSheetId="19" hidden="1">#REF!</definedName>
    <definedName name="BLPH3" localSheetId="1" hidden="1">#REF!</definedName>
    <definedName name="BLPH3" localSheetId="8" hidden="1">#REF!</definedName>
    <definedName name="BLPH3" localSheetId="6" hidden="1">#REF!</definedName>
    <definedName name="BLPH3" localSheetId="17" hidden="1">#REF!</definedName>
    <definedName name="BLPH3" localSheetId="7" hidden="1">#REF!</definedName>
    <definedName name="BLPH3" localSheetId="3" hidden="1">#REF!</definedName>
    <definedName name="BLPH3" localSheetId="21" hidden="1">#REF!</definedName>
    <definedName name="BLPH3" hidden="1">#REF!</definedName>
    <definedName name="BLPH30" localSheetId="0" hidden="1">#REF!</definedName>
    <definedName name="BLPH30" localSheetId="27" hidden="1">#REF!</definedName>
    <definedName name="BLPH30" localSheetId="19" hidden="1">#REF!</definedName>
    <definedName name="BLPH30" localSheetId="1" hidden="1">#REF!</definedName>
    <definedName name="BLPH30" localSheetId="8" hidden="1">#REF!</definedName>
    <definedName name="BLPH30" localSheetId="6" hidden="1">#REF!</definedName>
    <definedName name="BLPH30" localSheetId="17" hidden="1">#REF!</definedName>
    <definedName name="BLPH30" localSheetId="7" hidden="1">#REF!</definedName>
    <definedName name="BLPH30" localSheetId="3" hidden="1">#REF!</definedName>
    <definedName name="BLPH30" localSheetId="21" hidden="1">#REF!</definedName>
    <definedName name="BLPH30" hidden="1">#REF!</definedName>
    <definedName name="BLPH31" localSheetId="0" hidden="1">#REF!</definedName>
    <definedName name="BLPH31" localSheetId="27" hidden="1">#REF!</definedName>
    <definedName name="BLPH31" localSheetId="19" hidden="1">#REF!</definedName>
    <definedName name="BLPH31" localSheetId="1" hidden="1">#REF!</definedName>
    <definedName name="BLPH31" localSheetId="8" hidden="1">#REF!</definedName>
    <definedName name="BLPH31" localSheetId="6" hidden="1">#REF!</definedName>
    <definedName name="BLPH31" localSheetId="17" hidden="1">#REF!</definedName>
    <definedName name="BLPH31" localSheetId="7" hidden="1">#REF!</definedName>
    <definedName name="BLPH31" localSheetId="3" hidden="1">#REF!</definedName>
    <definedName name="BLPH31" localSheetId="21" hidden="1">#REF!</definedName>
    <definedName name="BLPH31" hidden="1">#REF!</definedName>
    <definedName name="BLPH32" localSheetId="0" hidden="1">#REF!</definedName>
    <definedName name="BLPH32" localSheetId="27" hidden="1">#REF!</definedName>
    <definedName name="BLPH32" localSheetId="19" hidden="1">#REF!</definedName>
    <definedName name="BLPH32" localSheetId="1" hidden="1">#REF!</definedName>
    <definedName name="BLPH32" localSheetId="8" hidden="1">#REF!</definedName>
    <definedName name="BLPH32" localSheetId="6" hidden="1">#REF!</definedName>
    <definedName name="BLPH32" localSheetId="17" hidden="1">#REF!</definedName>
    <definedName name="BLPH32" localSheetId="7" hidden="1">#REF!</definedName>
    <definedName name="BLPH32" localSheetId="3" hidden="1">#REF!</definedName>
    <definedName name="BLPH32" localSheetId="21" hidden="1">#REF!</definedName>
    <definedName name="BLPH32" hidden="1">#REF!</definedName>
    <definedName name="BLPH33" localSheetId="0" hidden="1">#REF!</definedName>
    <definedName name="BLPH33" localSheetId="27" hidden="1">#REF!</definedName>
    <definedName name="BLPH33" localSheetId="19" hidden="1">#REF!</definedName>
    <definedName name="BLPH33" localSheetId="1" hidden="1">#REF!</definedName>
    <definedName name="BLPH33" localSheetId="8" hidden="1">#REF!</definedName>
    <definedName name="BLPH33" localSheetId="6" hidden="1">#REF!</definedName>
    <definedName name="BLPH33" localSheetId="17" hidden="1">#REF!</definedName>
    <definedName name="BLPH33" localSheetId="7" hidden="1">#REF!</definedName>
    <definedName name="BLPH33" localSheetId="3" hidden="1">#REF!</definedName>
    <definedName name="BLPH33" localSheetId="21" hidden="1">#REF!</definedName>
    <definedName name="BLPH33" hidden="1">#REF!</definedName>
    <definedName name="BLPH34" localSheetId="0" hidden="1">#REF!</definedName>
    <definedName name="BLPH34" localSheetId="27" hidden="1">#REF!</definedName>
    <definedName name="BLPH34" localSheetId="19" hidden="1">#REF!</definedName>
    <definedName name="BLPH34" localSheetId="1" hidden="1">#REF!</definedName>
    <definedName name="BLPH34" localSheetId="8" hidden="1">#REF!</definedName>
    <definedName name="BLPH34" localSheetId="6" hidden="1">#REF!</definedName>
    <definedName name="BLPH34" localSheetId="17" hidden="1">#REF!</definedName>
    <definedName name="BLPH34" localSheetId="7" hidden="1">#REF!</definedName>
    <definedName name="BLPH34" localSheetId="3" hidden="1">#REF!</definedName>
    <definedName name="BLPH34" localSheetId="21" hidden="1">#REF!</definedName>
    <definedName name="BLPH34" hidden="1">#REF!</definedName>
    <definedName name="BLPH35" localSheetId="0" hidden="1">#REF!</definedName>
    <definedName name="BLPH35" localSheetId="27" hidden="1">#REF!</definedName>
    <definedName name="BLPH35" localSheetId="19" hidden="1">#REF!</definedName>
    <definedName name="BLPH35" localSheetId="1" hidden="1">#REF!</definedName>
    <definedName name="BLPH35" localSheetId="8" hidden="1">#REF!</definedName>
    <definedName name="BLPH35" localSheetId="6" hidden="1">#REF!</definedName>
    <definedName name="BLPH35" localSheetId="17" hidden="1">#REF!</definedName>
    <definedName name="BLPH35" localSheetId="7" hidden="1">#REF!</definedName>
    <definedName name="BLPH35" localSheetId="3" hidden="1">#REF!</definedName>
    <definedName name="BLPH35" localSheetId="21" hidden="1">#REF!</definedName>
    <definedName name="BLPH35" hidden="1">#REF!</definedName>
    <definedName name="BLPH36" localSheetId="0" hidden="1">#REF!</definedName>
    <definedName name="BLPH36" localSheetId="27" hidden="1">#REF!</definedName>
    <definedName name="BLPH36" localSheetId="19" hidden="1">#REF!</definedName>
    <definedName name="BLPH36" localSheetId="1" hidden="1">#REF!</definedName>
    <definedName name="BLPH36" localSheetId="8" hidden="1">#REF!</definedName>
    <definedName name="BLPH36" localSheetId="6" hidden="1">#REF!</definedName>
    <definedName name="BLPH36" localSheetId="17" hidden="1">#REF!</definedName>
    <definedName name="BLPH36" localSheetId="7" hidden="1">#REF!</definedName>
    <definedName name="BLPH36" localSheetId="3" hidden="1">#REF!</definedName>
    <definedName name="BLPH36" localSheetId="21" hidden="1">#REF!</definedName>
    <definedName name="BLPH36" hidden="1">#REF!</definedName>
    <definedName name="BLPH37" localSheetId="0" hidden="1">#REF!</definedName>
    <definedName name="BLPH37" localSheetId="27" hidden="1">#REF!</definedName>
    <definedName name="BLPH37" localSheetId="19" hidden="1">#REF!</definedName>
    <definedName name="BLPH37" localSheetId="1" hidden="1">#REF!</definedName>
    <definedName name="BLPH37" localSheetId="8" hidden="1">#REF!</definedName>
    <definedName name="BLPH37" localSheetId="6" hidden="1">#REF!</definedName>
    <definedName name="BLPH37" localSheetId="17" hidden="1">#REF!</definedName>
    <definedName name="BLPH37" localSheetId="7" hidden="1">#REF!</definedName>
    <definedName name="BLPH37" localSheetId="3" hidden="1">#REF!</definedName>
    <definedName name="BLPH37" localSheetId="21" hidden="1">#REF!</definedName>
    <definedName name="BLPH37" hidden="1">#REF!</definedName>
    <definedName name="BLPH38" localSheetId="0" hidden="1">#REF!</definedName>
    <definedName name="BLPH38" localSheetId="27" hidden="1">#REF!</definedName>
    <definedName name="BLPH38" localSheetId="19" hidden="1">#REF!</definedName>
    <definedName name="BLPH38" localSheetId="1" hidden="1">#REF!</definedName>
    <definedName name="BLPH38" localSheetId="8" hidden="1">#REF!</definedName>
    <definedName name="BLPH38" localSheetId="6" hidden="1">#REF!</definedName>
    <definedName name="BLPH38" localSheetId="17" hidden="1">#REF!</definedName>
    <definedName name="BLPH38" localSheetId="7" hidden="1">#REF!</definedName>
    <definedName name="BLPH38" localSheetId="3" hidden="1">#REF!</definedName>
    <definedName name="BLPH38" localSheetId="21" hidden="1">#REF!</definedName>
    <definedName name="BLPH38" hidden="1">#REF!</definedName>
    <definedName name="BLPH39" localSheetId="0" hidden="1">#REF!</definedName>
    <definedName name="BLPH39" localSheetId="27" hidden="1">#REF!</definedName>
    <definedName name="BLPH39" localSheetId="19" hidden="1">#REF!</definedName>
    <definedName name="BLPH39" localSheetId="1" hidden="1">#REF!</definedName>
    <definedName name="BLPH39" localSheetId="8" hidden="1">#REF!</definedName>
    <definedName name="BLPH39" localSheetId="6" hidden="1">#REF!</definedName>
    <definedName name="BLPH39" localSheetId="17" hidden="1">#REF!</definedName>
    <definedName name="BLPH39" localSheetId="7" hidden="1">#REF!</definedName>
    <definedName name="BLPH39" localSheetId="3" hidden="1">#REF!</definedName>
    <definedName name="BLPH39" localSheetId="21" hidden="1">#REF!</definedName>
    <definedName name="BLPH39" hidden="1">#REF!</definedName>
    <definedName name="BLPH4" localSheetId="0" hidden="1">#REF!</definedName>
    <definedName name="BLPH4" localSheetId="27" hidden="1">#REF!</definedName>
    <definedName name="BLPH4" localSheetId="19" hidden="1">#REF!</definedName>
    <definedName name="BLPH4" localSheetId="1" hidden="1">#REF!</definedName>
    <definedName name="BLPH4" localSheetId="8" hidden="1">#REF!</definedName>
    <definedName name="BLPH4" localSheetId="6" hidden="1">#REF!</definedName>
    <definedName name="BLPH4" localSheetId="17" hidden="1">#REF!</definedName>
    <definedName name="BLPH4" localSheetId="7" hidden="1">#REF!</definedName>
    <definedName name="BLPH4" localSheetId="3" hidden="1">#REF!</definedName>
    <definedName name="BLPH4" localSheetId="21" hidden="1">#REF!</definedName>
    <definedName name="BLPH4" hidden="1">#REF!</definedName>
    <definedName name="BLPH40" localSheetId="0" hidden="1">#REF!</definedName>
    <definedName name="BLPH40" localSheetId="27" hidden="1">#REF!</definedName>
    <definedName name="BLPH40" localSheetId="19" hidden="1">#REF!</definedName>
    <definedName name="BLPH40" localSheetId="1" hidden="1">#REF!</definedName>
    <definedName name="BLPH40" localSheetId="8" hidden="1">#REF!</definedName>
    <definedName name="BLPH40" localSheetId="6" hidden="1">#REF!</definedName>
    <definedName name="BLPH40" localSheetId="17" hidden="1">#REF!</definedName>
    <definedName name="BLPH40" localSheetId="7" hidden="1">#REF!</definedName>
    <definedName name="BLPH40" localSheetId="3" hidden="1">#REF!</definedName>
    <definedName name="BLPH40" localSheetId="21" hidden="1">#REF!</definedName>
    <definedName name="BLPH40" hidden="1">#REF!</definedName>
    <definedName name="BLPH41" localSheetId="0" hidden="1">#REF!</definedName>
    <definedName name="BLPH41" localSheetId="27" hidden="1">#REF!</definedName>
    <definedName name="BLPH41" localSheetId="19" hidden="1">#REF!</definedName>
    <definedName name="BLPH41" localSheetId="1" hidden="1">#REF!</definedName>
    <definedName name="BLPH41" localSheetId="8" hidden="1">#REF!</definedName>
    <definedName name="BLPH41" localSheetId="6" hidden="1">#REF!</definedName>
    <definedName name="BLPH41" localSheetId="17" hidden="1">#REF!</definedName>
    <definedName name="BLPH41" localSheetId="7" hidden="1">#REF!</definedName>
    <definedName name="BLPH41" localSheetId="3" hidden="1">#REF!</definedName>
    <definedName name="BLPH41" localSheetId="21" hidden="1">#REF!</definedName>
    <definedName name="BLPH41" hidden="1">#REF!</definedName>
    <definedName name="BLPH42" localSheetId="0" hidden="1">#REF!</definedName>
    <definedName name="BLPH42" localSheetId="27" hidden="1">#REF!</definedName>
    <definedName name="BLPH42" localSheetId="19" hidden="1">#REF!</definedName>
    <definedName name="BLPH42" localSheetId="1" hidden="1">#REF!</definedName>
    <definedName name="BLPH42" localSheetId="8" hidden="1">#REF!</definedName>
    <definedName name="BLPH42" localSheetId="6" hidden="1">#REF!</definedName>
    <definedName name="BLPH42" localSheetId="17" hidden="1">#REF!</definedName>
    <definedName name="BLPH42" localSheetId="7" hidden="1">#REF!</definedName>
    <definedName name="BLPH42" localSheetId="3" hidden="1">#REF!</definedName>
    <definedName name="BLPH42" localSheetId="21" hidden="1">#REF!</definedName>
    <definedName name="BLPH42" hidden="1">#REF!</definedName>
    <definedName name="BLPH43" localSheetId="0" hidden="1">#REF!</definedName>
    <definedName name="BLPH43" localSheetId="27" hidden="1">#REF!</definedName>
    <definedName name="BLPH43" localSheetId="19" hidden="1">#REF!</definedName>
    <definedName name="BLPH43" localSheetId="1" hidden="1">#REF!</definedName>
    <definedName name="BLPH43" localSheetId="8" hidden="1">#REF!</definedName>
    <definedName name="BLPH43" localSheetId="6" hidden="1">#REF!</definedName>
    <definedName name="BLPH43" localSheetId="17" hidden="1">#REF!</definedName>
    <definedName name="BLPH43" localSheetId="7" hidden="1">#REF!</definedName>
    <definedName name="BLPH43" localSheetId="3" hidden="1">#REF!</definedName>
    <definedName name="BLPH43" localSheetId="21" hidden="1">#REF!</definedName>
    <definedName name="BLPH43" hidden="1">#REF!</definedName>
    <definedName name="BLPH44" localSheetId="0" hidden="1">#REF!</definedName>
    <definedName name="BLPH44" localSheetId="27" hidden="1">#REF!</definedName>
    <definedName name="BLPH44" localSheetId="19" hidden="1">#REF!</definedName>
    <definedName name="BLPH44" localSheetId="1" hidden="1">#REF!</definedName>
    <definedName name="BLPH44" localSheetId="8" hidden="1">#REF!</definedName>
    <definedName name="BLPH44" localSheetId="6" hidden="1">#REF!</definedName>
    <definedName name="BLPH44" localSheetId="17" hidden="1">#REF!</definedName>
    <definedName name="BLPH44" localSheetId="7" hidden="1">#REF!</definedName>
    <definedName name="BLPH44" localSheetId="3" hidden="1">#REF!</definedName>
    <definedName name="BLPH44" localSheetId="21" hidden="1">#REF!</definedName>
    <definedName name="BLPH44" hidden="1">#REF!</definedName>
    <definedName name="BLPH45" localSheetId="0" hidden="1">#REF!</definedName>
    <definedName name="BLPH45" localSheetId="27" hidden="1">#REF!</definedName>
    <definedName name="BLPH45" localSheetId="19" hidden="1">#REF!</definedName>
    <definedName name="BLPH45" localSheetId="1" hidden="1">#REF!</definedName>
    <definedName name="BLPH45" localSheetId="8" hidden="1">#REF!</definedName>
    <definedName name="BLPH45" localSheetId="6" hidden="1">#REF!</definedName>
    <definedName name="BLPH45" localSheetId="17" hidden="1">#REF!</definedName>
    <definedName name="BLPH45" localSheetId="7" hidden="1">#REF!</definedName>
    <definedName name="BLPH45" localSheetId="3" hidden="1">#REF!</definedName>
    <definedName name="BLPH45" localSheetId="21" hidden="1">#REF!</definedName>
    <definedName name="BLPH45" hidden="1">#REF!</definedName>
    <definedName name="BLPH46" localSheetId="0" hidden="1">#REF!</definedName>
    <definedName name="BLPH46" localSheetId="27" hidden="1">#REF!</definedName>
    <definedName name="BLPH46" localSheetId="19" hidden="1">#REF!</definedName>
    <definedName name="BLPH46" localSheetId="1" hidden="1">#REF!</definedName>
    <definedName name="BLPH46" localSheetId="8" hidden="1">#REF!</definedName>
    <definedName name="BLPH46" localSheetId="6" hidden="1">#REF!</definedName>
    <definedName name="BLPH46" localSheetId="17" hidden="1">#REF!</definedName>
    <definedName name="BLPH46" localSheetId="7" hidden="1">#REF!</definedName>
    <definedName name="BLPH46" localSheetId="3" hidden="1">#REF!</definedName>
    <definedName name="BLPH46" localSheetId="21" hidden="1">#REF!</definedName>
    <definedName name="BLPH46" hidden="1">#REF!</definedName>
    <definedName name="BLPH47" localSheetId="0" hidden="1">#REF!</definedName>
    <definedName name="BLPH47" localSheetId="27" hidden="1">#REF!</definedName>
    <definedName name="BLPH47" localSheetId="19" hidden="1">#REF!</definedName>
    <definedName name="BLPH47" localSheetId="1" hidden="1">#REF!</definedName>
    <definedName name="BLPH47" localSheetId="8" hidden="1">#REF!</definedName>
    <definedName name="BLPH47" localSheetId="6" hidden="1">#REF!</definedName>
    <definedName name="BLPH47" localSheetId="17" hidden="1">#REF!</definedName>
    <definedName name="BLPH47" localSheetId="7" hidden="1">#REF!</definedName>
    <definedName name="BLPH47" localSheetId="3" hidden="1">#REF!</definedName>
    <definedName name="BLPH47" localSheetId="21" hidden="1">#REF!</definedName>
    <definedName name="BLPH47" hidden="1">#REF!</definedName>
    <definedName name="BLPH472" localSheetId="0" hidden="1">'[52]BalanceSheet &amp; Rates'!#REF!</definedName>
    <definedName name="BLPH472" localSheetId="27" hidden="1">'[52]BalanceSheet &amp; Rates'!#REF!</definedName>
    <definedName name="BLPH472" localSheetId="19" hidden="1">'[52]BalanceSheet &amp; Rates'!#REF!</definedName>
    <definedName name="BLPH472" localSheetId="1" hidden="1">'[52]BalanceSheet &amp; Rates'!#REF!</definedName>
    <definedName name="BLPH472" localSheetId="8" hidden="1">'[52]BalanceSheet &amp; Rates'!#REF!</definedName>
    <definedName name="BLPH472" localSheetId="17" hidden="1">'[52]BalanceSheet &amp; Rates'!#REF!</definedName>
    <definedName name="BLPH472" localSheetId="7" hidden="1">'[52]BalanceSheet &amp; Rates'!#REF!</definedName>
    <definedName name="BLPH472" localSheetId="3" hidden="1">#REF!</definedName>
    <definedName name="BLPH472" hidden="1">'[52]BalanceSheet &amp; Rates'!#REF!</definedName>
    <definedName name="BLPH473" localSheetId="0" hidden="1">'[52]BalanceSheet &amp; Rates'!#REF!</definedName>
    <definedName name="BLPH473" localSheetId="19" hidden="1">'[52]BalanceSheet &amp; Rates'!#REF!</definedName>
    <definedName name="BLPH473" localSheetId="1" hidden="1">'[52]BalanceSheet &amp; Rates'!#REF!</definedName>
    <definedName name="BLPH473" localSheetId="8" hidden="1">'[52]BalanceSheet &amp; Rates'!#REF!</definedName>
    <definedName name="BLPH473" localSheetId="17" hidden="1">'[52]BalanceSheet &amp; Rates'!#REF!</definedName>
    <definedName name="BLPH473" localSheetId="7" hidden="1">'[52]BalanceSheet &amp; Rates'!#REF!</definedName>
    <definedName name="BLPH473" localSheetId="3" hidden="1">#REF!</definedName>
    <definedName name="BLPH473" hidden="1">'[52]BalanceSheet &amp; Rates'!#REF!</definedName>
    <definedName name="BLPH474" localSheetId="19" hidden="1">'[52]BalanceSheet &amp; Rates'!#REF!</definedName>
    <definedName name="BLPH474" localSheetId="7" hidden="1">'[52]BalanceSheet &amp; Rates'!#REF!</definedName>
    <definedName name="BLPH474" localSheetId="3" hidden="1">#REF!</definedName>
    <definedName name="BLPH474" hidden="1">'[52]BalanceSheet &amp; Rates'!#REF!</definedName>
    <definedName name="BLPH475" localSheetId="7" hidden="1">'[52]Data (from 01-01-02)'!#REF!</definedName>
    <definedName name="BLPH475" localSheetId="3" hidden="1">#REF!</definedName>
    <definedName name="BLPH475" hidden="1">'[52]Data (from 01-01-02)'!#REF!</definedName>
    <definedName name="BLPH48" localSheetId="0" hidden="1">#REF!</definedName>
    <definedName name="BLPH48" localSheetId="27" hidden="1">#REF!</definedName>
    <definedName name="BLPH48" localSheetId="19" hidden="1">#REF!</definedName>
    <definedName name="BLPH48" localSheetId="1" hidden="1">#REF!</definedName>
    <definedName name="BLPH48" localSheetId="8" hidden="1">#REF!</definedName>
    <definedName name="BLPH48" localSheetId="6" hidden="1">#REF!</definedName>
    <definedName name="BLPH48" localSheetId="17" hidden="1">#REF!</definedName>
    <definedName name="BLPH48" localSheetId="7" hidden="1">#REF!</definedName>
    <definedName name="BLPH48" localSheetId="3" hidden="1">#REF!</definedName>
    <definedName name="BLPH48" localSheetId="21" hidden="1">#REF!</definedName>
    <definedName name="BLPH48" hidden="1">#REF!</definedName>
    <definedName name="BLPH49" localSheetId="0" hidden="1">#REF!</definedName>
    <definedName name="BLPH49" localSheetId="27" hidden="1">#REF!</definedName>
    <definedName name="BLPH49" localSheetId="19" hidden="1">#REF!</definedName>
    <definedName name="BLPH49" localSheetId="1" hidden="1">#REF!</definedName>
    <definedName name="BLPH49" localSheetId="8" hidden="1">#REF!</definedName>
    <definedName name="BLPH49" localSheetId="6" hidden="1">#REF!</definedName>
    <definedName name="BLPH49" localSheetId="17" hidden="1">#REF!</definedName>
    <definedName name="BLPH49" localSheetId="7" hidden="1">#REF!</definedName>
    <definedName name="BLPH49" localSheetId="3" hidden="1">#REF!</definedName>
    <definedName name="BLPH49" localSheetId="21" hidden="1">#REF!</definedName>
    <definedName name="BLPH49" hidden="1">#REF!</definedName>
    <definedName name="BLPH5" localSheetId="0" hidden="1">#REF!</definedName>
    <definedName name="BLPH5" localSheetId="27" hidden="1">#REF!</definedName>
    <definedName name="BLPH5" localSheetId="19" hidden="1">#REF!</definedName>
    <definedName name="BLPH5" localSheetId="1" hidden="1">#REF!</definedName>
    <definedName name="BLPH5" localSheetId="8" hidden="1">#REF!</definedName>
    <definedName name="BLPH5" localSheetId="6" hidden="1">#REF!</definedName>
    <definedName name="BLPH5" localSheetId="17" hidden="1">#REF!</definedName>
    <definedName name="BLPH5" localSheetId="7" hidden="1">#REF!</definedName>
    <definedName name="BLPH5" localSheetId="3" hidden="1">#REF!</definedName>
    <definedName name="BLPH5" localSheetId="21" hidden="1">#REF!</definedName>
    <definedName name="BLPH5" hidden="1">#REF!</definedName>
    <definedName name="BLPH50" localSheetId="0" hidden="1">#REF!</definedName>
    <definedName name="BLPH50" localSheetId="27" hidden="1">#REF!</definedName>
    <definedName name="BLPH50" localSheetId="19" hidden="1">#REF!</definedName>
    <definedName name="BLPH50" localSheetId="1" hidden="1">#REF!</definedName>
    <definedName name="BLPH50" localSheetId="8" hidden="1">#REF!</definedName>
    <definedName name="BLPH50" localSheetId="6" hidden="1">#REF!</definedName>
    <definedName name="BLPH50" localSheetId="17" hidden="1">#REF!</definedName>
    <definedName name="BLPH50" localSheetId="7" hidden="1">#REF!</definedName>
    <definedName name="BLPH50" localSheetId="3" hidden="1">#REF!</definedName>
    <definedName name="BLPH50" localSheetId="21" hidden="1">#REF!</definedName>
    <definedName name="BLPH50" hidden="1">#REF!</definedName>
    <definedName name="BLPH51" localSheetId="0" hidden="1">#REF!</definedName>
    <definedName name="BLPH51" localSheetId="27" hidden="1">#REF!</definedName>
    <definedName name="BLPH51" localSheetId="19" hidden="1">#REF!</definedName>
    <definedName name="BLPH51" localSheetId="1" hidden="1">#REF!</definedName>
    <definedName name="BLPH51" localSheetId="8" hidden="1">#REF!</definedName>
    <definedName name="BLPH51" localSheetId="6" hidden="1">#REF!</definedName>
    <definedName name="BLPH51" localSheetId="17" hidden="1">#REF!</definedName>
    <definedName name="BLPH51" localSheetId="7" hidden="1">#REF!</definedName>
    <definedName name="BLPH51" localSheetId="3" hidden="1">#REF!</definedName>
    <definedName name="BLPH51" localSheetId="21" hidden="1">#REF!</definedName>
    <definedName name="BLPH51" hidden="1">#REF!</definedName>
    <definedName name="BLPH52" localSheetId="0" hidden="1">#REF!</definedName>
    <definedName name="BLPH52" localSheetId="27" hidden="1">#REF!</definedName>
    <definedName name="BLPH52" localSheetId="19" hidden="1">#REF!</definedName>
    <definedName name="BLPH52" localSheetId="1" hidden="1">#REF!</definedName>
    <definedName name="BLPH52" localSheetId="8" hidden="1">#REF!</definedName>
    <definedName name="BLPH52" localSheetId="6" hidden="1">#REF!</definedName>
    <definedName name="BLPH52" localSheetId="17" hidden="1">#REF!</definedName>
    <definedName name="BLPH52" localSheetId="7" hidden="1">#REF!</definedName>
    <definedName name="BLPH52" localSheetId="3" hidden="1">#REF!</definedName>
    <definedName name="BLPH52" localSheetId="21" hidden="1">#REF!</definedName>
    <definedName name="BLPH52" hidden="1">#REF!</definedName>
    <definedName name="BLPH53" localSheetId="0" hidden="1">#REF!</definedName>
    <definedName name="BLPH53" localSheetId="27" hidden="1">#REF!</definedName>
    <definedName name="BLPH53" localSheetId="19" hidden="1">#REF!</definedName>
    <definedName name="BLPH53" localSheetId="1" hidden="1">#REF!</definedName>
    <definedName name="BLPH53" localSheetId="8" hidden="1">#REF!</definedName>
    <definedName name="BLPH53" localSheetId="6" hidden="1">#REF!</definedName>
    <definedName name="BLPH53" localSheetId="17" hidden="1">#REF!</definedName>
    <definedName name="BLPH53" localSheetId="7" hidden="1">#REF!</definedName>
    <definedName name="BLPH53" localSheetId="3" hidden="1">#REF!</definedName>
    <definedName name="BLPH53" localSheetId="21" hidden="1">#REF!</definedName>
    <definedName name="BLPH53" hidden="1">#REF!</definedName>
    <definedName name="BLPH54" localSheetId="0" hidden="1">#REF!</definedName>
    <definedName name="BLPH54" localSheetId="27" hidden="1">#REF!</definedName>
    <definedName name="BLPH54" localSheetId="19" hidden="1">#REF!</definedName>
    <definedName name="BLPH54" localSheetId="1" hidden="1">#REF!</definedName>
    <definedName name="BLPH54" localSheetId="8" hidden="1">#REF!</definedName>
    <definedName name="BLPH54" localSheetId="6" hidden="1">#REF!</definedName>
    <definedName name="BLPH54" localSheetId="17" hidden="1">#REF!</definedName>
    <definedName name="BLPH54" localSheetId="7" hidden="1">#REF!</definedName>
    <definedName name="BLPH54" localSheetId="3" hidden="1">#REF!</definedName>
    <definedName name="BLPH54" localSheetId="21" hidden="1">#REF!</definedName>
    <definedName name="BLPH54" hidden="1">#REF!</definedName>
    <definedName name="BLPH55" localSheetId="0" hidden="1">#REF!</definedName>
    <definedName name="BLPH55" localSheetId="27" hidden="1">#REF!</definedName>
    <definedName name="BLPH55" localSheetId="19" hidden="1">#REF!</definedName>
    <definedName name="BLPH55" localSheetId="1" hidden="1">#REF!</definedName>
    <definedName name="BLPH55" localSheetId="8" hidden="1">#REF!</definedName>
    <definedName name="BLPH55" localSheetId="6" hidden="1">#REF!</definedName>
    <definedName name="BLPH55" localSheetId="17" hidden="1">#REF!</definedName>
    <definedName name="BLPH55" localSheetId="7" hidden="1">#REF!</definedName>
    <definedName name="BLPH55" localSheetId="3" hidden="1">#REF!</definedName>
    <definedName name="BLPH55" localSheetId="21" hidden="1">#REF!</definedName>
    <definedName name="BLPH55" hidden="1">#REF!</definedName>
    <definedName name="BLPH56" localSheetId="0" hidden="1">'[52]BalanceSheet &amp; Rates'!#REF!</definedName>
    <definedName name="BLPH56" localSheetId="27" hidden="1">'[52]BalanceSheet &amp; Rates'!#REF!</definedName>
    <definedName name="BLPH56" localSheetId="19" hidden="1">'[52]BalanceSheet &amp; Rates'!#REF!</definedName>
    <definedName name="BLPH56" localSheetId="1" hidden="1">'[52]BalanceSheet &amp; Rates'!#REF!</definedName>
    <definedName name="BLPH56" localSheetId="8" hidden="1">'[52]BalanceSheet &amp; Rates'!#REF!</definedName>
    <definedName name="BLPH56" localSheetId="17" hidden="1">'[52]BalanceSheet &amp; Rates'!#REF!</definedName>
    <definedName name="BLPH56" localSheetId="7" hidden="1">'[52]BalanceSheet &amp; Rates'!#REF!</definedName>
    <definedName name="BLPH56" localSheetId="3" hidden="1">#REF!</definedName>
    <definedName name="BLPH56" hidden="1">'[52]BalanceSheet &amp; Rates'!#REF!</definedName>
    <definedName name="BLPH57" localSheetId="0" hidden="1">#REF!</definedName>
    <definedName name="BLPH57" localSheetId="27" hidden="1">#REF!</definedName>
    <definedName name="BLPH57" localSheetId="19" hidden="1">#REF!</definedName>
    <definedName name="BLPH57" localSheetId="1" hidden="1">#REF!</definedName>
    <definedName name="BLPH57" localSheetId="8" hidden="1">#REF!</definedName>
    <definedName name="BLPH57" localSheetId="6" hidden="1">#REF!</definedName>
    <definedName name="BLPH57" localSheetId="17" hidden="1">#REF!</definedName>
    <definedName name="BLPH57" localSheetId="7" hidden="1">#REF!</definedName>
    <definedName name="BLPH57" localSheetId="3" hidden="1">#REF!</definedName>
    <definedName name="BLPH57" localSheetId="21" hidden="1">#REF!</definedName>
    <definedName name="BLPH57" hidden="1">#REF!</definedName>
    <definedName name="BLPH58" localSheetId="0" hidden="1">#REF!</definedName>
    <definedName name="BLPH58" localSheetId="27" hidden="1">#REF!</definedName>
    <definedName name="BLPH58" localSheetId="19" hidden="1">#REF!</definedName>
    <definedName name="BLPH58" localSheetId="1" hidden="1">#REF!</definedName>
    <definedName name="BLPH58" localSheetId="8" hidden="1">#REF!</definedName>
    <definedName name="BLPH58" localSheetId="6" hidden="1">#REF!</definedName>
    <definedName name="BLPH58" localSheetId="17" hidden="1">#REF!</definedName>
    <definedName name="BLPH58" localSheetId="7" hidden="1">#REF!</definedName>
    <definedName name="BLPH58" localSheetId="3" hidden="1">#REF!</definedName>
    <definedName name="BLPH58" localSheetId="21" hidden="1">#REF!</definedName>
    <definedName name="BLPH58" hidden="1">#REF!</definedName>
    <definedName name="BLPH59" localSheetId="0" hidden="1">#REF!</definedName>
    <definedName name="BLPH59" localSheetId="27" hidden="1">#REF!</definedName>
    <definedName name="BLPH59" localSheetId="19" hidden="1">#REF!</definedName>
    <definedName name="BLPH59" localSheetId="1" hidden="1">#REF!</definedName>
    <definedName name="BLPH59" localSheetId="8" hidden="1">#REF!</definedName>
    <definedName name="BLPH59" localSheetId="6" hidden="1">#REF!</definedName>
    <definedName name="BLPH59" localSheetId="17" hidden="1">#REF!</definedName>
    <definedName name="BLPH59" localSheetId="7" hidden="1">#REF!</definedName>
    <definedName name="BLPH59" localSheetId="3" hidden="1">#REF!</definedName>
    <definedName name="BLPH59" localSheetId="21" hidden="1">#REF!</definedName>
    <definedName name="BLPH59" hidden="1">#REF!</definedName>
    <definedName name="BLPH6" localSheetId="0" hidden="1">#REF!</definedName>
    <definedName name="BLPH6" localSheetId="27" hidden="1">#REF!</definedName>
    <definedName name="BLPH6" localSheetId="19" hidden="1">#REF!</definedName>
    <definedName name="BLPH6" localSheetId="1" hidden="1">#REF!</definedName>
    <definedName name="BLPH6" localSheetId="8" hidden="1">#REF!</definedName>
    <definedName name="BLPH6" localSheetId="6" hidden="1">#REF!</definedName>
    <definedName name="BLPH6" localSheetId="17" hidden="1">#REF!</definedName>
    <definedName name="BLPH6" localSheetId="7" hidden="1">#REF!</definedName>
    <definedName name="BLPH6" localSheetId="3" hidden="1">#REF!</definedName>
    <definedName name="BLPH6" localSheetId="21" hidden="1">#REF!</definedName>
    <definedName name="BLPH6" hidden="1">#REF!</definedName>
    <definedName name="BLPH60" localSheetId="0" hidden="1">#REF!</definedName>
    <definedName name="BLPH60" localSheetId="27" hidden="1">#REF!</definedName>
    <definedName name="BLPH60" localSheetId="19" hidden="1">#REF!</definedName>
    <definedName name="BLPH60" localSheetId="1" hidden="1">#REF!</definedName>
    <definedName name="BLPH60" localSheetId="8" hidden="1">#REF!</definedName>
    <definedName name="BLPH60" localSheetId="6" hidden="1">#REF!</definedName>
    <definedName name="BLPH60" localSheetId="17" hidden="1">#REF!</definedName>
    <definedName name="BLPH60" localSheetId="7" hidden="1">#REF!</definedName>
    <definedName name="BLPH60" localSheetId="3" hidden="1">#REF!</definedName>
    <definedName name="BLPH60" localSheetId="21" hidden="1">#REF!</definedName>
    <definedName name="BLPH60" hidden="1">#REF!</definedName>
    <definedName name="BLPH61" localSheetId="0" hidden="1">#REF!</definedName>
    <definedName name="BLPH61" localSheetId="27" hidden="1">#REF!</definedName>
    <definedName name="BLPH61" localSheetId="19" hidden="1">#REF!</definedName>
    <definedName name="BLPH61" localSheetId="1" hidden="1">#REF!</definedName>
    <definedName name="BLPH61" localSheetId="8" hidden="1">#REF!</definedName>
    <definedName name="BLPH61" localSheetId="6" hidden="1">#REF!</definedName>
    <definedName name="BLPH61" localSheetId="17" hidden="1">#REF!</definedName>
    <definedName name="BLPH61" localSheetId="7" hidden="1">#REF!</definedName>
    <definedName name="BLPH61" localSheetId="3" hidden="1">#REF!</definedName>
    <definedName name="BLPH61" localSheetId="21" hidden="1">#REF!</definedName>
    <definedName name="BLPH61" hidden="1">#REF!</definedName>
    <definedName name="BLPH62" localSheetId="0" hidden="1">#REF!</definedName>
    <definedName name="BLPH62" localSheetId="27" hidden="1">#REF!</definedName>
    <definedName name="BLPH62" localSheetId="19" hidden="1">#REF!</definedName>
    <definedName name="BLPH62" localSheetId="1" hidden="1">#REF!</definedName>
    <definedName name="BLPH62" localSheetId="8" hidden="1">#REF!</definedName>
    <definedName name="BLPH62" localSheetId="6" hidden="1">#REF!</definedName>
    <definedName name="BLPH62" localSheetId="17" hidden="1">#REF!</definedName>
    <definedName name="BLPH62" localSheetId="7" hidden="1">#REF!</definedName>
    <definedName name="BLPH62" localSheetId="3" hidden="1">#REF!</definedName>
    <definedName name="BLPH62" localSheetId="21" hidden="1">#REF!</definedName>
    <definedName name="BLPH62" hidden="1">#REF!</definedName>
    <definedName name="BLPH63" localSheetId="0" hidden="1">#REF!</definedName>
    <definedName name="BLPH63" localSheetId="27" hidden="1">#REF!</definedName>
    <definedName name="BLPH63" localSheetId="19" hidden="1">#REF!</definedName>
    <definedName name="BLPH63" localSheetId="1" hidden="1">#REF!</definedName>
    <definedName name="BLPH63" localSheetId="8" hidden="1">#REF!</definedName>
    <definedName name="BLPH63" localSheetId="6" hidden="1">#REF!</definedName>
    <definedName name="BLPH63" localSheetId="17" hidden="1">#REF!</definedName>
    <definedName name="BLPH63" localSheetId="7" hidden="1">#REF!</definedName>
    <definedName name="BLPH63" localSheetId="3" hidden="1">#REF!</definedName>
    <definedName name="BLPH63" localSheetId="21" hidden="1">#REF!</definedName>
    <definedName name="BLPH63" hidden="1">#REF!</definedName>
    <definedName name="BLPH64" localSheetId="0" hidden="1">#REF!</definedName>
    <definedName name="BLPH64" localSheetId="27" hidden="1">#REF!</definedName>
    <definedName name="BLPH64" localSheetId="19" hidden="1">#REF!</definedName>
    <definedName name="BLPH64" localSheetId="1" hidden="1">#REF!</definedName>
    <definedName name="BLPH64" localSheetId="8" hidden="1">#REF!</definedName>
    <definedName name="BLPH64" localSheetId="6" hidden="1">#REF!</definedName>
    <definedName name="BLPH64" localSheetId="17" hidden="1">#REF!</definedName>
    <definedName name="BLPH64" localSheetId="7" hidden="1">#REF!</definedName>
    <definedName name="BLPH64" localSheetId="3" hidden="1">#REF!</definedName>
    <definedName name="BLPH64" localSheetId="21" hidden="1">#REF!</definedName>
    <definedName name="BLPH64" hidden="1">#REF!</definedName>
    <definedName name="BLPH65" localSheetId="0" hidden="1">#REF!</definedName>
    <definedName name="BLPH65" localSheetId="27" hidden="1">#REF!</definedName>
    <definedName name="BLPH65" localSheetId="19" hidden="1">#REF!</definedName>
    <definedName name="BLPH65" localSheetId="1" hidden="1">#REF!</definedName>
    <definedName name="BLPH65" localSheetId="8" hidden="1">#REF!</definedName>
    <definedName name="BLPH65" localSheetId="6" hidden="1">#REF!</definedName>
    <definedName name="BLPH65" localSheetId="17" hidden="1">#REF!</definedName>
    <definedName name="BLPH65" localSheetId="7" hidden="1">#REF!</definedName>
    <definedName name="BLPH65" localSheetId="3" hidden="1">#REF!</definedName>
    <definedName name="BLPH65" localSheetId="21" hidden="1">#REF!</definedName>
    <definedName name="BLPH65" hidden="1">#REF!</definedName>
    <definedName name="BLPH66" localSheetId="0" hidden="1">#REF!</definedName>
    <definedName name="BLPH66" localSheetId="27" hidden="1">#REF!</definedName>
    <definedName name="BLPH66" localSheetId="19" hidden="1">#REF!</definedName>
    <definedName name="BLPH66" localSheetId="1" hidden="1">#REF!</definedName>
    <definedName name="BLPH66" localSheetId="8" hidden="1">#REF!</definedName>
    <definedName name="BLPH66" localSheetId="6" hidden="1">#REF!</definedName>
    <definedName name="BLPH66" localSheetId="17" hidden="1">#REF!</definedName>
    <definedName name="BLPH66" localSheetId="7" hidden="1">#REF!</definedName>
    <definedName name="BLPH66" localSheetId="3" hidden="1">#REF!</definedName>
    <definedName name="BLPH66" localSheetId="21" hidden="1">#REF!</definedName>
    <definedName name="BLPH66" hidden="1">#REF!</definedName>
    <definedName name="BLPH67" localSheetId="0" hidden="1">#REF!</definedName>
    <definedName name="BLPH67" localSheetId="27" hidden="1">#REF!</definedName>
    <definedName name="BLPH67" localSheetId="19" hidden="1">#REF!</definedName>
    <definedName name="BLPH67" localSheetId="1" hidden="1">#REF!</definedName>
    <definedName name="BLPH67" localSheetId="8" hidden="1">#REF!</definedName>
    <definedName name="BLPH67" localSheetId="6" hidden="1">#REF!</definedName>
    <definedName name="BLPH67" localSheetId="17" hidden="1">#REF!</definedName>
    <definedName name="BLPH67" localSheetId="7" hidden="1">#REF!</definedName>
    <definedName name="BLPH67" localSheetId="3" hidden="1">#REF!</definedName>
    <definedName name="BLPH67" localSheetId="21" hidden="1">#REF!</definedName>
    <definedName name="BLPH67" hidden="1">#REF!</definedName>
    <definedName name="BLPH68" localSheetId="0" hidden="1">#REF!</definedName>
    <definedName name="BLPH68" localSheetId="27" hidden="1">#REF!</definedName>
    <definedName name="BLPH68" localSheetId="19" hidden="1">#REF!</definedName>
    <definedName name="BLPH68" localSheetId="1" hidden="1">#REF!</definedName>
    <definedName name="BLPH68" localSheetId="8" hidden="1">#REF!</definedName>
    <definedName name="BLPH68" localSheetId="6" hidden="1">#REF!</definedName>
    <definedName name="BLPH68" localSheetId="17" hidden="1">#REF!</definedName>
    <definedName name="BLPH68" localSheetId="7" hidden="1">#REF!</definedName>
    <definedName name="BLPH68" localSheetId="3" hidden="1">#REF!</definedName>
    <definedName name="BLPH68" localSheetId="21" hidden="1">#REF!</definedName>
    <definedName name="BLPH68" hidden="1">#REF!</definedName>
    <definedName name="BLPH69" localSheetId="0" hidden="1">#REF!</definedName>
    <definedName name="BLPH69" localSheetId="27" hidden="1">#REF!</definedName>
    <definedName name="BLPH69" localSheetId="19" hidden="1">#REF!</definedName>
    <definedName name="BLPH69" localSheetId="1" hidden="1">#REF!</definedName>
    <definedName name="BLPH69" localSheetId="8" hidden="1">#REF!</definedName>
    <definedName name="BLPH69" localSheetId="6" hidden="1">#REF!</definedName>
    <definedName name="BLPH69" localSheetId="17" hidden="1">#REF!</definedName>
    <definedName name="BLPH69" localSheetId="7" hidden="1">#REF!</definedName>
    <definedName name="BLPH69" localSheetId="3" hidden="1">#REF!</definedName>
    <definedName name="BLPH69" localSheetId="21" hidden="1">#REF!</definedName>
    <definedName name="BLPH69" hidden="1">#REF!</definedName>
    <definedName name="BLPH7" localSheetId="0" hidden="1">#REF!</definedName>
    <definedName name="BLPH7" localSheetId="27" hidden="1">#REF!</definedName>
    <definedName name="BLPH7" localSheetId="19" hidden="1">#REF!</definedName>
    <definedName name="BLPH7" localSheetId="1" hidden="1">#REF!</definedName>
    <definedName name="BLPH7" localSheetId="8" hidden="1">#REF!</definedName>
    <definedName name="BLPH7" localSheetId="6" hidden="1">#REF!</definedName>
    <definedName name="BLPH7" localSheetId="17" hidden="1">#REF!</definedName>
    <definedName name="BLPH7" localSheetId="7" hidden="1">#REF!</definedName>
    <definedName name="BLPH7" localSheetId="3" hidden="1">#REF!</definedName>
    <definedName name="BLPH7" localSheetId="21" hidden="1">#REF!</definedName>
    <definedName name="BLPH7" hidden="1">#REF!</definedName>
    <definedName name="BLPH70" localSheetId="0" hidden="1">#REF!</definedName>
    <definedName name="BLPH70" localSheetId="27" hidden="1">#REF!</definedName>
    <definedName name="BLPH70" localSheetId="19" hidden="1">#REF!</definedName>
    <definedName name="BLPH70" localSheetId="1" hidden="1">#REF!</definedName>
    <definedName name="BLPH70" localSheetId="8" hidden="1">#REF!</definedName>
    <definedName name="BLPH70" localSheetId="6" hidden="1">#REF!</definedName>
    <definedName name="BLPH70" localSheetId="17" hidden="1">#REF!</definedName>
    <definedName name="BLPH70" localSheetId="7" hidden="1">#REF!</definedName>
    <definedName name="BLPH70" localSheetId="3" hidden="1">#REF!</definedName>
    <definedName name="BLPH70" localSheetId="21" hidden="1">#REF!</definedName>
    <definedName name="BLPH70" hidden="1">#REF!</definedName>
    <definedName name="BLPH71" localSheetId="0" hidden="1">#REF!</definedName>
    <definedName name="BLPH71" localSheetId="27" hidden="1">#REF!</definedName>
    <definedName name="BLPH71" localSheetId="19" hidden="1">#REF!</definedName>
    <definedName name="BLPH71" localSheetId="1" hidden="1">#REF!</definedName>
    <definedName name="BLPH71" localSheetId="8" hidden="1">#REF!</definedName>
    <definedName name="BLPH71" localSheetId="6" hidden="1">#REF!</definedName>
    <definedName name="BLPH71" localSheetId="17" hidden="1">#REF!</definedName>
    <definedName name="BLPH71" localSheetId="7" hidden="1">#REF!</definedName>
    <definedName name="BLPH71" localSheetId="3" hidden="1">#REF!</definedName>
    <definedName name="BLPH71" localSheetId="21" hidden="1">#REF!</definedName>
    <definedName name="BLPH71" hidden="1">#REF!</definedName>
    <definedName name="BLPH72" localSheetId="0" hidden="1">#REF!</definedName>
    <definedName name="BLPH72" localSheetId="27" hidden="1">#REF!</definedName>
    <definedName name="BLPH72" localSheetId="19" hidden="1">#REF!</definedName>
    <definedName name="BLPH72" localSheetId="1" hidden="1">#REF!</definedName>
    <definedName name="BLPH72" localSheetId="8" hidden="1">#REF!</definedName>
    <definedName name="BLPH72" localSheetId="6" hidden="1">#REF!</definedName>
    <definedName name="BLPH72" localSheetId="17" hidden="1">#REF!</definedName>
    <definedName name="BLPH72" localSheetId="7" hidden="1">#REF!</definedName>
    <definedName name="BLPH72" localSheetId="3" hidden="1">#REF!</definedName>
    <definedName name="BLPH72" localSheetId="21" hidden="1">#REF!</definedName>
    <definedName name="BLPH72" hidden="1">#REF!</definedName>
    <definedName name="BLPH73" localSheetId="0" hidden="1">#REF!</definedName>
    <definedName name="BLPH73" localSheetId="27" hidden="1">#REF!</definedName>
    <definedName name="BLPH73" localSheetId="19" hidden="1">#REF!</definedName>
    <definedName name="BLPH73" localSheetId="1" hidden="1">#REF!</definedName>
    <definedName name="BLPH73" localSheetId="8" hidden="1">#REF!</definedName>
    <definedName name="BLPH73" localSheetId="6" hidden="1">#REF!</definedName>
    <definedName name="BLPH73" localSheetId="17" hidden="1">#REF!</definedName>
    <definedName name="BLPH73" localSheetId="7" hidden="1">#REF!</definedName>
    <definedName name="BLPH73" localSheetId="3" hidden="1">#REF!</definedName>
    <definedName name="BLPH73" localSheetId="21" hidden="1">#REF!</definedName>
    <definedName name="BLPH73" hidden="1">#REF!</definedName>
    <definedName name="BLPH74" localSheetId="0" hidden="1">#REF!</definedName>
    <definedName name="BLPH74" localSheetId="27" hidden="1">#REF!</definedName>
    <definedName name="BLPH74" localSheetId="19" hidden="1">#REF!</definedName>
    <definedName name="BLPH74" localSheetId="1" hidden="1">#REF!</definedName>
    <definedName name="BLPH74" localSheetId="8" hidden="1">#REF!</definedName>
    <definedName name="BLPH74" localSheetId="6" hidden="1">#REF!</definedName>
    <definedName name="BLPH74" localSheetId="17" hidden="1">#REF!</definedName>
    <definedName name="BLPH74" localSheetId="7" hidden="1">#REF!</definedName>
    <definedName name="BLPH74" localSheetId="3" hidden="1">#REF!</definedName>
    <definedName name="BLPH74" localSheetId="21" hidden="1">#REF!</definedName>
    <definedName name="BLPH74" hidden="1">#REF!</definedName>
    <definedName name="BLPH75" localSheetId="0" hidden="1">#REF!</definedName>
    <definedName name="BLPH75" localSheetId="27" hidden="1">#REF!</definedName>
    <definedName name="BLPH75" localSheetId="19" hidden="1">#REF!</definedName>
    <definedName name="BLPH75" localSheetId="1" hidden="1">#REF!</definedName>
    <definedName name="BLPH75" localSheetId="8" hidden="1">#REF!</definedName>
    <definedName name="BLPH75" localSheetId="6" hidden="1">#REF!</definedName>
    <definedName name="BLPH75" localSheetId="17" hidden="1">#REF!</definedName>
    <definedName name="BLPH75" localSheetId="7" hidden="1">#REF!</definedName>
    <definedName name="BLPH75" localSheetId="3" hidden="1">#REF!</definedName>
    <definedName name="BLPH75" localSheetId="21" hidden="1">#REF!</definedName>
    <definedName name="BLPH75" hidden="1">#REF!</definedName>
    <definedName name="BLPH76" localSheetId="0" hidden="1">#REF!</definedName>
    <definedName name="BLPH76" localSheetId="27" hidden="1">#REF!</definedName>
    <definedName name="BLPH76" localSheetId="19" hidden="1">#REF!</definedName>
    <definedName name="BLPH76" localSheetId="1" hidden="1">#REF!</definedName>
    <definedName name="BLPH76" localSheetId="8" hidden="1">#REF!</definedName>
    <definedName name="BLPH76" localSheetId="6" hidden="1">#REF!</definedName>
    <definedName name="BLPH76" localSheetId="17" hidden="1">#REF!</definedName>
    <definedName name="BLPH76" localSheetId="7" hidden="1">#REF!</definedName>
    <definedName name="BLPH76" localSheetId="3" hidden="1">#REF!</definedName>
    <definedName name="BLPH76" localSheetId="21" hidden="1">#REF!</definedName>
    <definedName name="BLPH76" hidden="1">#REF!</definedName>
    <definedName name="BLPH77" localSheetId="0" hidden="1">#REF!</definedName>
    <definedName name="BLPH77" localSheetId="27" hidden="1">#REF!</definedName>
    <definedName name="BLPH77" localSheetId="19" hidden="1">#REF!</definedName>
    <definedName name="BLPH77" localSheetId="1" hidden="1">#REF!</definedName>
    <definedName name="BLPH77" localSheetId="8" hidden="1">#REF!</definedName>
    <definedName name="BLPH77" localSheetId="6" hidden="1">#REF!</definedName>
    <definedName name="BLPH77" localSheetId="17" hidden="1">#REF!</definedName>
    <definedName name="BLPH77" localSheetId="7" hidden="1">#REF!</definedName>
    <definedName name="BLPH77" localSheetId="3" hidden="1">#REF!</definedName>
    <definedName name="BLPH77" localSheetId="21" hidden="1">#REF!</definedName>
    <definedName name="BLPH77" hidden="1">#REF!</definedName>
    <definedName name="BLPH78" localSheetId="0" hidden="1">#REF!</definedName>
    <definedName name="BLPH78" localSheetId="27" hidden="1">#REF!</definedName>
    <definedName name="BLPH78" localSheetId="19" hidden="1">#REF!</definedName>
    <definedName name="BLPH78" localSheetId="1" hidden="1">#REF!</definedName>
    <definedName name="BLPH78" localSheetId="8" hidden="1">#REF!</definedName>
    <definedName name="BLPH78" localSheetId="6" hidden="1">#REF!</definedName>
    <definedName name="BLPH78" localSheetId="17" hidden="1">#REF!</definedName>
    <definedName name="BLPH78" localSheetId="7" hidden="1">#REF!</definedName>
    <definedName name="BLPH78" localSheetId="3" hidden="1">#REF!</definedName>
    <definedName name="BLPH78" localSheetId="21" hidden="1">#REF!</definedName>
    <definedName name="BLPH78" hidden="1">#REF!</definedName>
    <definedName name="BLPH79" localSheetId="0" hidden="1">#REF!</definedName>
    <definedName name="BLPH79" localSheetId="27" hidden="1">#REF!</definedName>
    <definedName name="BLPH79" localSheetId="19" hidden="1">#REF!</definedName>
    <definedName name="BLPH79" localSheetId="1" hidden="1">#REF!</definedName>
    <definedName name="BLPH79" localSheetId="8" hidden="1">#REF!</definedName>
    <definedName name="BLPH79" localSheetId="6" hidden="1">#REF!</definedName>
    <definedName name="BLPH79" localSheetId="17" hidden="1">#REF!</definedName>
    <definedName name="BLPH79" localSheetId="7" hidden="1">#REF!</definedName>
    <definedName name="BLPH79" localSheetId="3" hidden="1">#REF!</definedName>
    <definedName name="BLPH79" localSheetId="21" hidden="1">#REF!</definedName>
    <definedName name="BLPH79" hidden="1">#REF!</definedName>
    <definedName name="BLPH8" localSheetId="0" hidden="1">#REF!</definedName>
    <definedName name="BLPH8" localSheetId="27" hidden="1">#REF!</definedName>
    <definedName name="BLPH8" localSheetId="19" hidden="1">#REF!</definedName>
    <definedName name="BLPH8" localSheetId="1" hidden="1">#REF!</definedName>
    <definedName name="BLPH8" localSheetId="8" hidden="1">#REF!</definedName>
    <definedName name="BLPH8" localSheetId="6" hidden="1">#REF!</definedName>
    <definedName name="BLPH8" localSheetId="17" hidden="1">#REF!</definedName>
    <definedName name="BLPH8" localSheetId="7" hidden="1">#REF!</definedName>
    <definedName name="BLPH8" localSheetId="3" hidden="1">#REF!</definedName>
    <definedName name="BLPH8" localSheetId="21" hidden="1">#REF!</definedName>
    <definedName name="BLPH8" hidden="1">#REF!</definedName>
    <definedName name="BLPH80" localSheetId="0" hidden="1">#REF!</definedName>
    <definedName name="BLPH80" localSheetId="27" hidden="1">#REF!</definedName>
    <definedName name="BLPH80" localSheetId="19" hidden="1">#REF!</definedName>
    <definedName name="BLPH80" localSheetId="1" hidden="1">#REF!</definedName>
    <definedName name="BLPH80" localSheetId="8" hidden="1">#REF!</definedName>
    <definedName name="BLPH80" localSheetId="6" hidden="1">#REF!</definedName>
    <definedName name="BLPH80" localSheetId="17" hidden="1">#REF!</definedName>
    <definedName name="BLPH80" localSheetId="7" hidden="1">#REF!</definedName>
    <definedName name="BLPH80" localSheetId="3" hidden="1">#REF!</definedName>
    <definedName name="BLPH80" localSheetId="21" hidden="1">#REF!</definedName>
    <definedName name="BLPH80" hidden="1">#REF!</definedName>
    <definedName name="BLPH81" localSheetId="0" hidden="1">#REF!</definedName>
    <definedName name="BLPH81" localSheetId="27" hidden="1">#REF!</definedName>
    <definedName name="BLPH81" localSheetId="19" hidden="1">#REF!</definedName>
    <definedName name="BLPH81" localSheetId="1" hidden="1">#REF!</definedName>
    <definedName name="BLPH81" localSheetId="8" hidden="1">#REF!</definedName>
    <definedName name="BLPH81" localSheetId="6" hidden="1">#REF!</definedName>
    <definedName name="BLPH81" localSheetId="17" hidden="1">#REF!</definedName>
    <definedName name="BLPH81" localSheetId="7" hidden="1">#REF!</definedName>
    <definedName name="BLPH81" localSheetId="3" hidden="1">#REF!</definedName>
    <definedName name="BLPH81" localSheetId="21" hidden="1">#REF!</definedName>
    <definedName name="BLPH81" hidden="1">#REF!</definedName>
    <definedName name="BLPH82" localSheetId="0" hidden="1">#REF!</definedName>
    <definedName name="BLPH82" localSheetId="27" hidden="1">#REF!</definedName>
    <definedName name="BLPH82" localSheetId="19" hidden="1">#REF!</definedName>
    <definedName name="BLPH82" localSheetId="1" hidden="1">#REF!</definedName>
    <definedName name="BLPH82" localSheetId="8" hidden="1">#REF!</definedName>
    <definedName name="BLPH82" localSheetId="6" hidden="1">#REF!</definedName>
    <definedName name="BLPH82" localSheetId="17" hidden="1">#REF!</definedName>
    <definedName name="BLPH82" localSheetId="7" hidden="1">#REF!</definedName>
    <definedName name="BLPH82" localSheetId="3" hidden="1">#REF!</definedName>
    <definedName name="BLPH82" localSheetId="21" hidden="1">#REF!</definedName>
    <definedName name="BLPH82" hidden="1">#REF!</definedName>
    <definedName name="BLPH83" localSheetId="0" hidden="1">#REF!</definedName>
    <definedName name="BLPH83" localSheetId="27" hidden="1">#REF!</definedName>
    <definedName name="BLPH83" localSheetId="19" hidden="1">#REF!</definedName>
    <definedName name="BLPH83" localSheetId="1" hidden="1">#REF!</definedName>
    <definedName name="BLPH83" localSheetId="8" hidden="1">#REF!</definedName>
    <definedName name="BLPH83" localSheetId="6" hidden="1">#REF!</definedName>
    <definedName name="BLPH83" localSheetId="17" hidden="1">#REF!</definedName>
    <definedName name="BLPH83" localSheetId="7" hidden="1">#REF!</definedName>
    <definedName name="BLPH83" localSheetId="3" hidden="1">#REF!</definedName>
    <definedName name="BLPH83" localSheetId="21" hidden="1">#REF!</definedName>
    <definedName name="BLPH83" hidden="1">#REF!</definedName>
    <definedName name="BLPH84" localSheetId="0" hidden="1">#REF!</definedName>
    <definedName name="BLPH84" localSheetId="27" hidden="1">#REF!</definedName>
    <definedName name="BLPH84" localSheetId="19" hidden="1">#REF!</definedName>
    <definedName name="BLPH84" localSheetId="1" hidden="1">#REF!</definedName>
    <definedName name="BLPH84" localSheetId="8" hidden="1">#REF!</definedName>
    <definedName name="BLPH84" localSheetId="6" hidden="1">#REF!</definedName>
    <definedName name="BLPH84" localSheetId="17" hidden="1">#REF!</definedName>
    <definedName name="BLPH84" localSheetId="7" hidden="1">#REF!</definedName>
    <definedName name="BLPH84" localSheetId="3" hidden="1">#REF!</definedName>
    <definedName name="BLPH84" localSheetId="21" hidden="1">#REF!</definedName>
    <definedName name="BLPH84" hidden="1">#REF!</definedName>
    <definedName name="BLPH85" localSheetId="0" hidden="1">#REF!</definedName>
    <definedName name="BLPH85" localSheetId="27" hidden="1">#REF!</definedName>
    <definedName name="BLPH85" localSheetId="19" hidden="1">#REF!</definedName>
    <definedName name="BLPH85" localSheetId="1" hidden="1">#REF!</definedName>
    <definedName name="BLPH85" localSheetId="8" hidden="1">#REF!</definedName>
    <definedName name="BLPH85" localSheetId="6" hidden="1">#REF!</definedName>
    <definedName name="BLPH85" localSheetId="17" hidden="1">#REF!</definedName>
    <definedName name="BLPH85" localSheetId="7" hidden="1">#REF!</definedName>
    <definedName name="BLPH85" localSheetId="3" hidden="1">#REF!</definedName>
    <definedName name="BLPH85" localSheetId="21" hidden="1">#REF!</definedName>
    <definedName name="BLPH85" hidden="1">#REF!</definedName>
    <definedName name="BLPH86" localSheetId="0" hidden="1">#REF!</definedName>
    <definedName name="BLPH86" localSheetId="27" hidden="1">#REF!</definedName>
    <definedName name="BLPH86" localSheetId="19" hidden="1">#REF!</definedName>
    <definedName name="BLPH86" localSheetId="1" hidden="1">#REF!</definedName>
    <definedName name="BLPH86" localSheetId="8" hidden="1">#REF!</definedName>
    <definedName name="BLPH86" localSheetId="6" hidden="1">#REF!</definedName>
    <definedName name="BLPH86" localSheetId="17" hidden="1">#REF!</definedName>
    <definedName name="BLPH86" localSheetId="7" hidden="1">#REF!</definedName>
    <definedName name="BLPH86" localSheetId="3" hidden="1">#REF!</definedName>
    <definedName name="BLPH86" localSheetId="21" hidden="1">#REF!</definedName>
    <definedName name="BLPH86" hidden="1">#REF!</definedName>
    <definedName name="BLPH87" localSheetId="0" hidden="1">#REF!</definedName>
    <definedName name="BLPH87" localSheetId="27" hidden="1">#REF!</definedName>
    <definedName name="BLPH87" localSheetId="19" hidden="1">#REF!</definedName>
    <definedName name="BLPH87" localSheetId="1" hidden="1">#REF!</definedName>
    <definedName name="BLPH87" localSheetId="8" hidden="1">#REF!</definedName>
    <definedName name="BLPH87" localSheetId="6" hidden="1">#REF!</definedName>
    <definedName name="BLPH87" localSheetId="17" hidden="1">#REF!</definedName>
    <definedName name="BLPH87" localSheetId="7" hidden="1">#REF!</definedName>
    <definedName name="BLPH87" localSheetId="3" hidden="1">#REF!</definedName>
    <definedName name="BLPH87" localSheetId="21" hidden="1">#REF!</definedName>
    <definedName name="BLPH87" hidden="1">#REF!</definedName>
    <definedName name="BLPH88" localSheetId="0" hidden="1">#REF!</definedName>
    <definedName name="BLPH88" localSheetId="27" hidden="1">#REF!</definedName>
    <definedName name="BLPH88" localSheetId="19" hidden="1">#REF!</definedName>
    <definedName name="BLPH88" localSheetId="1" hidden="1">#REF!</definedName>
    <definedName name="BLPH88" localSheetId="8" hidden="1">#REF!</definedName>
    <definedName name="BLPH88" localSheetId="6" hidden="1">#REF!</definedName>
    <definedName name="BLPH88" localSheetId="17" hidden="1">#REF!</definedName>
    <definedName name="BLPH88" localSheetId="7" hidden="1">#REF!</definedName>
    <definedName name="BLPH88" localSheetId="3" hidden="1">#REF!</definedName>
    <definedName name="BLPH88" localSheetId="21" hidden="1">#REF!</definedName>
    <definedName name="BLPH88" hidden="1">#REF!</definedName>
    <definedName name="BLPH89" localSheetId="0" hidden="1">#REF!</definedName>
    <definedName name="BLPH89" localSheetId="27" hidden="1">#REF!</definedName>
    <definedName name="BLPH89" localSheetId="19" hidden="1">#REF!</definedName>
    <definedName name="BLPH89" localSheetId="1" hidden="1">#REF!</definedName>
    <definedName name="BLPH89" localSheetId="8" hidden="1">#REF!</definedName>
    <definedName name="BLPH89" localSheetId="6" hidden="1">#REF!</definedName>
    <definedName name="BLPH89" localSheetId="17" hidden="1">#REF!</definedName>
    <definedName name="BLPH89" localSheetId="7" hidden="1">#REF!</definedName>
    <definedName name="BLPH89" localSheetId="3" hidden="1">#REF!</definedName>
    <definedName name="BLPH89" localSheetId="21" hidden="1">#REF!</definedName>
    <definedName name="BLPH89" hidden="1">#REF!</definedName>
    <definedName name="BLPH9" localSheetId="0" hidden="1">#REF!</definedName>
    <definedName name="BLPH9" localSheetId="27" hidden="1">#REF!</definedName>
    <definedName name="BLPH9" localSheetId="19" hidden="1">#REF!</definedName>
    <definedName name="BLPH9" localSheetId="1" hidden="1">#REF!</definedName>
    <definedName name="BLPH9" localSheetId="8" hidden="1">#REF!</definedName>
    <definedName name="BLPH9" localSheetId="6" hidden="1">#REF!</definedName>
    <definedName name="BLPH9" localSheetId="17" hidden="1">#REF!</definedName>
    <definedName name="BLPH9" localSheetId="7" hidden="1">#REF!</definedName>
    <definedName name="BLPH9" localSheetId="3" hidden="1">#REF!</definedName>
    <definedName name="BLPH9" localSheetId="21" hidden="1">#REF!</definedName>
    <definedName name="BLPH9" hidden="1">#REF!</definedName>
    <definedName name="BLPH90" localSheetId="0" hidden="1">#REF!</definedName>
    <definedName name="BLPH90" localSheetId="27" hidden="1">#REF!</definedName>
    <definedName name="BLPH90" localSheetId="19" hidden="1">#REF!</definedName>
    <definedName name="BLPH90" localSheetId="1" hidden="1">#REF!</definedName>
    <definedName name="BLPH90" localSheetId="8" hidden="1">#REF!</definedName>
    <definedName name="BLPH90" localSheetId="6" hidden="1">#REF!</definedName>
    <definedName name="BLPH90" localSheetId="17" hidden="1">#REF!</definedName>
    <definedName name="BLPH90" localSheetId="7" hidden="1">#REF!</definedName>
    <definedName name="BLPH90" localSheetId="3" hidden="1">#REF!</definedName>
    <definedName name="BLPH90" localSheetId="21" hidden="1">#REF!</definedName>
    <definedName name="BLPH90" hidden="1">#REF!</definedName>
    <definedName name="BLPH91" localSheetId="0" hidden="1">#REF!</definedName>
    <definedName name="BLPH91" localSheetId="27" hidden="1">#REF!</definedName>
    <definedName name="BLPH91" localSheetId="19" hidden="1">#REF!</definedName>
    <definedName name="BLPH91" localSheetId="1" hidden="1">#REF!</definedName>
    <definedName name="BLPH91" localSheetId="8" hidden="1">#REF!</definedName>
    <definedName name="BLPH91" localSheetId="6" hidden="1">#REF!</definedName>
    <definedName name="BLPH91" localSheetId="17" hidden="1">#REF!</definedName>
    <definedName name="BLPH91" localSheetId="7" hidden="1">#REF!</definedName>
    <definedName name="BLPH91" localSheetId="3" hidden="1">#REF!</definedName>
    <definedName name="BLPH91" localSheetId="21" hidden="1">#REF!</definedName>
    <definedName name="BLPH91" hidden="1">#REF!</definedName>
    <definedName name="BLPH92" localSheetId="0" hidden="1">#REF!</definedName>
    <definedName name="BLPH92" localSheetId="27" hidden="1">#REF!</definedName>
    <definedName name="BLPH92" localSheetId="19" hidden="1">#REF!</definedName>
    <definedName name="BLPH92" localSheetId="1" hidden="1">#REF!</definedName>
    <definedName name="BLPH92" localSheetId="8" hidden="1">#REF!</definedName>
    <definedName name="BLPH92" localSheetId="6" hidden="1">#REF!</definedName>
    <definedName name="BLPH92" localSheetId="17" hidden="1">#REF!</definedName>
    <definedName name="BLPH92" localSheetId="7" hidden="1">#REF!</definedName>
    <definedName name="BLPH92" localSheetId="3" hidden="1">#REF!</definedName>
    <definedName name="BLPH92" localSheetId="21" hidden="1">#REF!</definedName>
    <definedName name="BLPH92" hidden="1">#REF!</definedName>
    <definedName name="BLPH93" localSheetId="0" hidden="1">#REF!</definedName>
    <definedName name="BLPH93" localSheetId="27" hidden="1">#REF!</definedName>
    <definedName name="BLPH93" localSheetId="19" hidden="1">#REF!</definedName>
    <definedName name="BLPH93" localSheetId="1" hidden="1">#REF!</definedName>
    <definedName name="BLPH93" localSheetId="8" hidden="1">#REF!</definedName>
    <definedName name="BLPH93" localSheetId="6" hidden="1">#REF!</definedName>
    <definedName name="BLPH93" localSheetId="17" hidden="1">#REF!</definedName>
    <definedName name="BLPH93" localSheetId="7" hidden="1">#REF!</definedName>
    <definedName name="BLPH93" localSheetId="3" hidden="1">#REF!</definedName>
    <definedName name="BLPH93" localSheetId="21" hidden="1">#REF!</definedName>
    <definedName name="BLPH93" hidden="1">#REF!</definedName>
    <definedName name="BLPH94" localSheetId="0" hidden="1">#REF!</definedName>
    <definedName name="BLPH94" localSheetId="27" hidden="1">#REF!</definedName>
    <definedName name="BLPH94" localSheetId="19" hidden="1">#REF!</definedName>
    <definedName name="BLPH94" localSheetId="1" hidden="1">#REF!</definedName>
    <definedName name="BLPH94" localSheetId="8" hidden="1">#REF!</definedName>
    <definedName name="BLPH94" localSheetId="6" hidden="1">#REF!</definedName>
    <definedName name="BLPH94" localSheetId="17" hidden="1">#REF!</definedName>
    <definedName name="BLPH94" localSheetId="7" hidden="1">#REF!</definedName>
    <definedName name="BLPH94" localSheetId="3" hidden="1">#REF!</definedName>
    <definedName name="BLPH94" localSheetId="21" hidden="1">#REF!</definedName>
    <definedName name="BLPH94" hidden="1">#REF!</definedName>
    <definedName name="BLPH95" localSheetId="0" hidden="1">#REF!</definedName>
    <definedName name="BLPH95" localSheetId="27" hidden="1">#REF!</definedName>
    <definedName name="BLPH95" localSheetId="19" hidden="1">#REF!</definedName>
    <definedName name="BLPH95" localSheetId="1" hidden="1">#REF!</definedName>
    <definedName name="BLPH95" localSheetId="8" hidden="1">#REF!</definedName>
    <definedName name="BLPH95" localSheetId="6" hidden="1">#REF!</definedName>
    <definedName name="BLPH95" localSheetId="17" hidden="1">#REF!</definedName>
    <definedName name="BLPH95" localSheetId="7" hidden="1">#REF!</definedName>
    <definedName name="BLPH95" localSheetId="3" hidden="1">#REF!</definedName>
    <definedName name="BLPH95" localSheetId="21" hidden="1">#REF!</definedName>
    <definedName name="BLPH95" hidden="1">#REF!</definedName>
    <definedName name="BLPH96" localSheetId="0" hidden="1">#REF!</definedName>
    <definedName name="BLPH96" localSheetId="27" hidden="1">#REF!</definedName>
    <definedName name="BLPH96" localSheetId="19" hidden="1">#REF!</definedName>
    <definedName name="BLPH96" localSheetId="1" hidden="1">#REF!</definedName>
    <definedName name="BLPH96" localSheetId="8" hidden="1">#REF!</definedName>
    <definedName name="BLPH96" localSheetId="6" hidden="1">#REF!</definedName>
    <definedName name="BLPH96" localSheetId="17" hidden="1">#REF!</definedName>
    <definedName name="BLPH96" localSheetId="7" hidden="1">#REF!</definedName>
    <definedName name="BLPH96" localSheetId="3" hidden="1">#REF!</definedName>
    <definedName name="BLPH96" localSheetId="21" hidden="1">#REF!</definedName>
    <definedName name="BLPH96" hidden="1">#REF!</definedName>
    <definedName name="BLPH97" localSheetId="0" hidden="1">#REF!</definedName>
    <definedName name="BLPH97" localSheetId="27" hidden="1">#REF!</definedName>
    <definedName name="BLPH97" localSheetId="19" hidden="1">#REF!</definedName>
    <definedName name="BLPH97" localSheetId="1" hidden="1">#REF!</definedName>
    <definedName name="BLPH97" localSheetId="8" hidden="1">#REF!</definedName>
    <definedName name="BLPH97" localSheetId="6" hidden="1">#REF!</definedName>
    <definedName name="BLPH97" localSheetId="17" hidden="1">#REF!</definedName>
    <definedName name="BLPH97" localSheetId="7" hidden="1">#REF!</definedName>
    <definedName name="BLPH97" localSheetId="3" hidden="1">#REF!</definedName>
    <definedName name="BLPH97" localSheetId="21" hidden="1">#REF!</definedName>
    <definedName name="BLPH97" hidden="1">#REF!</definedName>
    <definedName name="BLPH98" localSheetId="0" hidden="1">#REF!</definedName>
    <definedName name="BLPH98" localSheetId="27" hidden="1">#REF!</definedName>
    <definedName name="BLPH98" localSheetId="19" hidden="1">#REF!</definedName>
    <definedName name="BLPH98" localSheetId="1" hidden="1">#REF!</definedName>
    <definedName name="BLPH98" localSheetId="8" hidden="1">#REF!</definedName>
    <definedName name="BLPH98" localSheetId="6" hidden="1">#REF!</definedName>
    <definedName name="BLPH98" localSheetId="17" hidden="1">#REF!</definedName>
    <definedName name="BLPH98" localSheetId="7" hidden="1">#REF!</definedName>
    <definedName name="BLPH98" localSheetId="3" hidden="1">#REF!</definedName>
    <definedName name="BLPH98" localSheetId="21" hidden="1">#REF!</definedName>
    <definedName name="BLPH98" hidden="1">#REF!</definedName>
    <definedName name="BLPH99" localSheetId="0" hidden="1">#REF!</definedName>
    <definedName name="BLPH99" localSheetId="27" hidden="1">#REF!</definedName>
    <definedName name="BLPH99" localSheetId="19" hidden="1">#REF!</definedName>
    <definedName name="BLPH99" localSheetId="1" hidden="1">#REF!</definedName>
    <definedName name="BLPH99" localSheetId="8" hidden="1">#REF!</definedName>
    <definedName name="BLPH99" localSheetId="6" hidden="1">#REF!</definedName>
    <definedName name="BLPH99" localSheetId="17" hidden="1">#REF!</definedName>
    <definedName name="BLPH99" localSheetId="7" hidden="1">#REF!</definedName>
    <definedName name="BLPH99" localSheetId="3" hidden="1">#REF!</definedName>
    <definedName name="BLPH99" localSheetId="21" hidden="1">#REF!</definedName>
    <definedName name="BLPH99" hidden="1">#REF!</definedName>
    <definedName name="BondOutlookCode" localSheetId="6">'[45]How to create formulas'!$D$140</definedName>
    <definedName name="BondOutlookCode">'[46]How to create formulas'!$D$140</definedName>
    <definedName name="BondRatingCode" localSheetId="6">'[45]How to create formulas'!$D$39</definedName>
    <definedName name="BondRatingCode">'[46]How to create formulas'!$D$39</definedName>
    <definedName name="BondWatchCode" localSheetId="6">'[45]How to create formulas'!$D$98</definedName>
    <definedName name="BondWatchCode">'[46]How to create formulas'!$D$98</definedName>
    <definedName name="BS추정" localSheetId="19" hidden="1">{"'보고양식'!$A$58:$K$111"}</definedName>
    <definedName name="BS추정" localSheetId="6" hidden="1">{"'보고양식'!$A$58:$K$111"}</definedName>
    <definedName name="BS추정" localSheetId="7" hidden="1">{"'보고양식'!$A$58:$K$111"}</definedName>
    <definedName name="BS추정" localSheetId="3" hidden="1">{"'보고양식'!$A$58:$K$111"}</definedName>
    <definedName name="BS추정" localSheetId="21" hidden="1">{"'보고양식'!$A$58:$K$111"}</definedName>
    <definedName name="BS추정" hidden="1">{"'보고양식'!$A$58:$K$111"}</definedName>
    <definedName name="Case" localSheetId="19">[53]DCF!$K$3</definedName>
    <definedName name="Case" localSheetId="6">[47]Assumptions!$V$3</definedName>
    <definedName name="Case" localSheetId="7">[54]DCF!$G$3</definedName>
    <definedName name="Case" localSheetId="21">[54]DCF!$G$3</definedName>
    <definedName name="Case">DCF!$R$6</definedName>
    <definedName name="c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IQWBGuid" localSheetId="11" hidden="1">"9a9a58b2-c100-40f0-ae1d-51c2d5122844"</definedName>
    <definedName name="CIQWBGuid" localSheetId="9" hidden="1">"9a9a58b2-c100-40f0-ae1d-51c2d5122844"</definedName>
    <definedName name="CIQWBGuid" localSheetId="3" hidden="1">"Aston Martin One-Page Summary 12.30.11.xlsx"</definedName>
    <definedName name="CIQWBGuid" hidden="1">"REN Transaction Expenses.xlsx"</definedName>
    <definedName name="CIQWBInfo" hidden="1">"{ ""CIQVersion"":""9.49.2423.4439"" }"</definedName>
    <definedName name="Circ" localSheetId="8">Debt!$AM$2</definedName>
    <definedName name="Circ" localSheetId="6">'[49]Debt '!$AE$2</definedName>
    <definedName name="Circ" localSheetId="7">[55]Debt!$S$4</definedName>
    <definedName name="Circ" localSheetId="21">[55]Debt!$S$4</definedName>
    <definedName name="Circ">'[51]Debt '!$AE$2</definedName>
    <definedName name="Circ1">'[56]Consensus Summary'!$E$3</definedName>
    <definedName name="ConsensusSw">'[47]Consensus Summary TR'!$N$3</definedName>
    <definedName name="ConsensusTR">'[57]Peer Analysiss'!$G$2</definedName>
    <definedName name="cox" localSheetId="0" hidden="1">{#N/A,#N/A,FALSE,"Time Warner";#N/A,#N/A,FALSE,"Entertainment Group";#N/A,#N/A,FALSE,"EBITDA";#N/A,#N/A,FALSE,"Notes"}</definedName>
    <definedName name="cox" localSheetId="27" hidden="1">{#N/A,#N/A,FALSE,"Time Warner";#N/A,#N/A,FALSE,"Entertainment Group";#N/A,#N/A,FALSE,"EBITDA";#N/A,#N/A,FALSE,"Notes"}</definedName>
    <definedName name="cox" localSheetId="19" hidden="1">{#N/A,#N/A,FALSE,"Time Warner";#N/A,#N/A,FALSE,"Entertainment Group";#N/A,#N/A,FALSE,"EBITDA";#N/A,#N/A,FALSE,"Notes"}</definedName>
    <definedName name="cox" localSheetId="1" hidden="1">{#N/A,#N/A,FALSE,"Time Warner";#N/A,#N/A,FALSE,"Entertainment Group";#N/A,#N/A,FALSE,"EBITDA";#N/A,#N/A,FALSE,"Notes"}</definedName>
    <definedName name="cox" localSheetId="8" hidden="1">{#N/A,#N/A,FALSE,"Time Warner";#N/A,#N/A,FALSE,"Entertainment Group";#N/A,#N/A,FALSE,"EBITDA";#N/A,#N/A,FALSE,"Notes"}</definedName>
    <definedName name="cox" localSheetId="6" hidden="1">{#N/A,#N/A,FALSE,"Time Warner";#N/A,#N/A,FALSE,"Entertainment Group";#N/A,#N/A,FALSE,"EBITDA";#N/A,#N/A,FALSE,"Notes"}</definedName>
    <definedName name="cox" localSheetId="17" hidden="1">{#N/A,#N/A,FALSE,"Time Warner";#N/A,#N/A,FALSE,"Entertainment Group";#N/A,#N/A,FALSE,"EBITDA";#N/A,#N/A,FALSE,"Notes"}</definedName>
    <definedName name="cox" localSheetId="7" hidden="1">{#N/A,#N/A,FALSE,"Time Warner";#N/A,#N/A,FALSE,"Entertainment Group";#N/A,#N/A,FALSE,"EBITDA";#N/A,#N/A,FALSE,"Notes"}</definedName>
    <definedName name="cox" localSheetId="3" hidden="1">{#N/A,#N/A,FALSE,"Time Warner";#N/A,#N/A,FALSE,"Entertainment Group";#N/A,#N/A,FALSE,"EBITDA";#N/A,#N/A,FALSE,"Notes"}</definedName>
    <definedName name="cox" localSheetId="21" hidden="1">{#N/A,#N/A,FALSE,"Time Warner";#N/A,#N/A,FALSE,"Entertainment Group";#N/A,#N/A,FALSE,"EBITDA";#N/A,#N/A,FALSE,"Notes"}</definedName>
    <definedName name="cox" hidden="1">{#N/A,#N/A,FALSE,"Time Warner";#N/A,#N/A,FALSE,"Entertainment Group";#N/A,#N/A,FALSE,"EBITDA";#N/A,#N/A,FALSE,"Notes"}</definedName>
    <definedName name="cu102.ShareScalingFactor" hidden="1">1000000</definedName>
    <definedName name="cu103.EmployeeScalingFactor" hidden="1">1000</definedName>
    <definedName name="cu107.EPSSymbol" hidden="1">"CHF"</definedName>
    <definedName name="cu119.CopyLastPeriodRows" localSheetId="19" hidden="1">{"AVSHAR","BSHAR"}</definedName>
    <definedName name="cu119.CopyLastPeriodRows" localSheetId="6" hidden="1">{"AVSHAR","BSHAR"}</definedName>
    <definedName name="cu119.CopyLastPeriodRows" localSheetId="7" hidden="1">{"AVSHAR","BSHAR"}</definedName>
    <definedName name="cu119.CopyLastPeriodRows" localSheetId="3" hidden="1">{"AVSHAR","BSHAR"}</definedName>
    <definedName name="cu119.CopyLastPeriodRows" localSheetId="21" hidden="1">{"AVSHAR","BSHAR"}</definedName>
    <definedName name="cu119.CopyLastPeriodRows" hidden="1">{"AVSHAR","BSHAR"}</definedName>
    <definedName name="cu71.ScalingFactor" hidden="1">1000000</definedName>
    <definedName name="d" localSheetId="19" hidden="1">{"comps",#N/A,FALSE,"TXTCOMPS";"segment_EPS",#N/A,FALSE,"TXTCOMPS";"valuation",#N/A,FALSE,"TXTCOMPS"}</definedName>
    <definedName name="d" localSheetId="6" hidden="1">{"comps",#N/A,FALSE,"TXTCOMPS";"segment_EPS",#N/A,FALSE,"TXTCOMPS";"valuation",#N/A,FALSE,"TXTCOMPS"}</definedName>
    <definedName name="d" localSheetId="7" hidden="1">{"comps",#N/A,FALSE,"TXTCOMPS";"segment_EPS",#N/A,FALSE,"TXTCOMPS";"valuation",#N/A,FALSE,"TXTCOMPS"}</definedName>
    <definedName name="d" localSheetId="3" hidden="1">{"comps",#N/A,FALSE,"TXTCOMPS";"segment_EPS",#N/A,FALSE,"TXTCOMPS";"valuation",#N/A,FALSE,"TXTCOMPS"}</definedName>
    <definedName name="d" localSheetId="21" hidden="1">{"comps",#N/A,FALSE,"TXTCOMPS";"segment_EPS",#N/A,FALSE,"TXTCOMPS";"valuation",#N/A,FALSE,"TXTCOMPS"}</definedName>
    <definedName name="d" hidden="1">{"comps",#N/A,FALSE,"TXTCOMPS";"segment_EPS",#N/A,FALSE,"TXTCOMPS";"valuation",#N/A,FALSE,"TXTCOMPS"}</definedName>
    <definedName name="DestinationCell1" localSheetId="6">'[45]How to create formulas'!$C$62</definedName>
    <definedName name="DestinationCell1">'[46]How to create formulas'!$C$62</definedName>
    <definedName name="DestinationCell10" localSheetId="6">'[45]How to create formulas'!$C$212</definedName>
    <definedName name="DestinationCell10">'[46]How to create formulas'!$C$212</definedName>
    <definedName name="DestinationCell11" localSheetId="6">'[45]How to create formulas'!$C$219</definedName>
    <definedName name="DestinationCell11">'[46]How to create formulas'!$C$219</definedName>
    <definedName name="DestinationCell12" localSheetId="6">'[45]How to create formulas'!$C$227</definedName>
    <definedName name="DestinationCell12">'[46]How to create formulas'!$C$227</definedName>
    <definedName name="DestinationCell13" localSheetId="6">'[45]How to create formulas'!$C$265</definedName>
    <definedName name="DestinationCell13">'[46]How to create formulas'!$C$265</definedName>
    <definedName name="DestinationCell14" localSheetId="6">'[45]How to create formulas'!$C$272</definedName>
    <definedName name="DestinationCell14">'[46]How to create formulas'!$C$272</definedName>
    <definedName name="DestinationCell15" localSheetId="6">'[45]How to create formulas'!$C$280</definedName>
    <definedName name="DestinationCell15">'[46]How to create formulas'!$C$280</definedName>
    <definedName name="DestinationCell16" localSheetId="6">'[45]How to create formulas'!$C$315</definedName>
    <definedName name="DestinationCell16">'[46]How to create formulas'!$C$315</definedName>
    <definedName name="DestinationCell17" localSheetId="6">'[45]How to create formulas'!$C$322</definedName>
    <definedName name="DestinationCell17">'[46]How to create formulas'!$C$322</definedName>
    <definedName name="DestinationCell18" localSheetId="6">'[45]How to create formulas'!$C$330</definedName>
    <definedName name="DestinationCell18">'[46]How to create formulas'!$C$330</definedName>
    <definedName name="DestinationCell2" localSheetId="6">'[45]How to create formulas'!$C$69</definedName>
    <definedName name="DestinationCell2">'[46]How to create formulas'!$C$69</definedName>
    <definedName name="DestinationCell3" localSheetId="6">'[45]How to create formulas'!$C$77</definedName>
    <definedName name="DestinationCell3">'[46]How to create formulas'!$C$77</definedName>
    <definedName name="DestinationCell4" localSheetId="6">'[45]How to create formulas'!$C$112</definedName>
    <definedName name="DestinationCell4">'[46]How to create formulas'!$C$112</definedName>
    <definedName name="DestinationCell5" localSheetId="6">'[45]How to create formulas'!$C$119</definedName>
    <definedName name="DestinationCell5">'[46]How to create formulas'!$C$119</definedName>
    <definedName name="DestinationCell6" localSheetId="6">'[45]How to create formulas'!$C$128</definedName>
    <definedName name="DestinationCell6">'[46]How to create formulas'!$C$128</definedName>
    <definedName name="DestinationCell7" localSheetId="6">'[45]How to create formulas'!$C$154</definedName>
    <definedName name="DestinationCell7">'[46]How to create formulas'!$C$154</definedName>
    <definedName name="DestinationCell8" localSheetId="6">'[45]How to create formulas'!$C$161</definedName>
    <definedName name="DestinationCell8">'[46]How to create formulas'!$C$161</definedName>
    <definedName name="DestinationCell9" localSheetId="6">'[45]How to create formulas'!$C$169</definedName>
    <definedName name="DestinationCell9">'[46]How to create formulas'!$C$169</definedName>
    <definedName name="djsj" localSheetId="19" hidden="1">{"comps",#N/A,FALSE,"TXTCOMPS";"segment_EPS",#N/A,FALSE,"TXTCOMPS";"valuation",#N/A,FALSE,"TXTCOMPS"}</definedName>
    <definedName name="djsj" localSheetId="6" hidden="1">{"comps",#N/A,FALSE,"TXTCOMPS";"segment_EPS",#N/A,FALSE,"TXTCOMPS";"valuation",#N/A,FALSE,"TXTCOMPS"}</definedName>
    <definedName name="djsj" localSheetId="7" hidden="1">{"comps",#N/A,FALSE,"TXTCOMPS";"segment_EPS",#N/A,FALSE,"TXTCOMPS";"valuation",#N/A,FALSE,"TXTCOMPS"}</definedName>
    <definedName name="djsj" localSheetId="3" hidden="1">{"comps",#N/A,FALSE,"TXTCOMPS";"segment_EPS",#N/A,FALSE,"TXTCOMPS";"valuation",#N/A,FALSE,"TXTCOMPS"}</definedName>
    <definedName name="djsj" localSheetId="21" hidden="1">{"comps",#N/A,FALSE,"TXTCOMPS";"segment_EPS",#N/A,FALSE,"TXTCOMPS";"valuation",#N/A,FALSE,"TXTCOMPS"}</definedName>
    <definedName name="djsj" hidden="1">{"comps",#N/A,FALSE,"TXTCOMPS";"segment_EPS",#N/A,FALSE,"TXTCOMPS";"valuation",#N/A,FALSE,"TXTCOMPS"}</definedName>
    <definedName name="e" localSheetId="0" hidden="1">{"Qearn1",#N/A,FALSE,"Qearn";"Qearn2",#N/A,FALSE,"Qearn";"Qmargin",#N/A,FALSE,"Qmargin";"Cashflow",#N/A,FALSE,"Cashflow"}</definedName>
    <definedName name="e" localSheetId="27" hidden="1">{"Qearn1",#N/A,FALSE,"Qearn";"Qearn2",#N/A,FALSE,"Qearn";"Qmargin",#N/A,FALSE,"Qmargin";"Cashflow",#N/A,FALSE,"Cashflow"}</definedName>
    <definedName name="e" localSheetId="19" hidden="1">{"Qearn1",#N/A,FALSE,"Qearn";"Qearn2",#N/A,FALSE,"Qearn";"Qmargin",#N/A,FALSE,"Qmargin";"Cashflow",#N/A,FALSE,"Cashflow"}</definedName>
    <definedName name="e" localSheetId="1" hidden="1">{"Qearn1",#N/A,FALSE,"Qearn";"Qearn2",#N/A,FALSE,"Qearn";"Qmargin",#N/A,FALSE,"Qmargin";"Cashflow",#N/A,FALSE,"Cashflow"}</definedName>
    <definedName name="e" localSheetId="8" hidden="1">{"Qearn1",#N/A,FALSE,"Qearn";"Qearn2",#N/A,FALSE,"Qearn";"Qmargin",#N/A,FALSE,"Qmargin";"Cashflow",#N/A,FALSE,"Cashflow"}</definedName>
    <definedName name="e" localSheetId="6" hidden="1">{"Qearn1",#N/A,FALSE,"Qearn";"Qearn2",#N/A,FALSE,"Qearn";"Qmargin",#N/A,FALSE,"Qmargin";"Cashflow",#N/A,FALSE,"Cashflow"}</definedName>
    <definedName name="e" localSheetId="17" hidden="1">{"Qearn1",#N/A,FALSE,"Qearn";"Qearn2",#N/A,FALSE,"Qearn";"Qmargin",#N/A,FALSE,"Qmargin";"Cashflow",#N/A,FALSE,"Cashflow"}</definedName>
    <definedName name="e" localSheetId="7" hidden="1">{"Qearn1",#N/A,FALSE,"Qearn";"Qearn2",#N/A,FALSE,"Qearn";"Qmargin",#N/A,FALSE,"Qmargin";"Cashflow",#N/A,FALSE,"Cashflow"}</definedName>
    <definedName name="e" localSheetId="3" hidden="1">{"Qearn1",#N/A,FALSE,"Qearn";"Qearn2",#N/A,FALSE,"Qearn";"Qmargin",#N/A,FALSE,"Qmargin";"Cashflow",#N/A,FALSE,"Cashflow"}</definedName>
    <definedName name="e" localSheetId="21" hidden="1">{"Qearn1",#N/A,FALSE,"Qearn";"Qearn2",#N/A,FALSE,"Qearn";"Qmargin",#N/A,FALSE,"Qmargin";"Cashflow",#N/A,FALSE,"Cashflow"}</definedName>
    <definedName name="e" hidden="1">{"Qearn1",#N/A,FALSE,"Qearn";"Qearn2",#N/A,FALSE,"Qearn";"Qmargin",#N/A,FALSE,"Qmargin";"Cashflow",#N/A,FALSE,"Cashflow"}</definedName>
    <definedName name="EARN" localSheetId="0" hidden="1">#REF!</definedName>
    <definedName name="EARN" localSheetId="27" hidden="1">#REF!</definedName>
    <definedName name="EARN" localSheetId="19" hidden="1">#REF!</definedName>
    <definedName name="EARN" localSheetId="1" hidden="1">#REF!</definedName>
    <definedName name="EARN" localSheetId="8" hidden="1">#REF!</definedName>
    <definedName name="EARN" localSheetId="6" hidden="1">#REF!</definedName>
    <definedName name="EARN" localSheetId="17" hidden="1">#REF!</definedName>
    <definedName name="EARN" localSheetId="7" hidden="1">#REF!</definedName>
    <definedName name="EARN" localSheetId="3" hidden="1">#REF!</definedName>
    <definedName name="EARN" localSheetId="21" hidden="1">#REF!</definedName>
    <definedName name="EARN" hidden="1">#REF!</definedName>
    <definedName name="Earnings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d" localSheetId="19" hidden="1">{"'보고양식'!$A$58:$K$111"}</definedName>
    <definedName name="ed" localSheetId="6" hidden="1">{"'보고양식'!$A$58:$K$111"}</definedName>
    <definedName name="ed" localSheetId="7" hidden="1">{"'보고양식'!$A$58:$K$111"}</definedName>
    <definedName name="ed" localSheetId="3" hidden="1">{"'보고양식'!$A$58:$K$111"}</definedName>
    <definedName name="ed" localSheetId="21" hidden="1">{"'보고양식'!$A$58:$K$111"}</definedName>
    <definedName name="ed" hidden="1">{"'보고양식'!$A$58:$K$111"}</definedName>
    <definedName name="eg" localSheetId="19" hidden="1">{"comps",#N/A,FALSE,"TXTCOMPS";"segment_EPS",#N/A,FALSE,"TXTCOMPS";"valuation",#N/A,FALSE,"TXTCOMPS"}</definedName>
    <definedName name="eg" localSheetId="6" hidden="1">{"comps",#N/A,FALSE,"TXTCOMPS";"segment_EPS",#N/A,FALSE,"TXTCOMPS";"valuation",#N/A,FALSE,"TXTCOMPS"}</definedName>
    <definedName name="eg" localSheetId="7" hidden="1">{"comps",#N/A,FALSE,"TXTCOMPS";"segment_EPS",#N/A,FALSE,"TXTCOMPS";"valuation",#N/A,FALSE,"TXTCOMPS"}</definedName>
    <definedName name="eg" localSheetId="3" hidden="1">{"comps",#N/A,FALSE,"TXTCOMPS";"segment_EPS",#N/A,FALSE,"TXTCOMPS";"valuation",#N/A,FALSE,"TXTCOMPS"}</definedName>
    <definedName name="eg" localSheetId="21" hidden="1">{"comps",#N/A,FALSE,"TXTCOMPS";"segment_EPS",#N/A,FALSE,"TXTCOMPS";"valuation",#N/A,FALSE,"TXTCOMPS"}</definedName>
    <definedName name="eg" hidden="1">{"comps",#N/A,FALSE,"TXTCOMPS";"segment_EPS",#N/A,FALSE,"TXTCOMPS";"valuation",#N/A,FALSE,"TXTCOMPS"}</definedName>
    <definedName name="EndDate" localSheetId="6">'[45]How to create formulas'!$D$32</definedName>
    <definedName name="EndDate">'[46]How to create formulas'!$D$32</definedName>
    <definedName name="EntityCode" localSheetId="6">'[45]How to create formulas'!$D$30</definedName>
    <definedName name="EntityCode">'[46]How to create formulas'!$D$30</definedName>
    <definedName name="EVSwitch" localSheetId="6">'[48]Other Pulls'!$BF$3</definedName>
    <definedName name="EVSwitch">'Other Pulls'!$BF$3</definedName>
    <definedName name="evtab" localSheetId="0" hidden="1">{#N/A,#N/A,FALSE,"COVER";#N/A,#N/A,FALSE,"PF ASSUMPT";#N/A,#N/A,FALSE,"PF EPS";#N/A,#N/A,FALSE,"CASHFLOWS";#N/A,#N/A,FALSE,"BALANCESHEET"}</definedName>
    <definedName name="evtab" localSheetId="27" hidden="1">{#N/A,#N/A,FALSE,"COVER";#N/A,#N/A,FALSE,"PF ASSUMPT";#N/A,#N/A,FALSE,"PF EPS";#N/A,#N/A,FALSE,"CASHFLOWS";#N/A,#N/A,FALSE,"BALANCESHEET"}</definedName>
    <definedName name="evtab" localSheetId="19" hidden="1">{#N/A,#N/A,FALSE,"COVER";#N/A,#N/A,FALSE,"PF ASSUMPT";#N/A,#N/A,FALSE,"PF EPS";#N/A,#N/A,FALSE,"CASHFLOWS";#N/A,#N/A,FALSE,"BALANCESHEET"}</definedName>
    <definedName name="evtab" localSheetId="1" hidden="1">{#N/A,#N/A,FALSE,"COVER";#N/A,#N/A,FALSE,"PF ASSUMPT";#N/A,#N/A,FALSE,"PF EPS";#N/A,#N/A,FALSE,"CASHFLOWS";#N/A,#N/A,FALSE,"BALANCESHEET"}</definedName>
    <definedName name="evtab" localSheetId="8" hidden="1">{#N/A,#N/A,FALSE,"COVER";#N/A,#N/A,FALSE,"PF ASSUMPT";#N/A,#N/A,FALSE,"PF EPS";#N/A,#N/A,FALSE,"CASHFLOWS";#N/A,#N/A,FALSE,"BALANCESHEET"}</definedName>
    <definedName name="evtab" localSheetId="6" hidden="1">{#N/A,#N/A,FALSE,"COVER";#N/A,#N/A,FALSE,"PF ASSUMPT";#N/A,#N/A,FALSE,"PF EPS";#N/A,#N/A,FALSE,"CASHFLOWS";#N/A,#N/A,FALSE,"BALANCESHEET"}</definedName>
    <definedName name="evtab" localSheetId="17" hidden="1">{#N/A,#N/A,FALSE,"COVER";#N/A,#N/A,FALSE,"PF ASSUMPT";#N/A,#N/A,FALSE,"PF EPS";#N/A,#N/A,FALSE,"CASHFLOWS";#N/A,#N/A,FALSE,"BALANCESHEET"}</definedName>
    <definedName name="evtab" localSheetId="7" hidden="1">{#N/A,#N/A,FALSE,"COVER";#N/A,#N/A,FALSE,"PF ASSUMPT";#N/A,#N/A,FALSE,"PF EPS";#N/A,#N/A,FALSE,"CASHFLOWS";#N/A,#N/A,FALSE,"BALANCESHEET"}</definedName>
    <definedName name="evtab" localSheetId="3" hidden="1">{#N/A,#N/A,FALSE,"COVER";#N/A,#N/A,FALSE,"PF ASSUMPT";#N/A,#N/A,FALSE,"PF EPS";#N/A,#N/A,FALSE,"CASHFLOWS";#N/A,#N/A,FALSE,"BALANCESHEET"}</definedName>
    <definedName name="evtab" localSheetId="21" hidden="1">{#N/A,#N/A,FALSE,"COVER";#N/A,#N/A,FALSE,"PF ASSUMPT";#N/A,#N/A,FALSE,"PF EPS";#N/A,#N/A,FALSE,"CASHFLOWS";#N/A,#N/A,FALSE,"BALANCESHEET"}</definedName>
    <definedName name="evtab" hidden="1">{#N/A,#N/A,FALSE,"COVER";#N/A,#N/A,FALSE,"PF ASSUMPT";#N/A,#N/A,FALSE,"PF EPS";#N/A,#N/A,FALSE,"CASHFLOWS";#N/A,#N/A,FALSE,"BALANCESHEET"}</definedName>
    <definedName name="f" localSheetId="19" hidden="1">{"cover a","1q",FALSE,"Cover";"Op Earn Mgd Q1",#N/A,FALSE,"Op-Earn (Mng)";"Op Earn Rpt Q1",#N/A,FALSE,"Op-Earn (Rpt)";"Loans",#N/A,FALSE,"Loans";"Credit Costs",#N/A,FALSE,"CCosts";"Net Interest Margin",#N/A,FALSE,"Margin";"Nonint Income",#N/A,FALSE,"NonII";"Nonint Exp",#N/A,FALSE,"NonIE";"Valuation",#N/A,FALSE,"Valuation"}</definedName>
    <definedName name="f" localSheetId="6" hidden="1">{"cover a","1q",FALSE,"Cover";"Op Earn Mgd Q1",#N/A,FALSE,"Op-Earn (Mng)";"Op Earn Rpt Q1",#N/A,FALSE,"Op-Earn (Rpt)";"Loans",#N/A,FALSE,"Loans";"Credit Costs",#N/A,FALSE,"CCosts";"Net Interest Margin",#N/A,FALSE,"Margin";"Nonint Income",#N/A,FALSE,"NonII";"Nonint Exp",#N/A,FALSE,"NonIE";"Valuation",#N/A,FALSE,"Valuation"}</definedName>
    <definedName name="f" localSheetId="7" hidden="1">{"cover a","1q",FALSE,"Cover";"Op Earn Mgd Q1",#N/A,FALSE,"Op-Earn (Mng)";"Op Earn Rpt Q1",#N/A,FALSE,"Op-Earn (Rpt)";"Loans",#N/A,FALSE,"Loans";"Credit Costs",#N/A,FALSE,"CCosts";"Net Interest Margin",#N/A,FALSE,"Margin";"Nonint Income",#N/A,FALSE,"NonII";"Nonint Exp",#N/A,FALSE,"NonIE";"Valuation",#N/A,FALSE,"Valuation"}</definedName>
    <definedName name="f" localSheetId="3" hidden="1">{"cover a","1q",FALSE,"Cover";"Op Earn Mgd Q1",#N/A,FALSE,"Op-Earn (Mng)";"Op Earn Rpt Q1",#N/A,FALSE,"Op-Earn (Rpt)";"Loans",#N/A,FALSE,"Loans";"Credit Costs",#N/A,FALSE,"CCosts";"Net Interest Margin",#N/A,FALSE,"Margin";"Nonint Income",#N/A,FALSE,"NonII";"Nonint Exp",#N/A,FALSE,"NonIE";"Valuation",#N/A,FALSE,"Valuation"}</definedName>
    <definedName name="f" localSheetId="21" hidden="1">{"cover a","1q",FALSE,"Cover";"Op Earn Mgd Q1",#N/A,FALSE,"Op-Earn (Mng)";"Op Earn Rpt Q1",#N/A,FALSE,"Op-Earn (Rpt)";"Loans",#N/A,FALSE,"Loans";"Credit Costs",#N/A,FALSE,"CCosts";"Net Interest Margin",#N/A,FALSE,"Margin";"Nonint Income",#N/A,FALSE,"NonII";"Nonint Exp",#N/A,FALSE,"NonIE";"Valuation",#N/A,FALSE,"Valuation"}</definedName>
    <definedName name="f" hidden="1">{"cover a","1q",FALSE,"Cover";"Op Earn Mgd Q1",#N/A,FALSE,"Op-Earn (Mng)";"Op Earn Rpt Q1",#N/A,FALSE,"Op-Earn (Rpt)";"Loans",#N/A,FALSE,"Loans";"Credit Costs",#N/A,FALSE,"CCosts";"Net Interest Margin",#N/A,FALSE,"Margin";"Nonint Income",#N/A,FALSE,"NonII";"Nonint Exp",#N/A,FALSE,"NonIE";"Valuation",#N/A,FALSE,"Valuation"}</definedName>
    <definedName name="ｆ" hidden="1">"iQShowAnnual"</definedName>
    <definedName name="fasdfsdasd" localSheetId="19" hidden="1">{"comps",#N/A,FALSE,"TXTCOMPS";"segment_EPS",#N/A,FALSE,"TXTCOMPS";"valuation",#N/A,FALSE,"TXTCOMPS"}</definedName>
    <definedName name="fasdfsdasd" localSheetId="6" hidden="1">{"comps",#N/A,FALSE,"TXTCOMPS";"segment_EPS",#N/A,FALSE,"TXTCOMPS";"valuation",#N/A,FALSE,"TXTCOMPS"}</definedName>
    <definedName name="fasdfsdasd" localSheetId="7" hidden="1">{"comps",#N/A,FALSE,"TXTCOMPS";"segment_EPS",#N/A,FALSE,"TXTCOMPS";"valuation",#N/A,FALSE,"TXTCOMPS"}</definedName>
    <definedName name="fasdfsdasd" localSheetId="3" hidden="1">{"comps",#N/A,FALSE,"TXTCOMPS";"segment_EPS",#N/A,FALSE,"TXTCOMPS";"valuation",#N/A,FALSE,"TXTCOMPS"}</definedName>
    <definedName name="fasdfsdasd" localSheetId="21" hidden="1">{"comps",#N/A,FALSE,"TXTCOMPS";"segment_EPS",#N/A,FALSE,"TXTCOMPS";"valuation",#N/A,FALSE,"TXTCOMPS"}</definedName>
    <definedName name="fasdfsdasd" hidden="1">{"comps",#N/A,FALSE,"TXTCOMPS";"segment_EPS",#N/A,FALSE,"TXTCOMPS";"valuation",#N/A,FALSE,"TXTCOMPS"}</definedName>
    <definedName name="FDP_0_1_aUrv" localSheetId="0" hidden="1">#REF!</definedName>
    <definedName name="FDP_0_1_aUrv" localSheetId="27" hidden="1">#REF!</definedName>
    <definedName name="FDP_0_1_aUrv" localSheetId="19" hidden="1">#REF!</definedName>
    <definedName name="FDP_0_1_aUrv" localSheetId="1" hidden="1">#REF!</definedName>
    <definedName name="FDP_0_1_aUrv" localSheetId="8" hidden="1">#REF!</definedName>
    <definedName name="FDP_0_1_aUrv" localSheetId="6" hidden="1">#REF!</definedName>
    <definedName name="FDP_0_1_aUrv" localSheetId="17" hidden="1">#REF!</definedName>
    <definedName name="FDP_0_1_aUrv" localSheetId="7" hidden="1">#REF!</definedName>
    <definedName name="FDP_0_1_aUrv" localSheetId="3" hidden="1">#REF!</definedName>
    <definedName name="FDP_0_1_aUrv" localSheetId="21" hidden="1">#REF!</definedName>
    <definedName name="FDP_0_1_aUrv" hidden="1">#REF!</definedName>
    <definedName name="FDP_1_1_aUrv" localSheetId="0" hidden="1">#REF!</definedName>
    <definedName name="FDP_1_1_aUrv" localSheetId="27" hidden="1">#REF!</definedName>
    <definedName name="FDP_1_1_aUrv" localSheetId="19" hidden="1">#REF!</definedName>
    <definedName name="FDP_1_1_aUrv" localSheetId="1" hidden="1">#REF!</definedName>
    <definedName name="FDP_1_1_aUrv" localSheetId="8" hidden="1">#REF!</definedName>
    <definedName name="FDP_1_1_aUrv" localSheetId="6" hidden="1">#REF!</definedName>
    <definedName name="FDP_1_1_aUrv" localSheetId="17" hidden="1">#REF!</definedName>
    <definedName name="FDP_1_1_aUrv" localSheetId="7" hidden="1">#REF!</definedName>
    <definedName name="FDP_1_1_aUrv" localSheetId="3" hidden="1">#REF!</definedName>
    <definedName name="FDP_1_1_aUrv" localSheetId="21" hidden="1">#REF!</definedName>
    <definedName name="FDP_1_1_aUrv" hidden="1">#REF!</definedName>
    <definedName name="FDP_10_1_aUrv" localSheetId="0" hidden="1">#REF!</definedName>
    <definedName name="FDP_10_1_aUrv" localSheetId="27" hidden="1">#REF!</definedName>
    <definedName name="FDP_10_1_aUrv" localSheetId="19" hidden="1">#REF!</definedName>
    <definedName name="FDP_10_1_aUrv" localSheetId="1" hidden="1">#REF!</definedName>
    <definedName name="FDP_10_1_aUrv" localSheetId="8" hidden="1">#REF!</definedName>
    <definedName name="FDP_10_1_aUrv" localSheetId="6" hidden="1">#REF!</definedName>
    <definedName name="FDP_10_1_aUrv" localSheetId="17" hidden="1">#REF!</definedName>
    <definedName name="FDP_10_1_aUrv" localSheetId="7" hidden="1">#REF!</definedName>
    <definedName name="FDP_10_1_aUrv" localSheetId="3" hidden="1">#REF!</definedName>
    <definedName name="FDP_10_1_aUrv" localSheetId="21" hidden="1">#REF!</definedName>
    <definedName name="FDP_10_1_aUrv" hidden="1">#REF!</definedName>
    <definedName name="FDP_100_1_aUrv" localSheetId="0" hidden="1">#REF!</definedName>
    <definedName name="FDP_100_1_aUrv" localSheetId="27" hidden="1">#REF!</definedName>
    <definedName name="FDP_100_1_aUrv" localSheetId="19" hidden="1">#REF!</definedName>
    <definedName name="FDP_100_1_aUrv" localSheetId="1" hidden="1">#REF!</definedName>
    <definedName name="FDP_100_1_aUrv" localSheetId="8" hidden="1">#REF!</definedName>
    <definedName name="FDP_100_1_aUrv" localSheetId="6" hidden="1">#REF!</definedName>
    <definedName name="FDP_100_1_aUrv" localSheetId="17" hidden="1">#REF!</definedName>
    <definedName name="FDP_100_1_aUrv" localSheetId="7" hidden="1">#REF!</definedName>
    <definedName name="FDP_100_1_aUrv" localSheetId="3" hidden="1">#REF!</definedName>
    <definedName name="FDP_100_1_aUrv" localSheetId="21" hidden="1">#REF!</definedName>
    <definedName name="FDP_100_1_aUrv" hidden="1">#REF!</definedName>
    <definedName name="FDP_101_1_aUrv" localSheetId="0" hidden="1">#REF!</definedName>
    <definedName name="FDP_101_1_aUrv" localSheetId="27" hidden="1">#REF!</definedName>
    <definedName name="FDP_101_1_aUrv" localSheetId="19" hidden="1">#REF!</definedName>
    <definedName name="FDP_101_1_aUrv" localSheetId="1" hidden="1">#REF!</definedName>
    <definedName name="FDP_101_1_aUrv" localSheetId="8" hidden="1">#REF!</definedName>
    <definedName name="FDP_101_1_aUrv" localSheetId="6" hidden="1">#REF!</definedName>
    <definedName name="FDP_101_1_aUrv" localSheetId="17" hidden="1">#REF!</definedName>
    <definedName name="FDP_101_1_aUrv" localSheetId="7" hidden="1">#REF!</definedName>
    <definedName name="FDP_101_1_aUrv" localSheetId="3" hidden="1">#REF!</definedName>
    <definedName name="FDP_101_1_aUrv" localSheetId="21" hidden="1">#REF!</definedName>
    <definedName name="FDP_101_1_aUrv" hidden="1">#REF!</definedName>
    <definedName name="FDP_102_1_aUrv" localSheetId="0" hidden="1">#REF!</definedName>
    <definedName name="FDP_102_1_aUrv" localSheetId="27" hidden="1">#REF!</definedName>
    <definedName name="FDP_102_1_aUrv" localSheetId="19" hidden="1">#REF!</definedName>
    <definedName name="FDP_102_1_aUrv" localSheetId="1" hidden="1">#REF!</definedName>
    <definedName name="FDP_102_1_aUrv" localSheetId="8" hidden="1">#REF!</definedName>
    <definedName name="FDP_102_1_aUrv" localSheetId="6" hidden="1">#REF!</definedName>
    <definedName name="FDP_102_1_aUrv" localSheetId="17" hidden="1">#REF!</definedName>
    <definedName name="FDP_102_1_aUrv" localSheetId="7" hidden="1">#REF!</definedName>
    <definedName name="FDP_102_1_aUrv" localSheetId="3" hidden="1">#REF!</definedName>
    <definedName name="FDP_102_1_aUrv" localSheetId="21" hidden="1">#REF!</definedName>
    <definedName name="FDP_102_1_aUrv" hidden="1">#REF!</definedName>
    <definedName name="FDP_103_1_aUrv" localSheetId="0" hidden="1">#REF!</definedName>
    <definedName name="FDP_103_1_aUrv" localSheetId="27" hidden="1">#REF!</definedName>
    <definedName name="FDP_103_1_aUrv" localSheetId="19" hidden="1">#REF!</definedName>
    <definedName name="FDP_103_1_aUrv" localSheetId="1" hidden="1">#REF!</definedName>
    <definedName name="FDP_103_1_aUrv" localSheetId="8" hidden="1">#REF!</definedName>
    <definedName name="FDP_103_1_aUrv" localSheetId="6" hidden="1">#REF!</definedName>
    <definedName name="FDP_103_1_aUrv" localSheetId="17" hidden="1">#REF!</definedName>
    <definedName name="FDP_103_1_aUrv" localSheetId="7" hidden="1">#REF!</definedName>
    <definedName name="FDP_103_1_aUrv" localSheetId="3" hidden="1">#REF!</definedName>
    <definedName name="FDP_103_1_aUrv" localSheetId="21" hidden="1">#REF!</definedName>
    <definedName name="FDP_103_1_aUrv" hidden="1">#REF!</definedName>
    <definedName name="FDP_104_1_aUrv" localSheetId="0" hidden="1">#REF!</definedName>
    <definedName name="FDP_104_1_aUrv" localSheetId="27" hidden="1">#REF!</definedName>
    <definedName name="FDP_104_1_aUrv" localSheetId="19" hidden="1">#REF!</definedName>
    <definedName name="FDP_104_1_aUrv" localSheetId="1" hidden="1">#REF!</definedName>
    <definedName name="FDP_104_1_aUrv" localSheetId="8" hidden="1">#REF!</definedName>
    <definedName name="FDP_104_1_aUrv" localSheetId="6" hidden="1">#REF!</definedName>
    <definedName name="FDP_104_1_aUrv" localSheetId="17" hidden="1">#REF!</definedName>
    <definedName name="FDP_104_1_aUrv" localSheetId="7" hidden="1">#REF!</definedName>
    <definedName name="FDP_104_1_aUrv" localSheetId="3" hidden="1">#REF!</definedName>
    <definedName name="FDP_104_1_aUrv" localSheetId="21" hidden="1">#REF!</definedName>
    <definedName name="FDP_104_1_aUrv" hidden="1">#REF!</definedName>
    <definedName name="FDP_105_1_aUrv" localSheetId="0" hidden="1">#REF!</definedName>
    <definedName name="FDP_105_1_aUrv" localSheetId="27" hidden="1">#REF!</definedName>
    <definedName name="FDP_105_1_aUrv" localSheetId="19" hidden="1">#REF!</definedName>
    <definedName name="FDP_105_1_aUrv" localSheetId="1" hidden="1">#REF!</definedName>
    <definedName name="FDP_105_1_aUrv" localSheetId="8" hidden="1">#REF!</definedName>
    <definedName name="FDP_105_1_aUrv" localSheetId="6" hidden="1">#REF!</definedName>
    <definedName name="FDP_105_1_aUrv" localSheetId="17" hidden="1">#REF!</definedName>
    <definedName name="FDP_105_1_aUrv" localSheetId="7" hidden="1">#REF!</definedName>
    <definedName name="FDP_105_1_aUrv" localSheetId="3" hidden="1">#REF!</definedName>
    <definedName name="FDP_105_1_aUrv" localSheetId="21" hidden="1">#REF!</definedName>
    <definedName name="FDP_105_1_aUrv" hidden="1">#REF!</definedName>
    <definedName name="FDP_106_1_aUrv" localSheetId="0" hidden="1">#REF!</definedName>
    <definedName name="FDP_106_1_aUrv" localSheetId="27" hidden="1">#REF!</definedName>
    <definedName name="FDP_106_1_aUrv" localSheetId="19" hidden="1">#REF!</definedName>
    <definedName name="FDP_106_1_aUrv" localSheetId="1" hidden="1">#REF!</definedName>
    <definedName name="FDP_106_1_aUrv" localSheetId="8" hidden="1">#REF!</definedName>
    <definedName name="FDP_106_1_aUrv" localSheetId="6" hidden="1">#REF!</definedName>
    <definedName name="FDP_106_1_aUrv" localSheetId="17" hidden="1">#REF!</definedName>
    <definedName name="FDP_106_1_aUrv" localSheetId="7" hidden="1">#REF!</definedName>
    <definedName name="FDP_106_1_aUrv" localSheetId="3" hidden="1">#REF!</definedName>
    <definedName name="FDP_106_1_aUrv" localSheetId="21" hidden="1">#REF!</definedName>
    <definedName name="FDP_106_1_aUrv" hidden="1">#REF!</definedName>
    <definedName name="FDP_107_1_aUrv" localSheetId="0" hidden="1">#REF!</definedName>
    <definedName name="FDP_107_1_aUrv" localSheetId="27" hidden="1">#REF!</definedName>
    <definedName name="FDP_107_1_aUrv" localSheetId="19" hidden="1">#REF!</definedName>
    <definedName name="FDP_107_1_aUrv" localSheetId="1" hidden="1">#REF!</definedName>
    <definedName name="FDP_107_1_aUrv" localSheetId="8" hidden="1">#REF!</definedName>
    <definedName name="FDP_107_1_aUrv" localSheetId="6" hidden="1">#REF!</definedName>
    <definedName name="FDP_107_1_aUrv" localSheetId="17" hidden="1">#REF!</definedName>
    <definedName name="FDP_107_1_aUrv" localSheetId="7" hidden="1">#REF!</definedName>
    <definedName name="FDP_107_1_aUrv" localSheetId="3" hidden="1">#REF!</definedName>
    <definedName name="FDP_107_1_aUrv" localSheetId="21" hidden="1">#REF!</definedName>
    <definedName name="FDP_107_1_aUrv" hidden="1">#REF!</definedName>
    <definedName name="FDP_108_1_aUrv" localSheetId="0" hidden="1">#REF!</definedName>
    <definedName name="FDP_108_1_aUrv" localSheetId="27" hidden="1">#REF!</definedName>
    <definedName name="FDP_108_1_aUrv" localSheetId="19" hidden="1">#REF!</definedName>
    <definedName name="FDP_108_1_aUrv" localSheetId="1" hidden="1">#REF!</definedName>
    <definedName name="FDP_108_1_aUrv" localSheetId="8" hidden="1">#REF!</definedName>
    <definedName name="FDP_108_1_aUrv" localSheetId="6" hidden="1">#REF!</definedName>
    <definedName name="FDP_108_1_aUrv" localSheetId="17" hidden="1">#REF!</definedName>
    <definedName name="FDP_108_1_aUrv" localSheetId="7" hidden="1">#REF!</definedName>
    <definedName name="FDP_108_1_aUrv" localSheetId="3" hidden="1">#REF!</definedName>
    <definedName name="FDP_108_1_aUrv" localSheetId="21" hidden="1">#REF!</definedName>
    <definedName name="FDP_108_1_aUrv" hidden="1">#REF!</definedName>
    <definedName name="FDP_109_1_aUrv" localSheetId="0" hidden="1">#REF!</definedName>
    <definedName name="FDP_109_1_aUrv" localSheetId="27" hidden="1">#REF!</definedName>
    <definedName name="FDP_109_1_aUrv" localSheetId="19" hidden="1">#REF!</definedName>
    <definedName name="FDP_109_1_aUrv" localSheetId="1" hidden="1">#REF!</definedName>
    <definedName name="FDP_109_1_aUrv" localSheetId="8" hidden="1">#REF!</definedName>
    <definedName name="FDP_109_1_aUrv" localSheetId="6" hidden="1">#REF!</definedName>
    <definedName name="FDP_109_1_aUrv" localSheetId="17" hidden="1">#REF!</definedName>
    <definedName name="FDP_109_1_aUrv" localSheetId="7" hidden="1">#REF!</definedName>
    <definedName name="FDP_109_1_aUrv" localSheetId="3" hidden="1">#REF!</definedName>
    <definedName name="FDP_109_1_aUrv" localSheetId="21" hidden="1">#REF!</definedName>
    <definedName name="FDP_109_1_aUrv" hidden="1">#REF!</definedName>
    <definedName name="FDP_11_1_aDrv" localSheetId="0" hidden="1">#REF!</definedName>
    <definedName name="FDP_11_1_aDrv" localSheetId="27" hidden="1">#REF!</definedName>
    <definedName name="FDP_11_1_aDrv" localSheetId="19" hidden="1">#REF!</definedName>
    <definedName name="FDP_11_1_aDrv" localSheetId="1" hidden="1">#REF!</definedName>
    <definedName name="FDP_11_1_aDrv" localSheetId="8" hidden="1">#REF!</definedName>
    <definedName name="FDP_11_1_aDrv" localSheetId="6" hidden="1">#REF!</definedName>
    <definedName name="FDP_11_1_aDrv" localSheetId="17" hidden="1">#REF!</definedName>
    <definedName name="FDP_11_1_aDrv" localSheetId="7" hidden="1">#REF!</definedName>
    <definedName name="FDP_11_1_aDrv" localSheetId="3" hidden="1">#REF!</definedName>
    <definedName name="FDP_11_1_aDrv" localSheetId="21" hidden="1">#REF!</definedName>
    <definedName name="FDP_11_1_aDrv" hidden="1">#REF!</definedName>
    <definedName name="FDP_110_1_aUrv" localSheetId="0" hidden="1">#REF!</definedName>
    <definedName name="FDP_110_1_aUrv" localSheetId="27" hidden="1">#REF!</definedName>
    <definedName name="FDP_110_1_aUrv" localSheetId="19" hidden="1">#REF!</definedName>
    <definedName name="FDP_110_1_aUrv" localSheetId="1" hidden="1">#REF!</definedName>
    <definedName name="FDP_110_1_aUrv" localSheetId="8" hidden="1">#REF!</definedName>
    <definedName name="FDP_110_1_aUrv" localSheetId="6" hidden="1">#REF!</definedName>
    <definedName name="FDP_110_1_aUrv" localSheetId="17" hidden="1">#REF!</definedName>
    <definedName name="FDP_110_1_aUrv" localSheetId="7" hidden="1">#REF!</definedName>
    <definedName name="FDP_110_1_aUrv" localSheetId="3" hidden="1">#REF!</definedName>
    <definedName name="FDP_110_1_aUrv" localSheetId="21" hidden="1">#REF!</definedName>
    <definedName name="FDP_110_1_aUrv" hidden="1">#REF!</definedName>
    <definedName name="FDP_111_1_aUrv" localSheetId="0" hidden="1">#REF!</definedName>
    <definedName name="FDP_111_1_aUrv" localSheetId="27" hidden="1">#REF!</definedName>
    <definedName name="FDP_111_1_aUrv" localSheetId="19" hidden="1">#REF!</definedName>
    <definedName name="FDP_111_1_aUrv" localSheetId="1" hidden="1">#REF!</definedName>
    <definedName name="FDP_111_1_aUrv" localSheetId="8" hidden="1">#REF!</definedName>
    <definedName name="FDP_111_1_aUrv" localSheetId="6" hidden="1">#REF!</definedName>
    <definedName name="FDP_111_1_aUrv" localSheetId="17" hidden="1">#REF!</definedName>
    <definedName name="FDP_111_1_aUrv" localSheetId="7" hidden="1">#REF!</definedName>
    <definedName name="FDP_111_1_aUrv" localSheetId="3" hidden="1">#REF!</definedName>
    <definedName name="FDP_111_1_aUrv" localSheetId="21" hidden="1">#REF!</definedName>
    <definedName name="FDP_111_1_aUrv" hidden="1">#REF!</definedName>
    <definedName name="FDP_112_1_aUrv" localSheetId="0" hidden="1">#REF!</definedName>
    <definedName name="FDP_112_1_aUrv" localSheetId="27" hidden="1">#REF!</definedName>
    <definedName name="FDP_112_1_aUrv" localSheetId="19" hidden="1">#REF!</definedName>
    <definedName name="FDP_112_1_aUrv" localSheetId="1" hidden="1">#REF!</definedName>
    <definedName name="FDP_112_1_aUrv" localSheetId="8" hidden="1">#REF!</definedName>
    <definedName name="FDP_112_1_aUrv" localSheetId="6" hidden="1">#REF!</definedName>
    <definedName name="FDP_112_1_aUrv" localSheetId="17" hidden="1">#REF!</definedName>
    <definedName name="FDP_112_1_aUrv" localSheetId="7" hidden="1">#REF!</definedName>
    <definedName name="FDP_112_1_aUrv" localSheetId="3" hidden="1">#REF!</definedName>
    <definedName name="FDP_112_1_aUrv" localSheetId="21" hidden="1">#REF!</definedName>
    <definedName name="FDP_112_1_aUrv" hidden="1">#REF!</definedName>
    <definedName name="FDP_113_1_aUrv" localSheetId="0" hidden="1">#REF!</definedName>
    <definedName name="FDP_113_1_aUrv" localSheetId="27" hidden="1">#REF!</definedName>
    <definedName name="FDP_113_1_aUrv" localSheetId="19" hidden="1">#REF!</definedName>
    <definedName name="FDP_113_1_aUrv" localSheetId="1" hidden="1">#REF!</definedName>
    <definedName name="FDP_113_1_aUrv" localSheetId="8" hidden="1">#REF!</definedName>
    <definedName name="FDP_113_1_aUrv" localSheetId="6" hidden="1">#REF!</definedName>
    <definedName name="FDP_113_1_aUrv" localSheetId="17" hidden="1">#REF!</definedName>
    <definedName name="FDP_113_1_aUrv" localSheetId="7" hidden="1">#REF!</definedName>
    <definedName name="FDP_113_1_aUrv" localSheetId="3" hidden="1">#REF!</definedName>
    <definedName name="FDP_113_1_aUrv" localSheetId="21" hidden="1">#REF!</definedName>
    <definedName name="FDP_113_1_aUrv" hidden="1">#REF!</definedName>
    <definedName name="FDP_114_1_aUrv" localSheetId="0" hidden="1">#REF!</definedName>
    <definedName name="FDP_114_1_aUrv" localSheetId="27" hidden="1">#REF!</definedName>
    <definedName name="FDP_114_1_aUrv" localSheetId="19" hidden="1">#REF!</definedName>
    <definedName name="FDP_114_1_aUrv" localSheetId="1" hidden="1">#REF!</definedName>
    <definedName name="FDP_114_1_aUrv" localSheetId="8" hidden="1">#REF!</definedName>
    <definedName name="FDP_114_1_aUrv" localSheetId="6" hidden="1">#REF!</definedName>
    <definedName name="FDP_114_1_aUrv" localSheetId="17" hidden="1">#REF!</definedName>
    <definedName name="FDP_114_1_aUrv" localSheetId="7" hidden="1">#REF!</definedName>
    <definedName name="FDP_114_1_aUrv" localSheetId="3" hidden="1">#REF!</definedName>
    <definedName name="FDP_114_1_aUrv" localSheetId="21" hidden="1">#REF!</definedName>
    <definedName name="FDP_114_1_aUrv" hidden="1">#REF!</definedName>
    <definedName name="FDP_115_1_aUrv" localSheetId="0" hidden="1">#REF!</definedName>
    <definedName name="FDP_115_1_aUrv" localSheetId="27" hidden="1">#REF!</definedName>
    <definedName name="FDP_115_1_aUrv" localSheetId="19" hidden="1">#REF!</definedName>
    <definedName name="FDP_115_1_aUrv" localSheetId="1" hidden="1">#REF!</definedName>
    <definedName name="FDP_115_1_aUrv" localSheetId="8" hidden="1">#REF!</definedName>
    <definedName name="FDP_115_1_aUrv" localSheetId="6" hidden="1">#REF!</definedName>
    <definedName name="FDP_115_1_aUrv" localSheetId="17" hidden="1">#REF!</definedName>
    <definedName name="FDP_115_1_aUrv" localSheetId="7" hidden="1">#REF!</definedName>
    <definedName name="FDP_115_1_aUrv" localSheetId="3" hidden="1">#REF!</definedName>
    <definedName name="FDP_115_1_aUrv" localSheetId="21" hidden="1">#REF!</definedName>
    <definedName name="FDP_115_1_aUrv" hidden="1">#REF!</definedName>
    <definedName name="FDP_116_1_aUrv" localSheetId="0" hidden="1">#REF!</definedName>
    <definedName name="FDP_116_1_aUrv" localSheetId="27" hidden="1">#REF!</definedName>
    <definedName name="FDP_116_1_aUrv" localSheetId="19" hidden="1">#REF!</definedName>
    <definedName name="FDP_116_1_aUrv" localSheetId="1" hidden="1">#REF!</definedName>
    <definedName name="FDP_116_1_aUrv" localSheetId="8" hidden="1">#REF!</definedName>
    <definedName name="FDP_116_1_aUrv" localSheetId="6" hidden="1">#REF!</definedName>
    <definedName name="FDP_116_1_aUrv" localSheetId="17" hidden="1">#REF!</definedName>
    <definedName name="FDP_116_1_aUrv" localSheetId="7" hidden="1">#REF!</definedName>
    <definedName name="FDP_116_1_aUrv" localSheetId="3" hidden="1">#REF!</definedName>
    <definedName name="FDP_116_1_aUrv" localSheetId="21" hidden="1">#REF!</definedName>
    <definedName name="FDP_116_1_aUrv" hidden="1">#REF!</definedName>
    <definedName name="FDP_117_1_aUrv" localSheetId="0" hidden="1">#REF!</definedName>
    <definedName name="FDP_117_1_aUrv" localSheetId="27" hidden="1">#REF!</definedName>
    <definedName name="FDP_117_1_aUrv" localSheetId="19" hidden="1">#REF!</definedName>
    <definedName name="FDP_117_1_aUrv" localSheetId="1" hidden="1">#REF!</definedName>
    <definedName name="FDP_117_1_aUrv" localSheetId="8" hidden="1">#REF!</definedName>
    <definedName name="FDP_117_1_aUrv" localSheetId="6" hidden="1">#REF!</definedName>
    <definedName name="FDP_117_1_aUrv" localSheetId="17" hidden="1">#REF!</definedName>
    <definedName name="FDP_117_1_aUrv" localSheetId="7" hidden="1">#REF!</definedName>
    <definedName name="FDP_117_1_aUrv" localSheetId="3" hidden="1">#REF!</definedName>
    <definedName name="FDP_117_1_aUrv" localSheetId="21" hidden="1">#REF!</definedName>
    <definedName name="FDP_117_1_aUrv" hidden="1">#REF!</definedName>
    <definedName name="FDP_118_1_aUrv" localSheetId="0" hidden="1">#REF!</definedName>
    <definedName name="FDP_118_1_aUrv" localSheetId="27" hidden="1">#REF!</definedName>
    <definedName name="FDP_118_1_aUrv" localSheetId="19" hidden="1">#REF!</definedName>
    <definedName name="FDP_118_1_aUrv" localSheetId="1" hidden="1">#REF!</definedName>
    <definedName name="FDP_118_1_aUrv" localSheetId="8" hidden="1">#REF!</definedName>
    <definedName name="FDP_118_1_aUrv" localSheetId="6" hidden="1">#REF!</definedName>
    <definedName name="FDP_118_1_aUrv" localSheetId="17" hidden="1">#REF!</definedName>
    <definedName name="FDP_118_1_aUrv" localSheetId="7" hidden="1">#REF!</definedName>
    <definedName name="FDP_118_1_aUrv" localSheetId="3" hidden="1">#REF!</definedName>
    <definedName name="FDP_118_1_aUrv" localSheetId="21" hidden="1">#REF!</definedName>
    <definedName name="FDP_118_1_aUrv" hidden="1">#REF!</definedName>
    <definedName name="FDP_119_1_aUrv" localSheetId="0" hidden="1">#REF!</definedName>
    <definedName name="FDP_119_1_aUrv" localSheetId="27" hidden="1">#REF!</definedName>
    <definedName name="FDP_119_1_aUrv" localSheetId="19" hidden="1">#REF!</definedName>
    <definedName name="FDP_119_1_aUrv" localSheetId="1" hidden="1">#REF!</definedName>
    <definedName name="FDP_119_1_aUrv" localSheetId="8" hidden="1">#REF!</definedName>
    <definedName name="FDP_119_1_aUrv" localSheetId="6" hidden="1">#REF!</definedName>
    <definedName name="FDP_119_1_aUrv" localSheetId="17" hidden="1">#REF!</definedName>
    <definedName name="FDP_119_1_aUrv" localSheetId="7" hidden="1">#REF!</definedName>
    <definedName name="FDP_119_1_aUrv" localSheetId="3" hidden="1">#REF!</definedName>
    <definedName name="FDP_119_1_aUrv" localSheetId="21" hidden="1">#REF!</definedName>
    <definedName name="FDP_119_1_aUrv" hidden="1">#REF!</definedName>
    <definedName name="FDP_12_1_aDrv" localSheetId="0" hidden="1">#REF!</definedName>
    <definedName name="FDP_12_1_aDrv" localSheetId="27" hidden="1">#REF!</definedName>
    <definedName name="FDP_12_1_aDrv" localSheetId="19" hidden="1">#REF!</definedName>
    <definedName name="FDP_12_1_aDrv" localSheetId="1" hidden="1">#REF!</definedName>
    <definedName name="FDP_12_1_aDrv" localSheetId="8" hidden="1">#REF!</definedName>
    <definedName name="FDP_12_1_aDrv" localSheetId="6" hidden="1">#REF!</definedName>
    <definedName name="FDP_12_1_aDrv" localSheetId="17" hidden="1">#REF!</definedName>
    <definedName name="FDP_12_1_aDrv" localSheetId="7" hidden="1">#REF!</definedName>
    <definedName name="FDP_12_1_aDrv" localSheetId="3" hidden="1">#REF!</definedName>
    <definedName name="FDP_12_1_aDrv" localSheetId="21" hidden="1">#REF!</definedName>
    <definedName name="FDP_12_1_aDrv" hidden="1">#REF!</definedName>
    <definedName name="FDP_120_1_aUrv" localSheetId="0" hidden="1">#REF!</definedName>
    <definedName name="FDP_120_1_aUrv" localSheetId="27" hidden="1">#REF!</definedName>
    <definedName name="FDP_120_1_aUrv" localSheetId="19" hidden="1">#REF!</definedName>
    <definedName name="FDP_120_1_aUrv" localSheetId="1" hidden="1">#REF!</definedName>
    <definedName name="FDP_120_1_aUrv" localSheetId="8" hidden="1">#REF!</definedName>
    <definedName name="FDP_120_1_aUrv" localSheetId="6" hidden="1">#REF!</definedName>
    <definedName name="FDP_120_1_aUrv" localSheetId="17" hidden="1">#REF!</definedName>
    <definedName name="FDP_120_1_aUrv" localSheetId="7" hidden="1">#REF!</definedName>
    <definedName name="FDP_120_1_aUrv" localSheetId="3" hidden="1">#REF!</definedName>
    <definedName name="FDP_120_1_aUrv" localSheetId="21" hidden="1">#REF!</definedName>
    <definedName name="FDP_120_1_aUrv" hidden="1">#REF!</definedName>
    <definedName name="FDP_121_1_aUrv" localSheetId="0" hidden="1">#REF!</definedName>
    <definedName name="FDP_121_1_aUrv" localSheetId="27" hidden="1">#REF!</definedName>
    <definedName name="FDP_121_1_aUrv" localSheetId="19" hidden="1">#REF!</definedName>
    <definedName name="FDP_121_1_aUrv" localSheetId="1" hidden="1">#REF!</definedName>
    <definedName name="FDP_121_1_aUrv" localSheetId="8" hidden="1">#REF!</definedName>
    <definedName name="FDP_121_1_aUrv" localSheetId="6" hidden="1">#REF!</definedName>
    <definedName name="FDP_121_1_aUrv" localSheetId="17" hidden="1">#REF!</definedName>
    <definedName name="FDP_121_1_aUrv" localSheetId="7" hidden="1">#REF!</definedName>
    <definedName name="FDP_121_1_aUrv" localSheetId="3" hidden="1">#REF!</definedName>
    <definedName name="FDP_121_1_aUrv" localSheetId="21" hidden="1">#REF!</definedName>
    <definedName name="FDP_121_1_aUrv" hidden="1">#REF!</definedName>
    <definedName name="FDP_122_1_aUrv" localSheetId="0" hidden="1">#REF!</definedName>
    <definedName name="FDP_122_1_aUrv" localSheetId="27" hidden="1">#REF!</definedName>
    <definedName name="FDP_122_1_aUrv" localSheetId="19" hidden="1">#REF!</definedName>
    <definedName name="FDP_122_1_aUrv" localSheetId="1" hidden="1">#REF!</definedName>
    <definedName name="FDP_122_1_aUrv" localSheetId="8" hidden="1">#REF!</definedName>
    <definedName name="FDP_122_1_aUrv" localSheetId="6" hidden="1">#REF!</definedName>
    <definedName name="FDP_122_1_aUrv" localSheetId="17" hidden="1">#REF!</definedName>
    <definedName name="FDP_122_1_aUrv" localSheetId="7" hidden="1">#REF!</definedName>
    <definedName name="FDP_122_1_aUrv" localSheetId="3" hidden="1">#REF!</definedName>
    <definedName name="FDP_122_1_aUrv" localSheetId="21" hidden="1">#REF!</definedName>
    <definedName name="FDP_122_1_aUrv" hidden="1">#REF!</definedName>
    <definedName name="FDP_123_1_aUrv" localSheetId="0" hidden="1">#REF!</definedName>
    <definedName name="FDP_123_1_aUrv" localSheetId="27" hidden="1">#REF!</definedName>
    <definedName name="FDP_123_1_aUrv" localSheetId="19" hidden="1">#REF!</definedName>
    <definedName name="FDP_123_1_aUrv" localSheetId="1" hidden="1">#REF!</definedName>
    <definedName name="FDP_123_1_aUrv" localSheetId="8" hidden="1">#REF!</definedName>
    <definedName name="FDP_123_1_aUrv" localSheetId="6" hidden="1">#REF!</definedName>
    <definedName name="FDP_123_1_aUrv" localSheetId="17" hidden="1">#REF!</definedName>
    <definedName name="FDP_123_1_aUrv" localSheetId="7" hidden="1">#REF!</definedName>
    <definedName name="FDP_123_1_aUrv" localSheetId="3" hidden="1">#REF!</definedName>
    <definedName name="FDP_123_1_aUrv" localSheetId="21" hidden="1">#REF!</definedName>
    <definedName name="FDP_123_1_aUrv" hidden="1">#REF!</definedName>
    <definedName name="FDP_124_1_aUrv" localSheetId="0" hidden="1">#REF!</definedName>
    <definedName name="FDP_124_1_aUrv" localSheetId="27" hidden="1">#REF!</definedName>
    <definedName name="FDP_124_1_aUrv" localSheetId="19" hidden="1">#REF!</definedName>
    <definedName name="FDP_124_1_aUrv" localSheetId="1" hidden="1">#REF!</definedName>
    <definedName name="FDP_124_1_aUrv" localSheetId="8" hidden="1">#REF!</definedName>
    <definedName name="FDP_124_1_aUrv" localSheetId="6" hidden="1">#REF!</definedName>
    <definedName name="FDP_124_1_aUrv" localSheetId="17" hidden="1">#REF!</definedName>
    <definedName name="FDP_124_1_aUrv" localSheetId="7" hidden="1">#REF!</definedName>
    <definedName name="FDP_124_1_aUrv" localSheetId="3" hidden="1">#REF!</definedName>
    <definedName name="FDP_124_1_aUrv" localSheetId="21" hidden="1">#REF!</definedName>
    <definedName name="FDP_124_1_aUrv" hidden="1">#REF!</definedName>
    <definedName name="FDP_125_1_aUrv" localSheetId="0" hidden="1">#REF!</definedName>
    <definedName name="FDP_125_1_aUrv" localSheetId="27" hidden="1">#REF!</definedName>
    <definedName name="FDP_125_1_aUrv" localSheetId="19" hidden="1">#REF!</definedName>
    <definedName name="FDP_125_1_aUrv" localSheetId="1" hidden="1">#REF!</definedName>
    <definedName name="FDP_125_1_aUrv" localSheetId="8" hidden="1">#REF!</definedName>
    <definedName name="FDP_125_1_aUrv" localSheetId="6" hidden="1">#REF!</definedName>
    <definedName name="FDP_125_1_aUrv" localSheetId="17" hidden="1">#REF!</definedName>
    <definedName name="FDP_125_1_aUrv" localSheetId="7" hidden="1">#REF!</definedName>
    <definedName name="FDP_125_1_aUrv" localSheetId="3" hidden="1">#REF!</definedName>
    <definedName name="FDP_125_1_aUrv" localSheetId="21" hidden="1">#REF!</definedName>
    <definedName name="FDP_125_1_aUrv" hidden="1">#REF!</definedName>
    <definedName name="FDP_126_1_aUrv" localSheetId="0" hidden="1">#REF!</definedName>
    <definedName name="FDP_126_1_aUrv" localSheetId="27" hidden="1">#REF!</definedName>
    <definedName name="FDP_126_1_aUrv" localSheetId="19" hidden="1">#REF!</definedName>
    <definedName name="FDP_126_1_aUrv" localSheetId="1" hidden="1">#REF!</definedName>
    <definedName name="FDP_126_1_aUrv" localSheetId="8" hidden="1">#REF!</definedName>
    <definedName name="FDP_126_1_aUrv" localSheetId="6" hidden="1">#REF!</definedName>
    <definedName name="FDP_126_1_aUrv" localSheetId="17" hidden="1">#REF!</definedName>
    <definedName name="FDP_126_1_aUrv" localSheetId="7" hidden="1">#REF!</definedName>
    <definedName name="FDP_126_1_aUrv" localSheetId="3" hidden="1">#REF!</definedName>
    <definedName name="FDP_126_1_aUrv" localSheetId="21" hidden="1">#REF!</definedName>
    <definedName name="FDP_126_1_aUrv" hidden="1">#REF!</definedName>
    <definedName name="FDP_127_1_aUrv" localSheetId="0" hidden="1">#REF!</definedName>
    <definedName name="FDP_127_1_aUrv" localSheetId="27" hidden="1">#REF!</definedName>
    <definedName name="FDP_127_1_aUrv" localSheetId="19" hidden="1">#REF!</definedName>
    <definedName name="FDP_127_1_aUrv" localSheetId="1" hidden="1">#REF!</definedName>
    <definedName name="FDP_127_1_aUrv" localSheetId="8" hidden="1">#REF!</definedName>
    <definedName name="FDP_127_1_aUrv" localSheetId="6" hidden="1">#REF!</definedName>
    <definedName name="FDP_127_1_aUrv" localSheetId="17" hidden="1">#REF!</definedName>
    <definedName name="FDP_127_1_aUrv" localSheetId="7" hidden="1">#REF!</definedName>
    <definedName name="FDP_127_1_aUrv" localSheetId="3" hidden="1">#REF!</definedName>
    <definedName name="FDP_127_1_aUrv" localSheetId="21" hidden="1">#REF!</definedName>
    <definedName name="FDP_127_1_aUrv" hidden="1">#REF!</definedName>
    <definedName name="FDP_128_1_aUrv" localSheetId="0" hidden="1">#REF!</definedName>
    <definedName name="FDP_128_1_aUrv" localSheetId="27" hidden="1">#REF!</definedName>
    <definedName name="FDP_128_1_aUrv" localSheetId="19" hidden="1">#REF!</definedName>
    <definedName name="FDP_128_1_aUrv" localSheetId="1" hidden="1">#REF!</definedName>
    <definedName name="FDP_128_1_aUrv" localSheetId="8" hidden="1">#REF!</definedName>
    <definedName name="FDP_128_1_aUrv" localSheetId="6" hidden="1">#REF!</definedName>
    <definedName name="FDP_128_1_aUrv" localSheetId="17" hidden="1">#REF!</definedName>
    <definedName name="FDP_128_1_aUrv" localSheetId="7" hidden="1">#REF!</definedName>
    <definedName name="FDP_128_1_aUrv" localSheetId="3" hidden="1">#REF!</definedName>
    <definedName name="FDP_128_1_aUrv" localSheetId="21" hidden="1">#REF!</definedName>
    <definedName name="FDP_128_1_aUrv" hidden="1">#REF!</definedName>
    <definedName name="FDP_129_1_aUrv" localSheetId="0" hidden="1">#REF!</definedName>
    <definedName name="FDP_129_1_aUrv" localSheetId="27" hidden="1">#REF!</definedName>
    <definedName name="FDP_129_1_aUrv" localSheetId="19" hidden="1">#REF!</definedName>
    <definedName name="FDP_129_1_aUrv" localSheetId="1" hidden="1">#REF!</definedName>
    <definedName name="FDP_129_1_aUrv" localSheetId="8" hidden="1">#REF!</definedName>
    <definedName name="FDP_129_1_aUrv" localSheetId="6" hidden="1">#REF!</definedName>
    <definedName name="FDP_129_1_aUrv" localSheetId="17" hidden="1">#REF!</definedName>
    <definedName name="FDP_129_1_aUrv" localSheetId="7" hidden="1">#REF!</definedName>
    <definedName name="FDP_129_1_aUrv" localSheetId="3" hidden="1">#REF!</definedName>
    <definedName name="FDP_129_1_aUrv" localSheetId="21" hidden="1">#REF!</definedName>
    <definedName name="FDP_129_1_aUrv" hidden="1">#REF!</definedName>
    <definedName name="FDP_13_1_aDrv" localSheetId="0" hidden="1">#REF!</definedName>
    <definedName name="FDP_13_1_aDrv" localSheetId="27" hidden="1">#REF!</definedName>
    <definedName name="FDP_13_1_aDrv" localSheetId="19" hidden="1">#REF!</definedName>
    <definedName name="FDP_13_1_aDrv" localSheetId="1" hidden="1">#REF!</definedName>
    <definedName name="FDP_13_1_aDrv" localSheetId="8" hidden="1">#REF!</definedName>
    <definedName name="FDP_13_1_aDrv" localSheetId="6" hidden="1">#REF!</definedName>
    <definedName name="FDP_13_1_aDrv" localSheetId="17" hidden="1">#REF!</definedName>
    <definedName name="FDP_13_1_aDrv" localSheetId="7" hidden="1">#REF!</definedName>
    <definedName name="FDP_13_1_aDrv" localSheetId="3" hidden="1">#REF!</definedName>
    <definedName name="FDP_13_1_aDrv" localSheetId="21" hidden="1">#REF!</definedName>
    <definedName name="FDP_13_1_aDrv" hidden="1">#REF!</definedName>
    <definedName name="FDP_130_1_aUrv" localSheetId="0" hidden="1">#REF!</definedName>
    <definedName name="FDP_130_1_aUrv" localSheetId="27" hidden="1">#REF!</definedName>
    <definedName name="FDP_130_1_aUrv" localSheetId="19" hidden="1">#REF!</definedName>
    <definedName name="FDP_130_1_aUrv" localSheetId="1" hidden="1">#REF!</definedName>
    <definedName name="FDP_130_1_aUrv" localSheetId="8" hidden="1">#REF!</definedName>
    <definedName name="FDP_130_1_aUrv" localSheetId="6" hidden="1">#REF!</definedName>
    <definedName name="FDP_130_1_aUrv" localSheetId="17" hidden="1">#REF!</definedName>
    <definedName name="FDP_130_1_aUrv" localSheetId="7" hidden="1">#REF!</definedName>
    <definedName name="FDP_130_1_aUrv" localSheetId="3" hidden="1">#REF!</definedName>
    <definedName name="FDP_130_1_aUrv" localSheetId="21" hidden="1">#REF!</definedName>
    <definedName name="FDP_130_1_aUrv" hidden="1">#REF!</definedName>
    <definedName name="FDP_131_1_aUrv" localSheetId="0" hidden="1">#REF!</definedName>
    <definedName name="FDP_131_1_aUrv" localSheetId="27" hidden="1">#REF!</definedName>
    <definedName name="FDP_131_1_aUrv" localSheetId="19" hidden="1">#REF!</definedName>
    <definedName name="FDP_131_1_aUrv" localSheetId="1" hidden="1">#REF!</definedName>
    <definedName name="FDP_131_1_aUrv" localSheetId="8" hidden="1">#REF!</definedName>
    <definedName name="FDP_131_1_aUrv" localSheetId="6" hidden="1">#REF!</definedName>
    <definedName name="FDP_131_1_aUrv" localSheetId="17" hidden="1">#REF!</definedName>
    <definedName name="FDP_131_1_aUrv" localSheetId="7" hidden="1">#REF!</definedName>
    <definedName name="FDP_131_1_aUrv" localSheetId="3" hidden="1">#REF!</definedName>
    <definedName name="FDP_131_1_aUrv" localSheetId="21" hidden="1">#REF!</definedName>
    <definedName name="FDP_131_1_aUrv" hidden="1">#REF!</definedName>
    <definedName name="FDP_132_1_aUrv" localSheetId="0" hidden="1">#REF!</definedName>
    <definedName name="FDP_132_1_aUrv" localSheetId="27" hidden="1">#REF!</definedName>
    <definedName name="FDP_132_1_aUrv" localSheetId="19" hidden="1">#REF!</definedName>
    <definedName name="FDP_132_1_aUrv" localSheetId="1" hidden="1">#REF!</definedName>
    <definedName name="FDP_132_1_aUrv" localSheetId="8" hidden="1">#REF!</definedName>
    <definedName name="FDP_132_1_aUrv" localSheetId="6" hidden="1">#REF!</definedName>
    <definedName name="FDP_132_1_aUrv" localSheetId="17" hidden="1">#REF!</definedName>
    <definedName name="FDP_132_1_aUrv" localSheetId="7" hidden="1">#REF!</definedName>
    <definedName name="FDP_132_1_aUrv" localSheetId="3" hidden="1">#REF!</definedName>
    <definedName name="FDP_132_1_aUrv" localSheetId="21" hidden="1">#REF!</definedName>
    <definedName name="FDP_132_1_aUrv" hidden="1">#REF!</definedName>
    <definedName name="FDP_133_1_aUrv" localSheetId="0" hidden="1">#REF!</definedName>
    <definedName name="FDP_133_1_aUrv" localSheetId="27" hidden="1">#REF!</definedName>
    <definedName name="FDP_133_1_aUrv" localSheetId="19" hidden="1">#REF!</definedName>
    <definedName name="FDP_133_1_aUrv" localSheetId="1" hidden="1">#REF!</definedName>
    <definedName name="FDP_133_1_aUrv" localSheetId="8" hidden="1">#REF!</definedName>
    <definedName name="FDP_133_1_aUrv" localSheetId="6" hidden="1">#REF!</definedName>
    <definedName name="FDP_133_1_aUrv" localSheetId="17" hidden="1">#REF!</definedName>
    <definedName name="FDP_133_1_aUrv" localSheetId="7" hidden="1">#REF!</definedName>
    <definedName name="FDP_133_1_aUrv" localSheetId="3" hidden="1">#REF!</definedName>
    <definedName name="FDP_133_1_aUrv" localSheetId="21" hidden="1">#REF!</definedName>
    <definedName name="FDP_133_1_aUrv" hidden="1">#REF!</definedName>
    <definedName name="FDP_134_1_aUrv" localSheetId="0" hidden="1">#REF!</definedName>
    <definedName name="FDP_134_1_aUrv" localSheetId="27" hidden="1">#REF!</definedName>
    <definedName name="FDP_134_1_aUrv" localSheetId="19" hidden="1">#REF!</definedName>
    <definedName name="FDP_134_1_aUrv" localSheetId="1" hidden="1">#REF!</definedName>
    <definedName name="FDP_134_1_aUrv" localSheetId="8" hidden="1">#REF!</definedName>
    <definedName name="FDP_134_1_aUrv" localSheetId="6" hidden="1">#REF!</definedName>
    <definedName name="FDP_134_1_aUrv" localSheetId="17" hidden="1">#REF!</definedName>
    <definedName name="FDP_134_1_aUrv" localSheetId="7" hidden="1">#REF!</definedName>
    <definedName name="FDP_134_1_aUrv" localSheetId="3" hidden="1">#REF!</definedName>
    <definedName name="FDP_134_1_aUrv" localSheetId="21" hidden="1">#REF!</definedName>
    <definedName name="FDP_134_1_aUrv" hidden="1">#REF!</definedName>
    <definedName name="FDP_135_1_aUrv" localSheetId="0" hidden="1">#REF!</definedName>
    <definedName name="FDP_135_1_aUrv" localSheetId="27" hidden="1">#REF!</definedName>
    <definedName name="FDP_135_1_aUrv" localSheetId="19" hidden="1">#REF!</definedName>
    <definedName name="FDP_135_1_aUrv" localSheetId="1" hidden="1">#REF!</definedName>
    <definedName name="FDP_135_1_aUrv" localSheetId="8" hidden="1">#REF!</definedName>
    <definedName name="FDP_135_1_aUrv" localSheetId="6" hidden="1">#REF!</definedName>
    <definedName name="FDP_135_1_aUrv" localSheetId="17" hidden="1">#REF!</definedName>
    <definedName name="FDP_135_1_aUrv" localSheetId="7" hidden="1">#REF!</definedName>
    <definedName name="FDP_135_1_aUrv" localSheetId="3" hidden="1">#REF!</definedName>
    <definedName name="FDP_135_1_aUrv" localSheetId="21" hidden="1">#REF!</definedName>
    <definedName name="FDP_135_1_aUrv" hidden="1">#REF!</definedName>
    <definedName name="FDP_136_1_aSrv" localSheetId="0" hidden="1">#REF!</definedName>
    <definedName name="FDP_136_1_aSrv" localSheetId="27" hidden="1">#REF!</definedName>
    <definedName name="FDP_136_1_aSrv" localSheetId="19" hidden="1">#REF!</definedName>
    <definedName name="FDP_136_1_aSrv" localSheetId="1" hidden="1">#REF!</definedName>
    <definedName name="FDP_136_1_aSrv" localSheetId="8" hidden="1">#REF!</definedName>
    <definedName name="FDP_136_1_aSrv" localSheetId="6" hidden="1">#REF!</definedName>
    <definedName name="FDP_136_1_aSrv" localSheetId="17" hidden="1">#REF!</definedName>
    <definedName name="FDP_136_1_aSrv" localSheetId="7" hidden="1">#REF!</definedName>
    <definedName name="FDP_136_1_aSrv" localSheetId="3" hidden="1">#REF!</definedName>
    <definedName name="FDP_136_1_aSrv" localSheetId="21" hidden="1">#REF!</definedName>
    <definedName name="FDP_136_1_aSrv" hidden="1">#REF!</definedName>
    <definedName name="FDP_137_1_aUrv" localSheetId="0" hidden="1">#REF!</definedName>
    <definedName name="FDP_137_1_aUrv" localSheetId="27" hidden="1">#REF!</definedName>
    <definedName name="FDP_137_1_aUrv" localSheetId="19" hidden="1">#REF!</definedName>
    <definedName name="FDP_137_1_aUrv" localSheetId="1" hidden="1">#REF!</definedName>
    <definedName name="FDP_137_1_aUrv" localSheetId="8" hidden="1">#REF!</definedName>
    <definedName name="FDP_137_1_aUrv" localSheetId="6" hidden="1">#REF!</definedName>
    <definedName name="FDP_137_1_aUrv" localSheetId="17" hidden="1">#REF!</definedName>
    <definedName name="FDP_137_1_aUrv" localSheetId="7" hidden="1">#REF!</definedName>
    <definedName name="FDP_137_1_aUrv" localSheetId="3" hidden="1">#REF!</definedName>
    <definedName name="FDP_137_1_aUrv" localSheetId="21" hidden="1">#REF!</definedName>
    <definedName name="FDP_137_1_aUrv" hidden="1">#REF!</definedName>
    <definedName name="FDP_138_1_aUrv" localSheetId="0" hidden="1">#REF!</definedName>
    <definedName name="FDP_138_1_aUrv" localSheetId="27" hidden="1">#REF!</definedName>
    <definedName name="FDP_138_1_aUrv" localSheetId="19" hidden="1">#REF!</definedName>
    <definedName name="FDP_138_1_aUrv" localSheetId="1" hidden="1">#REF!</definedName>
    <definedName name="FDP_138_1_aUrv" localSheetId="8" hidden="1">#REF!</definedName>
    <definedName name="FDP_138_1_aUrv" localSheetId="6" hidden="1">#REF!</definedName>
    <definedName name="FDP_138_1_aUrv" localSheetId="17" hidden="1">#REF!</definedName>
    <definedName name="FDP_138_1_aUrv" localSheetId="7" hidden="1">#REF!</definedName>
    <definedName name="FDP_138_1_aUrv" localSheetId="3" hidden="1">#REF!</definedName>
    <definedName name="FDP_138_1_aUrv" localSheetId="21" hidden="1">#REF!</definedName>
    <definedName name="FDP_138_1_aUrv" hidden="1">#REF!</definedName>
    <definedName name="FDP_139_1_aUrv" localSheetId="0" hidden="1">#REF!</definedName>
    <definedName name="FDP_139_1_aUrv" localSheetId="27" hidden="1">#REF!</definedName>
    <definedName name="FDP_139_1_aUrv" localSheetId="19" hidden="1">#REF!</definedName>
    <definedName name="FDP_139_1_aUrv" localSheetId="1" hidden="1">#REF!</definedName>
    <definedName name="FDP_139_1_aUrv" localSheetId="8" hidden="1">#REF!</definedName>
    <definedName name="FDP_139_1_aUrv" localSheetId="6" hidden="1">#REF!</definedName>
    <definedName name="FDP_139_1_aUrv" localSheetId="17" hidden="1">#REF!</definedName>
    <definedName name="FDP_139_1_aUrv" localSheetId="7" hidden="1">#REF!</definedName>
    <definedName name="FDP_139_1_aUrv" localSheetId="3" hidden="1">#REF!</definedName>
    <definedName name="FDP_139_1_aUrv" localSheetId="21" hidden="1">#REF!</definedName>
    <definedName name="FDP_139_1_aUrv" hidden="1">#REF!</definedName>
    <definedName name="FDP_14_1_aDrv" localSheetId="0" hidden="1">#REF!</definedName>
    <definedName name="FDP_14_1_aDrv" localSheetId="27" hidden="1">#REF!</definedName>
    <definedName name="FDP_14_1_aDrv" localSheetId="19" hidden="1">#REF!</definedName>
    <definedName name="FDP_14_1_aDrv" localSheetId="1" hidden="1">#REF!</definedName>
    <definedName name="FDP_14_1_aDrv" localSheetId="8" hidden="1">#REF!</definedName>
    <definedName name="FDP_14_1_aDrv" localSheetId="6" hidden="1">#REF!</definedName>
    <definedName name="FDP_14_1_aDrv" localSheetId="17" hidden="1">#REF!</definedName>
    <definedName name="FDP_14_1_aDrv" localSheetId="7" hidden="1">#REF!</definedName>
    <definedName name="FDP_14_1_aDrv" localSheetId="3" hidden="1">#REF!</definedName>
    <definedName name="FDP_14_1_aDrv" localSheetId="21" hidden="1">#REF!</definedName>
    <definedName name="FDP_14_1_aDrv" hidden="1">#REF!</definedName>
    <definedName name="FDP_140_1_aUrv" localSheetId="0" hidden="1">#REF!</definedName>
    <definedName name="FDP_140_1_aUrv" localSheetId="27" hidden="1">#REF!</definedName>
    <definedName name="FDP_140_1_aUrv" localSheetId="19" hidden="1">#REF!</definedName>
    <definedName name="FDP_140_1_aUrv" localSheetId="1" hidden="1">#REF!</definedName>
    <definedName name="FDP_140_1_aUrv" localSheetId="8" hidden="1">#REF!</definedName>
    <definedName name="FDP_140_1_aUrv" localSheetId="6" hidden="1">#REF!</definedName>
    <definedName name="FDP_140_1_aUrv" localSheetId="17" hidden="1">#REF!</definedName>
    <definedName name="FDP_140_1_aUrv" localSheetId="7" hidden="1">#REF!</definedName>
    <definedName name="FDP_140_1_aUrv" localSheetId="3" hidden="1">#REF!</definedName>
    <definedName name="FDP_140_1_aUrv" localSheetId="21" hidden="1">#REF!</definedName>
    <definedName name="FDP_140_1_aUrv" hidden="1">#REF!</definedName>
    <definedName name="FDP_141_1_aSrv" localSheetId="0" hidden="1">#REF!</definedName>
    <definedName name="FDP_141_1_aSrv" localSheetId="27" hidden="1">#REF!</definedName>
    <definedName name="FDP_141_1_aSrv" localSheetId="19" hidden="1">#REF!</definedName>
    <definedName name="FDP_141_1_aSrv" localSheetId="1" hidden="1">#REF!</definedName>
    <definedName name="FDP_141_1_aSrv" localSheetId="8" hidden="1">#REF!</definedName>
    <definedName name="FDP_141_1_aSrv" localSheetId="6" hidden="1">#REF!</definedName>
    <definedName name="FDP_141_1_aSrv" localSheetId="17" hidden="1">#REF!</definedName>
    <definedName name="FDP_141_1_aSrv" localSheetId="7" hidden="1">#REF!</definedName>
    <definedName name="FDP_141_1_aSrv" localSheetId="3" hidden="1">#REF!</definedName>
    <definedName name="FDP_141_1_aSrv" localSheetId="21" hidden="1">#REF!</definedName>
    <definedName name="FDP_141_1_aSrv" hidden="1">#REF!</definedName>
    <definedName name="FDP_142_1_aUrv" localSheetId="0" hidden="1">#REF!</definedName>
    <definedName name="FDP_142_1_aUrv" localSheetId="27" hidden="1">#REF!</definedName>
    <definedName name="FDP_142_1_aUrv" localSheetId="19" hidden="1">#REF!</definedName>
    <definedName name="FDP_142_1_aUrv" localSheetId="1" hidden="1">#REF!</definedName>
    <definedName name="FDP_142_1_aUrv" localSheetId="8" hidden="1">#REF!</definedName>
    <definedName name="FDP_142_1_aUrv" localSheetId="6" hidden="1">#REF!</definedName>
    <definedName name="FDP_142_1_aUrv" localSheetId="17" hidden="1">#REF!</definedName>
    <definedName name="FDP_142_1_aUrv" localSheetId="7" hidden="1">#REF!</definedName>
    <definedName name="FDP_142_1_aUrv" localSheetId="3" hidden="1">#REF!</definedName>
    <definedName name="FDP_142_1_aUrv" localSheetId="21" hidden="1">#REF!</definedName>
    <definedName name="FDP_142_1_aUrv" hidden="1">#REF!</definedName>
    <definedName name="FDP_143_1_aUrv" localSheetId="0" hidden="1">#REF!</definedName>
    <definedName name="FDP_143_1_aUrv" localSheetId="27" hidden="1">#REF!</definedName>
    <definedName name="FDP_143_1_aUrv" localSheetId="19" hidden="1">#REF!</definedName>
    <definedName name="FDP_143_1_aUrv" localSheetId="1" hidden="1">#REF!</definedName>
    <definedName name="FDP_143_1_aUrv" localSheetId="8" hidden="1">#REF!</definedName>
    <definedName name="FDP_143_1_aUrv" localSheetId="6" hidden="1">#REF!</definedName>
    <definedName name="FDP_143_1_aUrv" localSheetId="17" hidden="1">#REF!</definedName>
    <definedName name="FDP_143_1_aUrv" localSheetId="7" hidden="1">#REF!</definedName>
    <definedName name="FDP_143_1_aUrv" localSheetId="3" hidden="1">#REF!</definedName>
    <definedName name="FDP_143_1_aUrv" localSheetId="21" hidden="1">#REF!</definedName>
    <definedName name="FDP_143_1_aUrv" hidden="1">#REF!</definedName>
    <definedName name="FDP_144_1_aUrv" localSheetId="0" hidden="1">#REF!</definedName>
    <definedName name="FDP_144_1_aUrv" localSheetId="27" hidden="1">#REF!</definedName>
    <definedName name="FDP_144_1_aUrv" localSheetId="19" hidden="1">#REF!</definedName>
    <definedName name="FDP_144_1_aUrv" localSheetId="1" hidden="1">#REF!</definedName>
    <definedName name="FDP_144_1_aUrv" localSheetId="8" hidden="1">#REF!</definedName>
    <definedName name="FDP_144_1_aUrv" localSheetId="6" hidden="1">#REF!</definedName>
    <definedName name="FDP_144_1_aUrv" localSheetId="17" hidden="1">#REF!</definedName>
    <definedName name="FDP_144_1_aUrv" localSheetId="7" hidden="1">#REF!</definedName>
    <definedName name="FDP_144_1_aUrv" localSheetId="3" hidden="1">#REF!</definedName>
    <definedName name="FDP_144_1_aUrv" localSheetId="21" hidden="1">#REF!</definedName>
    <definedName name="FDP_144_1_aUrv" hidden="1">#REF!</definedName>
    <definedName name="FDP_145_1_aUrv" localSheetId="0" hidden="1">#REF!</definedName>
    <definedName name="FDP_145_1_aUrv" localSheetId="27" hidden="1">#REF!</definedName>
    <definedName name="FDP_145_1_aUrv" localSheetId="19" hidden="1">#REF!</definedName>
    <definedName name="FDP_145_1_aUrv" localSheetId="1" hidden="1">#REF!</definedName>
    <definedName name="FDP_145_1_aUrv" localSheetId="8" hidden="1">#REF!</definedName>
    <definedName name="FDP_145_1_aUrv" localSheetId="6" hidden="1">#REF!</definedName>
    <definedName name="FDP_145_1_aUrv" localSheetId="17" hidden="1">#REF!</definedName>
    <definedName name="FDP_145_1_aUrv" localSheetId="7" hidden="1">#REF!</definedName>
    <definedName name="FDP_145_1_aUrv" localSheetId="3" hidden="1">#REF!</definedName>
    <definedName name="FDP_145_1_aUrv" localSheetId="21" hidden="1">#REF!</definedName>
    <definedName name="FDP_145_1_aUrv" hidden="1">#REF!</definedName>
    <definedName name="FDP_146_1_aUrv" localSheetId="0" hidden="1">#REF!</definedName>
    <definedName name="FDP_146_1_aUrv" localSheetId="27" hidden="1">#REF!</definedName>
    <definedName name="FDP_146_1_aUrv" localSheetId="19" hidden="1">#REF!</definedName>
    <definedName name="FDP_146_1_aUrv" localSheetId="1" hidden="1">#REF!</definedName>
    <definedName name="FDP_146_1_aUrv" localSheetId="8" hidden="1">#REF!</definedName>
    <definedName name="FDP_146_1_aUrv" localSheetId="6" hidden="1">#REF!</definedName>
    <definedName name="FDP_146_1_aUrv" localSheetId="17" hidden="1">#REF!</definedName>
    <definedName name="FDP_146_1_aUrv" localSheetId="7" hidden="1">#REF!</definedName>
    <definedName name="FDP_146_1_aUrv" localSheetId="3" hidden="1">#REF!</definedName>
    <definedName name="FDP_146_1_aUrv" localSheetId="21" hidden="1">#REF!</definedName>
    <definedName name="FDP_146_1_aUrv" hidden="1">#REF!</definedName>
    <definedName name="FDP_147_1_aUrv" localSheetId="0" hidden="1">#REF!</definedName>
    <definedName name="FDP_147_1_aUrv" localSheetId="27" hidden="1">#REF!</definedName>
    <definedName name="FDP_147_1_aUrv" localSheetId="19" hidden="1">#REF!</definedName>
    <definedName name="FDP_147_1_aUrv" localSheetId="1" hidden="1">#REF!</definedName>
    <definedName name="FDP_147_1_aUrv" localSheetId="8" hidden="1">#REF!</definedName>
    <definedName name="FDP_147_1_aUrv" localSheetId="6" hidden="1">#REF!</definedName>
    <definedName name="FDP_147_1_aUrv" localSheetId="17" hidden="1">#REF!</definedName>
    <definedName name="FDP_147_1_aUrv" localSheetId="7" hidden="1">#REF!</definedName>
    <definedName name="FDP_147_1_aUrv" localSheetId="3" hidden="1">#REF!</definedName>
    <definedName name="FDP_147_1_aUrv" localSheetId="21" hidden="1">#REF!</definedName>
    <definedName name="FDP_147_1_aUrv" hidden="1">#REF!</definedName>
    <definedName name="FDP_148_1_aUrv" localSheetId="0" hidden="1">#REF!</definedName>
    <definedName name="FDP_148_1_aUrv" localSheetId="27" hidden="1">#REF!</definedName>
    <definedName name="FDP_148_1_aUrv" localSheetId="19" hidden="1">#REF!</definedName>
    <definedName name="FDP_148_1_aUrv" localSheetId="1" hidden="1">#REF!</definedName>
    <definedName name="FDP_148_1_aUrv" localSheetId="8" hidden="1">#REF!</definedName>
    <definedName name="FDP_148_1_aUrv" localSheetId="6" hidden="1">#REF!</definedName>
    <definedName name="FDP_148_1_aUrv" localSheetId="17" hidden="1">#REF!</definedName>
    <definedName name="FDP_148_1_aUrv" localSheetId="7" hidden="1">#REF!</definedName>
    <definedName name="FDP_148_1_aUrv" localSheetId="3" hidden="1">#REF!</definedName>
    <definedName name="FDP_148_1_aUrv" localSheetId="21" hidden="1">#REF!</definedName>
    <definedName name="FDP_148_1_aUrv" hidden="1">#REF!</definedName>
    <definedName name="FDP_149_1_aUrv" localSheetId="0" hidden="1">#REF!</definedName>
    <definedName name="FDP_149_1_aUrv" localSheetId="27" hidden="1">#REF!</definedName>
    <definedName name="FDP_149_1_aUrv" localSheetId="19" hidden="1">#REF!</definedName>
    <definedName name="FDP_149_1_aUrv" localSheetId="1" hidden="1">#REF!</definedName>
    <definedName name="FDP_149_1_aUrv" localSheetId="8" hidden="1">#REF!</definedName>
    <definedName name="FDP_149_1_aUrv" localSheetId="6" hidden="1">#REF!</definedName>
    <definedName name="FDP_149_1_aUrv" localSheetId="17" hidden="1">#REF!</definedName>
    <definedName name="FDP_149_1_aUrv" localSheetId="7" hidden="1">#REF!</definedName>
    <definedName name="FDP_149_1_aUrv" localSheetId="3" hidden="1">#REF!</definedName>
    <definedName name="FDP_149_1_aUrv" localSheetId="21" hidden="1">#REF!</definedName>
    <definedName name="FDP_149_1_aUrv" hidden="1">#REF!</definedName>
    <definedName name="FDP_15_1_aUrv" localSheetId="0" hidden="1">#REF!</definedName>
    <definedName name="FDP_15_1_aUrv" localSheetId="27" hidden="1">#REF!</definedName>
    <definedName name="FDP_15_1_aUrv" localSheetId="19" hidden="1">#REF!</definedName>
    <definedName name="FDP_15_1_aUrv" localSheetId="1" hidden="1">#REF!</definedName>
    <definedName name="FDP_15_1_aUrv" localSheetId="8" hidden="1">#REF!</definedName>
    <definedName name="FDP_15_1_aUrv" localSheetId="6" hidden="1">#REF!</definedName>
    <definedName name="FDP_15_1_aUrv" localSheetId="17" hidden="1">#REF!</definedName>
    <definedName name="FDP_15_1_aUrv" localSheetId="7" hidden="1">#REF!</definedName>
    <definedName name="FDP_15_1_aUrv" localSheetId="3" hidden="1">#REF!</definedName>
    <definedName name="FDP_15_1_aUrv" localSheetId="21" hidden="1">#REF!</definedName>
    <definedName name="FDP_15_1_aUrv" hidden="1">#REF!</definedName>
    <definedName name="FDP_150_1_aUrv" localSheetId="0" hidden="1">#REF!</definedName>
    <definedName name="FDP_150_1_aUrv" localSheetId="27" hidden="1">#REF!</definedName>
    <definedName name="FDP_150_1_aUrv" localSheetId="19" hidden="1">#REF!</definedName>
    <definedName name="FDP_150_1_aUrv" localSheetId="1" hidden="1">#REF!</definedName>
    <definedName name="FDP_150_1_aUrv" localSheetId="8" hidden="1">#REF!</definedName>
    <definedName name="FDP_150_1_aUrv" localSheetId="6" hidden="1">#REF!</definedName>
    <definedName name="FDP_150_1_aUrv" localSheetId="17" hidden="1">#REF!</definedName>
    <definedName name="FDP_150_1_aUrv" localSheetId="7" hidden="1">#REF!</definedName>
    <definedName name="FDP_150_1_aUrv" localSheetId="3" hidden="1">#REF!</definedName>
    <definedName name="FDP_150_1_aUrv" localSheetId="21" hidden="1">#REF!</definedName>
    <definedName name="FDP_150_1_aUrv" hidden="1">#REF!</definedName>
    <definedName name="FDP_151_1_aUrv" localSheetId="0" hidden="1">#REF!</definedName>
    <definedName name="FDP_151_1_aUrv" localSheetId="27" hidden="1">#REF!</definedName>
    <definedName name="FDP_151_1_aUrv" localSheetId="19" hidden="1">#REF!</definedName>
    <definedName name="FDP_151_1_aUrv" localSheetId="1" hidden="1">#REF!</definedName>
    <definedName name="FDP_151_1_aUrv" localSheetId="8" hidden="1">#REF!</definedName>
    <definedName name="FDP_151_1_aUrv" localSheetId="6" hidden="1">#REF!</definedName>
    <definedName name="FDP_151_1_aUrv" localSheetId="17" hidden="1">#REF!</definedName>
    <definedName name="FDP_151_1_aUrv" localSheetId="7" hidden="1">#REF!</definedName>
    <definedName name="FDP_151_1_aUrv" localSheetId="3" hidden="1">#REF!</definedName>
    <definedName name="FDP_151_1_aUrv" localSheetId="21" hidden="1">#REF!</definedName>
    <definedName name="FDP_151_1_aUrv" hidden="1">#REF!</definedName>
    <definedName name="FDP_152_1_aUrv" localSheetId="0" hidden="1">#REF!</definedName>
    <definedName name="FDP_152_1_aUrv" localSheetId="27" hidden="1">#REF!</definedName>
    <definedName name="FDP_152_1_aUrv" localSheetId="19" hidden="1">#REF!</definedName>
    <definedName name="FDP_152_1_aUrv" localSheetId="1" hidden="1">#REF!</definedName>
    <definedName name="FDP_152_1_aUrv" localSheetId="8" hidden="1">#REF!</definedName>
    <definedName name="FDP_152_1_aUrv" localSheetId="6" hidden="1">#REF!</definedName>
    <definedName name="FDP_152_1_aUrv" localSheetId="17" hidden="1">#REF!</definedName>
    <definedName name="FDP_152_1_aUrv" localSheetId="7" hidden="1">#REF!</definedName>
    <definedName name="FDP_152_1_aUrv" localSheetId="3" hidden="1">#REF!</definedName>
    <definedName name="FDP_152_1_aUrv" localSheetId="21" hidden="1">#REF!</definedName>
    <definedName name="FDP_152_1_aUrv" hidden="1">#REF!</definedName>
    <definedName name="FDP_153_1_aUrv" localSheetId="0" hidden="1">#REF!</definedName>
    <definedName name="FDP_153_1_aUrv" localSheetId="27" hidden="1">#REF!</definedName>
    <definedName name="FDP_153_1_aUrv" localSheetId="19" hidden="1">#REF!</definedName>
    <definedName name="FDP_153_1_aUrv" localSheetId="1" hidden="1">#REF!</definedName>
    <definedName name="FDP_153_1_aUrv" localSheetId="8" hidden="1">#REF!</definedName>
    <definedName name="FDP_153_1_aUrv" localSheetId="6" hidden="1">#REF!</definedName>
    <definedName name="FDP_153_1_aUrv" localSheetId="17" hidden="1">#REF!</definedName>
    <definedName name="FDP_153_1_aUrv" localSheetId="7" hidden="1">#REF!</definedName>
    <definedName name="FDP_153_1_aUrv" localSheetId="3" hidden="1">#REF!</definedName>
    <definedName name="FDP_153_1_aUrv" localSheetId="21" hidden="1">#REF!</definedName>
    <definedName name="FDP_153_1_aUrv" hidden="1">#REF!</definedName>
    <definedName name="FDP_154_1_aUrv" localSheetId="0" hidden="1">#REF!</definedName>
    <definedName name="FDP_154_1_aUrv" localSheetId="27" hidden="1">#REF!</definedName>
    <definedName name="FDP_154_1_aUrv" localSheetId="19" hidden="1">#REF!</definedName>
    <definedName name="FDP_154_1_aUrv" localSheetId="1" hidden="1">#REF!</definedName>
    <definedName name="FDP_154_1_aUrv" localSheetId="8" hidden="1">#REF!</definedName>
    <definedName name="FDP_154_1_aUrv" localSheetId="6" hidden="1">#REF!</definedName>
    <definedName name="FDP_154_1_aUrv" localSheetId="17" hidden="1">#REF!</definedName>
    <definedName name="FDP_154_1_aUrv" localSheetId="7" hidden="1">#REF!</definedName>
    <definedName name="FDP_154_1_aUrv" localSheetId="3" hidden="1">#REF!</definedName>
    <definedName name="FDP_154_1_aUrv" localSheetId="21" hidden="1">#REF!</definedName>
    <definedName name="FDP_154_1_aUrv" hidden="1">#REF!</definedName>
    <definedName name="FDP_155_1_aSrv" localSheetId="0" hidden="1">#REF!</definedName>
    <definedName name="FDP_155_1_aSrv" localSheetId="27" hidden="1">#REF!</definedName>
    <definedName name="FDP_155_1_aSrv" localSheetId="19" hidden="1">#REF!</definedName>
    <definedName name="FDP_155_1_aSrv" localSheetId="1" hidden="1">#REF!</definedName>
    <definedName name="FDP_155_1_aSrv" localSheetId="8" hidden="1">#REF!</definedName>
    <definedName name="FDP_155_1_aSrv" localSheetId="6" hidden="1">#REF!</definedName>
    <definedName name="FDP_155_1_aSrv" localSheetId="17" hidden="1">#REF!</definedName>
    <definedName name="FDP_155_1_aSrv" localSheetId="7" hidden="1">#REF!</definedName>
    <definedName name="FDP_155_1_aSrv" localSheetId="3" hidden="1">#REF!</definedName>
    <definedName name="FDP_155_1_aSrv" localSheetId="21" hidden="1">#REF!</definedName>
    <definedName name="FDP_155_1_aSrv" hidden="1">#REF!</definedName>
    <definedName name="FDP_156_1_aUrv" localSheetId="0" hidden="1">#REF!</definedName>
    <definedName name="FDP_156_1_aUrv" localSheetId="27" hidden="1">#REF!</definedName>
    <definedName name="FDP_156_1_aUrv" localSheetId="19" hidden="1">#REF!</definedName>
    <definedName name="FDP_156_1_aUrv" localSheetId="1" hidden="1">#REF!</definedName>
    <definedName name="FDP_156_1_aUrv" localSheetId="8" hidden="1">#REF!</definedName>
    <definedName name="FDP_156_1_aUrv" localSheetId="6" hidden="1">#REF!</definedName>
    <definedName name="FDP_156_1_aUrv" localSheetId="17" hidden="1">#REF!</definedName>
    <definedName name="FDP_156_1_aUrv" localSheetId="7" hidden="1">#REF!</definedName>
    <definedName name="FDP_156_1_aUrv" localSheetId="3" hidden="1">#REF!</definedName>
    <definedName name="FDP_156_1_aUrv" localSheetId="21" hidden="1">#REF!</definedName>
    <definedName name="FDP_156_1_aUrv" hidden="1">#REF!</definedName>
    <definedName name="FDP_157_1_aSrv" localSheetId="0" hidden="1">#REF!</definedName>
    <definedName name="FDP_157_1_aSrv" localSheetId="27" hidden="1">#REF!</definedName>
    <definedName name="FDP_157_1_aSrv" localSheetId="19" hidden="1">#REF!</definedName>
    <definedName name="FDP_157_1_aSrv" localSheetId="1" hidden="1">#REF!</definedName>
    <definedName name="FDP_157_1_aSrv" localSheetId="8" hidden="1">#REF!</definedName>
    <definedName name="FDP_157_1_aSrv" localSheetId="6" hidden="1">#REF!</definedName>
    <definedName name="FDP_157_1_aSrv" localSheetId="17" hidden="1">#REF!</definedName>
    <definedName name="FDP_157_1_aSrv" localSheetId="7" hidden="1">#REF!</definedName>
    <definedName name="FDP_157_1_aSrv" localSheetId="3" hidden="1">#REF!</definedName>
    <definedName name="FDP_157_1_aSrv" localSheetId="21" hidden="1">#REF!</definedName>
    <definedName name="FDP_157_1_aSrv" hidden="1">#REF!</definedName>
    <definedName name="FDP_158_1_aUrv" localSheetId="0" hidden="1">#REF!</definedName>
    <definedName name="FDP_158_1_aUrv" localSheetId="27" hidden="1">#REF!</definedName>
    <definedName name="FDP_158_1_aUrv" localSheetId="19" hidden="1">#REF!</definedName>
    <definedName name="FDP_158_1_aUrv" localSheetId="1" hidden="1">#REF!</definedName>
    <definedName name="FDP_158_1_aUrv" localSheetId="8" hidden="1">#REF!</definedName>
    <definedName name="FDP_158_1_aUrv" localSheetId="6" hidden="1">#REF!</definedName>
    <definedName name="FDP_158_1_aUrv" localSheetId="17" hidden="1">#REF!</definedName>
    <definedName name="FDP_158_1_aUrv" localSheetId="7" hidden="1">#REF!</definedName>
    <definedName name="FDP_158_1_aUrv" localSheetId="3" hidden="1">#REF!</definedName>
    <definedName name="FDP_158_1_aUrv" localSheetId="21" hidden="1">#REF!</definedName>
    <definedName name="FDP_158_1_aUrv" hidden="1">#REF!</definedName>
    <definedName name="FDP_159_1_aSrv" localSheetId="0" hidden="1">#REF!</definedName>
    <definedName name="FDP_159_1_aSrv" localSheetId="27" hidden="1">#REF!</definedName>
    <definedName name="FDP_159_1_aSrv" localSheetId="19" hidden="1">#REF!</definedName>
    <definedName name="FDP_159_1_aSrv" localSheetId="1" hidden="1">#REF!</definedName>
    <definedName name="FDP_159_1_aSrv" localSheetId="8" hidden="1">#REF!</definedName>
    <definedName name="FDP_159_1_aSrv" localSheetId="6" hidden="1">#REF!</definedName>
    <definedName name="FDP_159_1_aSrv" localSheetId="17" hidden="1">#REF!</definedName>
    <definedName name="FDP_159_1_aSrv" localSheetId="7" hidden="1">#REF!</definedName>
    <definedName name="FDP_159_1_aSrv" localSheetId="3" hidden="1">#REF!</definedName>
    <definedName name="FDP_159_1_aSrv" localSheetId="21" hidden="1">#REF!</definedName>
    <definedName name="FDP_159_1_aSrv" hidden="1">#REF!</definedName>
    <definedName name="FDP_16_1_aDrv" localSheetId="0" hidden="1">#REF!</definedName>
    <definedName name="FDP_16_1_aDrv" localSheetId="27" hidden="1">#REF!</definedName>
    <definedName name="FDP_16_1_aDrv" localSheetId="19" hidden="1">#REF!</definedName>
    <definedName name="FDP_16_1_aDrv" localSheetId="1" hidden="1">#REF!</definedName>
    <definedName name="FDP_16_1_aDrv" localSheetId="8" hidden="1">#REF!</definedName>
    <definedName name="FDP_16_1_aDrv" localSheetId="6" hidden="1">#REF!</definedName>
    <definedName name="FDP_16_1_aDrv" localSheetId="17" hidden="1">#REF!</definedName>
    <definedName name="FDP_16_1_aDrv" localSheetId="7" hidden="1">#REF!</definedName>
    <definedName name="FDP_16_1_aDrv" localSheetId="3" hidden="1">#REF!</definedName>
    <definedName name="FDP_16_1_aDrv" localSheetId="21" hidden="1">#REF!</definedName>
    <definedName name="FDP_16_1_aDrv" hidden="1">#REF!</definedName>
    <definedName name="FDP_160_1_aUrv" localSheetId="0" hidden="1">#REF!</definedName>
    <definedName name="FDP_160_1_aUrv" localSheetId="27" hidden="1">#REF!</definedName>
    <definedName name="FDP_160_1_aUrv" localSheetId="19" hidden="1">#REF!</definedName>
    <definedName name="FDP_160_1_aUrv" localSheetId="1" hidden="1">#REF!</definedName>
    <definedName name="FDP_160_1_aUrv" localSheetId="8" hidden="1">#REF!</definedName>
    <definedName name="FDP_160_1_aUrv" localSheetId="6" hidden="1">#REF!</definedName>
    <definedName name="FDP_160_1_aUrv" localSheetId="17" hidden="1">#REF!</definedName>
    <definedName name="FDP_160_1_aUrv" localSheetId="7" hidden="1">#REF!</definedName>
    <definedName name="FDP_160_1_aUrv" localSheetId="3" hidden="1">#REF!</definedName>
    <definedName name="FDP_160_1_aUrv" localSheetId="21" hidden="1">#REF!</definedName>
    <definedName name="FDP_160_1_aUrv" hidden="1">#REF!</definedName>
    <definedName name="FDP_161_1_aSrv" localSheetId="0" hidden="1">#REF!</definedName>
    <definedName name="FDP_161_1_aSrv" localSheetId="27" hidden="1">#REF!</definedName>
    <definedName name="FDP_161_1_aSrv" localSheetId="19" hidden="1">#REF!</definedName>
    <definedName name="FDP_161_1_aSrv" localSheetId="1" hidden="1">#REF!</definedName>
    <definedName name="FDP_161_1_aSrv" localSheetId="8" hidden="1">#REF!</definedName>
    <definedName name="FDP_161_1_aSrv" localSheetId="6" hidden="1">#REF!</definedName>
    <definedName name="FDP_161_1_aSrv" localSheetId="17" hidden="1">#REF!</definedName>
    <definedName name="FDP_161_1_aSrv" localSheetId="7" hidden="1">#REF!</definedName>
    <definedName name="FDP_161_1_aSrv" localSheetId="3" hidden="1">#REF!</definedName>
    <definedName name="FDP_161_1_aSrv" localSheetId="21" hidden="1">#REF!</definedName>
    <definedName name="FDP_161_1_aSrv" hidden="1">#REF!</definedName>
    <definedName name="FDP_162_1_aUrv" localSheetId="0" hidden="1">#REF!</definedName>
    <definedName name="FDP_162_1_aUrv" localSheetId="27" hidden="1">#REF!</definedName>
    <definedName name="FDP_162_1_aUrv" localSheetId="19" hidden="1">#REF!</definedName>
    <definedName name="FDP_162_1_aUrv" localSheetId="1" hidden="1">#REF!</definedName>
    <definedName name="FDP_162_1_aUrv" localSheetId="8" hidden="1">#REF!</definedName>
    <definedName name="FDP_162_1_aUrv" localSheetId="6" hidden="1">#REF!</definedName>
    <definedName name="FDP_162_1_aUrv" localSheetId="17" hidden="1">#REF!</definedName>
    <definedName name="FDP_162_1_aUrv" localSheetId="7" hidden="1">#REF!</definedName>
    <definedName name="FDP_162_1_aUrv" localSheetId="3" hidden="1">#REF!</definedName>
    <definedName name="FDP_162_1_aUrv" localSheetId="21" hidden="1">#REF!</definedName>
    <definedName name="FDP_162_1_aUrv" hidden="1">#REF!</definedName>
    <definedName name="FDP_163_1_aSrv" localSheetId="0" hidden="1">#REF!</definedName>
    <definedName name="FDP_163_1_aSrv" localSheetId="27" hidden="1">#REF!</definedName>
    <definedName name="FDP_163_1_aSrv" localSheetId="19" hidden="1">#REF!</definedName>
    <definedName name="FDP_163_1_aSrv" localSheetId="1" hidden="1">#REF!</definedName>
    <definedName name="FDP_163_1_aSrv" localSheetId="8" hidden="1">#REF!</definedName>
    <definedName name="FDP_163_1_aSrv" localSheetId="6" hidden="1">#REF!</definedName>
    <definedName name="FDP_163_1_aSrv" localSheetId="17" hidden="1">#REF!</definedName>
    <definedName name="FDP_163_1_aSrv" localSheetId="7" hidden="1">#REF!</definedName>
    <definedName name="FDP_163_1_aSrv" localSheetId="3" hidden="1">#REF!</definedName>
    <definedName name="FDP_163_1_aSrv" localSheetId="21" hidden="1">#REF!</definedName>
    <definedName name="FDP_163_1_aSrv" hidden="1">#REF!</definedName>
    <definedName name="FDP_164_1_aUrv" localSheetId="0" hidden="1">#REF!</definedName>
    <definedName name="FDP_164_1_aUrv" localSheetId="27" hidden="1">#REF!</definedName>
    <definedName name="FDP_164_1_aUrv" localSheetId="19" hidden="1">#REF!</definedName>
    <definedName name="FDP_164_1_aUrv" localSheetId="1" hidden="1">#REF!</definedName>
    <definedName name="FDP_164_1_aUrv" localSheetId="8" hidden="1">#REF!</definedName>
    <definedName name="FDP_164_1_aUrv" localSheetId="6" hidden="1">#REF!</definedName>
    <definedName name="FDP_164_1_aUrv" localSheetId="17" hidden="1">#REF!</definedName>
    <definedName name="FDP_164_1_aUrv" localSheetId="7" hidden="1">#REF!</definedName>
    <definedName name="FDP_164_1_aUrv" localSheetId="3" hidden="1">#REF!</definedName>
    <definedName name="FDP_164_1_aUrv" localSheetId="21" hidden="1">#REF!</definedName>
    <definedName name="FDP_164_1_aUrv" hidden="1">#REF!</definedName>
    <definedName name="FDP_165_1_aSrv" localSheetId="0" hidden="1">#REF!</definedName>
    <definedName name="FDP_165_1_aSrv" localSheetId="27" hidden="1">#REF!</definedName>
    <definedName name="FDP_165_1_aSrv" localSheetId="19" hidden="1">#REF!</definedName>
    <definedName name="FDP_165_1_aSrv" localSheetId="1" hidden="1">#REF!</definedName>
    <definedName name="FDP_165_1_aSrv" localSheetId="8" hidden="1">#REF!</definedName>
    <definedName name="FDP_165_1_aSrv" localSheetId="6" hidden="1">#REF!</definedName>
    <definedName name="FDP_165_1_aSrv" localSheetId="17" hidden="1">#REF!</definedName>
    <definedName name="FDP_165_1_aSrv" localSheetId="7" hidden="1">#REF!</definedName>
    <definedName name="FDP_165_1_aSrv" localSheetId="3" hidden="1">#REF!</definedName>
    <definedName name="FDP_165_1_aSrv" localSheetId="21" hidden="1">#REF!</definedName>
    <definedName name="FDP_165_1_aSrv" hidden="1">#REF!</definedName>
    <definedName name="FDP_166_1_aDrv" localSheetId="0" hidden="1">#REF!</definedName>
    <definedName name="FDP_166_1_aDrv" localSheetId="27" hidden="1">#REF!</definedName>
    <definedName name="FDP_166_1_aDrv" localSheetId="19" hidden="1">#REF!</definedName>
    <definedName name="FDP_166_1_aDrv" localSheetId="1" hidden="1">#REF!</definedName>
    <definedName name="FDP_166_1_aDrv" localSheetId="8" hidden="1">#REF!</definedName>
    <definedName name="FDP_166_1_aDrv" localSheetId="6" hidden="1">#REF!</definedName>
    <definedName name="FDP_166_1_aDrv" localSheetId="17" hidden="1">#REF!</definedName>
    <definedName name="FDP_166_1_aDrv" localSheetId="7" hidden="1">#REF!</definedName>
    <definedName name="FDP_166_1_aDrv" localSheetId="3" hidden="1">#REF!</definedName>
    <definedName name="FDP_166_1_aDrv" localSheetId="21" hidden="1">#REF!</definedName>
    <definedName name="FDP_166_1_aDrv" hidden="1">#REF!</definedName>
    <definedName name="FDP_167_1_aDrv" localSheetId="0" hidden="1">#REF!</definedName>
    <definedName name="FDP_167_1_aDrv" localSheetId="27" hidden="1">#REF!</definedName>
    <definedName name="FDP_167_1_aDrv" localSheetId="19" hidden="1">#REF!</definedName>
    <definedName name="FDP_167_1_aDrv" localSheetId="1" hidden="1">#REF!</definedName>
    <definedName name="FDP_167_1_aDrv" localSheetId="8" hidden="1">#REF!</definedName>
    <definedName name="FDP_167_1_aDrv" localSheetId="6" hidden="1">#REF!</definedName>
    <definedName name="FDP_167_1_aDrv" localSheetId="17" hidden="1">#REF!</definedName>
    <definedName name="FDP_167_1_aDrv" localSheetId="7" hidden="1">#REF!</definedName>
    <definedName name="FDP_167_1_aDrv" localSheetId="3" hidden="1">#REF!</definedName>
    <definedName name="FDP_167_1_aDrv" localSheetId="21" hidden="1">#REF!</definedName>
    <definedName name="FDP_167_1_aDrv" hidden="1">#REF!</definedName>
    <definedName name="FDP_168_1_aDrv" localSheetId="0" hidden="1">#REF!</definedName>
    <definedName name="FDP_168_1_aDrv" localSheetId="27" hidden="1">#REF!</definedName>
    <definedName name="FDP_168_1_aDrv" localSheetId="19" hidden="1">#REF!</definedName>
    <definedName name="FDP_168_1_aDrv" localSheetId="1" hidden="1">#REF!</definedName>
    <definedName name="FDP_168_1_aDrv" localSheetId="8" hidden="1">#REF!</definedName>
    <definedName name="FDP_168_1_aDrv" localSheetId="6" hidden="1">#REF!</definedName>
    <definedName name="FDP_168_1_aDrv" localSheetId="17" hidden="1">#REF!</definedName>
    <definedName name="FDP_168_1_aDrv" localSheetId="7" hidden="1">#REF!</definedName>
    <definedName name="FDP_168_1_aDrv" localSheetId="3" hidden="1">#REF!</definedName>
    <definedName name="FDP_168_1_aDrv" localSheetId="21" hidden="1">#REF!</definedName>
    <definedName name="FDP_168_1_aDrv" hidden="1">#REF!</definedName>
    <definedName name="FDP_169_1_aDrv" localSheetId="0" hidden="1">#REF!</definedName>
    <definedName name="FDP_169_1_aDrv" localSheetId="27" hidden="1">#REF!</definedName>
    <definedName name="FDP_169_1_aDrv" localSheetId="19" hidden="1">#REF!</definedName>
    <definedName name="FDP_169_1_aDrv" localSheetId="1" hidden="1">#REF!</definedName>
    <definedName name="FDP_169_1_aDrv" localSheetId="8" hidden="1">#REF!</definedName>
    <definedName name="FDP_169_1_aDrv" localSheetId="6" hidden="1">#REF!</definedName>
    <definedName name="FDP_169_1_aDrv" localSheetId="17" hidden="1">#REF!</definedName>
    <definedName name="FDP_169_1_aDrv" localSheetId="7" hidden="1">#REF!</definedName>
    <definedName name="FDP_169_1_aDrv" localSheetId="3" hidden="1">#REF!</definedName>
    <definedName name="FDP_169_1_aDrv" localSheetId="21" hidden="1">#REF!</definedName>
    <definedName name="FDP_169_1_aDrv" hidden="1">#REF!</definedName>
    <definedName name="FDP_17_1_aUrv" localSheetId="0" hidden="1">#REF!</definedName>
    <definedName name="FDP_17_1_aUrv" localSheetId="27" hidden="1">#REF!</definedName>
    <definedName name="FDP_17_1_aUrv" localSheetId="19" hidden="1">#REF!</definedName>
    <definedName name="FDP_17_1_aUrv" localSheetId="1" hidden="1">#REF!</definedName>
    <definedName name="FDP_17_1_aUrv" localSheetId="8" hidden="1">#REF!</definedName>
    <definedName name="FDP_17_1_aUrv" localSheetId="6" hidden="1">#REF!</definedName>
    <definedName name="FDP_17_1_aUrv" localSheetId="17" hidden="1">#REF!</definedName>
    <definedName name="FDP_17_1_aUrv" localSheetId="7" hidden="1">#REF!</definedName>
    <definedName name="FDP_17_1_aUrv" localSheetId="3" hidden="1">#REF!</definedName>
    <definedName name="FDP_17_1_aUrv" localSheetId="21" hidden="1">#REF!</definedName>
    <definedName name="FDP_17_1_aUrv" hidden="1">#REF!</definedName>
    <definedName name="FDP_170_1_aDrv" localSheetId="0" hidden="1">#REF!</definedName>
    <definedName name="FDP_170_1_aDrv" localSheetId="27" hidden="1">#REF!</definedName>
    <definedName name="FDP_170_1_aDrv" localSheetId="19" hidden="1">#REF!</definedName>
    <definedName name="FDP_170_1_aDrv" localSheetId="1" hidden="1">#REF!</definedName>
    <definedName name="FDP_170_1_aDrv" localSheetId="8" hidden="1">#REF!</definedName>
    <definedName name="FDP_170_1_aDrv" localSheetId="6" hidden="1">#REF!</definedName>
    <definedName name="FDP_170_1_aDrv" localSheetId="17" hidden="1">#REF!</definedName>
    <definedName name="FDP_170_1_aDrv" localSheetId="7" hidden="1">#REF!</definedName>
    <definedName name="FDP_170_1_aDrv" localSheetId="3" hidden="1">#REF!</definedName>
    <definedName name="FDP_170_1_aDrv" localSheetId="21" hidden="1">#REF!</definedName>
    <definedName name="FDP_170_1_aDrv" hidden="1">#REF!</definedName>
    <definedName name="FDP_171_1_aDrv" localSheetId="0" hidden="1">#REF!</definedName>
    <definedName name="FDP_171_1_aDrv" localSheetId="27" hidden="1">#REF!</definedName>
    <definedName name="FDP_171_1_aDrv" localSheetId="19" hidden="1">#REF!</definedName>
    <definedName name="FDP_171_1_aDrv" localSheetId="1" hidden="1">#REF!</definedName>
    <definedName name="FDP_171_1_aDrv" localSheetId="8" hidden="1">#REF!</definedName>
    <definedName name="FDP_171_1_aDrv" localSheetId="6" hidden="1">#REF!</definedName>
    <definedName name="FDP_171_1_aDrv" localSheetId="17" hidden="1">#REF!</definedName>
    <definedName name="FDP_171_1_aDrv" localSheetId="7" hidden="1">#REF!</definedName>
    <definedName name="FDP_171_1_aDrv" localSheetId="3" hidden="1">#REF!</definedName>
    <definedName name="FDP_171_1_aDrv" localSheetId="21" hidden="1">#REF!</definedName>
    <definedName name="FDP_171_1_aDrv" hidden="1">#REF!</definedName>
    <definedName name="FDP_172_1_aDrv" localSheetId="0" hidden="1">#REF!</definedName>
    <definedName name="FDP_172_1_aDrv" localSheetId="27" hidden="1">#REF!</definedName>
    <definedName name="FDP_172_1_aDrv" localSheetId="19" hidden="1">#REF!</definedName>
    <definedName name="FDP_172_1_aDrv" localSheetId="1" hidden="1">#REF!</definedName>
    <definedName name="FDP_172_1_aDrv" localSheetId="8" hidden="1">#REF!</definedName>
    <definedName name="FDP_172_1_aDrv" localSheetId="6" hidden="1">#REF!</definedName>
    <definedName name="FDP_172_1_aDrv" localSheetId="17" hidden="1">#REF!</definedName>
    <definedName name="FDP_172_1_aDrv" localSheetId="7" hidden="1">#REF!</definedName>
    <definedName name="FDP_172_1_aDrv" localSheetId="3" hidden="1">#REF!</definedName>
    <definedName name="FDP_172_1_aDrv" localSheetId="21" hidden="1">#REF!</definedName>
    <definedName name="FDP_172_1_aDrv" hidden="1">#REF!</definedName>
    <definedName name="FDP_173_1_aDrv" localSheetId="0" hidden="1">#REF!</definedName>
    <definedName name="FDP_173_1_aDrv" localSheetId="27" hidden="1">#REF!</definedName>
    <definedName name="FDP_173_1_aDrv" localSheetId="19" hidden="1">#REF!</definedName>
    <definedName name="FDP_173_1_aDrv" localSheetId="1" hidden="1">#REF!</definedName>
    <definedName name="FDP_173_1_aDrv" localSheetId="8" hidden="1">#REF!</definedName>
    <definedName name="FDP_173_1_aDrv" localSheetId="6" hidden="1">#REF!</definedName>
    <definedName name="FDP_173_1_aDrv" localSheetId="17" hidden="1">#REF!</definedName>
    <definedName name="FDP_173_1_aDrv" localSheetId="7" hidden="1">#REF!</definedName>
    <definedName name="FDP_173_1_aDrv" localSheetId="3" hidden="1">#REF!</definedName>
    <definedName name="FDP_173_1_aDrv" localSheetId="21" hidden="1">#REF!</definedName>
    <definedName name="FDP_173_1_aDrv" hidden="1">#REF!</definedName>
    <definedName name="FDP_174_1_aDrv" localSheetId="0" hidden="1">#REF!</definedName>
    <definedName name="FDP_174_1_aDrv" localSheetId="27" hidden="1">#REF!</definedName>
    <definedName name="FDP_174_1_aDrv" localSheetId="19" hidden="1">#REF!</definedName>
    <definedName name="FDP_174_1_aDrv" localSheetId="1" hidden="1">#REF!</definedName>
    <definedName name="FDP_174_1_aDrv" localSheetId="8" hidden="1">#REF!</definedName>
    <definedName name="FDP_174_1_aDrv" localSheetId="6" hidden="1">#REF!</definedName>
    <definedName name="FDP_174_1_aDrv" localSheetId="17" hidden="1">#REF!</definedName>
    <definedName name="FDP_174_1_aDrv" localSheetId="7" hidden="1">#REF!</definedName>
    <definedName name="FDP_174_1_aDrv" localSheetId="3" hidden="1">#REF!</definedName>
    <definedName name="FDP_174_1_aDrv" localSheetId="21" hidden="1">#REF!</definedName>
    <definedName name="FDP_174_1_aDrv" hidden="1">#REF!</definedName>
    <definedName name="FDP_175_1_aDrv" localSheetId="0" hidden="1">#REF!</definedName>
    <definedName name="FDP_175_1_aDrv" localSheetId="27" hidden="1">#REF!</definedName>
    <definedName name="FDP_175_1_aDrv" localSheetId="19" hidden="1">#REF!</definedName>
    <definedName name="FDP_175_1_aDrv" localSheetId="1" hidden="1">#REF!</definedName>
    <definedName name="FDP_175_1_aDrv" localSheetId="8" hidden="1">#REF!</definedName>
    <definedName name="FDP_175_1_aDrv" localSheetId="6" hidden="1">#REF!</definedName>
    <definedName name="FDP_175_1_aDrv" localSheetId="17" hidden="1">#REF!</definedName>
    <definedName name="FDP_175_1_aDrv" localSheetId="7" hidden="1">#REF!</definedName>
    <definedName name="FDP_175_1_aDrv" localSheetId="3" hidden="1">#REF!</definedName>
    <definedName name="FDP_175_1_aDrv" localSheetId="21" hidden="1">#REF!</definedName>
    <definedName name="FDP_175_1_aDrv" hidden="1">#REF!</definedName>
    <definedName name="FDP_176_1_aDrv" localSheetId="0" hidden="1">#REF!</definedName>
    <definedName name="FDP_176_1_aDrv" localSheetId="27" hidden="1">#REF!</definedName>
    <definedName name="FDP_176_1_aDrv" localSheetId="19" hidden="1">#REF!</definedName>
    <definedName name="FDP_176_1_aDrv" localSheetId="1" hidden="1">#REF!</definedName>
    <definedName name="FDP_176_1_aDrv" localSheetId="8" hidden="1">#REF!</definedName>
    <definedName name="FDP_176_1_aDrv" localSheetId="6" hidden="1">#REF!</definedName>
    <definedName name="FDP_176_1_aDrv" localSheetId="17" hidden="1">#REF!</definedName>
    <definedName name="FDP_176_1_aDrv" localSheetId="7" hidden="1">#REF!</definedName>
    <definedName name="FDP_176_1_aDrv" localSheetId="3" hidden="1">#REF!</definedName>
    <definedName name="FDP_176_1_aDrv" localSheetId="21" hidden="1">#REF!</definedName>
    <definedName name="FDP_176_1_aDrv" hidden="1">#REF!</definedName>
    <definedName name="FDP_177_1_aDrv" localSheetId="0" hidden="1">#REF!</definedName>
    <definedName name="FDP_177_1_aDrv" localSheetId="27" hidden="1">#REF!</definedName>
    <definedName name="FDP_177_1_aDrv" localSheetId="19" hidden="1">#REF!</definedName>
    <definedName name="FDP_177_1_aDrv" localSheetId="1" hidden="1">#REF!</definedName>
    <definedName name="FDP_177_1_aDrv" localSheetId="8" hidden="1">#REF!</definedName>
    <definedName name="FDP_177_1_aDrv" localSheetId="6" hidden="1">#REF!</definedName>
    <definedName name="FDP_177_1_aDrv" localSheetId="17" hidden="1">#REF!</definedName>
    <definedName name="FDP_177_1_aDrv" localSheetId="7" hidden="1">#REF!</definedName>
    <definedName name="FDP_177_1_aDrv" localSheetId="3" hidden="1">#REF!</definedName>
    <definedName name="FDP_177_1_aDrv" localSheetId="21" hidden="1">#REF!</definedName>
    <definedName name="FDP_177_1_aDrv" hidden="1">#REF!</definedName>
    <definedName name="FDP_178_1_aDrv" localSheetId="0" hidden="1">#REF!</definedName>
    <definedName name="FDP_178_1_aDrv" localSheetId="27" hidden="1">#REF!</definedName>
    <definedName name="FDP_178_1_aDrv" localSheetId="19" hidden="1">#REF!</definedName>
    <definedName name="FDP_178_1_aDrv" localSheetId="1" hidden="1">#REF!</definedName>
    <definedName name="FDP_178_1_aDrv" localSheetId="8" hidden="1">#REF!</definedName>
    <definedName name="FDP_178_1_aDrv" localSheetId="6" hidden="1">#REF!</definedName>
    <definedName name="FDP_178_1_aDrv" localSheetId="17" hidden="1">#REF!</definedName>
    <definedName name="FDP_178_1_aDrv" localSheetId="7" hidden="1">#REF!</definedName>
    <definedName name="FDP_178_1_aDrv" localSheetId="3" hidden="1">#REF!</definedName>
    <definedName name="FDP_178_1_aDrv" localSheetId="21" hidden="1">#REF!</definedName>
    <definedName name="FDP_178_1_aDrv" hidden="1">#REF!</definedName>
    <definedName name="FDP_179_1_aUrv" localSheetId="0" hidden="1">#REF!</definedName>
    <definedName name="FDP_179_1_aUrv" localSheetId="27" hidden="1">#REF!</definedName>
    <definedName name="FDP_179_1_aUrv" localSheetId="19" hidden="1">#REF!</definedName>
    <definedName name="FDP_179_1_aUrv" localSheetId="1" hidden="1">#REF!</definedName>
    <definedName name="FDP_179_1_aUrv" localSheetId="8" hidden="1">#REF!</definedName>
    <definedName name="FDP_179_1_aUrv" localSheetId="6" hidden="1">#REF!</definedName>
    <definedName name="FDP_179_1_aUrv" localSheetId="17" hidden="1">#REF!</definedName>
    <definedName name="FDP_179_1_aUrv" localSheetId="7" hidden="1">#REF!</definedName>
    <definedName name="FDP_179_1_aUrv" localSheetId="3" hidden="1">#REF!</definedName>
    <definedName name="FDP_179_1_aUrv" localSheetId="21" hidden="1">#REF!</definedName>
    <definedName name="FDP_179_1_aUrv" hidden="1">#REF!</definedName>
    <definedName name="FDP_18_1_aUrv" localSheetId="0" hidden="1">#REF!</definedName>
    <definedName name="FDP_18_1_aUrv" localSheetId="27" hidden="1">#REF!</definedName>
    <definedName name="FDP_18_1_aUrv" localSheetId="19" hidden="1">#REF!</definedName>
    <definedName name="FDP_18_1_aUrv" localSheetId="1" hidden="1">#REF!</definedName>
    <definedName name="FDP_18_1_aUrv" localSheetId="8" hidden="1">#REF!</definedName>
    <definedName name="FDP_18_1_aUrv" localSheetId="6" hidden="1">#REF!</definedName>
    <definedName name="FDP_18_1_aUrv" localSheetId="17" hidden="1">#REF!</definedName>
    <definedName name="FDP_18_1_aUrv" localSheetId="7" hidden="1">#REF!</definedName>
    <definedName name="FDP_18_1_aUrv" localSheetId="3" hidden="1">#REF!</definedName>
    <definedName name="FDP_18_1_aUrv" localSheetId="21" hidden="1">#REF!</definedName>
    <definedName name="FDP_18_1_aUrv" hidden="1">#REF!</definedName>
    <definedName name="FDP_180_1_aUrv" localSheetId="0" hidden="1">#REF!</definedName>
    <definedName name="FDP_180_1_aUrv" localSheetId="27" hidden="1">#REF!</definedName>
    <definedName name="FDP_180_1_aUrv" localSheetId="19" hidden="1">#REF!</definedName>
    <definedName name="FDP_180_1_aUrv" localSheetId="1" hidden="1">#REF!</definedName>
    <definedName name="FDP_180_1_aUrv" localSheetId="8" hidden="1">#REF!</definedName>
    <definedName name="FDP_180_1_aUrv" localSheetId="6" hidden="1">#REF!</definedName>
    <definedName name="FDP_180_1_aUrv" localSheetId="17" hidden="1">#REF!</definedName>
    <definedName name="FDP_180_1_aUrv" localSheetId="7" hidden="1">#REF!</definedName>
    <definedName name="FDP_180_1_aUrv" localSheetId="3" hidden="1">#REF!</definedName>
    <definedName name="FDP_180_1_aUrv" localSheetId="21" hidden="1">#REF!</definedName>
    <definedName name="FDP_180_1_aUrv" hidden="1">#REF!</definedName>
    <definedName name="FDP_181_1_aUrv" localSheetId="0" hidden="1">#REF!</definedName>
    <definedName name="FDP_181_1_aUrv" localSheetId="27" hidden="1">#REF!</definedName>
    <definedName name="FDP_181_1_aUrv" localSheetId="19" hidden="1">#REF!</definedName>
    <definedName name="FDP_181_1_aUrv" localSheetId="1" hidden="1">#REF!</definedName>
    <definedName name="FDP_181_1_aUrv" localSheetId="8" hidden="1">#REF!</definedName>
    <definedName name="FDP_181_1_aUrv" localSheetId="6" hidden="1">#REF!</definedName>
    <definedName name="FDP_181_1_aUrv" localSheetId="17" hidden="1">#REF!</definedName>
    <definedName name="FDP_181_1_aUrv" localSheetId="7" hidden="1">#REF!</definedName>
    <definedName name="FDP_181_1_aUrv" localSheetId="3" hidden="1">#REF!</definedName>
    <definedName name="FDP_181_1_aUrv" localSheetId="21" hidden="1">#REF!</definedName>
    <definedName name="FDP_181_1_aUrv" hidden="1">#REF!</definedName>
    <definedName name="FDP_182_1_aDrv" localSheetId="0" hidden="1">#REF!</definedName>
    <definedName name="FDP_182_1_aDrv" localSheetId="27" hidden="1">#REF!</definedName>
    <definedName name="FDP_182_1_aDrv" localSheetId="19" hidden="1">#REF!</definedName>
    <definedName name="FDP_182_1_aDrv" localSheetId="1" hidden="1">#REF!</definedName>
    <definedName name="FDP_182_1_aDrv" localSheetId="8" hidden="1">#REF!</definedName>
    <definedName name="FDP_182_1_aDrv" localSheetId="6" hidden="1">#REF!</definedName>
    <definedName name="FDP_182_1_aDrv" localSheetId="17" hidden="1">#REF!</definedName>
    <definedName name="FDP_182_1_aDrv" localSheetId="7" hidden="1">#REF!</definedName>
    <definedName name="FDP_182_1_aDrv" localSheetId="3" hidden="1">#REF!</definedName>
    <definedName name="FDP_182_1_aDrv" localSheetId="21" hidden="1">#REF!</definedName>
    <definedName name="FDP_182_1_aDrv" hidden="1">#REF!</definedName>
    <definedName name="FDP_183_1_aDrv" localSheetId="0" hidden="1">#REF!</definedName>
    <definedName name="FDP_183_1_aDrv" localSheetId="27" hidden="1">#REF!</definedName>
    <definedName name="FDP_183_1_aDrv" localSheetId="19" hidden="1">#REF!</definedName>
    <definedName name="FDP_183_1_aDrv" localSheetId="1" hidden="1">#REF!</definedName>
    <definedName name="FDP_183_1_aDrv" localSheetId="8" hidden="1">#REF!</definedName>
    <definedName name="FDP_183_1_aDrv" localSheetId="6" hidden="1">#REF!</definedName>
    <definedName name="FDP_183_1_aDrv" localSheetId="17" hidden="1">#REF!</definedName>
    <definedName name="FDP_183_1_aDrv" localSheetId="7" hidden="1">#REF!</definedName>
    <definedName name="FDP_183_1_aDrv" localSheetId="3" hidden="1">#REF!</definedName>
    <definedName name="FDP_183_1_aDrv" localSheetId="21" hidden="1">#REF!</definedName>
    <definedName name="FDP_183_1_aDrv" hidden="1">#REF!</definedName>
    <definedName name="FDP_184_1_aUdv" localSheetId="0" hidden="1">#REF!</definedName>
    <definedName name="FDP_184_1_aUdv" localSheetId="27" hidden="1">#REF!</definedName>
    <definedName name="FDP_184_1_aUdv" localSheetId="19" hidden="1">#REF!</definedName>
    <definedName name="FDP_184_1_aUdv" localSheetId="1" hidden="1">#REF!</definedName>
    <definedName name="FDP_184_1_aUdv" localSheetId="8" hidden="1">#REF!</definedName>
    <definedName name="FDP_184_1_aUdv" localSheetId="6" hidden="1">#REF!</definedName>
    <definedName name="FDP_184_1_aUdv" localSheetId="17" hidden="1">#REF!</definedName>
    <definedName name="FDP_184_1_aUdv" localSheetId="7" hidden="1">#REF!</definedName>
    <definedName name="FDP_184_1_aUdv" localSheetId="3" hidden="1">#REF!</definedName>
    <definedName name="FDP_184_1_aUdv" localSheetId="21" hidden="1">#REF!</definedName>
    <definedName name="FDP_184_1_aUdv" hidden="1">#REF!</definedName>
    <definedName name="FDP_185_1_aUdv" localSheetId="0" hidden="1">#REF!</definedName>
    <definedName name="FDP_185_1_aUdv" localSheetId="27" hidden="1">#REF!</definedName>
    <definedName name="FDP_185_1_aUdv" localSheetId="19" hidden="1">#REF!</definedName>
    <definedName name="FDP_185_1_aUdv" localSheetId="1" hidden="1">#REF!</definedName>
    <definedName name="FDP_185_1_aUdv" localSheetId="8" hidden="1">#REF!</definedName>
    <definedName name="FDP_185_1_aUdv" localSheetId="6" hidden="1">#REF!</definedName>
    <definedName name="FDP_185_1_aUdv" localSheetId="17" hidden="1">#REF!</definedName>
    <definedName name="FDP_185_1_aUdv" localSheetId="7" hidden="1">#REF!</definedName>
    <definedName name="FDP_185_1_aUdv" localSheetId="3" hidden="1">#REF!</definedName>
    <definedName name="FDP_185_1_aUdv" localSheetId="21" hidden="1">#REF!</definedName>
    <definedName name="FDP_185_1_aUdv" hidden="1">#REF!</definedName>
    <definedName name="FDP_186_1_aUdv" localSheetId="0" hidden="1">#REF!</definedName>
    <definedName name="FDP_186_1_aUdv" localSheetId="27" hidden="1">#REF!</definedName>
    <definedName name="FDP_186_1_aUdv" localSheetId="19" hidden="1">#REF!</definedName>
    <definedName name="FDP_186_1_aUdv" localSheetId="1" hidden="1">#REF!</definedName>
    <definedName name="FDP_186_1_aUdv" localSheetId="8" hidden="1">#REF!</definedName>
    <definedName name="FDP_186_1_aUdv" localSheetId="6" hidden="1">#REF!</definedName>
    <definedName name="FDP_186_1_aUdv" localSheetId="17" hidden="1">#REF!</definedName>
    <definedName name="FDP_186_1_aUdv" localSheetId="7" hidden="1">#REF!</definedName>
    <definedName name="FDP_186_1_aUdv" localSheetId="3" hidden="1">#REF!</definedName>
    <definedName name="FDP_186_1_aUdv" localSheetId="21" hidden="1">#REF!</definedName>
    <definedName name="FDP_186_1_aUdv" hidden="1">#REF!</definedName>
    <definedName name="FDP_187_1_aUdv" localSheetId="0" hidden="1">#REF!</definedName>
    <definedName name="FDP_187_1_aUdv" localSheetId="27" hidden="1">#REF!</definedName>
    <definedName name="FDP_187_1_aUdv" localSheetId="19" hidden="1">#REF!</definedName>
    <definedName name="FDP_187_1_aUdv" localSheetId="1" hidden="1">#REF!</definedName>
    <definedName name="FDP_187_1_aUdv" localSheetId="8" hidden="1">#REF!</definedName>
    <definedName name="FDP_187_1_aUdv" localSheetId="6" hidden="1">#REF!</definedName>
    <definedName name="FDP_187_1_aUdv" localSheetId="17" hidden="1">#REF!</definedName>
    <definedName name="FDP_187_1_aUdv" localSheetId="7" hidden="1">#REF!</definedName>
    <definedName name="FDP_187_1_aUdv" localSheetId="3" hidden="1">#REF!</definedName>
    <definedName name="FDP_187_1_aUdv" localSheetId="21" hidden="1">#REF!</definedName>
    <definedName name="FDP_187_1_aUdv" hidden="1">#REF!</definedName>
    <definedName name="FDP_188_1_aUdv" localSheetId="0" hidden="1">#REF!</definedName>
    <definedName name="FDP_188_1_aUdv" localSheetId="27" hidden="1">#REF!</definedName>
    <definedName name="FDP_188_1_aUdv" localSheetId="19" hidden="1">#REF!</definedName>
    <definedName name="FDP_188_1_aUdv" localSheetId="1" hidden="1">#REF!</definedName>
    <definedName name="FDP_188_1_aUdv" localSheetId="8" hidden="1">#REF!</definedName>
    <definedName name="FDP_188_1_aUdv" localSheetId="6" hidden="1">#REF!</definedName>
    <definedName name="FDP_188_1_aUdv" localSheetId="17" hidden="1">#REF!</definedName>
    <definedName name="FDP_188_1_aUdv" localSheetId="7" hidden="1">#REF!</definedName>
    <definedName name="FDP_188_1_aUdv" localSheetId="3" hidden="1">#REF!</definedName>
    <definedName name="FDP_188_1_aUdv" localSheetId="21" hidden="1">#REF!</definedName>
    <definedName name="FDP_188_1_aUdv" hidden="1">#REF!</definedName>
    <definedName name="FDP_189_1_aUdv" localSheetId="0" hidden="1">#REF!</definedName>
    <definedName name="FDP_189_1_aUdv" localSheetId="27" hidden="1">#REF!</definedName>
    <definedName name="FDP_189_1_aUdv" localSheetId="19" hidden="1">#REF!</definedName>
    <definedName name="FDP_189_1_aUdv" localSheetId="1" hidden="1">#REF!</definedName>
    <definedName name="FDP_189_1_aUdv" localSheetId="8" hidden="1">#REF!</definedName>
    <definedName name="FDP_189_1_aUdv" localSheetId="6" hidden="1">#REF!</definedName>
    <definedName name="FDP_189_1_aUdv" localSheetId="17" hidden="1">#REF!</definedName>
    <definedName name="FDP_189_1_aUdv" localSheetId="7" hidden="1">#REF!</definedName>
    <definedName name="FDP_189_1_aUdv" localSheetId="3" hidden="1">#REF!</definedName>
    <definedName name="FDP_189_1_aUdv" localSheetId="21" hidden="1">#REF!</definedName>
    <definedName name="FDP_189_1_aUdv" hidden="1">#REF!</definedName>
    <definedName name="FDP_19_1_aDrv" localSheetId="0" hidden="1">#REF!</definedName>
    <definedName name="FDP_19_1_aDrv" localSheetId="27" hidden="1">#REF!</definedName>
    <definedName name="FDP_19_1_aDrv" localSheetId="19" hidden="1">#REF!</definedName>
    <definedName name="FDP_19_1_aDrv" localSheetId="1" hidden="1">#REF!</definedName>
    <definedName name="FDP_19_1_aDrv" localSheetId="8" hidden="1">#REF!</definedName>
    <definedName name="FDP_19_1_aDrv" localSheetId="6" hidden="1">#REF!</definedName>
    <definedName name="FDP_19_1_aDrv" localSheetId="17" hidden="1">#REF!</definedName>
    <definedName name="FDP_19_1_aDrv" localSheetId="7" hidden="1">#REF!</definedName>
    <definedName name="FDP_19_1_aDrv" localSheetId="3" hidden="1">#REF!</definedName>
    <definedName name="FDP_19_1_aDrv" localSheetId="21" hidden="1">#REF!</definedName>
    <definedName name="FDP_19_1_aDrv" hidden="1">#REF!</definedName>
    <definedName name="FDP_190_1_aUdv" localSheetId="0" hidden="1">#REF!</definedName>
    <definedName name="FDP_190_1_aUdv" localSheetId="27" hidden="1">#REF!</definedName>
    <definedName name="FDP_190_1_aUdv" localSheetId="19" hidden="1">#REF!</definedName>
    <definedName name="FDP_190_1_aUdv" localSheetId="1" hidden="1">#REF!</definedName>
    <definedName name="FDP_190_1_aUdv" localSheetId="8" hidden="1">#REF!</definedName>
    <definedName name="FDP_190_1_aUdv" localSheetId="6" hidden="1">#REF!</definedName>
    <definedName name="FDP_190_1_aUdv" localSheetId="17" hidden="1">#REF!</definedName>
    <definedName name="FDP_190_1_aUdv" localSheetId="7" hidden="1">#REF!</definedName>
    <definedName name="FDP_190_1_aUdv" localSheetId="3" hidden="1">#REF!</definedName>
    <definedName name="FDP_190_1_aUdv" localSheetId="21" hidden="1">#REF!</definedName>
    <definedName name="FDP_190_1_aUdv" hidden="1">#REF!</definedName>
    <definedName name="FDP_191_1_aUdv" localSheetId="0" hidden="1">#REF!</definedName>
    <definedName name="FDP_191_1_aUdv" localSheetId="27" hidden="1">#REF!</definedName>
    <definedName name="FDP_191_1_aUdv" localSheetId="19" hidden="1">#REF!</definedName>
    <definedName name="FDP_191_1_aUdv" localSheetId="1" hidden="1">#REF!</definedName>
    <definedName name="FDP_191_1_aUdv" localSheetId="8" hidden="1">#REF!</definedName>
    <definedName name="FDP_191_1_aUdv" localSheetId="6" hidden="1">#REF!</definedName>
    <definedName name="FDP_191_1_aUdv" localSheetId="17" hidden="1">#REF!</definedName>
    <definedName name="FDP_191_1_aUdv" localSheetId="7" hidden="1">#REF!</definedName>
    <definedName name="FDP_191_1_aUdv" localSheetId="3" hidden="1">#REF!</definedName>
    <definedName name="FDP_191_1_aUdv" localSheetId="21" hidden="1">#REF!</definedName>
    <definedName name="FDP_191_1_aUdv" hidden="1">#REF!</definedName>
    <definedName name="FDP_192_1_aUdv" localSheetId="0" hidden="1">#REF!</definedName>
    <definedName name="FDP_192_1_aUdv" localSheetId="27" hidden="1">#REF!</definedName>
    <definedName name="FDP_192_1_aUdv" localSheetId="19" hidden="1">#REF!</definedName>
    <definedName name="FDP_192_1_aUdv" localSheetId="1" hidden="1">#REF!</definedName>
    <definedName name="FDP_192_1_aUdv" localSheetId="8" hidden="1">#REF!</definedName>
    <definedName name="FDP_192_1_aUdv" localSheetId="6" hidden="1">#REF!</definedName>
    <definedName name="FDP_192_1_aUdv" localSheetId="17" hidden="1">#REF!</definedName>
    <definedName name="FDP_192_1_aUdv" localSheetId="7" hidden="1">#REF!</definedName>
    <definedName name="FDP_192_1_aUdv" localSheetId="3" hidden="1">#REF!</definedName>
    <definedName name="FDP_192_1_aUdv" localSheetId="21" hidden="1">#REF!</definedName>
    <definedName name="FDP_192_1_aUdv" hidden="1">#REF!</definedName>
    <definedName name="FDP_193_1_aUdv" localSheetId="0" hidden="1">#REF!</definedName>
    <definedName name="FDP_193_1_aUdv" localSheetId="27" hidden="1">#REF!</definedName>
    <definedName name="FDP_193_1_aUdv" localSheetId="19" hidden="1">#REF!</definedName>
    <definedName name="FDP_193_1_aUdv" localSheetId="1" hidden="1">#REF!</definedName>
    <definedName name="FDP_193_1_aUdv" localSheetId="8" hidden="1">#REF!</definedName>
    <definedName name="FDP_193_1_aUdv" localSheetId="6" hidden="1">#REF!</definedName>
    <definedName name="FDP_193_1_aUdv" localSheetId="17" hidden="1">#REF!</definedName>
    <definedName name="FDP_193_1_aUdv" localSheetId="7" hidden="1">#REF!</definedName>
    <definedName name="FDP_193_1_aUdv" localSheetId="3" hidden="1">#REF!</definedName>
    <definedName name="FDP_193_1_aUdv" localSheetId="21" hidden="1">#REF!</definedName>
    <definedName name="FDP_193_1_aUdv" hidden="1">#REF!</definedName>
    <definedName name="FDP_194_1_aUdv" localSheetId="0" hidden="1">#REF!</definedName>
    <definedName name="FDP_194_1_aUdv" localSheetId="27" hidden="1">#REF!</definedName>
    <definedName name="FDP_194_1_aUdv" localSheetId="19" hidden="1">#REF!</definedName>
    <definedName name="FDP_194_1_aUdv" localSheetId="1" hidden="1">#REF!</definedName>
    <definedName name="FDP_194_1_aUdv" localSheetId="8" hidden="1">#REF!</definedName>
    <definedName name="FDP_194_1_aUdv" localSheetId="6" hidden="1">#REF!</definedName>
    <definedName name="FDP_194_1_aUdv" localSheetId="17" hidden="1">#REF!</definedName>
    <definedName name="FDP_194_1_aUdv" localSheetId="7" hidden="1">#REF!</definedName>
    <definedName name="FDP_194_1_aUdv" localSheetId="3" hidden="1">#REF!</definedName>
    <definedName name="FDP_194_1_aUdv" localSheetId="21" hidden="1">#REF!</definedName>
    <definedName name="FDP_194_1_aUdv" hidden="1">#REF!</definedName>
    <definedName name="FDP_195_1_aUdv" localSheetId="0" hidden="1">#REF!</definedName>
    <definedName name="FDP_195_1_aUdv" localSheetId="27" hidden="1">#REF!</definedName>
    <definedName name="FDP_195_1_aUdv" localSheetId="19" hidden="1">#REF!</definedName>
    <definedName name="FDP_195_1_aUdv" localSheetId="1" hidden="1">#REF!</definedName>
    <definedName name="FDP_195_1_aUdv" localSheetId="8" hidden="1">#REF!</definedName>
    <definedName name="FDP_195_1_aUdv" localSheetId="6" hidden="1">#REF!</definedName>
    <definedName name="FDP_195_1_aUdv" localSheetId="17" hidden="1">#REF!</definedName>
    <definedName name="FDP_195_1_aUdv" localSheetId="7" hidden="1">#REF!</definedName>
    <definedName name="FDP_195_1_aUdv" localSheetId="3" hidden="1">#REF!</definedName>
    <definedName name="FDP_195_1_aUdv" localSheetId="21" hidden="1">#REF!</definedName>
    <definedName name="FDP_195_1_aUdv" hidden="1">#REF!</definedName>
    <definedName name="FDP_196_1_aUdv" localSheetId="0" hidden="1">#REF!</definedName>
    <definedName name="FDP_196_1_aUdv" localSheetId="27" hidden="1">#REF!</definedName>
    <definedName name="FDP_196_1_aUdv" localSheetId="19" hidden="1">#REF!</definedName>
    <definedName name="FDP_196_1_aUdv" localSheetId="1" hidden="1">#REF!</definedName>
    <definedName name="FDP_196_1_aUdv" localSheetId="8" hidden="1">#REF!</definedName>
    <definedName name="FDP_196_1_aUdv" localSheetId="6" hidden="1">#REF!</definedName>
    <definedName name="FDP_196_1_aUdv" localSheetId="17" hidden="1">#REF!</definedName>
    <definedName name="FDP_196_1_aUdv" localSheetId="7" hidden="1">#REF!</definedName>
    <definedName name="FDP_196_1_aUdv" localSheetId="3" hidden="1">#REF!</definedName>
    <definedName name="FDP_196_1_aUdv" localSheetId="21" hidden="1">#REF!</definedName>
    <definedName name="FDP_196_1_aUdv" hidden="1">#REF!</definedName>
    <definedName name="FDP_197_1_aUdv" localSheetId="0" hidden="1">#REF!</definedName>
    <definedName name="FDP_197_1_aUdv" localSheetId="27" hidden="1">#REF!</definedName>
    <definedName name="FDP_197_1_aUdv" localSheetId="19" hidden="1">#REF!</definedName>
    <definedName name="FDP_197_1_aUdv" localSheetId="1" hidden="1">#REF!</definedName>
    <definedName name="FDP_197_1_aUdv" localSheetId="8" hidden="1">#REF!</definedName>
    <definedName name="FDP_197_1_aUdv" localSheetId="6" hidden="1">#REF!</definedName>
    <definedName name="FDP_197_1_aUdv" localSheetId="17" hidden="1">#REF!</definedName>
    <definedName name="FDP_197_1_aUdv" localSheetId="7" hidden="1">#REF!</definedName>
    <definedName name="FDP_197_1_aUdv" localSheetId="3" hidden="1">#REF!</definedName>
    <definedName name="FDP_197_1_aUdv" localSheetId="21" hidden="1">#REF!</definedName>
    <definedName name="FDP_197_1_aUdv" hidden="1">#REF!</definedName>
    <definedName name="FDP_198_1_aUdv" localSheetId="0" hidden="1">#REF!</definedName>
    <definedName name="FDP_198_1_aUdv" localSheetId="27" hidden="1">#REF!</definedName>
    <definedName name="FDP_198_1_aUdv" localSheetId="19" hidden="1">#REF!</definedName>
    <definedName name="FDP_198_1_aUdv" localSheetId="1" hidden="1">#REF!</definedName>
    <definedName name="FDP_198_1_aUdv" localSheetId="8" hidden="1">#REF!</definedName>
    <definedName name="FDP_198_1_aUdv" localSheetId="6" hidden="1">#REF!</definedName>
    <definedName name="FDP_198_1_aUdv" localSheetId="17" hidden="1">#REF!</definedName>
    <definedName name="FDP_198_1_aUdv" localSheetId="7" hidden="1">#REF!</definedName>
    <definedName name="FDP_198_1_aUdv" localSheetId="3" hidden="1">#REF!</definedName>
    <definedName name="FDP_198_1_aUdv" localSheetId="21" hidden="1">#REF!</definedName>
    <definedName name="FDP_198_1_aUdv" hidden="1">#REF!</definedName>
    <definedName name="FDP_199_1_aUdv" localSheetId="0" hidden="1">#REF!</definedName>
    <definedName name="FDP_199_1_aUdv" localSheetId="27" hidden="1">#REF!</definedName>
    <definedName name="FDP_199_1_aUdv" localSheetId="19" hidden="1">#REF!</definedName>
    <definedName name="FDP_199_1_aUdv" localSheetId="1" hidden="1">#REF!</definedName>
    <definedName name="FDP_199_1_aUdv" localSheetId="8" hidden="1">#REF!</definedName>
    <definedName name="FDP_199_1_aUdv" localSheetId="6" hidden="1">#REF!</definedName>
    <definedName name="FDP_199_1_aUdv" localSheetId="17" hidden="1">#REF!</definedName>
    <definedName name="FDP_199_1_aUdv" localSheetId="7" hidden="1">#REF!</definedName>
    <definedName name="FDP_199_1_aUdv" localSheetId="3" hidden="1">#REF!</definedName>
    <definedName name="FDP_199_1_aUdv" localSheetId="21" hidden="1">#REF!</definedName>
    <definedName name="FDP_199_1_aUdv" hidden="1">#REF!</definedName>
    <definedName name="FDP_2_1_aUrv" localSheetId="0" hidden="1">#REF!</definedName>
    <definedName name="FDP_2_1_aUrv" localSheetId="27" hidden="1">#REF!</definedName>
    <definedName name="FDP_2_1_aUrv" localSheetId="19" hidden="1">#REF!</definedName>
    <definedName name="FDP_2_1_aUrv" localSheetId="1" hidden="1">#REF!</definedName>
    <definedName name="FDP_2_1_aUrv" localSheetId="8" hidden="1">#REF!</definedName>
    <definedName name="FDP_2_1_aUrv" localSheetId="6" hidden="1">#REF!</definedName>
    <definedName name="FDP_2_1_aUrv" localSheetId="17" hidden="1">#REF!</definedName>
    <definedName name="FDP_2_1_aUrv" localSheetId="7" hidden="1">#REF!</definedName>
    <definedName name="FDP_2_1_aUrv" localSheetId="3" hidden="1">#REF!</definedName>
    <definedName name="FDP_2_1_aUrv" localSheetId="21" hidden="1">#REF!</definedName>
    <definedName name="FDP_2_1_aUrv" hidden="1">#REF!</definedName>
    <definedName name="FDP_20_1_aDrv" localSheetId="0" hidden="1">#REF!</definedName>
    <definedName name="FDP_20_1_aDrv" localSheetId="27" hidden="1">#REF!</definedName>
    <definedName name="FDP_20_1_aDrv" localSheetId="19" hidden="1">#REF!</definedName>
    <definedName name="FDP_20_1_aDrv" localSheetId="1" hidden="1">#REF!</definedName>
    <definedName name="FDP_20_1_aDrv" localSheetId="8" hidden="1">#REF!</definedName>
    <definedName name="FDP_20_1_aDrv" localSheetId="6" hidden="1">#REF!</definedName>
    <definedName name="FDP_20_1_aDrv" localSheetId="17" hidden="1">#REF!</definedName>
    <definedName name="FDP_20_1_aDrv" localSheetId="7" hidden="1">#REF!</definedName>
    <definedName name="FDP_20_1_aDrv" localSheetId="3" hidden="1">#REF!</definedName>
    <definedName name="FDP_20_1_aDrv" localSheetId="21" hidden="1">#REF!</definedName>
    <definedName name="FDP_20_1_aDrv" hidden="1">#REF!</definedName>
    <definedName name="FDP_200_1_aDdv" localSheetId="0" hidden="1">#REF!</definedName>
    <definedName name="FDP_200_1_aDdv" localSheetId="27" hidden="1">#REF!</definedName>
    <definedName name="FDP_200_1_aDdv" localSheetId="19" hidden="1">#REF!</definedName>
    <definedName name="FDP_200_1_aDdv" localSheetId="1" hidden="1">#REF!</definedName>
    <definedName name="FDP_200_1_aDdv" localSheetId="8" hidden="1">#REF!</definedName>
    <definedName name="FDP_200_1_aDdv" localSheetId="6" hidden="1">#REF!</definedName>
    <definedName name="FDP_200_1_aDdv" localSheetId="17" hidden="1">#REF!</definedName>
    <definedName name="FDP_200_1_aDdv" localSheetId="7" hidden="1">#REF!</definedName>
    <definedName name="FDP_200_1_aDdv" localSheetId="3" hidden="1">#REF!</definedName>
    <definedName name="FDP_200_1_aDdv" localSheetId="21" hidden="1">#REF!</definedName>
    <definedName name="FDP_200_1_aDdv" hidden="1">#REF!</definedName>
    <definedName name="FDP_201_1_aDdv" localSheetId="0" hidden="1">#REF!</definedName>
    <definedName name="FDP_201_1_aDdv" localSheetId="27" hidden="1">#REF!</definedName>
    <definedName name="FDP_201_1_aDdv" localSheetId="19" hidden="1">#REF!</definedName>
    <definedName name="FDP_201_1_aDdv" localSheetId="1" hidden="1">#REF!</definedName>
    <definedName name="FDP_201_1_aDdv" localSheetId="8" hidden="1">#REF!</definedName>
    <definedName name="FDP_201_1_aDdv" localSheetId="6" hidden="1">#REF!</definedName>
    <definedName name="FDP_201_1_aDdv" localSheetId="17" hidden="1">#REF!</definedName>
    <definedName name="FDP_201_1_aDdv" localSheetId="7" hidden="1">#REF!</definedName>
    <definedName name="FDP_201_1_aDdv" localSheetId="3" hidden="1">#REF!</definedName>
    <definedName name="FDP_201_1_aDdv" localSheetId="21" hidden="1">#REF!</definedName>
    <definedName name="FDP_201_1_aDdv" hidden="1">#REF!</definedName>
    <definedName name="FDP_202_1_aDdv" localSheetId="0" hidden="1">#REF!</definedName>
    <definedName name="FDP_202_1_aDdv" localSheetId="27" hidden="1">#REF!</definedName>
    <definedName name="FDP_202_1_aDdv" localSheetId="19" hidden="1">#REF!</definedName>
    <definedName name="FDP_202_1_aDdv" localSheetId="1" hidden="1">#REF!</definedName>
    <definedName name="FDP_202_1_aDdv" localSheetId="8" hidden="1">#REF!</definedName>
    <definedName name="FDP_202_1_aDdv" localSheetId="6" hidden="1">#REF!</definedName>
    <definedName name="FDP_202_1_aDdv" localSheetId="17" hidden="1">#REF!</definedName>
    <definedName name="FDP_202_1_aDdv" localSheetId="7" hidden="1">#REF!</definedName>
    <definedName name="FDP_202_1_aDdv" localSheetId="3" hidden="1">#REF!</definedName>
    <definedName name="FDP_202_1_aDdv" localSheetId="21" hidden="1">#REF!</definedName>
    <definedName name="FDP_202_1_aDdv" hidden="1">#REF!</definedName>
    <definedName name="FDP_203_1_aDdv" localSheetId="0" hidden="1">#REF!</definedName>
    <definedName name="FDP_203_1_aDdv" localSheetId="27" hidden="1">#REF!</definedName>
    <definedName name="FDP_203_1_aDdv" localSheetId="19" hidden="1">#REF!</definedName>
    <definedName name="FDP_203_1_aDdv" localSheetId="1" hidden="1">#REF!</definedName>
    <definedName name="FDP_203_1_aDdv" localSheetId="8" hidden="1">#REF!</definedName>
    <definedName name="FDP_203_1_aDdv" localSheetId="6" hidden="1">#REF!</definedName>
    <definedName name="FDP_203_1_aDdv" localSheetId="17" hidden="1">#REF!</definedName>
    <definedName name="FDP_203_1_aDdv" localSheetId="7" hidden="1">#REF!</definedName>
    <definedName name="FDP_203_1_aDdv" localSheetId="3" hidden="1">#REF!</definedName>
    <definedName name="FDP_203_1_aDdv" localSheetId="21" hidden="1">#REF!</definedName>
    <definedName name="FDP_203_1_aDdv" hidden="1">#REF!</definedName>
    <definedName name="FDP_204_1_aUrv" localSheetId="0" hidden="1">#REF!</definedName>
    <definedName name="FDP_204_1_aUrv" localSheetId="27" hidden="1">#REF!</definedName>
    <definedName name="FDP_204_1_aUrv" localSheetId="19" hidden="1">#REF!</definedName>
    <definedName name="FDP_204_1_aUrv" localSheetId="1" hidden="1">#REF!</definedName>
    <definedName name="FDP_204_1_aUrv" localSheetId="8" hidden="1">#REF!</definedName>
    <definedName name="FDP_204_1_aUrv" localSheetId="6" hidden="1">#REF!</definedName>
    <definedName name="FDP_204_1_aUrv" localSheetId="17" hidden="1">#REF!</definedName>
    <definedName name="FDP_204_1_aUrv" localSheetId="7" hidden="1">#REF!</definedName>
    <definedName name="FDP_204_1_aUrv" localSheetId="3" hidden="1">#REF!</definedName>
    <definedName name="FDP_204_1_aUrv" localSheetId="21" hidden="1">#REF!</definedName>
    <definedName name="FDP_204_1_aUrv" hidden="1">#REF!</definedName>
    <definedName name="FDP_205_1_aUrv" localSheetId="0" hidden="1">#REF!</definedName>
    <definedName name="FDP_205_1_aUrv" localSheetId="27" hidden="1">#REF!</definedName>
    <definedName name="FDP_205_1_aUrv" localSheetId="19" hidden="1">#REF!</definedName>
    <definedName name="FDP_205_1_aUrv" localSheetId="1" hidden="1">#REF!</definedName>
    <definedName name="FDP_205_1_aUrv" localSheetId="8" hidden="1">#REF!</definedName>
    <definedName name="FDP_205_1_aUrv" localSheetId="6" hidden="1">#REF!</definedName>
    <definedName name="FDP_205_1_aUrv" localSheetId="17" hidden="1">#REF!</definedName>
    <definedName name="FDP_205_1_aUrv" localSheetId="7" hidden="1">#REF!</definedName>
    <definedName name="FDP_205_1_aUrv" localSheetId="3" hidden="1">#REF!</definedName>
    <definedName name="FDP_205_1_aUrv" localSheetId="21" hidden="1">#REF!</definedName>
    <definedName name="FDP_205_1_aUrv" hidden="1">#REF!</definedName>
    <definedName name="FDP_206_1_aDrv" localSheetId="0" hidden="1">#REF!</definedName>
    <definedName name="FDP_206_1_aDrv" localSheetId="27" hidden="1">#REF!</definedName>
    <definedName name="FDP_206_1_aDrv" localSheetId="19" hidden="1">#REF!</definedName>
    <definedName name="FDP_206_1_aDrv" localSheetId="1" hidden="1">#REF!</definedName>
    <definedName name="FDP_206_1_aDrv" localSheetId="8" hidden="1">#REF!</definedName>
    <definedName name="FDP_206_1_aDrv" localSheetId="6" hidden="1">#REF!</definedName>
    <definedName name="FDP_206_1_aDrv" localSheetId="17" hidden="1">#REF!</definedName>
    <definedName name="FDP_206_1_aDrv" localSheetId="7" hidden="1">#REF!</definedName>
    <definedName name="FDP_206_1_aDrv" localSheetId="3" hidden="1">#REF!</definedName>
    <definedName name="FDP_206_1_aDrv" localSheetId="21" hidden="1">#REF!</definedName>
    <definedName name="FDP_206_1_aDrv" hidden="1">#REF!</definedName>
    <definedName name="FDP_21_1_aDrv" localSheetId="0" hidden="1">#REF!</definedName>
    <definedName name="FDP_21_1_aDrv" localSheetId="27" hidden="1">#REF!</definedName>
    <definedName name="FDP_21_1_aDrv" localSheetId="19" hidden="1">#REF!</definedName>
    <definedName name="FDP_21_1_aDrv" localSheetId="1" hidden="1">#REF!</definedName>
    <definedName name="FDP_21_1_aDrv" localSheetId="8" hidden="1">#REF!</definedName>
    <definedName name="FDP_21_1_aDrv" localSheetId="6" hidden="1">#REF!</definedName>
    <definedName name="FDP_21_1_aDrv" localSheetId="17" hidden="1">#REF!</definedName>
    <definedName name="FDP_21_1_aDrv" localSheetId="7" hidden="1">#REF!</definedName>
    <definedName name="FDP_21_1_aDrv" localSheetId="3" hidden="1">#REF!</definedName>
    <definedName name="FDP_21_1_aDrv" localSheetId="21" hidden="1">#REF!</definedName>
    <definedName name="FDP_21_1_aDrv" hidden="1">#REF!</definedName>
    <definedName name="FDP_22_1_aDrv" localSheetId="0" hidden="1">#REF!</definedName>
    <definedName name="FDP_22_1_aDrv" localSheetId="27" hidden="1">#REF!</definedName>
    <definedName name="FDP_22_1_aDrv" localSheetId="19" hidden="1">#REF!</definedName>
    <definedName name="FDP_22_1_aDrv" localSheetId="1" hidden="1">#REF!</definedName>
    <definedName name="FDP_22_1_aDrv" localSheetId="8" hidden="1">#REF!</definedName>
    <definedName name="FDP_22_1_aDrv" localSheetId="6" hidden="1">#REF!</definedName>
    <definedName name="FDP_22_1_aDrv" localSheetId="17" hidden="1">#REF!</definedName>
    <definedName name="FDP_22_1_aDrv" localSheetId="7" hidden="1">#REF!</definedName>
    <definedName name="FDP_22_1_aDrv" localSheetId="3" hidden="1">#REF!</definedName>
    <definedName name="FDP_22_1_aDrv" localSheetId="21" hidden="1">#REF!</definedName>
    <definedName name="FDP_22_1_aDrv" hidden="1">#REF!</definedName>
    <definedName name="FDP_23_1_aDrv" localSheetId="0" hidden="1">#REF!</definedName>
    <definedName name="FDP_23_1_aDrv" localSheetId="27" hidden="1">#REF!</definedName>
    <definedName name="FDP_23_1_aDrv" localSheetId="19" hidden="1">#REF!</definedName>
    <definedName name="FDP_23_1_aDrv" localSheetId="1" hidden="1">#REF!</definedName>
    <definedName name="FDP_23_1_aDrv" localSheetId="8" hidden="1">#REF!</definedName>
    <definedName name="FDP_23_1_aDrv" localSheetId="6" hidden="1">#REF!</definedName>
    <definedName name="FDP_23_1_aDrv" localSheetId="17" hidden="1">#REF!</definedName>
    <definedName name="FDP_23_1_aDrv" localSheetId="7" hidden="1">#REF!</definedName>
    <definedName name="FDP_23_1_aDrv" localSheetId="3" hidden="1">#REF!</definedName>
    <definedName name="FDP_23_1_aDrv" localSheetId="21" hidden="1">#REF!</definedName>
    <definedName name="FDP_23_1_aDrv" hidden="1">#REF!</definedName>
    <definedName name="FDP_24_1_aDrv" localSheetId="0" hidden="1">#REF!</definedName>
    <definedName name="FDP_24_1_aDrv" localSheetId="27" hidden="1">#REF!</definedName>
    <definedName name="FDP_24_1_aDrv" localSheetId="19" hidden="1">#REF!</definedName>
    <definedName name="FDP_24_1_aDrv" localSheetId="1" hidden="1">#REF!</definedName>
    <definedName name="FDP_24_1_aDrv" localSheetId="8" hidden="1">#REF!</definedName>
    <definedName name="FDP_24_1_aDrv" localSheetId="6" hidden="1">#REF!</definedName>
    <definedName name="FDP_24_1_aDrv" localSheetId="17" hidden="1">#REF!</definedName>
    <definedName name="FDP_24_1_aDrv" localSheetId="7" hidden="1">#REF!</definedName>
    <definedName name="FDP_24_1_aDrv" localSheetId="3" hidden="1">#REF!</definedName>
    <definedName name="FDP_24_1_aDrv" localSheetId="21" hidden="1">#REF!</definedName>
    <definedName name="FDP_24_1_aDrv" hidden="1">#REF!</definedName>
    <definedName name="FDP_25_1_aUrv" localSheetId="0" hidden="1">#REF!</definedName>
    <definedName name="FDP_25_1_aUrv" localSheetId="27" hidden="1">#REF!</definedName>
    <definedName name="FDP_25_1_aUrv" localSheetId="19" hidden="1">#REF!</definedName>
    <definedName name="FDP_25_1_aUrv" localSheetId="1" hidden="1">#REF!</definedName>
    <definedName name="FDP_25_1_aUrv" localSheetId="8" hidden="1">#REF!</definedName>
    <definedName name="FDP_25_1_aUrv" localSheetId="6" hidden="1">#REF!</definedName>
    <definedName name="FDP_25_1_aUrv" localSheetId="17" hidden="1">#REF!</definedName>
    <definedName name="FDP_25_1_aUrv" localSheetId="7" hidden="1">#REF!</definedName>
    <definedName name="FDP_25_1_aUrv" localSheetId="3" hidden="1">#REF!</definedName>
    <definedName name="FDP_25_1_aUrv" localSheetId="21" hidden="1">#REF!</definedName>
    <definedName name="FDP_25_1_aUrv" hidden="1">#REF!</definedName>
    <definedName name="FDP_26_1_aUrv" localSheetId="0" hidden="1">#REF!</definedName>
    <definedName name="FDP_26_1_aUrv" localSheetId="27" hidden="1">#REF!</definedName>
    <definedName name="FDP_26_1_aUrv" localSheetId="19" hidden="1">#REF!</definedName>
    <definedName name="FDP_26_1_aUrv" localSheetId="1" hidden="1">#REF!</definedName>
    <definedName name="FDP_26_1_aUrv" localSheetId="8" hidden="1">#REF!</definedName>
    <definedName name="FDP_26_1_aUrv" localSheetId="6" hidden="1">#REF!</definedName>
    <definedName name="FDP_26_1_aUrv" localSheetId="17" hidden="1">#REF!</definedName>
    <definedName name="FDP_26_1_aUrv" localSheetId="7" hidden="1">#REF!</definedName>
    <definedName name="FDP_26_1_aUrv" localSheetId="3" hidden="1">#REF!</definedName>
    <definedName name="FDP_26_1_aUrv" localSheetId="21" hidden="1">#REF!</definedName>
    <definedName name="FDP_26_1_aUrv" hidden="1">#REF!</definedName>
    <definedName name="FDP_27_1_aDrv" localSheetId="0" hidden="1">#REF!</definedName>
    <definedName name="FDP_27_1_aDrv" localSheetId="27" hidden="1">#REF!</definedName>
    <definedName name="FDP_27_1_aDrv" localSheetId="19" hidden="1">#REF!</definedName>
    <definedName name="FDP_27_1_aDrv" localSheetId="1" hidden="1">#REF!</definedName>
    <definedName name="FDP_27_1_aDrv" localSheetId="8" hidden="1">#REF!</definedName>
    <definedName name="FDP_27_1_aDrv" localSheetId="6" hidden="1">#REF!</definedName>
    <definedName name="FDP_27_1_aDrv" localSheetId="17" hidden="1">#REF!</definedName>
    <definedName name="FDP_27_1_aDrv" localSheetId="7" hidden="1">#REF!</definedName>
    <definedName name="FDP_27_1_aDrv" localSheetId="3" hidden="1">#REF!</definedName>
    <definedName name="FDP_27_1_aDrv" localSheetId="21" hidden="1">#REF!</definedName>
    <definedName name="FDP_27_1_aDrv" hidden="1">#REF!</definedName>
    <definedName name="FDP_28_1_aUrv" localSheetId="0" hidden="1">#REF!</definedName>
    <definedName name="FDP_28_1_aUrv" localSheetId="27" hidden="1">#REF!</definedName>
    <definedName name="FDP_28_1_aUrv" localSheetId="19" hidden="1">#REF!</definedName>
    <definedName name="FDP_28_1_aUrv" localSheetId="1" hidden="1">#REF!</definedName>
    <definedName name="FDP_28_1_aUrv" localSheetId="8" hidden="1">#REF!</definedName>
    <definedName name="FDP_28_1_aUrv" localSheetId="6" hidden="1">#REF!</definedName>
    <definedName name="FDP_28_1_aUrv" localSheetId="17" hidden="1">#REF!</definedName>
    <definedName name="FDP_28_1_aUrv" localSheetId="7" hidden="1">#REF!</definedName>
    <definedName name="FDP_28_1_aUrv" localSheetId="3" hidden="1">#REF!</definedName>
    <definedName name="FDP_28_1_aUrv" localSheetId="21" hidden="1">#REF!</definedName>
    <definedName name="FDP_28_1_aUrv" hidden="1">#REF!</definedName>
    <definedName name="FDP_29_1_aUrv" localSheetId="0" hidden="1">#REF!</definedName>
    <definedName name="FDP_29_1_aUrv" localSheetId="27" hidden="1">#REF!</definedName>
    <definedName name="FDP_29_1_aUrv" localSheetId="19" hidden="1">#REF!</definedName>
    <definedName name="FDP_29_1_aUrv" localSheetId="1" hidden="1">#REF!</definedName>
    <definedName name="FDP_29_1_aUrv" localSheetId="8" hidden="1">#REF!</definedName>
    <definedName name="FDP_29_1_aUrv" localSheetId="6" hidden="1">#REF!</definedName>
    <definedName name="FDP_29_1_aUrv" localSheetId="17" hidden="1">#REF!</definedName>
    <definedName name="FDP_29_1_aUrv" localSheetId="7" hidden="1">#REF!</definedName>
    <definedName name="FDP_29_1_aUrv" localSheetId="3" hidden="1">#REF!</definedName>
    <definedName name="FDP_29_1_aUrv" localSheetId="21" hidden="1">#REF!</definedName>
    <definedName name="FDP_29_1_aUrv" hidden="1">#REF!</definedName>
    <definedName name="FDP_3_1_aUrv" localSheetId="0" hidden="1">#REF!</definedName>
    <definedName name="FDP_3_1_aUrv" localSheetId="27" hidden="1">#REF!</definedName>
    <definedName name="FDP_3_1_aUrv" localSheetId="19" hidden="1">#REF!</definedName>
    <definedName name="FDP_3_1_aUrv" localSheetId="1" hidden="1">#REF!</definedName>
    <definedName name="FDP_3_1_aUrv" localSheetId="8" hidden="1">#REF!</definedName>
    <definedName name="FDP_3_1_aUrv" localSheetId="6" hidden="1">#REF!</definedName>
    <definedName name="FDP_3_1_aUrv" localSheetId="17" hidden="1">#REF!</definedName>
    <definedName name="FDP_3_1_aUrv" localSheetId="7" hidden="1">#REF!</definedName>
    <definedName name="FDP_3_1_aUrv" localSheetId="3" hidden="1">#REF!</definedName>
    <definedName name="FDP_3_1_aUrv" localSheetId="21" hidden="1">#REF!</definedName>
    <definedName name="FDP_3_1_aUrv" hidden="1">#REF!</definedName>
    <definedName name="FDP_30_1_aUrv" localSheetId="0" hidden="1">#REF!</definedName>
    <definedName name="FDP_30_1_aUrv" localSheetId="27" hidden="1">#REF!</definedName>
    <definedName name="FDP_30_1_aUrv" localSheetId="19" hidden="1">#REF!</definedName>
    <definedName name="FDP_30_1_aUrv" localSheetId="1" hidden="1">#REF!</definedName>
    <definedName name="FDP_30_1_aUrv" localSheetId="8" hidden="1">#REF!</definedName>
    <definedName name="FDP_30_1_aUrv" localSheetId="6" hidden="1">#REF!</definedName>
    <definedName name="FDP_30_1_aUrv" localSheetId="17" hidden="1">#REF!</definedName>
    <definedName name="FDP_30_1_aUrv" localSheetId="7" hidden="1">#REF!</definedName>
    <definedName name="FDP_30_1_aUrv" localSheetId="3" hidden="1">#REF!</definedName>
    <definedName name="FDP_30_1_aUrv" localSheetId="21" hidden="1">#REF!</definedName>
    <definedName name="FDP_30_1_aUrv" hidden="1">#REF!</definedName>
    <definedName name="FDP_31_1_aUrv" localSheetId="0" hidden="1">#REF!</definedName>
    <definedName name="FDP_31_1_aUrv" localSheetId="27" hidden="1">#REF!</definedName>
    <definedName name="FDP_31_1_aUrv" localSheetId="19" hidden="1">#REF!</definedName>
    <definedName name="FDP_31_1_aUrv" localSheetId="1" hidden="1">#REF!</definedName>
    <definedName name="FDP_31_1_aUrv" localSheetId="8" hidden="1">#REF!</definedName>
    <definedName name="FDP_31_1_aUrv" localSheetId="6" hidden="1">#REF!</definedName>
    <definedName name="FDP_31_1_aUrv" localSheetId="17" hidden="1">#REF!</definedName>
    <definedName name="FDP_31_1_aUrv" localSheetId="7" hidden="1">#REF!</definedName>
    <definedName name="FDP_31_1_aUrv" localSheetId="3" hidden="1">#REF!</definedName>
    <definedName name="FDP_31_1_aUrv" localSheetId="21" hidden="1">#REF!</definedName>
    <definedName name="FDP_31_1_aUrv" hidden="1">#REF!</definedName>
    <definedName name="FDP_32_1_aUrv" localSheetId="0" hidden="1">#REF!</definedName>
    <definedName name="FDP_32_1_aUrv" localSheetId="27" hidden="1">#REF!</definedName>
    <definedName name="FDP_32_1_aUrv" localSheetId="19" hidden="1">#REF!</definedName>
    <definedName name="FDP_32_1_aUrv" localSheetId="1" hidden="1">#REF!</definedName>
    <definedName name="FDP_32_1_aUrv" localSheetId="8" hidden="1">#REF!</definedName>
    <definedName name="FDP_32_1_aUrv" localSheetId="6" hidden="1">#REF!</definedName>
    <definedName name="FDP_32_1_aUrv" localSheetId="17" hidden="1">#REF!</definedName>
    <definedName name="FDP_32_1_aUrv" localSheetId="7" hidden="1">#REF!</definedName>
    <definedName name="FDP_32_1_aUrv" localSheetId="3" hidden="1">#REF!</definedName>
    <definedName name="FDP_32_1_aUrv" localSheetId="21" hidden="1">#REF!</definedName>
    <definedName name="FDP_32_1_aUrv" hidden="1">#REF!</definedName>
    <definedName name="FDP_33_1_aDrv" localSheetId="0" hidden="1">#REF!</definedName>
    <definedName name="FDP_33_1_aDrv" localSheetId="27" hidden="1">#REF!</definedName>
    <definedName name="FDP_33_1_aDrv" localSheetId="19" hidden="1">#REF!</definedName>
    <definedName name="FDP_33_1_aDrv" localSheetId="1" hidden="1">#REF!</definedName>
    <definedName name="FDP_33_1_aDrv" localSheetId="8" hidden="1">#REF!</definedName>
    <definedName name="FDP_33_1_aDrv" localSheetId="6" hidden="1">#REF!</definedName>
    <definedName name="FDP_33_1_aDrv" localSheetId="17" hidden="1">#REF!</definedName>
    <definedName name="FDP_33_1_aDrv" localSheetId="7" hidden="1">#REF!</definedName>
    <definedName name="FDP_33_1_aDrv" localSheetId="3" hidden="1">#REF!</definedName>
    <definedName name="FDP_33_1_aDrv" localSheetId="21" hidden="1">#REF!</definedName>
    <definedName name="FDP_33_1_aDrv" hidden="1">#REF!</definedName>
    <definedName name="FDP_34_1_aUrv" localSheetId="0" hidden="1">#REF!</definedName>
    <definedName name="FDP_34_1_aUrv" localSheetId="27" hidden="1">#REF!</definedName>
    <definedName name="FDP_34_1_aUrv" localSheetId="19" hidden="1">#REF!</definedName>
    <definedName name="FDP_34_1_aUrv" localSheetId="1" hidden="1">#REF!</definedName>
    <definedName name="FDP_34_1_aUrv" localSheetId="8" hidden="1">#REF!</definedName>
    <definedName name="FDP_34_1_aUrv" localSheetId="6" hidden="1">#REF!</definedName>
    <definedName name="FDP_34_1_aUrv" localSheetId="17" hidden="1">#REF!</definedName>
    <definedName name="FDP_34_1_aUrv" localSheetId="7" hidden="1">#REF!</definedName>
    <definedName name="FDP_34_1_aUrv" localSheetId="3" hidden="1">#REF!</definedName>
    <definedName name="FDP_34_1_aUrv" localSheetId="21" hidden="1">#REF!</definedName>
    <definedName name="FDP_34_1_aUrv" hidden="1">#REF!</definedName>
    <definedName name="FDP_35_1_aUrv" localSheetId="0" hidden="1">#REF!</definedName>
    <definedName name="FDP_35_1_aUrv" localSheetId="27" hidden="1">#REF!</definedName>
    <definedName name="FDP_35_1_aUrv" localSheetId="19" hidden="1">#REF!</definedName>
    <definedName name="FDP_35_1_aUrv" localSheetId="1" hidden="1">#REF!</definedName>
    <definedName name="FDP_35_1_aUrv" localSheetId="8" hidden="1">#REF!</definedName>
    <definedName name="FDP_35_1_aUrv" localSheetId="6" hidden="1">#REF!</definedName>
    <definedName name="FDP_35_1_aUrv" localSheetId="17" hidden="1">#REF!</definedName>
    <definedName name="FDP_35_1_aUrv" localSheetId="7" hidden="1">#REF!</definedName>
    <definedName name="FDP_35_1_aUrv" localSheetId="3" hidden="1">#REF!</definedName>
    <definedName name="FDP_35_1_aUrv" localSheetId="21" hidden="1">#REF!</definedName>
    <definedName name="FDP_35_1_aUrv" hidden="1">#REF!</definedName>
    <definedName name="FDP_36_1_aUrv" localSheetId="0" hidden="1">#REF!</definedName>
    <definedName name="FDP_36_1_aUrv" localSheetId="27" hidden="1">#REF!</definedName>
    <definedName name="FDP_36_1_aUrv" localSheetId="19" hidden="1">#REF!</definedName>
    <definedName name="FDP_36_1_aUrv" localSheetId="1" hidden="1">#REF!</definedName>
    <definedName name="FDP_36_1_aUrv" localSheetId="8" hidden="1">#REF!</definedName>
    <definedName name="FDP_36_1_aUrv" localSheetId="6" hidden="1">#REF!</definedName>
    <definedName name="FDP_36_1_aUrv" localSheetId="17" hidden="1">#REF!</definedName>
    <definedName name="FDP_36_1_aUrv" localSheetId="7" hidden="1">#REF!</definedName>
    <definedName name="FDP_36_1_aUrv" localSheetId="3" hidden="1">#REF!</definedName>
    <definedName name="FDP_36_1_aUrv" localSheetId="21" hidden="1">#REF!</definedName>
    <definedName name="FDP_36_1_aUrv" hidden="1">#REF!</definedName>
    <definedName name="FDP_37_1_aUrv" localSheetId="0" hidden="1">#REF!</definedName>
    <definedName name="FDP_37_1_aUrv" localSheetId="27" hidden="1">#REF!</definedName>
    <definedName name="FDP_37_1_aUrv" localSheetId="19" hidden="1">#REF!</definedName>
    <definedName name="FDP_37_1_aUrv" localSheetId="1" hidden="1">#REF!</definedName>
    <definedName name="FDP_37_1_aUrv" localSheetId="8" hidden="1">#REF!</definedName>
    <definedName name="FDP_37_1_aUrv" localSheetId="6" hidden="1">#REF!</definedName>
    <definedName name="FDP_37_1_aUrv" localSheetId="17" hidden="1">#REF!</definedName>
    <definedName name="FDP_37_1_aUrv" localSheetId="7" hidden="1">#REF!</definedName>
    <definedName name="FDP_37_1_aUrv" localSheetId="3" hidden="1">#REF!</definedName>
    <definedName name="FDP_37_1_aUrv" localSheetId="21" hidden="1">#REF!</definedName>
    <definedName name="FDP_37_1_aUrv" hidden="1">#REF!</definedName>
    <definedName name="FDP_38_1_aUrv" localSheetId="0" hidden="1">#REF!</definedName>
    <definedName name="FDP_38_1_aUrv" localSheetId="27" hidden="1">#REF!</definedName>
    <definedName name="FDP_38_1_aUrv" localSheetId="19" hidden="1">#REF!</definedName>
    <definedName name="FDP_38_1_aUrv" localSheetId="1" hidden="1">#REF!</definedName>
    <definedName name="FDP_38_1_aUrv" localSheetId="8" hidden="1">#REF!</definedName>
    <definedName name="FDP_38_1_aUrv" localSheetId="6" hidden="1">#REF!</definedName>
    <definedName name="FDP_38_1_aUrv" localSheetId="17" hidden="1">#REF!</definedName>
    <definedName name="FDP_38_1_aUrv" localSheetId="7" hidden="1">#REF!</definedName>
    <definedName name="FDP_38_1_aUrv" localSheetId="3" hidden="1">#REF!</definedName>
    <definedName name="FDP_38_1_aUrv" localSheetId="21" hidden="1">#REF!</definedName>
    <definedName name="FDP_38_1_aUrv" hidden="1">#REF!</definedName>
    <definedName name="FDP_39_1_aSrv" localSheetId="0" hidden="1">#REF!</definedName>
    <definedName name="FDP_39_1_aSrv" localSheetId="27" hidden="1">#REF!</definedName>
    <definedName name="FDP_39_1_aSrv" localSheetId="19" hidden="1">#REF!</definedName>
    <definedName name="FDP_39_1_aSrv" localSheetId="1" hidden="1">#REF!</definedName>
    <definedName name="FDP_39_1_aSrv" localSheetId="8" hidden="1">#REF!</definedName>
    <definedName name="FDP_39_1_aSrv" localSheetId="6" hidden="1">#REF!</definedName>
    <definedName name="FDP_39_1_aSrv" localSheetId="17" hidden="1">#REF!</definedName>
    <definedName name="FDP_39_1_aSrv" localSheetId="7" hidden="1">#REF!</definedName>
    <definedName name="FDP_39_1_aSrv" localSheetId="3" hidden="1">#REF!</definedName>
    <definedName name="FDP_39_1_aSrv" localSheetId="21" hidden="1">#REF!</definedName>
    <definedName name="FDP_39_1_aSrv" hidden="1">#REF!</definedName>
    <definedName name="FDP_4_1_aSrv" localSheetId="0" hidden="1">#REF!</definedName>
    <definedName name="FDP_4_1_aSrv" localSheetId="27" hidden="1">#REF!</definedName>
    <definedName name="FDP_4_1_aSrv" localSheetId="19" hidden="1">#REF!</definedName>
    <definedName name="FDP_4_1_aSrv" localSheetId="1" hidden="1">#REF!</definedName>
    <definedName name="FDP_4_1_aSrv" localSheetId="8" hidden="1">#REF!</definedName>
    <definedName name="FDP_4_1_aSrv" localSheetId="6" hidden="1">#REF!</definedName>
    <definedName name="FDP_4_1_aSrv" localSheetId="17" hidden="1">#REF!</definedName>
    <definedName name="FDP_4_1_aSrv" localSheetId="7" hidden="1">#REF!</definedName>
    <definedName name="FDP_4_1_aSrv" localSheetId="3" hidden="1">#REF!</definedName>
    <definedName name="FDP_4_1_aSrv" localSheetId="21" hidden="1">#REF!</definedName>
    <definedName name="FDP_4_1_aSrv" hidden="1">#REF!</definedName>
    <definedName name="FDP_40_1_aUrv" localSheetId="0" hidden="1">#REF!</definedName>
    <definedName name="FDP_40_1_aUrv" localSheetId="27" hidden="1">#REF!</definedName>
    <definedName name="FDP_40_1_aUrv" localSheetId="19" hidden="1">#REF!</definedName>
    <definedName name="FDP_40_1_aUrv" localSheetId="1" hidden="1">#REF!</definedName>
    <definedName name="FDP_40_1_aUrv" localSheetId="8" hidden="1">#REF!</definedName>
    <definedName name="FDP_40_1_aUrv" localSheetId="6" hidden="1">#REF!</definedName>
    <definedName name="FDP_40_1_aUrv" localSheetId="17" hidden="1">#REF!</definedName>
    <definedName name="FDP_40_1_aUrv" localSheetId="7" hidden="1">#REF!</definedName>
    <definedName name="FDP_40_1_aUrv" localSheetId="3" hidden="1">#REF!</definedName>
    <definedName name="FDP_40_1_aUrv" localSheetId="21" hidden="1">#REF!</definedName>
    <definedName name="FDP_40_1_aUrv" hidden="1">#REF!</definedName>
    <definedName name="FDP_41_1_aUrv" localSheetId="0" hidden="1">#REF!</definedName>
    <definedName name="FDP_41_1_aUrv" localSheetId="27" hidden="1">#REF!</definedName>
    <definedName name="FDP_41_1_aUrv" localSheetId="19" hidden="1">#REF!</definedName>
    <definedName name="FDP_41_1_aUrv" localSheetId="1" hidden="1">#REF!</definedName>
    <definedName name="FDP_41_1_aUrv" localSheetId="8" hidden="1">#REF!</definedName>
    <definedName name="FDP_41_1_aUrv" localSheetId="6" hidden="1">#REF!</definedName>
    <definedName name="FDP_41_1_aUrv" localSheetId="17" hidden="1">#REF!</definedName>
    <definedName name="FDP_41_1_aUrv" localSheetId="7" hidden="1">#REF!</definedName>
    <definedName name="FDP_41_1_aUrv" localSheetId="3" hidden="1">#REF!</definedName>
    <definedName name="FDP_41_1_aUrv" localSheetId="21" hidden="1">#REF!</definedName>
    <definedName name="FDP_41_1_aUrv" hidden="1">#REF!</definedName>
    <definedName name="FDP_42_1_aUrv" localSheetId="0" hidden="1">#REF!</definedName>
    <definedName name="FDP_42_1_aUrv" localSheetId="27" hidden="1">#REF!</definedName>
    <definedName name="FDP_42_1_aUrv" localSheetId="19" hidden="1">#REF!</definedName>
    <definedName name="FDP_42_1_aUrv" localSheetId="1" hidden="1">#REF!</definedName>
    <definedName name="FDP_42_1_aUrv" localSheetId="8" hidden="1">#REF!</definedName>
    <definedName name="FDP_42_1_aUrv" localSheetId="6" hidden="1">#REF!</definedName>
    <definedName name="FDP_42_1_aUrv" localSheetId="17" hidden="1">#REF!</definedName>
    <definedName name="FDP_42_1_aUrv" localSheetId="7" hidden="1">#REF!</definedName>
    <definedName name="FDP_42_1_aUrv" localSheetId="3" hidden="1">#REF!</definedName>
    <definedName name="FDP_42_1_aUrv" localSheetId="21" hidden="1">#REF!</definedName>
    <definedName name="FDP_42_1_aUrv" hidden="1">#REF!</definedName>
    <definedName name="FDP_43_1_aUrv" localSheetId="0" hidden="1">#REF!</definedName>
    <definedName name="FDP_43_1_aUrv" localSheetId="27" hidden="1">#REF!</definedName>
    <definedName name="FDP_43_1_aUrv" localSheetId="19" hidden="1">#REF!</definedName>
    <definedName name="FDP_43_1_aUrv" localSheetId="1" hidden="1">#REF!</definedName>
    <definedName name="FDP_43_1_aUrv" localSheetId="8" hidden="1">#REF!</definedName>
    <definedName name="FDP_43_1_aUrv" localSheetId="6" hidden="1">#REF!</definedName>
    <definedName name="FDP_43_1_aUrv" localSheetId="17" hidden="1">#REF!</definedName>
    <definedName name="FDP_43_1_aUrv" localSheetId="7" hidden="1">#REF!</definedName>
    <definedName name="FDP_43_1_aUrv" localSheetId="3" hidden="1">#REF!</definedName>
    <definedName name="FDP_43_1_aUrv" localSheetId="21" hidden="1">#REF!</definedName>
    <definedName name="FDP_43_1_aUrv" hidden="1">#REF!</definedName>
    <definedName name="FDP_44_1_aUrv" localSheetId="0" hidden="1">#REF!</definedName>
    <definedName name="FDP_44_1_aUrv" localSheetId="27" hidden="1">#REF!</definedName>
    <definedName name="FDP_44_1_aUrv" localSheetId="19" hidden="1">#REF!</definedName>
    <definedName name="FDP_44_1_aUrv" localSheetId="1" hidden="1">#REF!</definedName>
    <definedName name="FDP_44_1_aUrv" localSheetId="8" hidden="1">#REF!</definedName>
    <definedName name="FDP_44_1_aUrv" localSheetId="6" hidden="1">#REF!</definedName>
    <definedName name="FDP_44_1_aUrv" localSheetId="17" hidden="1">#REF!</definedName>
    <definedName name="FDP_44_1_aUrv" localSheetId="7" hidden="1">#REF!</definedName>
    <definedName name="FDP_44_1_aUrv" localSheetId="3" hidden="1">#REF!</definedName>
    <definedName name="FDP_44_1_aUrv" localSheetId="21" hidden="1">#REF!</definedName>
    <definedName name="FDP_44_1_aUrv" hidden="1">#REF!</definedName>
    <definedName name="FDP_45_1_aSrv" localSheetId="0" hidden="1">#REF!</definedName>
    <definedName name="FDP_45_1_aSrv" localSheetId="27" hidden="1">#REF!</definedName>
    <definedName name="FDP_45_1_aSrv" localSheetId="19" hidden="1">#REF!</definedName>
    <definedName name="FDP_45_1_aSrv" localSheetId="1" hidden="1">#REF!</definedName>
    <definedName name="FDP_45_1_aSrv" localSheetId="8" hidden="1">#REF!</definedName>
    <definedName name="FDP_45_1_aSrv" localSheetId="6" hidden="1">#REF!</definedName>
    <definedName name="FDP_45_1_aSrv" localSheetId="17" hidden="1">#REF!</definedName>
    <definedName name="FDP_45_1_aSrv" localSheetId="7" hidden="1">#REF!</definedName>
    <definedName name="FDP_45_1_aSrv" localSheetId="3" hidden="1">#REF!</definedName>
    <definedName name="FDP_45_1_aSrv" localSheetId="21" hidden="1">#REF!</definedName>
    <definedName name="FDP_45_1_aSrv" hidden="1">#REF!</definedName>
    <definedName name="FDP_46_1_aSrv" localSheetId="0" hidden="1">#REF!</definedName>
    <definedName name="FDP_46_1_aSrv" localSheetId="27" hidden="1">#REF!</definedName>
    <definedName name="FDP_46_1_aSrv" localSheetId="19" hidden="1">#REF!</definedName>
    <definedName name="FDP_46_1_aSrv" localSheetId="1" hidden="1">#REF!</definedName>
    <definedName name="FDP_46_1_aSrv" localSheetId="8" hidden="1">#REF!</definedName>
    <definedName name="FDP_46_1_aSrv" localSheetId="6" hidden="1">#REF!</definedName>
    <definedName name="FDP_46_1_aSrv" localSheetId="17" hidden="1">#REF!</definedName>
    <definedName name="FDP_46_1_aSrv" localSheetId="7" hidden="1">#REF!</definedName>
    <definedName name="FDP_46_1_aSrv" localSheetId="3" hidden="1">#REF!</definedName>
    <definedName name="FDP_46_1_aSrv" localSheetId="21" hidden="1">#REF!</definedName>
    <definedName name="FDP_46_1_aSrv" hidden="1">#REF!</definedName>
    <definedName name="FDP_47_1_aUrv" localSheetId="0" hidden="1">#REF!</definedName>
    <definedName name="FDP_47_1_aUrv" localSheetId="27" hidden="1">#REF!</definedName>
    <definedName name="FDP_47_1_aUrv" localSheetId="19" hidden="1">#REF!</definedName>
    <definedName name="FDP_47_1_aUrv" localSheetId="1" hidden="1">#REF!</definedName>
    <definedName name="FDP_47_1_aUrv" localSheetId="8" hidden="1">#REF!</definedName>
    <definedName name="FDP_47_1_aUrv" localSheetId="6" hidden="1">#REF!</definedName>
    <definedName name="FDP_47_1_aUrv" localSheetId="17" hidden="1">#REF!</definedName>
    <definedName name="FDP_47_1_aUrv" localSheetId="7" hidden="1">#REF!</definedName>
    <definedName name="FDP_47_1_aUrv" localSheetId="3" hidden="1">#REF!</definedName>
    <definedName name="FDP_47_1_aUrv" localSheetId="21" hidden="1">#REF!</definedName>
    <definedName name="FDP_47_1_aUrv" hidden="1">#REF!</definedName>
    <definedName name="FDP_48_1_aUrv" localSheetId="0" hidden="1">#REF!</definedName>
    <definedName name="FDP_48_1_aUrv" localSheetId="27" hidden="1">#REF!</definedName>
    <definedName name="FDP_48_1_aUrv" localSheetId="19" hidden="1">#REF!</definedName>
    <definedName name="FDP_48_1_aUrv" localSheetId="1" hidden="1">#REF!</definedName>
    <definedName name="FDP_48_1_aUrv" localSheetId="8" hidden="1">#REF!</definedName>
    <definedName name="FDP_48_1_aUrv" localSheetId="6" hidden="1">#REF!</definedName>
    <definedName name="FDP_48_1_aUrv" localSheetId="17" hidden="1">#REF!</definedName>
    <definedName name="FDP_48_1_aUrv" localSheetId="7" hidden="1">#REF!</definedName>
    <definedName name="FDP_48_1_aUrv" localSheetId="3" hidden="1">#REF!</definedName>
    <definedName name="FDP_48_1_aUrv" localSheetId="21" hidden="1">#REF!</definedName>
    <definedName name="FDP_48_1_aUrv" hidden="1">#REF!</definedName>
    <definedName name="FDP_49_1_aUrv" localSheetId="0" hidden="1">#REF!</definedName>
    <definedName name="FDP_49_1_aUrv" localSheetId="27" hidden="1">#REF!</definedName>
    <definedName name="FDP_49_1_aUrv" localSheetId="19" hidden="1">#REF!</definedName>
    <definedName name="FDP_49_1_aUrv" localSheetId="1" hidden="1">#REF!</definedName>
    <definedName name="FDP_49_1_aUrv" localSheetId="8" hidden="1">#REF!</definedName>
    <definedName name="FDP_49_1_aUrv" localSheetId="6" hidden="1">#REF!</definedName>
    <definedName name="FDP_49_1_aUrv" localSheetId="17" hidden="1">#REF!</definedName>
    <definedName name="FDP_49_1_aUrv" localSheetId="7" hidden="1">#REF!</definedName>
    <definedName name="FDP_49_1_aUrv" localSheetId="3" hidden="1">#REF!</definedName>
    <definedName name="FDP_49_1_aUrv" localSheetId="21" hidden="1">#REF!</definedName>
    <definedName name="FDP_49_1_aUrv" hidden="1">#REF!</definedName>
    <definedName name="FDP_5_1_aDrv" localSheetId="0" hidden="1">#REF!</definedName>
    <definedName name="FDP_5_1_aDrv" localSheetId="27" hidden="1">#REF!</definedName>
    <definedName name="FDP_5_1_aDrv" localSheetId="19" hidden="1">#REF!</definedName>
    <definedName name="FDP_5_1_aDrv" localSheetId="1" hidden="1">#REF!</definedName>
    <definedName name="FDP_5_1_aDrv" localSheetId="8" hidden="1">#REF!</definedName>
    <definedName name="FDP_5_1_aDrv" localSheetId="6" hidden="1">#REF!</definedName>
    <definedName name="FDP_5_1_aDrv" localSheetId="17" hidden="1">#REF!</definedName>
    <definedName name="FDP_5_1_aDrv" localSheetId="7" hidden="1">#REF!</definedName>
    <definedName name="FDP_5_1_aDrv" localSheetId="3" hidden="1">#REF!</definedName>
    <definedName name="FDP_5_1_aDrv" localSheetId="21" hidden="1">#REF!</definedName>
    <definedName name="FDP_5_1_aDrv" hidden="1">#REF!</definedName>
    <definedName name="FDP_50_1_aUrv" localSheetId="0" hidden="1">#REF!</definedName>
    <definedName name="FDP_50_1_aUrv" localSheetId="27" hidden="1">#REF!</definedName>
    <definedName name="FDP_50_1_aUrv" localSheetId="19" hidden="1">#REF!</definedName>
    <definedName name="FDP_50_1_aUrv" localSheetId="1" hidden="1">#REF!</definedName>
    <definedName name="FDP_50_1_aUrv" localSheetId="8" hidden="1">#REF!</definedName>
    <definedName name="FDP_50_1_aUrv" localSheetId="6" hidden="1">#REF!</definedName>
    <definedName name="FDP_50_1_aUrv" localSheetId="17" hidden="1">#REF!</definedName>
    <definedName name="FDP_50_1_aUrv" localSheetId="7" hidden="1">#REF!</definedName>
    <definedName name="FDP_50_1_aUrv" localSheetId="3" hidden="1">#REF!</definedName>
    <definedName name="FDP_50_1_aUrv" localSheetId="21" hidden="1">#REF!</definedName>
    <definedName name="FDP_50_1_aUrv" hidden="1">#REF!</definedName>
    <definedName name="FDP_51_1_aUrv" localSheetId="0" hidden="1">#REF!</definedName>
    <definedName name="FDP_51_1_aUrv" localSheetId="27" hidden="1">#REF!</definedName>
    <definedName name="FDP_51_1_aUrv" localSheetId="19" hidden="1">#REF!</definedName>
    <definedName name="FDP_51_1_aUrv" localSheetId="1" hidden="1">#REF!</definedName>
    <definedName name="FDP_51_1_aUrv" localSheetId="8" hidden="1">#REF!</definedName>
    <definedName name="FDP_51_1_aUrv" localSheetId="6" hidden="1">#REF!</definedName>
    <definedName name="FDP_51_1_aUrv" localSheetId="17" hidden="1">#REF!</definedName>
    <definedName name="FDP_51_1_aUrv" localSheetId="7" hidden="1">#REF!</definedName>
    <definedName name="FDP_51_1_aUrv" localSheetId="3" hidden="1">#REF!</definedName>
    <definedName name="FDP_51_1_aUrv" localSheetId="21" hidden="1">#REF!</definedName>
    <definedName name="FDP_51_1_aUrv" hidden="1">#REF!</definedName>
    <definedName name="FDP_52_1_aSrv" localSheetId="0" hidden="1">#REF!</definedName>
    <definedName name="FDP_52_1_aSrv" localSheetId="27" hidden="1">#REF!</definedName>
    <definedName name="FDP_52_1_aSrv" localSheetId="19" hidden="1">#REF!</definedName>
    <definedName name="FDP_52_1_aSrv" localSheetId="1" hidden="1">#REF!</definedName>
    <definedName name="FDP_52_1_aSrv" localSheetId="8" hidden="1">#REF!</definedName>
    <definedName name="FDP_52_1_aSrv" localSheetId="6" hidden="1">#REF!</definedName>
    <definedName name="FDP_52_1_aSrv" localSheetId="17" hidden="1">#REF!</definedName>
    <definedName name="FDP_52_1_aSrv" localSheetId="7" hidden="1">#REF!</definedName>
    <definedName name="FDP_52_1_aSrv" localSheetId="3" hidden="1">#REF!</definedName>
    <definedName name="FDP_52_1_aSrv" localSheetId="21" hidden="1">#REF!</definedName>
    <definedName name="FDP_52_1_aSrv" hidden="1">#REF!</definedName>
    <definedName name="FDP_53_1_aUrv" localSheetId="0" hidden="1">#REF!</definedName>
    <definedName name="FDP_53_1_aUrv" localSheetId="27" hidden="1">#REF!</definedName>
    <definedName name="FDP_53_1_aUrv" localSheetId="19" hidden="1">#REF!</definedName>
    <definedName name="FDP_53_1_aUrv" localSheetId="1" hidden="1">#REF!</definedName>
    <definedName name="FDP_53_1_aUrv" localSheetId="8" hidden="1">#REF!</definedName>
    <definedName name="FDP_53_1_aUrv" localSheetId="6" hidden="1">#REF!</definedName>
    <definedName name="FDP_53_1_aUrv" localSheetId="17" hidden="1">#REF!</definedName>
    <definedName name="FDP_53_1_aUrv" localSheetId="7" hidden="1">#REF!</definedName>
    <definedName name="FDP_53_1_aUrv" localSheetId="3" hidden="1">#REF!</definedName>
    <definedName name="FDP_53_1_aUrv" localSheetId="21" hidden="1">#REF!</definedName>
    <definedName name="FDP_53_1_aUrv" hidden="1">#REF!</definedName>
    <definedName name="FDP_54_1_aUrv" localSheetId="0" hidden="1">#REF!</definedName>
    <definedName name="FDP_54_1_aUrv" localSheetId="27" hidden="1">#REF!</definedName>
    <definedName name="FDP_54_1_aUrv" localSheetId="19" hidden="1">#REF!</definedName>
    <definedName name="FDP_54_1_aUrv" localSheetId="1" hidden="1">#REF!</definedName>
    <definedName name="FDP_54_1_aUrv" localSheetId="8" hidden="1">#REF!</definedName>
    <definedName name="FDP_54_1_aUrv" localSheetId="6" hidden="1">#REF!</definedName>
    <definedName name="FDP_54_1_aUrv" localSheetId="17" hidden="1">#REF!</definedName>
    <definedName name="FDP_54_1_aUrv" localSheetId="7" hidden="1">#REF!</definedName>
    <definedName name="FDP_54_1_aUrv" localSheetId="3" hidden="1">#REF!</definedName>
    <definedName name="FDP_54_1_aUrv" localSheetId="21" hidden="1">#REF!</definedName>
    <definedName name="FDP_54_1_aUrv" hidden="1">#REF!</definedName>
    <definedName name="FDP_55_1_aUrv" localSheetId="0" hidden="1">#REF!</definedName>
    <definedName name="FDP_55_1_aUrv" localSheetId="27" hidden="1">#REF!</definedName>
    <definedName name="FDP_55_1_aUrv" localSheetId="19" hidden="1">#REF!</definedName>
    <definedName name="FDP_55_1_aUrv" localSheetId="1" hidden="1">#REF!</definedName>
    <definedName name="FDP_55_1_aUrv" localSheetId="8" hidden="1">#REF!</definedName>
    <definedName name="FDP_55_1_aUrv" localSheetId="6" hidden="1">#REF!</definedName>
    <definedName name="FDP_55_1_aUrv" localSheetId="17" hidden="1">#REF!</definedName>
    <definedName name="FDP_55_1_aUrv" localSheetId="7" hidden="1">#REF!</definedName>
    <definedName name="FDP_55_1_aUrv" localSheetId="3" hidden="1">#REF!</definedName>
    <definedName name="FDP_55_1_aUrv" localSheetId="21" hidden="1">#REF!</definedName>
    <definedName name="FDP_55_1_aUrv" hidden="1">#REF!</definedName>
    <definedName name="FDP_56_1_aUrv" localSheetId="0" hidden="1">#REF!</definedName>
    <definedName name="FDP_56_1_aUrv" localSheetId="27" hidden="1">#REF!</definedName>
    <definedName name="FDP_56_1_aUrv" localSheetId="19" hidden="1">#REF!</definedName>
    <definedName name="FDP_56_1_aUrv" localSheetId="1" hidden="1">#REF!</definedName>
    <definedName name="FDP_56_1_aUrv" localSheetId="8" hidden="1">#REF!</definedName>
    <definedName name="FDP_56_1_aUrv" localSheetId="6" hidden="1">#REF!</definedName>
    <definedName name="FDP_56_1_aUrv" localSheetId="17" hidden="1">#REF!</definedName>
    <definedName name="FDP_56_1_aUrv" localSheetId="7" hidden="1">#REF!</definedName>
    <definedName name="FDP_56_1_aUrv" localSheetId="3" hidden="1">#REF!</definedName>
    <definedName name="FDP_56_1_aUrv" localSheetId="21" hidden="1">#REF!</definedName>
    <definedName name="FDP_56_1_aUrv" hidden="1">#REF!</definedName>
    <definedName name="FDP_57_1_aUrv" localSheetId="0" hidden="1">#REF!</definedName>
    <definedName name="FDP_57_1_aUrv" localSheetId="27" hidden="1">#REF!</definedName>
    <definedName name="FDP_57_1_aUrv" localSheetId="19" hidden="1">#REF!</definedName>
    <definedName name="FDP_57_1_aUrv" localSheetId="1" hidden="1">#REF!</definedName>
    <definedName name="FDP_57_1_aUrv" localSheetId="8" hidden="1">#REF!</definedName>
    <definedName name="FDP_57_1_aUrv" localSheetId="6" hidden="1">#REF!</definedName>
    <definedName name="FDP_57_1_aUrv" localSheetId="17" hidden="1">#REF!</definedName>
    <definedName name="FDP_57_1_aUrv" localSheetId="7" hidden="1">#REF!</definedName>
    <definedName name="FDP_57_1_aUrv" localSheetId="3" hidden="1">#REF!</definedName>
    <definedName name="FDP_57_1_aUrv" localSheetId="21" hidden="1">#REF!</definedName>
    <definedName name="FDP_57_1_aUrv" hidden="1">#REF!</definedName>
    <definedName name="FDP_58_1_aUrv" localSheetId="0" hidden="1">#REF!</definedName>
    <definedName name="FDP_58_1_aUrv" localSheetId="27" hidden="1">#REF!</definedName>
    <definedName name="FDP_58_1_aUrv" localSheetId="19" hidden="1">#REF!</definedName>
    <definedName name="FDP_58_1_aUrv" localSheetId="1" hidden="1">#REF!</definedName>
    <definedName name="FDP_58_1_aUrv" localSheetId="8" hidden="1">#REF!</definedName>
    <definedName name="FDP_58_1_aUrv" localSheetId="6" hidden="1">#REF!</definedName>
    <definedName name="FDP_58_1_aUrv" localSheetId="17" hidden="1">#REF!</definedName>
    <definedName name="FDP_58_1_aUrv" localSheetId="7" hidden="1">#REF!</definedName>
    <definedName name="FDP_58_1_aUrv" localSheetId="3" hidden="1">#REF!</definedName>
    <definedName name="FDP_58_1_aUrv" localSheetId="21" hidden="1">#REF!</definedName>
    <definedName name="FDP_58_1_aUrv" hidden="1">#REF!</definedName>
    <definedName name="FDP_59_1_aUrv" localSheetId="0" hidden="1">#REF!</definedName>
    <definedName name="FDP_59_1_aUrv" localSheetId="27" hidden="1">#REF!</definedName>
    <definedName name="FDP_59_1_aUrv" localSheetId="19" hidden="1">#REF!</definedName>
    <definedName name="FDP_59_1_aUrv" localSheetId="1" hidden="1">#REF!</definedName>
    <definedName name="FDP_59_1_aUrv" localSheetId="8" hidden="1">#REF!</definedName>
    <definedName name="FDP_59_1_aUrv" localSheetId="6" hidden="1">#REF!</definedName>
    <definedName name="FDP_59_1_aUrv" localSheetId="17" hidden="1">#REF!</definedName>
    <definedName name="FDP_59_1_aUrv" localSheetId="7" hidden="1">#REF!</definedName>
    <definedName name="FDP_59_1_aUrv" localSheetId="3" hidden="1">#REF!</definedName>
    <definedName name="FDP_59_1_aUrv" localSheetId="21" hidden="1">#REF!</definedName>
    <definedName name="FDP_59_1_aUrv" hidden="1">#REF!</definedName>
    <definedName name="FDP_6_1_aSrv" localSheetId="0" hidden="1">#REF!</definedName>
    <definedName name="FDP_6_1_aSrv" localSheetId="27" hidden="1">#REF!</definedName>
    <definedName name="FDP_6_1_aSrv" localSheetId="19" hidden="1">#REF!</definedName>
    <definedName name="FDP_6_1_aSrv" localSheetId="1" hidden="1">#REF!</definedName>
    <definedName name="FDP_6_1_aSrv" localSheetId="8" hidden="1">#REF!</definedName>
    <definedName name="FDP_6_1_aSrv" localSheetId="6" hidden="1">#REF!</definedName>
    <definedName name="FDP_6_1_aSrv" localSheetId="17" hidden="1">#REF!</definedName>
    <definedName name="FDP_6_1_aSrv" localSheetId="7" hidden="1">#REF!</definedName>
    <definedName name="FDP_6_1_aSrv" localSheetId="3" hidden="1">#REF!</definedName>
    <definedName name="FDP_6_1_aSrv" localSheetId="21" hidden="1">#REF!</definedName>
    <definedName name="FDP_6_1_aSrv" hidden="1">#REF!</definedName>
    <definedName name="FDP_60_1_aUrv" localSheetId="0" hidden="1">#REF!</definedName>
    <definedName name="FDP_60_1_aUrv" localSheetId="27" hidden="1">#REF!</definedName>
    <definedName name="FDP_60_1_aUrv" localSheetId="19" hidden="1">#REF!</definedName>
    <definedName name="FDP_60_1_aUrv" localSheetId="1" hidden="1">#REF!</definedName>
    <definedName name="FDP_60_1_aUrv" localSheetId="8" hidden="1">#REF!</definedName>
    <definedName name="FDP_60_1_aUrv" localSheetId="6" hidden="1">#REF!</definedName>
    <definedName name="FDP_60_1_aUrv" localSheetId="17" hidden="1">#REF!</definedName>
    <definedName name="FDP_60_1_aUrv" localSheetId="7" hidden="1">#REF!</definedName>
    <definedName name="FDP_60_1_aUrv" localSheetId="3" hidden="1">#REF!</definedName>
    <definedName name="FDP_60_1_aUrv" localSheetId="21" hidden="1">#REF!</definedName>
    <definedName name="FDP_60_1_aUrv" hidden="1">#REF!</definedName>
    <definedName name="FDP_61_1_aUrv" localSheetId="0" hidden="1">#REF!</definedName>
    <definedName name="FDP_61_1_aUrv" localSheetId="27" hidden="1">#REF!</definedName>
    <definedName name="FDP_61_1_aUrv" localSheetId="19" hidden="1">#REF!</definedName>
    <definedName name="FDP_61_1_aUrv" localSheetId="1" hidden="1">#REF!</definedName>
    <definedName name="FDP_61_1_aUrv" localSheetId="8" hidden="1">#REF!</definedName>
    <definedName name="FDP_61_1_aUrv" localSheetId="6" hidden="1">#REF!</definedName>
    <definedName name="FDP_61_1_aUrv" localSheetId="17" hidden="1">#REF!</definedName>
    <definedName name="FDP_61_1_aUrv" localSheetId="7" hidden="1">#REF!</definedName>
    <definedName name="FDP_61_1_aUrv" localSheetId="3" hidden="1">#REF!</definedName>
    <definedName name="FDP_61_1_aUrv" localSheetId="21" hidden="1">#REF!</definedName>
    <definedName name="FDP_61_1_aUrv" hidden="1">#REF!</definedName>
    <definedName name="FDP_62_1_aUrv" localSheetId="0" hidden="1">#REF!</definedName>
    <definedName name="FDP_62_1_aUrv" localSheetId="27" hidden="1">#REF!</definedName>
    <definedName name="FDP_62_1_aUrv" localSheetId="19" hidden="1">#REF!</definedName>
    <definedName name="FDP_62_1_aUrv" localSheetId="1" hidden="1">#REF!</definedName>
    <definedName name="FDP_62_1_aUrv" localSheetId="8" hidden="1">#REF!</definedName>
    <definedName name="FDP_62_1_aUrv" localSheetId="6" hidden="1">#REF!</definedName>
    <definedName name="FDP_62_1_aUrv" localSheetId="17" hidden="1">#REF!</definedName>
    <definedName name="FDP_62_1_aUrv" localSheetId="7" hidden="1">#REF!</definedName>
    <definedName name="FDP_62_1_aUrv" localSheetId="3" hidden="1">#REF!</definedName>
    <definedName name="FDP_62_1_aUrv" localSheetId="21" hidden="1">#REF!</definedName>
    <definedName name="FDP_62_1_aUrv" hidden="1">#REF!</definedName>
    <definedName name="FDP_63_1_aUrv" localSheetId="0" hidden="1">#REF!</definedName>
    <definedName name="FDP_63_1_aUrv" localSheetId="27" hidden="1">#REF!</definedName>
    <definedName name="FDP_63_1_aUrv" localSheetId="19" hidden="1">#REF!</definedName>
    <definedName name="FDP_63_1_aUrv" localSheetId="1" hidden="1">#REF!</definedName>
    <definedName name="FDP_63_1_aUrv" localSheetId="8" hidden="1">#REF!</definedName>
    <definedName name="FDP_63_1_aUrv" localSheetId="6" hidden="1">#REF!</definedName>
    <definedName name="FDP_63_1_aUrv" localSheetId="17" hidden="1">#REF!</definedName>
    <definedName name="FDP_63_1_aUrv" localSheetId="7" hidden="1">#REF!</definedName>
    <definedName name="FDP_63_1_aUrv" localSheetId="3" hidden="1">#REF!</definedName>
    <definedName name="FDP_63_1_aUrv" localSheetId="21" hidden="1">#REF!</definedName>
    <definedName name="FDP_63_1_aUrv" hidden="1">#REF!</definedName>
    <definedName name="FDP_64_1_aUrv" localSheetId="0" hidden="1">#REF!</definedName>
    <definedName name="FDP_64_1_aUrv" localSheetId="27" hidden="1">#REF!</definedName>
    <definedName name="FDP_64_1_aUrv" localSheetId="19" hidden="1">#REF!</definedName>
    <definedName name="FDP_64_1_aUrv" localSheetId="1" hidden="1">#REF!</definedName>
    <definedName name="FDP_64_1_aUrv" localSheetId="8" hidden="1">#REF!</definedName>
    <definedName name="FDP_64_1_aUrv" localSheetId="6" hidden="1">#REF!</definedName>
    <definedName name="FDP_64_1_aUrv" localSheetId="17" hidden="1">#REF!</definedName>
    <definedName name="FDP_64_1_aUrv" localSheetId="7" hidden="1">#REF!</definedName>
    <definedName name="FDP_64_1_aUrv" localSheetId="3" hidden="1">#REF!</definedName>
    <definedName name="FDP_64_1_aUrv" localSheetId="21" hidden="1">#REF!</definedName>
    <definedName name="FDP_64_1_aUrv" hidden="1">#REF!</definedName>
    <definedName name="FDP_65_1_aSrv" localSheetId="0" hidden="1">#REF!</definedName>
    <definedName name="FDP_65_1_aSrv" localSheetId="27" hidden="1">#REF!</definedName>
    <definedName name="FDP_65_1_aSrv" localSheetId="19" hidden="1">#REF!</definedName>
    <definedName name="FDP_65_1_aSrv" localSheetId="1" hidden="1">#REF!</definedName>
    <definedName name="FDP_65_1_aSrv" localSheetId="8" hidden="1">#REF!</definedName>
    <definedName name="FDP_65_1_aSrv" localSheetId="6" hidden="1">#REF!</definedName>
    <definedName name="FDP_65_1_aSrv" localSheetId="17" hidden="1">#REF!</definedName>
    <definedName name="FDP_65_1_aSrv" localSheetId="7" hidden="1">#REF!</definedName>
    <definedName name="FDP_65_1_aSrv" localSheetId="3" hidden="1">#REF!</definedName>
    <definedName name="FDP_65_1_aSrv" localSheetId="21" hidden="1">#REF!</definedName>
    <definedName name="FDP_65_1_aSrv" hidden="1">#REF!</definedName>
    <definedName name="FDP_66_1_aSrv" localSheetId="0" hidden="1">#REF!</definedName>
    <definedName name="FDP_66_1_aSrv" localSheetId="27" hidden="1">#REF!</definedName>
    <definedName name="FDP_66_1_aSrv" localSheetId="19" hidden="1">#REF!</definedName>
    <definedName name="FDP_66_1_aSrv" localSheetId="1" hidden="1">#REF!</definedName>
    <definedName name="FDP_66_1_aSrv" localSheetId="8" hidden="1">#REF!</definedName>
    <definedName name="FDP_66_1_aSrv" localSheetId="6" hidden="1">#REF!</definedName>
    <definedName name="FDP_66_1_aSrv" localSheetId="17" hidden="1">#REF!</definedName>
    <definedName name="FDP_66_1_aSrv" localSheetId="7" hidden="1">#REF!</definedName>
    <definedName name="FDP_66_1_aSrv" localSheetId="3" hidden="1">#REF!</definedName>
    <definedName name="FDP_66_1_aSrv" localSheetId="21" hidden="1">#REF!</definedName>
    <definedName name="FDP_66_1_aSrv" hidden="1">#REF!</definedName>
    <definedName name="FDP_67_1_aUrv" localSheetId="0" hidden="1">#REF!</definedName>
    <definedName name="FDP_67_1_aUrv" localSheetId="27" hidden="1">#REF!</definedName>
    <definedName name="FDP_67_1_aUrv" localSheetId="19" hidden="1">#REF!</definedName>
    <definedName name="FDP_67_1_aUrv" localSheetId="1" hidden="1">#REF!</definedName>
    <definedName name="FDP_67_1_aUrv" localSheetId="8" hidden="1">#REF!</definedName>
    <definedName name="FDP_67_1_aUrv" localSheetId="6" hidden="1">#REF!</definedName>
    <definedName name="FDP_67_1_aUrv" localSheetId="17" hidden="1">#REF!</definedName>
    <definedName name="FDP_67_1_aUrv" localSheetId="7" hidden="1">#REF!</definedName>
    <definedName name="FDP_67_1_aUrv" localSheetId="3" hidden="1">#REF!</definedName>
    <definedName name="FDP_67_1_aUrv" localSheetId="21" hidden="1">#REF!</definedName>
    <definedName name="FDP_67_1_aUrv" hidden="1">#REF!</definedName>
    <definedName name="FDP_68_1_aSrv" localSheetId="0" hidden="1">#REF!</definedName>
    <definedName name="FDP_68_1_aSrv" localSheetId="27" hidden="1">#REF!</definedName>
    <definedName name="FDP_68_1_aSrv" localSheetId="19" hidden="1">#REF!</definedName>
    <definedName name="FDP_68_1_aSrv" localSheetId="1" hidden="1">#REF!</definedName>
    <definedName name="FDP_68_1_aSrv" localSheetId="8" hidden="1">#REF!</definedName>
    <definedName name="FDP_68_1_aSrv" localSheetId="6" hidden="1">#REF!</definedName>
    <definedName name="FDP_68_1_aSrv" localSheetId="17" hidden="1">#REF!</definedName>
    <definedName name="FDP_68_1_aSrv" localSheetId="7" hidden="1">#REF!</definedName>
    <definedName name="FDP_68_1_aSrv" localSheetId="3" hidden="1">#REF!</definedName>
    <definedName name="FDP_68_1_aSrv" localSheetId="21" hidden="1">#REF!</definedName>
    <definedName name="FDP_68_1_aSrv" hidden="1">#REF!</definedName>
    <definedName name="FDP_69_1_aSrv" localSheetId="0" hidden="1">#REF!</definedName>
    <definedName name="FDP_69_1_aSrv" localSheetId="27" hidden="1">#REF!</definedName>
    <definedName name="FDP_69_1_aSrv" localSheetId="19" hidden="1">#REF!</definedName>
    <definedName name="FDP_69_1_aSrv" localSheetId="1" hidden="1">#REF!</definedName>
    <definedName name="FDP_69_1_aSrv" localSheetId="8" hidden="1">#REF!</definedName>
    <definedName name="FDP_69_1_aSrv" localSheetId="6" hidden="1">#REF!</definedName>
    <definedName name="FDP_69_1_aSrv" localSheetId="17" hidden="1">#REF!</definedName>
    <definedName name="FDP_69_1_aSrv" localSheetId="7" hidden="1">#REF!</definedName>
    <definedName name="FDP_69_1_aSrv" localSheetId="3" hidden="1">#REF!</definedName>
    <definedName name="FDP_69_1_aSrv" localSheetId="21" hidden="1">#REF!</definedName>
    <definedName name="FDP_69_1_aSrv" hidden="1">#REF!</definedName>
    <definedName name="FDP_7_1_aSrv" localSheetId="0" hidden="1">#REF!</definedName>
    <definedName name="FDP_7_1_aSrv" localSheetId="27" hidden="1">#REF!</definedName>
    <definedName name="FDP_7_1_aSrv" localSheetId="19" hidden="1">#REF!</definedName>
    <definedName name="FDP_7_1_aSrv" localSheetId="1" hidden="1">#REF!</definedName>
    <definedName name="FDP_7_1_aSrv" localSheetId="8" hidden="1">#REF!</definedName>
    <definedName name="FDP_7_1_aSrv" localSheetId="6" hidden="1">#REF!</definedName>
    <definedName name="FDP_7_1_aSrv" localSheetId="17" hidden="1">#REF!</definedName>
    <definedName name="FDP_7_1_aSrv" localSheetId="7" hidden="1">#REF!</definedName>
    <definedName name="FDP_7_1_aSrv" localSheetId="3" hidden="1">#REF!</definedName>
    <definedName name="FDP_7_1_aSrv" localSheetId="21" hidden="1">#REF!</definedName>
    <definedName name="FDP_7_1_aSrv" hidden="1">#REF!</definedName>
    <definedName name="FDP_70_1_aUrv" localSheetId="0" hidden="1">#REF!</definedName>
    <definedName name="FDP_70_1_aUrv" localSheetId="27" hidden="1">#REF!</definedName>
    <definedName name="FDP_70_1_aUrv" localSheetId="19" hidden="1">#REF!</definedName>
    <definedName name="FDP_70_1_aUrv" localSheetId="1" hidden="1">#REF!</definedName>
    <definedName name="FDP_70_1_aUrv" localSheetId="8" hidden="1">#REF!</definedName>
    <definedName name="FDP_70_1_aUrv" localSheetId="6" hidden="1">#REF!</definedName>
    <definedName name="FDP_70_1_aUrv" localSheetId="17" hidden="1">#REF!</definedName>
    <definedName name="FDP_70_1_aUrv" localSheetId="7" hidden="1">#REF!</definedName>
    <definedName name="FDP_70_1_aUrv" localSheetId="3" hidden="1">#REF!</definedName>
    <definedName name="FDP_70_1_aUrv" localSheetId="21" hidden="1">#REF!</definedName>
    <definedName name="FDP_70_1_aUrv" hidden="1">#REF!</definedName>
    <definedName name="FDP_71_1_aUrv" localSheetId="0" hidden="1">#REF!</definedName>
    <definedName name="FDP_71_1_aUrv" localSheetId="27" hidden="1">#REF!</definedName>
    <definedName name="FDP_71_1_aUrv" localSheetId="19" hidden="1">#REF!</definedName>
    <definedName name="FDP_71_1_aUrv" localSheetId="1" hidden="1">#REF!</definedName>
    <definedName name="FDP_71_1_aUrv" localSheetId="8" hidden="1">#REF!</definedName>
    <definedName name="FDP_71_1_aUrv" localSheetId="6" hidden="1">#REF!</definedName>
    <definedName name="FDP_71_1_aUrv" localSheetId="17" hidden="1">#REF!</definedName>
    <definedName name="FDP_71_1_aUrv" localSheetId="7" hidden="1">#REF!</definedName>
    <definedName name="FDP_71_1_aUrv" localSheetId="3" hidden="1">#REF!</definedName>
    <definedName name="FDP_71_1_aUrv" localSheetId="21" hidden="1">#REF!</definedName>
    <definedName name="FDP_71_1_aUrv" hidden="1">#REF!</definedName>
    <definedName name="FDP_72_1_aUrv" localSheetId="0" hidden="1">#REF!</definedName>
    <definedName name="FDP_72_1_aUrv" localSheetId="27" hidden="1">#REF!</definedName>
    <definedName name="FDP_72_1_aUrv" localSheetId="19" hidden="1">#REF!</definedName>
    <definedName name="FDP_72_1_aUrv" localSheetId="1" hidden="1">#REF!</definedName>
    <definedName name="FDP_72_1_aUrv" localSheetId="8" hidden="1">#REF!</definedName>
    <definedName name="FDP_72_1_aUrv" localSheetId="6" hidden="1">#REF!</definedName>
    <definedName name="FDP_72_1_aUrv" localSheetId="17" hidden="1">#REF!</definedName>
    <definedName name="FDP_72_1_aUrv" localSheetId="7" hidden="1">#REF!</definedName>
    <definedName name="FDP_72_1_aUrv" localSheetId="3" hidden="1">#REF!</definedName>
    <definedName name="FDP_72_1_aUrv" localSheetId="21" hidden="1">#REF!</definedName>
    <definedName name="FDP_72_1_aUrv" hidden="1">#REF!</definedName>
    <definedName name="FDP_73_1_aSrv" localSheetId="0" hidden="1">#REF!</definedName>
    <definedName name="FDP_73_1_aSrv" localSheetId="27" hidden="1">#REF!</definedName>
    <definedName name="FDP_73_1_aSrv" localSheetId="19" hidden="1">#REF!</definedName>
    <definedName name="FDP_73_1_aSrv" localSheetId="1" hidden="1">#REF!</definedName>
    <definedName name="FDP_73_1_aSrv" localSheetId="8" hidden="1">#REF!</definedName>
    <definedName name="FDP_73_1_aSrv" localSheetId="6" hidden="1">#REF!</definedName>
    <definedName name="FDP_73_1_aSrv" localSheetId="17" hidden="1">#REF!</definedName>
    <definedName name="FDP_73_1_aSrv" localSheetId="7" hidden="1">#REF!</definedName>
    <definedName name="FDP_73_1_aSrv" localSheetId="3" hidden="1">#REF!</definedName>
    <definedName name="FDP_73_1_aSrv" localSheetId="21" hidden="1">#REF!</definedName>
    <definedName name="FDP_73_1_aSrv" hidden="1">#REF!</definedName>
    <definedName name="FDP_74_1_aDrv" localSheetId="0" hidden="1">#REF!</definedName>
    <definedName name="FDP_74_1_aDrv" localSheetId="27" hidden="1">#REF!</definedName>
    <definedName name="FDP_74_1_aDrv" localSheetId="19" hidden="1">#REF!</definedName>
    <definedName name="FDP_74_1_aDrv" localSheetId="1" hidden="1">#REF!</definedName>
    <definedName name="FDP_74_1_aDrv" localSheetId="8" hidden="1">#REF!</definedName>
    <definedName name="FDP_74_1_aDrv" localSheetId="6" hidden="1">#REF!</definedName>
    <definedName name="FDP_74_1_aDrv" localSheetId="17" hidden="1">#REF!</definedName>
    <definedName name="FDP_74_1_aDrv" localSheetId="7" hidden="1">#REF!</definedName>
    <definedName name="FDP_74_1_aDrv" localSheetId="3" hidden="1">#REF!</definedName>
    <definedName name="FDP_74_1_aDrv" localSheetId="21" hidden="1">#REF!</definedName>
    <definedName name="FDP_74_1_aDrv" hidden="1">#REF!</definedName>
    <definedName name="FDP_75_1_aUrv" localSheetId="0" hidden="1">#REF!</definedName>
    <definedName name="FDP_75_1_aUrv" localSheetId="27" hidden="1">#REF!</definedName>
    <definedName name="FDP_75_1_aUrv" localSheetId="19" hidden="1">#REF!</definedName>
    <definedName name="FDP_75_1_aUrv" localSheetId="1" hidden="1">#REF!</definedName>
    <definedName name="FDP_75_1_aUrv" localSheetId="8" hidden="1">#REF!</definedName>
    <definedName name="FDP_75_1_aUrv" localSheetId="6" hidden="1">#REF!</definedName>
    <definedName name="FDP_75_1_aUrv" localSheetId="17" hidden="1">#REF!</definedName>
    <definedName name="FDP_75_1_aUrv" localSheetId="7" hidden="1">#REF!</definedName>
    <definedName name="FDP_75_1_aUrv" localSheetId="3" hidden="1">#REF!</definedName>
    <definedName name="FDP_75_1_aUrv" localSheetId="21" hidden="1">#REF!</definedName>
    <definedName name="FDP_75_1_aUrv" hidden="1">#REF!</definedName>
    <definedName name="FDP_76_1_aDrv" localSheetId="0" hidden="1">#REF!</definedName>
    <definedName name="FDP_76_1_aDrv" localSheetId="27" hidden="1">#REF!</definedName>
    <definedName name="FDP_76_1_aDrv" localSheetId="19" hidden="1">#REF!</definedName>
    <definedName name="FDP_76_1_aDrv" localSheetId="1" hidden="1">#REF!</definedName>
    <definedName name="FDP_76_1_aDrv" localSheetId="8" hidden="1">#REF!</definedName>
    <definedName name="FDP_76_1_aDrv" localSheetId="6" hidden="1">#REF!</definedName>
    <definedName name="FDP_76_1_aDrv" localSheetId="17" hidden="1">#REF!</definedName>
    <definedName name="FDP_76_1_aDrv" localSheetId="7" hidden="1">#REF!</definedName>
    <definedName name="FDP_76_1_aDrv" localSheetId="3" hidden="1">#REF!</definedName>
    <definedName name="FDP_76_1_aDrv" localSheetId="21" hidden="1">#REF!</definedName>
    <definedName name="FDP_76_1_aDrv" hidden="1">#REF!</definedName>
    <definedName name="FDP_77_1_aUrv" localSheetId="0" hidden="1">#REF!</definedName>
    <definedName name="FDP_77_1_aUrv" localSheetId="27" hidden="1">#REF!</definedName>
    <definedName name="FDP_77_1_aUrv" localSheetId="19" hidden="1">#REF!</definedName>
    <definedName name="FDP_77_1_aUrv" localSheetId="1" hidden="1">#REF!</definedName>
    <definedName name="FDP_77_1_aUrv" localSheetId="8" hidden="1">#REF!</definedName>
    <definedName name="FDP_77_1_aUrv" localSheetId="6" hidden="1">#REF!</definedName>
    <definedName name="FDP_77_1_aUrv" localSheetId="17" hidden="1">#REF!</definedName>
    <definedName name="FDP_77_1_aUrv" localSheetId="7" hidden="1">#REF!</definedName>
    <definedName name="FDP_77_1_aUrv" localSheetId="3" hidden="1">#REF!</definedName>
    <definedName name="FDP_77_1_aUrv" localSheetId="21" hidden="1">#REF!</definedName>
    <definedName name="FDP_77_1_aUrv" hidden="1">#REF!</definedName>
    <definedName name="FDP_78_1_aSrv" localSheetId="0" hidden="1">#REF!</definedName>
    <definedName name="FDP_78_1_aSrv" localSheetId="27" hidden="1">#REF!</definedName>
    <definedName name="FDP_78_1_aSrv" localSheetId="19" hidden="1">#REF!</definedName>
    <definedName name="FDP_78_1_aSrv" localSheetId="1" hidden="1">#REF!</definedName>
    <definedName name="FDP_78_1_aSrv" localSheetId="8" hidden="1">#REF!</definedName>
    <definedName name="FDP_78_1_aSrv" localSheetId="6" hidden="1">#REF!</definedName>
    <definedName name="FDP_78_1_aSrv" localSheetId="17" hidden="1">#REF!</definedName>
    <definedName name="FDP_78_1_aSrv" localSheetId="7" hidden="1">#REF!</definedName>
    <definedName name="FDP_78_1_aSrv" localSheetId="3" hidden="1">#REF!</definedName>
    <definedName name="FDP_78_1_aSrv" localSheetId="21" hidden="1">#REF!</definedName>
    <definedName name="FDP_78_1_aSrv" hidden="1">#REF!</definedName>
    <definedName name="FDP_79_1_aUrv" localSheetId="0" hidden="1">#REF!</definedName>
    <definedName name="FDP_79_1_aUrv" localSheetId="27" hidden="1">#REF!</definedName>
    <definedName name="FDP_79_1_aUrv" localSheetId="19" hidden="1">#REF!</definedName>
    <definedName name="FDP_79_1_aUrv" localSheetId="1" hidden="1">#REF!</definedName>
    <definedName name="FDP_79_1_aUrv" localSheetId="8" hidden="1">#REF!</definedName>
    <definedName name="FDP_79_1_aUrv" localSheetId="6" hidden="1">#REF!</definedName>
    <definedName name="FDP_79_1_aUrv" localSheetId="17" hidden="1">#REF!</definedName>
    <definedName name="FDP_79_1_aUrv" localSheetId="7" hidden="1">#REF!</definedName>
    <definedName name="FDP_79_1_aUrv" localSheetId="3" hidden="1">#REF!</definedName>
    <definedName name="FDP_79_1_aUrv" localSheetId="21" hidden="1">#REF!</definedName>
    <definedName name="FDP_79_1_aUrv" hidden="1">#REF!</definedName>
    <definedName name="FDP_8_1_aUrv" localSheetId="0" hidden="1">#REF!</definedName>
    <definedName name="FDP_8_1_aUrv" localSheetId="27" hidden="1">#REF!</definedName>
    <definedName name="FDP_8_1_aUrv" localSheetId="19" hidden="1">#REF!</definedName>
    <definedName name="FDP_8_1_aUrv" localSheetId="1" hidden="1">#REF!</definedName>
    <definedName name="FDP_8_1_aUrv" localSheetId="8" hidden="1">#REF!</definedName>
    <definedName name="FDP_8_1_aUrv" localSheetId="6" hidden="1">#REF!</definedName>
    <definedName name="FDP_8_1_aUrv" localSheetId="17" hidden="1">#REF!</definedName>
    <definedName name="FDP_8_1_aUrv" localSheetId="7" hidden="1">#REF!</definedName>
    <definedName name="FDP_8_1_aUrv" localSheetId="3" hidden="1">#REF!</definedName>
    <definedName name="FDP_8_1_aUrv" localSheetId="21" hidden="1">#REF!</definedName>
    <definedName name="FDP_8_1_aUrv" hidden="1">#REF!</definedName>
    <definedName name="FDP_80_1_aSrv" localSheetId="0" hidden="1">#REF!</definedName>
    <definedName name="FDP_80_1_aSrv" localSheetId="27" hidden="1">#REF!</definedName>
    <definedName name="FDP_80_1_aSrv" localSheetId="19" hidden="1">#REF!</definedName>
    <definedName name="FDP_80_1_aSrv" localSheetId="1" hidden="1">#REF!</definedName>
    <definedName name="FDP_80_1_aSrv" localSheetId="8" hidden="1">#REF!</definedName>
    <definedName name="FDP_80_1_aSrv" localSheetId="6" hidden="1">#REF!</definedName>
    <definedName name="FDP_80_1_aSrv" localSheetId="17" hidden="1">#REF!</definedName>
    <definedName name="FDP_80_1_aSrv" localSheetId="7" hidden="1">#REF!</definedName>
    <definedName name="FDP_80_1_aSrv" localSheetId="3" hidden="1">#REF!</definedName>
    <definedName name="FDP_80_1_aSrv" localSheetId="21" hidden="1">#REF!</definedName>
    <definedName name="FDP_80_1_aSrv" hidden="1">#REF!</definedName>
    <definedName name="FDP_81_1_aUrv" localSheetId="0" hidden="1">#REF!</definedName>
    <definedName name="FDP_81_1_aUrv" localSheetId="27" hidden="1">#REF!</definedName>
    <definedName name="FDP_81_1_aUrv" localSheetId="19" hidden="1">#REF!</definedName>
    <definedName name="FDP_81_1_aUrv" localSheetId="1" hidden="1">#REF!</definedName>
    <definedName name="FDP_81_1_aUrv" localSheetId="8" hidden="1">#REF!</definedName>
    <definedName name="FDP_81_1_aUrv" localSheetId="6" hidden="1">#REF!</definedName>
    <definedName name="FDP_81_1_aUrv" localSheetId="17" hidden="1">#REF!</definedName>
    <definedName name="FDP_81_1_aUrv" localSheetId="7" hidden="1">#REF!</definedName>
    <definedName name="FDP_81_1_aUrv" localSheetId="3" hidden="1">#REF!</definedName>
    <definedName name="FDP_81_1_aUrv" localSheetId="21" hidden="1">#REF!</definedName>
    <definedName name="FDP_81_1_aUrv" hidden="1">#REF!</definedName>
    <definedName name="FDP_82_1_aUrv" localSheetId="0" hidden="1">#REF!</definedName>
    <definedName name="FDP_82_1_aUrv" localSheetId="27" hidden="1">#REF!</definedName>
    <definedName name="FDP_82_1_aUrv" localSheetId="19" hidden="1">#REF!</definedName>
    <definedName name="FDP_82_1_aUrv" localSheetId="1" hidden="1">#REF!</definedName>
    <definedName name="FDP_82_1_aUrv" localSheetId="8" hidden="1">#REF!</definedName>
    <definedName name="FDP_82_1_aUrv" localSheetId="6" hidden="1">#REF!</definedName>
    <definedName name="FDP_82_1_aUrv" localSheetId="17" hidden="1">#REF!</definedName>
    <definedName name="FDP_82_1_aUrv" localSheetId="7" hidden="1">#REF!</definedName>
    <definedName name="FDP_82_1_aUrv" localSheetId="3" hidden="1">#REF!</definedName>
    <definedName name="FDP_82_1_aUrv" localSheetId="21" hidden="1">#REF!</definedName>
    <definedName name="FDP_82_1_aUrv" hidden="1">#REF!</definedName>
    <definedName name="FDP_83_1_aUrv" localSheetId="0" hidden="1">#REF!</definedName>
    <definedName name="FDP_83_1_aUrv" localSheetId="27" hidden="1">#REF!</definedName>
    <definedName name="FDP_83_1_aUrv" localSheetId="19" hidden="1">#REF!</definedName>
    <definedName name="FDP_83_1_aUrv" localSheetId="1" hidden="1">#REF!</definedName>
    <definedName name="FDP_83_1_aUrv" localSheetId="8" hidden="1">#REF!</definedName>
    <definedName name="FDP_83_1_aUrv" localSheetId="6" hidden="1">#REF!</definedName>
    <definedName name="FDP_83_1_aUrv" localSheetId="17" hidden="1">#REF!</definedName>
    <definedName name="FDP_83_1_aUrv" localSheetId="7" hidden="1">#REF!</definedName>
    <definedName name="FDP_83_1_aUrv" localSheetId="3" hidden="1">#REF!</definedName>
    <definedName name="FDP_83_1_aUrv" localSheetId="21" hidden="1">#REF!</definedName>
    <definedName name="FDP_83_1_aUrv" hidden="1">#REF!</definedName>
    <definedName name="FDP_84_1_aUrv" localSheetId="0" hidden="1">#REF!</definedName>
    <definedName name="FDP_84_1_aUrv" localSheetId="27" hidden="1">#REF!</definedName>
    <definedName name="FDP_84_1_aUrv" localSheetId="19" hidden="1">#REF!</definedName>
    <definedName name="FDP_84_1_aUrv" localSheetId="1" hidden="1">#REF!</definedName>
    <definedName name="FDP_84_1_aUrv" localSheetId="8" hidden="1">#REF!</definedName>
    <definedName name="FDP_84_1_aUrv" localSheetId="6" hidden="1">#REF!</definedName>
    <definedName name="FDP_84_1_aUrv" localSheetId="17" hidden="1">#REF!</definedName>
    <definedName name="FDP_84_1_aUrv" localSheetId="7" hidden="1">#REF!</definedName>
    <definedName name="FDP_84_1_aUrv" localSheetId="3" hidden="1">#REF!</definedName>
    <definedName name="FDP_84_1_aUrv" localSheetId="21" hidden="1">#REF!</definedName>
    <definedName name="FDP_84_1_aUrv" hidden="1">#REF!</definedName>
    <definedName name="FDP_85_1_aUrv" localSheetId="0" hidden="1">#REF!</definedName>
    <definedName name="FDP_85_1_aUrv" localSheetId="27" hidden="1">#REF!</definedName>
    <definedName name="FDP_85_1_aUrv" localSheetId="19" hidden="1">#REF!</definedName>
    <definedName name="FDP_85_1_aUrv" localSheetId="1" hidden="1">#REF!</definedName>
    <definedName name="FDP_85_1_aUrv" localSheetId="8" hidden="1">#REF!</definedName>
    <definedName name="FDP_85_1_aUrv" localSheetId="6" hidden="1">#REF!</definedName>
    <definedName name="FDP_85_1_aUrv" localSheetId="17" hidden="1">#REF!</definedName>
    <definedName name="FDP_85_1_aUrv" localSheetId="7" hidden="1">#REF!</definedName>
    <definedName name="FDP_85_1_aUrv" localSheetId="3" hidden="1">#REF!</definedName>
    <definedName name="FDP_85_1_aUrv" localSheetId="21" hidden="1">#REF!</definedName>
    <definedName name="FDP_85_1_aUrv" hidden="1">#REF!</definedName>
    <definedName name="FDP_86_1_aSrv" localSheetId="0" hidden="1">#REF!</definedName>
    <definedName name="FDP_86_1_aSrv" localSheetId="27" hidden="1">#REF!</definedName>
    <definedName name="FDP_86_1_aSrv" localSheetId="19" hidden="1">#REF!</definedName>
    <definedName name="FDP_86_1_aSrv" localSheetId="1" hidden="1">#REF!</definedName>
    <definedName name="FDP_86_1_aSrv" localSheetId="8" hidden="1">#REF!</definedName>
    <definedName name="FDP_86_1_aSrv" localSheetId="6" hidden="1">#REF!</definedName>
    <definedName name="FDP_86_1_aSrv" localSheetId="17" hidden="1">#REF!</definedName>
    <definedName name="FDP_86_1_aSrv" localSheetId="7" hidden="1">#REF!</definedName>
    <definedName name="FDP_86_1_aSrv" localSheetId="3" hidden="1">#REF!</definedName>
    <definedName name="FDP_86_1_aSrv" localSheetId="21" hidden="1">#REF!</definedName>
    <definedName name="FDP_86_1_aSrv" hidden="1">#REF!</definedName>
    <definedName name="FDP_87_1_aUrv" localSheetId="0" hidden="1">#REF!</definedName>
    <definedName name="FDP_87_1_aUrv" localSheetId="27" hidden="1">#REF!</definedName>
    <definedName name="FDP_87_1_aUrv" localSheetId="19" hidden="1">#REF!</definedName>
    <definedName name="FDP_87_1_aUrv" localSheetId="1" hidden="1">#REF!</definedName>
    <definedName name="FDP_87_1_aUrv" localSheetId="8" hidden="1">#REF!</definedName>
    <definedName name="FDP_87_1_aUrv" localSheetId="6" hidden="1">#REF!</definedName>
    <definedName name="FDP_87_1_aUrv" localSheetId="17" hidden="1">#REF!</definedName>
    <definedName name="FDP_87_1_aUrv" localSheetId="7" hidden="1">#REF!</definedName>
    <definedName name="FDP_87_1_aUrv" localSheetId="3" hidden="1">#REF!</definedName>
    <definedName name="FDP_87_1_aUrv" localSheetId="21" hidden="1">#REF!</definedName>
    <definedName name="FDP_87_1_aUrv" hidden="1">#REF!</definedName>
    <definedName name="FDP_88_1_aSrv" localSheetId="0" hidden="1">#REF!</definedName>
    <definedName name="FDP_88_1_aSrv" localSheetId="27" hidden="1">#REF!</definedName>
    <definedName name="FDP_88_1_aSrv" localSheetId="19" hidden="1">#REF!</definedName>
    <definedName name="FDP_88_1_aSrv" localSheetId="1" hidden="1">#REF!</definedName>
    <definedName name="FDP_88_1_aSrv" localSheetId="8" hidden="1">#REF!</definedName>
    <definedName name="FDP_88_1_aSrv" localSheetId="6" hidden="1">#REF!</definedName>
    <definedName name="FDP_88_1_aSrv" localSheetId="17" hidden="1">#REF!</definedName>
    <definedName name="FDP_88_1_aSrv" localSheetId="7" hidden="1">#REF!</definedName>
    <definedName name="FDP_88_1_aSrv" localSheetId="3" hidden="1">#REF!</definedName>
    <definedName name="FDP_88_1_aSrv" localSheetId="21" hidden="1">#REF!</definedName>
    <definedName name="FDP_88_1_aSrv" hidden="1">#REF!</definedName>
    <definedName name="FDP_89_1_aUrv" localSheetId="0" hidden="1">#REF!</definedName>
    <definedName name="FDP_89_1_aUrv" localSheetId="27" hidden="1">#REF!</definedName>
    <definedName name="FDP_89_1_aUrv" localSheetId="19" hidden="1">#REF!</definedName>
    <definedName name="FDP_89_1_aUrv" localSheetId="1" hidden="1">#REF!</definedName>
    <definedName name="FDP_89_1_aUrv" localSheetId="8" hidden="1">#REF!</definedName>
    <definedName name="FDP_89_1_aUrv" localSheetId="6" hidden="1">#REF!</definedName>
    <definedName name="FDP_89_1_aUrv" localSheetId="17" hidden="1">#REF!</definedName>
    <definedName name="FDP_89_1_aUrv" localSheetId="7" hidden="1">#REF!</definedName>
    <definedName name="FDP_89_1_aUrv" localSheetId="3" hidden="1">#REF!</definedName>
    <definedName name="FDP_89_1_aUrv" localSheetId="21" hidden="1">#REF!</definedName>
    <definedName name="FDP_89_1_aUrv" hidden="1">#REF!</definedName>
    <definedName name="FDP_9_1_aSrv" localSheetId="0" hidden="1">#REF!</definedName>
    <definedName name="FDP_9_1_aSrv" localSheetId="27" hidden="1">#REF!</definedName>
    <definedName name="FDP_9_1_aSrv" localSheetId="19" hidden="1">#REF!</definedName>
    <definedName name="FDP_9_1_aSrv" localSheetId="1" hidden="1">#REF!</definedName>
    <definedName name="FDP_9_1_aSrv" localSheetId="8" hidden="1">#REF!</definedName>
    <definedName name="FDP_9_1_aSrv" localSheetId="6" hidden="1">#REF!</definedName>
    <definedName name="FDP_9_1_aSrv" localSheetId="17" hidden="1">#REF!</definedName>
    <definedName name="FDP_9_1_aSrv" localSheetId="7" hidden="1">#REF!</definedName>
    <definedName name="FDP_9_1_aSrv" localSheetId="3" hidden="1">#REF!</definedName>
    <definedName name="FDP_9_1_aSrv" localSheetId="21" hidden="1">#REF!</definedName>
    <definedName name="FDP_9_1_aSrv" hidden="1">#REF!</definedName>
    <definedName name="FDP_90_1_aUrv" localSheetId="0" hidden="1">#REF!</definedName>
    <definedName name="FDP_90_1_aUrv" localSheetId="27" hidden="1">#REF!</definedName>
    <definedName name="FDP_90_1_aUrv" localSheetId="19" hidden="1">#REF!</definedName>
    <definedName name="FDP_90_1_aUrv" localSheetId="1" hidden="1">#REF!</definedName>
    <definedName name="FDP_90_1_aUrv" localSheetId="8" hidden="1">#REF!</definedName>
    <definedName name="FDP_90_1_aUrv" localSheetId="6" hidden="1">#REF!</definedName>
    <definedName name="FDP_90_1_aUrv" localSheetId="17" hidden="1">#REF!</definedName>
    <definedName name="FDP_90_1_aUrv" localSheetId="7" hidden="1">#REF!</definedName>
    <definedName name="FDP_90_1_aUrv" localSheetId="3" hidden="1">#REF!</definedName>
    <definedName name="FDP_90_1_aUrv" localSheetId="21" hidden="1">#REF!</definedName>
    <definedName name="FDP_90_1_aUrv" hidden="1">#REF!</definedName>
    <definedName name="FDP_91_1_aUrv" localSheetId="0" hidden="1">#REF!</definedName>
    <definedName name="FDP_91_1_aUrv" localSheetId="27" hidden="1">#REF!</definedName>
    <definedName name="FDP_91_1_aUrv" localSheetId="19" hidden="1">#REF!</definedName>
    <definedName name="FDP_91_1_aUrv" localSheetId="1" hidden="1">#REF!</definedName>
    <definedName name="FDP_91_1_aUrv" localSheetId="8" hidden="1">#REF!</definedName>
    <definedName name="FDP_91_1_aUrv" localSheetId="6" hidden="1">#REF!</definedName>
    <definedName name="FDP_91_1_aUrv" localSheetId="17" hidden="1">#REF!</definedName>
    <definedName name="FDP_91_1_aUrv" localSheetId="7" hidden="1">#REF!</definedName>
    <definedName name="FDP_91_1_aUrv" localSheetId="3" hidden="1">#REF!</definedName>
    <definedName name="FDP_91_1_aUrv" localSheetId="21" hidden="1">#REF!</definedName>
    <definedName name="FDP_91_1_aUrv" hidden="1">#REF!</definedName>
    <definedName name="FDP_92_1_aSrv" localSheetId="0" hidden="1">#REF!</definedName>
    <definedName name="FDP_92_1_aSrv" localSheetId="27" hidden="1">#REF!</definedName>
    <definedName name="FDP_92_1_aSrv" localSheetId="19" hidden="1">#REF!</definedName>
    <definedName name="FDP_92_1_aSrv" localSheetId="1" hidden="1">#REF!</definedName>
    <definedName name="FDP_92_1_aSrv" localSheetId="8" hidden="1">#REF!</definedName>
    <definedName name="FDP_92_1_aSrv" localSheetId="6" hidden="1">#REF!</definedName>
    <definedName name="FDP_92_1_aSrv" localSheetId="17" hidden="1">#REF!</definedName>
    <definedName name="FDP_92_1_aSrv" localSheetId="7" hidden="1">#REF!</definedName>
    <definedName name="FDP_92_1_aSrv" localSheetId="3" hidden="1">#REF!</definedName>
    <definedName name="FDP_92_1_aSrv" localSheetId="21" hidden="1">#REF!</definedName>
    <definedName name="FDP_92_1_aSrv" hidden="1">#REF!</definedName>
    <definedName name="FDP_93_1_aUrv" localSheetId="0" hidden="1">#REF!</definedName>
    <definedName name="FDP_93_1_aUrv" localSheetId="27" hidden="1">#REF!</definedName>
    <definedName name="FDP_93_1_aUrv" localSheetId="19" hidden="1">#REF!</definedName>
    <definedName name="FDP_93_1_aUrv" localSheetId="1" hidden="1">#REF!</definedName>
    <definedName name="FDP_93_1_aUrv" localSheetId="8" hidden="1">#REF!</definedName>
    <definedName name="FDP_93_1_aUrv" localSheetId="6" hidden="1">#REF!</definedName>
    <definedName name="FDP_93_1_aUrv" localSheetId="17" hidden="1">#REF!</definedName>
    <definedName name="FDP_93_1_aUrv" localSheetId="7" hidden="1">#REF!</definedName>
    <definedName name="FDP_93_1_aUrv" localSheetId="3" hidden="1">#REF!</definedName>
    <definedName name="FDP_93_1_aUrv" localSheetId="21" hidden="1">#REF!</definedName>
    <definedName name="FDP_93_1_aUrv" hidden="1">#REF!</definedName>
    <definedName name="FDP_94_1_aSrv" localSheetId="0" hidden="1">#REF!</definedName>
    <definedName name="FDP_94_1_aSrv" localSheetId="27" hidden="1">#REF!</definedName>
    <definedName name="FDP_94_1_aSrv" localSheetId="19" hidden="1">#REF!</definedName>
    <definedName name="FDP_94_1_aSrv" localSheetId="1" hidden="1">#REF!</definedName>
    <definedName name="FDP_94_1_aSrv" localSheetId="8" hidden="1">#REF!</definedName>
    <definedName name="FDP_94_1_aSrv" localSheetId="6" hidden="1">#REF!</definedName>
    <definedName name="FDP_94_1_aSrv" localSheetId="17" hidden="1">#REF!</definedName>
    <definedName name="FDP_94_1_aSrv" localSheetId="7" hidden="1">#REF!</definedName>
    <definedName name="FDP_94_1_aSrv" localSheetId="3" hidden="1">#REF!</definedName>
    <definedName name="FDP_94_1_aSrv" localSheetId="21" hidden="1">#REF!</definedName>
    <definedName name="FDP_94_1_aSrv" hidden="1">#REF!</definedName>
    <definedName name="FDP_95_1_aUrv" localSheetId="0" hidden="1">#REF!</definedName>
    <definedName name="FDP_95_1_aUrv" localSheetId="27" hidden="1">#REF!</definedName>
    <definedName name="FDP_95_1_aUrv" localSheetId="19" hidden="1">#REF!</definedName>
    <definedName name="FDP_95_1_aUrv" localSheetId="1" hidden="1">#REF!</definedName>
    <definedName name="FDP_95_1_aUrv" localSheetId="8" hidden="1">#REF!</definedName>
    <definedName name="FDP_95_1_aUrv" localSheetId="6" hidden="1">#REF!</definedName>
    <definedName name="FDP_95_1_aUrv" localSheetId="17" hidden="1">#REF!</definedName>
    <definedName name="FDP_95_1_aUrv" localSheetId="7" hidden="1">#REF!</definedName>
    <definedName name="FDP_95_1_aUrv" localSheetId="3" hidden="1">#REF!</definedName>
    <definedName name="FDP_95_1_aUrv" localSheetId="21" hidden="1">#REF!</definedName>
    <definedName name="FDP_95_1_aUrv" hidden="1">#REF!</definedName>
    <definedName name="FDP_96_1_aUrv" localSheetId="0" hidden="1">#REF!</definedName>
    <definedName name="FDP_96_1_aUrv" localSheetId="27" hidden="1">#REF!</definedName>
    <definedName name="FDP_96_1_aUrv" localSheetId="19" hidden="1">#REF!</definedName>
    <definedName name="FDP_96_1_aUrv" localSheetId="1" hidden="1">#REF!</definedName>
    <definedName name="FDP_96_1_aUrv" localSheetId="8" hidden="1">#REF!</definedName>
    <definedName name="FDP_96_1_aUrv" localSheetId="6" hidden="1">#REF!</definedName>
    <definedName name="FDP_96_1_aUrv" localSheetId="17" hidden="1">#REF!</definedName>
    <definedName name="FDP_96_1_aUrv" localSheetId="7" hidden="1">#REF!</definedName>
    <definedName name="FDP_96_1_aUrv" localSheetId="3" hidden="1">#REF!</definedName>
    <definedName name="FDP_96_1_aUrv" localSheetId="21" hidden="1">#REF!</definedName>
    <definedName name="FDP_96_1_aUrv" hidden="1">#REF!</definedName>
    <definedName name="FDP_97_1_aSrv" localSheetId="0" hidden="1">#REF!</definedName>
    <definedName name="FDP_97_1_aSrv" localSheetId="27" hidden="1">#REF!</definedName>
    <definedName name="FDP_97_1_aSrv" localSheetId="19" hidden="1">#REF!</definedName>
    <definedName name="FDP_97_1_aSrv" localSheetId="1" hidden="1">#REF!</definedName>
    <definedName name="FDP_97_1_aSrv" localSheetId="8" hidden="1">#REF!</definedName>
    <definedName name="FDP_97_1_aSrv" localSheetId="6" hidden="1">#REF!</definedName>
    <definedName name="FDP_97_1_aSrv" localSheetId="17" hidden="1">#REF!</definedName>
    <definedName name="FDP_97_1_aSrv" localSheetId="7" hidden="1">#REF!</definedName>
    <definedName name="FDP_97_1_aSrv" localSheetId="3" hidden="1">#REF!</definedName>
    <definedName name="FDP_97_1_aSrv" localSheetId="21" hidden="1">#REF!</definedName>
    <definedName name="FDP_97_1_aSrv" hidden="1">#REF!</definedName>
    <definedName name="FDP_98_1_aDrv" localSheetId="0" hidden="1">#REF!</definedName>
    <definedName name="FDP_98_1_aDrv" localSheetId="27" hidden="1">#REF!</definedName>
    <definedName name="FDP_98_1_aDrv" localSheetId="19" hidden="1">#REF!</definedName>
    <definedName name="FDP_98_1_aDrv" localSheetId="1" hidden="1">#REF!</definedName>
    <definedName name="FDP_98_1_aDrv" localSheetId="8" hidden="1">#REF!</definedName>
    <definedName name="FDP_98_1_aDrv" localSheetId="6" hidden="1">#REF!</definedName>
    <definedName name="FDP_98_1_aDrv" localSheetId="17" hidden="1">#REF!</definedName>
    <definedName name="FDP_98_1_aDrv" localSheetId="7" hidden="1">#REF!</definedName>
    <definedName name="FDP_98_1_aDrv" localSheetId="3" hidden="1">#REF!</definedName>
    <definedName name="FDP_98_1_aDrv" localSheetId="21" hidden="1">#REF!</definedName>
    <definedName name="FDP_98_1_aDrv" hidden="1">#REF!</definedName>
    <definedName name="FDP_99_1_aUrv" localSheetId="0" hidden="1">#REF!</definedName>
    <definedName name="FDP_99_1_aUrv" localSheetId="27" hidden="1">#REF!</definedName>
    <definedName name="FDP_99_1_aUrv" localSheetId="19" hidden="1">#REF!</definedName>
    <definedName name="FDP_99_1_aUrv" localSheetId="1" hidden="1">#REF!</definedName>
    <definedName name="FDP_99_1_aUrv" localSheetId="8" hidden="1">#REF!</definedName>
    <definedName name="FDP_99_1_aUrv" localSheetId="6" hidden="1">#REF!</definedName>
    <definedName name="FDP_99_1_aUrv" localSheetId="17" hidden="1">#REF!</definedName>
    <definedName name="FDP_99_1_aUrv" localSheetId="7" hidden="1">#REF!</definedName>
    <definedName name="FDP_99_1_aUrv" localSheetId="3" hidden="1">#REF!</definedName>
    <definedName name="FDP_99_1_aUrv" localSheetId="21" hidden="1">#REF!</definedName>
    <definedName name="FDP_99_1_aUrv" hidden="1">#REF!</definedName>
    <definedName name="ff"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orecast" localSheetId="0"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7"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9"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8"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6"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7"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7"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1"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WDEVEBITDASw">'[47]Forward EVEBITDA'!$G$3</definedName>
    <definedName name="FWDEVREVSw">'[47]Forward EV Revenue'!$H$3</definedName>
    <definedName name="g" localSheetId="19" hidden="1">{"comps",#N/A,FALSE,"TXTCOMPS";"segment_EPS",#N/A,FALSE,"TXTCOMPS";"valuation",#N/A,FALSE,"TXTCOMPS"}</definedName>
    <definedName name="g" localSheetId="6" hidden="1">{"comps",#N/A,FALSE,"TXTCOMPS";"segment_EPS",#N/A,FALSE,"TXTCOMPS";"valuation",#N/A,FALSE,"TXTCOMPS"}</definedName>
    <definedName name="g" localSheetId="7" hidden="1">{"comps",#N/A,FALSE,"TXTCOMPS";"segment_EPS",#N/A,FALSE,"TXTCOMPS";"valuation",#N/A,FALSE,"TXTCOMPS"}</definedName>
    <definedName name="g" localSheetId="3" hidden="1">{"comps",#N/A,FALSE,"TXTCOMPS";"segment_EPS",#N/A,FALSE,"TXTCOMPS";"valuation",#N/A,FALSE,"TXTCOMPS"}</definedName>
    <definedName name="g" localSheetId="21" hidden="1">{"comps",#N/A,FALSE,"TXTCOMPS";"segment_EPS",#N/A,FALSE,"TXTCOMPS";"valuation",#N/A,FALSE,"TXTCOMPS"}</definedName>
    <definedName name="g" hidden="1">{"comps",#N/A,FALSE,"TXTCOMPS";"segment_EPS",#N/A,FALSE,"TXTCOMPS";"valuation",#N/A,FALSE,"TXTCOMPS"}</definedName>
    <definedName name="gde"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EHCEVEB" localSheetId="6">'[58]Forward EVEBITDA'!$AC$2</definedName>
    <definedName name="GEHCEVEB">'[54]Forward EVEBITDA'!$AC$2</definedName>
    <definedName name="gls_ACT_EST_ROW" localSheetId="0" hidden="1">#REF!</definedName>
    <definedName name="gls_ACT_EST_ROW" localSheetId="27" hidden="1">#REF!</definedName>
    <definedName name="gls_ACT_EST_ROW" localSheetId="19" hidden="1">#REF!</definedName>
    <definedName name="gls_ACT_EST_ROW" localSheetId="1" hidden="1">#REF!</definedName>
    <definedName name="gls_ACT_EST_ROW" localSheetId="8" hidden="1">#REF!</definedName>
    <definedName name="gls_ACT_EST_ROW" localSheetId="6" hidden="1">#REF!</definedName>
    <definedName name="gls_ACT_EST_ROW" localSheetId="17" hidden="1">#REF!</definedName>
    <definedName name="gls_ACT_EST_ROW" localSheetId="7" hidden="1">#REF!</definedName>
    <definedName name="gls_ACT_EST_ROW" localSheetId="3" hidden="1">#REF!</definedName>
    <definedName name="gls_ACT_EST_ROW" localSheetId="21" hidden="1">#REF!</definedName>
    <definedName name="gls_ACT_EST_ROW" hidden="1">#REF!</definedName>
    <definedName name="gls_ACT_FORM_OFFSET" localSheetId="0" hidden="1">#REF!</definedName>
    <definedName name="gls_ACT_FORM_OFFSET" localSheetId="27" hidden="1">#REF!</definedName>
    <definedName name="gls_ACT_FORM_OFFSET" localSheetId="19" hidden="1">#REF!</definedName>
    <definedName name="gls_ACT_FORM_OFFSET" localSheetId="1" hidden="1">#REF!</definedName>
    <definedName name="gls_ACT_FORM_OFFSET" localSheetId="8" hidden="1">#REF!</definedName>
    <definedName name="gls_ACT_FORM_OFFSET" localSheetId="6" hidden="1">#REF!</definedName>
    <definedName name="gls_ACT_FORM_OFFSET" localSheetId="17" hidden="1">#REF!</definedName>
    <definedName name="gls_ACT_FORM_OFFSET" localSheetId="7" hidden="1">#REF!</definedName>
    <definedName name="gls_ACT_FORM_OFFSET" localSheetId="3" hidden="1">#REF!</definedName>
    <definedName name="gls_ACT_FORM_OFFSET" localSheetId="21" hidden="1">#REF!</definedName>
    <definedName name="gls_ACT_FORM_OFFSET" hidden="1">#REF!</definedName>
    <definedName name="gls_AnalystEmpNoHeading" localSheetId="0" hidden="1">#REF!</definedName>
    <definedName name="gls_AnalystEmpNoHeading" localSheetId="27" hidden="1">#REF!</definedName>
    <definedName name="gls_AnalystEmpNoHeading" localSheetId="19" hidden="1">#REF!</definedName>
    <definedName name="gls_AnalystEmpNoHeading" localSheetId="1" hidden="1">#REF!</definedName>
    <definedName name="gls_AnalystEmpNoHeading" localSheetId="8" hidden="1">#REF!</definedName>
    <definedName name="gls_AnalystEmpNoHeading" localSheetId="6" hidden="1">#REF!</definedName>
    <definedName name="gls_AnalystEmpNoHeading" localSheetId="17" hidden="1">#REF!</definedName>
    <definedName name="gls_AnalystEmpNoHeading" localSheetId="7" hidden="1">#REF!</definedName>
    <definedName name="gls_AnalystEmpNoHeading" localSheetId="3" hidden="1">#REF!</definedName>
    <definedName name="gls_AnalystEmpNoHeading" localSheetId="21" hidden="1">#REF!</definedName>
    <definedName name="gls_AnalystEmpNoHeading" hidden="1">#REF!</definedName>
    <definedName name="gls_AnalystNameHeading" localSheetId="0" hidden="1">#REF!</definedName>
    <definedName name="gls_AnalystNameHeading" localSheetId="27" hidden="1">#REF!</definedName>
    <definedName name="gls_AnalystNameHeading" localSheetId="19" hidden="1">#REF!</definedName>
    <definedName name="gls_AnalystNameHeading" localSheetId="1" hidden="1">#REF!</definedName>
    <definedName name="gls_AnalystNameHeading" localSheetId="8" hidden="1">#REF!</definedName>
    <definedName name="gls_AnalystNameHeading" localSheetId="6" hidden="1">#REF!</definedName>
    <definedName name="gls_AnalystNameHeading" localSheetId="17" hidden="1">#REF!</definedName>
    <definedName name="gls_AnalystNameHeading" localSheetId="7" hidden="1">#REF!</definedName>
    <definedName name="gls_AnalystNameHeading" localSheetId="3" hidden="1">#REF!</definedName>
    <definedName name="gls_AnalystNameHeading" localSheetId="21" hidden="1">#REF!</definedName>
    <definedName name="gls_AnalystNameHeading" hidden="1">#REF!</definedName>
    <definedName name="gls_EST_FORM_OFFSET" localSheetId="0" hidden="1">#REF!</definedName>
    <definedName name="gls_EST_FORM_OFFSET" localSheetId="27" hidden="1">#REF!</definedName>
    <definedName name="gls_EST_FORM_OFFSET" localSheetId="19" hidden="1">#REF!</definedName>
    <definedName name="gls_EST_FORM_OFFSET" localSheetId="1" hidden="1">#REF!</definedName>
    <definedName name="gls_EST_FORM_OFFSET" localSheetId="8" hidden="1">#REF!</definedName>
    <definedName name="gls_EST_FORM_OFFSET" localSheetId="6" hidden="1">#REF!</definedName>
    <definedName name="gls_EST_FORM_OFFSET" localSheetId="17" hidden="1">#REF!</definedName>
    <definedName name="gls_EST_FORM_OFFSET" localSheetId="7" hidden="1">#REF!</definedName>
    <definedName name="gls_EST_FORM_OFFSET" localSheetId="3" hidden="1">#REF!</definedName>
    <definedName name="gls_EST_FORM_OFFSET" localSheetId="21" hidden="1">#REF!</definedName>
    <definedName name="gls_EST_FORM_OFFSET" hidden="1">#REF!</definedName>
    <definedName name="gls_EXTERNAL_COL_REF" localSheetId="0" hidden="1">#REF!</definedName>
    <definedName name="gls_EXTERNAL_COL_REF" localSheetId="27" hidden="1">#REF!</definedName>
    <definedName name="gls_EXTERNAL_COL_REF" localSheetId="19" hidden="1">#REF!</definedName>
    <definedName name="gls_EXTERNAL_COL_REF" localSheetId="1" hidden="1">#REF!</definedName>
    <definedName name="gls_EXTERNAL_COL_REF" localSheetId="8" hidden="1">#REF!</definedName>
    <definedName name="gls_EXTERNAL_COL_REF" localSheetId="6" hidden="1">#REF!</definedName>
    <definedName name="gls_EXTERNAL_COL_REF" localSheetId="17" hidden="1">#REF!</definedName>
    <definedName name="gls_EXTERNAL_COL_REF" localSheetId="7" hidden="1">#REF!</definedName>
    <definedName name="gls_EXTERNAL_COL_REF" localSheetId="3" hidden="1">#REF!</definedName>
    <definedName name="gls_EXTERNAL_COL_REF" localSheetId="21" hidden="1">#REF!</definedName>
    <definedName name="gls_EXTERNAL_COL_REF" hidden="1">#REF!</definedName>
    <definedName name="gls_FIRST_ITEM" localSheetId="0" hidden="1">#REF!</definedName>
    <definedName name="gls_FIRST_ITEM" localSheetId="27" hidden="1">#REF!</definedName>
    <definedName name="gls_FIRST_ITEM" localSheetId="19" hidden="1">#REF!</definedName>
    <definedName name="gls_FIRST_ITEM" localSheetId="1" hidden="1">#REF!</definedName>
    <definedName name="gls_FIRST_ITEM" localSheetId="8" hidden="1">#REF!</definedName>
    <definedName name="gls_FIRST_ITEM" localSheetId="6" hidden="1">#REF!</definedName>
    <definedName name="gls_FIRST_ITEM" localSheetId="17" hidden="1">#REF!</definedName>
    <definedName name="gls_FIRST_ITEM" localSheetId="7" hidden="1">#REF!</definedName>
    <definedName name="gls_FIRST_ITEM" localSheetId="3" hidden="1">#REF!</definedName>
    <definedName name="gls_FIRST_ITEM" localSheetId="21" hidden="1">#REF!</definedName>
    <definedName name="gls_FIRST_ITEM" hidden="1">#REF!</definedName>
    <definedName name="gls_FIRST_PK" localSheetId="0" hidden="1">#REF!</definedName>
    <definedName name="gls_FIRST_PK" localSheetId="27" hidden="1">#REF!</definedName>
    <definedName name="gls_FIRST_PK" localSheetId="19" hidden="1">#REF!</definedName>
    <definedName name="gls_FIRST_PK" localSheetId="1" hidden="1">#REF!</definedName>
    <definedName name="gls_FIRST_PK" localSheetId="8" hidden="1">#REF!</definedName>
    <definedName name="gls_FIRST_PK" localSheetId="6" hidden="1">#REF!</definedName>
    <definedName name="gls_FIRST_PK" localSheetId="17" hidden="1">#REF!</definedName>
    <definedName name="gls_FIRST_PK" localSheetId="7" hidden="1">#REF!</definedName>
    <definedName name="gls_FIRST_PK" localSheetId="3" hidden="1">#REF!</definedName>
    <definedName name="gls_FIRST_PK" localSheetId="21" hidden="1">#REF!</definedName>
    <definedName name="gls_FIRST_PK" hidden="1">#REF!</definedName>
    <definedName name="gls_FIRST_ROWMULT" localSheetId="0" hidden="1">#REF!</definedName>
    <definedName name="gls_FIRST_ROWMULT" localSheetId="27" hidden="1">#REF!</definedName>
    <definedName name="gls_FIRST_ROWMULT" localSheetId="19" hidden="1">#REF!</definedName>
    <definedName name="gls_FIRST_ROWMULT" localSheetId="1" hidden="1">#REF!</definedName>
    <definedName name="gls_FIRST_ROWMULT" localSheetId="8" hidden="1">#REF!</definedName>
    <definedName name="gls_FIRST_ROWMULT" localSheetId="6" hidden="1">#REF!</definedName>
    <definedName name="gls_FIRST_ROWMULT" localSheetId="17" hidden="1">#REF!</definedName>
    <definedName name="gls_FIRST_ROWMULT" localSheetId="7" hidden="1">#REF!</definedName>
    <definedName name="gls_FIRST_ROWMULT" localSheetId="3" hidden="1">#REF!</definedName>
    <definedName name="gls_FIRST_ROWMULT" localSheetId="21" hidden="1">#REF!</definedName>
    <definedName name="gls_FIRST_ROWMULT" hidden="1">#REF!</definedName>
    <definedName name="gls_FIRST_UNITS" localSheetId="0" hidden="1">#REF!</definedName>
    <definedName name="gls_FIRST_UNITS" localSheetId="27" hidden="1">#REF!</definedName>
    <definedName name="gls_FIRST_UNITS" localSheetId="19" hidden="1">#REF!</definedName>
    <definedName name="gls_FIRST_UNITS" localSheetId="1" hidden="1">#REF!</definedName>
    <definedName name="gls_FIRST_UNITS" localSheetId="8" hidden="1">#REF!</definedName>
    <definedName name="gls_FIRST_UNITS" localSheetId="6" hidden="1">#REF!</definedName>
    <definedName name="gls_FIRST_UNITS" localSheetId="17" hidden="1">#REF!</definedName>
    <definedName name="gls_FIRST_UNITS" localSheetId="7" hidden="1">#REF!</definedName>
    <definedName name="gls_FIRST_UNITS" localSheetId="3" hidden="1">#REF!</definedName>
    <definedName name="gls_FIRST_UNITS" localSheetId="21" hidden="1">#REF!</definedName>
    <definedName name="gls_FIRST_UNITS" hidden="1">#REF!</definedName>
    <definedName name="gls_FIXED_NAMES" localSheetId="0" hidden="1">#REF!</definedName>
    <definedName name="gls_FIXED_NAMES" localSheetId="27" hidden="1">#REF!</definedName>
    <definedName name="gls_FIXED_NAMES" localSheetId="19" hidden="1">#REF!</definedName>
    <definedName name="gls_FIXED_NAMES" localSheetId="1" hidden="1">#REF!</definedName>
    <definedName name="gls_FIXED_NAMES" localSheetId="8" hidden="1">#REF!</definedName>
    <definedName name="gls_FIXED_NAMES" localSheetId="6" hidden="1">#REF!</definedName>
    <definedName name="gls_FIXED_NAMES" localSheetId="17" hidden="1">#REF!</definedName>
    <definedName name="gls_FIXED_NAMES" localSheetId="7" hidden="1">#REF!</definedName>
    <definedName name="gls_FIXED_NAMES" localSheetId="3" hidden="1">#REF!</definedName>
    <definedName name="gls_FIXED_NAMES" localSheetId="21" hidden="1">#REF!</definedName>
    <definedName name="gls_FIXED_NAMES" hidden="1">#REF!</definedName>
    <definedName name="gls_FONT_STATUS" localSheetId="0" hidden="1">#REF!</definedName>
    <definedName name="gls_FONT_STATUS" localSheetId="27" hidden="1">#REF!</definedName>
    <definedName name="gls_FONT_STATUS" localSheetId="19" hidden="1">#REF!</definedName>
    <definedName name="gls_FONT_STATUS" localSheetId="1" hidden="1">#REF!</definedName>
    <definedName name="gls_FONT_STATUS" localSheetId="8" hidden="1">#REF!</definedName>
    <definedName name="gls_FONT_STATUS" localSheetId="6" hidden="1">#REF!</definedName>
    <definedName name="gls_FONT_STATUS" localSheetId="17" hidden="1">#REF!</definedName>
    <definedName name="gls_FONT_STATUS" localSheetId="7" hidden="1">#REF!</definedName>
    <definedName name="gls_FONT_STATUS" localSheetId="3" hidden="1">#REF!</definedName>
    <definedName name="gls_FONT_STATUS" localSheetId="21" hidden="1">#REF!</definedName>
    <definedName name="gls_FONT_STATUS" hidden="1">#REF!</definedName>
    <definedName name="gls_GenAccountingConvention" localSheetId="0" hidden="1">#REF!</definedName>
    <definedName name="gls_GenAccountingConvention" localSheetId="27" hidden="1">#REF!</definedName>
    <definedName name="gls_GenAccountingConvention" localSheetId="19" hidden="1">#REF!</definedName>
    <definedName name="gls_GenAccountingConvention" localSheetId="1" hidden="1">#REF!</definedName>
    <definedName name="gls_GenAccountingConvention" localSheetId="8" hidden="1">#REF!</definedName>
    <definedName name="gls_GenAccountingConvention" localSheetId="6" hidden="1">#REF!</definedName>
    <definedName name="gls_GenAccountingConvention" localSheetId="17" hidden="1">#REF!</definedName>
    <definedName name="gls_GenAccountingConvention" localSheetId="7" hidden="1">#REF!</definedName>
    <definedName name="gls_GenAccountingConvention" localSheetId="3" hidden="1">#REF!</definedName>
    <definedName name="gls_GenAccountingConvention" localSheetId="21" hidden="1">#REF!</definedName>
    <definedName name="gls_GenAccountingConvention" hidden="1">#REF!</definedName>
    <definedName name="gls_GenCompany" localSheetId="0" hidden="1">#REF!</definedName>
    <definedName name="gls_GenCompany" localSheetId="27" hidden="1">#REF!</definedName>
    <definedName name="gls_GenCompany" localSheetId="19" hidden="1">#REF!</definedName>
    <definedName name="gls_GenCompany" localSheetId="1" hidden="1">#REF!</definedName>
    <definedName name="gls_GenCompany" localSheetId="8" hidden="1">#REF!</definedName>
    <definedName name="gls_GenCompany" localSheetId="6" hidden="1">#REF!</definedName>
    <definedName name="gls_GenCompany" localSheetId="17" hidden="1">#REF!</definedName>
    <definedName name="gls_GenCompany" localSheetId="7" hidden="1">#REF!</definedName>
    <definedName name="gls_GenCompany" localSheetId="3" hidden="1">#REF!</definedName>
    <definedName name="gls_GenCompany" localSheetId="21" hidden="1">#REF!</definedName>
    <definedName name="gls_GenCompany" hidden="1">#REF!</definedName>
    <definedName name="gls_GenCompanyInfo" localSheetId="0" hidden="1">#REF!</definedName>
    <definedName name="gls_GenCompanyInfo" localSheetId="27" hidden="1">#REF!</definedName>
    <definedName name="gls_GenCompanyInfo" localSheetId="19" hidden="1">#REF!</definedName>
    <definedName name="gls_GenCompanyInfo" localSheetId="1" hidden="1">#REF!</definedName>
    <definedName name="gls_GenCompanyInfo" localSheetId="8" hidden="1">#REF!</definedName>
    <definedName name="gls_GenCompanyInfo" localSheetId="6" hidden="1">#REF!</definedName>
    <definedName name="gls_GenCompanyInfo" localSheetId="17" hidden="1">#REF!</definedName>
    <definedName name="gls_GenCompanyInfo" localSheetId="7" hidden="1">#REF!</definedName>
    <definedName name="gls_GenCompanyInfo" localSheetId="3" hidden="1">#REF!</definedName>
    <definedName name="gls_GenCompanyInfo" localSheetId="21" hidden="1">#REF!</definedName>
    <definedName name="gls_GenCompanyInfo" hidden="1">#REF!</definedName>
    <definedName name="gls_GenCountry" localSheetId="0" hidden="1">#REF!</definedName>
    <definedName name="gls_GenCountry" localSheetId="27" hidden="1">#REF!</definedName>
    <definedName name="gls_GenCountry" localSheetId="19" hidden="1">#REF!</definedName>
    <definedName name="gls_GenCountry" localSheetId="1" hidden="1">#REF!</definedName>
    <definedName name="gls_GenCountry" localSheetId="8" hidden="1">#REF!</definedName>
    <definedName name="gls_GenCountry" localSheetId="6" hidden="1">#REF!</definedName>
    <definedName name="gls_GenCountry" localSheetId="17" hidden="1">#REF!</definedName>
    <definedName name="gls_GenCountry" localSheetId="7" hidden="1">#REF!</definedName>
    <definedName name="gls_GenCountry" localSheetId="3" hidden="1">#REF!</definedName>
    <definedName name="gls_GenCountry" localSheetId="21" hidden="1">#REF!</definedName>
    <definedName name="gls_GenCountry" hidden="1">#REF!</definedName>
    <definedName name="gls_GenCurrency" localSheetId="0" hidden="1">#REF!</definedName>
    <definedName name="gls_GenCurrency" localSheetId="27" hidden="1">#REF!</definedName>
    <definedName name="gls_GenCurrency" localSheetId="19" hidden="1">#REF!</definedName>
    <definedName name="gls_GenCurrency" localSheetId="1" hidden="1">#REF!</definedName>
    <definedName name="gls_GenCurrency" localSheetId="8" hidden="1">#REF!</definedName>
    <definedName name="gls_GenCurrency" localSheetId="6" hidden="1">#REF!</definedName>
    <definedName name="gls_GenCurrency" localSheetId="17" hidden="1">#REF!</definedName>
    <definedName name="gls_GenCurrency" localSheetId="7" hidden="1">#REF!</definedName>
    <definedName name="gls_GenCurrency" localSheetId="3" hidden="1">#REF!</definedName>
    <definedName name="gls_GenCurrency" localSheetId="21" hidden="1">#REF!</definedName>
    <definedName name="gls_GenCurrency" hidden="1">#REF!</definedName>
    <definedName name="gls_GenCurrencyMultiplier" localSheetId="0" hidden="1">#REF!</definedName>
    <definedName name="gls_GenCurrencyMultiplier" localSheetId="27" hidden="1">#REF!</definedName>
    <definedName name="gls_GenCurrencyMultiplier" localSheetId="19" hidden="1">#REF!</definedName>
    <definedName name="gls_GenCurrencyMultiplier" localSheetId="1" hidden="1">#REF!</definedName>
    <definedName name="gls_GenCurrencyMultiplier" localSheetId="8" hidden="1">#REF!</definedName>
    <definedName name="gls_GenCurrencyMultiplier" localSheetId="6" hidden="1">#REF!</definedName>
    <definedName name="gls_GenCurrencyMultiplier" localSheetId="17" hidden="1">#REF!</definedName>
    <definedName name="gls_GenCurrencyMultiplier" localSheetId="7" hidden="1">#REF!</definedName>
    <definedName name="gls_GenCurrencyMultiplier" localSheetId="3" hidden="1">#REF!</definedName>
    <definedName name="gls_GenCurrencyMultiplier" localSheetId="21" hidden="1">#REF!</definedName>
    <definedName name="gls_GenCurrencyMultiplier" hidden="1">#REF!</definedName>
    <definedName name="gls_GenEnterCompInfo" localSheetId="0" hidden="1">#REF!</definedName>
    <definedName name="gls_GenEnterCompInfo" localSheetId="27" hidden="1">#REF!</definedName>
    <definedName name="gls_GenEnterCompInfo" localSheetId="19" hidden="1">#REF!</definedName>
    <definedName name="gls_GenEnterCompInfo" localSheetId="1" hidden="1">#REF!</definedName>
    <definedName name="gls_GenEnterCompInfo" localSheetId="8" hidden="1">#REF!</definedName>
    <definedName name="gls_GenEnterCompInfo" localSheetId="6" hidden="1">#REF!</definedName>
    <definedName name="gls_GenEnterCompInfo" localSheetId="17" hidden="1">#REF!</definedName>
    <definedName name="gls_GenEnterCompInfo" localSheetId="7" hidden="1">#REF!</definedName>
    <definedName name="gls_GenEnterCompInfo" localSheetId="3" hidden="1">#REF!</definedName>
    <definedName name="gls_GenEnterCompInfo" localSheetId="21" hidden="1">#REF!</definedName>
    <definedName name="gls_GenEnterCompInfo" hidden="1">#REF!</definedName>
    <definedName name="gls_GenLastPriceTargetRevised" localSheetId="0" hidden="1">#REF!</definedName>
    <definedName name="gls_GenLastPriceTargetRevised" localSheetId="27" hidden="1">#REF!</definedName>
    <definedName name="gls_GenLastPriceTargetRevised" localSheetId="19" hidden="1">#REF!</definedName>
    <definedName name="gls_GenLastPriceTargetRevised" localSheetId="1" hidden="1">#REF!</definedName>
    <definedName name="gls_GenLastPriceTargetRevised" localSheetId="8" hidden="1">#REF!</definedName>
    <definedName name="gls_GenLastPriceTargetRevised" localSheetId="6" hidden="1">#REF!</definedName>
    <definedName name="gls_GenLastPriceTargetRevised" localSheetId="17" hidden="1">#REF!</definedName>
    <definedName name="gls_GenLastPriceTargetRevised" localSheetId="7" hidden="1">#REF!</definedName>
    <definedName name="gls_GenLastPriceTargetRevised" localSheetId="3" hidden="1">#REF!</definedName>
    <definedName name="gls_GenLastPriceTargetRevised" localSheetId="21" hidden="1">#REF!</definedName>
    <definedName name="gls_GenLastPriceTargetRevised" hidden="1">#REF!</definedName>
    <definedName name="gls_GenLastPublished" localSheetId="0" hidden="1">#REF!</definedName>
    <definedName name="gls_GenLastPublished" localSheetId="27" hidden="1">#REF!</definedName>
    <definedName name="gls_GenLastPublished" localSheetId="19" hidden="1">#REF!</definedName>
    <definedName name="gls_GenLastPublished" localSheetId="1" hidden="1">#REF!</definedName>
    <definedName name="gls_GenLastPublished" localSheetId="8" hidden="1">#REF!</definedName>
    <definedName name="gls_GenLastPublished" localSheetId="6" hidden="1">#REF!</definedName>
    <definedName name="gls_GenLastPublished" localSheetId="17" hidden="1">#REF!</definedName>
    <definedName name="gls_GenLastPublished" localSheetId="7" hidden="1">#REF!</definedName>
    <definedName name="gls_GenLastPublished" localSheetId="3" hidden="1">#REF!</definedName>
    <definedName name="gls_GenLastPublished" localSheetId="21" hidden="1">#REF!</definedName>
    <definedName name="gls_GenLastPublished" hidden="1">#REF!</definedName>
    <definedName name="gls_GenLastRecRevised" localSheetId="0" hidden="1">#REF!</definedName>
    <definedName name="gls_GenLastRecRevised" localSheetId="27" hidden="1">#REF!</definedName>
    <definedName name="gls_GenLastRecRevised" localSheetId="19" hidden="1">#REF!</definedName>
    <definedName name="gls_GenLastRecRevised" localSheetId="1" hidden="1">#REF!</definedName>
    <definedName name="gls_GenLastRecRevised" localSheetId="8" hidden="1">#REF!</definedName>
    <definedName name="gls_GenLastRecRevised" localSheetId="6" hidden="1">#REF!</definedName>
    <definedName name="gls_GenLastRecRevised" localSheetId="17" hidden="1">#REF!</definedName>
    <definedName name="gls_GenLastRecRevised" localSheetId="7" hidden="1">#REF!</definedName>
    <definedName name="gls_GenLastRecRevised" localSheetId="3" hidden="1">#REF!</definedName>
    <definedName name="gls_GenLastRecRevised" localSheetId="21" hidden="1">#REF!</definedName>
    <definedName name="gls_GenLastRecRevised" hidden="1">#REF!</definedName>
    <definedName name="gls_GenMainInfo" localSheetId="0" hidden="1">#REF!</definedName>
    <definedName name="gls_GenMainInfo" localSheetId="27" hidden="1">#REF!</definedName>
    <definedName name="gls_GenMainInfo" localSheetId="19" hidden="1">#REF!</definedName>
    <definedName name="gls_GenMainInfo" localSheetId="1" hidden="1">#REF!</definedName>
    <definedName name="gls_GenMainInfo" localSheetId="8" hidden="1">#REF!</definedName>
    <definedName name="gls_GenMainInfo" localSheetId="6" hidden="1">#REF!</definedName>
    <definedName name="gls_GenMainInfo" localSheetId="17" hidden="1">#REF!</definedName>
    <definedName name="gls_GenMainInfo" localSheetId="7" hidden="1">#REF!</definedName>
    <definedName name="gls_GenMainInfo" localSheetId="3" hidden="1">#REF!</definedName>
    <definedName name="gls_GenMainInfo" localSheetId="21" hidden="1">#REF!</definedName>
    <definedName name="gls_GenMainInfo" hidden="1">#REF!</definedName>
    <definedName name="gls_GenProfile" localSheetId="0" hidden="1">#REF!</definedName>
    <definedName name="gls_GenProfile" localSheetId="27" hidden="1">#REF!</definedName>
    <definedName name="gls_GenProfile" localSheetId="19" hidden="1">#REF!</definedName>
    <definedName name="gls_GenProfile" localSheetId="1" hidden="1">#REF!</definedName>
    <definedName name="gls_GenProfile" localSheetId="8" hidden="1">#REF!</definedName>
    <definedName name="gls_GenProfile" localSheetId="6" hidden="1">#REF!</definedName>
    <definedName name="gls_GenProfile" localSheetId="17" hidden="1">#REF!</definedName>
    <definedName name="gls_GenProfile" localSheetId="7" hidden="1">#REF!</definedName>
    <definedName name="gls_GenProfile" localSheetId="3" hidden="1">#REF!</definedName>
    <definedName name="gls_GenProfile" localSheetId="21" hidden="1">#REF!</definedName>
    <definedName name="gls_GenProfile" hidden="1">#REF!</definedName>
    <definedName name="gls_GenRecComment" localSheetId="0" hidden="1">#REF!</definedName>
    <definedName name="gls_GenRecComment" localSheetId="27" hidden="1">#REF!</definedName>
    <definedName name="gls_GenRecComment" localSheetId="19" hidden="1">#REF!</definedName>
    <definedName name="gls_GenRecComment" localSheetId="1" hidden="1">#REF!</definedName>
    <definedName name="gls_GenRecComment" localSheetId="8" hidden="1">#REF!</definedName>
    <definedName name="gls_GenRecComment" localSheetId="6" hidden="1">#REF!</definedName>
    <definedName name="gls_GenRecComment" localSheetId="17" hidden="1">#REF!</definedName>
    <definedName name="gls_GenRecComment" localSheetId="7" hidden="1">#REF!</definedName>
    <definedName name="gls_GenRecComment" localSheetId="3" hidden="1">#REF!</definedName>
    <definedName name="gls_GenRecComment" localSheetId="21" hidden="1">#REF!</definedName>
    <definedName name="gls_GenRecComment" hidden="1">#REF!</definedName>
    <definedName name="gls_GenSheetVersion" localSheetId="0" hidden="1">#REF!</definedName>
    <definedName name="gls_GenSheetVersion" localSheetId="27" hidden="1">#REF!</definedName>
    <definedName name="gls_GenSheetVersion" localSheetId="19" hidden="1">#REF!</definedName>
    <definedName name="gls_GenSheetVersion" localSheetId="1" hidden="1">#REF!</definedName>
    <definedName name="gls_GenSheetVersion" localSheetId="8" hidden="1">#REF!</definedName>
    <definedName name="gls_GenSheetVersion" localSheetId="6" hidden="1">#REF!</definedName>
    <definedName name="gls_GenSheetVersion" localSheetId="17" hidden="1">#REF!</definedName>
    <definedName name="gls_GenSheetVersion" localSheetId="7" hidden="1">#REF!</definedName>
    <definedName name="gls_GenSheetVersion" localSheetId="3" hidden="1">#REF!</definedName>
    <definedName name="gls_GenSheetVersion" localSheetId="21" hidden="1">#REF!</definedName>
    <definedName name="gls_GenSheetVersion" hidden="1">#REF!</definedName>
    <definedName name="gls_genStockCore" localSheetId="0" hidden="1">#REF!</definedName>
    <definedName name="gls_genStockCore" localSheetId="27" hidden="1">#REF!</definedName>
    <definedName name="gls_genStockCore" localSheetId="19" hidden="1">#REF!</definedName>
    <definedName name="gls_genStockCore" localSheetId="1" hidden="1">#REF!</definedName>
    <definedName name="gls_genStockCore" localSheetId="8" hidden="1">#REF!</definedName>
    <definedName name="gls_genStockCore" localSheetId="6" hidden="1">#REF!</definedName>
    <definedName name="gls_genStockCore" localSheetId="17" hidden="1">#REF!</definedName>
    <definedName name="gls_genStockCore" localSheetId="7" hidden="1">#REF!</definedName>
    <definedName name="gls_genStockCore" localSheetId="3" hidden="1">#REF!</definedName>
    <definedName name="gls_genStockCore" localSheetId="21" hidden="1">#REF!</definedName>
    <definedName name="gls_genStockCore" hidden="1">#REF!</definedName>
    <definedName name="gls_genStockRec" localSheetId="0" hidden="1">#REF!</definedName>
    <definedName name="gls_genStockRec" localSheetId="27" hidden="1">#REF!</definedName>
    <definedName name="gls_genStockRec" localSheetId="19" hidden="1">#REF!</definedName>
    <definedName name="gls_genStockRec" localSheetId="1" hidden="1">#REF!</definedName>
    <definedName name="gls_genStockRec" localSheetId="8" hidden="1">#REF!</definedName>
    <definedName name="gls_genStockRec" localSheetId="6" hidden="1">#REF!</definedName>
    <definedName name="gls_genStockRec" localSheetId="17" hidden="1">#REF!</definedName>
    <definedName name="gls_genStockRec" localSheetId="7" hidden="1">#REF!</definedName>
    <definedName name="gls_genStockRec" localSheetId="3" hidden="1">#REF!</definedName>
    <definedName name="gls_genStockRec" localSheetId="21" hidden="1">#REF!</definedName>
    <definedName name="gls_genStockRec" hidden="1">#REF!</definedName>
    <definedName name="gls_GenTargetCurrency" localSheetId="0" hidden="1">#REF!</definedName>
    <definedName name="gls_GenTargetCurrency" localSheetId="27" hidden="1">#REF!</definedName>
    <definedName name="gls_GenTargetCurrency" localSheetId="19" hidden="1">#REF!</definedName>
    <definedName name="gls_GenTargetCurrency" localSheetId="1" hidden="1">#REF!</definedName>
    <definedName name="gls_GenTargetCurrency" localSheetId="8" hidden="1">#REF!</definedName>
    <definedName name="gls_GenTargetCurrency" localSheetId="6" hidden="1">#REF!</definedName>
    <definedName name="gls_GenTargetCurrency" localSheetId="17" hidden="1">#REF!</definedName>
    <definedName name="gls_GenTargetCurrency" localSheetId="7" hidden="1">#REF!</definedName>
    <definedName name="gls_GenTargetCurrency" localSheetId="3" hidden="1">#REF!</definedName>
    <definedName name="gls_GenTargetCurrency" localSheetId="21" hidden="1">#REF!</definedName>
    <definedName name="gls_GenTargetCurrency" hidden="1">#REF!</definedName>
    <definedName name="gls_IssuedStockClassHeading" localSheetId="0" hidden="1">#REF!</definedName>
    <definedName name="gls_IssuedStockClassHeading" localSheetId="27" hidden="1">#REF!</definedName>
    <definedName name="gls_IssuedStockClassHeading" localSheetId="19" hidden="1">#REF!</definedName>
    <definedName name="gls_IssuedStockClassHeading" localSheetId="1" hidden="1">#REF!</definedName>
    <definedName name="gls_IssuedStockClassHeading" localSheetId="8" hidden="1">#REF!</definedName>
    <definedName name="gls_IssuedStockClassHeading" localSheetId="6" hidden="1">#REF!</definedName>
    <definedName name="gls_IssuedStockClassHeading" localSheetId="17" hidden="1">#REF!</definedName>
    <definedName name="gls_IssuedStockClassHeading" localSheetId="7" hidden="1">#REF!</definedName>
    <definedName name="gls_IssuedStockClassHeading" localSheetId="3" hidden="1">#REF!</definedName>
    <definedName name="gls_IssuedStockClassHeading" localSheetId="21" hidden="1">#REF!</definedName>
    <definedName name="gls_IssuedStockClassHeading" hidden="1">#REF!</definedName>
    <definedName name="gls_IssuedStockCodeHeading" localSheetId="0" hidden="1">#REF!</definedName>
    <definedName name="gls_IssuedStockCodeHeading" localSheetId="27" hidden="1">#REF!</definedName>
    <definedName name="gls_IssuedStockCodeHeading" localSheetId="19" hidden="1">#REF!</definedName>
    <definedName name="gls_IssuedStockCodeHeading" localSheetId="1" hidden="1">#REF!</definedName>
    <definedName name="gls_IssuedStockCodeHeading" localSheetId="8" hidden="1">#REF!</definedName>
    <definedName name="gls_IssuedStockCodeHeading" localSheetId="6" hidden="1">#REF!</definedName>
    <definedName name="gls_IssuedStockCodeHeading" localSheetId="17" hidden="1">#REF!</definedName>
    <definedName name="gls_IssuedStockCodeHeading" localSheetId="7" hidden="1">#REF!</definedName>
    <definedName name="gls_IssuedStockCodeHeading" localSheetId="3" hidden="1">#REF!</definedName>
    <definedName name="gls_IssuedStockCodeHeading" localSheetId="21" hidden="1">#REF!</definedName>
    <definedName name="gls_IssuedStockCodeHeading" hidden="1">#REF!</definedName>
    <definedName name="gls_IssuedStockFreeFloatHeading" localSheetId="0" hidden="1">#REF!</definedName>
    <definedName name="gls_IssuedStockFreeFloatHeading" localSheetId="27" hidden="1">#REF!</definedName>
    <definedName name="gls_IssuedStockFreeFloatHeading" localSheetId="19" hidden="1">#REF!</definedName>
    <definedName name="gls_IssuedStockFreeFloatHeading" localSheetId="1" hidden="1">#REF!</definedName>
    <definedName name="gls_IssuedStockFreeFloatHeading" localSheetId="8" hidden="1">#REF!</definedName>
    <definedName name="gls_IssuedStockFreeFloatHeading" localSheetId="6" hidden="1">#REF!</definedName>
    <definedName name="gls_IssuedStockFreeFloatHeading" localSheetId="17" hidden="1">#REF!</definedName>
    <definedName name="gls_IssuedStockFreeFloatHeading" localSheetId="7" hidden="1">#REF!</definedName>
    <definedName name="gls_IssuedStockFreeFloatHeading" localSheetId="3" hidden="1">#REF!</definedName>
    <definedName name="gls_IssuedStockFreeFloatHeading" localSheetId="21" hidden="1">#REF!</definedName>
    <definedName name="gls_IssuedStockFreeFloatHeading" hidden="1">#REF!</definedName>
    <definedName name="gls_KEY_DATA" localSheetId="0" hidden="1">#REF!</definedName>
    <definedName name="gls_KEY_DATA" localSheetId="27" hidden="1">#REF!</definedName>
    <definedName name="gls_KEY_DATA" localSheetId="19" hidden="1">#REF!</definedName>
    <definedName name="gls_KEY_DATA" localSheetId="1" hidden="1">#REF!</definedName>
    <definedName name="gls_KEY_DATA" localSheetId="8" hidden="1">#REF!</definedName>
    <definedName name="gls_KEY_DATA" localSheetId="6" hidden="1">#REF!</definedName>
    <definedName name="gls_KEY_DATA" localSheetId="17" hidden="1">#REF!</definedName>
    <definedName name="gls_KEY_DATA" localSheetId="7" hidden="1">#REF!</definedName>
    <definedName name="gls_KEY_DATA" localSheetId="3" hidden="1">#REF!</definedName>
    <definedName name="gls_KEY_DATA" localSheetId="21" hidden="1">#REF!</definedName>
    <definedName name="gls_KEY_DATA" hidden="1">#REF!</definedName>
    <definedName name="gls_KEY_VALUE" localSheetId="0" hidden="1">#REF!</definedName>
    <definedName name="gls_KEY_VALUE" localSheetId="27" hidden="1">#REF!</definedName>
    <definedName name="gls_KEY_VALUE" localSheetId="19" hidden="1">#REF!</definedName>
    <definedName name="gls_KEY_VALUE" localSheetId="1" hidden="1">#REF!</definedName>
    <definedName name="gls_KEY_VALUE" localSheetId="8" hidden="1">#REF!</definedName>
    <definedName name="gls_KEY_VALUE" localSheetId="6" hidden="1">#REF!</definedName>
    <definedName name="gls_KEY_VALUE" localSheetId="17" hidden="1">#REF!</definedName>
    <definedName name="gls_KEY_VALUE" localSheetId="7" hidden="1">#REF!</definedName>
    <definedName name="gls_KEY_VALUE" localSheetId="3" hidden="1">#REF!</definedName>
    <definedName name="gls_KEY_VALUE" localSheetId="21" hidden="1">#REF!</definedName>
    <definedName name="gls_KEY_VALUE" hidden="1">#REF!</definedName>
    <definedName name="gls_PERIOD_CODE" localSheetId="0" hidden="1">#REF!</definedName>
    <definedName name="gls_PERIOD_CODE" localSheetId="27" hidden="1">#REF!</definedName>
    <definedName name="gls_PERIOD_CODE" localSheetId="19" hidden="1">#REF!</definedName>
    <definedName name="gls_PERIOD_CODE" localSheetId="1" hidden="1">#REF!</definedName>
    <definedName name="gls_PERIOD_CODE" localSheetId="8" hidden="1">#REF!</definedName>
    <definedName name="gls_PERIOD_CODE" localSheetId="6" hidden="1">#REF!</definedName>
    <definedName name="gls_PERIOD_CODE" localSheetId="17" hidden="1">#REF!</definedName>
    <definedName name="gls_PERIOD_CODE" localSheetId="7" hidden="1">#REF!</definedName>
    <definedName name="gls_PERIOD_CODE" localSheetId="3" hidden="1">#REF!</definedName>
    <definedName name="gls_PERIOD_CODE" localSheetId="21" hidden="1">#REF!</definedName>
    <definedName name="gls_PERIOD_CODE" hidden="1">#REF!</definedName>
    <definedName name="gls_PERIOD_INDICATOR" localSheetId="0" hidden="1">#REF!</definedName>
    <definedName name="gls_PERIOD_INDICATOR" localSheetId="27" hidden="1">#REF!</definedName>
    <definedName name="gls_PERIOD_INDICATOR" localSheetId="19" hidden="1">#REF!</definedName>
    <definedName name="gls_PERIOD_INDICATOR" localSheetId="1" hidden="1">#REF!</definedName>
    <definedName name="gls_PERIOD_INDICATOR" localSheetId="8" hidden="1">#REF!</definedName>
    <definedName name="gls_PERIOD_INDICATOR" localSheetId="6" hidden="1">#REF!</definedName>
    <definedName name="gls_PERIOD_INDICATOR" localSheetId="17" hidden="1">#REF!</definedName>
    <definedName name="gls_PERIOD_INDICATOR" localSheetId="7" hidden="1">#REF!</definedName>
    <definedName name="gls_PERIOD_INDICATOR" localSheetId="3" hidden="1">#REF!</definedName>
    <definedName name="gls_PERIOD_INDICATOR" localSheetId="21" hidden="1">#REF!</definedName>
    <definedName name="gls_PERIOD_INDICATOR" hidden="1">#REF!</definedName>
    <definedName name="gls_PERIOD_PARENT_OR_CONSOL" localSheetId="0" hidden="1">#REF!</definedName>
    <definedName name="gls_PERIOD_PARENT_OR_CONSOL" localSheetId="27" hidden="1">#REF!</definedName>
    <definedName name="gls_PERIOD_PARENT_OR_CONSOL" localSheetId="19" hidden="1">#REF!</definedName>
    <definedName name="gls_PERIOD_PARENT_OR_CONSOL" localSheetId="1" hidden="1">#REF!</definedName>
    <definedName name="gls_PERIOD_PARENT_OR_CONSOL" localSheetId="8" hidden="1">#REF!</definedName>
    <definedName name="gls_PERIOD_PARENT_OR_CONSOL" localSheetId="6" hidden="1">#REF!</definedName>
    <definedName name="gls_PERIOD_PARENT_OR_CONSOL" localSheetId="17" hidden="1">#REF!</definedName>
    <definedName name="gls_PERIOD_PARENT_OR_CONSOL" localSheetId="7" hidden="1">#REF!</definedName>
    <definedName name="gls_PERIOD_PARENT_OR_CONSOL" localSheetId="3" hidden="1">#REF!</definedName>
    <definedName name="gls_PERIOD_PARENT_OR_CONSOL" localSheetId="21" hidden="1">#REF!</definedName>
    <definedName name="gls_PERIOD_PARENT_OR_CONSOL" hidden="1">#REF!</definedName>
    <definedName name="gls_PERIOD_TYPE" localSheetId="0" hidden="1">#REF!</definedName>
    <definedName name="gls_PERIOD_TYPE" localSheetId="27" hidden="1">#REF!</definedName>
    <definedName name="gls_PERIOD_TYPE" localSheetId="19" hidden="1">#REF!</definedName>
    <definedName name="gls_PERIOD_TYPE" localSheetId="1" hidden="1">#REF!</definedName>
    <definedName name="gls_PERIOD_TYPE" localSheetId="8" hidden="1">#REF!</definedName>
    <definedName name="gls_PERIOD_TYPE" localSheetId="6" hidden="1">#REF!</definedName>
    <definedName name="gls_PERIOD_TYPE" localSheetId="17" hidden="1">#REF!</definedName>
    <definedName name="gls_PERIOD_TYPE" localSheetId="7" hidden="1">#REF!</definedName>
    <definedName name="gls_PERIOD_TYPE" localSheetId="3" hidden="1">#REF!</definedName>
    <definedName name="gls_PERIOD_TYPE" localSheetId="21" hidden="1">#REF!</definedName>
    <definedName name="gls_PERIOD_TYPE" hidden="1">#REF!</definedName>
    <definedName name="gls_PrincipalStockClass" localSheetId="0" hidden="1">#REF!</definedName>
    <definedName name="gls_PrincipalStockClass" localSheetId="27" hidden="1">#REF!</definedName>
    <definedName name="gls_PrincipalStockClass" localSheetId="19" hidden="1">#REF!</definedName>
    <definedName name="gls_PrincipalStockClass" localSheetId="1" hidden="1">#REF!</definedName>
    <definedName name="gls_PrincipalStockClass" localSheetId="8" hidden="1">#REF!</definedName>
    <definedName name="gls_PrincipalStockClass" localSheetId="6" hidden="1">#REF!</definedName>
    <definedName name="gls_PrincipalStockClass" localSheetId="17" hidden="1">#REF!</definedName>
    <definedName name="gls_PrincipalStockClass" localSheetId="7" hidden="1">#REF!</definedName>
    <definedName name="gls_PrincipalStockClass" localSheetId="3" hidden="1">#REF!</definedName>
    <definedName name="gls_PrincipalStockClass" localSheetId="21" hidden="1">#REF!</definedName>
    <definedName name="gls_PrincipalStockClass" hidden="1">#REF!</definedName>
    <definedName name="gls_ShareholderClassHeading" localSheetId="0" hidden="1">#REF!</definedName>
    <definedName name="gls_ShareholderClassHeading" localSheetId="27" hidden="1">#REF!</definedName>
    <definedName name="gls_ShareholderClassHeading" localSheetId="19" hidden="1">#REF!</definedName>
    <definedName name="gls_ShareholderClassHeading" localSheetId="1" hidden="1">#REF!</definedName>
    <definedName name="gls_ShareholderClassHeading" localSheetId="8" hidden="1">#REF!</definedName>
    <definedName name="gls_ShareholderClassHeading" localSheetId="6" hidden="1">#REF!</definedName>
    <definedName name="gls_ShareholderClassHeading" localSheetId="17" hidden="1">#REF!</definedName>
    <definedName name="gls_ShareholderClassHeading" localSheetId="7" hidden="1">#REF!</definedName>
    <definedName name="gls_ShareholderClassHeading" localSheetId="3" hidden="1">#REF!</definedName>
    <definedName name="gls_ShareholderClassHeading" localSheetId="21" hidden="1">#REF!</definedName>
    <definedName name="gls_ShareholderClassHeading" hidden="1">#REF!</definedName>
    <definedName name="gls_ShareholderHolding" localSheetId="0" hidden="1">#REF!</definedName>
    <definedName name="gls_ShareholderHolding" localSheetId="27" hidden="1">#REF!</definedName>
    <definedName name="gls_ShareholderHolding" localSheetId="19" hidden="1">#REF!</definedName>
    <definedName name="gls_ShareholderHolding" localSheetId="1" hidden="1">#REF!</definedName>
    <definedName name="gls_ShareholderHolding" localSheetId="8" hidden="1">#REF!</definedName>
    <definedName name="gls_ShareholderHolding" localSheetId="6" hidden="1">#REF!</definedName>
    <definedName name="gls_ShareholderHolding" localSheetId="17" hidden="1">#REF!</definedName>
    <definedName name="gls_ShareholderHolding" localSheetId="7" hidden="1">#REF!</definedName>
    <definedName name="gls_ShareholderHolding" localSheetId="3" hidden="1">#REF!</definedName>
    <definedName name="gls_ShareholderHolding" localSheetId="21" hidden="1">#REF!</definedName>
    <definedName name="gls_ShareholderHolding" hidden="1">#REF!</definedName>
    <definedName name="gls_ShareholderHoldingHeading" localSheetId="0" hidden="1">#REF!</definedName>
    <definedName name="gls_ShareholderHoldingHeading" localSheetId="27" hidden="1">#REF!</definedName>
    <definedName name="gls_ShareholderHoldingHeading" localSheetId="19" hidden="1">#REF!</definedName>
    <definedName name="gls_ShareholderHoldingHeading" localSheetId="1" hidden="1">#REF!</definedName>
    <definedName name="gls_ShareholderHoldingHeading" localSheetId="8" hidden="1">#REF!</definedName>
    <definedName name="gls_ShareholderHoldingHeading" localSheetId="6" hidden="1">#REF!</definedName>
    <definedName name="gls_ShareholderHoldingHeading" localSheetId="17" hidden="1">#REF!</definedName>
    <definedName name="gls_ShareholderHoldingHeading" localSheetId="7" hidden="1">#REF!</definedName>
    <definedName name="gls_ShareholderHoldingHeading" localSheetId="3" hidden="1">#REF!</definedName>
    <definedName name="gls_ShareholderHoldingHeading" localSheetId="21" hidden="1">#REF!</definedName>
    <definedName name="gls_ShareholderHoldingHeading" hidden="1">#REF!</definedName>
    <definedName name="gls_ShareholderName" localSheetId="0" hidden="1">#REF!</definedName>
    <definedName name="gls_ShareholderName" localSheetId="27" hidden="1">#REF!</definedName>
    <definedName name="gls_ShareholderName" localSheetId="19" hidden="1">#REF!</definedName>
    <definedName name="gls_ShareholderName" localSheetId="1" hidden="1">#REF!</definedName>
    <definedName name="gls_ShareholderName" localSheetId="8" hidden="1">#REF!</definedName>
    <definedName name="gls_ShareholderName" localSheetId="6" hidden="1">#REF!</definedName>
    <definedName name="gls_ShareholderName" localSheetId="17" hidden="1">#REF!</definedName>
    <definedName name="gls_ShareholderName" localSheetId="7" hidden="1">#REF!</definedName>
    <definedName name="gls_ShareholderName" localSheetId="3" hidden="1">#REF!</definedName>
    <definedName name="gls_ShareholderName" localSheetId="21" hidden="1">#REF!</definedName>
    <definedName name="gls_ShareholderName" hidden="1">#REF!</definedName>
    <definedName name="gls_ShareholderNameHeading" localSheetId="0" hidden="1">#REF!</definedName>
    <definedName name="gls_ShareholderNameHeading" localSheetId="27" hidden="1">#REF!</definedName>
    <definedName name="gls_ShareholderNameHeading" localSheetId="19" hidden="1">#REF!</definedName>
    <definedName name="gls_ShareholderNameHeading" localSheetId="1" hidden="1">#REF!</definedName>
    <definedName name="gls_ShareholderNameHeading" localSheetId="8" hidden="1">#REF!</definedName>
    <definedName name="gls_ShareholderNameHeading" localSheetId="6" hidden="1">#REF!</definedName>
    <definedName name="gls_ShareholderNameHeading" localSheetId="17" hidden="1">#REF!</definedName>
    <definedName name="gls_ShareholderNameHeading" localSheetId="7" hidden="1">#REF!</definedName>
    <definedName name="gls_ShareholderNameHeading" localSheetId="3" hidden="1">#REF!</definedName>
    <definedName name="gls_ShareholderNameHeading" localSheetId="21" hidden="1">#REF!</definedName>
    <definedName name="gls_ShareholderNameHeading" hidden="1">#REF!</definedName>
    <definedName name="gls_ShareholdingName" localSheetId="0" hidden="1">#REF!</definedName>
    <definedName name="gls_ShareholdingName" localSheetId="27" hidden="1">#REF!</definedName>
    <definedName name="gls_ShareholdingName" localSheetId="19" hidden="1">#REF!</definedName>
    <definedName name="gls_ShareholdingName" localSheetId="1" hidden="1">#REF!</definedName>
    <definedName name="gls_ShareholdingName" localSheetId="8" hidden="1">#REF!</definedName>
    <definedName name="gls_ShareholdingName" localSheetId="6" hidden="1">#REF!</definedName>
    <definedName name="gls_ShareholdingName" localSheetId="17" hidden="1">#REF!</definedName>
    <definedName name="gls_ShareholdingName" localSheetId="7" hidden="1">#REF!</definedName>
    <definedName name="gls_ShareholdingName" localSheetId="3" hidden="1">#REF!</definedName>
    <definedName name="gls_ShareholdingName" localSheetId="21" hidden="1">#REF!</definedName>
    <definedName name="gls_ShareholdingName" hidden="1">#REF!</definedName>
    <definedName name="gls_SPARE_YEARS" localSheetId="0" hidden="1">#REF!</definedName>
    <definedName name="gls_SPARE_YEARS" localSheetId="27" hidden="1">#REF!</definedName>
    <definedName name="gls_SPARE_YEARS" localSheetId="19" hidden="1">#REF!</definedName>
    <definedName name="gls_SPARE_YEARS" localSheetId="1" hidden="1">#REF!</definedName>
    <definedName name="gls_SPARE_YEARS" localSheetId="8" hidden="1">#REF!</definedName>
    <definedName name="gls_SPARE_YEARS" localSheetId="6" hidden="1">#REF!</definedName>
    <definedName name="gls_SPARE_YEARS" localSheetId="17" hidden="1">#REF!</definedName>
    <definedName name="gls_SPARE_YEARS" localSheetId="7" hidden="1">#REF!</definedName>
    <definedName name="gls_SPARE_YEARS" localSheetId="3" hidden="1">#REF!</definedName>
    <definedName name="gls_SPARE_YEARS" localSheetId="21" hidden="1">#REF!</definedName>
    <definedName name="gls_SPARE_YEARS" hidden="1">#REF!</definedName>
    <definedName name="gls_START_FORMULA_OVERRIDEABLE" localSheetId="0" hidden="1">#REF!</definedName>
    <definedName name="gls_START_FORMULA_OVERRIDEABLE" localSheetId="27" hidden="1">#REF!</definedName>
    <definedName name="gls_START_FORMULA_OVERRIDEABLE" localSheetId="19" hidden="1">#REF!</definedName>
    <definedName name="gls_START_FORMULA_OVERRIDEABLE" localSheetId="1" hidden="1">#REF!</definedName>
    <definedName name="gls_START_FORMULA_OVERRIDEABLE" localSheetId="8" hidden="1">#REF!</definedName>
    <definedName name="gls_START_FORMULA_OVERRIDEABLE" localSheetId="6" hidden="1">#REF!</definedName>
    <definedName name="gls_START_FORMULA_OVERRIDEABLE" localSheetId="17" hidden="1">#REF!</definedName>
    <definedName name="gls_START_FORMULA_OVERRIDEABLE" localSheetId="7" hidden="1">#REF!</definedName>
    <definedName name="gls_START_FORMULA_OVERRIDEABLE" localSheetId="3" hidden="1">#REF!</definedName>
    <definedName name="gls_START_FORMULA_OVERRIDEABLE" localSheetId="21" hidden="1">#REF!</definedName>
    <definedName name="gls_START_FORMULA_OVERRIDEABLE" hidden="1">#REF!</definedName>
    <definedName name="gls_START_LOCAL_NAMES" localSheetId="0" hidden="1">#REF!</definedName>
    <definedName name="gls_START_LOCAL_NAMES" localSheetId="27" hidden="1">#REF!</definedName>
    <definedName name="gls_START_LOCAL_NAMES" localSheetId="19" hidden="1">#REF!</definedName>
    <definedName name="gls_START_LOCAL_NAMES" localSheetId="1" hidden="1">#REF!</definedName>
    <definedName name="gls_START_LOCAL_NAMES" localSheetId="8" hidden="1">#REF!</definedName>
    <definedName name="gls_START_LOCAL_NAMES" localSheetId="6" hidden="1">#REF!</definedName>
    <definedName name="gls_START_LOCAL_NAMES" localSheetId="17" hidden="1">#REF!</definedName>
    <definedName name="gls_START_LOCAL_NAMES" localSheetId="7" hidden="1">#REF!</definedName>
    <definedName name="gls_START_LOCAL_NAMES" localSheetId="3" hidden="1">#REF!</definedName>
    <definedName name="gls_START_LOCAL_NAMES" localSheetId="21" hidden="1">#REF!</definedName>
    <definedName name="gls_START_LOCAL_NAMES" hidden="1">#REF!</definedName>
    <definedName name="gls_START_PERIOD_CURRENCY" localSheetId="0" hidden="1">#REF!</definedName>
    <definedName name="gls_START_PERIOD_CURRENCY" localSheetId="27" hidden="1">#REF!</definedName>
    <definedName name="gls_START_PERIOD_CURRENCY" localSheetId="19" hidden="1">#REF!</definedName>
    <definedName name="gls_START_PERIOD_CURRENCY" localSheetId="1" hidden="1">#REF!</definedName>
    <definedName name="gls_START_PERIOD_CURRENCY" localSheetId="8" hidden="1">#REF!</definedName>
    <definedName name="gls_START_PERIOD_CURRENCY" localSheetId="6" hidden="1">#REF!</definedName>
    <definedName name="gls_START_PERIOD_CURRENCY" localSheetId="17" hidden="1">#REF!</definedName>
    <definedName name="gls_START_PERIOD_CURRENCY" localSheetId="7" hidden="1">#REF!</definedName>
    <definedName name="gls_START_PERIOD_CURRENCY" localSheetId="3" hidden="1">#REF!</definedName>
    <definedName name="gls_START_PERIOD_CURRENCY" localSheetId="21" hidden="1">#REF!</definedName>
    <definedName name="gls_START_PERIOD_CURRENCY" hidden="1">#REF!</definedName>
    <definedName name="gls_START_STATUS" localSheetId="0" hidden="1">#REF!</definedName>
    <definedName name="gls_START_STATUS" localSheetId="27" hidden="1">#REF!</definedName>
    <definedName name="gls_START_STATUS" localSheetId="19" hidden="1">#REF!</definedName>
    <definedName name="gls_START_STATUS" localSheetId="1" hidden="1">#REF!</definedName>
    <definedName name="gls_START_STATUS" localSheetId="8" hidden="1">#REF!</definedName>
    <definedName name="gls_START_STATUS" localSheetId="6" hidden="1">#REF!</definedName>
    <definedName name="gls_START_STATUS" localSheetId="17" hidden="1">#REF!</definedName>
    <definedName name="gls_START_STATUS" localSheetId="7" hidden="1">#REF!</definedName>
    <definedName name="gls_START_STATUS" localSheetId="3" hidden="1">#REF!</definedName>
    <definedName name="gls_START_STATUS" localSheetId="21" hidden="1">#REF!</definedName>
    <definedName name="gls_START_STATUS" hidden="1">#REF!</definedName>
    <definedName name="gls_START_USER_STATUS" localSheetId="0" hidden="1">#REF!</definedName>
    <definedName name="gls_START_USER_STATUS" localSheetId="27" hidden="1">#REF!</definedName>
    <definedName name="gls_START_USER_STATUS" localSheetId="19" hidden="1">#REF!</definedName>
    <definedName name="gls_START_USER_STATUS" localSheetId="1" hidden="1">#REF!</definedName>
    <definedName name="gls_START_USER_STATUS" localSheetId="8" hidden="1">#REF!</definedName>
    <definedName name="gls_START_USER_STATUS" localSheetId="6" hidden="1">#REF!</definedName>
    <definedName name="gls_START_USER_STATUS" localSheetId="17" hidden="1">#REF!</definedName>
    <definedName name="gls_START_USER_STATUS" localSheetId="7" hidden="1">#REF!</definedName>
    <definedName name="gls_START_USER_STATUS" localSheetId="3" hidden="1">#REF!</definedName>
    <definedName name="gls_START_USER_STATUS" localSheetId="21" hidden="1">#REF!</definedName>
    <definedName name="gls_START_USER_STATUS" hidden="1">#REF!</definedName>
    <definedName name="gls_START_VALIDATION" localSheetId="0" hidden="1">#REF!</definedName>
    <definedName name="gls_START_VALIDATION" localSheetId="27" hidden="1">#REF!</definedName>
    <definedName name="gls_START_VALIDATION" localSheetId="19" hidden="1">#REF!</definedName>
    <definedName name="gls_START_VALIDATION" localSheetId="1" hidden="1">#REF!</definedName>
    <definedName name="gls_START_VALIDATION" localSheetId="8" hidden="1">#REF!</definedName>
    <definedName name="gls_START_VALIDATION" localSheetId="6" hidden="1">#REF!</definedName>
    <definedName name="gls_START_VALIDATION" localSheetId="17" hidden="1">#REF!</definedName>
    <definedName name="gls_START_VALIDATION" localSheetId="7" hidden="1">#REF!</definedName>
    <definedName name="gls_START_VALIDATION" localSheetId="3" hidden="1">#REF!</definedName>
    <definedName name="gls_START_VALIDATION" localSheetId="21" hidden="1">#REF!</definedName>
    <definedName name="gls_START_VALIDATION" hidden="1">#REF!</definedName>
    <definedName name="gls_START_WHAT" localSheetId="0" hidden="1">#REF!</definedName>
    <definedName name="gls_START_WHAT" localSheetId="27" hidden="1">#REF!</definedName>
    <definedName name="gls_START_WHAT" localSheetId="19" hidden="1">#REF!</definedName>
    <definedName name="gls_START_WHAT" localSheetId="1" hidden="1">#REF!</definedName>
    <definedName name="gls_START_WHAT" localSheetId="8" hidden="1">#REF!</definedName>
    <definedName name="gls_START_WHAT" localSheetId="6" hidden="1">#REF!</definedName>
    <definedName name="gls_START_WHAT" localSheetId="17" hidden="1">#REF!</definedName>
    <definedName name="gls_START_WHAT" localSheetId="7" hidden="1">#REF!</definedName>
    <definedName name="gls_START_WHAT" localSheetId="3" hidden="1">#REF!</definedName>
    <definedName name="gls_START_WHAT" localSheetId="21" hidden="1">#REF!</definedName>
    <definedName name="gls_START_WHAT" hidden="1">#REF!</definedName>
    <definedName name="gls_START_YEAR" localSheetId="0" hidden="1">#REF!</definedName>
    <definedName name="gls_START_YEAR" localSheetId="27" hidden="1">#REF!</definedName>
    <definedName name="gls_START_YEAR" localSheetId="19" hidden="1">#REF!</definedName>
    <definedName name="gls_START_YEAR" localSheetId="1" hidden="1">#REF!</definedName>
    <definedName name="gls_START_YEAR" localSheetId="8" hidden="1">#REF!</definedName>
    <definedName name="gls_START_YEAR" localSheetId="6" hidden="1">#REF!</definedName>
    <definedName name="gls_START_YEAR" localSheetId="17" hidden="1">#REF!</definedName>
    <definedName name="gls_START_YEAR" localSheetId="7" hidden="1">#REF!</definedName>
    <definedName name="gls_START_YEAR" localSheetId="3" hidden="1">#REF!</definedName>
    <definedName name="gls_START_YEAR" localSheetId="21" hidden="1">#REF!</definedName>
    <definedName name="gls_START_YEAR" hidden="1">#REF!</definedName>
    <definedName name="gls_TEMP_PERIOD_CODE" localSheetId="0" hidden="1">#REF!</definedName>
    <definedName name="gls_TEMP_PERIOD_CODE" localSheetId="27" hidden="1">#REF!</definedName>
    <definedName name="gls_TEMP_PERIOD_CODE" localSheetId="19" hidden="1">#REF!</definedName>
    <definedName name="gls_TEMP_PERIOD_CODE" localSheetId="1" hidden="1">#REF!</definedName>
    <definedName name="gls_TEMP_PERIOD_CODE" localSheetId="8" hidden="1">#REF!</definedName>
    <definedName name="gls_TEMP_PERIOD_CODE" localSheetId="6" hidden="1">#REF!</definedName>
    <definedName name="gls_TEMP_PERIOD_CODE" localSheetId="17" hidden="1">#REF!</definedName>
    <definedName name="gls_TEMP_PERIOD_CODE" localSheetId="7" hidden="1">#REF!</definedName>
    <definedName name="gls_TEMP_PERIOD_CODE" localSheetId="3" hidden="1">#REF!</definedName>
    <definedName name="gls_TEMP_PERIOD_CODE" localSheetId="21" hidden="1">#REF!</definedName>
    <definedName name="gls_TEMP_PERIOD_CODE" hidden="1">#REF!</definedName>
    <definedName name="gls_YEAR_AE_CONTROL" localSheetId="0" hidden="1">#REF!</definedName>
    <definedName name="gls_YEAR_AE_CONTROL" localSheetId="27" hidden="1">#REF!</definedName>
    <definedName name="gls_YEAR_AE_CONTROL" localSheetId="19" hidden="1">#REF!</definedName>
    <definedName name="gls_YEAR_AE_CONTROL" localSheetId="1" hidden="1">#REF!</definedName>
    <definedName name="gls_YEAR_AE_CONTROL" localSheetId="8" hidden="1">#REF!</definedName>
    <definedName name="gls_YEAR_AE_CONTROL" localSheetId="6" hidden="1">#REF!</definedName>
    <definedName name="gls_YEAR_AE_CONTROL" localSheetId="17" hidden="1">#REF!</definedName>
    <definedName name="gls_YEAR_AE_CONTROL" localSheetId="7" hidden="1">#REF!</definedName>
    <definedName name="gls_YEAR_AE_CONTROL" localSheetId="3" hidden="1">#REF!</definedName>
    <definedName name="gls_YEAR_AE_CONTROL" localSheetId="21" hidden="1">#REF!</definedName>
    <definedName name="gls_YEAR_AE_CONTROL" hidden="1">#REF!</definedName>
    <definedName name="gls_YEAR_END_ROW" localSheetId="0" hidden="1">#REF!</definedName>
    <definedName name="gls_YEAR_END_ROW" localSheetId="27" hidden="1">#REF!</definedName>
    <definedName name="gls_YEAR_END_ROW" localSheetId="19" hidden="1">#REF!</definedName>
    <definedName name="gls_YEAR_END_ROW" localSheetId="1" hidden="1">#REF!</definedName>
    <definedName name="gls_YEAR_END_ROW" localSheetId="8" hidden="1">#REF!</definedName>
    <definedName name="gls_YEAR_END_ROW" localSheetId="6" hidden="1">#REF!</definedName>
    <definedName name="gls_YEAR_END_ROW" localSheetId="17" hidden="1">#REF!</definedName>
    <definedName name="gls_YEAR_END_ROW" localSheetId="7" hidden="1">#REF!</definedName>
    <definedName name="gls_YEAR_END_ROW" localSheetId="3" hidden="1">#REF!</definedName>
    <definedName name="gls_YEAR_END_ROW" localSheetId="21" hidden="1">#REF!</definedName>
    <definedName name="gls_YEAR_END_ROW" hidden="1">#REF!</definedName>
    <definedName name="guidance"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1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EADERCELL">#REF!</definedName>
    <definedName name="HON" localSheetId="19" hidden="1">{"comps",#N/A,FALSE,"TXTCOMPS";"segment_EPS",#N/A,FALSE,"TXTCOMPS";"valuation",#N/A,FALSE,"TXTCOMPS"}</definedName>
    <definedName name="HON" localSheetId="6" hidden="1">{"comps",#N/A,FALSE,"TXTCOMPS";"segment_EPS",#N/A,FALSE,"TXTCOMPS";"valuation",#N/A,FALSE,"TXTCOMPS"}</definedName>
    <definedName name="HON" localSheetId="7" hidden="1">{"comps",#N/A,FALSE,"TXTCOMPS";"segment_EPS",#N/A,FALSE,"TXTCOMPS";"valuation",#N/A,FALSE,"TXTCOMPS"}</definedName>
    <definedName name="HON" localSheetId="3" hidden="1">{"comps",#N/A,FALSE,"TXTCOMPS";"segment_EPS",#N/A,FALSE,"TXTCOMPS";"valuation",#N/A,FALSE,"TXTCOMPS"}</definedName>
    <definedName name="HON" localSheetId="21" hidden="1">{"comps",#N/A,FALSE,"TXTCOMPS";"segment_EPS",#N/A,FALSE,"TXTCOMPS";"valuation",#N/A,FALSE,"TXTCOMPS"}</definedName>
    <definedName name="HON" hidden="1">{"comps",#N/A,FALSE,"TXTCOMPS";"segment_EPS",#N/A,FALSE,"TXTCOMPS";"valuation",#N/A,FALSE,"TXTCOMPS"}</definedName>
    <definedName name="HTML_CodePage" localSheetId="19" hidden="1">1252</definedName>
    <definedName name="HTML_CodePage" localSheetId="7" hidden="1">1252</definedName>
    <definedName name="HTML_CodePage" localSheetId="3" hidden="1">1252</definedName>
    <definedName name="HTML_CodePage" localSheetId="21" hidden="1">949</definedName>
    <definedName name="HTML_CodePage" hidden="1">1252</definedName>
    <definedName name="HTML_Control" localSheetId="0" hidden="1">{"'IG3Q99'!$A$306:$I$356"}</definedName>
    <definedName name="HTML_Control" localSheetId="27" hidden="1">{"'IG3Q99'!$A$306:$I$356"}</definedName>
    <definedName name="HTML_Control" localSheetId="19" hidden="1">{"'IG3Q99'!$A$306:$I$356"}</definedName>
    <definedName name="HTML_Control" localSheetId="1" hidden="1">{"'IG3Q99'!$A$306:$I$356"}</definedName>
    <definedName name="HTML_Control" localSheetId="8" hidden="1">{"'IG3Q99'!$A$306:$I$356"}</definedName>
    <definedName name="HTML_Control" localSheetId="6" hidden="1">{"'IG3Q99'!$A$306:$I$356"}</definedName>
    <definedName name="HTML_Control" localSheetId="17" hidden="1">{"'IG3Q99'!$A$306:$I$356"}</definedName>
    <definedName name="HTML_Control" localSheetId="7" hidden="1">{"'IG3Q99'!$A$306:$I$356"}</definedName>
    <definedName name="HTML_Control" localSheetId="3" hidden="1">{"'IG3Q99'!$A$306:$I$356"}</definedName>
    <definedName name="HTML_Control" localSheetId="21" hidden="1">{"'보고양식'!$A$58:$K$111"}</definedName>
    <definedName name="HTML_Control" hidden="1">{"'IG3Q99'!$A$306:$I$356"}</definedName>
    <definedName name="html_control_1" localSheetId="0" hidden="1">{"'IG3Q99'!$A$306:$I$356"}</definedName>
    <definedName name="html_control_1" localSheetId="27" hidden="1">{"'IG3Q99'!$A$306:$I$356"}</definedName>
    <definedName name="html_control_1" localSheetId="19" hidden="1">{"'IG3Q99'!$A$306:$I$356"}</definedName>
    <definedName name="html_control_1" localSheetId="1" hidden="1">{"'IG3Q99'!$A$306:$I$356"}</definedName>
    <definedName name="html_control_1" localSheetId="8" hidden="1">{"'IG3Q99'!$A$306:$I$356"}</definedName>
    <definedName name="html_control_1" localSheetId="6" hidden="1">{"'IG3Q99'!$A$306:$I$356"}</definedName>
    <definedName name="html_control_1" localSheetId="17" hidden="1">{"'IG3Q99'!$A$306:$I$356"}</definedName>
    <definedName name="html_control_1" localSheetId="7" hidden="1">{"'IG3Q99'!$A$306:$I$356"}</definedName>
    <definedName name="html_control_1" localSheetId="3" hidden="1">{"'IG3Q99'!$A$306:$I$356"}</definedName>
    <definedName name="html_control_1" localSheetId="21" hidden="1">{"'IG3Q99'!$A$306:$I$356"}</definedName>
    <definedName name="html_control_1" hidden="1">{"'IG3Q99'!$A$306:$I$356"}</definedName>
    <definedName name="HTML_Description" hidden="1">""</definedName>
    <definedName name="HTML_Email" hidden="1">""</definedName>
    <definedName name="HTML_Header" localSheetId="19" hidden="1">"IG1Q99"</definedName>
    <definedName name="HTML_Header" localSheetId="7" hidden="1">"IG1Q99"</definedName>
    <definedName name="HTML_Header" localSheetId="3" hidden="1">"IG1Q99"</definedName>
    <definedName name="HTML_Header" localSheetId="21" hidden="1">""</definedName>
    <definedName name="HTML_Header" hidden="1">"IG1Q99"</definedName>
    <definedName name="HTML_LastUpdate" localSheetId="19" hidden="1">"10/26/1999"</definedName>
    <definedName name="HTML_LastUpdate" localSheetId="7" hidden="1">"10/26/1999"</definedName>
    <definedName name="HTML_LastUpdate" localSheetId="3" hidden="1">"10/26/1999"</definedName>
    <definedName name="HTML_LastUpdate" localSheetId="21" hidden="1">""</definedName>
    <definedName name="HTML_LastUpdate" hidden="1">"10/26/1999"</definedName>
    <definedName name="HTML_LineAfter" hidden="1">FALSE</definedName>
    <definedName name="HTML_LineBefore" hidden="1">FALSE</definedName>
    <definedName name="HTML_Name" localSheetId="19" hidden="1">"Judy Sinclair"</definedName>
    <definedName name="HTML_Name" localSheetId="7" hidden="1">"Judy Sinclair"</definedName>
    <definedName name="HTML_Name" localSheetId="3" hidden="1">"Judy Sinclair"</definedName>
    <definedName name="HTML_Name" localSheetId="21" hidden="1">""</definedName>
    <definedName name="HTML_Name" hidden="1">"Judy Sinclair"</definedName>
    <definedName name="HTML_OBDlg2" hidden="1">TRUE</definedName>
    <definedName name="HTML_OBDlg4" hidden="1">TRUE</definedName>
    <definedName name="HTML_OS" hidden="1">0</definedName>
    <definedName name="HTML_PathFile" localSheetId="19" hidden="1">"G:\EXCELDAT\CEXJIS\newcoll.htm"</definedName>
    <definedName name="HTML_PathFile" localSheetId="7" hidden="1">"G:\EXCELDAT\CEXJIS\newcoll.htm"</definedName>
    <definedName name="HTML_PathFile" localSheetId="3" hidden="1">"G:\EXCELDAT\CEXJIS\newcoll.htm"</definedName>
    <definedName name="HTML_PathFile" localSheetId="21" hidden="1">"C:\My Documents\98년\영업현황\2월 수주현황(2월 마감분).htm"</definedName>
    <definedName name="HTML_PathFile" hidden="1">"G:\EXCELDAT\CEXJIS\newcoll.htm"</definedName>
    <definedName name="HTML_Title" localSheetId="19" hidden="1">"CNCIG98"</definedName>
    <definedName name="HTML_Title" localSheetId="7" hidden="1">"CNCIG98"</definedName>
    <definedName name="HTML_Title" localSheetId="3" hidden="1">"CNCIG98"</definedName>
    <definedName name="HTML_Title" localSheetId="21" hidden="1">""</definedName>
    <definedName name="HTML_Title" hidden="1">"CNCIG98"</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hu" localSheetId="19" hidden="1">{"comps",#N/A,FALSE,"TXTCOMPS";"segment_EPS",#N/A,FALSE,"TXTCOMPS";"valuation",#N/A,FALSE,"TXTCOMPS"}</definedName>
    <definedName name="hu" localSheetId="6" hidden="1">{"comps",#N/A,FALSE,"TXTCOMPS";"segment_EPS",#N/A,FALSE,"TXTCOMPS";"valuation",#N/A,FALSE,"TXTCOMPS"}</definedName>
    <definedName name="hu" localSheetId="7" hidden="1">{"comps",#N/A,FALSE,"TXTCOMPS";"segment_EPS",#N/A,FALSE,"TXTCOMPS";"valuation",#N/A,FALSE,"TXTCOMPS"}</definedName>
    <definedName name="hu" localSheetId="3" hidden="1">{"comps",#N/A,FALSE,"TXTCOMPS";"segment_EPS",#N/A,FALSE,"TXTCOMPS";"valuation",#N/A,FALSE,"TXTCOMPS"}</definedName>
    <definedName name="hu" localSheetId="21" hidden="1">{"comps",#N/A,FALSE,"TXTCOMPS";"segment_EPS",#N/A,FALSE,"TXTCOMPS";"valuation",#N/A,FALSE,"TXTCOMPS"}</definedName>
    <definedName name="hu" hidden="1">{"comps",#N/A,FALSE,"TXTCOMPS";"segment_EPS",#N/A,FALSE,"TXTCOMPS";"valuation",#N/A,FALSE,"TXTCOMPS"}</definedName>
    <definedName name="huji" localSheetId="19" hidden="1">{"comps",#N/A,FALSE,"TXTCOMPS"}</definedName>
    <definedName name="huji" localSheetId="6" hidden="1">{"comps",#N/A,FALSE,"TXTCOMPS"}</definedName>
    <definedName name="huji" localSheetId="7" hidden="1">{"comps",#N/A,FALSE,"TXTCOMPS"}</definedName>
    <definedName name="huji" localSheetId="3" hidden="1">{"comps",#N/A,FALSE,"TXTCOMPS"}</definedName>
    <definedName name="huji" localSheetId="21" hidden="1">{"comps",#N/A,FALSE,"TXTCOMPS"}</definedName>
    <definedName name="huji" hidden="1">{"comps",#N/A,FALSE,"TXTCOMPS"}</definedName>
    <definedName name="i" localSheetId="19" hidden="1">{"comps",#N/A,FALSE,"TXTCOMPS";"segment_EPS",#N/A,FALSE,"TXTCOMPS";"valuation",#N/A,FALSE,"TXTCOMPS"}</definedName>
    <definedName name="i" localSheetId="6" hidden="1">{"comps",#N/A,FALSE,"TXTCOMPS";"segment_EPS",#N/A,FALSE,"TXTCOMPS";"valuation",#N/A,FALSE,"TXTCOMPS"}</definedName>
    <definedName name="i" localSheetId="7" hidden="1">{"comps",#N/A,FALSE,"TXTCOMPS";"segment_EPS",#N/A,FALSE,"TXTCOMPS";"valuation",#N/A,FALSE,"TXTCOMPS"}</definedName>
    <definedName name="i" localSheetId="3" hidden="1">{"comps",#N/A,FALSE,"TXTCOMPS";"segment_EPS",#N/A,FALSE,"TXTCOMPS";"valuation",#N/A,FALSE,"TXTCOMPS"}</definedName>
    <definedName name="i" localSheetId="21" hidden="1">{"comps",#N/A,FALSE,"TXTCOMPS";"segment_EPS",#N/A,FALSE,"TXTCOMPS";"valuation",#N/A,FALSE,"TXTCOMPS"}</definedName>
    <definedName name="i" hidden="1">{"comps",#N/A,FALSE,"TXTCOMPS";"segment_EPS",#N/A,FALSE,"TXTCOMPS";"valuation",#N/A,FALSE,"TXTCOMPS"}</definedName>
    <definedName name="Img_GE_Retail_Finance" hidden="1">"IMG_12"</definedName>
    <definedName name="Img_Geo" hidden="1">"IMG_4"</definedName>
    <definedName name="Img_ML_1a7g4d7g" hidden="1">"IMG_10"</definedName>
    <definedName name="Img_ML_1a9i6f1a" hidden="1">"IMG_6"</definedName>
    <definedName name="Img_ML_1c3d1n6n" hidden="1">"IMG_11"</definedName>
    <definedName name="Img_ML_1d8s8t7q" hidden="1">"IMG_10"</definedName>
    <definedName name="Img_ML_1e1k9n5y" hidden="1">"IMG_18"</definedName>
    <definedName name="Img_ML_1g2y2j4q" hidden="1">"IMG_10"</definedName>
    <definedName name="Img_ML_1g9y2u4q" hidden="1">"IMG_11"</definedName>
    <definedName name="Img_ML_1h4n3h8h" hidden="1">"IMG_8"</definedName>
    <definedName name="Img_ML_1k4g9u7k" hidden="1">"IMG_11"</definedName>
    <definedName name="Img_ML_1s1s8i2q" hidden="1">"IMG_10"</definedName>
    <definedName name="Img_ML_1s4s8z2q" hidden="1">"IMG_10"</definedName>
    <definedName name="Img_ML_1t5s6u1f" hidden="1">"IMG_5"</definedName>
    <definedName name="Img_ML_1y7a6c1t" hidden="1">"IMG_11"</definedName>
    <definedName name="Img_ML_2b1a1a6f" localSheetId="19" hidden="1">"IMG_4"</definedName>
    <definedName name="Img_ML_2b1a1a6f" localSheetId="7" hidden="1">"IMG_4"</definedName>
    <definedName name="Img_ML_2b1a1a6f" localSheetId="3" hidden="1">"IMG_4"</definedName>
    <definedName name="Img_ML_2b1a1a6f" localSheetId="21" hidden="1">"IMG_6"</definedName>
    <definedName name="Img_ML_2b1a1a6f" hidden="1">"IMG_4"</definedName>
    <definedName name="Img_ML_2b2b8h8h" hidden="1">"IMG_10"</definedName>
    <definedName name="Img_ML_2b4d2b3c" hidden="1">"IMG_6"</definedName>
    <definedName name="Img_ML_2b5e9i4d" hidden="1">"IMG_6"</definedName>
    <definedName name="Img_ML_2b6f5e1a" hidden="1">"IMG_6"</definedName>
    <definedName name="Img_ML_2b9i6f3c" hidden="1">"IMG_6"</definedName>
    <definedName name="Img_ML_2e1r5p2m" hidden="1">"IMG_10"</definedName>
    <definedName name="Img_ML_2i4d6c2r" hidden="1">"IMG_18"</definedName>
    <definedName name="Img_ML_2j4h5d5y" hidden="1">"IMG_10"</definedName>
    <definedName name="Img_ML_2j6i5k6b" hidden="1">"IMG_12"</definedName>
    <definedName name="Img_ML_2j6r9l1a" hidden="1">"IMG_10"</definedName>
    <definedName name="Img_ML_2j9r9u8a" hidden="1">"IMG_10"</definedName>
    <definedName name="Img_ML_2k2r9j3a" hidden="1">"IMG_10"</definedName>
    <definedName name="Img_ML_2k5y2m3a" hidden="1">"IMG_10"</definedName>
    <definedName name="Img_ML_2m9t4m5q" hidden="1">"IMG_10"</definedName>
    <definedName name="Img_ML_2s1s8i2a" hidden="1">"IMG_10"</definedName>
    <definedName name="Img_ML_2v6s9i5c" hidden="1">"IMG_18"</definedName>
    <definedName name="Img_ML_2x1b8j5c" hidden="1">"IMG_12"</definedName>
    <definedName name="Img_ML_2x8r4a2e" hidden="1">"IMG_11"</definedName>
    <definedName name="Img_ML_3b3j3x9k" hidden="1">"IMG_18"</definedName>
    <definedName name="Img_ML_3c4d1a4d" hidden="1">"IMG_6"</definedName>
    <definedName name="Img_ML_3c4d2b5e" hidden="1">"IMG_6"</definedName>
    <definedName name="Img_ML_3c6e9c4g" hidden="1">"IMG_12"</definedName>
    <definedName name="Img_ML_3c7g1a7g" hidden="1">"IMG_3"</definedName>
    <definedName name="Img_ML_3c9i9i4d" hidden="1">"IMG_6"</definedName>
    <definedName name="Img_ML_3e2q4k7i" hidden="1">"IMG_11"</definedName>
    <definedName name="Img_ML_3g2u6j4p" hidden="1">"IMG_10"</definedName>
    <definedName name="Img_ML_3g2y2j4p" hidden="1">"IMG_10"</definedName>
    <definedName name="Img_ML_3g3r9k4p" hidden="1">"IMG_10"</definedName>
    <definedName name="Img_ML_3h2n3p4v" hidden="1">"IMG_11"</definedName>
    <definedName name="Img_ML_3j3z1k8p" hidden="1">"IMG_10"</definedName>
    <definedName name="Img_ML_3k8z1t3p" hidden="1">"IMG_10"</definedName>
    <definedName name="Img_ML_3n5p3k4y" hidden="1">"IMG_13"</definedName>
    <definedName name="Img_ML_3p2b9c6w" hidden="1">"IMG_18"</definedName>
    <definedName name="Img_ML_3p5d9q5j" hidden="1">"IMG_6"</definedName>
    <definedName name="Img_ML_3r4u7k1k" hidden="1">"IMG_14"</definedName>
    <definedName name="Img_ML_3s2w4j6p" hidden="1">"IMG_10"</definedName>
    <definedName name="Img_ML_3s8t7t6p" hidden="1">"IMG_10"</definedName>
    <definedName name="Img_ML_3t6y8n6e" hidden="1">"IMG_13"</definedName>
    <definedName name="Img_ML_3x8m5t8j" hidden="1">"IMG_12"</definedName>
    <definedName name="Img_ML_3y1j4m2m" hidden="1">"IMG_18"</definedName>
    <definedName name="Img_ML_4b5r5k9y" hidden="1">"IMG_18"</definedName>
    <definedName name="Img_ML_4d2b6f6f" hidden="1">"IMG_6"</definedName>
    <definedName name="Img_ML_4d4d7g3c" localSheetId="19" hidden="1">"IMG_4"</definedName>
    <definedName name="Img_ML_4d4d7g3c" localSheetId="7" hidden="1">"IMG_4"</definedName>
    <definedName name="Img_ML_4d4d7g3c" localSheetId="3" hidden="1">"IMG_4"</definedName>
    <definedName name="Img_ML_4d4d7g3c" localSheetId="21" hidden="1">"IMG_6"</definedName>
    <definedName name="Img_ML_4d4d7g3c" hidden="1">"IMG_4"</definedName>
    <definedName name="Img_ML_4d6v5l7l" hidden="1">"IMG_10"</definedName>
    <definedName name="Img_ML_4g9z1u4l" hidden="1">"IMG_10"</definedName>
    <definedName name="Img_ML_4j1z1i1l" hidden="1">"IMG_10"</definedName>
    <definedName name="Img_ML_4k8k7q4x" hidden="1">"IMG_10"</definedName>
    <definedName name="Img_ML_4m3p5r8j" hidden="1">"IMG_32"</definedName>
    <definedName name="Img_ML_4n6t1k1h" hidden="1">"IMG_6"</definedName>
    <definedName name="Img_ML_4r3t2p9g" hidden="1">"IMG_10"</definedName>
    <definedName name="Img_ML_4s2w4j6l" hidden="1">"IMG_10"</definedName>
    <definedName name="Img_ML_4u3z1k5l" hidden="1">"IMG_11"</definedName>
    <definedName name="Img_ML_4u7w4o5l" hidden="1">"IMG_10"</definedName>
    <definedName name="Img_ML_5d3i8b5s" hidden="1">"IMG_10"</definedName>
    <definedName name="Img_ML_5e1a1a7g" hidden="1">"IMG_6"</definedName>
    <definedName name="Img_ML_5e6f9i8h" hidden="1">"IMG_6"</definedName>
    <definedName name="Img_ML_5e7g5e5e" hidden="1">"IMG_6"</definedName>
    <definedName name="Img_ML_5e7s6t2u" hidden="1">"IMG_12"</definedName>
    <definedName name="Img_ML_5e8h1a2b" hidden="1">"IMG_10"</definedName>
    <definedName name="Img_ML_5e9i9i2b" hidden="1">"IMG_6"</definedName>
    <definedName name="Img_ML_5e9m1k3s" hidden="1">"IMG_3"</definedName>
    <definedName name="Img_ML_5f9d1i5x" hidden="1">"IMG_6"</definedName>
    <definedName name="Img_ML_5f9x9u4u" hidden="1">"IMG_18"</definedName>
    <definedName name="Img_ML_5g9z1u4m" hidden="1">"IMG_10"</definedName>
    <definedName name="Img_ML_5h6q3g8u" hidden="1">"IMG_12"</definedName>
    <definedName name="Img_ML_5j2y2j1m" hidden="1">"IMG_11"</definedName>
    <definedName name="Img_ML_5k1g6v5e" hidden="1">"IMG_10"</definedName>
    <definedName name="Img_ML_5k7e4n8n" hidden="1">"IMG_5"</definedName>
    <definedName name="Img_ML_5k8u7s9i" hidden="1">"IMG_10"</definedName>
    <definedName name="Img_ML_5u2y2j5m" hidden="1">"IMG_10"</definedName>
    <definedName name="Img_ML_6d4x3z7z" hidden="1">"IMG_10"</definedName>
    <definedName name="Img_ML_6d5x3m7z" hidden="1">"IMG_10"</definedName>
    <definedName name="Img_ML_6f2b1a5e" localSheetId="19" hidden="1">"IMG_4"</definedName>
    <definedName name="Img_ML_6f2b1a5e" localSheetId="7" hidden="1">"IMG_4"</definedName>
    <definedName name="Img_ML_6f2b1a5e" localSheetId="3" hidden="1">"IMG_4"</definedName>
    <definedName name="Img_ML_6f2b1a5e" localSheetId="21" hidden="1">"IMG_10"</definedName>
    <definedName name="Img_ML_6f2b1a5e" hidden="1">"IMG_4"</definedName>
    <definedName name="Img_ML_6f2p1m9g" hidden="1">"IMG_10"</definedName>
    <definedName name="Img_ML_6f5e5e4d" hidden="1">"IMG_6"</definedName>
    <definedName name="Img_ML_6f6f4d9i" hidden="1">"IMG_6"</definedName>
    <definedName name="Img_ML_6f9i2b5e" hidden="1">"IMG_6"</definedName>
    <definedName name="Img_ML_6j4v6x5i" hidden="1">"IMG_10"</definedName>
    <definedName name="Img_ML_6j5x3m8z" hidden="1">"IMG_10"</definedName>
    <definedName name="Img_ML_6k4t7z9z" hidden="1">"IMG_6"</definedName>
    <definedName name="Img_ML_6k5t7m9z" hidden="1">"IMG_10"</definedName>
    <definedName name="Img_ML_6k8x3t3z" hidden="1">"IMG_10"</definedName>
    <definedName name="Img_ML_6k9c9p4d" hidden="1">"IMG_18"</definedName>
    <definedName name="Img_ML_6m6i9t6k" hidden="1">"IMG_10"</definedName>
    <definedName name="Img_ML_6n6c2h1d" hidden="1">"IMG_17"</definedName>
    <definedName name="Img_ML_6p2b6u6k" hidden="1">"IMG_13"</definedName>
    <definedName name="Img_ML_6p3m8v1n" hidden="1">"IMG_18"</definedName>
    <definedName name="Img_ML_6r9u1n9k" hidden="1">"IMG_11"</definedName>
    <definedName name="Img_ML_6u4t7r7e" hidden="1">"IMG_10"</definedName>
    <definedName name="Img_ML_6u6x3l5z" hidden="1">"IMG_10"</definedName>
    <definedName name="Img_ML_6w6m7b7r" hidden="1">"IMG_10"</definedName>
    <definedName name="Img_ML_6y9f7y3n" hidden="1">"IMG_12"</definedName>
    <definedName name="Img_ML_7b3x8f2f" hidden="1">"IMG_10"</definedName>
    <definedName name="Img_ML_7e1g7x4r" hidden="1">"IMG_11"</definedName>
    <definedName name="Img_ML_7g3c2b9i" hidden="1">"IMG_6"</definedName>
    <definedName name="Img_ML_7g4k9d6i" hidden="1">"IMG_11"</definedName>
    <definedName name="Img_ML_7g5e5e2b" localSheetId="19" hidden="1">"IMG_12"</definedName>
    <definedName name="Img_ML_7g5e5e2b" localSheetId="7" hidden="1">"IMG_12"</definedName>
    <definedName name="Img_ML_7g5e5e2b" localSheetId="3" hidden="1">"IMG_12"</definedName>
    <definedName name="Img_ML_7g5e5e2b" localSheetId="21" hidden="1">"IMG_3"</definedName>
    <definedName name="Img_ML_7g5e5e2b" hidden="1">"IMG_12"</definedName>
    <definedName name="Img_ML_7j6w4l1i" hidden="1">"IMG_10"</definedName>
    <definedName name="Img_ML_7m5m4k3b" hidden="1">"IMG_18"</definedName>
    <definedName name="Img_ML_7n6h3t1t" hidden="1">"IMG_11"</definedName>
    <definedName name="Img_ML_7s4w7c6r" hidden="1">"IMG_6"</definedName>
    <definedName name="Img_ML_7s5s8m6i" hidden="1">"IMG_10"</definedName>
    <definedName name="Img_ML_7s7v5o2i" hidden="1">"IMG_10"</definedName>
    <definedName name="Img_ML_7w3j1h9t" hidden="1">"IMG_12"</definedName>
    <definedName name="Img_ML_8b4s3j4n" hidden="1">"IMG_12"</definedName>
    <definedName name="Img_ML_8b9j5t1p" hidden="1">"IMG_18"</definedName>
    <definedName name="Img_ML_8c2q5i2r" hidden="1">"IMG_12"</definedName>
    <definedName name="Img_ML_8g3e4a7v" hidden="1">"IMG_6"</definedName>
    <definedName name="Img_ML_8g6y2l4j" hidden="1">"IMG_10"</definedName>
    <definedName name="Img_ML_8h3m3i1m" hidden="1">"IMG_11"</definedName>
    <definedName name="Img_ML_8h4d9i2b" localSheetId="19" hidden="1">"IMG_4"</definedName>
    <definedName name="Img_ML_8h4d9i2b" localSheetId="7" hidden="1">"IMG_4"</definedName>
    <definedName name="Img_ML_8h4d9i2b" localSheetId="3" hidden="1">"IMG_4"</definedName>
    <definedName name="Img_ML_8h4d9i2b" localSheetId="21" hidden="1">"IMG_6"</definedName>
    <definedName name="Img_ML_8h4d9i2b" hidden="1">"IMG_4"</definedName>
    <definedName name="Img_ML_8h5e9i3c" hidden="1">"IMG_6"</definedName>
    <definedName name="Img_ML_8h7g3c9i" hidden="1">"IMG_6"</definedName>
    <definedName name="Img_ML_8h7g4d4d" hidden="1">"IMG_3"</definedName>
    <definedName name="Img_ML_8i9u7w8k" hidden="1">"IMG_10"</definedName>
    <definedName name="Img_ML_8j2w4j8j" hidden="1">"IMG_10"</definedName>
    <definedName name="Img_ML_8j3v5k8j" hidden="1">"IMG_10"</definedName>
    <definedName name="Img_ML_8j3w6p4c" hidden="1">"IMG_4"</definedName>
    <definedName name="Img_ML_8j6r9l1j" hidden="1">"IMG_10"</definedName>
    <definedName name="Img_ML_8k1s8i9j" hidden="1">"IMG_10"</definedName>
    <definedName name="Img_ML_8k7v5o9j" hidden="1">"IMG_10"</definedName>
    <definedName name="Img_ML_8k8v5t3j" hidden="1">"IMG_10"</definedName>
    <definedName name="Img_ML_8r1k8t4y" hidden="1">"IMG_11"</definedName>
    <definedName name="Img_ML_8r9f4n4f" hidden="1">"IMG_10"</definedName>
    <definedName name="Img_ML_8s3q3c1i" hidden="1">"IMG_10"</definedName>
    <definedName name="Img_ML_8s7v5o2j" hidden="1">"IMG_10"</definedName>
    <definedName name="Img_ML_8t3m5u6f" hidden="1">"IMG_10"</definedName>
    <definedName name="Img_ML_8u1r9i5j" hidden="1">"IMG_10"</definedName>
    <definedName name="Img_ML_9c9p6w6g" hidden="1">"IMG_6"</definedName>
    <definedName name="Img_ML_9d9x3u7w" hidden="1">"IMG_10"</definedName>
    <definedName name="Img_ML_9g2r1i7c" hidden="1">"IMG_11"</definedName>
    <definedName name="Img_ML_9g3r6t7h" hidden="1">"IMG_10"</definedName>
    <definedName name="Img_ML_9h6h8h8e" hidden="1">"IMG_10"</definedName>
    <definedName name="Img_ML_9h6p7r7t" hidden="1">"IMG_13"</definedName>
    <definedName name="Img_ML_9i6f5e3c" hidden="1">"IMG_10"</definedName>
    <definedName name="Img_ML_9j3t2m3v" hidden="1">"IMG_18"</definedName>
    <definedName name="Img_ML_9n1s4m5f" hidden="1">"IMG_11"</definedName>
    <definedName name="Img_ML_9s2r9j6w" hidden="1">"IMG_10"</definedName>
    <definedName name="Img_ML_9u2c1d4e" hidden="1">"IMG_12"</definedName>
    <definedName name="Img_ML_9v6s2g1u" hidden="1">"IMG_17"</definedName>
    <definedName name="Img_Production_Breakdown" hidden="1">"IMG_3"</definedName>
    <definedName name="Img_Supply_Demand_Tables" hidden="1">"IMG_11"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AVAIL_SALE_FFIEC" hidden="1">"c12802"</definedName>
    <definedName name="IQ_ABS_FFIEC" hidden="1">"c12788"</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"c413"</definedName>
    <definedName name="IQ_ACCOUNTING_FFIEC" hidden="1">"c13054"</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SUPPLE" hidden="1">"c13812"</definedName>
    <definedName name="IQ_ASSET_WRITEDOWN_UTI" hidden="1">"c61"</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ID" hidden="1">"c13756"</definedName>
    <definedName name="IQ_BOARD_MEMBER_MAIN_FAX" hidden="1">"c15174"</definedName>
    <definedName name="IQ_BOARD_MEMBER_MAIN_PHONE" hidden="1">"c15173"</definedName>
    <definedName name="IQ_BOARD_MEMBER_OFFICE_ADDRESS" hidden="1">"c15172"</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"c100"</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LOW_ACT_OR_EST" hidden="1">"c4154"</definedName>
    <definedName name="IQ_CASH_FOREIGN_BRANCH_OTHER_US_BANKS_FFIEC" hidden="1">"c15282"</definedName>
    <definedName name="IQ_CASH_IN_PROCESS_FDIC" hidden="1">"c6386"</definedName>
    <definedName name="IQ_CASH_INTEREST" hidden="1">"c120"</definedName>
    <definedName name="IQ_CASH_INVEST" hidden="1">"c121"</definedName>
    <definedName name="IQ_CASH_OPER" hidden="1">"c122"</definedName>
    <definedName name="IQ_CASH_OPER_ACT_OR_EST" hidden="1">"c4164"</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CE_FDIC" hidden="1">"c6296"</definedName>
    <definedName name="IQ_CDS_COUPON" hidden="1">"c15234"</definedName>
    <definedName name="IQ_CDS_DERIVATIVES_BENEFICIARY_FFIEC" hidden="1">"c13119"</definedName>
    <definedName name="IQ_CDS_DERIVATIVES_GUARANTOR_FFIEC" hidden="1">"c13112"</definedName>
    <definedName name="IQ_CDS_LIST" hidden="1">"c13510"</definedName>
    <definedName name="IQ_CDS_LOAN_LIST" hidden="1">"c13518"</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O_ID" hidden="1">"c15212"</definedName>
    <definedName name="IQ_CFO_NAME" hidden="1">"c15211"</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LEASES_LL_REC_FFIEC" hidden="1">"c12895"</definedName>
    <definedName name="IQ_CONSUMER_LOANS" hidden="1">"c223"</definedName>
    <definedName name="IQ_CONSUMER_LOANS_LL_REC_DOM_FFIEC" hidden="1">"c12911"</definedName>
    <definedName name="IQ_CONSUMER_LOANS_TOT_LOANS_FFIEC" hidden="1">"c13875"</definedName>
    <definedName name="IQ_CONTRACT_AMOUNT" hidden="1">"c13933"</definedName>
    <definedName name="IQ_CONTRACT_DETAILS" hidden="1">"c15555"</definedName>
    <definedName name="IQ_CONTRACT_MONTH" hidden="1">"c13934"</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AGE_RATIO" hidden="1">"c15243"</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"c373"</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PLOYEES" hidden="1">"c392"</definedName>
    <definedName name="IQ_EMPLOYEES_FFIEC" hidden="1">"c13035"</definedName>
    <definedName name="IQ_ENTERPRISE_VALUE" hidden="1">"c84"</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EST_REUT" hidden="1">"c5453"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"c552"</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REUT" hidden="1">"c5409"</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FFO_REUT" hidden="1">"c3843"</definedName>
    <definedName name="IQ_EST_ACT_FFO_SHARE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BV_DIFF_REUT" hidden="1">"c5433"</definedName>
    <definedName name="IQ_EST_BV_SURPRISE_PERCENT_REUT" hidden="1">"c5434"</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AIR_VALUE_MORT_SERVICING_ASSETS_FFIEC" hidden="1">"c12956"</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DIFF_REUT" hidden="1">"c3890"</definedName>
    <definedName name="IQ_EST_FFO_SHARE_SURPRISE_PERCENT_REUT" hidden="1">"c3891"</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CIQ" hidden="1">"c3700"</definedName>
    <definedName name="IQ_EST_NUM_BUY_REUT" hidden="1">"c3869"</definedName>
    <definedName name="IQ_EST_NUM_BUY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_OVER_REVENUE_EST" hidden="1">"c165"</definedName>
    <definedName name="IQ_EV_OVER_REVENUE_EST_1" hidden="1">"c166"</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"test"</definedName>
    <definedName name="IQ_EXPENSES_FIXED_ASSETS_FFIEC" hidden="1">"c13024"</definedName>
    <definedName name="IQ_EXPIRATION_DATE" hidden="1">"c13930"</definedName>
    <definedName name="IQ_EXPLORE_DRILL" hidden="1">"c409"</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"c4970"</definedName>
    <definedName name="IQ_FFO_EST_REUT" hidden="1">"c3837"</definedName>
    <definedName name="IQ_FFO_HIGH_EST" hidden="1">"c419"</definedName>
    <definedName name="IQ_FFO_HIGH_EST_CIQ" hidden="1">"c4977"</definedName>
    <definedName name="IQ_FFO_HIGH_EST_REUT" hidden="1">"c3839"</definedName>
    <definedName name="IQ_FFO_LOW_EST" hidden="1">"c420"</definedName>
    <definedName name="IQ_FFO_LOW_EST_CIQ" hidden="1">"c4978"</definedName>
    <definedName name="IQ_FFO_LOW_EST_REUT" hidden="1">"c3840"</definedName>
    <definedName name="IQ_FFO_MEDIAN_EST" hidden="1">"c1665"</definedName>
    <definedName name="IQ_FFO_MEDIAN_EST_CIQ" hidden="1">"c4979"</definedName>
    <definedName name="IQ_FFO_MEDIAN_EST_REUT" hidden="1">"c3838"</definedName>
    <definedName name="IQ_FFO_NUM_EST" hidden="1">"c421"</definedName>
    <definedName name="IQ_FFO_NUM_EST_CIQ" hidden="1">"c4980"</definedName>
    <definedName name="IQ_FFO_NUM_EST_REUT" hidden="1">"c3841"</definedName>
    <definedName name="IQ_FFO_PAYOUT_RATIO" hidden="1">"c3492"</definedName>
    <definedName name="IQ_FFO_SHARE_ACT_OR_EST" hidden="1">"c4446"</definedName>
    <definedName name="IQ_FFO_SHARE_EST_REUT" hidden="1">"c3837"</definedName>
    <definedName name="IQ_FFO_SHARE_HIGH_EST_REUT" hidden="1">"c3839"</definedName>
    <definedName name="IQ_FFO_SHARE_LOW_EST_REUT" hidden="1">"c3840"</definedName>
    <definedName name="IQ_FFO_SHARE_MEDIAN_EST_REUT" hidden="1">"c3838"</definedName>
    <definedName name="IQ_FFO_SHARE_NUM_EST_REUT" hidden="1">"c3841"</definedName>
    <definedName name="IQ_FFO_SHARE_STDDEV_EST_REUT" hidden="1">"c3842"</definedName>
    <definedName name="IQ_FFO_STDDEV_EST" hidden="1">"c422"</definedName>
    <definedName name="IQ_FFO_STDDEV_EST_CIQ" hidden="1">"c4981"</definedName>
    <definedName name="IQ_FFO_STDDEV_EST_REUT" hidden="1">"c3842"</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 hidden="1">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EST_CIQ" hidden="1">"c13924"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DGEFUND_OVER_TOTAL" hidden="1">"c13771"</definedName>
    <definedName name="IQ_HELD_MATURITY_FDIC" hidden="1">"c6408"</definedName>
    <definedName name="IQ_HIGH_LOW_CLOSEPRICE_DATE" hidden="1">"c1204"</definedName>
    <definedName name="IQ_HIGH_TARGET_PRICE" hidden="1">"c1651"</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IR_OIL" hidden="1">"c547"</definedName>
    <definedName name="IQ_IMPAIRED_LOANS" hidden="1">"c15250"</definedName>
    <definedName name="IQ_IMPAIRMENT_GW" hidden="1">"c548"</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MATURING_1YR_INT_SENSITIVITY_FFIEC" hidden="1">"c13097"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SUPPLE" hidden="1">"c13810"</definedName>
    <definedName name="IQ_MERGER_UTI" hidden="1">"c726"</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9" hidden="1">43839.2605092593</definedName>
    <definedName name="IQ_NAMES_REVISION_DATE_" localSheetId="6" hidden="1">43839.2605092593</definedName>
    <definedName name="IQ_NAMES_REVISION_DATE_" localSheetId="17" hidden="1">43613.2874652778</definedName>
    <definedName name="IQ_NAMES_REVISION_DATE_" localSheetId="7" hidden="1">43839.2605092593</definedName>
    <definedName name="IQ_NAMES_REVISION_DATE_" localSheetId="11" hidden="1">44768.7436226852</definedName>
    <definedName name="IQ_NAMES_REVISION_DATE_" localSheetId="9" hidden="1">44768.7436226852</definedName>
    <definedName name="IQ_NAMES_REVISION_DATE_" localSheetId="3" hidden="1">41449.5538888889</definedName>
    <definedName name="IQ_NAMES_REVISION_DATE_" localSheetId="21" hidden="1">44767.2159490741</definedName>
    <definedName name="IQ_NAMES_REVISION_DATE_" hidden="1">40210.3998958333</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10K" hidden="1">"IQ_NET_INC_10K"</definedName>
    <definedName name="IQ_NET_INC_10Q" hidden="1">"IQ_NET_INC_10Q"</definedName>
    <definedName name="IQ_NET_INC_10Q1" hidden="1">"IQ_NET_INC_10Q1"</definedName>
    <definedName name="IQ_NET_INC_BEFORE" hidden="1">"c344"</definedName>
    <definedName name="IQ_NET_INC_CF" hidden="1">"c793"</definedName>
    <definedName name="IQ_NET_INC_GROWTH_1" hidden="1">"c158"</definedName>
    <definedName name="IQ_NET_INC_GROWTH_2" hidden="1">"c162"</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DEPOSITS_DOM_FFIEC" hidden="1">"c12851"</definedName>
    <definedName name="IQ_NON_INT_DEPOSITS_FOREIGN_FFIEC" hidden="1">"c12854"</definedName>
    <definedName name="IQ_NON_INT_EXP" hidden="1">"c801"</definedName>
    <definedName name="IQ_NON_INT_EXP_FDIC" hidden="1">"c6579"</definedName>
    <definedName name="IQ_NON_INT_EXPENSE_FFIEC" hidden="1">"c13028"</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AVG_ASSETS_FFIEC" hidden="1">"c13359"</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EXP_AVG_ASSETS_FFIEC" hidden="1">"c13372"</definedName>
    <definedName name="IQ_OCCUPANCY_EXP_OPERATING_INC_FFIEC" hidden="1">"c13380"</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FFIEC" hidden="1">"c12972"</definedName>
    <definedName name="IQ_OTHER_AMORT" hidden="1">"c5563"</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SAVINGS_DEPOSITS_FDIC" hidden="1">"c6554"</definedName>
    <definedName name="IQ_OTHER_SAVINGS_DEPOSITS_NON_TRANS_ACCTS_FFIEC" hidden="1">"c15331"</definedName>
    <definedName name="IQ_OTHER_SECURITIES_QUARTERLY_AVG_FFIEC" hidden="1">"c15472"</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12MONTHS" hidden="1">"c1828"</definedName>
    <definedName name="IQ_PERCENT_CHANGE_EST_FFO_SHARE_12MONTHS_REUT" hidden="1">"c3938"</definedName>
    <definedName name="IQ_PERCENT_CHANGE_EST_FFO_SHARE_18MONTHS" hidden="1">"c1829"</definedName>
    <definedName name="IQ_PERCENT_CHANGE_EST_FFO_SHARE_18MONTHS_REUT" hidden="1">"c3939"</definedName>
    <definedName name="IQ_PERCENT_CHANGE_EST_FFO_SHARE_3MONTHS" hidden="1">"c1825"</definedName>
    <definedName name="IQ_PERCENT_CHANGE_EST_FFO_SHARE_3MONTHS_REUT" hidden="1">"c3935"</definedName>
    <definedName name="IQ_PERCENT_CHANGE_EST_FFO_SHARE_6MONTHS" hidden="1">"c1826"</definedName>
    <definedName name="IQ_PERCENT_CHANGE_EST_FFO_SHARE_6MONTHS_REUT" hidden="1">"c3936"</definedName>
    <definedName name="IQ_PERCENT_CHANGE_EST_FFO_SHARE_9MONTHS" hidden="1">"c1827"</definedName>
    <definedName name="IQ_PERCENT_CHANGE_EST_FFO_SHARE_9MONTHS_REUT" hidden="1">"c3937"</definedName>
    <definedName name="IQ_PERCENT_CHANGE_EST_FFO_SHARE_DAY" hidden="1">"c1822"</definedName>
    <definedName name="IQ_PERCENT_CHANGE_EST_FFO_SHARE_DAY_REUT" hidden="1">"c3933"</definedName>
    <definedName name="IQ_PERCENT_CHANGE_EST_FFO_SHARE_MONTH" hidden="1">"c1824"</definedName>
    <definedName name="IQ_PERCENT_CHANGE_EST_FFO_SHARE_MONTH_REUT" hidden="1">"c3934"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SHARE_WEEK" hidden="1">"c1823"</definedName>
    <definedName name="IQ_PERCENT_CHANGE_EST_FFO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FORMANCE_LOC_FOREIGN_GUARANTEES_FFIEC" hidden="1">"c13251"</definedName>
    <definedName name="IQ_PERIODDATE" hidden="1">"c1034"</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CF" hidden="1">"c1502"</definedName>
    <definedName name="IQ_PERIODLENGTH_IS" hidden="1">"c1503"</definedName>
    <definedName name="IQ_PERSONNEL_EXP_AVG_ASSETS_FFIEC" hidden="1">"c13371"</definedName>
    <definedName name="IQ_PERSONNEL_EXP_OPERATING_INC_FFIEC" hidden="1">"c13379"</definedName>
    <definedName name="IQ_PERTYPE" hidden="1">"c1611"</definedName>
    <definedName name="IQ_PLEDGED_SEC_INVEST_SECURITIES_FFIEC" hidden="1">"c13467"</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CONTRACT_ID" hidden="1">"c13929"</definedName>
    <definedName name="IQ_PRICE_OVER_BVPS" hidden="1">"c1026"</definedName>
    <definedName name="IQ_PRICE_OVER_EPS_EST" hidden="1">"c174"</definedName>
    <definedName name="IQ_PRICE_OVER_EPS_EST_1" hidden="1">"c175"</definedName>
    <definedName name="IQ_PRICE_OVER_LTM_EPS" hidden="1">"c1029"</definedName>
    <definedName name="IQ_PRICE_TARGET" hidden="1">"c82"</definedName>
    <definedName name="IQ_PRICE_TARGET_REUT" hidden="1">"c3631"</definedName>
    <definedName name="IQ_PRICE_UNIT" hidden="1">"c15556"</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FARMLAND_GROSS_LOANS_FFIEC" hidden="1">"c13408"</definedName>
    <definedName name="IQ_RE_FARMLAND_RISK_BASED_FFIEC" hidden="1">"c13429"</definedName>
    <definedName name="IQ_RE_FORECLOSURE_FDIC" hidden="1">"c6332"</definedName>
    <definedName name="IQ_RE_FOREIGN_FFIEC" hidden="1">"c13479"</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COMMON_EQUITY" hidden="1">"c13838"</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BEFORE_LOAN_LOSS_FOREIGN_FFIEC" hidden="1">"c15381"</definedName>
    <definedName name="IQ_REV_STDDEV_EST" hidden="1">"c1124"</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BEFORE_LL_FFIEC" hidden="1">"c13018"</definedName>
    <definedName name="IQ_REVENUE_EST" hidden="1">"c1126"</definedName>
    <definedName name="IQ_REVENUE_EST_1" hidden="1">"c190"</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38747.6532060184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_PRICE" hidden="1">"c15157"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POSITIONS_FFIEC" hidden="1">"c12859"</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VG_CE_TOTAL_AVG_ASSETS" hidden="1">"c1241"</definedName>
    <definedName name="IQ_TOTAL_AVG_EQUITY_TOTAL_AVG_ASSETS" hidden="1">"c1242"</definedName>
    <definedName name="IQ_TOTAL_BANK_CAPITAL" hidden="1">"c2668"</definedName>
    <definedName name="IQ_TOTAL_BROKERED_DEPOSIT_FFIEC" hidden="1">"c15304"</definedName>
    <definedName name="IQ_TOTAL_CA" hidden="1">"c1243"</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SECURITIES_FDIC" hidden="1">"c6306"</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LOANS" hidden="1">"c15249"</definedName>
    <definedName name="IQ_VENTURE_CAPITAL_REVENUE_FFIEC" hidden="1">"c13010"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localSheetId="6" hidden="1">#REF!</definedName>
    <definedName name="IQB_BOOKMARK_LOCATION_0" localSheetId="7" hidden="1">#REF!</definedName>
    <definedName name="IQB_BOOKMARK_LOCATION_0" localSheetId="21" hidden="1">#REF!</definedName>
    <definedName name="IQB_BOOKMARK_LOCATION_0" hidden="1">#REF!</definedName>
    <definedName name="IQB_BOOKMARK_LOCATION_1" localSheetId="6" hidden="1">#REF!</definedName>
    <definedName name="IQB_BOOKMARK_LOCATION_1" localSheetId="7" hidden="1">#REF!</definedName>
    <definedName name="IQB_BOOKMARK_LOCATION_1" localSheetId="21" hidden="1">#REF!</definedName>
    <definedName name="IQB_BOOKMARK_LOCATION_1" hidden="1">#REF!</definedName>
    <definedName name="IQB_BOOKMARK_LOCATION_2" localSheetId="6" hidden="1">#REF!</definedName>
    <definedName name="IQB_BOOKMARK_LOCATION_2" localSheetId="7" hidden="1">#REF!</definedName>
    <definedName name="IQB_BOOKMARK_LOCATION_2" localSheetId="21" hidden="1">#REF!</definedName>
    <definedName name="IQB_BOOKMARK_LOCATION_2" hidden="1">#REF!</definedName>
    <definedName name="IQB_CURRENT_BOOKMARK" hidden="1">1</definedName>
    <definedName name="IQRA7" hidden="1">"$A$8:$A$11"</definedName>
    <definedName name="IQRAnnotatedStockPriceChartC42" hidden="1">#REF!</definedName>
    <definedName name="IQRAnnotatedStockPriceChartC44" localSheetId="6" hidden="1">#REF!</definedName>
    <definedName name="IQRAnnotatedStockPriceChartC44" localSheetId="7" hidden="1">#REF!</definedName>
    <definedName name="IQRAnnotatedStockPriceChartC44" localSheetId="21" hidden="1">#REF!</definedName>
    <definedName name="IQRAnnotatedStockPriceChartC44" hidden="1">#REF!</definedName>
    <definedName name="IQRAnnotatedStockPriceChartC59" hidden="1">'[59]Annotated Stock Price Chart'!$C$60:$C$552</definedName>
    <definedName name="IQRAnnotatedStockPriceChartC60" localSheetId="19" hidden="1">#REF!</definedName>
    <definedName name="IQRAnnotatedStockPriceChartC60" localSheetId="6" hidden="1">#REF!</definedName>
    <definedName name="IQRAnnotatedStockPriceChartC60" localSheetId="7" hidden="1">#REF!</definedName>
    <definedName name="IQRAnnotatedStockPriceChartC60" localSheetId="21" hidden="1">#REF!</definedName>
    <definedName name="IQRAnnotatedStockPriceChartC60" hidden="1">#REF!</definedName>
    <definedName name="IQRB7" hidden="1">"$B$8:$B$11"</definedName>
    <definedName name="IQRC7" hidden="1">"$C$8:$C$11"</definedName>
    <definedName name="IQRD7" hidden="1">"$D$8:$D$11"</definedName>
    <definedName name="IQRDataA8" hidden="1">[60]Data!$A$9:$A$255</definedName>
    <definedName name="IQRDataB8" hidden="1">[60]Data!$B$9:$B$255</definedName>
    <definedName name="IQRDataC8" hidden="1">[60]Data!$C$9:$C$255</definedName>
    <definedName name="IQRE7" hidden="1">"$E$8:$E$11"</definedName>
    <definedName name="IQRF7" hidden="1">"$F$8:$F$11"</definedName>
    <definedName name="IQRG7" hidden="1">"$G$8:$G$11"</definedName>
    <definedName name="IQRH7" hidden="1">"$H$8:$H$11"</definedName>
    <definedName name="IQRI7" hidden="1">"$I$8:$I$11"</definedName>
    <definedName name="IQRJ7" hidden="1">"$J$8:$J$11"</definedName>
    <definedName name="IQRLivePersonInc2C60" hidden="1">#REF!</definedName>
    <definedName name="IQRLivePersonInc2C61" localSheetId="6" hidden="1">#REF!</definedName>
    <definedName name="IQRLivePersonInc2C61" localSheetId="7" hidden="1">#REF!</definedName>
    <definedName name="IQRLivePersonInc2C61" localSheetId="21" hidden="1">#REF!</definedName>
    <definedName name="IQRLivePersonInc2C61" hidden="1">#REF!</definedName>
    <definedName name="IQRLivePersonInc2C62" localSheetId="6" hidden="1">#REF!</definedName>
    <definedName name="IQRLivePersonInc2C62" localSheetId="7" hidden="1">#REF!</definedName>
    <definedName name="IQRLivePersonInc2C62" localSheetId="21" hidden="1">#REF!</definedName>
    <definedName name="IQRLivePersonInc2C62" hidden="1">#REF!</definedName>
    <definedName name="IQRLivePersonInc2C70" localSheetId="6" hidden="1">#REF!</definedName>
    <definedName name="IQRLivePersonInc2C70" localSheetId="7" hidden="1">#REF!</definedName>
    <definedName name="IQRLivePersonInc2C70" localSheetId="21" hidden="1">#REF!</definedName>
    <definedName name="IQRLivePersonInc2C70" hidden="1">#REF!</definedName>
    <definedName name="IQRLivePersonIncC60" localSheetId="6" hidden="1">#REF!</definedName>
    <definedName name="IQRLivePersonIncC60" localSheetId="7" hidden="1">#REF!</definedName>
    <definedName name="IQRLivePersonIncC60" localSheetId="21" hidden="1">#REF!</definedName>
    <definedName name="IQRLivePersonIncC60" hidden="1">#REF!</definedName>
    <definedName name="IQRLivePersonIncC62" localSheetId="6" hidden="1">#REF!</definedName>
    <definedName name="IQRLivePersonIncC62" localSheetId="7" hidden="1">#REF!</definedName>
    <definedName name="IQRLivePersonIncC62" localSheetId="21" hidden="1">#REF!</definedName>
    <definedName name="IQRLivePersonIncC62" hidden="1">#REF!</definedName>
    <definedName name="IQRLivePersonIncMultiplesC70" localSheetId="6" hidden="1">#REF!</definedName>
    <definedName name="IQRLivePersonIncMultiplesC70" localSheetId="7" hidden="1">#REF!</definedName>
    <definedName name="IQRLivePersonIncMultiplesC70" localSheetId="21" hidden="1">#REF!</definedName>
    <definedName name="IQRLivePersonIncMultiplesC70" hidden="1">#REF!</definedName>
    <definedName name="IQRLivePersonIncStockPriceC60" localSheetId="6" hidden="1">#REF!</definedName>
    <definedName name="IQRLivePersonIncStockPriceC60" localSheetId="7" hidden="1">#REF!</definedName>
    <definedName name="IQRLivePersonIncStockPriceC60" localSheetId="21" hidden="1">#REF!</definedName>
    <definedName name="IQRLivePersonIncStockPriceC60" hidden="1">#REF!</definedName>
    <definedName name="IQRMultiplesEvolutionC70" localSheetId="6" hidden="1">#REF!</definedName>
    <definedName name="IQRMultiplesEvolutionC70" localSheetId="7" hidden="1">#REF!</definedName>
    <definedName name="IQRMultiplesEvolutionC70" localSheetId="21" hidden="1">#REF!</definedName>
    <definedName name="IQRMultiplesEvolutionC70" hidden="1">#REF!</definedName>
    <definedName name="IQRSheet1C15" localSheetId="6" hidden="1">#REF!</definedName>
    <definedName name="IQRSheet1C15" localSheetId="7" hidden="1">#REF!</definedName>
    <definedName name="IQRSheet1C15" localSheetId="21" hidden="1">#REF!</definedName>
    <definedName name="IQRSheet1C15" hidden="1">#REF!</definedName>
    <definedName name="IQRSheet1C53" localSheetId="6" hidden="1">#REF!</definedName>
    <definedName name="IQRSheet1C53" localSheetId="7" hidden="1">#REF!</definedName>
    <definedName name="IQRSheet1C53" localSheetId="21" hidden="1">#REF!</definedName>
    <definedName name="IQRSheet1C53" hidden="1">#REF!</definedName>
    <definedName name="IQRSheet1F53" localSheetId="6" hidden="1">#REF!</definedName>
    <definedName name="IQRSheet1F53" localSheetId="7" hidden="1">#REF!</definedName>
    <definedName name="IQRSheet1F53" localSheetId="21" hidden="1">#REF!</definedName>
    <definedName name="IQRSheet1F53" hidden="1">#REF!</definedName>
    <definedName name="IQRSheet7A1" localSheetId="6" hidden="1">#REF!</definedName>
    <definedName name="IQRSheet7A1" hidden="1">#REF!</definedName>
    <definedName name="IQRStockChartAC7" hidden="1">'[61]Stock Chart'!$AC$8:$AC$78</definedName>
    <definedName name="IQRStockChartAD7" hidden="1">'[61]Stock Chart'!$AD$8:$AD$73</definedName>
    <definedName name="IQRStockChartAE7" hidden="1">'[61]Stock Chart'!$AE$8:$AE$53</definedName>
    <definedName name="IQRStockChartAF7" hidden="1">'[61]Stock Chart'!$AF$8:$AF$49</definedName>
    <definedName name="IQRStockChartAG7" hidden="1">'[61]Stock Chart'!$AG$8:$AG$54</definedName>
    <definedName name="IQRStockChartAH7" hidden="1">'[61]Stock Chart'!$AH$8:$AH$53</definedName>
    <definedName name="IQRStockChartAI7" hidden="1">'[61]Stock Chart'!$AI$8:$AI$54</definedName>
    <definedName name="IQRStockChartAJ7" hidden="1">'[61]Stock Chart'!$AJ$8:$AJ$61</definedName>
    <definedName name="IQRStockChartAK7" hidden="1">'[61]Stock Chart'!$AK$8:$AK$58</definedName>
    <definedName name="IQRStockChartAL7" hidden="1">'[61]Stock Chart'!$AL$8:$AL$52</definedName>
    <definedName name="IQRStockChartS12" hidden="1">'[61]Stock Chart'!$S$13:$S$2528</definedName>
    <definedName name="IQRTSRDecompA46" localSheetId="6" hidden="1">'[47]TSR decomposition'!#REF!</definedName>
    <definedName name="IQRTSRDecompA46" localSheetId="9" hidden="1">'TSR List'!#REF!</definedName>
    <definedName name="IQRTSRDecompA46" hidden="1">'TSR decomposition'!#REF!</definedName>
    <definedName name="IQRTSRDecompB46" localSheetId="9" hidden="1">'TSR List'!#REF!</definedName>
    <definedName name="IQRTSRDecompB46" hidden="1">'TSR decomposition'!$D$69:$D$284</definedName>
    <definedName name="IQRTwilioC62" localSheetId="19" hidden="1">#REF!</definedName>
    <definedName name="IQRTwilioC62" localSheetId="6" hidden="1">#REF!</definedName>
    <definedName name="IQRTwilioC62" localSheetId="7" hidden="1">#REF!</definedName>
    <definedName name="IQRTwilioC62" localSheetId="21" hidden="1">#REF!</definedName>
    <definedName name="IQRTwilioC62" hidden="1">#REF!</definedName>
    <definedName name="IQRTwilioIncC60" localSheetId="19" hidden="1">#REF!</definedName>
    <definedName name="IQRTwilioIncC60" localSheetId="6" hidden="1">#REF!</definedName>
    <definedName name="IQRTwilioIncC60" localSheetId="7" hidden="1">#REF!</definedName>
    <definedName name="IQRTwilioIncC60" localSheetId="21" hidden="1">#REF!</definedName>
    <definedName name="IQRTwilioIncC60" hidden="1">#REF!</definedName>
    <definedName name="iQShowHideColumns" localSheetId="19" hidden="1">"iQShowAll"</definedName>
    <definedName name="iQShowHideColumns" localSheetId="7" hidden="1">"iQShowAll"</definedName>
    <definedName name="iQShowHideColumns" localSheetId="3" hidden="1">"iQShowAll"</definedName>
    <definedName name="iQShowHideColumns" localSheetId="21" hidden="1">"iQShowQuarterlyAnnual"</definedName>
    <definedName name="iQShowHideColumns" hidden="1">"iQShowAll"</definedName>
    <definedName name="IssuerOutlookCode" localSheetId="6">'[45]How to create formulas'!$D$298</definedName>
    <definedName name="IssuerOutlookCode">'[46]How to create formulas'!$D$298</definedName>
    <definedName name="IssuerRatingCode" localSheetId="6">'[45]How to create formulas'!$D$187</definedName>
    <definedName name="IssuerRatingCode">'[46]How to create formulas'!$D$187</definedName>
    <definedName name="IssuerRatingFields" localSheetId="6">'[45]How to create formulas'!$D$191:$D$206</definedName>
    <definedName name="IssuerRatingFields">'[46]How to create formulas'!$D$191:$D$206</definedName>
    <definedName name="IssuerWatchCode" localSheetId="6">'[45]How to create formulas'!$D$249</definedName>
    <definedName name="IssuerWatchCode">'[46]How to create formulas'!$D$249</definedName>
    <definedName name="IssuerWatchFields" localSheetId="6">'[45]How to create formulas'!$D$253:$D$259</definedName>
    <definedName name="IssuerWatchFields">'[46]How to create formulas'!$D$253:$D$259</definedName>
    <definedName name="jeff" localSheetId="19" hidden="1">{"comps",#N/A,FALSE,"TXTCOMPS";"segment_EPS",#N/A,FALSE,"TXTCOMPS";"valuation",#N/A,FALSE,"TXTCOMPS"}</definedName>
    <definedName name="jeff" localSheetId="6" hidden="1">{"comps",#N/A,FALSE,"TXTCOMPS";"segment_EPS",#N/A,FALSE,"TXTCOMPS";"valuation",#N/A,FALSE,"TXTCOMPS"}</definedName>
    <definedName name="jeff" localSheetId="7" hidden="1">{"comps",#N/A,FALSE,"TXTCOMPS";"segment_EPS",#N/A,FALSE,"TXTCOMPS";"valuation",#N/A,FALSE,"TXTCOMPS"}</definedName>
    <definedName name="jeff" localSheetId="3" hidden="1">{"comps",#N/A,FALSE,"TXTCOMPS";"segment_EPS",#N/A,FALSE,"TXTCOMPS";"valuation",#N/A,FALSE,"TXTCOMPS"}</definedName>
    <definedName name="jeff" localSheetId="21" hidden="1">{"comps",#N/A,FALSE,"TXTCOMPS";"segment_EPS",#N/A,FALSE,"TXTCOMPS";"valuation",#N/A,FALSE,"TXTCOMPS"}</definedName>
    <definedName name="jeff" hidden="1">{"comps",#N/A,FALSE,"TXTCOMPS";"segment_EPS",#N/A,FALSE,"TXTCOMPS";"valuation",#N/A,FALSE,"TXTCOMPS"}</definedName>
    <definedName name="jk" localSheetId="19" hidden="1">{"segment_EPS",#N/A,FALSE,"TXTCOMPS"}</definedName>
    <definedName name="jk" localSheetId="6" hidden="1">{"segment_EPS",#N/A,FALSE,"TXTCOMPS"}</definedName>
    <definedName name="jk" localSheetId="7" hidden="1">{"segment_EPS",#N/A,FALSE,"TXTCOMPS"}</definedName>
    <definedName name="jk" localSheetId="3" hidden="1">{"segment_EPS",#N/A,FALSE,"TXTCOMPS"}</definedName>
    <definedName name="jk" localSheetId="21" hidden="1">{"segment_EPS",#N/A,FALSE,"TXTCOMPS"}</definedName>
    <definedName name="jk" hidden="1">{"segment_EPS",#N/A,FALSE,"TXTCOMPS"}</definedName>
    <definedName name="K" localSheetId="1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HN" localSheetId="19" hidden="1">{"'보고양식'!$A$58:$K$111"}</definedName>
    <definedName name="KHN" localSheetId="6" hidden="1">{"'보고양식'!$A$58:$K$111"}</definedName>
    <definedName name="KHN" localSheetId="7" hidden="1">{"'보고양식'!$A$58:$K$111"}</definedName>
    <definedName name="KHN" localSheetId="3" hidden="1">{"'보고양식'!$A$58:$K$111"}</definedName>
    <definedName name="KHN" localSheetId="21" hidden="1">{"'보고양식'!$A$58:$K$111"}</definedName>
    <definedName name="KHN" hidden="1">{"'보고양식'!$A$58:$K$111"}</definedName>
    <definedName name="L" localSheetId="19" hidden="1">{"rev_history_revenueDetail",#N/A,FALSE,"historical rev us";"rev_history_minutesDetail",#N/A,FALSE,"historical rev us"}</definedName>
    <definedName name="L" localSheetId="6" hidden="1">{"rev_history_revenueDetail",#N/A,FALSE,"historical rev us";"rev_history_minutesDetail",#N/A,FALSE,"historical rev us"}</definedName>
    <definedName name="L" localSheetId="7" hidden="1">{"rev_history_revenueDetail",#N/A,FALSE,"historical rev us";"rev_history_minutesDetail",#N/A,FALSE,"historical rev us"}</definedName>
    <definedName name="L" localSheetId="3" hidden="1">{"rev_history_revenueDetail",#N/A,FALSE,"historical rev us";"rev_history_minutesDetail",#N/A,FALSE,"historical rev us"}</definedName>
    <definedName name="L" localSheetId="21" hidden="1">{"rev_history_revenueDetail",#N/A,FALSE,"historical rev us";"rev_history_minutesDetail",#N/A,FALSE,"historical rev us"}</definedName>
    <definedName name="L" hidden="1">{"rev_history_revenueDetail",#N/A,FALSE,"historical rev us";"rev_history_minutesDetail",#N/A,FALSE,"historical rev us"}</definedName>
    <definedName name="ListsNames" localSheetId="6">[45]Input!$N$4:$Q$4</definedName>
    <definedName name="ListsNames">[46]Input!$N$4:$Q$4</definedName>
    <definedName name="llll" hidden="1">#REF!</definedName>
    <definedName name="lo" localSheetId="19" hidden="1">{"valuation",#N/A,FALSE,"TXTCOMPS"}</definedName>
    <definedName name="lo" localSheetId="6" hidden="1">{"valuation",#N/A,FALSE,"TXTCOMPS"}</definedName>
    <definedName name="lo" localSheetId="7" hidden="1">{"valuation",#N/A,FALSE,"TXTCOMPS"}</definedName>
    <definedName name="lo" localSheetId="3" hidden="1">{"valuation",#N/A,FALSE,"TXTCOMPS"}</definedName>
    <definedName name="lo" localSheetId="21" hidden="1">{"valuation",#N/A,FALSE,"TXTCOMPS"}</definedName>
    <definedName name="lo" hidden="1">{"valuation",#N/A,FALSE,"TXTCOMPS"}</definedName>
    <definedName name="LOGRANGE">#REF!</definedName>
    <definedName name="loik" localSheetId="19" hidden="1">{"segment_EPS",#N/A,FALSE,"TXTCOMPS"}</definedName>
    <definedName name="loik" localSheetId="6" hidden="1">{"segment_EPS",#N/A,FALSE,"TXTCOMPS"}</definedName>
    <definedName name="loik" localSheetId="7" hidden="1">{"segment_EPS",#N/A,FALSE,"TXTCOMPS"}</definedName>
    <definedName name="loik" localSheetId="3" hidden="1">{"segment_EPS",#N/A,FALSE,"TXTCOMPS"}</definedName>
    <definedName name="loik" localSheetId="21" hidden="1">{"segment_EPS",#N/A,FALSE,"TXTCOMPS"}</definedName>
    <definedName name="loik" hidden="1">{"segment_EPS",#N/A,FALSE,"TXTCOMPS"}</definedName>
    <definedName name="loiku" localSheetId="19" hidden="1">{"valuation",#N/A,FALSE,"TXTCOMPS"}</definedName>
    <definedName name="loiku" localSheetId="6" hidden="1">{"valuation",#N/A,FALSE,"TXTCOMPS"}</definedName>
    <definedName name="loiku" localSheetId="7" hidden="1">{"valuation",#N/A,FALSE,"TXTCOMPS"}</definedName>
    <definedName name="loiku" localSheetId="3" hidden="1">{"valuation",#N/A,FALSE,"TXTCOMPS"}</definedName>
    <definedName name="loiku" localSheetId="21" hidden="1">{"valuation",#N/A,FALSE,"TXTCOMPS"}</definedName>
    <definedName name="loiku" hidden="1">{"valuation",#N/A,FALSE,"TXTCOMPS"}</definedName>
    <definedName name="loiuy" localSheetId="19" hidden="1">{"comps",#N/A,FALSE,"TXTCOMPS"}</definedName>
    <definedName name="loiuy" localSheetId="6" hidden="1">{"comps",#N/A,FALSE,"TXTCOMPS"}</definedName>
    <definedName name="loiuy" localSheetId="7" hidden="1">{"comps",#N/A,FALSE,"TXTCOMPS"}</definedName>
    <definedName name="loiuy" localSheetId="3" hidden="1">{"comps",#N/A,FALSE,"TXTCOMPS"}</definedName>
    <definedName name="loiuy" localSheetId="21" hidden="1">{"comps",#N/A,FALSE,"TXTCOMPS"}</definedName>
    <definedName name="loiuy" hidden="1">{"comps",#N/A,FALSE,"TXTCOMPS"}</definedName>
    <definedName name="lopi" localSheetId="19" hidden="1">{"comps",#N/A,FALSE,"TXTCOMPS"}</definedName>
    <definedName name="lopi" localSheetId="6" hidden="1">{"comps",#N/A,FALSE,"TXTCOMPS"}</definedName>
    <definedName name="lopi" localSheetId="7" hidden="1">{"comps",#N/A,FALSE,"TXTCOMPS"}</definedName>
    <definedName name="lopi" localSheetId="3" hidden="1">{"comps",#N/A,FALSE,"TXTCOMPS"}</definedName>
    <definedName name="lopi" localSheetId="21" hidden="1">{"comps",#N/A,FALSE,"TXTCOMPS"}</definedName>
    <definedName name="lopi" hidden="1">{"comps",#N/A,FALSE,"TXTCOMPS"}</definedName>
    <definedName name="m" localSheetId="0" hidden="1">{"turnover",#N/A,FALSE;"profits",#N/A,FALSE;"cash",#N/A,FALSE}</definedName>
    <definedName name="m" localSheetId="27" hidden="1">{"turnover",#N/A,FALSE;"profits",#N/A,FALSE;"cash",#N/A,FALSE}</definedName>
    <definedName name="m" localSheetId="19" hidden="1">{"turnover",#N/A,FALSE;"profits",#N/A,FALSE;"cash",#N/A,FALSE}</definedName>
    <definedName name="m" localSheetId="1" hidden="1">{"turnover",#N/A,FALSE;"profits",#N/A,FALSE;"cash",#N/A,FALSE}</definedName>
    <definedName name="m" localSheetId="8" hidden="1">{"turnover",#N/A,FALSE;"profits",#N/A,FALSE;"cash",#N/A,FALSE}</definedName>
    <definedName name="m" localSheetId="6" hidden="1">{"turnover",#N/A,FALSE;"profits",#N/A,FALSE;"cash",#N/A,FALSE}</definedName>
    <definedName name="m" localSheetId="17" hidden="1">{"turnover",#N/A,FALSE;"profits",#N/A,FALSE;"cash",#N/A,FALSE}</definedName>
    <definedName name="m" localSheetId="7" hidden="1">{"turnover",#N/A,FALSE;"profits",#N/A,FALSE;"cash",#N/A,FALSE}</definedName>
    <definedName name="m" localSheetId="3" hidden="1">{"turnover",#N/A,FALSE;"profits",#N/A,FALSE;"cash",#N/A,FALSE}</definedName>
    <definedName name="m" localSheetId="21" hidden="1">{"turnover",#N/A,FALSE;"profits",#N/A,FALSE;"cash",#N/A,FALSE}</definedName>
    <definedName name="m" hidden="1">{"turnover",#N/A,FALSE;"profits",#N/A,FALSE;"cash",#N/A,FALSE}</definedName>
    <definedName name="M_PlaceofPath" hidden="1">"\\SNYCEQT0100\HOME\DANDERS\COMPANY\IGT\IGT_VDF.xls"</definedName>
    <definedName name="mmm" localSheetId="0" hidden="1">#REF!</definedName>
    <definedName name="mmm" localSheetId="27" hidden="1">#REF!</definedName>
    <definedName name="mmm" localSheetId="19" hidden="1">#REF!</definedName>
    <definedName name="mmm" localSheetId="1" hidden="1">#REF!</definedName>
    <definedName name="mmm" localSheetId="8" hidden="1">#REF!</definedName>
    <definedName name="mmm" localSheetId="6" hidden="1">#REF!</definedName>
    <definedName name="mmm" localSheetId="17" hidden="1">#REF!</definedName>
    <definedName name="mmm" localSheetId="7" hidden="1">#REF!</definedName>
    <definedName name="mmm" localSheetId="3" hidden="1">#REF!</definedName>
    <definedName name="mmm" localSheetId="21" hidden="1">#REF!</definedName>
    <definedName name="mmm" hidden="1">#REF!</definedName>
    <definedName name="Model_Switch" localSheetId="6">[48]Financials!$AB$2</definedName>
    <definedName name="Model_Switch">Financials!$AB$2</definedName>
    <definedName name="N" localSheetId="1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ewname" localSheetId="0" hidden="1">{TRUE,TRUE,-1.25,-15.5,456.75,279.75,FALSE,FALSE,TRUE,TRUE,0,1,18,1,199,6,3,4,TRUE,TRUE,3,TRUE,1,TRUE,100,"Swvu.cash.","ACwvu.cash.",1,FALSE,FALSE,0.511811023622047,0.511811023622047,0.511811023622047,0.511811023622047,1,"","",FALSE,FALSE,FALSE,FALSE,1,#N/A,1,1,#DIV/0!,FALSE,"Rwvu.cash.",#N/A,FALSE,FALSE}</definedName>
    <definedName name="newname" localSheetId="27" hidden="1">{TRUE,TRUE,-1.25,-15.5,456.75,279.75,FALSE,FALSE,TRUE,TRUE,0,1,18,1,199,6,3,4,TRUE,TRUE,3,TRUE,1,TRUE,100,"Swvu.cash.","ACwvu.cash.",1,FALSE,FALSE,0.511811023622047,0.511811023622047,0.511811023622047,0.511811023622047,1,"","",FALSE,FALSE,FALSE,FALSE,1,#N/A,1,1,#DIV/0!,FALSE,"Rwvu.cash.",#N/A,FALSE,FALSE}</definedName>
    <definedName name="newname" localSheetId="19" hidden="1">{TRUE,TRUE,-1.25,-15.5,456.75,279.75,FALSE,FALSE,TRUE,TRUE,0,1,18,1,199,6,3,4,TRUE,TRUE,3,TRUE,1,TRUE,100,"Swvu.cash.","ACwvu.cash.",1,FALSE,FALSE,0.511811023622047,0.511811023622047,0.511811023622047,0.511811023622047,1,"","",FALSE,FALSE,FALSE,FALSE,1,#N/A,1,1,#DIV/0!,FALSE,"Rwvu.cash.",#N/A,FALSE,FALSE}</definedName>
    <definedName name="newname" localSheetId="1" hidden="1">{TRUE,TRUE,-1.25,-15.5,456.75,279.75,FALSE,FALSE,TRUE,TRUE,0,1,18,1,199,6,3,4,TRUE,TRUE,3,TRUE,1,TRUE,100,"Swvu.cash.","ACwvu.cash.",1,FALSE,FALSE,0.511811023622047,0.511811023622047,0.511811023622047,0.511811023622047,1,"","",FALSE,FALSE,FALSE,FALSE,1,#N/A,1,1,#DIV/0!,FALSE,"Rwvu.cash.",#N/A,FALSE,FALSE}</definedName>
    <definedName name="newname" localSheetId="8" hidden="1">{TRUE,TRUE,-1.25,-15.5,456.75,279.75,FALSE,FALSE,TRUE,TRUE,0,1,18,1,199,6,3,4,TRUE,TRUE,3,TRUE,1,TRUE,100,"Swvu.cash.","ACwvu.cash.",1,FALSE,FALSE,0.511811023622047,0.511811023622047,0.511811023622047,0.511811023622047,1,"","",FALSE,FALSE,FALSE,FALSE,1,#N/A,1,1,#DIV/0!,FALSE,"Rwvu.cash.",#N/A,FALSE,FALSE}</definedName>
    <definedName name="newname" localSheetId="6" hidden="1">{TRUE,TRUE,-1.25,-15.5,456.75,279.75,FALSE,FALSE,TRUE,TRUE,0,1,18,1,199,6,3,4,TRUE,TRUE,3,TRUE,1,TRUE,100,"Swvu.cash.","ACwvu.cash.",1,FALSE,FALSE,0.511811023622047,0.511811023622047,0.511811023622047,0.511811023622047,1,"","",FALSE,FALSE,FALSE,FALSE,1,#N/A,1,1,#DIV/0!,FALSE,"Rwvu.cash.",#N/A,FALSE,FALSE}</definedName>
    <definedName name="newname" localSheetId="17" hidden="1">{TRUE,TRUE,-1.25,-15.5,456.75,279.75,FALSE,FALSE,TRUE,TRUE,0,1,18,1,199,6,3,4,TRUE,TRUE,3,TRUE,1,TRUE,100,"Swvu.cash.","ACwvu.cash.",1,FALSE,FALSE,0.511811023622047,0.511811023622047,0.511811023622047,0.511811023622047,1,"","",FALSE,FALSE,FALSE,FALSE,1,#N/A,1,1,#DIV/0!,FALSE,"Rwvu.cash.",#N/A,FALSE,FALSE}</definedName>
    <definedName name="newname" localSheetId="7" hidden="1">{TRUE,TRUE,-1.25,-15.5,456.75,279.75,FALSE,FALSE,TRUE,TRUE,0,1,18,1,199,6,3,4,TRUE,TRUE,3,TRUE,1,TRUE,100,"Swvu.cash.","ACwvu.cash.",1,FALSE,FALSE,0.511811023622047,0.511811023622047,0.511811023622047,0.511811023622047,1,"","",FALSE,FALSE,FALSE,FALSE,1,#N/A,1,1,#DIV/0!,FALSE,"Rwvu.cash.",#N/A,FALSE,FALSE}</definedName>
    <definedName name="newname" localSheetId="3" hidden="1">{TRUE,TRUE,-1.25,-15.5,456.75,279.75,FALSE,FALSE,TRUE,TRUE,0,1,18,1,199,6,3,4,TRUE,TRUE,3,TRUE,1,TRUE,100,"Swvu.cash.","ACwvu.cash.",1,FALSE,FALSE,0.511811023622047,0.511811023622047,0.511811023622047,0.511811023622047,1,"","",FALSE,FALSE,FALSE,FALSE,1,#N/A,1,1,#DIV/0!,FALSE,"Rwvu.cash.",#N/A,FALSE,FALSE}</definedName>
    <definedName name="newname" localSheetId="21" hidden="1">{TRUE,TRUE,-1.25,-15.5,456.75,279.75,FALSE,FALSE,TRUE,TRUE,0,1,18,1,199,6,3,4,TRUE,TRUE,3,TRUE,1,TRUE,100,"Swvu.cash.","ACwvu.cash.",1,FALSE,FALSE,0.511811023622047,0.511811023622047,0.511811023622047,0.511811023622047,1,"","",FALSE,FALSE,FALSE,FALSE,1,#N/A,1,1,#DIV/0!,FALSE,"Rwvu.cash.",#N/A,FALSE,FALSE}</definedName>
    <definedName name="newname" hidden="1">{TRUE,TRUE,-1.25,-15.5,456.75,279.75,FALSE,FALSE,TRUE,TRUE,0,1,18,1,199,6,3,4,TRUE,TRUE,3,TRUE,1,TRUE,100,"Swvu.cash.","ACwvu.cash.",1,FALSE,FALSE,0.511811023622047,0.511811023622047,0.511811023622047,0.511811023622047,1,"","",FALSE,FALSE,FALSE,FALSE,1,#N/A,1,1,#DIV/0!,FALSE,"Rwvu.cash.",#N/A,FALSE,FALSE}</definedName>
    <definedName name="NJ" localSheetId="19" hidden="1">{"valuation",#N/A,FALSE,"TXTCOMPS"}</definedName>
    <definedName name="NJ" localSheetId="6" hidden="1">{"valuation",#N/A,FALSE,"TXTCOMPS"}</definedName>
    <definedName name="NJ" localSheetId="7" hidden="1">{"valuation",#N/A,FALSE,"TXTCOMPS"}</definedName>
    <definedName name="NJ" localSheetId="3" hidden="1">{"valuation",#N/A,FALSE,"TXTCOMPS"}</definedName>
    <definedName name="NJ" localSheetId="21" hidden="1">{"valuation",#N/A,FALSE,"TXTCOMPS"}</definedName>
    <definedName name="NJ" hidden="1">{"valuation",#N/A,FALSE,"TXTCOMPS"}</definedName>
    <definedName name="NPSwitch" localSheetId="6">#REF!</definedName>
    <definedName name="NPSwitch">'New Peers'!$H$3</definedName>
    <definedName name="o" localSheetId="19" hidden="1">{"comps",#N/A,FALSE,"TXTCOMPS"}</definedName>
    <definedName name="o" localSheetId="6" hidden="1">{"comps",#N/A,FALSE,"TXTCOMPS"}</definedName>
    <definedName name="o" localSheetId="7" hidden="1">{"comps",#N/A,FALSE,"TXTCOMPS"}</definedName>
    <definedName name="o" localSheetId="3" hidden="1">{"comps",#N/A,FALSE,"TXTCOMPS"}</definedName>
    <definedName name="o" localSheetId="21" hidden="1">{"comps",#N/A,FALSE,"TXTCOMPS"}</definedName>
    <definedName name="o" hidden="1">{"comps",#N/A,FALSE,"TXTCOMPS"}</definedName>
    <definedName name="Oil_Price">[62]Assumptions!$AH$4</definedName>
    <definedName name="Opex_Switch">[63]DCF!$R$13</definedName>
    <definedName name="p" localSheetId="19" hidden="1">{"comps",#N/A,FALSE,"TXTCOMPS";"segment_EPS",#N/A,FALSE,"TXTCOMPS";"valuation",#N/A,FALSE,"TXTCOMPS"}</definedName>
    <definedName name="p" localSheetId="6" hidden="1">{"comps",#N/A,FALSE,"TXTCOMPS";"segment_EPS",#N/A,FALSE,"TXTCOMPS";"valuation",#N/A,FALSE,"TXTCOMPS"}</definedName>
    <definedName name="p" localSheetId="7" hidden="1">{"comps",#N/A,FALSE,"TXTCOMPS";"segment_EPS",#N/A,FALSE,"TXTCOMPS";"valuation",#N/A,FALSE,"TXTCOMPS"}</definedName>
    <definedName name="p" localSheetId="3" hidden="1">{"comps",#N/A,FALSE,"TXTCOMPS";"segment_EPS",#N/A,FALSE,"TXTCOMPS";"valuation",#N/A,FALSE,"TXTCOMPS"}</definedName>
    <definedName name="p" localSheetId="21" hidden="1">{"comps",#N/A,FALSE,"TXTCOMPS";"segment_EPS",#N/A,FALSE,"TXTCOMPS";"valuation",#N/A,FALSE,"TXTCOMPS"}</definedName>
    <definedName name="p" hidden="1">{"comps",#N/A,FALSE,"TXTCOMPS";"segment_EPS",#N/A,FALSE,"TXTCOMPS";"valuation",#N/A,FALSE,"TXTCOMPS"}</definedName>
    <definedName name="pouy" localSheetId="19" hidden="1">{"segment_EPS",#N/A,FALSE,"TXTCOMPS"}</definedName>
    <definedName name="pouy" localSheetId="6" hidden="1">{"segment_EPS",#N/A,FALSE,"TXTCOMPS"}</definedName>
    <definedName name="pouy" localSheetId="7" hidden="1">{"segment_EPS",#N/A,FALSE,"TXTCOMPS"}</definedName>
    <definedName name="pouy" localSheetId="3" hidden="1">{"segment_EPS",#N/A,FALSE,"TXTCOMPS"}</definedName>
    <definedName name="pouy" localSheetId="21" hidden="1">{"segment_EPS",#N/A,FALSE,"TXTCOMPS"}</definedName>
    <definedName name="pouy" hidden="1">{"segment_EPS",#N/A,FALSE,"TXTCOMPS"}</definedName>
    <definedName name="_xlnm.Print_Area" localSheetId="1">DCF!$A$1:$P$67</definedName>
    <definedName name="_xlnm.Print_Area" localSheetId="8">Debt!$A$1:$AN$112</definedName>
    <definedName name="_xlnm.Print_Area" localSheetId="36">'Historical Segment'!$A$1:$N$68</definedName>
    <definedName name="_xlnm.Print_Area" localSheetId="4">'Segment Snapshot'!$A$1:$AY$98</definedName>
    <definedName name="_xlnm.Print_Area" localSheetId="18">SOTP!$A$1:$I$30</definedName>
    <definedName name="Program" localSheetId="0" hidden="1">'[9]Edge 10797 Drilling Inventory'!#REF!</definedName>
    <definedName name="Program" localSheetId="27" hidden="1">'[9]Edge 10797 Drilling Inventory'!#REF!</definedName>
    <definedName name="Program" localSheetId="19" hidden="1">'[9]Edge 10797 Drilling Inventory'!#REF!</definedName>
    <definedName name="Program" localSheetId="1" hidden="1">'[9]Edge 10797 Drilling Inventory'!#REF!</definedName>
    <definedName name="Program" localSheetId="17" hidden="1">'[9]Edge 10797 Drilling Inventory'!#REF!</definedName>
    <definedName name="Program" localSheetId="7" hidden="1">'[9]Edge 10797 Drilling Inventory'!#REF!</definedName>
    <definedName name="Program" localSheetId="3" hidden="1">#REF!</definedName>
    <definedName name="Program" hidden="1">'[9]Edge 10797 Drilling Inventory'!#REF!</definedName>
    <definedName name="q" localSheetId="19" hidden="1">{"Qtr Op Mgd Q2",#N/A,FALSE,"Qtr-Op (Mng)";"Qtr Op Rpt Q2",#N/A,FALSE,"Qtr-Op (Rpt)";"Operating Vs Reported",#N/A,FALSE,"Rpt-Op Inc"}</definedName>
    <definedName name="q" localSheetId="6" hidden="1">{"Qtr Op Mgd Q2",#N/A,FALSE,"Qtr-Op (Mng)";"Qtr Op Rpt Q2",#N/A,FALSE,"Qtr-Op (Rpt)";"Operating Vs Reported",#N/A,FALSE,"Rpt-Op Inc"}</definedName>
    <definedName name="q" localSheetId="7" hidden="1">{"Qtr Op Mgd Q2",#N/A,FALSE,"Qtr-Op (Mng)";"Qtr Op Rpt Q2",#N/A,FALSE,"Qtr-Op (Rpt)";"Operating Vs Reported",#N/A,FALSE,"Rpt-Op Inc"}</definedName>
    <definedName name="q" localSheetId="3" hidden="1">{"Qtr Op Mgd Q2",#N/A,FALSE,"Qtr-Op (Mng)";"Qtr Op Rpt Q2",#N/A,FALSE,"Qtr-Op (Rpt)";"Operating Vs Reported",#N/A,FALSE,"Rpt-Op Inc"}</definedName>
    <definedName name="q" localSheetId="21" hidden="1">{"Qtr Op Mgd Q2",#N/A,FALSE,"Qtr-Op (Mng)";"Qtr Op Rpt Q2",#N/A,FALSE,"Qtr-Op (Rpt)";"Operating Vs Reported",#N/A,FALSE,"Rpt-Op Inc"}</definedName>
    <definedName name="q" hidden="1">{"Qtr Op Mgd Q2",#N/A,FALSE,"Qtr-Op (Mng)";"Qtr Op Rpt Q2",#N/A,FALSE,"Qtr-Op (Rpt)";"Operating Vs Reported",#N/A,FALSE,"Rpt-Op Inc"}</definedName>
    <definedName name="qa" localSheetId="19" hidden="1">{"comps",#N/A,FALSE,"TXTCOMPS";"segment_EPS",#N/A,FALSE,"TXTCOMPS";"valuation",#N/A,FALSE,"TXTCOMPS"}</definedName>
    <definedName name="qa" localSheetId="6" hidden="1">{"comps",#N/A,FALSE,"TXTCOMPS";"segment_EPS",#N/A,FALSE,"TXTCOMPS";"valuation",#N/A,FALSE,"TXTCOMPS"}</definedName>
    <definedName name="qa" localSheetId="7" hidden="1">{"comps",#N/A,FALSE,"TXTCOMPS";"segment_EPS",#N/A,FALSE,"TXTCOMPS";"valuation",#N/A,FALSE,"TXTCOMPS"}</definedName>
    <definedName name="qa" localSheetId="3" hidden="1">{"comps",#N/A,FALSE,"TXTCOMPS";"segment_EPS",#N/A,FALSE,"TXTCOMPS";"valuation",#N/A,FALSE,"TXTCOMPS"}</definedName>
    <definedName name="qa" localSheetId="21" hidden="1">{"comps",#N/A,FALSE,"TXTCOMPS";"segment_EPS",#N/A,FALSE,"TXTCOMPS";"valuation",#N/A,FALSE,"TXTCOMPS"}</definedName>
    <definedName name="qa" hidden="1">{"comps",#N/A,FALSE,"TXTCOMPS";"segment_EPS",#N/A,FALSE,"TXTCOMPS";"valuation",#N/A,FALSE,"TXTCOMPS"}</definedName>
    <definedName name="qd" localSheetId="19" hidden="1">{"comps",#N/A,FALSE,"TXTCOMPS"}</definedName>
    <definedName name="qd" localSheetId="6" hidden="1">{"comps",#N/A,FALSE,"TXTCOMPS"}</definedName>
    <definedName name="qd" localSheetId="7" hidden="1">{"comps",#N/A,FALSE,"TXTCOMPS"}</definedName>
    <definedName name="qd" localSheetId="3" hidden="1">{"comps",#N/A,FALSE,"TXTCOMPS"}</definedName>
    <definedName name="qd" localSheetId="21" hidden="1">{"comps",#N/A,FALSE,"TXTCOMPS"}</definedName>
    <definedName name="qd" hidden="1">{"comps",#N/A,FALSE,"TXTCOMPS"}</definedName>
    <definedName name="qf" localSheetId="19" hidden="1">{"segment_EPS",#N/A,FALSE,"TXTCOMPS"}</definedName>
    <definedName name="qf" localSheetId="6" hidden="1">{"segment_EPS",#N/A,FALSE,"TXTCOMPS"}</definedName>
    <definedName name="qf" localSheetId="7" hidden="1">{"segment_EPS",#N/A,FALSE,"TXTCOMPS"}</definedName>
    <definedName name="qf" localSheetId="3" hidden="1">{"segment_EPS",#N/A,FALSE,"TXTCOMPS"}</definedName>
    <definedName name="qf" localSheetId="21" hidden="1">{"segment_EPS",#N/A,FALSE,"TXTCOMPS"}</definedName>
    <definedName name="qf" hidden="1">{"segment_EPS",#N/A,FALSE,"TXTCOMPS"}</definedName>
    <definedName name="qg" localSheetId="19" hidden="1">{"valuation",#N/A,FALSE,"TXTCOMPS"}</definedName>
    <definedName name="qg" localSheetId="6" hidden="1">{"valuation",#N/A,FALSE,"TXTCOMPS"}</definedName>
    <definedName name="qg" localSheetId="7" hidden="1">{"valuation",#N/A,FALSE,"TXTCOMPS"}</definedName>
    <definedName name="qg" localSheetId="3" hidden="1">{"valuation",#N/A,FALSE,"TXTCOMPS"}</definedName>
    <definedName name="qg" localSheetId="21" hidden="1">{"valuation",#N/A,FALSE,"TXTCOMPS"}</definedName>
    <definedName name="qg" hidden="1">{"valuation",#N/A,FALSE,"TXTCOMPS"}</definedName>
    <definedName name="qs" localSheetId="19" hidden="1">{"valuation",#N/A,FALSE,"TXTCOMPS"}</definedName>
    <definedName name="qs" localSheetId="6" hidden="1">{"valuation",#N/A,FALSE,"TXTCOMPS"}</definedName>
    <definedName name="qs" localSheetId="7" hidden="1">{"valuation",#N/A,FALSE,"TXTCOMPS"}</definedName>
    <definedName name="qs" localSheetId="3" hidden="1">{"valuation",#N/A,FALSE,"TXTCOMPS"}</definedName>
    <definedName name="qs" localSheetId="21" hidden="1">{"valuation",#N/A,FALSE,"TXTCOMPS"}</definedName>
    <definedName name="qs" hidden="1">{"valuation",#N/A,FALSE,"TXTCOMPS"}</definedName>
    <definedName name="RatingScopeOutlook" localSheetId="6">'[45]How to create formulas'!$D$299</definedName>
    <definedName name="RatingScopeOutlook">'[46]How to create formulas'!$D$299</definedName>
    <definedName name="RatingScopeWatch" localSheetId="6">'[45]How to create formulas'!$D$250</definedName>
    <definedName name="RatingScopeWatch">'[46]How to create formulas'!$D$250</definedName>
    <definedName name="rep" localSheetId="0" hidden="1">{#N/A,#N/A,FALSE,"COVER";#N/A,#N/A,FALSE,"VALUATION";#N/A,#N/A,FALSE,"FORECAST";#N/A,#N/A,FALSE,"FY ANALYSIS ";#N/A,#N/A,FALSE," HY ANALYSIS"}</definedName>
    <definedName name="rep" localSheetId="27" hidden="1">{#N/A,#N/A,FALSE,"COVER";#N/A,#N/A,FALSE,"VALUATION";#N/A,#N/A,FALSE,"FORECAST";#N/A,#N/A,FALSE,"FY ANALYSIS ";#N/A,#N/A,FALSE," HY ANALYSIS"}</definedName>
    <definedName name="rep" localSheetId="19" hidden="1">{#N/A,#N/A,FALSE,"COVER";#N/A,#N/A,FALSE,"VALUATION";#N/A,#N/A,FALSE,"FORECAST";#N/A,#N/A,FALSE,"FY ANALYSIS ";#N/A,#N/A,FALSE," HY ANALYSIS"}</definedName>
    <definedName name="rep" localSheetId="1" hidden="1">{#N/A,#N/A,FALSE,"COVER";#N/A,#N/A,FALSE,"VALUATION";#N/A,#N/A,FALSE,"FORECAST";#N/A,#N/A,FALSE,"FY ANALYSIS ";#N/A,#N/A,FALSE," HY ANALYSIS"}</definedName>
    <definedName name="rep" localSheetId="8" hidden="1">{#N/A,#N/A,FALSE,"COVER";#N/A,#N/A,FALSE,"VALUATION";#N/A,#N/A,FALSE,"FORECAST";#N/A,#N/A,FALSE,"FY ANALYSIS ";#N/A,#N/A,FALSE," HY ANALYSIS"}</definedName>
    <definedName name="rep" localSheetId="6" hidden="1">{#N/A,#N/A,FALSE,"COVER";#N/A,#N/A,FALSE,"VALUATION";#N/A,#N/A,FALSE,"FORECAST";#N/A,#N/A,FALSE,"FY ANALYSIS ";#N/A,#N/A,FALSE," HY ANALYSIS"}</definedName>
    <definedName name="rep" localSheetId="17" hidden="1">{#N/A,#N/A,FALSE,"COVER";#N/A,#N/A,FALSE,"VALUATION";#N/A,#N/A,FALSE,"FORECAST";#N/A,#N/A,FALSE,"FY ANALYSIS ";#N/A,#N/A,FALSE," HY ANALYSIS"}</definedName>
    <definedName name="rep" localSheetId="7" hidden="1">{#N/A,#N/A,FALSE,"COVER";#N/A,#N/A,FALSE,"VALUATION";#N/A,#N/A,FALSE,"FORECAST";#N/A,#N/A,FALSE,"FY ANALYSIS ";#N/A,#N/A,FALSE," HY ANALYSIS"}</definedName>
    <definedName name="rep" localSheetId="3" hidden="1">{#N/A,#N/A,FALSE,"COVER";#N/A,#N/A,FALSE,"VALUATION";#N/A,#N/A,FALSE,"FORECAST";#N/A,#N/A,FALSE,"FY ANALYSIS ";#N/A,#N/A,FALSE," HY ANALYSIS"}</definedName>
    <definedName name="rep" localSheetId="21" hidden="1">{#N/A,#N/A,FALSE,"COVER";#N/A,#N/A,FALSE,"VALUATION";#N/A,#N/A,FALSE,"FORECAST";#N/A,#N/A,FALSE,"FY ANALYSIS ";#N/A,#N/A,FALSE," HY ANALYSIS"}</definedName>
    <definedName name="rep" hidden="1">{#N/A,#N/A,FALSE,"COVER";#N/A,#N/A,FALSE,"VALUATION";#N/A,#N/A,FALSE,"FORECAST";#N/A,#N/A,FALSE,"FY ANALYSIS ";#N/A,#N/A,FALSE," HY ANALYSIS"}</definedName>
    <definedName name="resss" localSheetId="19" hidden="1">{"comps",#N/A,FALSE,"TXTCOMPS";"segment_EPS",#N/A,FALSE,"TXTCOMPS";"valuation",#N/A,FALSE,"TXTCOMPS"}</definedName>
    <definedName name="resss" localSheetId="6" hidden="1">{"comps",#N/A,FALSE,"TXTCOMPS";"segment_EPS",#N/A,FALSE,"TXTCOMPS";"valuation",#N/A,FALSE,"TXTCOMPS"}</definedName>
    <definedName name="resss" localSheetId="7" hidden="1">{"comps",#N/A,FALSE,"TXTCOMPS";"segment_EPS",#N/A,FALSE,"TXTCOMPS";"valuation",#N/A,FALSE,"TXTCOMPS"}</definedName>
    <definedName name="resss" localSheetId="3" hidden="1">{"comps",#N/A,FALSE,"TXTCOMPS";"segment_EPS",#N/A,FALSE,"TXTCOMPS";"valuation",#N/A,FALSE,"TXTCOMPS"}</definedName>
    <definedName name="resss" localSheetId="21" hidden="1">{"comps",#N/A,FALSE,"TXTCOMPS";"segment_EPS",#N/A,FALSE,"TXTCOMPS";"valuation",#N/A,FALSE,"TXTCOMPS"}</definedName>
    <definedName name="resss" hidden="1">{"comps",#N/A,FALSE,"TXTCOMPS";"segment_EPS",#N/A,FALSE,"TXTCOMPS";"valuation",#N/A,FALSE,"TXTCOMPS"}</definedName>
    <definedName name="Reuters" localSheetId="7">[55]DCF!$H$3</definedName>
    <definedName name="Reuters" localSheetId="21">[55]DCF!$H$3</definedName>
    <definedName name="Reuters">'Consensus Summary TR'!$N$3</definedName>
    <definedName name="RT" localSheetId="19" hidden="1">{"segment_EPS",#N/A,FALSE,"TXTCOMPS"}</definedName>
    <definedName name="RT" localSheetId="6" hidden="1">{"segment_EPS",#N/A,FALSE,"TXTCOMPS"}</definedName>
    <definedName name="RT" localSheetId="7" hidden="1">{"segment_EPS",#N/A,FALSE,"TXTCOMPS"}</definedName>
    <definedName name="RT" localSheetId="3" hidden="1">{"segment_EPS",#N/A,FALSE,"TXTCOMPS"}</definedName>
    <definedName name="RT" localSheetId="21" hidden="1">{"segment_EPS",#N/A,FALSE,"TXTCOMPS"}</definedName>
    <definedName name="RT" hidden="1">{"segment_EPS",#N/A,FALSE,"TXTCOMPS"}</definedName>
    <definedName name="s" localSheetId="19" hidden="1">{"segment_EPS",#N/A,FALSE,"TXTCOMPS"}</definedName>
    <definedName name="s" localSheetId="6" hidden="1">{"segment_EPS",#N/A,FALSE,"TXTCOMPS"}</definedName>
    <definedName name="s" localSheetId="7" hidden="1">{"segment_EPS",#N/A,FALSE,"TXTCOMPS"}</definedName>
    <definedName name="s" localSheetId="3" hidden="1">{"segment_EPS",#N/A,FALSE,"TXTCOMPS"}</definedName>
    <definedName name="s" localSheetId="21" hidden="1">{"segment_EPS",#N/A,FALSE,"TXTCOMPS"}</definedName>
    <definedName name="s" hidden="1">{"segment_EPS",#N/A,FALSE,"TXTCOMPS"}</definedName>
    <definedName name="SAPBEXrevision" hidden="1">12</definedName>
    <definedName name="SAPBEXsysID" hidden="1">"BW1"</definedName>
    <definedName name="SAPBEXwbID" hidden="1">"EXVQ7024UZF98DYY6FAM7GVXF"</definedName>
    <definedName name="sds" localSheetId="19" hidden="1">{"'보고양식'!$A$58:$K$111"}</definedName>
    <definedName name="sds" localSheetId="6" hidden="1">{"'보고양식'!$A$58:$K$111"}</definedName>
    <definedName name="sds" localSheetId="7" hidden="1">{"'보고양식'!$A$58:$K$111"}</definedName>
    <definedName name="sds" localSheetId="3" hidden="1">{"'보고양식'!$A$58:$K$111"}</definedName>
    <definedName name="sds" localSheetId="21" hidden="1">{"'보고양식'!$A$58:$K$111"}</definedName>
    <definedName name="sds" hidden="1">{"'보고양식'!$A$58:$K$111"}</definedName>
    <definedName name="seg" localSheetId="19" hidden="1">{"segment_EPS",#N/A,FALSE,"TXTCOMPS"}</definedName>
    <definedName name="seg" localSheetId="6" hidden="1">{"segment_EPS",#N/A,FALSE,"TXTCOMPS"}</definedName>
    <definedName name="seg" localSheetId="7" hidden="1">{"segment_EPS",#N/A,FALSE,"TXTCOMPS"}</definedName>
    <definedName name="seg" localSheetId="3" hidden="1">{"segment_EPS",#N/A,FALSE,"TXTCOMPS"}</definedName>
    <definedName name="seg" localSheetId="21" hidden="1">{"segment_EPS",#N/A,FALSE,"TXTCOMPS"}</definedName>
    <definedName name="seg" hidden="1">{"segment_EPS",#N/A,FALSE,"TXTCOMPS"}</definedName>
    <definedName name="sencount" hidden="1">1</definedName>
    <definedName name="shrs"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olver_lin" hidden="1">0</definedName>
    <definedName name="solver_num" hidden="1">0</definedName>
    <definedName name="solver_typ" hidden="1">3</definedName>
    <definedName name="solver_val" hidden="1">0.6</definedName>
    <definedName name="SS_Sale">[63]DCF!$R$9</definedName>
    <definedName name="ssss" localSheetId="0" hidden="1">{#N/A,#N/A,FALSE,"Report Print"}</definedName>
    <definedName name="ssss" localSheetId="27" hidden="1">{#N/A,#N/A,FALSE,"Report Print"}</definedName>
    <definedName name="ssss" localSheetId="19" hidden="1">{#N/A,#N/A,FALSE,"Report Print"}</definedName>
    <definedName name="ssss" localSheetId="1" hidden="1">{#N/A,#N/A,FALSE,"Report Print"}</definedName>
    <definedName name="ssss" localSheetId="8" hidden="1">{#N/A,#N/A,FALSE,"Report Print"}</definedName>
    <definedName name="ssss" localSheetId="6" hidden="1">{#N/A,#N/A,FALSE,"Report Print"}</definedName>
    <definedName name="ssss" localSheetId="17" hidden="1">{#N/A,#N/A,FALSE,"Report Print"}</definedName>
    <definedName name="ssss" localSheetId="7" hidden="1">{#N/A,#N/A,FALSE,"Report Print"}</definedName>
    <definedName name="ssss" localSheetId="3" hidden="1">{#N/A,#N/A,FALSE,"Report Print"}</definedName>
    <definedName name="ssss" localSheetId="21" hidden="1">{#N/A,#N/A,FALSE,"Report Print"}</definedName>
    <definedName name="ssss" hidden="1">{#N/A,#N/A,FALSE,"Report Print"}</definedName>
    <definedName name="StartDate" localSheetId="6">'[45]How to create formulas'!$D$31</definedName>
    <definedName name="StartDate">'[46]How to create formulas'!$D$31</definedName>
    <definedName name="stockRIC">'[55]WACC Calculation'!$E$2</definedName>
    <definedName name="Surprise2" localSheetId="0" hidden="1">{"INCSTMT1",#N/A,FALSE,"COR";"INCSTMT2",#N/A,FALSE,"COR"}</definedName>
    <definedName name="Surprise2" localSheetId="27" hidden="1">{"INCSTMT1",#N/A,FALSE,"COR";"INCSTMT2",#N/A,FALSE,"COR"}</definedName>
    <definedName name="Surprise2" localSheetId="19" hidden="1">{"INCSTMT1",#N/A,FALSE,"COR";"INCSTMT2",#N/A,FALSE,"COR"}</definedName>
    <definedName name="Surprise2" localSheetId="1" hidden="1">{"INCSTMT1",#N/A,FALSE,"COR";"INCSTMT2",#N/A,FALSE,"COR"}</definedName>
    <definedName name="Surprise2" localSheetId="8" hidden="1">{"INCSTMT1",#N/A,FALSE,"COR";"INCSTMT2",#N/A,FALSE,"COR"}</definedName>
    <definedName name="Surprise2" localSheetId="6" hidden="1">{"INCSTMT1",#N/A,FALSE,"COR";"INCSTMT2",#N/A,FALSE,"COR"}</definedName>
    <definedName name="Surprise2" localSheetId="17" hidden="1">{"INCSTMT1",#N/A,FALSE,"COR";"INCSTMT2",#N/A,FALSE,"COR"}</definedName>
    <definedName name="Surprise2" localSheetId="7" hidden="1">{"INCSTMT1",#N/A,FALSE,"COR";"INCSTMT2",#N/A,FALSE,"COR"}</definedName>
    <definedName name="Surprise2" localSheetId="3" hidden="1">{"INCSTMT1",#N/A,FALSE,"COR";"INCSTMT2",#N/A,FALSE,"COR"}</definedName>
    <definedName name="Surprise2" localSheetId="21" hidden="1">{"INCSTMT1",#N/A,FALSE,"COR";"INCSTMT2",#N/A,FALSE,"COR"}</definedName>
    <definedName name="Surprise2" hidden="1">{"INCSTMT1",#N/A,FALSE,"COR";"INCSTMT2",#N/A,FALSE,"COR"}</definedName>
    <definedName name="SwitchPA">'Historicals (Peers- A) '!$H$3</definedName>
    <definedName name="t" localSheetId="0" hidden="1">{"INCSTMT1",#N/A,FALSE,"COR";"INCSTMT2",#N/A,FALSE,"COR"}</definedName>
    <definedName name="t" localSheetId="27" hidden="1">{"INCSTMT1",#N/A,FALSE,"COR";"INCSTMT2",#N/A,FALSE,"COR"}</definedName>
    <definedName name="t" localSheetId="19" hidden="1">{"INCSTMT1",#N/A,FALSE,"COR";"INCSTMT2",#N/A,FALSE,"COR"}</definedName>
    <definedName name="t" localSheetId="1" hidden="1">{"INCSTMT1",#N/A,FALSE,"COR";"INCSTMT2",#N/A,FALSE,"COR"}</definedName>
    <definedName name="t" localSheetId="8" hidden="1">{"INCSTMT1",#N/A,FALSE,"COR";"INCSTMT2",#N/A,FALSE,"COR"}</definedName>
    <definedName name="t" localSheetId="6" hidden="1">{"INCSTMT1",#N/A,FALSE,"COR";"INCSTMT2",#N/A,FALSE,"COR"}</definedName>
    <definedName name="t" localSheetId="17" hidden="1">{"INCSTMT1",#N/A,FALSE,"COR";"INCSTMT2",#N/A,FALSE,"COR"}</definedName>
    <definedName name="t" localSheetId="7" hidden="1">{"INCSTMT1",#N/A,FALSE,"COR";"INCSTMT2",#N/A,FALSE,"COR"}</definedName>
    <definedName name="t" localSheetId="3" hidden="1">{"INCSTMT1",#N/A,FALSE,"COR";"INCSTMT2",#N/A,FALSE,"COR"}</definedName>
    <definedName name="t" localSheetId="21" hidden="1">{"segment_EPS",#N/A,FALSE,"TXTCOMPS"}</definedName>
    <definedName name="t" hidden="1">{"INCSTMT1",#N/A,FALSE,"COR";"INCSTMT2",#N/A,FALSE,"COR"}</definedName>
    <definedName name="TEST" localSheetId="0" hidden="1">{#N/A,#N/A,FALSE,"COVER";#N/A,#N/A,FALSE,"PF ASSUMPT";#N/A,#N/A,FALSE,"PF EPS";#N/A,#N/A,FALSE,"CASHFLOWS";#N/A,#N/A,FALSE,"BALANCESHEET"}</definedName>
    <definedName name="TEST" localSheetId="27" hidden="1">{#N/A,#N/A,FALSE,"COVER";#N/A,#N/A,FALSE,"PF ASSUMPT";#N/A,#N/A,FALSE,"PF EPS";#N/A,#N/A,FALSE,"CASHFLOWS";#N/A,#N/A,FALSE,"BALANCESHEET"}</definedName>
    <definedName name="TEST" localSheetId="19" hidden="1">{#N/A,#N/A,FALSE,"COVER";#N/A,#N/A,FALSE,"PF ASSUMPT";#N/A,#N/A,FALSE,"PF EPS";#N/A,#N/A,FALSE,"CASHFLOWS";#N/A,#N/A,FALSE,"BALANCESHEET"}</definedName>
    <definedName name="TEST" localSheetId="1" hidden="1">{#N/A,#N/A,FALSE,"COVER";#N/A,#N/A,FALSE,"PF ASSUMPT";#N/A,#N/A,FALSE,"PF EPS";#N/A,#N/A,FALSE,"CASHFLOWS";#N/A,#N/A,FALSE,"BALANCESHEET"}</definedName>
    <definedName name="TEST" localSheetId="8" hidden="1">{#N/A,#N/A,FALSE,"COVER";#N/A,#N/A,FALSE,"PF ASSUMPT";#N/A,#N/A,FALSE,"PF EPS";#N/A,#N/A,FALSE,"CASHFLOWS";#N/A,#N/A,FALSE,"BALANCESHEET"}</definedName>
    <definedName name="TEST" localSheetId="6" hidden="1">{#N/A,#N/A,FALSE,"COVER";#N/A,#N/A,FALSE,"PF ASSUMPT";#N/A,#N/A,FALSE,"PF EPS";#N/A,#N/A,FALSE,"CASHFLOWS";#N/A,#N/A,FALSE,"BALANCESHEET"}</definedName>
    <definedName name="TEST" localSheetId="17" hidden="1">{#N/A,#N/A,FALSE,"COVER";#N/A,#N/A,FALSE,"PF ASSUMPT";#N/A,#N/A,FALSE,"PF EPS";#N/A,#N/A,FALSE,"CASHFLOWS";#N/A,#N/A,FALSE,"BALANCESHEET"}</definedName>
    <definedName name="TEST" localSheetId="7" hidden="1">{#N/A,#N/A,FALSE,"COVER";#N/A,#N/A,FALSE,"PF ASSUMPT";#N/A,#N/A,FALSE,"PF EPS";#N/A,#N/A,FALSE,"CASHFLOWS";#N/A,#N/A,FALSE,"BALANCESHEET"}</definedName>
    <definedName name="TEST" localSheetId="3" hidden="1">{#N/A,#N/A,FALSE,"COVER";#N/A,#N/A,FALSE,"PF ASSUMPT";#N/A,#N/A,FALSE,"PF EPS";#N/A,#N/A,FALSE,"CASHFLOWS";#N/A,#N/A,FALSE,"BALANCESHEET"}</definedName>
    <definedName name="TEST" localSheetId="21" hidden="1">{#N/A,#N/A,FALSE,"COVER";#N/A,#N/A,FALSE,"PF ASSUMPT";#N/A,#N/A,FALSE,"PF EPS";#N/A,#N/A,FALSE,"CASHFLOWS";#N/A,#N/A,FALSE,"BALANCESHEET"}</definedName>
    <definedName name="TEST" hidden="1">{#N/A,#N/A,FALSE,"COVER";#N/A,#N/A,FALSE,"PF ASSUMPT";#N/A,#N/A,FALSE,"PF EPS";#N/A,#N/A,FALSE,"CASHFLOWS";#N/A,#N/A,FALSE,"BALANCESHEET"}</definedName>
    <definedName name="test1" localSheetId="0" hidden="1">{#N/A,#N/A,FALSE,"COVER";#N/A,#N/A,FALSE,"PF ASSUMPT";#N/A,#N/A,FALSE,"PF EPS";#N/A,#N/A,FALSE,"CASHFLOWS";#N/A,#N/A,FALSE,"BALANCESHEET"}</definedName>
    <definedName name="test1" localSheetId="27" hidden="1">{#N/A,#N/A,FALSE,"COVER";#N/A,#N/A,FALSE,"PF ASSUMPT";#N/A,#N/A,FALSE,"PF EPS";#N/A,#N/A,FALSE,"CASHFLOWS";#N/A,#N/A,FALSE,"BALANCESHEET"}</definedName>
    <definedName name="test1" localSheetId="19" hidden="1">{#N/A,#N/A,FALSE,"COVER";#N/A,#N/A,FALSE,"PF ASSUMPT";#N/A,#N/A,FALSE,"PF EPS";#N/A,#N/A,FALSE,"CASHFLOWS";#N/A,#N/A,FALSE,"BALANCESHEET"}</definedName>
    <definedName name="test1" localSheetId="1" hidden="1">{#N/A,#N/A,FALSE,"COVER";#N/A,#N/A,FALSE,"PF ASSUMPT";#N/A,#N/A,FALSE,"PF EPS";#N/A,#N/A,FALSE,"CASHFLOWS";#N/A,#N/A,FALSE,"BALANCESHEET"}</definedName>
    <definedName name="test1" localSheetId="8" hidden="1">{#N/A,#N/A,FALSE,"COVER";#N/A,#N/A,FALSE,"PF ASSUMPT";#N/A,#N/A,FALSE,"PF EPS";#N/A,#N/A,FALSE,"CASHFLOWS";#N/A,#N/A,FALSE,"BALANCESHEET"}</definedName>
    <definedName name="test1" localSheetId="6" hidden="1">{#N/A,#N/A,FALSE,"COVER";#N/A,#N/A,FALSE,"PF ASSUMPT";#N/A,#N/A,FALSE,"PF EPS";#N/A,#N/A,FALSE,"CASHFLOWS";#N/A,#N/A,FALSE,"BALANCESHEET"}</definedName>
    <definedName name="test1" localSheetId="17" hidden="1">{#N/A,#N/A,FALSE,"COVER";#N/A,#N/A,FALSE,"PF ASSUMPT";#N/A,#N/A,FALSE,"PF EPS";#N/A,#N/A,FALSE,"CASHFLOWS";#N/A,#N/A,FALSE,"BALANCESHEET"}</definedName>
    <definedName name="test1" localSheetId="7" hidden="1">{#N/A,#N/A,FALSE,"COVER";#N/A,#N/A,FALSE,"PF ASSUMPT";#N/A,#N/A,FALSE,"PF EPS";#N/A,#N/A,FALSE,"CASHFLOWS";#N/A,#N/A,FALSE,"BALANCESHEET"}</definedName>
    <definedName name="test1" localSheetId="3" hidden="1">{#N/A,#N/A,FALSE,"COVER";#N/A,#N/A,FALSE,"PF ASSUMPT";#N/A,#N/A,FALSE,"PF EPS";#N/A,#N/A,FALSE,"CASHFLOWS";#N/A,#N/A,FALSE,"BALANCESHEET"}</definedName>
    <definedName name="test1" localSheetId="21" hidden="1">{#N/A,#N/A,FALSE,"COVER";#N/A,#N/A,FALSE,"PF ASSUMPT";#N/A,#N/A,FALSE,"PF EPS";#N/A,#N/A,FALSE,"CASHFLOWS";#N/A,#N/A,FALSE,"BALANCESHEET"}</definedName>
    <definedName name="test1" hidden="1">{#N/A,#N/A,FALSE,"COVER";#N/A,#N/A,FALSE,"PF ASSUMPT";#N/A,#N/A,FALSE,"PF EPS";#N/A,#N/A,FALSE,"CASHFLOWS";#N/A,#N/A,FALSE,"BALANCESHEET"}</definedName>
    <definedName name="Test3" localSheetId="0" hidden="1">{#N/A,#N/A,FALSE,"ASSUMPTIONS";#N/A,#N/A,FALSE,"EPSMODEL";#N/A,#N/A,FALSE,"CASHFLOWS";#N/A,#N/A,FALSE,"BALANCESHEET"}</definedName>
    <definedName name="Test3" localSheetId="27" hidden="1">{#N/A,#N/A,FALSE,"ASSUMPTIONS";#N/A,#N/A,FALSE,"EPSMODEL";#N/A,#N/A,FALSE,"CASHFLOWS";#N/A,#N/A,FALSE,"BALANCESHEET"}</definedName>
    <definedName name="Test3" localSheetId="19" hidden="1">{#N/A,#N/A,FALSE,"ASSUMPTIONS";#N/A,#N/A,FALSE,"EPSMODEL";#N/A,#N/A,FALSE,"CASHFLOWS";#N/A,#N/A,FALSE,"BALANCESHEET"}</definedName>
    <definedName name="Test3" localSheetId="1" hidden="1">{#N/A,#N/A,FALSE,"ASSUMPTIONS";#N/A,#N/A,FALSE,"EPSMODEL";#N/A,#N/A,FALSE,"CASHFLOWS";#N/A,#N/A,FALSE,"BALANCESHEET"}</definedName>
    <definedName name="Test3" localSheetId="8" hidden="1">{#N/A,#N/A,FALSE,"ASSUMPTIONS";#N/A,#N/A,FALSE,"EPSMODEL";#N/A,#N/A,FALSE,"CASHFLOWS";#N/A,#N/A,FALSE,"BALANCESHEET"}</definedName>
    <definedName name="Test3" localSheetId="6" hidden="1">{#N/A,#N/A,FALSE,"ASSUMPTIONS";#N/A,#N/A,FALSE,"EPSMODEL";#N/A,#N/A,FALSE,"CASHFLOWS";#N/A,#N/A,FALSE,"BALANCESHEET"}</definedName>
    <definedName name="Test3" localSheetId="17" hidden="1">{#N/A,#N/A,FALSE,"ASSUMPTIONS";#N/A,#N/A,FALSE,"EPSMODEL";#N/A,#N/A,FALSE,"CASHFLOWS";#N/A,#N/A,FALSE,"BALANCESHEET"}</definedName>
    <definedName name="Test3" localSheetId="7" hidden="1">{#N/A,#N/A,FALSE,"ASSUMPTIONS";#N/A,#N/A,FALSE,"EPSMODEL";#N/A,#N/A,FALSE,"CASHFLOWS";#N/A,#N/A,FALSE,"BALANCESHEET"}</definedName>
    <definedName name="Test3" localSheetId="3" hidden="1">{#N/A,#N/A,FALSE,"ASSUMPTIONS";#N/A,#N/A,FALSE,"EPSMODEL";#N/A,#N/A,FALSE,"CASHFLOWS";#N/A,#N/A,FALSE,"BALANCESHEET"}</definedName>
    <definedName name="Test3" localSheetId="21" hidden="1">{#N/A,#N/A,FALSE,"ASSUMPTIONS";#N/A,#N/A,FALSE,"EPSMODEL";#N/A,#N/A,FALSE,"CASHFLOWS";#N/A,#N/A,FALSE,"BALANCESHEET"}</definedName>
    <definedName name="Test3" hidden="1">{#N/A,#N/A,FALSE,"ASSUMPTIONS";#N/A,#N/A,FALSE,"EPSMODEL";#N/A,#N/A,FALSE,"CASHFLOWS";#N/A,#N/A,FALSE,"BALANCESHEET"}</definedName>
    <definedName name="test4" localSheetId="0" hidden="1">{#N/A,#N/A,FALSE,"ASSUMPTIONS";#N/A,#N/A,FALSE,"EPSMODEL";#N/A,#N/A,FALSE,"CASHFLOWS";#N/A,#N/A,FALSE,"BALANCESHEET"}</definedName>
    <definedName name="test4" localSheetId="27" hidden="1">{#N/A,#N/A,FALSE,"ASSUMPTIONS";#N/A,#N/A,FALSE,"EPSMODEL";#N/A,#N/A,FALSE,"CASHFLOWS";#N/A,#N/A,FALSE,"BALANCESHEET"}</definedName>
    <definedName name="test4" localSheetId="19" hidden="1">{#N/A,#N/A,FALSE,"ASSUMPTIONS";#N/A,#N/A,FALSE,"EPSMODEL";#N/A,#N/A,FALSE,"CASHFLOWS";#N/A,#N/A,FALSE,"BALANCESHEET"}</definedName>
    <definedName name="test4" localSheetId="1" hidden="1">{#N/A,#N/A,FALSE,"ASSUMPTIONS";#N/A,#N/A,FALSE,"EPSMODEL";#N/A,#N/A,FALSE,"CASHFLOWS";#N/A,#N/A,FALSE,"BALANCESHEET"}</definedName>
    <definedName name="test4" localSheetId="8" hidden="1">{#N/A,#N/A,FALSE,"ASSUMPTIONS";#N/A,#N/A,FALSE,"EPSMODEL";#N/A,#N/A,FALSE,"CASHFLOWS";#N/A,#N/A,FALSE,"BALANCESHEET"}</definedName>
    <definedName name="test4" localSheetId="6" hidden="1">{#N/A,#N/A,FALSE,"ASSUMPTIONS";#N/A,#N/A,FALSE,"EPSMODEL";#N/A,#N/A,FALSE,"CASHFLOWS";#N/A,#N/A,FALSE,"BALANCESHEET"}</definedName>
    <definedName name="test4" localSheetId="17" hidden="1">{#N/A,#N/A,FALSE,"ASSUMPTIONS";#N/A,#N/A,FALSE,"EPSMODEL";#N/A,#N/A,FALSE,"CASHFLOWS";#N/A,#N/A,FALSE,"BALANCESHEET"}</definedName>
    <definedName name="test4" localSheetId="7" hidden="1">{#N/A,#N/A,FALSE,"ASSUMPTIONS";#N/A,#N/A,FALSE,"EPSMODEL";#N/A,#N/A,FALSE,"CASHFLOWS";#N/A,#N/A,FALSE,"BALANCESHEET"}</definedName>
    <definedName name="test4" localSheetId="3" hidden="1">{#N/A,#N/A,FALSE,"ASSUMPTIONS";#N/A,#N/A,FALSE,"EPSMODEL";#N/A,#N/A,FALSE,"CASHFLOWS";#N/A,#N/A,FALSE,"BALANCESHEET"}</definedName>
    <definedName name="test4" localSheetId="21" hidden="1">{#N/A,#N/A,FALSE,"ASSUMPTIONS";#N/A,#N/A,FALSE,"EPSMODEL";#N/A,#N/A,FALSE,"CASHFLOWS";#N/A,#N/A,FALSE,"BALANCESHEET"}</definedName>
    <definedName name="test4" hidden="1">{#N/A,#N/A,FALSE,"ASSUMPTIONS";#N/A,#N/A,FALSE,"EPSMODEL";#N/A,#N/A,FALSE,"CASHFLOWS";#N/A,#N/A,FALSE,"BALANCESHEET"}</definedName>
    <definedName name="Thomson" localSheetId="6">'[64]Peer Analysiss'!$G$2</definedName>
    <definedName name="Thomson" localSheetId="21">'[54]Peer Analysis'!$G$2</definedName>
    <definedName name="Thomson">'Peer Analysiss'!$G$2</definedName>
    <definedName name="TOPNumber" localSheetId="6">'[45]How to create formulas'!$D$33</definedName>
    <definedName name="TOPNumber">'[46]How to create formulas'!$D$33</definedName>
    <definedName name="TRI" localSheetId="0" hidden="1">{#N/A,#N/A,FALSE,"COVER";#N/A,#N/A,FALSE,"PF ASSUMPT";#N/A,#N/A,FALSE,"PF EPS";#N/A,#N/A,FALSE,"CASHFLOWS";#N/A,#N/A,FALSE,"BALANCESHEET"}</definedName>
    <definedName name="TRI" localSheetId="27" hidden="1">{#N/A,#N/A,FALSE,"COVER";#N/A,#N/A,FALSE,"PF ASSUMPT";#N/A,#N/A,FALSE,"PF EPS";#N/A,#N/A,FALSE,"CASHFLOWS";#N/A,#N/A,FALSE,"BALANCESHEET"}</definedName>
    <definedName name="TRI" localSheetId="19" hidden="1">{#N/A,#N/A,FALSE,"COVER";#N/A,#N/A,FALSE,"PF ASSUMPT";#N/A,#N/A,FALSE,"PF EPS";#N/A,#N/A,FALSE,"CASHFLOWS";#N/A,#N/A,FALSE,"BALANCESHEET"}</definedName>
    <definedName name="TRI" localSheetId="1" hidden="1">{#N/A,#N/A,FALSE,"COVER";#N/A,#N/A,FALSE,"PF ASSUMPT";#N/A,#N/A,FALSE,"PF EPS";#N/A,#N/A,FALSE,"CASHFLOWS";#N/A,#N/A,FALSE,"BALANCESHEET"}</definedName>
    <definedName name="TRI" localSheetId="8" hidden="1">{#N/A,#N/A,FALSE,"COVER";#N/A,#N/A,FALSE,"PF ASSUMPT";#N/A,#N/A,FALSE,"PF EPS";#N/A,#N/A,FALSE,"CASHFLOWS";#N/A,#N/A,FALSE,"BALANCESHEET"}</definedName>
    <definedName name="TRI" localSheetId="6" hidden="1">{#N/A,#N/A,FALSE,"COVER";#N/A,#N/A,FALSE,"PF ASSUMPT";#N/A,#N/A,FALSE,"PF EPS";#N/A,#N/A,FALSE,"CASHFLOWS";#N/A,#N/A,FALSE,"BALANCESHEET"}</definedName>
    <definedName name="TRI" localSheetId="17" hidden="1">{#N/A,#N/A,FALSE,"COVER";#N/A,#N/A,FALSE,"PF ASSUMPT";#N/A,#N/A,FALSE,"PF EPS";#N/A,#N/A,FALSE,"CASHFLOWS";#N/A,#N/A,FALSE,"BALANCESHEET"}</definedName>
    <definedName name="TRI" localSheetId="7" hidden="1">{#N/A,#N/A,FALSE,"COVER";#N/A,#N/A,FALSE,"PF ASSUMPT";#N/A,#N/A,FALSE,"PF EPS";#N/A,#N/A,FALSE,"CASHFLOWS";#N/A,#N/A,FALSE,"BALANCESHEET"}</definedName>
    <definedName name="TRI" localSheetId="3" hidden="1">{#N/A,#N/A,FALSE,"COVER";#N/A,#N/A,FALSE,"PF ASSUMPT";#N/A,#N/A,FALSE,"PF EPS";#N/A,#N/A,FALSE,"CASHFLOWS";#N/A,#N/A,FALSE,"BALANCESHEET"}</definedName>
    <definedName name="TRI" localSheetId="21" hidden="1">{#N/A,#N/A,FALSE,"COVER";#N/A,#N/A,FALSE,"PF ASSUMPT";#N/A,#N/A,FALSE,"PF EPS";#N/A,#N/A,FALSE,"CASHFLOWS";#N/A,#N/A,FALSE,"BALANCESHEET"}</definedName>
    <definedName name="TRI" hidden="1">{#N/A,#N/A,FALSE,"COVER";#N/A,#N/A,FALSE,"PF ASSUMPT";#N/A,#N/A,FALSE,"PF EPS";#N/A,#N/A,FALSE,"CASHFLOWS";#N/A,#N/A,FALSE,"BALANCESHEET"}</definedName>
    <definedName name="TRItwo" localSheetId="0" hidden="1">{#N/A,#N/A,FALSE,"COVER";#N/A,#N/A,FALSE,"PF ASSUMPT";#N/A,#N/A,FALSE,"PF EPS";#N/A,#N/A,FALSE,"CASHFLOWS";#N/A,#N/A,FALSE,"BALANCESHEET"}</definedName>
    <definedName name="TRItwo" localSheetId="27" hidden="1">{#N/A,#N/A,FALSE,"COVER";#N/A,#N/A,FALSE,"PF ASSUMPT";#N/A,#N/A,FALSE,"PF EPS";#N/A,#N/A,FALSE,"CASHFLOWS";#N/A,#N/A,FALSE,"BALANCESHEET"}</definedName>
    <definedName name="TRItwo" localSheetId="19" hidden="1">{#N/A,#N/A,FALSE,"COVER";#N/A,#N/A,FALSE,"PF ASSUMPT";#N/A,#N/A,FALSE,"PF EPS";#N/A,#N/A,FALSE,"CASHFLOWS";#N/A,#N/A,FALSE,"BALANCESHEET"}</definedName>
    <definedName name="TRItwo" localSheetId="1" hidden="1">{#N/A,#N/A,FALSE,"COVER";#N/A,#N/A,FALSE,"PF ASSUMPT";#N/A,#N/A,FALSE,"PF EPS";#N/A,#N/A,FALSE,"CASHFLOWS";#N/A,#N/A,FALSE,"BALANCESHEET"}</definedName>
    <definedName name="TRItwo" localSheetId="8" hidden="1">{#N/A,#N/A,FALSE,"COVER";#N/A,#N/A,FALSE,"PF ASSUMPT";#N/A,#N/A,FALSE,"PF EPS";#N/A,#N/A,FALSE,"CASHFLOWS";#N/A,#N/A,FALSE,"BALANCESHEET"}</definedName>
    <definedName name="TRItwo" localSheetId="6" hidden="1">{#N/A,#N/A,FALSE,"COVER";#N/A,#N/A,FALSE,"PF ASSUMPT";#N/A,#N/A,FALSE,"PF EPS";#N/A,#N/A,FALSE,"CASHFLOWS";#N/A,#N/A,FALSE,"BALANCESHEET"}</definedName>
    <definedName name="TRItwo" localSheetId="17" hidden="1">{#N/A,#N/A,FALSE,"COVER";#N/A,#N/A,FALSE,"PF ASSUMPT";#N/A,#N/A,FALSE,"PF EPS";#N/A,#N/A,FALSE,"CASHFLOWS";#N/A,#N/A,FALSE,"BALANCESHEET"}</definedName>
    <definedName name="TRItwo" localSheetId="7" hidden="1">{#N/A,#N/A,FALSE,"COVER";#N/A,#N/A,FALSE,"PF ASSUMPT";#N/A,#N/A,FALSE,"PF EPS";#N/A,#N/A,FALSE,"CASHFLOWS";#N/A,#N/A,FALSE,"BALANCESHEET"}</definedName>
    <definedName name="TRItwo" localSheetId="3" hidden="1">{#N/A,#N/A,FALSE,"COVER";#N/A,#N/A,FALSE,"PF ASSUMPT";#N/A,#N/A,FALSE,"PF EPS";#N/A,#N/A,FALSE,"CASHFLOWS";#N/A,#N/A,FALSE,"BALANCESHEET"}</definedName>
    <definedName name="TRItwo" localSheetId="21" hidden="1">{#N/A,#N/A,FALSE,"COVER";#N/A,#N/A,FALSE,"PF ASSUMPT";#N/A,#N/A,FALSE,"PF EPS";#N/A,#N/A,FALSE,"CASHFLOWS";#N/A,#N/A,FALSE,"BALANCESHEET"}</definedName>
    <definedName name="TRItwo" hidden="1">{#N/A,#N/A,FALSE,"COVER";#N/A,#N/A,FALSE,"PF ASSUMPT";#N/A,#N/A,FALSE,"PF EPS";#N/A,#N/A,FALSE,"CASHFLOWS";#N/A,#N/A,FALSE,"BALANCESHEET"}</definedName>
    <definedName name="TSRSwitch" localSheetId="6">'[47]TSR decomposition'!$M$4</definedName>
    <definedName name="TSRSwitch" localSheetId="9">'TSR List'!$L$3</definedName>
    <definedName name="TSRSwitch">'TSR decomposition'!$M$4</definedName>
    <definedName name="tyui" localSheetId="19" hidden="1">{"valuation",#N/A,FALSE,"TXTCOMPS"}</definedName>
    <definedName name="tyui" localSheetId="6" hidden="1">{"valuation",#N/A,FALSE,"TXTCOMPS"}</definedName>
    <definedName name="tyui" localSheetId="7" hidden="1">{"valuation",#N/A,FALSE,"TXTCOMPS"}</definedName>
    <definedName name="tyui" localSheetId="3" hidden="1">{"valuation",#N/A,FALSE,"TXTCOMPS"}</definedName>
    <definedName name="tyui" localSheetId="21" hidden="1">{"valuation",#N/A,FALSE,"TXTCOMPS"}</definedName>
    <definedName name="tyui" hidden="1">{"valuation",#N/A,FALSE,"TXTCOMPS"}</definedName>
    <definedName name="u" localSheetId="19" hidden="1">{"valuation",#N/A,FALSE,"TXTCOMPS"}</definedName>
    <definedName name="u" localSheetId="6" hidden="1">{"valuation",#N/A,FALSE,"TXTCOMPS"}</definedName>
    <definedName name="u" localSheetId="7" hidden="1">{"valuation",#N/A,FALSE,"TXTCOMPS"}</definedName>
    <definedName name="u" localSheetId="3" hidden="1">{"valuation",#N/A,FALSE,"TXTCOMPS"}</definedName>
    <definedName name="u" localSheetId="21" hidden="1">{"valuation",#N/A,FALSE,"TXTCOMPS"}</definedName>
    <definedName name="u" hidden="1">{"valuation",#N/A,FALSE,"TXTCOMPS"}</definedName>
    <definedName name="USD_EUR">[65]DCF!#REF!</definedName>
    <definedName name="v" localSheetId="19" hidden="1">[66]ｾｸﾞﾒﾝﾄ!$E$164:$I$164</definedName>
    <definedName name="v" localSheetId="7" hidden="1">[66]ｾｸﾞﾒﾝﾄ!$E$164:$I$164</definedName>
    <definedName name="v" localSheetId="3" hidden="1">#REF!</definedName>
    <definedName name="v" localSheetId="21" hidden="1">{"valuation",#N/A,FALSE,"TXTCOMPS"}</definedName>
    <definedName name="v" hidden="1">[66]ｾｸﾞﾒﾝﾄ!$E$164:$I$164</definedName>
    <definedName name="va" localSheetId="19" hidden="1">{"valuation",#N/A,FALSE,"TXTCOMPS"}</definedName>
    <definedName name="va" localSheetId="6" hidden="1">{"valuation",#N/A,FALSE,"TXTCOMPS"}</definedName>
    <definedName name="va" localSheetId="7" hidden="1">{"valuation",#N/A,FALSE,"TXTCOMPS"}</definedName>
    <definedName name="va" localSheetId="3" hidden="1">{"valuation",#N/A,FALSE,"TXTCOMPS"}</definedName>
    <definedName name="va" localSheetId="21" hidden="1">{"valuation",#N/A,FALSE,"TXTCOMPS"}</definedName>
    <definedName name="va" hidden="1">{"valuation",#N/A,FALSE,"TXTCOMPS"}</definedName>
    <definedName name="Valuation" localSheetId="0" hidden="1">{#N/A,#N/A,FALSE,"COVER";#N/A,#N/A,FALSE,"ASSUMPTIONS";#N/A,#N/A,FALSE,"EPSMODEL";#N/A,#N/A,FALSE,"CASHFLOWS";#N/A,#N/A,FALSE,"BALANCESHEET"}</definedName>
    <definedName name="Valuation" localSheetId="27" hidden="1">{#N/A,#N/A,FALSE,"COVER";#N/A,#N/A,FALSE,"ASSUMPTIONS";#N/A,#N/A,FALSE,"EPSMODEL";#N/A,#N/A,FALSE,"CASHFLOWS";#N/A,#N/A,FALSE,"BALANCESHEET"}</definedName>
    <definedName name="Valuation" localSheetId="19" hidden="1">{#N/A,#N/A,FALSE,"COVER";#N/A,#N/A,FALSE,"ASSUMPTIONS";#N/A,#N/A,FALSE,"EPSMODEL";#N/A,#N/A,FALSE,"CASHFLOWS";#N/A,#N/A,FALSE,"BALANCESHEET"}</definedName>
    <definedName name="Valuation" localSheetId="1" hidden="1">{#N/A,#N/A,FALSE,"COVER";#N/A,#N/A,FALSE,"ASSUMPTIONS";#N/A,#N/A,FALSE,"EPSMODEL";#N/A,#N/A,FALSE,"CASHFLOWS";#N/A,#N/A,FALSE,"BALANCESHEET"}</definedName>
    <definedName name="Valuation" localSheetId="8" hidden="1">{#N/A,#N/A,FALSE,"COVER";#N/A,#N/A,FALSE,"ASSUMPTIONS";#N/A,#N/A,FALSE,"EPSMODEL";#N/A,#N/A,FALSE,"CASHFLOWS";#N/A,#N/A,FALSE,"BALANCESHEET"}</definedName>
    <definedName name="Valuation" localSheetId="6" hidden="1">{#N/A,#N/A,FALSE,"COVER";#N/A,#N/A,FALSE,"ASSUMPTIONS";#N/A,#N/A,FALSE,"EPSMODEL";#N/A,#N/A,FALSE,"CASHFLOWS";#N/A,#N/A,FALSE,"BALANCESHEET"}</definedName>
    <definedName name="Valuation" localSheetId="17" hidden="1">{#N/A,#N/A,FALSE,"COVER";#N/A,#N/A,FALSE,"ASSUMPTIONS";#N/A,#N/A,FALSE,"EPSMODEL";#N/A,#N/A,FALSE,"CASHFLOWS";#N/A,#N/A,FALSE,"BALANCESHEET"}</definedName>
    <definedName name="Valuation" localSheetId="7" hidden="1">{#N/A,#N/A,FALSE,"COVER";#N/A,#N/A,FALSE,"ASSUMPTIONS";#N/A,#N/A,FALSE,"EPSMODEL";#N/A,#N/A,FALSE,"CASHFLOWS";#N/A,#N/A,FALSE,"BALANCESHEET"}</definedName>
    <definedName name="Valuation" localSheetId="3" hidden="1">{#N/A,#N/A,FALSE,"COVER";#N/A,#N/A,FALSE,"ASSUMPTIONS";#N/A,#N/A,FALSE,"EPSMODEL";#N/A,#N/A,FALSE,"CASHFLOWS";#N/A,#N/A,FALSE,"BALANCESHEET"}</definedName>
    <definedName name="Valuation" localSheetId="21" hidden="1">{#N/A,#N/A,FALSE,"COVER";#N/A,#N/A,FALSE,"ASSUMPTIONS";#N/A,#N/A,FALSE,"EPSMODEL";#N/A,#N/A,FALSE,"CASHFLOWS";#N/A,#N/A,FALSE,"BALANCESHEET"}</definedName>
    <definedName name="Valuation" hidden="1">{#N/A,#N/A,FALSE,"COVER";#N/A,#N/A,FALSE,"ASSUMPTIONS";#N/A,#N/A,FALSE,"EPSMODEL";#N/A,#N/A,FALSE,"CASHFLOWS";#N/A,#N/A,FALSE,"BALANCESHEET"}</definedName>
    <definedName name="Valuation1" localSheetId="0" hidden="1">{#N/A,#N/A,FALSE,"COVER";#N/A,#N/A,FALSE,"ASSUMPTIONS";#N/A,#N/A,FALSE,"EPSMODEL";#N/A,#N/A,FALSE,"CASHFLOWS";#N/A,#N/A,FALSE,"BALANCESHEET"}</definedName>
    <definedName name="Valuation1" localSheetId="27" hidden="1">{#N/A,#N/A,FALSE,"COVER";#N/A,#N/A,FALSE,"ASSUMPTIONS";#N/A,#N/A,FALSE,"EPSMODEL";#N/A,#N/A,FALSE,"CASHFLOWS";#N/A,#N/A,FALSE,"BALANCESHEET"}</definedName>
    <definedName name="Valuation1" localSheetId="19" hidden="1">{#N/A,#N/A,FALSE,"COVER";#N/A,#N/A,FALSE,"ASSUMPTIONS";#N/A,#N/A,FALSE,"EPSMODEL";#N/A,#N/A,FALSE,"CASHFLOWS";#N/A,#N/A,FALSE,"BALANCESHEET"}</definedName>
    <definedName name="Valuation1" localSheetId="1" hidden="1">{#N/A,#N/A,FALSE,"COVER";#N/A,#N/A,FALSE,"ASSUMPTIONS";#N/A,#N/A,FALSE,"EPSMODEL";#N/A,#N/A,FALSE,"CASHFLOWS";#N/A,#N/A,FALSE,"BALANCESHEET"}</definedName>
    <definedName name="Valuation1" localSheetId="8" hidden="1">{#N/A,#N/A,FALSE,"COVER";#N/A,#N/A,FALSE,"ASSUMPTIONS";#N/A,#N/A,FALSE,"EPSMODEL";#N/A,#N/A,FALSE,"CASHFLOWS";#N/A,#N/A,FALSE,"BALANCESHEET"}</definedName>
    <definedName name="Valuation1" localSheetId="6" hidden="1">{#N/A,#N/A,FALSE,"COVER";#N/A,#N/A,FALSE,"ASSUMPTIONS";#N/A,#N/A,FALSE,"EPSMODEL";#N/A,#N/A,FALSE,"CASHFLOWS";#N/A,#N/A,FALSE,"BALANCESHEET"}</definedName>
    <definedName name="Valuation1" localSheetId="17" hidden="1">{#N/A,#N/A,FALSE,"COVER";#N/A,#N/A,FALSE,"ASSUMPTIONS";#N/A,#N/A,FALSE,"EPSMODEL";#N/A,#N/A,FALSE,"CASHFLOWS";#N/A,#N/A,FALSE,"BALANCESHEET"}</definedName>
    <definedName name="Valuation1" localSheetId="7" hidden="1">{#N/A,#N/A,FALSE,"COVER";#N/A,#N/A,FALSE,"ASSUMPTIONS";#N/A,#N/A,FALSE,"EPSMODEL";#N/A,#N/A,FALSE,"CASHFLOWS";#N/A,#N/A,FALSE,"BALANCESHEET"}</definedName>
    <definedName name="Valuation1" localSheetId="3" hidden="1">{#N/A,#N/A,FALSE,"COVER";#N/A,#N/A,FALSE,"ASSUMPTIONS";#N/A,#N/A,FALSE,"EPSMODEL";#N/A,#N/A,FALSE,"CASHFLOWS";#N/A,#N/A,FALSE,"BALANCESHEET"}</definedName>
    <definedName name="Valuation1" localSheetId="21" hidden="1">{#N/A,#N/A,FALSE,"COVER";#N/A,#N/A,FALSE,"ASSUMPTIONS";#N/A,#N/A,FALSE,"EPSMODEL";#N/A,#N/A,FALSE,"CASHFLOWS";#N/A,#N/A,FALSE,"BALANCESHEET"}</definedName>
    <definedName name="Valuation1" hidden="1">{#N/A,#N/A,FALSE,"COVER";#N/A,#N/A,FALSE,"ASSUMPTIONS";#N/A,#N/A,FALSE,"EPSMODEL";#N/A,#N/A,FALSE,"CASHFLOWS";#N/A,#N/A,FALSE,"BALANCESHEET"}</definedName>
    <definedName name="valuetwo" localSheetId="0" hidden="1">{#N/A,#N/A,FALSE,"COVER";#N/A,#N/A,FALSE,"ASSUMPTIONS";#N/A,#N/A,FALSE,"EPSMODEL";#N/A,#N/A,FALSE,"CASHFLOWS";#N/A,#N/A,FALSE,"BALANCESHEET"}</definedName>
    <definedName name="valuetwo" localSheetId="27" hidden="1">{#N/A,#N/A,FALSE,"COVER";#N/A,#N/A,FALSE,"ASSUMPTIONS";#N/A,#N/A,FALSE,"EPSMODEL";#N/A,#N/A,FALSE,"CASHFLOWS";#N/A,#N/A,FALSE,"BALANCESHEET"}</definedName>
    <definedName name="valuetwo" localSheetId="19" hidden="1">{#N/A,#N/A,FALSE,"COVER";#N/A,#N/A,FALSE,"ASSUMPTIONS";#N/A,#N/A,FALSE,"EPSMODEL";#N/A,#N/A,FALSE,"CASHFLOWS";#N/A,#N/A,FALSE,"BALANCESHEET"}</definedName>
    <definedName name="valuetwo" localSheetId="1" hidden="1">{#N/A,#N/A,FALSE,"COVER";#N/A,#N/A,FALSE,"ASSUMPTIONS";#N/A,#N/A,FALSE,"EPSMODEL";#N/A,#N/A,FALSE,"CASHFLOWS";#N/A,#N/A,FALSE,"BALANCESHEET"}</definedName>
    <definedName name="valuetwo" localSheetId="8" hidden="1">{#N/A,#N/A,FALSE,"COVER";#N/A,#N/A,FALSE,"ASSUMPTIONS";#N/A,#N/A,FALSE,"EPSMODEL";#N/A,#N/A,FALSE,"CASHFLOWS";#N/A,#N/A,FALSE,"BALANCESHEET"}</definedName>
    <definedName name="valuetwo" localSheetId="6" hidden="1">{#N/A,#N/A,FALSE,"COVER";#N/A,#N/A,FALSE,"ASSUMPTIONS";#N/A,#N/A,FALSE,"EPSMODEL";#N/A,#N/A,FALSE,"CASHFLOWS";#N/A,#N/A,FALSE,"BALANCESHEET"}</definedName>
    <definedName name="valuetwo" localSheetId="17" hidden="1">{#N/A,#N/A,FALSE,"COVER";#N/A,#N/A,FALSE,"ASSUMPTIONS";#N/A,#N/A,FALSE,"EPSMODEL";#N/A,#N/A,FALSE,"CASHFLOWS";#N/A,#N/A,FALSE,"BALANCESHEET"}</definedName>
    <definedName name="valuetwo" localSheetId="7" hidden="1">{#N/A,#N/A,FALSE,"COVER";#N/A,#N/A,FALSE,"ASSUMPTIONS";#N/A,#N/A,FALSE,"EPSMODEL";#N/A,#N/A,FALSE,"CASHFLOWS";#N/A,#N/A,FALSE,"BALANCESHEET"}</definedName>
    <definedName name="valuetwo" localSheetId="3" hidden="1">{#N/A,#N/A,FALSE,"COVER";#N/A,#N/A,FALSE,"ASSUMPTIONS";#N/A,#N/A,FALSE,"EPSMODEL";#N/A,#N/A,FALSE,"CASHFLOWS";#N/A,#N/A,FALSE,"BALANCESHEET"}</definedName>
    <definedName name="valuetwo" localSheetId="21" hidden="1">{#N/A,#N/A,FALSE,"COVER";#N/A,#N/A,FALSE,"ASSUMPTIONS";#N/A,#N/A,FALSE,"EPSMODEL";#N/A,#N/A,FALSE,"CASHFLOWS";#N/A,#N/A,FALSE,"BALANCESHEET"}</definedName>
    <definedName name="valuetwo" hidden="1">{#N/A,#N/A,FALSE,"COVER";#N/A,#N/A,FALSE,"ASSUMPTIONS";#N/A,#N/A,FALSE,"EPSMODEL";#N/A,#N/A,FALSE,"CASHFLOWS";#N/A,#N/A,FALSE,"BALANCESHEET"}</definedName>
    <definedName name="w" localSheetId="19" hidden="1">[66]単独!$AR$14:$AR$18</definedName>
    <definedName name="w" localSheetId="7" hidden="1">[66]単独!$AR$14:$AR$18</definedName>
    <definedName name="w" localSheetId="3" hidden="1">#REF!</definedName>
    <definedName name="w" localSheetId="21" hidden="1">{"valuation",#N/A,FALSE,"TXTCOMPS"}</definedName>
    <definedName name="w" hidden="1">[66]単独!$AR$14:$AR$18</definedName>
    <definedName name="we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 localSheetId="0" hidden="1">{"INCSTMT1",#N/A,FALSE,"COR";"INCSTMT2",#N/A,FALSE,"COR"}</definedName>
    <definedName name="wet" localSheetId="27" hidden="1">{"INCSTMT1",#N/A,FALSE,"COR";"INCSTMT2",#N/A,FALSE,"COR"}</definedName>
    <definedName name="wet" localSheetId="19" hidden="1">{"INCSTMT1",#N/A,FALSE,"COR";"INCSTMT2",#N/A,FALSE,"COR"}</definedName>
    <definedName name="wet" localSheetId="1" hidden="1">{"INCSTMT1",#N/A,FALSE,"COR";"INCSTMT2",#N/A,FALSE,"COR"}</definedName>
    <definedName name="wet" localSheetId="8" hidden="1">{"INCSTMT1",#N/A,FALSE,"COR";"INCSTMT2",#N/A,FALSE,"COR"}</definedName>
    <definedName name="wet" localSheetId="6" hidden="1">{"INCSTMT1",#N/A,FALSE,"COR";"INCSTMT2",#N/A,FALSE,"COR"}</definedName>
    <definedName name="wet" localSheetId="17" hidden="1">{"INCSTMT1",#N/A,FALSE,"COR";"INCSTMT2",#N/A,FALSE,"COR"}</definedName>
    <definedName name="wet" localSheetId="7" hidden="1">{"INCSTMT1",#N/A,FALSE,"COR";"INCSTMT2",#N/A,FALSE,"COR"}</definedName>
    <definedName name="wet" localSheetId="3" hidden="1">{"INCSTMT1",#N/A,FALSE,"COR";"INCSTMT2",#N/A,FALSE,"COR"}</definedName>
    <definedName name="wet" localSheetId="21" hidden="1">{"INCSTMT1",#N/A,FALSE,"COR";"INCSTMT2",#N/A,FALSE,"COR"}</definedName>
    <definedName name="wet" hidden="1">{"INCSTMT1",#N/A,FALSE,"COR";"INCSTMT2",#N/A,FALSE,"COR"}</definedName>
    <definedName name="wetwo"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2._.pagers." localSheetId="0" hidden="1">{"Cover",#N/A,FALSE,"Cover";"Summary",#N/A,FALSE,"Summarpage"}</definedName>
    <definedName name="wrn.2._.pagers." localSheetId="27" hidden="1">{"Cover",#N/A,FALSE,"Cover";"Summary",#N/A,FALSE,"Summarpage"}</definedName>
    <definedName name="wrn.2._.pagers." localSheetId="19" hidden="1">{"Cover",#N/A,FALSE,"Cover";"Summary",#N/A,FALSE,"Summarpage"}</definedName>
    <definedName name="wrn.2._.pagers." localSheetId="1" hidden="1">{"Cover",#N/A,FALSE,"Cover";"Summary",#N/A,FALSE,"Summarpage"}</definedName>
    <definedName name="wrn.2._.pagers." localSheetId="8" hidden="1">{"Cover",#N/A,FALSE,"Cover";"Summary",#N/A,FALSE,"Summarpage"}</definedName>
    <definedName name="wrn.2._.pagers." localSheetId="6" hidden="1">{"Cover",#N/A,FALSE,"Cover";"Summary",#N/A,FALSE,"Summarpage"}</definedName>
    <definedName name="wrn.2._.pagers." localSheetId="17" hidden="1">{"Cover",#N/A,FALSE,"Cover";"Summary",#N/A,FALSE,"Summarpage"}</definedName>
    <definedName name="wrn.2._.pagers." localSheetId="7" hidden="1">{"Cover",#N/A,FALSE,"Cover";"Summary",#N/A,FALSE,"Summarpage"}</definedName>
    <definedName name="wrn.2._.pagers." localSheetId="3" hidden="1">{"Cover",#N/A,FALSE,"Cover";"Summary",#N/A,FALSE,"Summarpage"}</definedName>
    <definedName name="wrn.2._.pagers." localSheetId="21" hidden="1">{"Cover",#N/A,FALSE,"Cover";"Summary",#N/A,FALSE,"Summarpage"}</definedName>
    <definedName name="wrn.2._.pagers." hidden="1">{"Cover",#N/A,FALSE,"Cover";"Summary",#N/A,FALSE,"Summarpage"}</definedName>
    <definedName name="wrn.3._.Scenarios." localSheetId="0" hidden="1">{"full model","100% Stock",FALSE,"PROFORMA";"full model","50/50",FALSE,"PROFORMA";"full model","100% Cash",FALSE,"PROFORMA"}</definedName>
    <definedName name="wrn.3._.Scenarios." localSheetId="27" hidden="1">{"full model","100% Stock",FALSE,"PROFORMA";"full model","50/50",FALSE,"PROFORMA";"full model","100% Cash",FALSE,"PROFORMA"}</definedName>
    <definedName name="wrn.3._.Scenarios." localSheetId="19" hidden="1">{"full model","100% Stock",FALSE,"PROFORMA";"full model","50/50",FALSE,"PROFORMA";"full model","100% Cash",FALSE,"PROFORMA"}</definedName>
    <definedName name="wrn.3._.Scenarios." localSheetId="1" hidden="1">{"full model","100% Stock",FALSE,"PROFORMA";"full model","50/50",FALSE,"PROFORMA";"full model","100% Cash",FALSE,"PROFORMA"}</definedName>
    <definedName name="wrn.3._.Scenarios." localSheetId="8" hidden="1">{"full model","100% Stock",FALSE,"PROFORMA";"full model","50/50",FALSE,"PROFORMA";"full model","100% Cash",FALSE,"PROFORMA"}</definedName>
    <definedName name="wrn.3._.Scenarios." localSheetId="6" hidden="1">{"full model","100% Stock",FALSE,"PROFORMA";"full model","50/50",FALSE,"PROFORMA";"full model","100% Cash",FALSE,"PROFORMA"}</definedName>
    <definedName name="wrn.3._.Scenarios." localSheetId="17" hidden="1">{"full model","100% Stock",FALSE,"PROFORMA";"full model","50/50",FALSE,"PROFORMA";"full model","100% Cash",FALSE,"PROFORMA"}</definedName>
    <definedName name="wrn.3._.Scenarios." localSheetId="7" hidden="1">{"full model","100% Stock",FALSE,"PROFORMA";"full model","50/50",FALSE,"PROFORMA";"full model","100% Cash",FALSE,"PROFORMA"}</definedName>
    <definedName name="wrn.3._.Scenarios." localSheetId="3" hidden="1">{"full model","100% Stock",FALSE,"PROFORMA";"full model","50/50",FALSE,"PROFORMA";"full model","100% Cash",FALSE,"PROFORMA"}</definedName>
    <definedName name="wrn.3._.Scenarios." localSheetId="21" hidden="1">{"full model","100% Stock",FALSE,"PROFORMA";"full model","50/50",FALSE,"PROFORMA";"full model","100% Cash",FALSE,"PROFORMA"}</definedName>
    <definedName name="wrn.3._.Scenarios." hidden="1">{"full model","100% Stock",FALSE,"PROFORMA";"full model","50/50",FALSE,"PROFORMA";"full model","100% Cash",FALSE,"PROFORMA"}</definedName>
    <definedName name="wrn.Accounts." localSheetId="0" hidden="1">{"turnover",#N/A,FALSE;"profits",#N/A,FALSE;"cash",#N/A,FALSE}</definedName>
    <definedName name="wrn.Accounts." localSheetId="27" hidden="1">{"turnover",#N/A,FALSE;"profits",#N/A,FALSE;"cash",#N/A,FALSE}</definedName>
    <definedName name="wrn.Accounts." localSheetId="19" hidden="1">{"turnover",#N/A,FALSE;"profits",#N/A,FALSE;"cash",#N/A,FALSE}</definedName>
    <definedName name="wrn.Accounts." localSheetId="1" hidden="1">{"turnover",#N/A,FALSE;"profits",#N/A,FALSE;"cash",#N/A,FALSE}</definedName>
    <definedName name="wrn.Accounts." localSheetId="8" hidden="1">{"turnover",#N/A,FALSE;"profits",#N/A,FALSE;"cash",#N/A,FALSE}</definedName>
    <definedName name="wrn.Accounts." localSheetId="6" hidden="1">{"turnover",#N/A,FALSE;"profits",#N/A,FALSE;"cash",#N/A,FALSE}</definedName>
    <definedName name="wrn.Accounts." localSheetId="17" hidden="1">{"turnover",#N/A,FALSE;"profits",#N/A,FALSE;"cash",#N/A,FALSE}</definedName>
    <definedName name="wrn.Accounts." localSheetId="7" hidden="1">{"turnover",#N/A,FALSE;"profits",#N/A,FALSE;"cash",#N/A,FALSE}</definedName>
    <definedName name="wrn.Accounts." localSheetId="3" hidden="1">{"turnover",#N/A,FALSE;"profits",#N/A,FALSE;"cash",#N/A,FALSE}</definedName>
    <definedName name="wrn.Accounts." localSheetId="21" hidden="1">{"turnover",#N/A,FALSE;"profits",#N/A,FALSE;"cash",#N/A,FALSE}</definedName>
    <definedName name="wrn.Accounts." hidden="1">{"turnover",#N/A,FALSE;"profits",#N/A,FALSE;"cash",#N/A,FALSE}</definedName>
    <definedName name="wrn.Aging._.and._.Trend._.Analysis." localSheetId="19"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0" hidden="1">{"QTRINC1",#N/A,FALSE,"QTRINC";"QTRINC2",#N/A,FALSE,"QTRINC";"QTRSALES",#N/A,FALSE,"QTRSALES";"ANNSALES",#N/A,FALSE,"ANNSALES";"CASHFLOW",#N/A,FALSE,"CASHFLOW"}</definedName>
    <definedName name="wrn.AGN._.MODELS." localSheetId="27" hidden="1">{"QTRINC1",#N/A,FALSE,"QTRINC";"QTRINC2",#N/A,FALSE,"QTRINC";"QTRSALES",#N/A,FALSE,"QTRSALES";"ANNSALES",#N/A,FALSE,"ANNSALES";"CASHFLOW",#N/A,FALSE,"CASHFLOW"}</definedName>
    <definedName name="wrn.AGN._.MODELS." localSheetId="19" hidden="1">{"QTRINC1",#N/A,FALSE,"QTRINC";"QTRINC2",#N/A,FALSE,"QTRINC";"QTRSALES",#N/A,FALSE,"QTRSALES";"ANNSALES",#N/A,FALSE,"ANNSALES";"CASHFLOW",#N/A,FALSE,"CASHFLOW"}</definedName>
    <definedName name="wrn.AGN._.MODELS." localSheetId="1" hidden="1">{"QTRINC1",#N/A,FALSE,"QTRINC";"QTRINC2",#N/A,FALSE,"QTRINC";"QTRSALES",#N/A,FALSE,"QTRSALES";"ANNSALES",#N/A,FALSE,"ANNSALES";"CASHFLOW",#N/A,FALSE,"CASHFLOW"}</definedName>
    <definedName name="wrn.AGN._.MODELS." localSheetId="8" hidden="1">{"QTRINC1",#N/A,FALSE,"QTRINC";"QTRINC2",#N/A,FALSE,"QTRINC";"QTRSALES",#N/A,FALSE,"QTRSALES";"ANNSALES",#N/A,FALSE,"ANNSALES";"CASHFLOW",#N/A,FALSE,"CASHFLOW"}</definedName>
    <definedName name="wrn.AGN._.MODELS." localSheetId="6" hidden="1">{"QTRINC1",#N/A,FALSE,"QTRINC";"QTRINC2",#N/A,FALSE,"QTRINC";"QTRSALES",#N/A,FALSE,"QTRSALES";"ANNSALES",#N/A,FALSE,"ANNSALES";"CASHFLOW",#N/A,FALSE,"CASHFLOW"}</definedName>
    <definedName name="wrn.AGN._.MODELS." localSheetId="17" hidden="1">{"QTRINC1",#N/A,FALSE,"QTRINC";"QTRINC2",#N/A,FALSE,"QTRINC";"QTRSALES",#N/A,FALSE,"QTRSALES";"ANNSALES",#N/A,FALSE,"ANNSALES";"CASHFLOW",#N/A,FALSE,"CASHFLOW"}</definedName>
    <definedName name="wrn.AGN._.MODELS." localSheetId="7" hidden="1">{"QTRINC1",#N/A,FALSE,"QTRINC";"QTRINC2",#N/A,FALSE,"QTRINC";"QTRSALES",#N/A,FALSE,"QTRSALES";"ANNSALES",#N/A,FALSE,"ANNSALES";"CASHFLOW",#N/A,FALSE,"CASHFLOW"}</definedName>
    <definedName name="wrn.AGN._.MODELS." localSheetId="3" hidden="1">{"QTRINC1",#N/A,FALSE,"QTRINC";"QTRINC2",#N/A,FALSE,"QTRINC";"QTRSALES",#N/A,FALSE,"QTRSALES";"ANNSALES",#N/A,FALSE,"ANNSALES";"CASHFLOW",#N/A,FALSE,"CASHFLOW"}</definedName>
    <definedName name="wrn.AGN._.MODELS." localSheetId="21"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P._.MODELS." localSheetId="0" hidden="1">{"QTRINC",#N/A,FALSE,"QTRINC";"MARGIN",#N/A,FALSE,"MARGIN";"CASHFLOW",#N/A,FALSE,"CASHFLOW"}</definedName>
    <definedName name="wrn.AHP._.MODELS." localSheetId="27" hidden="1">{"QTRINC",#N/A,FALSE,"QTRINC";"MARGIN",#N/A,FALSE,"MARGIN";"CASHFLOW",#N/A,FALSE,"CASHFLOW"}</definedName>
    <definedName name="wrn.AHP._.MODELS." localSheetId="19" hidden="1">{"QTRINC",#N/A,FALSE,"QTRINC";"MARGIN",#N/A,FALSE,"MARGIN";"CASHFLOW",#N/A,FALSE,"CASHFLOW"}</definedName>
    <definedName name="wrn.AHP._.MODELS." localSheetId="1" hidden="1">{"QTRINC",#N/A,FALSE,"QTRINC";"MARGIN",#N/A,FALSE,"MARGIN";"CASHFLOW",#N/A,FALSE,"CASHFLOW"}</definedName>
    <definedName name="wrn.AHP._.MODELS." localSheetId="8" hidden="1">{"QTRINC",#N/A,FALSE,"QTRINC";"MARGIN",#N/A,FALSE,"MARGIN";"CASHFLOW",#N/A,FALSE,"CASHFLOW"}</definedName>
    <definedName name="wrn.AHP._.MODELS." localSheetId="6" hidden="1">{"QTRINC",#N/A,FALSE,"QTRINC";"MARGIN",#N/A,FALSE,"MARGIN";"CASHFLOW",#N/A,FALSE,"CASHFLOW"}</definedName>
    <definedName name="wrn.AHP._.MODELS." localSheetId="17" hidden="1">{"QTRINC",#N/A,FALSE,"QTRINC";"MARGIN",#N/A,FALSE,"MARGIN";"CASHFLOW",#N/A,FALSE,"CASHFLOW"}</definedName>
    <definedName name="wrn.AHP._.MODELS." localSheetId="7" hidden="1">{"QTRINC",#N/A,FALSE,"QTRINC";"MARGIN",#N/A,FALSE,"MARGIN";"CASHFLOW",#N/A,FALSE,"CASHFLOW"}</definedName>
    <definedName name="wrn.AHP._.MODELS." localSheetId="3" hidden="1">{"QTRINC",#N/A,FALSE,"QTRINC";"MARGIN",#N/A,FALSE,"MARGIN";"CASHFLOW",#N/A,FALSE,"CASHFLOW"}</definedName>
    <definedName name="wrn.AHP._.MODELS." localSheetId="21" hidden="1">{"QTRINC",#N/A,FALSE,"QTRINC";"MARGIN",#N/A,FALSE,"MARGIN";"CASHFLOW",#N/A,FALSE,"CASHFLOW"}</definedName>
    <definedName name="wrn.AHP._.MODELS." hidden="1">{"QTRINC",#N/A,FALSE,"QTRINC";"MARGIN",#N/A,FALSE,"MARGIN";"CASHFLOW",#N/A,FALSE,"CASHFLOW"}</definedName>
    <definedName name="wrn.All." localSheetId="0" hidden="1">{"Netbacks",#N/A,FALSE,"B";"IS Annually",#N/A,FALSE,"C";"IS Q95 Q96",#N/A,FALSE,"C";"Corp Pro",#N/A,FALSE,"D";"Prod Pro",#N/A,FALSE,"E"}</definedName>
    <definedName name="wrn.All." localSheetId="27" hidden="1">{"Netbacks",#N/A,FALSE,"B";"IS Annually",#N/A,FALSE,"C";"IS Q95 Q96",#N/A,FALSE,"C";"Corp Pro",#N/A,FALSE,"D";"Prod Pro",#N/A,FALSE,"E"}</definedName>
    <definedName name="wrn.All." localSheetId="19" hidden="1">{"Netbacks",#N/A,FALSE,"B";"IS Annually",#N/A,FALSE,"C";"IS Q95 Q96",#N/A,FALSE,"C";"Corp Pro",#N/A,FALSE,"D";"Prod Pro",#N/A,FALSE,"E"}</definedName>
    <definedName name="wrn.All." localSheetId="1" hidden="1">{"Netbacks",#N/A,FALSE,"B";"IS Annually",#N/A,FALSE,"C";"IS Q95 Q96",#N/A,FALSE,"C";"Corp Pro",#N/A,FALSE,"D";"Prod Pro",#N/A,FALSE,"E"}</definedName>
    <definedName name="wrn.All." localSheetId="8" hidden="1">{"Netbacks",#N/A,FALSE,"B";"IS Annually",#N/A,FALSE,"C";"IS Q95 Q96",#N/A,FALSE,"C";"Corp Pro",#N/A,FALSE,"D";"Prod Pro",#N/A,FALSE,"E"}</definedName>
    <definedName name="wrn.All." localSheetId="6" hidden="1">{"Netbacks",#N/A,FALSE,"B";"IS Annually",#N/A,FALSE,"C";"IS Q95 Q96",#N/A,FALSE,"C";"Corp Pro",#N/A,FALSE,"D";"Prod Pro",#N/A,FALSE,"E"}</definedName>
    <definedName name="wrn.All." localSheetId="17" hidden="1">{"Netbacks",#N/A,FALSE,"B";"IS Annually",#N/A,FALSE,"C";"IS Q95 Q96",#N/A,FALSE,"C";"Corp Pro",#N/A,FALSE,"D";"Prod Pro",#N/A,FALSE,"E"}</definedName>
    <definedName name="wrn.All." localSheetId="7" hidden="1">{"Netbacks",#N/A,FALSE,"B";"IS Annually",#N/A,FALSE,"C";"IS Q95 Q96",#N/A,FALSE,"C";"Corp Pro",#N/A,FALSE,"D";"Prod Pro",#N/A,FALSE,"E"}</definedName>
    <definedName name="wrn.all." localSheetId="3" hidden="1">{#N/A,#N/A,FALSE,"Time Warner";#N/A,#N/A,FALSE,"Entertainment Group";#N/A,#N/A,FALSE,"EBITDA";#N/A,#N/A,FALSE,"Notes"}</definedName>
    <definedName name="wrn.all." localSheetId="21" hidden="1">{"comps",#N/A,FALSE,"TXTCOMPS";"segment_EPS",#N/A,FALSE,"TXTCOMPS";"valuation",#N/A,FALSE,"TXTCOMPS"}</definedName>
    <definedName name="wrn.All." hidden="1">{"Netbacks",#N/A,FALSE,"B";"IS Annually",#N/A,FALSE,"C";"IS Q95 Q96",#N/A,FALSE,"C";"Corp Pro",#N/A,FALSE,"D";"Prod Pro",#N/A,FALSE,"E"}</definedName>
    <definedName name="wrn.all._.business._.units." localSheetId="19"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6"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7"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3"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1"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sheets." localSheetId="0"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7"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9"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8"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6"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7"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7"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3"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1" hidden="1">{"Operating Statictics",#N/A,FALSE,"Operating Statistics";"Netbacks",#N/A,FALSE,"Netbacks";"IS Quarterly",#N/A,FALSE,"Income Statement";"IS Yearly",#N/A,FALSE,"Income Statement";"Corporate Profile",#N/A,FALSE,"Corporate Profile";"Production Schedule",#N/A,FALSE,"Production Schedule"}</definedName>
    <definedName name="wrn.All._.sheets." hidden="1">{"Operating Statictics",#N/A,FALSE,"Operating Statistics";"Netbacks",#N/A,FALSE,"Netbacks";"IS Quarterly",#N/A,FALSE,"Income Statement";"IS Yearly",#N/A,FALSE,"Income Statement";"Corporate Profile",#N/A,FALSE,"Corporate Profile";"Production Schedule",#N/A,FALSE,"Production Schedule"}</definedName>
    <definedName name="wrn.allpages." localSheetId="0" hidden="1">{#N/A,#N/A,TRUE,"Historicals";#N/A,#N/A,TRUE,"Charts";#N/A,#N/A,TRUE,"Forecasts"}</definedName>
    <definedName name="wrn.allpages." localSheetId="27" hidden="1">{#N/A,#N/A,TRUE,"Historicals";#N/A,#N/A,TRUE,"Charts";#N/A,#N/A,TRUE,"Forecasts"}</definedName>
    <definedName name="wrn.allpages." localSheetId="19" hidden="1">{#N/A,#N/A,TRUE,"Historicals";#N/A,#N/A,TRUE,"Charts";#N/A,#N/A,TRUE,"Forecasts"}</definedName>
    <definedName name="wrn.allpages." localSheetId="1" hidden="1">{#N/A,#N/A,TRUE,"Historicals";#N/A,#N/A,TRUE,"Charts";#N/A,#N/A,TRUE,"Forecasts"}</definedName>
    <definedName name="wrn.allpages." localSheetId="8" hidden="1">{#N/A,#N/A,TRUE,"Historicals";#N/A,#N/A,TRUE,"Charts";#N/A,#N/A,TRUE,"Forecasts"}</definedName>
    <definedName name="wrn.allpages." localSheetId="6" hidden="1">{#N/A,#N/A,TRUE,"Historicals";#N/A,#N/A,TRUE,"Charts";#N/A,#N/A,TRUE,"Forecasts"}</definedName>
    <definedName name="wrn.allpages." localSheetId="17" hidden="1">{#N/A,#N/A,TRUE,"Historicals";#N/A,#N/A,TRUE,"Charts";#N/A,#N/A,TRUE,"Forecasts"}</definedName>
    <definedName name="wrn.allpages." localSheetId="7" hidden="1">{#N/A,#N/A,TRUE,"Historicals";#N/A,#N/A,TRUE,"Charts";#N/A,#N/A,TRUE,"Forecasts"}</definedName>
    <definedName name="wrn.allpages." localSheetId="3" hidden="1">{#N/A,#N/A,TRUE,"Historicals";#N/A,#N/A,TRUE,"Charts";#N/A,#N/A,TRUE,"Forecasts"}</definedName>
    <definedName name="wrn.allpages." localSheetId="21" hidden="1">{#N/A,#N/A,TRUE,"Historicals";#N/A,#N/A,TRUE,"Charts";#N/A,#N/A,TRUE,"Forecasts"}</definedName>
    <definedName name="wrn.allpages." hidden="1">{#N/A,#N/A,TRUE,"Historicals";#N/A,#N/A,TRUE,"Charts";#N/A,#N/A,TRUE,"Forecasts"}</definedName>
    <definedName name="wrn.AMAT._.Intranet." localSheetId="6" hidden="1">{"AMAT INC",#N/A,FALSE,"AMAT-INC";"AMAT BLSH",#N/A,FALSE,"AMATBLSH"}</definedName>
    <definedName name="wrn.AMAT._.Intranet." localSheetId="3" hidden="1">{"AMAT INC",#N/A,FALSE,"AMAT-INC";"AMAT BLSH",#N/A,FALSE,"AMATBLSH"}</definedName>
    <definedName name="wrn.AMAT._.Intranet." localSheetId="21" hidden="1">{"AMAT INC",#N/A,FALSE,"AMAT-INC";"AMAT BLSH",#N/A,FALSE,"AMATBLSH"}</definedName>
    <definedName name="wrn.AMAT._.Intranet." hidden="1">{"AMAT INC",#N/A,FALSE,"AMAT-INC";"AMAT BLSH",#N/A,FALSE,"AMATBLSH"}</definedName>
    <definedName name="wrn.AMAT._.Intranet1." localSheetId="6" hidden="1">{"AMAT INC",#N/A,FALSE,"AMAT-INC";"AMAT BLSH",#N/A,FALSE,"AMATBLSH"}</definedName>
    <definedName name="wrn.AMAT._.Intranet1." localSheetId="3" hidden="1">{"AMAT INC",#N/A,FALSE,"AMAT-INC";"AMAT BLSH",#N/A,FALSE,"AMATBLSH"}</definedName>
    <definedName name="wrn.AMAT._.Intranet1." localSheetId="21" hidden="1">{"AMAT INC",#N/A,FALSE,"AMAT-INC";"AMAT BLSH",#N/A,FALSE,"AMATBLSH"}</definedName>
    <definedName name="wrn.AMAT._.Intranet1." hidden="1">{"AMAT INC",#N/A,FALSE,"AMAT-INC";"AMAT BLSH",#N/A,FALSE,"AMATBLSH"}</definedName>
    <definedName name="wrn.Annual._.Operating._.Earnings." localSheetId="0" hidden="1">{"Annual 1996",#N/A,FALSE,"Ann-Op (Mng)";"Annual 1996",#N/A,FALSE,"Ann-Op (Rep)";"Operating Vs. Reported Earnings",#N/A,FALSE,"Rpt-Op Inc"}</definedName>
    <definedName name="wrn.Annual._.Operating._.Earnings." localSheetId="27" hidden="1">{"Annual 1996",#N/A,FALSE,"Ann-Op (Mng)";"Annual 1996",#N/A,FALSE,"Ann-Op (Rep)";"Operating Vs. Reported Earnings",#N/A,FALSE,"Rpt-Op Inc"}</definedName>
    <definedName name="wrn.Annual._.Operating._.Earnings." localSheetId="19" hidden="1">{"Annual 1996",#N/A,FALSE,"Ann-Op (Mng)";"Annual 1996",#N/A,FALSE,"Ann-Op (Rep)";"Operating Vs. Reported Earnings",#N/A,FALSE,"Rpt-Op Inc"}</definedName>
    <definedName name="wrn.Annual._.Operating._.Earnings." localSheetId="1" hidden="1">{"Annual 1996",#N/A,FALSE,"Ann-Op (Mng)";"Annual 1996",#N/A,FALSE,"Ann-Op (Rep)";"Operating Vs. Reported Earnings",#N/A,FALSE,"Rpt-Op Inc"}</definedName>
    <definedName name="wrn.Annual._.Operating._.Earnings." localSheetId="8" hidden="1">{"Annual 1996",#N/A,FALSE,"Ann-Op (Mng)";"Annual 1996",#N/A,FALSE,"Ann-Op (Rep)";"Operating Vs. Reported Earnings",#N/A,FALSE,"Rpt-Op Inc"}</definedName>
    <definedName name="wrn.Annual._.Operating._.Earnings." localSheetId="6" hidden="1">{"Annual 1996",#N/A,FALSE,"Ann-Op (Mng)";"Annual 1996",#N/A,FALSE,"Ann-Op (Rep)";"Operating Vs. Reported Earnings",#N/A,FALSE,"Rpt-Op Inc"}</definedName>
    <definedName name="wrn.Annual._.Operating._.Earnings." localSheetId="17" hidden="1">{"Annual 1996",#N/A,FALSE,"Ann-Op (Mng)";"Annual 1996",#N/A,FALSE,"Ann-Op (Rep)";"Operating Vs. Reported Earnings",#N/A,FALSE,"Rpt-Op Inc"}</definedName>
    <definedName name="wrn.Annual._.Operating._.Earnings." localSheetId="7" hidden="1">{"Annual 1996",#N/A,FALSE,"Ann-Op (Mng)";"Annual 1996",#N/A,FALSE,"Ann-Op (Rep)";"Operating Vs. Reported Earnings",#N/A,FALSE,"Rpt-Op Inc"}</definedName>
    <definedName name="wrn.Annual._.Operating._.Earnings." localSheetId="3" hidden="1">{"Annual 1996",#N/A,FALSE,"Ann-Op (Mng)";"Annual 1996",#N/A,FALSE,"Ann-Op (Rep)";"Operating Vs. Reported Earnings",#N/A,FALSE,"Rpt-Op Inc"}</definedName>
    <definedName name="wrn.Annual._.Operating._.Earnings." localSheetId="21"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0" hidden="1">{"Annual 1996",#N/A,FALSE,"Ann-Op (Mng)";"Annual 1996",#N/A,FALSE,"Ann-Op (Rep)";"Operating Vs. Reported Earnings",#N/A,FALSE,"Rpt-Op Inc"}</definedName>
    <definedName name="wrn.Annual._.Operating._.Earnings1." localSheetId="27" hidden="1">{"Annual 1996",#N/A,FALSE,"Ann-Op (Mng)";"Annual 1996",#N/A,FALSE,"Ann-Op (Rep)";"Operating Vs. Reported Earnings",#N/A,FALSE,"Rpt-Op Inc"}</definedName>
    <definedName name="wrn.Annual._.Operating._.Earnings1." localSheetId="19" hidden="1">{"Annual 1996",#N/A,FALSE,"Ann-Op (Mng)";"Annual 1996",#N/A,FALSE,"Ann-Op (Rep)";"Operating Vs. Reported Earnings",#N/A,FALSE,"Rpt-Op Inc"}</definedName>
    <definedName name="wrn.Annual._.Operating._.Earnings1." localSheetId="1" hidden="1">{"Annual 1996",#N/A,FALSE,"Ann-Op (Mng)";"Annual 1996",#N/A,FALSE,"Ann-Op (Rep)";"Operating Vs. Reported Earnings",#N/A,FALSE,"Rpt-Op Inc"}</definedName>
    <definedName name="wrn.Annual._.Operating._.Earnings1." localSheetId="8" hidden="1">{"Annual 1996",#N/A,FALSE,"Ann-Op (Mng)";"Annual 1996",#N/A,FALSE,"Ann-Op (Rep)";"Operating Vs. Reported Earnings",#N/A,FALSE,"Rpt-Op Inc"}</definedName>
    <definedName name="wrn.Annual._.Operating._.Earnings1." localSheetId="6" hidden="1">{"Annual 1996",#N/A,FALSE,"Ann-Op (Mng)";"Annual 1996",#N/A,FALSE,"Ann-Op (Rep)";"Operating Vs. Reported Earnings",#N/A,FALSE,"Rpt-Op Inc"}</definedName>
    <definedName name="wrn.Annual._.Operating._.Earnings1." localSheetId="17" hidden="1">{"Annual 1996",#N/A,FALSE,"Ann-Op (Mng)";"Annual 1996",#N/A,FALSE,"Ann-Op (Rep)";"Operating Vs. Reported Earnings",#N/A,FALSE,"Rpt-Op Inc"}</definedName>
    <definedName name="wrn.Annual._.Operating._.Earnings1." localSheetId="7" hidden="1">{"Annual 1996",#N/A,FALSE,"Ann-Op (Mng)";"Annual 1996",#N/A,FALSE,"Ann-Op (Rep)";"Operating Vs. Reported Earnings",#N/A,FALSE,"Rpt-Op Inc"}</definedName>
    <definedName name="wrn.Annual._.Operating._.Earnings1." localSheetId="3" hidden="1">{"Annual 1996",#N/A,FALSE,"Ann-Op (Mng)";"Annual 1996",#N/A,FALSE,"Ann-Op (Rep)";"Operating Vs. Reported Earnings",#N/A,FALSE,"Rpt-Op Inc"}</definedName>
    <definedName name="wrn.Annual._.Operating._.Earnings1." localSheetId="21"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res_Serono." localSheetId="0" hidden="1">{"revenue",#N/A,FALSE,"Revenue";"Qearn1",#N/A,FALSE,"Qearn";"Qearn2",#N/A,FALSE,"Qearn";"Qmargin",#N/A,FALSE,"Qmargin";"Cashflow",#N/A,FALSE,"Cashflow"}</definedName>
    <definedName name="wrn.Ares_Serono." localSheetId="27" hidden="1">{"revenue",#N/A,FALSE,"Revenue";"Qearn1",#N/A,FALSE,"Qearn";"Qearn2",#N/A,FALSE,"Qearn";"Qmargin",#N/A,FALSE,"Qmargin";"Cashflow",#N/A,FALSE,"Cashflow"}</definedName>
    <definedName name="wrn.Ares_Serono." localSheetId="19" hidden="1">{"revenue",#N/A,FALSE,"Revenue";"Qearn1",#N/A,FALSE,"Qearn";"Qearn2",#N/A,FALSE,"Qearn";"Qmargin",#N/A,FALSE,"Qmargin";"Cashflow",#N/A,FALSE,"Cashflow"}</definedName>
    <definedName name="wrn.Ares_Serono." localSheetId="1" hidden="1">{"revenue",#N/A,FALSE,"Revenue";"Qearn1",#N/A,FALSE,"Qearn";"Qearn2",#N/A,FALSE,"Qearn";"Qmargin",#N/A,FALSE,"Qmargin";"Cashflow",#N/A,FALSE,"Cashflow"}</definedName>
    <definedName name="wrn.Ares_Serono." localSheetId="8" hidden="1">{"revenue",#N/A,FALSE,"Revenue";"Qearn1",#N/A,FALSE,"Qearn";"Qearn2",#N/A,FALSE,"Qearn";"Qmargin",#N/A,FALSE,"Qmargin";"Cashflow",#N/A,FALSE,"Cashflow"}</definedName>
    <definedName name="wrn.Ares_Serono." localSheetId="6" hidden="1">{"revenue",#N/A,FALSE,"Revenue";"Qearn1",#N/A,FALSE,"Qearn";"Qearn2",#N/A,FALSE,"Qearn";"Qmargin",#N/A,FALSE,"Qmargin";"Cashflow",#N/A,FALSE,"Cashflow"}</definedName>
    <definedName name="wrn.Ares_Serono." localSheetId="17" hidden="1">{"revenue",#N/A,FALSE,"Revenue";"Qearn1",#N/A,FALSE,"Qearn";"Qearn2",#N/A,FALSE,"Qearn";"Qmargin",#N/A,FALSE,"Qmargin";"Cashflow",#N/A,FALSE,"Cashflow"}</definedName>
    <definedName name="wrn.Ares_Serono." localSheetId="7" hidden="1">{"revenue",#N/A,FALSE,"Revenue";"Qearn1",#N/A,FALSE,"Qearn";"Qearn2",#N/A,FALSE,"Qearn";"Qmargin",#N/A,FALSE,"Qmargin";"Cashflow",#N/A,FALSE,"Cashflow"}</definedName>
    <definedName name="wrn.Ares_Serono." localSheetId="3" hidden="1">{"revenue",#N/A,FALSE,"Revenue";"Qearn1",#N/A,FALSE,"Qearn";"Qearn2",#N/A,FALSE,"Qearn";"Qmargin",#N/A,FALSE,"Qmargin";"Cashflow",#N/A,FALSE,"Cashflow"}</definedName>
    <definedName name="wrn.Ares_Serono." localSheetId="21" hidden="1">{"revenue",#N/A,FALSE,"Revenue";"Qearn1",#N/A,FALSE,"Qearn";"Qearn2",#N/A,FALSE,"Qearn";"Qmargin",#N/A,FALSE,"Qmargin";"Cashflow",#N/A,FALSE,"Cashflow"}</definedName>
    <definedName name="wrn.Ares_Serono." hidden="1">{"revenue",#N/A,FALSE,"Revenue";"Qearn1",#N/A,FALSE,"Qearn";"Qearn2",#N/A,FALSE,"Qearn";"Qmargin",#N/A,FALSE,"Qmargin";"Cashflow",#N/A,FALSE,"Cashflow"}</definedName>
    <definedName name="wrn.assumptions." localSheetId="19" hidden="1">{"a",#N/A,FALSE,"capex";"a",#N/A,FALSE,"Assumptions"}</definedName>
    <definedName name="wrn.assumptions." localSheetId="6" hidden="1">{"a",#N/A,FALSE,"capex";"a",#N/A,FALSE,"Assumptions"}</definedName>
    <definedName name="wrn.assumptions." localSheetId="7" hidden="1">{"a",#N/A,FALSE,"capex";"a",#N/A,FALSE,"Assumptions"}</definedName>
    <definedName name="wrn.assumptions." localSheetId="3" hidden="1">{"a",#N/A,FALSE,"capex";"a",#N/A,FALSE,"Assumptions"}</definedName>
    <definedName name="wrn.assumptions." localSheetId="21" hidden="1">{"a",#N/A,FALSE,"capex";"a",#N/A,FALSE,"Assumptions"}</definedName>
    <definedName name="wrn.assumptions." hidden="1">{"a",#N/A,FALSE,"capex";"a",#N/A,FALSE,"Assumptions"}</definedName>
    <definedName name="wrn.ba." localSheetId="19"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6"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7"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3"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1"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sic." localSheetId="0" hidden="1">{"ca",#N/A,FALSE,"C";"D",#N/A,FALSE,"D"}</definedName>
    <definedName name="wrn.Basic." localSheetId="27" hidden="1">{"ca",#N/A,FALSE,"C";"D",#N/A,FALSE,"D"}</definedName>
    <definedName name="wrn.Basic." localSheetId="19" hidden="1">{"ca",#N/A,FALSE,"C";"D",#N/A,FALSE,"D"}</definedName>
    <definedName name="wrn.Basic." localSheetId="1" hidden="1">{"ca",#N/A,FALSE,"C";"D",#N/A,FALSE,"D"}</definedName>
    <definedName name="wrn.Basic." localSheetId="8" hidden="1">{"ca",#N/A,FALSE,"C";"D",#N/A,FALSE,"D"}</definedName>
    <definedName name="wrn.Basic." localSheetId="6" hidden="1">{"ca",#N/A,FALSE,"C";"D",#N/A,FALSE,"D"}</definedName>
    <definedName name="wrn.Basic." localSheetId="17" hidden="1">{"ca",#N/A,FALSE,"C";"D",#N/A,FALSE,"D"}</definedName>
    <definedName name="wrn.Basic." localSheetId="7" hidden="1">{"ca",#N/A,FALSE,"C";"D",#N/A,FALSE,"D"}</definedName>
    <definedName name="wrn.Basic." localSheetId="3" hidden="1">{"ca",#N/A,FALSE,"C";"D",#N/A,FALSE,"D"}</definedName>
    <definedName name="wrn.Basic." localSheetId="21" hidden="1">{"ca",#N/A,FALSE,"C";"D",#N/A,FALSE,"D"}</definedName>
    <definedName name="wrn.Basic." hidden="1">{"ca",#N/A,FALSE,"C";"D",#N/A,FALSE,"D"}</definedName>
    <definedName name="wrn.Cadispa._.SA." localSheetId="0" hidden="1">{"Cadispa SA",#N/A,FALSE,"Cadispa SA"}</definedName>
    <definedName name="wrn.Cadispa._.SA." localSheetId="27" hidden="1">{"Cadispa SA",#N/A,FALSE,"Cadispa SA"}</definedName>
    <definedName name="wrn.Cadispa._.SA." localSheetId="19" hidden="1">{"Cadispa SA",#N/A,FALSE,"Cadispa SA"}</definedName>
    <definedName name="wrn.Cadispa._.SA." localSheetId="1" hidden="1">{"Cadispa SA",#N/A,FALSE,"Cadispa SA"}</definedName>
    <definedName name="wrn.Cadispa._.SA." localSheetId="8" hidden="1">{"Cadispa SA",#N/A,FALSE,"Cadispa SA"}</definedName>
    <definedName name="wrn.Cadispa._.SA." localSheetId="6" hidden="1">{"Cadispa SA",#N/A,FALSE,"Cadispa SA"}</definedName>
    <definedName name="wrn.Cadispa._.SA." localSheetId="17" hidden="1">{"Cadispa SA",#N/A,FALSE,"Cadispa SA"}</definedName>
    <definedName name="wrn.Cadispa._.SA." localSheetId="7" hidden="1">{"Cadispa SA",#N/A,FALSE,"Cadispa SA"}</definedName>
    <definedName name="wrn.Cadispa._.SA." localSheetId="3" hidden="1">{"Cadispa SA",#N/A,FALSE,"Cadispa SA"}</definedName>
    <definedName name="wrn.Cadispa._.SA." localSheetId="21" hidden="1">{"Cadispa SA",#N/A,FALSE,"Cadispa SA"}</definedName>
    <definedName name="wrn.Cadispa._.SA." hidden="1">{"Cadispa SA",#N/A,FALSE,"Cadispa SA"}</definedName>
    <definedName name="wrn.Canada." localSheetId="0" hidden="1">{"Canada",#N/A,FALSE,"Canada"}</definedName>
    <definedName name="wrn.Canada." localSheetId="27" hidden="1">{"Canada",#N/A,FALSE,"Canada"}</definedName>
    <definedName name="wrn.Canada." localSheetId="19" hidden="1">{"Canada",#N/A,FALSE,"Canada"}</definedName>
    <definedName name="wrn.Canada." localSheetId="1" hidden="1">{"Canada",#N/A,FALSE,"Canada"}</definedName>
    <definedName name="wrn.Canada." localSheetId="8" hidden="1">{"Canada",#N/A,FALSE,"Canada"}</definedName>
    <definedName name="wrn.Canada." localSheetId="6" hidden="1">{"Canada",#N/A,FALSE,"Canada"}</definedName>
    <definedName name="wrn.Canada." localSheetId="17" hidden="1">{"Canada",#N/A,FALSE,"Canada"}</definedName>
    <definedName name="wrn.Canada." localSheetId="7" hidden="1">{"Canada",#N/A,FALSE,"Canada"}</definedName>
    <definedName name="wrn.Canada." localSheetId="3" hidden="1">{"Canada",#N/A,FALSE,"Canada"}</definedName>
    <definedName name="wrn.Canada." localSheetId="21" hidden="1">{"Canada",#N/A,FALSE,"Canada"}</definedName>
    <definedName name="wrn.Canada." hidden="1">{"Canada",#N/A,FALSE,"Canada"}</definedName>
    <definedName name="wrn.Cash._.Flow." localSheetId="0" hidden="1">{"Cash Flow",#N/A,FALSE,"Multiples"}</definedName>
    <definedName name="wrn.Cash._.Flow." localSheetId="27" hidden="1">{"Cash Flow",#N/A,FALSE,"Multiples"}</definedName>
    <definedName name="wrn.Cash._.Flow." localSheetId="19" hidden="1">{"Cash Flow",#N/A,FALSE,"Multiples"}</definedName>
    <definedName name="wrn.Cash._.Flow." localSheetId="1" hidden="1">{"Cash Flow",#N/A,FALSE,"Multiples"}</definedName>
    <definedName name="wrn.Cash._.Flow." localSheetId="8" hidden="1">{"Cash Flow",#N/A,FALSE,"Multiples"}</definedName>
    <definedName name="wrn.Cash._.Flow." localSheetId="6" hidden="1">{"Cash Flow",#N/A,FALSE,"Multiples"}</definedName>
    <definedName name="wrn.Cash._.Flow." localSheetId="17" hidden="1">{"Cash Flow",#N/A,FALSE,"Multiples"}</definedName>
    <definedName name="wrn.Cash._.Flow." localSheetId="7" hidden="1">{"Cash Flow",#N/A,FALSE,"Multiples"}</definedName>
    <definedName name="wrn.Cash._.Flow." localSheetId="3" hidden="1">{"Cash Flow",#N/A,FALSE,"Multiples"}</definedName>
    <definedName name="wrn.Cash._.Flow." localSheetId="21" hidden="1">{"Cash Flow",#N/A,FALSE,"Multiples"}</definedName>
    <definedName name="wrn.Cash._.Flow." hidden="1">{"Cash Flow",#N/A,FALSE,"Multiples"}</definedName>
    <definedName name="wrn.Cash._.V._.LY." localSheetId="19" hidden="1">{"cash",#N/A,FALSE,"Aerospace";"cash",#N/A,FALSE,"Engines";"cash",#N/A,FALSE,"AES";"cash",#N/A,FALSE,"ES";"cash",#N/A,FALSE,"CAS";"cash",#N/A,FALSE,"ATSC";"cash",#N/A,FALSE,"FMT";"cash",#N/A,FALSE,"Aero Other";"cash",#N/A,FALSE,"Judgement"}</definedName>
    <definedName name="wrn.Cash._.V._.LY." localSheetId="6" hidden="1">{"cash",#N/A,FALSE,"Aerospace";"cash",#N/A,FALSE,"Engines";"cash",#N/A,FALSE,"AES";"cash",#N/A,FALSE,"ES";"cash",#N/A,FALSE,"CAS";"cash",#N/A,FALSE,"ATSC";"cash",#N/A,FALSE,"FMT";"cash",#N/A,FALSE,"Aero Other";"cash",#N/A,FALSE,"Judgement"}</definedName>
    <definedName name="wrn.Cash._.V._.LY." localSheetId="7" hidden="1">{"cash",#N/A,FALSE,"Aerospace";"cash",#N/A,FALSE,"Engines";"cash",#N/A,FALSE,"AES";"cash",#N/A,FALSE,"ES";"cash",#N/A,FALSE,"CAS";"cash",#N/A,FALSE,"ATSC";"cash",#N/A,FALSE,"FMT";"cash",#N/A,FALSE,"Aero Other";"cash",#N/A,FALSE,"Judgement"}</definedName>
    <definedName name="wrn.Cash._.V._.LY." localSheetId="3" hidden="1">{"cash",#N/A,FALSE,"Aerospace";"cash",#N/A,FALSE,"Engines";"cash",#N/A,FALSE,"AES";"cash",#N/A,FALSE,"ES";"cash",#N/A,FALSE,"CAS";"cash",#N/A,FALSE,"ATSC";"cash",#N/A,FALSE,"FMT";"cash",#N/A,FALSE,"Aero Other";"cash",#N/A,FALSE,"Judgement"}</definedName>
    <definedName name="wrn.Cash._.V._.LY." localSheetId="21" hidden="1">{"cash",#N/A,FALSE,"Aerospace";"cash",#N/A,FALSE,"Engines";"cash",#N/A,FALSE,"AES";"cash",#N/A,FALSE,"ES";"cash",#N/A,FALSE,"CAS";"cash",#N/A,FALSE,"ATSC";"cash",#N/A,FALSE,"FMT";"cash",#N/A,FALSE,"Aero Other";"cash",#N/A,FALSE,"Judgement"}</definedName>
    <definedName name="wrn.Cash._.V._.LY." hidden="1">{"cash",#N/A,FALSE,"Aerospace";"cash",#N/A,FALSE,"Engines";"cash",#N/A,FALSE,"AES";"cash",#N/A,FALSE,"ES";"cash",#N/A,FALSE,"CAS";"cash",#N/A,FALSE,"ATSC";"cash",#N/A,FALSE,"FMT";"cash",#N/A,FALSE,"Aero Other";"cash",#N/A,FALSE,"Judgement"}</definedName>
    <definedName name="wrn.Cash._.V._.Prior." localSheetId="19" hidden="1">{"cash",#N/A,FALSE,"Aero V prior";"cash",#N/A,FALSE,"Eng V Prior";"cash",#N/A,FALSE,"AES V Prior";"cash",#N/A,FALSE,"ES V Prior";"cash",#N/A,FALSE,"CAS V Prior";"cash",#N/A,FALSE,"ATSC V Prior";"cash",#N/A,FALSE,"FMT V Prior";"cash",#N/A,FALSE,"Aero Other V Prior";"cash",#N/A,FALSE,"Judge V Prior"}</definedName>
    <definedName name="wrn.Cash._.V._.Prior." localSheetId="6" hidden="1">{"cash",#N/A,FALSE,"Aero V prior";"cash",#N/A,FALSE,"Eng V Prior";"cash",#N/A,FALSE,"AES V Prior";"cash",#N/A,FALSE,"ES V Prior";"cash",#N/A,FALSE,"CAS V Prior";"cash",#N/A,FALSE,"ATSC V Prior";"cash",#N/A,FALSE,"FMT V Prior";"cash",#N/A,FALSE,"Aero Other V Prior";"cash",#N/A,FALSE,"Judge V Prior"}</definedName>
    <definedName name="wrn.Cash._.V._.Prior." localSheetId="7" hidden="1">{"cash",#N/A,FALSE,"Aero V prior";"cash",#N/A,FALSE,"Eng V Prior";"cash",#N/A,FALSE,"AES V Prior";"cash",#N/A,FALSE,"ES V Prior";"cash",#N/A,FALSE,"CAS V Prior";"cash",#N/A,FALSE,"ATSC V Prior";"cash",#N/A,FALSE,"FMT V Prior";"cash",#N/A,FALSE,"Aero Other V Prior";"cash",#N/A,FALSE,"Judge V Prior"}</definedName>
    <definedName name="wrn.Cash._.V._.Prior." localSheetId="3" hidden="1">{"cash",#N/A,FALSE,"Aero V prior";"cash",#N/A,FALSE,"Eng V Prior";"cash",#N/A,FALSE,"AES V Prior";"cash",#N/A,FALSE,"ES V Prior";"cash",#N/A,FALSE,"CAS V Prior";"cash",#N/A,FALSE,"ATSC V Prior";"cash",#N/A,FALSE,"FMT V Prior";"cash",#N/A,FALSE,"Aero Other V Prior";"cash",#N/A,FALSE,"Judge V Prior"}</definedName>
    <definedName name="wrn.Cash._.V._.Prior." localSheetId="21" hidden="1">{"cash",#N/A,FALSE,"Aero V prior";"cash",#N/A,FALSE,"Eng V Prior";"cash",#N/A,FALSE,"AES V Prior";"cash",#N/A,FALSE,"ES V Prior";"cash",#N/A,FALSE,"CAS V Prior";"cash",#N/A,FALSE,"ATSC V Prior";"cash",#N/A,FALSE,"FMT V Prior";"cash",#N/A,FALSE,"Aero Other V Prior";"cash",#N/A,FALSE,"Judge V Prior"}</definedName>
    <definedName name="wrn.Cash._.V._.Prior." hidden="1">{"cash",#N/A,FALSE,"Aero V prior";"cash",#N/A,FALSE,"Eng V Prior";"cash",#N/A,FALSE,"AES V Prior";"cash",#N/A,FALSE,"ES V Prior";"cash",#N/A,FALSE,"CAS V Prior";"cash",#N/A,FALSE,"ATSC V Prior";"cash",#N/A,FALSE,"FMT V Prior";"cash",#N/A,FALSE,"Aero Other V Prior";"cash",#N/A,FALSE,"Judge V Prior"}</definedName>
    <definedName name="wrn.Clam." localSheetId="0" hidden="1">{"Clam",#N/A,FALSE,"Clam"}</definedName>
    <definedName name="wrn.Clam." localSheetId="27" hidden="1">{"Clam",#N/A,FALSE,"Clam"}</definedName>
    <definedName name="wrn.Clam." localSheetId="19" hidden="1">{"Clam",#N/A,FALSE,"Clam"}</definedName>
    <definedName name="wrn.Clam." localSheetId="1" hidden="1">{"Clam",#N/A,FALSE,"Clam"}</definedName>
    <definedName name="wrn.Clam." localSheetId="8" hidden="1">{"Clam",#N/A,FALSE,"Clam"}</definedName>
    <definedName name="wrn.Clam." localSheetId="6" hidden="1">{"Clam",#N/A,FALSE,"Clam"}</definedName>
    <definedName name="wrn.Clam." localSheetId="17" hidden="1">{"Clam",#N/A,FALSE,"Clam"}</definedName>
    <definedName name="wrn.Clam." localSheetId="7" hidden="1">{"Clam",#N/A,FALSE,"Clam"}</definedName>
    <definedName name="wrn.Clam." localSheetId="3" hidden="1">{"Clam",#N/A,FALSE,"Clam"}</definedName>
    <definedName name="wrn.Clam." localSheetId="21" hidden="1">{"Clam",#N/A,FALSE,"Clam"}</definedName>
    <definedName name="wrn.Clam." hidden="1">{"Clam",#N/A,FALSE,"Clam"}</definedName>
    <definedName name="wrn.Client." localSheetId="19" hidden="1">{#N/A,#N/A,FALSE,"Quarterly";#N/A,#N/A,FALSE,"Inc.St.";#N/A,#N/A,FALSE,"Bal.Sht."}</definedName>
    <definedName name="wrn.Client." localSheetId="6" hidden="1">{#N/A,#N/A,FALSE,"Quarterly";#N/A,#N/A,FALSE,"Inc.St.";#N/A,#N/A,FALSE,"Bal.Sht."}</definedName>
    <definedName name="wrn.Client." localSheetId="7" hidden="1">{#N/A,#N/A,FALSE,"Quarterly";#N/A,#N/A,FALSE,"Inc.St.";#N/A,#N/A,FALSE,"Bal.Sht."}</definedName>
    <definedName name="wrn.Client." localSheetId="3" hidden="1">{#N/A,#N/A,FALSE,"Quarterly";#N/A,#N/A,FALSE,"Inc.St.";#N/A,#N/A,FALSE,"Bal.Sht."}</definedName>
    <definedName name="wrn.Client." localSheetId="21" hidden="1">{#N/A,#N/A,FALSE,"Quarterly";#N/A,#N/A,FALSE,"Inc.St.";#N/A,#N/A,FALSE,"Bal.Sht."}</definedName>
    <definedName name="wrn.Client." hidden="1">{#N/A,#N/A,FALSE,"Quarterly";#N/A,#N/A,FALSE,"Inc.St.";#N/A,#N/A,FALSE,"Bal.Sht."}</definedName>
    <definedName name="wrn.Client._.cfbs." localSheetId="0" hidden="1">{"client cfbs",#N/A,FALSE,"Client"}</definedName>
    <definedName name="wrn.Client._.cfbs." localSheetId="27" hidden="1">{"client cfbs",#N/A,FALSE,"Client"}</definedName>
    <definedName name="wrn.Client._.cfbs." localSheetId="19" hidden="1">{"client cfbs",#N/A,FALSE,"Client"}</definedName>
    <definedName name="wrn.Client._.cfbs." localSheetId="1" hidden="1">{"client cfbs",#N/A,FALSE,"Client"}</definedName>
    <definedName name="wrn.Client._.cfbs." localSheetId="8" hidden="1">{"client cfbs",#N/A,FALSE,"Client"}</definedName>
    <definedName name="wrn.Client._.cfbs." localSheetId="6" hidden="1">{"client cfbs",#N/A,FALSE,"Client"}</definedName>
    <definedName name="wrn.Client._.cfbs." localSheetId="17" hidden="1">{"client cfbs",#N/A,FALSE,"Client"}</definedName>
    <definedName name="wrn.Client._.cfbs." localSheetId="7" hidden="1">{"client cfbs",#N/A,FALSE,"Client"}</definedName>
    <definedName name="wrn.Client._.cfbs." localSheetId="3" hidden="1">{"client cfbs",#N/A,FALSE,"Client"}</definedName>
    <definedName name="wrn.Client._.cfbs." localSheetId="21" hidden="1">{"client cfbs",#N/A,FALSE,"Client"}</definedName>
    <definedName name="wrn.Client._.cfbs." hidden="1">{"client cfbs",#N/A,FALSE,"Client"}</definedName>
    <definedName name="wrn.Client._.is." localSheetId="0" hidden="1">{"Client is",#N/A,FALSE,"Client"}</definedName>
    <definedName name="wrn.Client._.is." localSheetId="27" hidden="1">{"Client is",#N/A,FALSE,"Client"}</definedName>
    <definedName name="wrn.Client._.is." localSheetId="19" hidden="1">{"Client is",#N/A,FALSE,"Client"}</definedName>
    <definedName name="wrn.Client._.is." localSheetId="1" hidden="1">{"Client is",#N/A,FALSE,"Client"}</definedName>
    <definedName name="wrn.Client._.is." localSheetId="8" hidden="1">{"Client is",#N/A,FALSE,"Client"}</definedName>
    <definedName name="wrn.Client._.is." localSheetId="6" hidden="1">{"Client is",#N/A,FALSE,"Client"}</definedName>
    <definedName name="wrn.Client._.is." localSheetId="17" hidden="1">{"Client is",#N/A,FALSE,"Client"}</definedName>
    <definedName name="wrn.Client._.is." localSheetId="7" hidden="1">{"Client is",#N/A,FALSE,"Client"}</definedName>
    <definedName name="wrn.Client._.is." localSheetId="3" hidden="1">{"Client is",#N/A,FALSE,"Client"}</definedName>
    <definedName name="wrn.Client._.is." localSheetId="21" hidden="1">{"Client is",#N/A,FALSE,"Client"}</definedName>
    <definedName name="wrn.Client._.is." hidden="1">{"Client is",#N/A,FALSE,"Client"}</definedName>
    <definedName name="wrn.Client._.Sheets." localSheetId="0" hidden="1">{"Netbacks",#N/A,FALSE,"Netbacks";"IS Quarterly",#N/A,FALSE,"Income Statement";"IS Yearly",#N/A,FALSE,"Income Statement";"Corporate Profile",#N/A,FALSE,"Corporate Profile"}</definedName>
    <definedName name="wrn.Client._.Sheets." localSheetId="27" hidden="1">{"Netbacks",#N/A,FALSE,"Netbacks";"IS Quarterly",#N/A,FALSE,"Income Statement";"IS Yearly",#N/A,FALSE,"Income Statement";"Corporate Profile",#N/A,FALSE,"Corporate Profile"}</definedName>
    <definedName name="wrn.Client._.Sheets." localSheetId="19" hidden="1">{"Netbacks",#N/A,FALSE,"Netbacks";"IS Quarterly",#N/A,FALSE,"Income Statement";"IS Yearly",#N/A,FALSE,"Income Statement";"Corporate Profile",#N/A,FALSE,"Corporate Profile"}</definedName>
    <definedName name="wrn.Client._.Sheets." localSheetId="1" hidden="1">{"Netbacks",#N/A,FALSE,"Netbacks";"IS Quarterly",#N/A,FALSE,"Income Statement";"IS Yearly",#N/A,FALSE,"Income Statement";"Corporate Profile",#N/A,FALSE,"Corporate Profile"}</definedName>
    <definedName name="wrn.Client._.Sheets." localSheetId="8" hidden="1">{"Netbacks",#N/A,FALSE,"Netbacks";"IS Quarterly",#N/A,FALSE,"Income Statement";"IS Yearly",#N/A,FALSE,"Income Statement";"Corporate Profile",#N/A,FALSE,"Corporate Profile"}</definedName>
    <definedName name="wrn.Client._.Sheets." localSheetId="6" hidden="1">{"Netbacks",#N/A,FALSE,"Netbacks";"IS Quarterly",#N/A,FALSE,"Income Statement";"IS Yearly",#N/A,FALSE,"Income Statement";"Corporate Profile",#N/A,FALSE,"Corporate Profile"}</definedName>
    <definedName name="wrn.Client._.Sheets." localSheetId="17" hidden="1">{"Netbacks",#N/A,FALSE,"Netbacks";"IS Quarterly",#N/A,FALSE,"Income Statement";"IS Yearly",#N/A,FALSE,"Income Statement";"Corporate Profile",#N/A,FALSE,"Corporate Profile"}</definedName>
    <definedName name="wrn.Client._.Sheets." localSheetId="7" hidden="1">{"Netbacks",#N/A,FALSE,"Netbacks";"IS Quarterly",#N/A,FALSE,"Income Statement";"IS Yearly",#N/A,FALSE,"Income Statement";"Corporate Profile",#N/A,FALSE,"Corporate Profile"}</definedName>
    <definedName name="wrn.Client._.Sheets." localSheetId="3" hidden="1">{"Netbacks",#N/A,FALSE,"Netbacks";"IS Quarterly",#N/A,FALSE,"Income Statement";"IS Yearly",#N/A,FALSE,"Income Statement";"Corporate Profile",#N/A,FALSE,"Corporate Profile"}</definedName>
    <definedName name="wrn.Client._.Sheets." localSheetId="21"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stats." localSheetId="0" hidden="1">{"Client stats",#N/A,FALSE,"Client"}</definedName>
    <definedName name="wrn.Client._.stats." localSheetId="27" hidden="1">{"Client stats",#N/A,FALSE,"Client"}</definedName>
    <definedName name="wrn.Client._.stats." localSheetId="19" hidden="1">{"Client stats",#N/A,FALSE,"Client"}</definedName>
    <definedName name="wrn.Client._.stats." localSheetId="1" hidden="1">{"Client stats",#N/A,FALSE,"Client"}</definedName>
    <definedName name="wrn.Client._.stats." localSheetId="8" hidden="1">{"Client stats",#N/A,FALSE,"Client"}</definedName>
    <definedName name="wrn.Client._.stats." localSheetId="6" hidden="1">{"Client stats",#N/A,FALSE,"Client"}</definedName>
    <definedName name="wrn.Client._.stats." localSheetId="17" hidden="1">{"Client stats",#N/A,FALSE,"Client"}</definedName>
    <definedName name="wrn.Client._.stats." localSheetId="7" hidden="1">{"Client stats",#N/A,FALSE,"Client"}</definedName>
    <definedName name="wrn.Client._.stats." localSheetId="3" hidden="1">{"Client stats",#N/A,FALSE,"Client"}</definedName>
    <definedName name="wrn.Client._.stats." localSheetId="21" hidden="1">{"Client stats",#N/A,FALSE,"Client"}</definedName>
    <definedName name="wrn.Client._.stats." hidden="1">{"Client stats",#N/A,FALSE,"Client"}</definedName>
    <definedName name="wrn.Client2." localSheetId="19" hidden="1">{#N/A,#N/A,FALSE,"Inc. St.";#N/A,#N/A,FALSE,"Bal. Sht."}</definedName>
    <definedName name="wrn.Client2." localSheetId="6" hidden="1">{#N/A,#N/A,FALSE,"Inc. St.";#N/A,#N/A,FALSE,"Bal. Sht."}</definedName>
    <definedName name="wrn.Client2." localSheetId="7" hidden="1">{#N/A,#N/A,FALSE,"Inc. St.";#N/A,#N/A,FALSE,"Bal. Sht."}</definedName>
    <definedName name="wrn.Client2." localSheetId="3" hidden="1">{#N/A,#N/A,FALSE,"Inc. St.";#N/A,#N/A,FALSE,"Bal. Sht."}</definedName>
    <definedName name="wrn.Client2." localSheetId="21" hidden="1">{#N/A,#N/A,FALSE,"Inc. St.";#N/A,#N/A,FALSE,"Bal. Sht."}</definedName>
    <definedName name="wrn.Client2." hidden="1">{#N/A,#N/A,FALSE,"Inc. St.";#N/A,#N/A,FALSE,"Bal. Sht."}</definedName>
    <definedName name="wrn.COMP." localSheetId="0" hidden="1">{"CF",#N/A,FALSE,"Stone Energy";"Mult",#N/A,FALSE,"Stone Energy";"Cover",#N/A,FALSE,"Stone Energy";"TEV",#N/A,FALSE,"Stone Energy"}</definedName>
    <definedName name="wrn.COMP." localSheetId="27" hidden="1">{"CF",#N/A,FALSE,"Stone Energy";"Mult",#N/A,FALSE,"Stone Energy";"Cover",#N/A,FALSE,"Stone Energy";"TEV",#N/A,FALSE,"Stone Energy"}</definedName>
    <definedName name="wrn.COMP." localSheetId="19" hidden="1">{"CF",#N/A,FALSE,"Stone Energy";"Mult",#N/A,FALSE,"Stone Energy";"Cover",#N/A,FALSE,"Stone Energy";"TEV",#N/A,FALSE,"Stone Energy"}</definedName>
    <definedName name="wrn.COMP." localSheetId="1" hidden="1">{"CF",#N/A,FALSE,"Stone Energy";"Mult",#N/A,FALSE,"Stone Energy";"Cover",#N/A,FALSE,"Stone Energy";"TEV",#N/A,FALSE,"Stone Energy"}</definedName>
    <definedName name="wrn.COMP." localSheetId="8" hidden="1">{"CF",#N/A,FALSE,"Stone Energy";"Mult",#N/A,FALSE,"Stone Energy";"Cover",#N/A,FALSE,"Stone Energy";"TEV",#N/A,FALSE,"Stone Energy"}</definedName>
    <definedName name="wrn.COMP." localSheetId="6" hidden="1">{"CF",#N/A,FALSE,"Stone Energy";"Mult",#N/A,FALSE,"Stone Energy";"Cover",#N/A,FALSE,"Stone Energy";"TEV",#N/A,FALSE,"Stone Energy"}</definedName>
    <definedName name="wrn.COMP." localSheetId="17" hidden="1">{"CF",#N/A,FALSE,"Stone Energy";"Mult",#N/A,FALSE,"Stone Energy";"Cover",#N/A,FALSE,"Stone Energy";"TEV",#N/A,FALSE,"Stone Energy"}</definedName>
    <definedName name="wrn.COMP." localSheetId="7" hidden="1">{"CF",#N/A,FALSE,"Stone Energy";"Mult",#N/A,FALSE,"Stone Energy";"Cover",#N/A,FALSE,"Stone Energy";"TEV",#N/A,FALSE,"Stone Energy"}</definedName>
    <definedName name="wrn.COMP." localSheetId="3" hidden="1">{"CF",#N/A,FALSE,"Stone Energy";"Mult",#N/A,FALSE,"Stone Energy";"Cover",#N/A,FALSE,"Stone Energy";"TEV",#N/A,FALSE,"Stone Energy"}</definedName>
    <definedName name="wrn.COMP." localSheetId="21" hidden="1">{"CF",#N/A,FALSE,"Stone Energy";"Mult",#N/A,FALSE,"Stone Energy";"Cover",#N/A,FALSE,"Stone Energy";"TEV",#N/A,FALSE,"Stone Energy"}</definedName>
    <definedName name="wrn.COMP." hidden="1">{"CF",#N/A,FALSE,"Stone Energy";"Mult",#N/A,FALSE,"Stone Energy";"Cover",#N/A,FALSE,"Stone Energy";"TEV",#N/A,FALSE,"Stone Energy"}</definedName>
    <definedName name="wrn.Comp1." localSheetId="0" hidden="1">{"BSsheet2",#N/A,FALSE,"BS and Multiple Analysis";"netback2",#N/A,FALSE,"Reserve and Netback Analysis"}</definedName>
    <definedName name="wrn.Comp1." localSheetId="27" hidden="1">{"BSsheet2",#N/A,FALSE,"BS and Multiple Analysis";"netback2",#N/A,FALSE,"Reserve and Netback Analysis"}</definedName>
    <definedName name="wrn.Comp1." localSheetId="19" hidden="1">{"BSsheet2",#N/A,FALSE,"BS and Multiple Analysis";"netback2",#N/A,FALSE,"Reserve and Netback Analysis"}</definedName>
    <definedName name="wrn.Comp1." localSheetId="1" hidden="1">{"BSsheet2",#N/A,FALSE,"BS and Multiple Analysis";"netback2",#N/A,FALSE,"Reserve and Netback Analysis"}</definedName>
    <definedName name="wrn.Comp1." localSheetId="8" hidden="1">{"BSsheet2",#N/A,FALSE,"BS and Multiple Analysis";"netback2",#N/A,FALSE,"Reserve and Netback Analysis"}</definedName>
    <definedName name="wrn.Comp1." localSheetId="6" hidden="1">{"BSsheet2",#N/A,FALSE,"BS and Multiple Analysis";"netback2",#N/A,FALSE,"Reserve and Netback Analysis"}</definedName>
    <definedName name="wrn.Comp1." localSheetId="17" hidden="1">{"BSsheet2",#N/A,FALSE,"BS and Multiple Analysis";"netback2",#N/A,FALSE,"Reserve and Netback Analysis"}</definedName>
    <definedName name="wrn.Comp1." localSheetId="7" hidden="1">{"BSsheet2",#N/A,FALSE,"BS and Multiple Analysis";"netback2",#N/A,FALSE,"Reserve and Netback Analysis"}</definedName>
    <definedName name="wrn.Comp1." localSheetId="3" hidden="1">{"BSsheet2",#N/A,FALSE,"BS and Multiple Analysis";"netback2",#N/A,FALSE,"Reserve and Netback Analysis"}</definedName>
    <definedName name="wrn.Comp1." localSheetId="21" hidden="1">{"BSsheet2",#N/A,FALSE,"BS and Multiple Analysis";"netback2",#N/A,FALSE,"Reserve and Netback Analysis"}</definedName>
    <definedName name="wrn.Comp1." hidden="1">{"BSsheet2",#N/A,FALSE,"BS and Multiple Analysis";"netback2",#N/A,FALSE,"Reserve and Netback Analysis"}</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s." localSheetId="19" hidden="1">{"comps",#N/A,FALSE,"TXTCOMPS"}</definedName>
    <definedName name="wrn.comps." localSheetId="6" hidden="1">{"comps",#N/A,FALSE,"TXTCOMPS"}</definedName>
    <definedName name="wrn.comps." localSheetId="7" hidden="1">{"comps",#N/A,FALSE,"TXTCOMPS"}</definedName>
    <definedName name="wrn.comps." localSheetId="3" hidden="1">{"comps",#N/A,FALSE,"TXTCOMPS"}</definedName>
    <definedName name="wrn.comps." localSheetId="21" hidden="1">{"comps",#N/A,FALSE,"TXTCOMPS"}</definedName>
    <definedName name="wrn.comps." hidden="1">{"comps",#N/A,FALSE,"TXTCOMPS"}</definedName>
    <definedName name="wrn.Congo." localSheetId="0" hidden="1">{"Congo",#N/A,FALSE,"Congo"}</definedName>
    <definedName name="wrn.Congo." localSheetId="27" hidden="1">{"Congo",#N/A,FALSE,"Congo"}</definedName>
    <definedName name="wrn.Congo." localSheetId="19" hidden="1">{"Congo",#N/A,FALSE,"Congo"}</definedName>
    <definedName name="wrn.Congo." localSheetId="1" hidden="1">{"Congo",#N/A,FALSE,"Congo"}</definedName>
    <definedName name="wrn.Congo." localSheetId="8" hidden="1">{"Congo",#N/A,FALSE,"Congo"}</definedName>
    <definedName name="wrn.Congo." localSheetId="6" hidden="1">{"Congo",#N/A,FALSE,"Congo"}</definedName>
    <definedName name="wrn.Congo." localSheetId="17" hidden="1">{"Congo",#N/A,FALSE,"Congo"}</definedName>
    <definedName name="wrn.Congo." localSheetId="7" hidden="1">{"Congo",#N/A,FALSE,"Congo"}</definedName>
    <definedName name="wrn.Congo." localSheetId="3" hidden="1">{"Congo",#N/A,FALSE,"Congo"}</definedName>
    <definedName name="wrn.Congo." localSheetId="21" hidden="1">{"Congo",#N/A,FALSE,"Congo"}</definedName>
    <definedName name="wrn.Congo." hidden="1">{"Congo",#N/A,FALSE,"Congo"}</definedName>
    <definedName name="wrn.Consolidated._.Statements." localSheetId="0" hidden="1">{"view1",#N/A,FALSE,"EARN (US$)";"view1",#N/A,FALSE,"DASTBS (US$)";"view1",#N/A,FALSE,"DASTCF (US$)"}</definedName>
    <definedName name="wrn.Consolidated._.Statements." localSheetId="27" hidden="1">{"view1",#N/A,FALSE,"EARN (US$)";"view1",#N/A,FALSE,"DASTBS (US$)";"view1",#N/A,FALSE,"DASTCF (US$)"}</definedName>
    <definedName name="wrn.Consolidated._.Statements." localSheetId="19" hidden="1">{"view1",#N/A,FALSE,"EARN (US$)";"view1",#N/A,FALSE,"DASTBS (US$)";"view1",#N/A,FALSE,"DASTCF (US$)"}</definedName>
    <definedName name="wrn.Consolidated._.Statements." localSheetId="1" hidden="1">{"view1",#N/A,FALSE,"EARN (US$)";"view1",#N/A,FALSE,"DASTBS (US$)";"view1",#N/A,FALSE,"DASTCF (US$)"}</definedName>
    <definedName name="wrn.Consolidated._.Statements." localSheetId="8" hidden="1">{"view1",#N/A,FALSE,"EARN (US$)";"view1",#N/A,FALSE,"DASTBS (US$)";"view1",#N/A,FALSE,"DASTCF (US$)"}</definedName>
    <definedName name="wrn.Consolidated._.Statements." localSheetId="6" hidden="1">{"view1",#N/A,FALSE,"EARN (US$)";"view1",#N/A,FALSE,"DASTBS (US$)";"view1",#N/A,FALSE,"DASTCF (US$)"}</definedName>
    <definedName name="wrn.Consolidated._.Statements." localSheetId="17" hidden="1">{"view1",#N/A,FALSE,"EARN (US$)";"view1",#N/A,FALSE,"DASTBS (US$)";"view1",#N/A,FALSE,"DASTCF (US$)"}</definedName>
    <definedName name="wrn.Consolidated._.Statements." localSheetId="7" hidden="1">{"view1",#N/A,FALSE,"EARN (US$)";"view1",#N/A,FALSE,"DASTBS (US$)";"view1",#N/A,FALSE,"DASTCF (US$)"}</definedName>
    <definedName name="wrn.Consolidated._.Statements." localSheetId="3" hidden="1">{"view1",#N/A,FALSE,"EARN (US$)";"view1",#N/A,FALSE,"DASTBS (US$)";"view1",#N/A,FALSE,"DASTCF (US$)"}</definedName>
    <definedName name="wrn.Consolidated._.Statements." localSheetId="21" hidden="1">{"view1",#N/A,FALSE,"EARN (US$)";"view1",#N/A,FALSE,"DASTBS (US$)";"view1",#N/A,FALSE,"DASTCF (US$)"}</definedName>
    <definedName name="wrn.Consolidated._.Statements." hidden="1">{"view1",#N/A,FALSE,"EARN (US$)";"view1",#N/A,FALSE,"DASTBS (US$)";"view1",#N/A,FALSE,"DASTCF (US$)"}</definedName>
    <definedName name="wrn.Corp.._.Profile." localSheetId="0" hidden="1">{"Corp Pro",#N/A,FALSE,"D"}</definedName>
    <definedName name="wrn.Corp.._.Profile." localSheetId="27" hidden="1">{"Corp Pro",#N/A,FALSE,"D"}</definedName>
    <definedName name="wrn.Corp.._.Profile." localSheetId="19" hidden="1">{"Corp Pro",#N/A,FALSE,"D"}</definedName>
    <definedName name="wrn.Corp.._.Profile." localSheetId="1" hidden="1">{"Corp Pro",#N/A,FALSE,"D"}</definedName>
    <definedName name="wrn.Corp.._.Profile." localSheetId="8" hidden="1">{"Corp Pro",#N/A,FALSE,"D"}</definedName>
    <definedName name="wrn.Corp.._.Profile." localSheetId="6" hidden="1">{"Corp Pro",#N/A,FALSE,"D"}</definedName>
    <definedName name="wrn.Corp.._.Profile." localSheetId="17" hidden="1">{"Corp Pro",#N/A,FALSE,"D"}</definedName>
    <definedName name="wrn.Corp.._.Profile." localSheetId="7" hidden="1">{"Corp Pro",#N/A,FALSE,"D"}</definedName>
    <definedName name="wrn.Corp.._.Profile." localSheetId="3" hidden="1">{"Corp Pro",#N/A,FALSE,"D"}</definedName>
    <definedName name="wrn.Corp.._.Profile." localSheetId="21" hidden="1">{"Corp Pro",#N/A,FALSE,"D"}</definedName>
    <definedName name="wrn.Corp.._.Profile." hidden="1">{"Corp Pro",#N/A,FALSE,"D"}</definedName>
    <definedName name="wrn.Corp.Profile." localSheetId="0" hidden="1">{"Corp. Profile",#N/A,FALSE,"Corporate Profile"}</definedName>
    <definedName name="wrn.Corp.Profile." localSheetId="27" hidden="1">{"Corp. Profile",#N/A,FALSE,"Corporate Profile"}</definedName>
    <definedName name="wrn.Corp.Profile." localSheetId="19" hidden="1">{"Corp. Profile",#N/A,FALSE,"Corporate Profile"}</definedName>
    <definedName name="wrn.Corp.Profile." localSheetId="1" hidden="1">{"Corp. Profile",#N/A,FALSE,"Corporate Profile"}</definedName>
    <definedName name="wrn.Corp.Profile." localSheetId="8" hidden="1">{"Corp. Profile",#N/A,FALSE,"Corporate Profile"}</definedName>
    <definedName name="wrn.Corp.Profile." localSheetId="6" hidden="1">{"Corp. Profile",#N/A,FALSE,"Corporate Profile"}</definedName>
    <definedName name="wrn.Corp.Profile." localSheetId="17" hidden="1">{"Corp. Profile",#N/A,FALSE,"Corporate Profile"}</definedName>
    <definedName name="wrn.Corp.Profile." localSheetId="7" hidden="1">{"Corp. Profile",#N/A,FALSE,"Corporate Profile"}</definedName>
    <definedName name="wrn.Corp.Profile." localSheetId="3" hidden="1">{"Corp. Profile",#N/A,FALSE,"Corporate Profile"}</definedName>
    <definedName name="wrn.Corp.Profile." localSheetId="21" hidden="1">{"Corp. Profile",#N/A,FALSE,"Corporate Profile"}</definedName>
    <definedName name="wrn.Corp.Profile." hidden="1">{"Corp. Profile",#N/A,FALSE,"Corporate Profile"}</definedName>
    <definedName name="wrn.Corporate." localSheetId="0" hidden="1">{"Corporate",#N/A,FALSE,"Corporate Profile"}</definedName>
    <definedName name="wrn.Corporate." localSheetId="27" hidden="1">{"Corporate",#N/A,FALSE,"Corporate Profile"}</definedName>
    <definedName name="wrn.Corporate." localSheetId="19" hidden="1">{"Corporate",#N/A,FALSE,"Corporate Profile"}</definedName>
    <definedName name="wrn.Corporate." localSheetId="1" hidden="1">{"Corporate",#N/A,FALSE,"Corporate Profile"}</definedName>
    <definedName name="wrn.Corporate." localSheetId="8" hidden="1">{"Corporate",#N/A,FALSE,"Corporate Profile"}</definedName>
    <definedName name="wrn.Corporate." localSheetId="6" hidden="1">{"Corporate",#N/A,FALSE,"Corporate Profile"}</definedName>
    <definedName name="wrn.Corporate." localSheetId="17" hidden="1">{"Corporate",#N/A,FALSE,"Corporate Profile"}</definedName>
    <definedName name="wrn.Corporate." localSheetId="7" hidden="1">{"Corporate",#N/A,FALSE,"Corporate Profile"}</definedName>
    <definedName name="wrn.Corporate." localSheetId="3" hidden="1">{"Corporate",#N/A,FALSE,"Corporate Profile"}</definedName>
    <definedName name="wrn.Corporate." localSheetId="21" hidden="1">{"Corporate",#N/A,FALSE,"Corporate Profile"}</definedName>
    <definedName name="wrn.Corporate." hidden="1">{"Corporate",#N/A,FALSE,"Corporate Profile"}</definedName>
    <definedName name="wrn.Corporate._.Profile." localSheetId="0" hidden="1">{"Corporate Profile",#N/A,FALSE,"D"}</definedName>
    <definedName name="wrn.Corporate._.Profile." localSheetId="27" hidden="1">{"Corporate Profile",#N/A,FALSE,"D"}</definedName>
    <definedName name="wrn.Corporate._.Profile." localSheetId="19" hidden="1">{"Corporate Profile",#N/A,FALSE,"D"}</definedName>
    <definedName name="wrn.Corporate._.Profile." localSheetId="1" hidden="1">{"Corporate Profile",#N/A,FALSE,"D"}</definedName>
    <definedName name="wrn.Corporate._.Profile." localSheetId="8" hidden="1">{"Corporate Profile",#N/A,FALSE,"D"}</definedName>
    <definedName name="wrn.Corporate._.Profile." localSheetId="6" hidden="1">{"Corporate Profile",#N/A,FALSE,"D"}</definedName>
    <definedName name="wrn.Corporate._.Profile." localSheetId="17" hidden="1">{"Corporate Profile",#N/A,FALSE,"D"}</definedName>
    <definedName name="wrn.Corporate._.Profile." localSheetId="7" hidden="1">{"Corporate Profile",#N/A,FALSE,"D"}</definedName>
    <definedName name="wrn.Corporate._.Profile." localSheetId="3" hidden="1">{"Corporate Profile",#N/A,FALSE,"D"}</definedName>
    <definedName name="wrn.Corporate._.Profile." localSheetId="21" hidden="1">{"Corporate Profile",#N/A,FALSE,"D"}</definedName>
    <definedName name="wrn.Corporate._.Profile." hidden="1">{"Corporate Profile",#N/A,FALSE,"D"}</definedName>
    <definedName name="wrn.CorporateProfile." localSheetId="0" hidden="1">{"CorporateProfile",#N/A,FALSE,"corp profile"}</definedName>
    <definedName name="wrn.CorporateProfile." localSheetId="27" hidden="1">{"CorporateProfile",#N/A,FALSE,"corp profile"}</definedName>
    <definedName name="wrn.CorporateProfile." localSheetId="19" hidden="1">{"CorporateProfile",#N/A,FALSE,"corp profile"}</definedName>
    <definedName name="wrn.CorporateProfile." localSheetId="1" hidden="1">{"CorporateProfile",#N/A,FALSE,"corp profile"}</definedName>
    <definedName name="wrn.CorporateProfile." localSheetId="8" hidden="1">{"CorporateProfile",#N/A,FALSE,"corp profile"}</definedName>
    <definedName name="wrn.CorporateProfile." localSheetId="6" hidden="1">{"CorporateProfile",#N/A,FALSE,"corp profile"}</definedName>
    <definedName name="wrn.CorporateProfile." localSheetId="17" hidden="1">{"CorporateProfile",#N/A,FALSE,"corp profile"}</definedName>
    <definedName name="wrn.CorporateProfile." localSheetId="7" hidden="1">{"CorporateProfile",#N/A,FALSE,"corp profile"}</definedName>
    <definedName name="wrn.CorporateProfile." localSheetId="3" hidden="1">{"CorporateProfile",#N/A,FALSE,"corp profile"}</definedName>
    <definedName name="wrn.CorporateProfile." localSheetId="21" hidden="1">{"CorporateProfile",#N/A,FALSE,"corp profile"}</definedName>
    <definedName name="wrn.CorporateProfile." hidden="1">{"CorporateProfile",#N/A,FALSE,"corp profile"}</definedName>
    <definedName name="wrn.CORR." localSheetId="0" hidden="1">{"INCSTMT1",#N/A,FALSE,"COR";"INCSTMT2",#N/A,FALSE,"COR"}</definedName>
    <definedName name="wrn.CORR." localSheetId="27" hidden="1">{"INCSTMT1",#N/A,FALSE,"COR";"INCSTMT2",#N/A,FALSE,"COR"}</definedName>
    <definedName name="wrn.CORR." localSheetId="19" hidden="1">{"INCSTMT1",#N/A,FALSE,"COR";"INCSTMT2",#N/A,FALSE,"COR"}</definedName>
    <definedName name="wrn.CORR." localSheetId="1" hidden="1">{"INCSTMT1",#N/A,FALSE,"COR";"INCSTMT2",#N/A,FALSE,"COR"}</definedName>
    <definedName name="wrn.CORR." localSheetId="8" hidden="1">{"INCSTMT1",#N/A,FALSE,"COR";"INCSTMT2",#N/A,FALSE,"COR"}</definedName>
    <definedName name="wrn.CORR." localSheetId="6" hidden="1">{"INCSTMT1",#N/A,FALSE,"COR";"INCSTMT2",#N/A,FALSE,"COR"}</definedName>
    <definedName name="wrn.CORR." localSheetId="17" hidden="1">{"INCSTMT1",#N/A,FALSE,"COR";"INCSTMT2",#N/A,FALSE,"COR"}</definedName>
    <definedName name="wrn.CORR." localSheetId="7" hidden="1">{"INCSTMT1",#N/A,FALSE,"COR";"INCSTMT2",#N/A,FALSE,"COR"}</definedName>
    <definedName name="wrn.CORR." localSheetId="3" hidden="1">{"INCSTMT1",#N/A,FALSE,"COR";"INCSTMT2",#N/A,FALSE,"COR"}</definedName>
    <definedName name="wrn.CORR." localSheetId="21" hidden="1">{"INCSTMT1",#N/A,FALSE,"COR";"INCSTMT2",#N/A,FALSE,"COR"}</definedName>
    <definedName name="wrn.CORR." hidden="1">{"INCSTMT1",#N/A,FALSE,"COR";"INCSTMT2",#N/A,FALSE,"COR"}</definedName>
    <definedName name="wrn.cotop." localSheetId="0" hidden="1">{"ReportTop",#N/A,FALSE,"report top"}</definedName>
    <definedName name="wrn.cotop." localSheetId="27" hidden="1">{"ReportTop",#N/A,FALSE,"report top"}</definedName>
    <definedName name="wrn.cotop." localSheetId="19" hidden="1">{"ReportTop",#N/A,FALSE,"report top"}</definedName>
    <definedName name="wrn.cotop." localSheetId="1" hidden="1">{"ReportTop",#N/A,FALSE,"report top"}</definedName>
    <definedName name="wrn.cotop." localSheetId="8" hidden="1">{"ReportTop",#N/A,FALSE,"report top"}</definedName>
    <definedName name="wrn.cotop." localSheetId="6" hidden="1">{"ReportTop",#N/A,FALSE,"report top"}</definedName>
    <definedName name="wrn.cotop." localSheetId="17" hidden="1">{"ReportTop",#N/A,FALSE,"report top"}</definedName>
    <definedName name="wrn.cotop." localSheetId="7" hidden="1">{"ReportTop",#N/A,FALSE,"report top"}</definedName>
    <definedName name="wrn.cotop." localSheetId="3" hidden="1">{"ReportTop",#N/A,FALSE,"report top"}</definedName>
    <definedName name="wrn.cotop." localSheetId="21" hidden="1">{"ReportTop",#N/A,FALSE,"report top"}</definedName>
    <definedName name="wrn.cotop." hidden="1">{"ReportTop",#N/A,FALSE,"report top"}</definedName>
    <definedName name="wrn.daily." localSheetId="0" hidden="1">{#N/A,#N/A,FALSE,"Major v. River";#N/A,#N/A,FALSE,"Large Operators";#N/A,#N/A,FALSE,"Smaller Operators";#N/A,#N/A,FALSE,"Equip. Supply";#N/A,#N/A,FALSE,"EBITDA"}</definedName>
    <definedName name="wrn.daily." localSheetId="27" hidden="1">{#N/A,#N/A,FALSE,"Major v. River";#N/A,#N/A,FALSE,"Large Operators";#N/A,#N/A,FALSE,"Smaller Operators";#N/A,#N/A,FALSE,"Equip. Supply";#N/A,#N/A,FALSE,"EBITDA"}</definedName>
    <definedName name="wrn.daily." localSheetId="19" hidden="1">{#N/A,#N/A,FALSE,"Major v. River";#N/A,#N/A,FALSE,"Large Operators";#N/A,#N/A,FALSE,"Smaller Operators";#N/A,#N/A,FALSE,"Equip. Supply";#N/A,#N/A,FALSE,"EBITDA"}</definedName>
    <definedName name="wrn.daily." localSheetId="1" hidden="1">{#N/A,#N/A,FALSE,"Major v. River";#N/A,#N/A,FALSE,"Large Operators";#N/A,#N/A,FALSE,"Smaller Operators";#N/A,#N/A,FALSE,"Equip. Supply";#N/A,#N/A,FALSE,"EBITDA"}</definedName>
    <definedName name="wrn.daily." localSheetId="8" hidden="1">{#N/A,#N/A,FALSE,"Major v. River";#N/A,#N/A,FALSE,"Large Operators";#N/A,#N/A,FALSE,"Smaller Operators";#N/A,#N/A,FALSE,"Equip. Supply";#N/A,#N/A,FALSE,"EBITDA"}</definedName>
    <definedName name="wrn.daily." localSheetId="6" hidden="1">{#N/A,#N/A,FALSE,"Major v. River";#N/A,#N/A,FALSE,"Large Operators";#N/A,#N/A,FALSE,"Smaller Operators";#N/A,#N/A,FALSE,"Equip. Supply";#N/A,#N/A,FALSE,"EBITDA"}</definedName>
    <definedName name="wrn.daily." localSheetId="17" hidden="1">{#N/A,#N/A,FALSE,"Major v. River";#N/A,#N/A,FALSE,"Large Operators";#N/A,#N/A,FALSE,"Smaller Operators";#N/A,#N/A,FALSE,"Equip. Supply";#N/A,#N/A,FALSE,"EBITDA"}</definedName>
    <definedName name="wrn.daily." localSheetId="7" hidden="1">{#N/A,#N/A,FALSE,"Major v. River";#N/A,#N/A,FALSE,"Large Operators";#N/A,#N/A,FALSE,"Smaller Operators";#N/A,#N/A,FALSE,"Equip. Supply";#N/A,#N/A,FALSE,"EBITDA"}</definedName>
    <definedName name="wrn.daily." localSheetId="3" hidden="1">{#N/A,#N/A,FALSE,"Major v. River";#N/A,#N/A,FALSE,"Large Operators";#N/A,#N/A,FALSE,"Smaller Operators";#N/A,#N/A,FALSE,"Equip. Supply";#N/A,#N/A,FALSE,"EBITDA"}</definedName>
    <definedName name="wrn.daily." localSheetId="21" hidden="1">{#N/A,#N/A,FALSE,"Major v. River";#N/A,#N/A,FALSE,"Large Operators";#N/A,#N/A,FALSE,"Smaller Operators";#N/A,#N/A,FALSE,"Equip. Supply";#N/A,#N/A,FALSE,"EBITDA"}</definedName>
    <definedName name="wrn.daily." hidden="1">{#N/A,#N/A,FALSE,"Major v. River";#N/A,#N/A,FALSE,"Large Operators";#N/A,#N/A,FALSE,"Smaller Operators";#N/A,#N/A,FALSE,"Equip. Supply";#N/A,#N/A,FALSE,"EBITDA"}</definedName>
    <definedName name="wrn.dcf." localSheetId="1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xist." localSheetId="0" hidden="1">{"Exist1",#N/A,FALSE,"Exist";"exist2",#N/A,FALSE,"Exist"}</definedName>
    <definedName name="wrn.Exist." localSheetId="27" hidden="1">{"Exist1",#N/A,FALSE,"Exist";"exist2",#N/A,FALSE,"Exist"}</definedName>
    <definedName name="wrn.Exist." localSheetId="19" hidden="1">{"Exist1",#N/A,FALSE,"Exist";"exist2",#N/A,FALSE,"Exist"}</definedName>
    <definedName name="wrn.Exist." localSheetId="1" hidden="1">{"Exist1",#N/A,FALSE,"Exist";"exist2",#N/A,FALSE,"Exist"}</definedName>
    <definedName name="wrn.Exist." localSheetId="8" hidden="1">{"Exist1",#N/A,FALSE,"Exist";"exist2",#N/A,FALSE,"Exist"}</definedName>
    <definedName name="wrn.Exist." localSheetId="6" hidden="1">{"Exist1",#N/A,FALSE,"Exist";"exist2",#N/A,FALSE,"Exist"}</definedName>
    <definedName name="wrn.Exist." localSheetId="17" hidden="1">{"Exist1",#N/A,FALSE,"Exist";"exist2",#N/A,FALSE,"Exist"}</definedName>
    <definedName name="wrn.Exist." localSheetId="7" hidden="1">{"Exist1",#N/A,FALSE,"Exist";"exist2",#N/A,FALSE,"Exist"}</definedName>
    <definedName name="wrn.Exist." localSheetId="3" hidden="1">{"Exist1",#N/A,FALSE,"Exist";"exist2",#N/A,FALSE,"Exist"}</definedName>
    <definedName name="wrn.Exist." localSheetId="21" hidden="1">{"Exist1",#N/A,FALSE,"Exist";"exist2",#N/A,FALSE,"Exist"}</definedName>
    <definedName name="wrn.Exist." hidden="1">{"Exist1",#N/A,FALSE,"Exist";"exist2",#N/A,FALSE,"Exist"}</definedName>
    <definedName name="wrn.fixed._.assets." localSheetId="19"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6"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7"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3"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1"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orecast._.Q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7"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9"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8"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6"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7"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7"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1"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7"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9"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8"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7"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1"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9"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8"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7"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9"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8"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6"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7"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7"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1"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7"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9"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8"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7"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1"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9"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8"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ull._.Report." localSheetId="0" hidden="1">{#N/A,#N/A,FALSE,"COVER";#N/A,#N/A,FALSE,"VALUATION";#N/A,#N/A,FALSE,"FORECAST";#N/A,#N/A,FALSE,"FY ANALYSIS ";#N/A,#N/A,FALSE," HY ANALYSIS"}</definedName>
    <definedName name="wrn.Full._.Report." localSheetId="27" hidden="1">{#N/A,#N/A,FALSE,"COVER";#N/A,#N/A,FALSE,"VALUATION";#N/A,#N/A,FALSE,"FORECAST";#N/A,#N/A,FALSE,"FY ANALYSIS ";#N/A,#N/A,FALSE," HY ANALYSIS"}</definedName>
    <definedName name="wrn.Full._.Report." localSheetId="19" hidden="1">{#N/A,#N/A,FALSE,"COVER";#N/A,#N/A,FALSE,"VALUATION";#N/A,#N/A,FALSE,"FORECAST";#N/A,#N/A,FALSE,"FY ANALYSIS ";#N/A,#N/A,FALSE," HY ANALYSIS"}</definedName>
    <definedName name="wrn.Full._.Report." localSheetId="1" hidden="1">{#N/A,#N/A,FALSE,"COVER";#N/A,#N/A,FALSE,"VALUATION";#N/A,#N/A,FALSE,"FORECAST";#N/A,#N/A,FALSE,"FY ANALYSIS ";#N/A,#N/A,FALSE," HY ANALYSIS"}</definedName>
    <definedName name="wrn.Full._.Report." localSheetId="8" hidden="1">{#N/A,#N/A,FALSE,"COVER";#N/A,#N/A,FALSE,"VALUATION";#N/A,#N/A,FALSE,"FORECAST";#N/A,#N/A,FALSE,"FY ANALYSIS ";#N/A,#N/A,FALSE," HY ANALYSIS"}</definedName>
    <definedName name="wrn.Full._.Report." localSheetId="6" hidden="1">{#N/A,#N/A,FALSE,"COVER";#N/A,#N/A,FALSE,"VALUATION";#N/A,#N/A,FALSE,"FORECAST";#N/A,#N/A,FALSE,"FY ANALYSIS ";#N/A,#N/A,FALSE," HY ANALYSIS"}</definedName>
    <definedName name="wrn.Full._.Report." localSheetId="17" hidden="1">{#N/A,#N/A,FALSE,"COVER";#N/A,#N/A,FALSE,"VALUATION";#N/A,#N/A,FALSE,"FORECAST";#N/A,#N/A,FALSE,"FY ANALYSIS ";#N/A,#N/A,FALSE," HY ANALYSIS"}</definedName>
    <definedName name="wrn.Full._.Report." localSheetId="7" hidden="1">{#N/A,#N/A,FALSE,"COVER";#N/A,#N/A,FALSE,"VALUATION";#N/A,#N/A,FALSE,"FORECAST";#N/A,#N/A,FALSE,"FY ANALYSIS ";#N/A,#N/A,FALSE," HY ANALYSIS"}</definedName>
    <definedName name="wrn.Full._.Report." localSheetId="3" hidden="1">{#N/A,#N/A,FALSE,"COVER";#N/A,#N/A,FALSE,"VALUATION";#N/A,#N/A,FALSE,"FORECAST";#N/A,#N/A,FALSE,"FY ANALYSIS ";#N/A,#N/A,FALSE," HY ANALYSIS"}</definedName>
    <definedName name="wrn.Full._.Report." localSheetId="21" hidden="1">{#N/A,#N/A,FALSE,"COVER";#N/A,#N/A,FALSE,"VALUATION";#N/A,#N/A,FALSE,"FORECAST";#N/A,#N/A,FALSE,"FY ANALYSIS ";#N/A,#N/A,FALSE," HY ANALYSIS"}</definedName>
    <definedName name="wrn.Full._.Report." hidden="1">{#N/A,#N/A,FALSE,"COVER";#N/A,#N/A,FALSE,"VALUATION";#N/A,#N/A,FALSE,"FORECAST";#N/A,#N/A,FALSE,"FY ANALYSIS ";#N/A,#N/A,FALSE," HY ANALYSIS"}</definedName>
    <definedName name="wrn.FY97SBP." localSheetId="0" hidden="1">{#N/A,#N/A,FALSE,"FY97";#N/A,#N/A,FALSE,"FY98";#N/A,#N/A,FALSE,"FY99";#N/A,#N/A,FALSE,"FY00";#N/A,#N/A,FALSE,"FY01"}</definedName>
    <definedName name="wrn.FY97SBP." localSheetId="27" hidden="1">{#N/A,#N/A,FALSE,"FY97";#N/A,#N/A,FALSE,"FY98";#N/A,#N/A,FALSE,"FY99";#N/A,#N/A,FALSE,"FY00";#N/A,#N/A,FALSE,"FY01"}</definedName>
    <definedName name="wrn.FY97SBP." localSheetId="19" hidden="1">{#N/A,#N/A,FALSE,"FY97";#N/A,#N/A,FALSE,"FY98";#N/A,#N/A,FALSE,"FY99";#N/A,#N/A,FALSE,"FY00";#N/A,#N/A,FALSE,"FY01"}</definedName>
    <definedName name="wrn.FY97SBP." localSheetId="1" hidden="1">{#N/A,#N/A,FALSE,"FY97";#N/A,#N/A,FALSE,"FY98";#N/A,#N/A,FALSE,"FY99";#N/A,#N/A,FALSE,"FY00";#N/A,#N/A,FALSE,"FY01"}</definedName>
    <definedName name="wrn.FY97SBP." localSheetId="8" hidden="1">{#N/A,#N/A,FALSE,"FY97";#N/A,#N/A,FALSE,"FY98";#N/A,#N/A,FALSE,"FY99";#N/A,#N/A,FALSE,"FY00";#N/A,#N/A,FALSE,"FY01"}</definedName>
    <definedName name="wrn.FY97SBP." localSheetId="6" hidden="1">{#N/A,#N/A,FALSE,"FY97";#N/A,#N/A,FALSE,"FY98";#N/A,#N/A,FALSE,"FY99";#N/A,#N/A,FALSE,"FY00";#N/A,#N/A,FALSE,"FY01"}</definedName>
    <definedName name="wrn.FY97SBP." localSheetId="17" hidden="1">{#N/A,#N/A,FALSE,"FY97";#N/A,#N/A,FALSE,"FY98";#N/A,#N/A,FALSE,"FY99";#N/A,#N/A,FALSE,"FY00";#N/A,#N/A,FALSE,"FY01"}</definedName>
    <definedName name="wrn.FY97SBP." localSheetId="7" hidden="1">{#N/A,#N/A,FALSE,"FY97";#N/A,#N/A,FALSE,"FY98";#N/A,#N/A,FALSE,"FY99";#N/A,#N/A,FALSE,"FY00";#N/A,#N/A,FALSE,"FY01"}</definedName>
    <definedName name="wrn.FY97SBP." localSheetId="3" hidden="1">{#N/A,#N/A,FALSE,"FY97";#N/A,#N/A,FALSE,"FY98";#N/A,#N/A,FALSE,"FY99";#N/A,#N/A,FALSE,"FY00";#N/A,#N/A,FALSE,"FY01"}</definedName>
    <definedName name="wrn.FY97SBP." localSheetId="21" hidden="1">{#N/A,#N/A,FALSE,"FY97";#N/A,#N/A,FALSE,"FY98";#N/A,#N/A,FALSE,"FY99";#N/A,#N/A,FALSE,"FY00";#N/A,#N/A,FALSE,"FY01"}</definedName>
    <definedName name="wrn.FY97SBP." hidden="1">{#N/A,#N/A,FALSE,"FY97";#N/A,#N/A,FALSE,"FY98";#N/A,#N/A,FALSE,"FY99";#N/A,#N/A,FALSE,"FY00";#N/A,#N/A,FALSE,"FY01"}</definedName>
    <definedName name="wrn.historical." localSheetId="1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_.rev._.backup." localSheetId="19" hidden="1">{"rev_history_revenueDetail",#N/A,FALSE,"historical rev us";"rev_history_minutesDetail",#N/A,FALSE,"historical rev us"}</definedName>
    <definedName name="wrn.historical._.rev._.backup." localSheetId="6" hidden="1">{"rev_history_revenueDetail",#N/A,FALSE,"historical rev us";"rev_history_minutesDetail",#N/A,FALSE,"historical rev us"}</definedName>
    <definedName name="wrn.historical._.rev._.backup." localSheetId="7" hidden="1">{"rev_history_revenueDetail",#N/A,FALSE,"historical rev us";"rev_history_minutesDetail",#N/A,FALSE,"historical rev us"}</definedName>
    <definedName name="wrn.historical._.rev._.backup." localSheetId="3" hidden="1">{"rev_history_revenueDetail",#N/A,FALSE,"historical rev us";"rev_history_minutesDetail",#N/A,FALSE,"historical rev us"}</definedName>
    <definedName name="wrn.historical._.rev._.backup." localSheetId="21" hidden="1">{"rev_history_revenueDetail",#N/A,FALSE,"historical rev us";"rev_history_minutesDetail",#N/A,FALSE,"historical rev us"}</definedName>
    <definedName name="wrn.historical._.rev._.backup." hidden="1">{"rev_history_revenueDetail",#N/A,FALSE,"historical rev us";"rev_history_minutesDetail",#N/A,FALSE,"historical rev us"}</definedName>
    <definedName name="wrn.IGT._.Model." localSheetId="0" hidden="1">{#N/A,#N/A,TRUE,"IGT";#N/A,#N/A,TRUE,"IGTSLOT"}</definedName>
    <definedName name="wrn.IGT._.Model." localSheetId="27" hidden="1">{#N/A,#N/A,TRUE,"IGT";#N/A,#N/A,TRUE,"IGTSLOT"}</definedName>
    <definedName name="wrn.IGT._.Model." localSheetId="19" hidden="1">{#N/A,#N/A,TRUE,"IGT";#N/A,#N/A,TRUE,"IGTSLOT"}</definedName>
    <definedName name="wrn.IGT._.Model." localSheetId="1" hidden="1">{#N/A,#N/A,TRUE,"IGT";#N/A,#N/A,TRUE,"IGTSLOT"}</definedName>
    <definedName name="wrn.IGT._.Model." localSheetId="8" hidden="1">{#N/A,#N/A,TRUE,"IGT";#N/A,#N/A,TRUE,"IGTSLOT"}</definedName>
    <definedName name="wrn.IGT._.Model." localSheetId="6" hidden="1">{#N/A,#N/A,TRUE,"IGT";#N/A,#N/A,TRUE,"IGTSLOT"}</definedName>
    <definedName name="wrn.IGT._.Model." localSheetId="17" hidden="1">{#N/A,#N/A,TRUE,"IGT";#N/A,#N/A,TRUE,"IGTSLOT"}</definedName>
    <definedName name="wrn.IGT._.Model." localSheetId="7" hidden="1">{#N/A,#N/A,TRUE,"IGT";#N/A,#N/A,TRUE,"IGTSLOT"}</definedName>
    <definedName name="wrn.IGT._.Model." localSheetId="3" hidden="1">{#N/A,#N/A,TRUE,"IGT";#N/A,#N/A,TRUE,"IGTSLOT"}</definedName>
    <definedName name="wrn.IGT._.Model." localSheetId="21" hidden="1">{#N/A,#N/A,TRUE,"IGT";#N/A,#N/A,TRUE,"IGTSLOT"}</definedName>
    <definedName name="wrn.IGT._.Model." hidden="1">{#N/A,#N/A,TRUE,"IGT";#N/A,#N/A,TRUE,"IGTSLOT"}</definedName>
    <definedName name="wrn.Income._.Q96." localSheetId="0" hidden="1">{#N/A,#N/A,FALSE,"Income Statement"}</definedName>
    <definedName name="wrn.Income._.Q96." localSheetId="27" hidden="1">{#N/A,#N/A,FALSE,"Income Statement"}</definedName>
    <definedName name="wrn.Income._.Q96." localSheetId="19" hidden="1">{#N/A,#N/A,FALSE,"Income Statement"}</definedName>
    <definedName name="wrn.Income._.Q96." localSheetId="1" hidden="1">{#N/A,#N/A,FALSE,"Income Statement"}</definedName>
    <definedName name="wrn.Income._.Q96." localSheetId="8" hidden="1">{#N/A,#N/A,FALSE,"Income Statement"}</definedName>
    <definedName name="wrn.Income._.Q96." localSheetId="6" hidden="1">{#N/A,#N/A,FALSE,"Income Statement"}</definedName>
    <definedName name="wrn.Income._.Q96." localSheetId="17" hidden="1">{#N/A,#N/A,FALSE,"Income Statement"}</definedName>
    <definedName name="wrn.Income._.Q96." localSheetId="7" hidden="1">{#N/A,#N/A,FALSE,"Income Statement"}</definedName>
    <definedName name="wrn.Income._.Q96." localSheetId="3" hidden="1">{#N/A,#N/A,FALSE,"Income Statement"}</definedName>
    <definedName name="wrn.Income._.Q96." localSheetId="21" hidden="1">{#N/A,#N/A,FALSE,"Income Statement"}</definedName>
    <definedName name="wrn.Income._.Q96." hidden="1">{#N/A,#N/A,FALSE,"Income Statement"}</definedName>
    <definedName name="wrn.Income._.Q97." localSheetId="0" hidden="1">{#N/A,#N/A,FALSE,"Income Statement"}</definedName>
    <definedName name="wrn.Income._.Q97." localSheetId="27" hidden="1">{#N/A,#N/A,FALSE,"Income Statement"}</definedName>
    <definedName name="wrn.Income._.Q97." localSheetId="19" hidden="1">{#N/A,#N/A,FALSE,"Income Statement"}</definedName>
    <definedName name="wrn.Income._.Q97." localSheetId="1" hidden="1">{#N/A,#N/A,FALSE,"Income Statement"}</definedName>
    <definedName name="wrn.Income._.Q97." localSheetId="8" hidden="1">{#N/A,#N/A,FALSE,"Income Statement"}</definedName>
    <definedName name="wrn.Income._.Q97." localSheetId="6" hidden="1">{#N/A,#N/A,FALSE,"Income Statement"}</definedName>
    <definedName name="wrn.Income._.Q97." localSheetId="17" hidden="1">{#N/A,#N/A,FALSE,"Income Statement"}</definedName>
    <definedName name="wrn.Income._.Q97." localSheetId="7" hidden="1">{#N/A,#N/A,FALSE,"Income Statement"}</definedName>
    <definedName name="wrn.Income._.Q97." localSheetId="3" hidden="1">{#N/A,#N/A,FALSE,"Income Statement"}</definedName>
    <definedName name="wrn.Income._.Q97." localSheetId="21" hidden="1">{#N/A,#N/A,FALSE,"Income Statement"}</definedName>
    <definedName name="wrn.Income._.Q97." hidden="1">{#N/A,#N/A,FALSE,"Income Statement"}</definedName>
    <definedName name="wrn.Income._.Statement." localSheetId="0" hidden="1">{"income statement",#N/A,FALSE,"ATLAS-A"}</definedName>
    <definedName name="wrn.Income._.Statement." localSheetId="27" hidden="1">{"income statement",#N/A,FALSE,"ATLAS-A"}</definedName>
    <definedName name="wrn.Income._.Statement." localSheetId="19" hidden="1">{"income statement",#N/A,FALSE,"ATLAS-A"}</definedName>
    <definedName name="wrn.Income._.Statement." localSheetId="1" hidden="1">{"income statement",#N/A,FALSE,"ATLAS-A"}</definedName>
    <definedName name="wrn.Income._.Statement." localSheetId="8" hidden="1">{"income statement",#N/A,FALSE,"ATLAS-A"}</definedName>
    <definedName name="wrn.Income._.Statement." localSheetId="6" hidden="1">{"income statement",#N/A,FALSE,"ATLAS-A"}</definedName>
    <definedName name="wrn.Income._.Statement." localSheetId="17" hidden="1">{"income statement",#N/A,FALSE,"ATLAS-A"}</definedName>
    <definedName name="wrn.Income._.Statement." localSheetId="7" hidden="1">{"income statement",#N/A,FALSE,"ATLAS-A"}</definedName>
    <definedName name="wrn.Income._.Statement." localSheetId="3" hidden="1">{"income statement",#N/A,FALSE,"ATLAS-A"}</definedName>
    <definedName name="wrn.Income._.Statement." localSheetId="21" hidden="1">{"income statement",#N/A,FALSE,"ATLAS-A"}</definedName>
    <definedName name="wrn.Income._.Statement." hidden="1">{"income statement",#N/A,FALSE,"ATLAS-A"}</definedName>
    <definedName name="wrn.Income._.Stmt." localSheetId="0" hidden="1">{"Income Stmt",#N/A,FALSE,"Model"}</definedName>
    <definedName name="wrn.Income._.Stmt." localSheetId="27" hidden="1">{"Income Stmt",#N/A,FALSE,"Model"}</definedName>
    <definedName name="wrn.Income._.Stmt." localSheetId="19" hidden="1">{"Income Stmt",#N/A,FALSE,"Model"}</definedName>
    <definedName name="wrn.Income._.Stmt." localSheetId="1" hidden="1">{"Income Stmt",#N/A,FALSE,"Model"}</definedName>
    <definedName name="wrn.Income._.Stmt." localSheetId="8" hidden="1">{"Income Stmt",#N/A,FALSE,"Model"}</definedName>
    <definedName name="wrn.Income._.Stmt." localSheetId="6" hidden="1">{"Income Stmt",#N/A,FALSE,"Model"}</definedName>
    <definedName name="wrn.Income._.Stmt." localSheetId="17" hidden="1">{"Income Stmt",#N/A,FALSE,"Model"}</definedName>
    <definedName name="wrn.Income._.Stmt." localSheetId="7" hidden="1">{"Income Stmt",#N/A,FALSE,"Model"}</definedName>
    <definedName name="wrn.Income._.Stmt." localSheetId="3" hidden="1">{"Income Stmt",#N/A,FALSE,"Model"}</definedName>
    <definedName name="wrn.Income._.Stmt." localSheetId="21" hidden="1">{"Income Stmt",#N/A,FALSE,"Model"}</definedName>
    <definedName name="wrn.Income._.Stmt." hidden="1">{"Income Stmt",#N/A,FALSE,"Model"}</definedName>
    <definedName name="wrn.Income._.Years." localSheetId="0" hidden="1">{#N/A,#N/A,FALSE,"Income Statement"}</definedName>
    <definedName name="wrn.Income._.Years." localSheetId="27" hidden="1">{#N/A,#N/A,FALSE,"Income Statement"}</definedName>
    <definedName name="wrn.Income._.Years." localSheetId="19" hidden="1">{#N/A,#N/A,FALSE,"Income Statement"}</definedName>
    <definedName name="wrn.Income._.Years." localSheetId="1" hidden="1">{#N/A,#N/A,FALSE,"Income Statement"}</definedName>
    <definedName name="wrn.Income._.Years." localSheetId="8" hidden="1">{#N/A,#N/A,FALSE,"Income Statement"}</definedName>
    <definedName name="wrn.Income._.Years." localSheetId="6" hidden="1">{#N/A,#N/A,FALSE,"Income Statement"}</definedName>
    <definedName name="wrn.Income._.Years." localSheetId="17" hidden="1">{#N/A,#N/A,FALSE,"Income Statement"}</definedName>
    <definedName name="wrn.Income._.Years." localSheetId="7" hidden="1">{#N/A,#N/A,FALSE,"Income Statement"}</definedName>
    <definedName name="wrn.Income._.Years." localSheetId="3" hidden="1">{#N/A,#N/A,FALSE,"Income Statement"}</definedName>
    <definedName name="wrn.Income._.Years." localSheetId="21" hidden="1">{#N/A,#N/A,FALSE,"Income Statement"}</definedName>
    <definedName name="wrn.Income._.Years." hidden="1">{#N/A,#N/A,FALSE,"Income Statement"}</definedName>
    <definedName name="wrn.India." localSheetId="0" hidden="1">{"India",#N/A,FALSE,"India"}</definedName>
    <definedName name="wrn.India." localSheetId="27" hidden="1">{"India",#N/A,FALSE,"India"}</definedName>
    <definedName name="wrn.India." localSheetId="19" hidden="1">{"India",#N/A,FALSE,"India"}</definedName>
    <definedName name="wrn.India." localSheetId="1" hidden="1">{"India",#N/A,FALSE,"India"}</definedName>
    <definedName name="wrn.India." localSheetId="8" hidden="1">{"India",#N/A,FALSE,"India"}</definedName>
    <definedName name="wrn.India." localSheetId="6" hidden="1">{"India",#N/A,FALSE,"India"}</definedName>
    <definedName name="wrn.India." localSheetId="17" hidden="1">{"India",#N/A,FALSE,"India"}</definedName>
    <definedName name="wrn.India." localSheetId="7" hidden="1">{"India",#N/A,FALSE,"India"}</definedName>
    <definedName name="wrn.India." localSheetId="3" hidden="1">{"India",#N/A,FALSE,"India"}</definedName>
    <definedName name="wrn.India." localSheetId="21" hidden="1">{"India",#N/A,FALSE,"India"}</definedName>
    <definedName name="wrn.India." hidden="1">{"India",#N/A,FALSE,"India"}</definedName>
    <definedName name="wrn.Industry.xls." localSheetId="0" hidden="1">{#N/A,#N/A,FALSE,"Earnings";#N/A,#N/A,FALSE,"Overview";#N/A,#N/A,FALSE,"Summary";#N/A,#N/A,FALSE,"Summary II";#N/A,#N/A,FALSE,"R&amp;D";#N/A,#N/A,FALSE,"R&amp;D Forecast";#N/A,#N/A,FALSE,"Tax Adj";#N/A,#N/A,FALSE,"Goodwill";#N/A,#N/A,FALSE,"FX ";#N/A,#N/A,FALSE,"Consolidation";#N/A,#N/A,FALSE,"Provisions"}</definedName>
    <definedName name="wrn.Industry.xls." localSheetId="27" hidden="1">{#N/A,#N/A,FALSE,"Earnings";#N/A,#N/A,FALSE,"Overview";#N/A,#N/A,FALSE,"Summary";#N/A,#N/A,FALSE,"Summary II";#N/A,#N/A,FALSE,"R&amp;D";#N/A,#N/A,FALSE,"R&amp;D Forecast";#N/A,#N/A,FALSE,"Tax Adj";#N/A,#N/A,FALSE,"Goodwill";#N/A,#N/A,FALSE,"FX ";#N/A,#N/A,FALSE,"Consolidation";#N/A,#N/A,FALSE,"Provisions"}</definedName>
    <definedName name="wrn.Industry.xls." localSheetId="19" hidden="1">{#N/A,#N/A,FALSE,"Earnings";#N/A,#N/A,FALSE,"Overview";#N/A,#N/A,FALSE,"Summary";#N/A,#N/A,FALSE,"Summary II";#N/A,#N/A,FALSE,"R&amp;D";#N/A,#N/A,FALSE,"R&amp;D Forecast";#N/A,#N/A,FALSE,"Tax Adj";#N/A,#N/A,FALSE,"Goodwill";#N/A,#N/A,FALSE,"FX ";#N/A,#N/A,FALSE,"Consolidation";#N/A,#N/A,FALSE,"Provisions"}</definedName>
    <definedName name="wrn.Industry.xls." localSheetId="1" hidden="1">{#N/A,#N/A,FALSE,"Earnings";#N/A,#N/A,FALSE,"Overview";#N/A,#N/A,FALSE,"Summary";#N/A,#N/A,FALSE,"Summary II";#N/A,#N/A,FALSE,"R&amp;D";#N/A,#N/A,FALSE,"R&amp;D Forecast";#N/A,#N/A,FALSE,"Tax Adj";#N/A,#N/A,FALSE,"Goodwill";#N/A,#N/A,FALSE,"FX ";#N/A,#N/A,FALSE,"Consolidation";#N/A,#N/A,FALSE,"Provisions"}</definedName>
    <definedName name="wrn.Industry.xls." localSheetId="8" hidden="1">{#N/A,#N/A,FALSE,"Earnings";#N/A,#N/A,FALSE,"Overview";#N/A,#N/A,FALSE,"Summary";#N/A,#N/A,FALSE,"Summary II";#N/A,#N/A,FALSE,"R&amp;D";#N/A,#N/A,FALSE,"R&amp;D Forecast";#N/A,#N/A,FALSE,"Tax Adj";#N/A,#N/A,FALSE,"Goodwill";#N/A,#N/A,FALSE,"FX ";#N/A,#N/A,FALSE,"Consolidation";#N/A,#N/A,FALSE,"Provisions"}</definedName>
    <definedName name="wrn.Industry.xls." localSheetId="6" hidden="1">{#N/A,#N/A,FALSE,"Earnings";#N/A,#N/A,FALSE,"Overview";#N/A,#N/A,FALSE,"Summary";#N/A,#N/A,FALSE,"Summary II";#N/A,#N/A,FALSE,"R&amp;D";#N/A,#N/A,FALSE,"R&amp;D Forecast";#N/A,#N/A,FALSE,"Tax Adj";#N/A,#N/A,FALSE,"Goodwill";#N/A,#N/A,FALSE,"FX ";#N/A,#N/A,FALSE,"Consolidation";#N/A,#N/A,FALSE,"Provisions"}</definedName>
    <definedName name="wrn.Industry.xls." localSheetId="17" hidden="1">{#N/A,#N/A,FALSE,"Earnings";#N/A,#N/A,FALSE,"Overview";#N/A,#N/A,FALSE,"Summary";#N/A,#N/A,FALSE,"Summary II";#N/A,#N/A,FALSE,"R&amp;D";#N/A,#N/A,FALSE,"R&amp;D Forecast";#N/A,#N/A,FALSE,"Tax Adj";#N/A,#N/A,FALSE,"Goodwill";#N/A,#N/A,FALSE,"FX ";#N/A,#N/A,FALSE,"Consolidation";#N/A,#N/A,FALSE,"Provisions"}</definedName>
    <definedName name="wrn.Industry.xls." localSheetId="7" hidden="1">{#N/A,#N/A,FALSE,"Earnings";#N/A,#N/A,FALSE,"Overview";#N/A,#N/A,FALSE,"Summary";#N/A,#N/A,FALSE,"Summary II";#N/A,#N/A,FALSE,"R&amp;D";#N/A,#N/A,FALSE,"R&amp;D Forecast";#N/A,#N/A,FALSE,"Tax Adj";#N/A,#N/A,FALSE,"Goodwill";#N/A,#N/A,FALSE,"FX ";#N/A,#N/A,FALSE,"Consolidation";#N/A,#N/A,FALSE,"Provisions"}</definedName>
    <definedName name="wrn.Industry.xls." localSheetId="3" hidden="1">{#N/A,#N/A,FALSE,"Earnings";#N/A,#N/A,FALSE,"Overview";#N/A,#N/A,FALSE,"Summary";#N/A,#N/A,FALSE,"Summary II";#N/A,#N/A,FALSE,"R&amp;D";#N/A,#N/A,FALSE,"R&amp;D Forecast";#N/A,#N/A,FALSE,"Tax Adj";#N/A,#N/A,FALSE,"Goodwill";#N/A,#N/A,FALSE,"FX ";#N/A,#N/A,FALSE,"Consolidation";#N/A,#N/A,FALSE,"Provisions"}</definedName>
    <definedName name="wrn.Industry.xls." localSheetId="21"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l._.is." localSheetId="0" hidden="1">{"Internal is",#N/A,FALSE,"Model"}</definedName>
    <definedName name="wrn.Internal._.is." localSheetId="27" hidden="1">{"Internal is",#N/A,FALSE,"Model"}</definedName>
    <definedName name="wrn.Internal._.is." localSheetId="19" hidden="1">{"Internal is",#N/A,FALSE,"Model"}</definedName>
    <definedName name="wrn.Internal._.is." localSheetId="1" hidden="1">{"Internal is",#N/A,FALSE,"Model"}</definedName>
    <definedName name="wrn.Internal._.is." localSheetId="8" hidden="1">{"Internal is",#N/A,FALSE,"Model"}</definedName>
    <definedName name="wrn.Internal._.is." localSheetId="6" hidden="1">{"Internal is",#N/A,FALSE,"Model"}</definedName>
    <definedName name="wrn.Internal._.is." localSheetId="17" hidden="1">{"Internal is",#N/A,FALSE,"Model"}</definedName>
    <definedName name="wrn.Internal._.is." localSheetId="7" hidden="1">{"Internal is",#N/A,FALSE,"Model"}</definedName>
    <definedName name="wrn.Internal._.is." localSheetId="3" hidden="1">{"Internal is",#N/A,FALSE,"Model"}</definedName>
    <definedName name="wrn.Internal._.is." localSheetId="21" hidden="1">{"Internal is",#N/A,FALSE,"Model"}</definedName>
    <definedName name="wrn.Internal._.is." hidden="1">{"Internal is",#N/A,FALSE,"Model"}</definedName>
    <definedName name="wrn.IS._.All." localSheetId="0" hidden="1">{"IS Q95",#N/A,FALSE,"C";"IS Q96",#N/A,FALSE,"C";"IS Years",#N/A,FALSE,"C"}</definedName>
    <definedName name="wrn.IS._.All." localSheetId="27" hidden="1">{"IS Q95",#N/A,FALSE,"C";"IS Q96",#N/A,FALSE,"C";"IS Years",#N/A,FALSE,"C"}</definedName>
    <definedName name="wrn.IS._.All." localSheetId="19" hidden="1">{"IS Q95",#N/A,FALSE,"C";"IS Q96",#N/A,FALSE,"C";"IS Years",#N/A,FALSE,"C"}</definedName>
    <definedName name="wrn.IS._.All." localSheetId="1" hidden="1">{"IS Q95",#N/A,FALSE,"C";"IS Q96",#N/A,FALSE,"C";"IS Years",#N/A,FALSE,"C"}</definedName>
    <definedName name="wrn.IS._.All." localSheetId="8" hidden="1">{"IS Q95",#N/A,FALSE,"C";"IS Q96",#N/A,FALSE,"C";"IS Years",#N/A,FALSE,"C"}</definedName>
    <definedName name="wrn.IS._.All." localSheetId="6" hidden="1">{"IS Q95",#N/A,FALSE,"C";"IS Q96",#N/A,FALSE,"C";"IS Years",#N/A,FALSE,"C"}</definedName>
    <definedName name="wrn.IS._.All." localSheetId="17" hidden="1">{"IS Q95",#N/A,FALSE,"C";"IS Q96",#N/A,FALSE,"C";"IS Years",#N/A,FALSE,"C"}</definedName>
    <definedName name="wrn.IS._.All." localSheetId="7" hidden="1">{"IS Q95",#N/A,FALSE,"C";"IS Q96",#N/A,FALSE,"C";"IS Years",#N/A,FALSE,"C"}</definedName>
    <definedName name="wrn.IS._.All." localSheetId="3" hidden="1">{"IS Q95",#N/A,FALSE,"C";"IS Q96",#N/A,FALSE,"C";"IS Years",#N/A,FALSE,"C"}</definedName>
    <definedName name="wrn.IS._.All." localSheetId="21" hidden="1">{"IS Q95",#N/A,FALSE,"C";"IS Q96",#N/A,FALSE,"C";"IS Years",#N/A,FALSE,"C"}</definedName>
    <definedName name="wrn.IS._.All." hidden="1">{"IS Q95",#N/A,FALSE,"C";"IS Q96",#N/A,FALSE,"C";"IS Years",#N/A,FALSE,"C"}</definedName>
    <definedName name="wrn.IS._.Annual." localSheetId="0" hidden="1">{"IS Annual",#N/A,FALSE,"Income Statement"}</definedName>
    <definedName name="wrn.IS._.Annual." localSheetId="27" hidden="1">{"IS Annual",#N/A,FALSE,"Income Statement"}</definedName>
    <definedName name="wrn.IS._.Annual." localSheetId="19" hidden="1">{"IS Annual",#N/A,FALSE,"Income Statement"}</definedName>
    <definedName name="wrn.IS._.Annual." localSheetId="1" hidden="1">{"IS Annual",#N/A,FALSE,"Income Statement"}</definedName>
    <definedName name="wrn.IS._.Annual." localSheetId="8" hidden="1">{"IS Annual",#N/A,FALSE,"Income Statement"}</definedName>
    <definedName name="wrn.IS._.Annual." localSheetId="6" hidden="1">{"IS Annual",#N/A,FALSE,"Income Statement"}</definedName>
    <definedName name="wrn.IS._.Annual." localSheetId="17" hidden="1">{"IS Annual",#N/A,FALSE,"Income Statement"}</definedName>
    <definedName name="wrn.IS._.Annual." localSheetId="7" hidden="1">{"IS Annual",#N/A,FALSE,"Income Statement"}</definedName>
    <definedName name="wrn.IS._.Annual." localSheetId="3" hidden="1">{"IS Annual",#N/A,FALSE,"Income Statement"}</definedName>
    <definedName name="wrn.IS._.Annual." localSheetId="21" hidden="1">{"IS Annual",#N/A,FALSE,"Income Statement"}</definedName>
    <definedName name="wrn.IS._.Annual." hidden="1">{"IS Annual",#N/A,FALSE,"Income Statement"}</definedName>
    <definedName name="wrn.IS._.Q._.96." localSheetId="0" hidden="1">{"IS Q 96",#N/A,FALSE,"C"}</definedName>
    <definedName name="wrn.IS._.Q._.96." localSheetId="27" hidden="1">{"IS Q 96",#N/A,FALSE,"C"}</definedName>
    <definedName name="wrn.IS._.Q._.96." localSheetId="19" hidden="1">{"IS Q 96",#N/A,FALSE,"C"}</definedName>
    <definedName name="wrn.IS._.Q._.96." localSheetId="1" hidden="1">{"IS Q 96",#N/A,FALSE,"C"}</definedName>
    <definedName name="wrn.IS._.Q._.96." localSheetId="8" hidden="1">{"IS Q 96",#N/A,FALSE,"C"}</definedName>
    <definedName name="wrn.IS._.Q._.96." localSheetId="6" hidden="1">{"IS Q 96",#N/A,FALSE,"C"}</definedName>
    <definedName name="wrn.IS._.Q._.96." localSheetId="17" hidden="1">{"IS Q 96",#N/A,FALSE,"C"}</definedName>
    <definedName name="wrn.IS._.Q._.96." localSheetId="7" hidden="1">{"IS Q 96",#N/A,FALSE,"C"}</definedName>
    <definedName name="wrn.IS._.Q._.96." localSheetId="3" hidden="1">{"IS Q 96",#N/A,FALSE,"C"}</definedName>
    <definedName name="wrn.IS._.Q._.96." localSheetId="21" hidden="1">{"IS Q 96",#N/A,FALSE,"C"}</definedName>
    <definedName name="wrn.IS._.Q._.96." hidden="1">{"IS Q 96",#N/A,FALSE,"C"}</definedName>
    <definedName name="wrn.IS._.Q95." localSheetId="0" hidden="1">{"IS Q95",#N/A,FALSE,"C"}</definedName>
    <definedName name="wrn.IS._.Q95." localSheetId="27" hidden="1">{"IS Q95",#N/A,FALSE,"C"}</definedName>
    <definedName name="wrn.IS._.Q95." localSheetId="19" hidden="1">{"IS Q95",#N/A,FALSE,"C"}</definedName>
    <definedName name="wrn.IS._.Q95." localSheetId="1" hidden="1">{"IS Q95",#N/A,FALSE,"C"}</definedName>
    <definedName name="wrn.IS._.Q95." localSheetId="8" hidden="1">{"IS Q95",#N/A,FALSE,"C"}</definedName>
    <definedName name="wrn.IS._.Q95." localSheetId="6" hidden="1">{"IS Q95",#N/A,FALSE,"C"}</definedName>
    <definedName name="wrn.IS._.Q95." localSheetId="17" hidden="1">{"IS Q95",#N/A,FALSE,"C"}</definedName>
    <definedName name="wrn.IS._.Q95." localSheetId="7" hidden="1">{"IS Q95",#N/A,FALSE,"C"}</definedName>
    <definedName name="wrn.IS._.Q95." localSheetId="3" hidden="1">{"IS Q95",#N/A,FALSE,"C"}</definedName>
    <definedName name="wrn.IS._.Q95." localSheetId="21" hidden="1">{"IS Q95",#N/A,FALSE,"C"}</definedName>
    <definedName name="wrn.IS._.Q95." hidden="1">{"IS Q95",#N/A,FALSE,"C"}</definedName>
    <definedName name="wrn.IS._.Q96." localSheetId="0" hidden="1">{"IS Q96",#N/A,FALSE,"C"}</definedName>
    <definedName name="wrn.IS._.Q96." localSheetId="27" hidden="1">{"IS Q96",#N/A,FALSE,"C"}</definedName>
    <definedName name="wrn.IS._.Q96." localSheetId="19" hidden="1">{"IS Q96",#N/A,FALSE,"C"}</definedName>
    <definedName name="wrn.IS._.Q96." localSheetId="1" hidden="1">{"IS Q96",#N/A,FALSE,"C"}</definedName>
    <definedName name="wrn.IS._.Q96." localSheetId="8" hidden="1">{"IS Q96",#N/A,FALSE,"C"}</definedName>
    <definedName name="wrn.IS._.Q96." localSheetId="6" hidden="1">{"IS Q96",#N/A,FALSE,"C"}</definedName>
    <definedName name="wrn.IS._.Q96." localSheetId="17" hidden="1">{"IS Q96",#N/A,FALSE,"C"}</definedName>
    <definedName name="wrn.IS._.Q96." localSheetId="7" hidden="1">{"IS Q96",#N/A,FALSE,"C"}</definedName>
    <definedName name="wrn.IS._.Q96." localSheetId="3" hidden="1">{"IS Q96",#N/A,FALSE,"C"}</definedName>
    <definedName name="wrn.IS._.Q96." localSheetId="21" hidden="1">{"IS Q96",#N/A,FALSE,"C"}</definedName>
    <definedName name="wrn.IS._.Q96." hidden="1">{"IS Q96",#N/A,FALSE,"C"}</definedName>
    <definedName name="wrn.IS._.Q97." localSheetId="0" hidden="1">{"IS Q97",#N/A,FALSE,"C"}</definedName>
    <definedName name="wrn.IS._.Q97." localSheetId="27" hidden="1">{"IS Q97",#N/A,FALSE,"C"}</definedName>
    <definedName name="wrn.IS._.Q97." localSheetId="19" hidden="1">{"IS Q97",#N/A,FALSE,"C"}</definedName>
    <definedName name="wrn.IS._.Q97." localSheetId="1" hidden="1">{"IS Q97",#N/A,FALSE,"C"}</definedName>
    <definedName name="wrn.IS._.Q97." localSheetId="8" hidden="1">{"IS Q97",#N/A,FALSE,"C"}</definedName>
    <definedName name="wrn.IS._.Q97." localSheetId="6" hidden="1">{"IS Q97",#N/A,FALSE,"C"}</definedName>
    <definedName name="wrn.IS._.Q97." localSheetId="17" hidden="1">{"IS Q97",#N/A,FALSE,"C"}</definedName>
    <definedName name="wrn.IS._.Q97." localSheetId="7" hidden="1">{"IS Q97",#N/A,FALSE,"C"}</definedName>
    <definedName name="wrn.IS._.Q97." localSheetId="3" hidden="1">{"IS Q97",#N/A,FALSE,"C"}</definedName>
    <definedName name="wrn.IS._.Q97." localSheetId="21" hidden="1">{"IS Q97",#N/A,FALSE,"C"}</definedName>
    <definedName name="wrn.IS._.Q97." hidden="1">{"IS Q97",#N/A,FALSE,"C"}</definedName>
    <definedName name="wrn.IS._.Qtr.." localSheetId="0" hidden="1">{"IS Qtr.",#N/A,FALSE,"Income Statement"}</definedName>
    <definedName name="wrn.IS._.Qtr.." localSheetId="27" hidden="1">{"IS Qtr.",#N/A,FALSE,"Income Statement"}</definedName>
    <definedName name="wrn.IS._.Qtr.." localSheetId="19" hidden="1">{"IS Qtr.",#N/A,FALSE,"Income Statement"}</definedName>
    <definedName name="wrn.IS._.Qtr.." localSheetId="1" hidden="1">{"IS Qtr.",#N/A,FALSE,"Income Statement"}</definedName>
    <definedName name="wrn.IS._.Qtr.." localSheetId="8" hidden="1">{"IS Qtr.",#N/A,FALSE,"Income Statement"}</definedName>
    <definedName name="wrn.IS._.Qtr.." localSheetId="6" hidden="1">{"IS Qtr.",#N/A,FALSE,"Income Statement"}</definedName>
    <definedName name="wrn.IS._.Qtr.." localSheetId="17" hidden="1">{"IS Qtr.",#N/A,FALSE,"Income Statement"}</definedName>
    <definedName name="wrn.IS._.Qtr.." localSheetId="7" hidden="1">{"IS Qtr.",#N/A,FALSE,"Income Statement"}</definedName>
    <definedName name="wrn.IS._.Qtr.." localSheetId="3" hidden="1">{"IS Qtr.",#N/A,FALSE,"Income Statement"}</definedName>
    <definedName name="wrn.IS._.Qtr.." localSheetId="21" hidden="1">{"IS Qtr.",#N/A,FALSE,"Income Statement"}</definedName>
    <definedName name="wrn.IS._.Qtr.." hidden="1">{"IS Qtr.",#N/A,FALSE,"Income Statement"}</definedName>
    <definedName name="wrn.IS._.Quarterly." localSheetId="0" hidden="1">{"IS 96Q",#N/A,FALSE,"Income Statement";"IS 97Q",#N/A,FALSE,"Income Statement"}</definedName>
    <definedName name="wrn.IS._.Quarterly." localSheetId="27" hidden="1">{"IS 96Q",#N/A,FALSE,"Income Statement";"IS 97Q",#N/A,FALSE,"Income Statement"}</definedName>
    <definedName name="wrn.IS._.Quarterly." localSheetId="19" hidden="1">{"IS 96Q",#N/A,FALSE,"Income Statement";"IS 97Q",#N/A,FALSE,"Income Statement"}</definedName>
    <definedName name="wrn.IS._.Quarterly." localSheetId="1" hidden="1">{"IS 96Q",#N/A,FALSE,"Income Statement";"IS 97Q",#N/A,FALSE,"Income Statement"}</definedName>
    <definedName name="wrn.IS._.Quarterly." localSheetId="8" hidden="1">{"IS 96Q",#N/A,FALSE,"Income Statement";"IS 97Q",#N/A,FALSE,"Income Statement"}</definedName>
    <definedName name="wrn.IS._.Quarterly." localSheetId="6" hidden="1">{"IS 96Q",#N/A,FALSE,"Income Statement";"IS 97Q",#N/A,FALSE,"Income Statement"}</definedName>
    <definedName name="wrn.IS._.Quarterly." localSheetId="17" hidden="1">{"IS 96Q",#N/A,FALSE,"Income Statement";"IS 97Q",#N/A,FALSE,"Income Statement"}</definedName>
    <definedName name="wrn.IS._.Quarterly." localSheetId="7" hidden="1">{"IS 96Q",#N/A,FALSE,"Income Statement";"IS 97Q",#N/A,FALSE,"Income Statement"}</definedName>
    <definedName name="wrn.IS._.Quarterly." localSheetId="3" hidden="1">{"IS 96Q",#N/A,FALSE,"Income Statement";"IS 97Q",#N/A,FALSE,"Income Statement"}</definedName>
    <definedName name="wrn.IS._.Quarterly." localSheetId="21" hidden="1">{"IS 96Q",#N/A,FALSE,"Income Statement";"IS 97Q",#N/A,FALSE,"Income Statement"}</definedName>
    <definedName name="wrn.IS._.Quarterly." hidden="1">{"IS 96Q",#N/A,FALSE,"Income Statement";"IS 97Q",#N/A,FALSE,"Income Statement"}</definedName>
    <definedName name="wrn.IS._.Yearly." localSheetId="0" hidden="1">{"IS Years",#N/A,FALSE,"Income Statement"}</definedName>
    <definedName name="wrn.IS._.Yearly." localSheetId="27" hidden="1">{"IS Years",#N/A,FALSE,"Income Statement"}</definedName>
    <definedName name="wrn.IS._.Yearly." localSheetId="19" hidden="1">{"IS Years",#N/A,FALSE,"Income Statement"}</definedName>
    <definedName name="wrn.IS._.Yearly." localSheetId="1" hidden="1">{"IS Years",#N/A,FALSE,"Income Statement"}</definedName>
    <definedName name="wrn.IS._.Yearly." localSheetId="8" hidden="1">{"IS Years",#N/A,FALSE,"Income Statement"}</definedName>
    <definedName name="wrn.IS._.Yearly." localSheetId="6" hidden="1">{"IS Years",#N/A,FALSE,"Income Statement"}</definedName>
    <definedName name="wrn.IS._.Yearly." localSheetId="17" hidden="1">{"IS Years",#N/A,FALSE,"Income Statement"}</definedName>
    <definedName name="wrn.IS._.Yearly." localSheetId="7" hidden="1">{"IS Years",#N/A,FALSE,"Income Statement"}</definedName>
    <definedName name="wrn.IS._.Yearly." localSheetId="3" hidden="1">{"IS Years",#N/A,FALSE,"Income Statement"}</definedName>
    <definedName name="wrn.IS._.Yearly." localSheetId="21" hidden="1">{"IS Years",#N/A,FALSE,"Income Statement"}</definedName>
    <definedName name="wrn.IS._.Yearly." hidden="1">{"IS Years",#N/A,FALSE,"Income Statement"}</definedName>
    <definedName name="wrn.IS._.Years." localSheetId="0" hidden="1">{"IS Years",#N/A,FALSE,"C"}</definedName>
    <definedName name="wrn.IS._.Years." localSheetId="27" hidden="1">{"IS Years",#N/A,FALSE,"C"}</definedName>
    <definedName name="wrn.IS._.Years." localSheetId="19" hidden="1">{"IS Years",#N/A,FALSE,"C"}</definedName>
    <definedName name="wrn.IS._.Years." localSheetId="1" hidden="1">{"IS Years",#N/A,FALSE,"C"}</definedName>
    <definedName name="wrn.IS._.Years." localSheetId="8" hidden="1">{"IS Years",#N/A,FALSE,"C"}</definedName>
    <definedName name="wrn.IS._.Years." localSheetId="6" hidden="1">{"IS Years",#N/A,FALSE,"C"}</definedName>
    <definedName name="wrn.IS._.Years." localSheetId="17" hidden="1">{"IS Years",#N/A,FALSE,"C"}</definedName>
    <definedName name="wrn.IS._.Years." localSheetId="7" hidden="1">{"IS Years",#N/A,FALSE,"C"}</definedName>
    <definedName name="wrn.IS._.Years." localSheetId="3" hidden="1">{"IS Years",#N/A,FALSE,"C"}</definedName>
    <definedName name="wrn.IS._.Years." localSheetId="21" hidden="1">{"IS Years",#N/A,FALSE,"C"}</definedName>
    <definedName name="wrn.IS._.Years." hidden="1">{"IS Years",#N/A,FALSE,"C"}</definedName>
    <definedName name="wrn.JODM._.Graphs." localSheetId="0" hidden="1">{"graph",#N/A,FALSE,"WWJU";"graph",#N/A,FALSE,"WWSEM";"graph",#N/A,FALSE,"GOMJU";"graph",#N/A,FALSE,"GOMSEM";"graph",#N/A,FALSE,"NSJU";"graph",#N/A,FALSE,"NSSEM";"graph",#N/A,FALSE,"WAJU";"graph",#N/A,FALSE,"STOCKPRI";"graph",#N/A,FALSE,"CFTEV";"graph",#N/A,FALSE,"NAV-RCV";"graph",#N/A,FALSE,"CRUDEWW"}</definedName>
    <definedName name="wrn.JODM._.Graphs." localSheetId="27" hidden="1">{"graph",#N/A,FALSE,"WWJU";"graph",#N/A,FALSE,"WWSEM";"graph",#N/A,FALSE,"GOMJU";"graph",#N/A,FALSE,"GOMSEM";"graph",#N/A,FALSE,"NSJU";"graph",#N/A,FALSE,"NSSEM";"graph",#N/A,FALSE,"WAJU";"graph",#N/A,FALSE,"STOCKPRI";"graph",#N/A,FALSE,"CFTEV";"graph",#N/A,FALSE,"NAV-RCV";"graph",#N/A,FALSE,"CRUDEWW"}</definedName>
    <definedName name="wrn.JODM._.Graphs." localSheetId="19" hidden="1">{"graph",#N/A,FALSE,"WWJU";"graph",#N/A,FALSE,"WWSEM";"graph",#N/A,FALSE,"GOMJU";"graph",#N/A,FALSE,"GOMSEM";"graph",#N/A,FALSE,"NSJU";"graph",#N/A,FALSE,"NSSEM";"graph",#N/A,FALSE,"WAJU";"graph",#N/A,FALSE,"STOCKPRI";"graph",#N/A,FALSE,"CFTEV";"graph",#N/A,FALSE,"NAV-RCV";"graph",#N/A,FALSE,"CRUDEWW"}</definedName>
    <definedName name="wrn.JODM._.Graphs." localSheetId="1" hidden="1">{"graph",#N/A,FALSE,"WWJU";"graph",#N/A,FALSE,"WWSEM";"graph",#N/A,FALSE,"GOMJU";"graph",#N/A,FALSE,"GOMSEM";"graph",#N/A,FALSE,"NSJU";"graph",#N/A,FALSE,"NSSEM";"graph",#N/A,FALSE,"WAJU";"graph",#N/A,FALSE,"STOCKPRI";"graph",#N/A,FALSE,"CFTEV";"graph",#N/A,FALSE,"NAV-RCV";"graph",#N/A,FALSE,"CRUDEWW"}</definedName>
    <definedName name="wrn.JODM._.Graphs." localSheetId="8" hidden="1">{"graph",#N/A,FALSE,"WWJU";"graph",#N/A,FALSE,"WWSEM";"graph",#N/A,FALSE,"GOMJU";"graph",#N/A,FALSE,"GOMSEM";"graph",#N/A,FALSE,"NSJU";"graph",#N/A,FALSE,"NSSEM";"graph",#N/A,FALSE,"WAJU";"graph",#N/A,FALSE,"STOCKPRI";"graph",#N/A,FALSE,"CFTEV";"graph",#N/A,FALSE,"NAV-RCV";"graph",#N/A,FALSE,"CRUDEWW"}</definedName>
    <definedName name="wrn.JODM._.Graphs." localSheetId="6" hidden="1">{"graph",#N/A,FALSE,"WWJU";"graph",#N/A,FALSE,"WWSEM";"graph",#N/A,FALSE,"GOMJU";"graph",#N/A,FALSE,"GOMSEM";"graph",#N/A,FALSE,"NSJU";"graph",#N/A,FALSE,"NSSEM";"graph",#N/A,FALSE,"WAJU";"graph",#N/A,FALSE,"STOCKPRI";"graph",#N/A,FALSE,"CFTEV";"graph",#N/A,FALSE,"NAV-RCV";"graph",#N/A,FALSE,"CRUDEWW"}</definedName>
    <definedName name="wrn.JODM._.Graphs." localSheetId="17" hidden="1">{"graph",#N/A,FALSE,"WWJU";"graph",#N/A,FALSE,"WWSEM";"graph",#N/A,FALSE,"GOMJU";"graph",#N/A,FALSE,"GOMSEM";"graph",#N/A,FALSE,"NSJU";"graph",#N/A,FALSE,"NSSEM";"graph",#N/A,FALSE,"WAJU";"graph",#N/A,FALSE,"STOCKPRI";"graph",#N/A,FALSE,"CFTEV";"graph",#N/A,FALSE,"NAV-RCV";"graph",#N/A,FALSE,"CRUDEWW"}</definedName>
    <definedName name="wrn.JODM._.Graphs." localSheetId="7" hidden="1">{"graph",#N/A,FALSE,"WWJU";"graph",#N/A,FALSE,"WWSEM";"graph",#N/A,FALSE,"GOMJU";"graph",#N/A,FALSE,"GOMSEM";"graph",#N/A,FALSE,"NSJU";"graph",#N/A,FALSE,"NSSEM";"graph",#N/A,FALSE,"WAJU";"graph",#N/A,FALSE,"STOCKPRI";"graph",#N/A,FALSE,"CFTEV";"graph",#N/A,FALSE,"NAV-RCV";"graph",#N/A,FALSE,"CRUDEWW"}</definedName>
    <definedName name="wrn.JODM._.Graphs." localSheetId="3" hidden="1">{"graph",#N/A,FALSE,"WWJU";"graph",#N/A,FALSE,"WWSEM";"graph",#N/A,FALSE,"GOMJU";"graph",#N/A,FALSE,"GOMSEM";"graph",#N/A,FALSE,"NSJU";"graph",#N/A,FALSE,"NSSEM";"graph",#N/A,FALSE,"WAJU";"graph",#N/A,FALSE,"STOCKPRI";"graph",#N/A,FALSE,"CFTEV";"graph",#N/A,FALSE,"NAV-RCV";"graph",#N/A,FALSE,"CRUDEWW"}</definedName>
    <definedName name="wrn.JODM._.Graphs." localSheetId="21"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Leases.xls." localSheetId="0" hidden="1">{#N/A,#N/A,FALSE,"Initial Year";#N/A,#N/A,FALSE,"Historical";#N/A,#N/A,FALSE,"balsheet";#N/A,#N/A,FALSE,"incstate";#N/A,#N/A,FALSE,"Fleet"}</definedName>
    <definedName name="wrn.Leases.xls." localSheetId="27" hidden="1">{#N/A,#N/A,FALSE,"Initial Year";#N/A,#N/A,FALSE,"Historical";#N/A,#N/A,FALSE,"balsheet";#N/A,#N/A,FALSE,"incstate";#N/A,#N/A,FALSE,"Fleet"}</definedName>
    <definedName name="wrn.Leases.xls." localSheetId="19" hidden="1">{#N/A,#N/A,FALSE,"Initial Year";#N/A,#N/A,FALSE,"Historical";#N/A,#N/A,FALSE,"balsheet";#N/A,#N/A,FALSE,"incstate";#N/A,#N/A,FALSE,"Fleet"}</definedName>
    <definedName name="wrn.Leases.xls." localSheetId="1" hidden="1">{#N/A,#N/A,FALSE,"Initial Year";#N/A,#N/A,FALSE,"Historical";#N/A,#N/A,FALSE,"balsheet";#N/A,#N/A,FALSE,"incstate";#N/A,#N/A,FALSE,"Fleet"}</definedName>
    <definedName name="wrn.Leases.xls." localSheetId="8" hidden="1">{#N/A,#N/A,FALSE,"Initial Year";#N/A,#N/A,FALSE,"Historical";#N/A,#N/A,FALSE,"balsheet";#N/A,#N/A,FALSE,"incstate";#N/A,#N/A,FALSE,"Fleet"}</definedName>
    <definedName name="wrn.Leases.xls." localSheetId="6" hidden="1">{#N/A,#N/A,FALSE,"Initial Year";#N/A,#N/A,FALSE,"Historical";#N/A,#N/A,FALSE,"balsheet";#N/A,#N/A,FALSE,"incstate";#N/A,#N/A,FALSE,"Fleet"}</definedName>
    <definedName name="wrn.Leases.xls." localSheetId="17" hidden="1">{#N/A,#N/A,FALSE,"Initial Year";#N/A,#N/A,FALSE,"Historical";#N/A,#N/A,FALSE,"balsheet";#N/A,#N/A,FALSE,"incstate";#N/A,#N/A,FALSE,"Fleet"}</definedName>
    <definedName name="wrn.Leases.xls." localSheetId="7" hidden="1">{#N/A,#N/A,FALSE,"Initial Year";#N/A,#N/A,FALSE,"Historical";#N/A,#N/A,FALSE,"balsheet";#N/A,#N/A,FALSE,"incstate";#N/A,#N/A,FALSE,"Fleet"}</definedName>
    <definedName name="wrn.Leases.xls." localSheetId="3" hidden="1">{#N/A,#N/A,FALSE,"Initial Year";#N/A,#N/A,FALSE,"Historical";#N/A,#N/A,FALSE,"balsheet";#N/A,#N/A,FALSE,"incstate";#N/A,#N/A,FALSE,"Fleet"}</definedName>
    <definedName name="wrn.Leases.xls." localSheetId="21" hidden="1">{#N/A,#N/A,FALSE,"Initial Year";#N/A,#N/A,FALSE,"Historical";#N/A,#N/A,FALSE,"balsheet";#N/A,#N/A,FALSE,"incstate";#N/A,#N/A,FALSE,"Fleet"}</definedName>
    <definedName name="wrn.Leases.xls." hidden="1">{#N/A,#N/A,FALSE,"Initial Year";#N/A,#N/A,FALSE,"Historical";#N/A,#N/A,FALSE,"balsheet";#N/A,#N/A,FALSE,"incstate";#N/A,#N/A,FALSE,"Fleet"}</definedName>
    <definedName name="wrn.Lodging." localSheetId="0" hidden="1">{#N/A,#N/A,FALSE,"EPS";#N/A,#N/A,FALSE,"EBITDA"}</definedName>
    <definedName name="wrn.Lodging." localSheetId="27" hidden="1">{#N/A,#N/A,FALSE,"EPS";#N/A,#N/A,FALSE,"EBITDA"}</definedName>
    <definedName name="wrn.Lodging." localSheetId="19" hidden="1">{#N/A,#N/A,FALSE,"EPS";#N/A,#N/A,FALSE,"EBITDA"}</definedName>
    <definedName name="wrn.Lodging." localSheetId="1" hidden="1">{#N/A,#N/A,FALSE,"EPS";#N/A,#N/A,FALSE,"EBITDA"}</definedName>
    <definedName name="wrn.Lodging." localSheetId="8" hidden="1">{#N/A,#N/A,FALSE,"EPS";#N/A,#N/A,FALSE,"EBITDA"}</definedName>
    <definedName name="wrn.Lodging." localSheetId="6" hidden="1">{#N/A,#N/A,FALSE,"EPS";#N/A,#N/A,FALSE,"EBITDA"}</definedName>
    <definedName name="wrn.Lodging." localSheetId="17" hidden="1">{#N/A,#N/A,FALSE,"EPS";#N/A,#N/A,FALSE,"EBITDA"}</definedName>
    <definedName name="wrn.Lodging." localSheetId="7" hidden="1">{#N/A,#N/A,FALSE,"EPS";#N/A,#N/A,FALSE,"EBITDA"}</definedName>
    <definedName name="wrn.Lodging." localSheetId="3" hidden="1">{#N/A,#N/A,FALSE,"EPS";#N/A,#N/A,FALSE,"EBITDA"}</definedName>
    <definedName name="wrn.Lodging." localSheetId="21" hidden="1">{#N/A,#N/A,FALSE,"EPS";#N/A,#N/A,FALSE,"EBITDA"}</definedName>
    <definedName name="wrn.Lodging." hidden="1">{#N/A,#N/A,FALSE,"EPS";#N/A,#N/A,FALSE,"EBITDA"}</definedName>
    <definedName name="wrn.Main._.Fields." localSheetId="0"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9"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6"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rketing._.Programs." localSheetId="0" hidden="1">{"Marketing",#N/A,FALSE,"Marketing Programs"}</definedName>
    <definedName name="wrn.Marketing._.Programs." localSheetId="27" hidden="1">{"Marketing",#N/A,FALSE,"Marketing Programs"}</definedName>
    <definedName name="wrn.Marketing._.Programs." localSheetId="19" hidden="1">{"Marketing",#N/A,FALSE,"Marketing Programs"}</definedName>
    <definedName name="wrn.Marketing._.Programs." localSheetId="1" hidden="1">{"Marketing",#N/A,FALSE,"Marketing Programs"}</definedName>
    <definedName name="wrn.Marketing._.Programs." localSheetId="8" hidden="1">{"Marketing",#N/A,FALSE,"Marketing Programs"}</definedName>
    <definedName name="wrn.Marketing._.Programs." localSheetId="6" hidden="1">{"Marketing",#N/A,FALSE,"Marketing Programs"}</definedName>
    <definedName name="wrn.Marketing._.Programs." localSheetId="17" hidden="1">{"Marketing",#N/A,FALSE,"Marketing Programs"}</definedName>
    <definedName name="wrn.Marketing._.Programs." localSheetId="7" hidden="1">{"Marketing",#N/A,FALSE,"Marketing Programs"}</definedName>
    <definedName name="wrn.Marketing._.Programs." localSheetId="3" hidden="1">{"Marketing",#N/A,FALSE,"Marketing Programs"}</definedName>
    <definedName name="wrn.Marketing._.Programs." localSheetId="21" hidden="1">{"Marketing",#N/A,FALSE,"Marketing Programs"}</definedName>
    <definedName name="wrn.Marketing._.Programs." hidden="1">{"Marketing",#N/A,FALSE,"Marketing Programs"}</definedName>
    <definedName name="wrn.mirBellagio." localSheetId="0" hidden="1">{#N/A,#N/A,FALSE,"MIR";#N/A,#N/A,FALSE,"NYNY"}</definedName>
    <definedName name="wrn.mirBellagio." localSheetId="27" hidden="1">{#N/A,#N/A,FALSE,"MIR";#N/A,#N/A,FALSE,"NYNY"}</definedName>
    <definedName name="wrn.mirBellagio." localSheetId="19" hidden="1">{#N/A,#N/A,FALSE,"MIR";#N/A,#N/A,FALSE,"NYNY"}</definedName>
    <definedName name="wrn.mirBellagio." localSheetId="1" hidden="1">{#N/A,#N/A,FALSE,"MIR";#N/A,#N/A,FALSE,"NYNY"}</definedName>
    <definedName name="wrn.mirBellagio." localSheetId="8" hidden="1">{#N/A,#N/A,FALSE,"MIR";#N/A,#N/A,FALSE,"NYNY"}</definedName>
    <definedName name="wrn.mirBellagio." localSheetId="6" hidden="1">{#N/A,#N/A,FALSE,"MIR";#N/A,#N/A,FALSE,"NYNY"}</definedName>
    <definedName name="wrn.mirBellagio." localSheetId="17" hidden="1">{#N/A,#N/A,FALSE,"MIR";#N/A,#N/A,FALSE,"NYNY"}</definedName>
    <definedName name="wrn.mirBellagio." localSheetId="7" hidden="1">{#N/A,#N/A,FALSE,"MIR";#N/A,#N/A,FALSE,"NYNY"}</definedName>
    <definedName name="wrn.mirBellagio." localSheetId="3" hidden="1">{#N/A,#N/A,FALSE,"MIR";#N/A,#N/A,FALSE,"NYNY"}</definedName>
    <definedName name="wrn.mirBellagio." localSheetId="21" hidden="1">{#N/A,#N/A,FALSE,"MIR";#N/A,#N/A,FALSE,"NYNY"}</definedName>
    <definedName name="wrn.mirBellagio." hidden="1">{#N/A,#N/A,FALSE,"MIR";#N/A,#N/A,FALSE,"NYNY"}</definedName>
    <definedName name="wrn.MOBIL." localSheetId="0" hidden="1">{"quarter",#N/A,FALSE,"MOB"}</definedName>
    <definedName name="wrn.MOBIL." localSheetId="27" hidden="1">{"quarter",#N/A,FALSE,"MOB"}</definedName>
    <definedName name="wrn.MOBIL." localSheetId="19" hidden="1">{"quarter",#N/A,FALSE,"MOB"}</definedName>
    <definedName name="wrn.MOBIL." localSheetId="1" hidden="1">{"quarter",#N/A,FALSE,"MOB"}</definedName>
    <definedName name="wrn.MOBIL." localSheetId="8" hidden="1">{"quarter",#N/A,FALSE,"MOB"}</definedName>
    <definedName name="wrn.MOBIL." localSheetId="6" hidden="1">{"quarter",#N/A,FALSE,"MOB"}</definedName>
    <definedName name="wrn.MOBIL." localSheetId="17" hidden="1">{"quarter",#N/A,FALSE,"MOB"}</definedName>
    <definedName name="wrn.MOBIL." localSheetId="7" hidden="1">{"quarter",#N/A,FALSE,"MOB"}</definedName>
    <definedName name="wrn.MOBIL." localSheetId="3" hidden="1">{"quarter",#N/A,FALSE,"MOB"}</definedName>
    <definedName name="wrn.MOBIL." localSheetId="21" hidden="1">{"quarter",#N/A,FALSE,"MOB"}</definedName>
    <definedName name="wrn.MOBIL." hidden="1">{"quarter",#N/A,FALSE,"MOB"}</definedName>
    <definedName name="wrn.Model." localSheetId="0" hidden="1">{#N/A,#N/A,FALSE,"PRH";#N/A,#N/A,FALSE,"Units"}</definedName>
    <definedName name="wrn.Model." localSheetId="27" hidden="1">{#N/A,#N/A,FALSE,"PRH";#N/A,#N/A,FALSE,"Units"}</definedName>
    <definedName name="wrn.Model." localSheetId="19" hidden="1">{#N/A,#N/A,FALSE,"PRH";#N/A,#N/A,FALSE,"Units"}</definedName>
    <definedName name="wrn.Model." localSheetId="1" hidden="1">{#N/A,#N/A,FALSE,"PRH";#N/A,#N/A,FALSE,"Units"}</definedName>
    <definedName name="wrn.Model." localSheetId="8" hidden="1">{#N/A,#N/A,FALSE,"PRH";#N/A,#N/A,FALSE,"Units"}</definedName>
    <definedName name="wrn.Model." localSheetId="6" hidden="1">{#N/A,#N/A,FALSE,"PRH";#N/A,#N/A,FALSE,"Units"}</definedName>
    <definedName name="wrn.Model." localSheetId="17" hidden="1">{#N/A,#N/A,FALSE,"PRH";#N/A,#N/A,FALSE,"Units"}</definedName>
    <definedName name="wrn.Model." localSheetId="7" hidden="1">{#N/A,#N/A,FALSE,"PRH";#N/A,#N/A,FALSE,"Units"}</definedName>
    <definedName name="wrn.Model." localSheetId="3" hidden="1">{#N/A,#N/A,FALSE,"PRH";#N/A,#N/A,FALSE,"Units"}</definedName>
    <definedName name="wrn.Model." localSheetId="21" hidden="1">{#N/A,#N/A,FALSE,"PRH";#N/A,#N/A,FALSE,"Units"}</definedName>
    <definedName name="wrn.Model." hidden="1">{#N/A,#N/A,FALSE,"PRH";#N/A,#N/A,FALSE,"Units"}</definedName>
    <definedName name="wrn.MODELS." localSheetId="0"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9"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8"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6"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3"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1"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localSheetId="0" hidden="1">{#N/A,#N/A,FALSE,"Running Total";#N/A,#N/A,FALSE,"Oct 96";#N/A,#N/A,FALSE,"Nov 96";#N/A,#N/A,FALSE,"Dec 96";#N/A,#N/A,FALSE,"Jan 97";#N/A,#N/A,FALSE,"Feb 97";#N/A,#N/A,FALSE,"Mar 97";#N/A,#N/A,FALSE,"Apr 97";#N/A,#N/A,FALSE,"May 97";#N/A,#N/A,FALSE,"June 97";#N/A,#N/A,FALSE,"July 97"}</definedName>
    <definedName name="wrn.monthly." localSheetId="27" hidden="1">{#N/A,#N/A,FALSE,"Running Total";#N/A,#N/A,FALSE,"Oct 96";#N/A,#N/A,FALSE,"Nov 96";#N/A,#N/A,FALSE,"Dec 96";#N/A,#N/A,FALSE,"Jan 97";#N/A,#N/A,FALSE,"Feb 97";#N/A,#N/A,FALSE,"Mar 97";#N/A,#N/A,FALSE,"Apr 97";#N/A,#N/A,FALSE,"May 97";#N/A,#N/A,FALSE,"June 97";#N/A,#N/A,FALSE,"July 97"}</definedName>
    <definedName name="wrn.monthly." localSheetId="19" hidden="1">{#N/A,#N/A,FALSE,"Running Total";#N/A,#N/A,FALSE,"Oct 96";#N/A,#N/A,FALSE,"Nov 96";#N/A,#N/A,FALSE,"Dec 96";#N/A,#N/A,FALSE,"Jan 97";#N/A,#N/A,FALSE,"Feb 97";#N/A,#N/A,FALSE,"Mar 97";#N/A,#N/A,FALSE,"Apr 97";#N/A,#N/A,FALSE,"May 97";#N/A,#N/A,FALSE,"June 97";#N/A,#N/A,FALSE,"July 97"}</definedName>
    <definedName name="wrn.monthly." localSheetId="1" hidden="1">{#N/A,#N/A,FALSE,"Running Total";#N/A,#N/A,FALSE,"Oct 96";#N/A,#N/A,FALSE,"Nov 96";#N/A,#N/A,FALSE,"Dec 96";#N/A,#N/A,FALSE,"Jan 97";#N/A,#N/A,FALSE,"Feb 97";#N/A,#N/A,FALSE,"Mar 97";#N/A,#N/A,FALSE,"Apr 97";#N/A,#N/A,FALSE,"May 97";#N/A,#N/A,FALSE,"June 97";#N/A,#N/A,FALSE,"July 97"}</definedName>
    <definedName name="wrn.monthly." localSheetId="8" hidden="1">{#N/A,#N/A,FALSE,"Running Total";#N/A,#N/A,FALSE,"Oct 96";#N/A,#N/A,FALSE,"Nov 96";#N/A,#N/A,FALSE,"Dec 96";#N/A,#N/A,FALSE,"Jan 97";#N/A,#N/A,FALSE,"Feb 97";#N/A,#N/A,FALSE,"Mar 97";#N/A,#N/A,FALSE,"Apr 97";#N/A,#N/A,FALSE,"May 97";#N/A,#N/A,FALSE,"June 97";#N/A,#N/A,FALSE,"July 97"}</definedName>
    <definedName name="wrn.monthly." localSheetId="6" hidden="1">{#N/A,#N/A,FALSE,"Running Total";#N/A,#N/A,FALSE,"Oct 96";#N/A,#N/A,FALSE,"Nov 96";#N/A,#N/A,FALSE,"Dec 96";#N/A,#N/A,FALSE,"Jan 97";#N/A,#N/A,FALSE,"Feb 97";#N/A,#N/A,FALSE,"Mar 97";#N/A,#N/A,FALSE,"Apr 97";#N/A,#N/A,FALSE,"May 97";#N/A,#N/A,FALSE,"June 97";#N/A,#N/A,FALSE,"July 97"}</definedName>
    <definedName name="wrn.monthly." localSheetId="17" hidden="1">{#N/A,#N/A,FALSE,"Running Total";#N/A,#N/A,FALSE,"Oct 96";#N/A,#N/A,FALSE,"Nov 96";#N/A,#N/A,FALSE,"Dec 96";#N/A,#N/A,FALSE,"Jan 97";#N/A,#N/A,FALSE,"Feb 97";#N/A,#N/A,FALSE,"Mar 97";#N/A,#N/A,FALSE,"Apr 97";#N/A,#N/A,FALSE,"May 97";#N/A,#N/A,FALSE,"June 97";#N/A,#N/A,FALSE,"July 97"}</definedName>
    <definedName name="wrn.monthly." localSheetId="7" hidden="1">{#N/A,#N/A,FALSE,"Running Total";#N/A,#N/A,FALSE,"Oct 96";#N/A,#N/A,FALSE,"Nov 96";#N/A,#N/A,FALSE,"Dec 96";#N/A,#N/A,FALSE,"Jan 97";#N/A,#N/A,FALSE,"Feb 97";#N/A,#N/A,FALSE,"Mar 97";#N/A,#N/A,FALSE,"Apr 97";#N/A,#N/A,FALSE,"May 97";#N/A,#N/A,FALSE,"June 97";#N/A,#N/A,FALSE,"July 97"}</definedName>
    <definedName name="wrn.monthly." localSheetId="3" hidden="1">{#N/A,#N/A,FALSE,"Running Total";#N/A,#N/A,FALSE,"Oct 96";#N/A,#N/A,FALSE,"Nov 96";#N/A,#N/A,FALSE,"Dec 96";#N/A,#N/A,FALSE,"Jan 97";#N/A,#N/A,FALSE,"Feb 97";#N/A,#N/A,FALSE,"Mar 97";#N/A,#N/A,FALSE,"Apr 97";#N/A,#N/A,FALSE,"May 97";#N/A,#N/A,FALSE,"June 97";#N/A,#N/A,FALSE,"July 97"}</definedName>
    <definedName name="wrn.monthly." localSheetId="21" hidden="1">{#N/A,#N/A,FALSE,"Running Total";#N/A,#N/A,FALSE,"Oct 96";#N/A,#N/A,FALSE,"Nov 96";#N/A,#N/A,FALSE,"Dec 96";#N/A,#N/A,FALSE,"Jan 97";#N/A,#N/A,FALSE,"Feb 97";#N/A,#N/A,FALSE,"Mar 97";#N/A,#N/A,FALSE,"Apr 97";#N/A,#N/A,FALSE,"May 97";#N/A,#N/A,FALSE,"June 97";#N/A,#N/A,FALSE,"July 97"}</definedName>
    <definedName name="wrn.monthly." hidden="1">{#N/A,#N/A,FALSE,"Running Total";#N/A,#N/A,FALSE,"Oct 96";#N/A,#N/A,FALSE,"Nov 96";#N/A,#N/A,FALSE,"Dec 96";#N/A,#N/A,FALSE,"Jan 97";#N/A,#N/A,FALSE,"Feb 97";#N/A,#N/A,FALSE,"Mar 97";#N/A,#N/A,FALSE,"Apr 97";#N/A,#N/A,FALSE,"May 97";#N/A,#N/A,FALSE,"June 97";#N/A,#N/A,FALSE,"July 97"}</definedName>
    <definedName name="wrn.Net._.Backs." localSheetId="0" hidden="1">{"Net Backs",#N/A,FALSE,"Net Backs"}</definedName>
    <definedName name="wrn.Net._.Backs." localSheetId="27" hidden="1">{"Net Backs",#N/A,FALSE,"Net Backs"}</definedName>
    <definedName name="wrn.Net._.Backs." localSheetId="19" hidden="1">{"Net Backs",#N/A,FALSE,"Net Backs"}</definedName>
    <definedName name="wrn.Net._.Backs." localSheetId="1" hidden="1">{"Net Backs",#N/A,FALSE,"Net Backs"}</definedName>
    <definedName name="wrn.Net._.Backs." localSheetId="8" hidden="1">{"Net Backs",#N/A,FALSE,"Net Backs"}</definedName>
    <definedName name="wrn.Net._.Backs." localSheetId="6" hidden="1">{"Net Backs",#N/A,FALSE,"Net Backs"}</definedName>
    <definedName name="wrn.Net._.Backs." localSheetId="17" hidden="1">{"Net Backs",#N/A,FALSE,"Net Backs"}</definedName>
    <definedName name="wrn.Net._.Backs." localSheetId="7" hidden="1">{"Net Backs",#N/A,FALSE,"Net Backs"}</definedName>
    <definedName name="wrn.Net._.Backs." localSheetId="3" hidden="1">{"Net Backs",#N/A,FALSE,"Net Backs"}</definedName>
    <definedName name="wrn.Net._.Backs." localSheetId="21" hidden="1">{"Net Backs",#N/A,FALSE,"Net Backs"}</definedName>
    <definedName name="wrn.Net._.Backs." hidden="1">{"Net Backs",#N/A,FALSE,"Net Backs"}</definedName>
    <definedName name="wrn.Netbacks." localSheetId="0" hidden="1">{"Netbacks",#N/A,FALSE,"B"}</definedName>
    <definedName name="wrn.Netbacks." localSheetId="27" hidden="1">{"Netbacks",#N/A,FALSE,"B"}</definedName>
    <definedName name="wrn.Netbacks." localSheetId="19" hidden="1">{"Netbacks",#N/A,FALSE,"B"}</definedName>
    <definedName name="wrn.Netbacks." localSheetId="1" hidden="1">{"Netbacks",#N/A,FALSE,"B"}</definedName>
    <definedName name="wrn.Netbacks." localSheetId="8" hidden="1">{"Netbacks",#N/A,FALSE,"B"}</definedName>
    <definedName name="wrn.Netbacks." localSheetId="6" hidden="1">{"Netbacks",#N/A,FALSE,"B"}</definedName>
    <definedName name="wrn.Netbacks." localSheetId="17" hidden="1">{"Netbacks",#N/A,FALSE,"B"}</definedName>
    <definedName name="wrn.Netbacks." localSheetId="7" hidden="1">{"Netbacks",#N/A,FALSE,"B"}</definedName>
    <definedName name="wrn.Netbacks." localSheetId="3" hidden="1">{"Netbacks",#N/A,FALSE,"B"}</definedName>
    <definedName name="wrn.Netbacks." localSheetId="21" hidden="1">{"Netbacks",#N/A,FALSE,"B"}</definedName>
    <definedName name="wrn.Netbacks." hidden="1">{"Netbacks",#N/A,FALSE,"B"}</definedName>
    <definedName name="wrn.Operating._.Statistics." localSheetId="0" hidden="1">{"Operating Statictics",#N/A,FALSE,"Operating Statistics"}</definedName>
    <definedName name="wrn.Operating._.Statistics." localSheetId="27" hidden="1">{"Operating Statictics",#N/A,FALSE,"Operating Statistics"}</definedName>
    <definedName name="wrn.Operating._.Statistics." localSheetId="19" hidden="1">{"Operating Statictics",#N/A,FALSE,"Operating Statistics"}</definedName>
    <definedName name="wrn.Operating._.Statistics." localSheetId="1" hidden="1">{"Operating Statictics",#N/A,FALSE,"Operating Statistics"}</definedName>
    <definedName name="wrn.Operating._.Statistics." localSheetId="8" hidden="1">{"Operating Statictics",#N/A,FALSE,"Operating Statistics"}</definedName>
    <definedName name="wrn.Operating._.Statistics." localSheetId="6" hidden="1">{"Operating Statictics",#N/A,FALSE,"Operating Statistics"}</definedName>
    <definedName name="wrn.Operating._.Statistics." localSheetId="17" hidden="1">{"Operating Statictics",#N/A,FALSE,"Operating Statistics"}</definedName>
    <definedName name="wrn.Operating._.Statistics." localSheetId="7" hidden="1">{"Operating Statictics",#N/A,FALSE,"Operating Statistics"}</definedName>
    <definedName name="wrn.Operating._.Statistics." localSheetId="3" hidden="1">{"Operating Statictics",#N/A,FALSE,"Operating Statistics"}</definedName>
    <definedName name="wrn.Operating._.Statistics." localSheetId="21" hidden="1">{"Operating Statictics",#N/A,FALSE,"Operating Statistics"}</definedName>
    <definedName name="wrn.Operating._.Statistics." hidden="1">{"Operating Statictics",#N/A,FALSE,"Operating Statistics"}</definedName>
    <definedName name="wrn.Other._.Foreign." localSheetId="0" hidden="1">{"Other Foreign",#N/A,FALSE,"Other For."}</definedName>
    <definedName name="wrn.Other._.Foreign." localSheetId="27" hidden="1">{"Other Foreign",#N/A,FALSE,"Other For."}</definedName>
    <definedName name="wrn.Other._.Foreign." localSheetId="19" hidden="1">{"Other Foreign",#N/A,FALSE,"Other For."}</definedName>
    <definedName name="wrn.Other._.Foreign." localSheetId="1" hidden="1">{"Other Foreign",#N/A,FALSE,"Other For."}</definedName>
    <definedName name="wrn.Other._.Foreign." localSheetId="8" hidden="1">{"Other Foreign",#N/A,FALSE,"Other For."}</definedName>
    <definedName name="wrn.Other._.Foreign." localSheetId="6" hidden="1">{"Other Foreign",#N/A,FALSE,"Other For."}</definedName>
    <definedName name="wrn.Other._.Foreign." localSheetId="17" hidden="1">{"Other Foreign",#N/A,FALSE,"Other For."}</definedName>
    <definedName name="wrn.Other._.Foreign." localSheetId="7" hidden="1">{"Other Foreign",#N/A,FALSE,"Other For."}</definedName>
    <definedName name="wrn.Other._.Foreign." localSheetId="3" hidden="1">{"Other Foreign",#N/A,FALSE,"Other For."}</definedName>
    <definedName name="wrn.Other._.Foreign." localSheetId="21" hidden="1">{"Other Foreign",#N/A,FALSE,"Other For."}</definedName>
    <definedName name="wrn.Other._.Foreign." hidden="1">{"Other Foreign",#N/A,FALSE,"Other For."}</definedName>
    <definedName name="wrn.Portrait._.IS." localSheetId="0" hidden="1">{"Portrait letter is",#N/A,FALSE,"Model"}</definedName>
    <definedName name="wrn.Portrait._.IS." localSheetId="27" hidden="1">{"Portrait letter is",#N/A,FALSE,"Model"}</definedName>
    <definedName name="wrn.Portrait._.IS." localSheetId="19" hidden="1">{"Portrait letter is",#N/A,FALSE,"Model"}</definedName>
    <definedName name="wrn.Portrait._.IS." localSheetId="1" hidden="1">{"Portrait letter is",#N/A,FALSE,"Model"}</definedName>
    <definedName name="wrn.Portrait._.IS." localSheetId="8" hidden="1">{"Portrait letter is",#N/A,FALSE,"Model"}</definedName>
    <definedName name="wrn.Portrait._.IS." localSheetId="6" hidden="1">{"Portrait letter is",#N/A,FALSE,"Model"}</definedName>
    <definedName name="wrn.Portrait._.IS." localSheetId="17" hidden="1">{"Portrait letter is",#N/A,FALSE,"Model"}</definedName>
    <definedName name="wrn.Portrait._.IS." localSheetId="7" hidden="1">{"Portrait letter is",#N/A,FALSE,"Model"}</definedName>
    <definedName name="wrn.Portrait._.IS." localSheetId="3" hidden="1">{"Portrait letter is",#N/A,FALSE,"Model"}</definedName>
    <definedName name="wrn.Portrait._.IS." localSheetId="21" hidden="1">{"Portrait letter is",#N/A,FALSE,"Model"}</definedName>
    <definedName name="wrn.Portrait._.IS." hidden="1">{"Portrait letter is",#N/A,FALSE,"Model"}</definedName>
    <definedName name="wrn.Portrait._.letter._.is." localSheetId="0" hidden="1">{"Portrait letter is",#N/A,FALSE,"Model"}</definedName>
    <definedName name="wrn.Portrait._.letter._.is." localSheetId="27" hidden="1">{"Portrait letter is",#N/A,FALSE,"Model"}</definedName>
    <definedName name="wrn.Portrait._.letter._.is." localSheetId="19" hidden="1">{"Portrait letter is",#N/A,FALSE,"Model"}</definedName>
    <definedName name="wrn.Portrait._.letter._.is." localSheetId="1" hidden="1">{"Portrait letter is",#N/A,FALSE,"Model"}</definedName>
    <definedName name="wrn.Portrait._.letter._.is." localSheetId="8" hidden="1">{"Portrait letter is",#N/A,FALSE,"Model"}</definedName>
    <definedName name="wrn.Portrait._.letter._.is." localSheetId="6" hidden="1">{"Portrait letter is",#N/A,FALSE,"Model"}</definedName>
    <definedName name="wrn.Portrait._.letter._.is." localSheetId="17" hidden="1">{"Portrait letter is",#N/A,FALSE,"Model"}</definedName>
    <definedName name="wrn.Portrait._.letter._.is." localSheetId="7" hidden="1">{"Portrait letter is",#N/A,FALSE,"Model"}</definedName>
    <definedName name="wrn.Portrait._.letter._.is." localSheetId="3" hidden="1">{"Portrait letter is",#N/A,FALSE,"Model"}</definedName>
    <definedName name="wrn.Portrait._.letter._.is." localSheetId="21" hidden="1">{"Portrait letter is",#N/A,FALSE,"Model"}</definedName>
    <definedName name="wrn.Portrait._.letter._.is." hidden="1">{"Portrait letter is",#N/A,FALSE,"Model"}</definedName>
    <definedName name="wrn.pres." localSheetId="0" hidden="1">{#N/A,#N/A,FALSE,"Major v. River";#N/A,#N/A,FALSE,"Industry";#N/A,#N/A,FALSE,"Large Operators";#N/A,#N/A,FALSE,"Smaller Operators";#N/A,#N/A,FALSE,"Equip. Supply";#N/A,#N/A,FALSE,"EBITDA";#N/A,#N/A,FALSE,"States";#N/A,#N/A,FALSE,"LV Detail"}</definedName>
    <definedName name="wrn.pres." localSheetId="27" hidden="1">{#N/A,#N/A,FALSE,"Major v. River";#N/A,#N/A,FALSE,"Industry";#N/A,#N/A,FALSE,"Large Operators";#N/A,#N/A,FALSE,"Smaller Operators";#N/A,#N/A,FALSE,"Equip. Supply";#N/A,#N/A,FALSE,"EBITDA";#N/A,#N/A,FALSE,"States";#N/A,#N/A,FALSE,"LV Detail"}</definedName>
    <definedName name="wrn.pres." localSheetId="19" hidden="1">{#N/A,#N/A,FALSE,"Major v. River";#N/A,#N/A,FALSE,"Industry";#N/A,#N/A,FALSE,"Large Operators";#N/A,#N/A,FALSE,"Smaller Operators";#N/A,#N/A,FALSE,"Equip. Supply";#N/A,#N/A,FALSE,"EBITDA";#N/A,#N/A,FALSE,"States";#N/A,#N/A,FALSE,"LV Detail"}</definedName>
    <definedName name="wrn.pres." localSheetId="1" hidden="1">{#N/A,#N/A,FALSE,"Major v. River";#N/A,#N/A,FALSE,"Industry";#N/A,#N/A,FALSE,"Large Operators";#N/A,#N/A,FALSE,"Smaller Operators";#N/A,#N/A,FALSE,"Equip. Supply";#N/A,#N/A,FALSE,"EBITDA";#N/A,#N/A,FALSE,"States";#N/A,#N/A,FALSE,"LV Detail"}</definedName>
    <definedName name="wrn.pres." localSheetId="8" hidden="1">{#N/A,#N/A,FALSE,"Major v. River";#N/A,#N/A,FALSE,"Industry";#N/A,#N/A,FALSE,"Large Operators";#N/A,#N/A,FALSE,"Smaller Operators";#N/A,#N/A,FALSE,"Equip. Supply";#N/A,#N/A,FALSE,"EBITDA";#N/A,#N/A,FALSE,"States";#N/A,#N/A,FALSE,"LV Detail"}</definedName>
    <definedName name="wrn.pres." localSheetId="6" hidden="1">{#N/A,#N/A,FALSE,"Major v. River";#N/A,#N/A,FALSE,"Industry";#N/A,#N/A,FALSE,"Large Operators";#N/A,#N/A,FALSE,"Smaller Operators";#N/A,#N/A,FALSE,"Equip. Supply";#N/A,#N/A,FALSE,"EBITDA";#N/A,#N/A,FALSE,"States";#N/A,#N/A,FALSE,"LV Detail"}</definedName>
    <definedName name="wrn.pres." localSheetId="17" hidden="1">{#N/A,#N/A,FALSE,"Major v. River";#N/A,#N/A,FALSE,"Industry";#N/A,#N/A,FALSE,"Large Operators";#N/A,#N/A,FALSE,"Smaller Operators";#N/A,#N/A,FALSE,"Equip. Supply";#N/A,#N/A,FALSE,"EBITDA";#N/A,#N/A,FALSE,"States";#N/A,#N/A,FALSE,"LV Detail"}</definedName>
    <definedName name="wrn.pres." localSheetId="7" hidden="1">{#N/A,#N/A,FALSE,"Major v. River";#N/A,#N/A,FALSE,"Industry";#N/A,#N/A,FALSE,"Large Operators";#N/A,#N/A,FALSE,"Smaller Operators";#N/A,#N/A,FALSE,"Equip. Supply";#N/A,#N/A,FALSE,"EBITDA";#N/A,#N/A,FALSE,"States";#N/A,#N/A,FALSE,"LV Detail"}</definedName>
    <definedName name="wrn.pres." localSheetId="3" hidden="1">{#N/A,#N/A,FALSE,"Major v. River";#N/A,#N/A,FALSE,"Industry";#N/A,#N/A,FALSE,"Large Operators";#N/A,#N/A,FALSE,"Smaller Operators";#N/A,#N/A,FALSE,"Equip. Supply";#N/A,#N/A,FALSE,"EBITDA";#N/A,#N/A,FALSE,"States";#N/A,#N/A,FALSE,"LV Detail"}</definedName>
    <definedName name="wrn.pres." localSheetId="21"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97." localSheetId="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9"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8"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6"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3"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1"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localSheetId="0" hidden="1">{#N/A,#N/A,FALSE,"Plan Summary";#N/A,#N/A,FALSE,"Monthly Goals";#N/A,#N/A,FALSE,"Profit Detail";#N/A,#N/A,FALSE,"Output Comparison";#N/A,#N/A,FALSE,"Production Goals"}</definedName>
    <definedName name="wrn.Primary._.Reports." localSheetId="27" hidden="1">{#N/A,#N/A,FALSE,"Plan Summary";#N/A,#N/A,FALSE,"Monthly Goals";#N/A,#N/A,FALSE,"Profit Detail";#N/A,#N/A,FALSE,"Output Comparison";#N/A,#N/A,FALSE,"Production Goals"}</definedName>
    <definedName name="wrn.Primary._.Reports." localSheetId="19" hidden="1">{#N/A,#N/A,FALSE,"Plan Summary";#N/A,#N/A,FALSE,"Monthly Goals";#N/A,#N/A,FALSE,"Profit Detail";#N/A,#N/A,FALSE,"Output Comparison";#N/A,#N/A,FALSE,"Production Goals"}</definedName>
    <definedName name="wrn.Primary._.Reports." localSheetId="1" hidden="1">{#N/A,#N/A,FALSE,"Plan Summary";#N/A,#N/A,FALSE,"Monthly Goals";#N/A,#N/A,FALSE,"Profit Detail";#N/A,#N/A,FALSE,"Output Comparison";#N/A,#N/A,FALSE,"Production Goals"}</definedName>
    <definedName name="wrn.Primary._.Reports." localSheetId="8" hidden="1">{#N/A,#N/A,FALSE,"Plan Summary";#N/A,#N/A,FALSE,"Monthly Goals";#N/A,#N/A,FALSE,"Profit Detail";#N/A,#N/A,FALSE,"Output Comparison";#N/A,#N/A,FALSE,"Production Goals"}</definedName>
    <definedName name="wrn.Primary._.Reports." localSheetId="6" hidden="1">{#N/A,#N/A,FALSE,"Plan Summary";#N/A,#N/A,FALSE,"Monthly Goals";#N/A,#N/A,FALSE,"Profit Detail";#N/A,#N/A,FALSE,"Output Comparison";#N/A,#N/A,FALSE,"Production Goals"}</definedName>
    <definedName name="wrn.Primary._.Reports." localSheetId="17" hidden="1">{#N/A,#N/A,FALSE,"Plan Summary";#N/A,#N/A,FALSE,"Monthly Goals";#N/A,#N/A,FALSE,"Profit Detail";#N/A,#N/A,FALSE,"Output Comparison";#N/A,#N/A,FALSE,"Production Goals"}</definedName>
    <definedName name="wrn.Primary._.Reports." localSheetId="7" hidden="1">{#N/A,#N/A,FALSE,"Plan Summary";#N/A,#N/A,FALSE,"Monthly Goals";#N/A,#N/A,FALSE,"Profit Detail";#N/A,#N/A,FALSE,"Output Comparison";#N/A,#N/A,FALSE,"Production Goals"}</definedName>
    <definedName name="wrn.Primary._.Reports." localSheetId="3" hidden="1">{#N/A,#N/A,FALSE,"Plan Summary";#N/A,#N/A,FALSE,"Monthly Goals";#N/A,#N/A,FALSE,"Profit Detail";#N/A,#N/A,FALSE,"Output Comparison";#N/A,#N/A,FALSE,"Production Goals"}</definedName>
    <definedName name="wrn.Primary._.Reports." localSheetId="21"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E." localSheetId="0" hidden="1">{#N/A,#N/A,FALSE,"PRIME ACTIVITY CRST"}</definedName>
    <definedName name="wrn.PRIME." localSheetId="27" hidden="1">{#N/A,#N/A,FALSE,"PRIME ACTIVITY CRST"}</definedName>
    <definedName name="wrn.PRIME." localSheetId="19" hidden="1">{#N/A,#N/A,FALSE,"PRIME ACTIVITY CRST"}</definedName>
    <definedName name="wrn.PRIME." localSheetId="1" hidden="1">{#N/A,#N/A,FALSE,"PRIME ACTIVITY CRST"}</definedName>
    <definedName name="wrn.PRIME." localSheetId="8" hidden="1">{#N/A,#N/A,FALSE,"PRIME ACTIVITY CRST"}</definedName>
    <definedName name="wrn.PRIME." localSheetId="6" hidden="1">{#N/A,#N/A,FALSE,"PRIME ACTIVITY CRST"}</definedName>
    <definedName name="wrn.PRIME." localSheetId="17" hidden="1">{#N/A,#N/A,FALSE,"PRIME ACTIVITY CRST"}</definedName>
    <definedName name="wrn.PRIME." localSheetId="7" hidden="1">{#N/A,#N/A,FALSE,"PRIME ACTIVITY CRST"}</definedName>
    <definedName name="wrn.PRIME." localSheetId="3" hidden="1">{#N/A,#N/A,FALSE,"PRIME ACTIVITY CRST"}</definedName>
    <definedName name="wrn.PRIME." localSheetId="21" hidden="1">{#N/A,#N/A,FALSE,"PRIME ACTIVITY CRST"}</definedName>
    <definedName name="wrn.PRIME." hidden="1">{#N/A,#N/A,FALSE,"PRIME ACTIVITY CRST"}</definedName>
    <definedName name="wrn.print." localSheetId="0" hidden="1">{"page1",#N/A,FALSE,"PROFORMA";"page2",#N/A,FALSE,"PROFORMA";"page3",#N/A,FALSE,"PROFORMA";"page4",#N/A,FALSE,"PROFORMA";"page5",#N/A,FALSE,"PROFORMA";"page6",#N/A,FALSE,"PROFORMA";"page7",#N/A,FALSE,"PROFORMA";"page8",#N/A,FALSE,"PROFORMA"}</definedName>
    <definedName name="wrn.print." localSheetId="27" hidden="1">{"page1",#N/A,FALSE,"PROFORMA";"page2",#N/A,FALSE,"PROFORMA";"page3",#N/A,FALSE,"PROFORMA";"page4",#N/A,FALSE,"PROFORMA";"page5",#N/A,FALSE,"PROFORMA";"page6",#N/A,FALSE,"PROFORMA";"page7",#N/A,FALSE,"PROFORMA";"page8",#N/A,FALSE,"PROFORMA"}</definedName>
    <definedName name="wrn.print." localSheetId="19" hidden="1">{"page1",#N/A,FALSE,"PROFORMA";"page2",#N/A,FALSE,"PROFORMA";"page3",#N/A,FALSE,"PROFORMA";"page4",#N/A,FALSE,"PROFORMA";"page5",#N/A,FALSE,"PROFORMA";"page6",#N/A,FALSE,"PROFORMA";"page7",#N/A,FALSE,"PROFORMA";"page8",#N/A,FALSE,"PROFORMA"}</definedName>
    <definedName name="wrn.print." localSheetId="1"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17"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3" hidden="1">{#N/A,#N/A,FALSE,"Cover";#N/A,#N/A,FALSE,"ASSUMPTIONS ";#N/A,#N/A,FALSE,"EPS";#N/A,#N/A,FALSE,"Cashflow";#N/A,#N/A,FALSE,"BS"}</definedName>
    <definedName name="wrn.print." localSheetId="21"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 localSheetId="0" hidden="1">{"Production Profile",#N/A,FALSE,"Production";"Cadispa SA",#N/A,FALSE,"Cadispa SA";"Corporate Profile",#N/A,FALSE,"D";"IS Q96",#N/A,FALSE,"C";"IS Q97",#N/A,FALSE,"C";"IS Years",#N/A,FALSE,"C";"Netbacks",#N/A,FALSE,"B"}</definedName>
    <definedName name="wrn.Print._.All." localSheetId="27" hidden="1">{"Production Profile",#N/A,FALSE,"Production";"Cadispa SA",#N/A,FALSE,"Cadispa SA";"Corporate Profile",#N/A,FALSE,"D";"IS Q96",#N/A,FALSE,"C";"IS Q97",#N/A,FALSE,"C";"IS Years",#N/A,FALSE,"C";"Netbacks",#N/A,FALSE,"B"}</definedName>
    <definedName name="wrn.Print._.All." localSheetId="19" hidden="1">{"Production Profile",#N/A,FALSE,"Production";"Cadispa SA",#N/A,FALSE,"Cadispa SA";"Corporate Profile",#N/A,FALSE,"D";"IS Q96",#N/A,FALSE,"C";"IS Q97",#N/A,FALSE,"C";"IS Years",#N/A,FALSE,"C";"Netbacks",#N/A,FALSE,"B"}</definedName>
    <definedName name="wrn.Print._.All." localSheetId="1" hidden="1">{"Production Profile",#N/A,FALSE,"Production";"Cadispa SA",#N/A,FALSE,"Cadispa SA";"Corporate Profile",#N/A,FALSE,"D";"IS Q96",#N/A,FALSE,"C";"IS Q97",#N/A,FALSE,"C";"IS Years",#N/A,FALSE,"C";"Netbacks",#N/A,FALSE,"B"}</definedName>
    <definedName name="wrn.Print._.All." localSheetId="8" hidden="1">{"Production Profile",#N/A,FALSE,"Production";"Cadispa SA",#N/A,FALSE,"Cadispa SA";"Corporate Profile",#N/A,FALSE,"D";"IS Q96",#N/A,FALSE,"C";"IS Q97",#N/A,FALSE,"C";"IS Years",#N/A,FALSE,"C";"Netbacks",#N/A,FALSE,"B"}</definedName>
    <definedName name="wrn.Print._.All." localSheetId="6" hidden="1">{"Production Profile",#N/A,FALSE,"Production";"Cadispa SA",#N/A,FALSE,"Cadispa SA";"Corporate Profile",#N/A,FALSE,"D";"IS Q96",#N/A,FALSE,"C";"IS Q97",#N/A,FALSE,"C";"IS Years",#N/A,FALSE,"C";"Netbacks",#N/A,FALSE,"B"}</definedName>
    <definedName name="wrn.Print._.All." localSheetId="17" hidden="1">{"Production Profile",#N/A,FALSE,"Production";"Cadispa SA",#N/A,FALSE,"Cadispa SA";"Corporate Profile",#N/A,FALSE,"D";"IS Q96",#N/A,FALSE,"C";"IS Q97",#N/A,FALSE,"C";"IS Years",#N/A,FALSE,"C";"Netbacks",#N/A,FALSE,"B"}</definedName>
    <definedName name="wrn.Print._.All." localSheetId="7" hidden="1">{"Production Profile",#N/A,FALSE,"Production";"Cadispa SA",#N/A,FALSE,"Cadispa SA";"Corporate Profile",#N/A,FALSE,"D";"IS Q96",#N/A,FALSE,"C";"IS Q97",#N/A,FALSE,"C";"IS Years",#N/A,FALSE,"C";"Netbacks",#N/A,FALSE,"B"}</definedName>
    <definedName name="wrn.Print._.All." localSheetId="3" hidden="1">{"Production Profile",#N/A,FALSE,"Production";"Cadispa SA",#N/A,FALSE,"Cadispa SA";"Corporate Profile",#N/A,FALSE,"D";"IS Q96",#N/A,FALSE,"C";"IS Q97",#N/A,FALSE,"C";"IS Years",#N/A,FALSE,"C";"Netbacks",#N/A,FALSE,"B"}</definedName>
    <definedName name="wrn.Print._.All." localSheetId="21" hidden="1">{"Production Profile",#N/A,FALSE,"Production";"Cadispa SA",#N/A,FALSE,"Cadispa SA";"Corporate Profile",#N/A,FALSE,"D";"IS Q96",#N/A,FALSE,"C";"IS Q97",#N/A,FALSE,"C";"IS Years",#N/A,FALSE,"C";"Netbacks",#N/A,FALSE,"B"}</definedName>
    <definedName name="wrn.Print._.All." hidden="1">{"Production Profile",#N/A,FALSE,"Production";"Cadispa SA",#N/A,FALSE,"Cadispa SA";"Corporate Profile",#N/A,FALSE,"D";"IS Q96",#N/A,FALSE,"C";"IS Q97",#N/A,FALSE,"C";"IS Years",#N/A,FALSE,"C";"Netbacks",#N/A,FALSE,"B"}</definedName>
    <definedName name="wrn.printall." localSheetId="0" hidden="1">{"printall",#N/A,FALSE,"BAIRNUMB"}</definedName>
    <definedName name="wrn.printall." localSheetId="27" hidden="1">{"printall",#N/A,FALSE,"BAIRNUMB"}</definedName>
    <definedName name="wrn.printall." localSheetId="19" hidden="1">{"printall",#N/A,FALSE,"BAIRNUMB"}</definedName>
    <definedName name="wrn.printall." localSheetId="1" hidden="1">{"printall",#N/A,FALSE,"BAIRNUMB"}</definedName>
    <definedName name="wrn.printall." localSheetId="8" hidden="1">{"printall",#N/A,FALSE,"BAIRNUMB"}</definedName>
    <definedName name="wrn.printall." localSheetId="6" hidden="1">{"printall",#N/A,FALSE,"BAIRNUMB"}</definedName>
    <definedName name="wrn.printall." localSheetId="17" hidden="1">{"printall",#N/A,FALSE,"BAIRNUMB"}</definedName>
    <definedName name="wrn.printall." localSheetId="7" hidden="1">{"printall",#N/A,FALSE,"BAIRNUMB"}</definedName>
    <definedName name="wrn.printall." localSheetId="3" hidden="1">{"printall",#N/A,FALSE,"BAIRNUMB"}</definedName>
    <definedName name="wrn.printall." localSheetId="21" hidden="1">{"printall",#N/A,FALSE,"BAIRNUMB"}</definedName>
    <definedName name="wrn.printall." hidden="1">{"printall",#N/A,FALSE,"BAIRNUMB"}</definedName>
    <definedName name="wrn.Prod.._.Profile." localSheetId="0" hidden="1">{"Prod Pro",#N/A,FALSE,"E"}</definedName>
    <definedName name="wrn.Prod.._.Profile." localSheetId="27" hidden="1">{"Prod Pro",#N/A,FALSE,"E"}</definedName>
    <definedName name="wrn.Prod.._.Profile." localSheetId="19" hidden="1">{"Prod Pro",#N/A,FALSE,"E"}</definedName>
    <definedName name="wrn.Prod.._.Profile." localSheetId="1" hidden="1">{"Prod Pro",#N/A,FALSE,"E"}</definedName>
    <definedName name="wrn.Prod.._.Profile." localSheetId="8" hidden="1">{"Prod Pro",#N/A,FALSE,"E"}</definedName>
    <definedName name="wrn.Prod.._.Profile." localSheetId="6" hidden="1">{"Prod Pro",#N/A,FALSE,"E"}</definedName>
    <definedName name="wrn.Prod.._.Profile." localSheetId="17" hidden="1">{"Prod Pro",#N/A,FALSE,"E"}</definedName>
    <definedName name="wrn.Prod.._.Profile." localSheetId="7" hidden="1">{"Prod Pro",#N/A,FALSE,"E"}</definedName>
    <definedName name="wrn.Prod.._.Profile." localSheetId="3" hidden="1">{"Prod Pro",#N/A,FALSE,"E"}</definedName>
    <definedName name="wrn.Prod.._.Profile." localSheetId="21" hidden="1">{"Prod Pro",#N/A,FALSE,"E"}</definedName>
    <definedName name="wrn.Prod.._.Profile." hidden="1">{"Prod Pro",#N/A,FALSE,"E"}</definedName>
    <definedName name="wrn.Produciton._.Profile." localSheetId="0" hidden="1">{"Production Profile",#N/A,FALSE,"Production Profile"}</definedName>
    <definedName name="wrn.Produciton._.Profile." localSheetId="27" hidden="1">{"Production Profile",#N/A,FALSE,"Production Profile"}</definedName>
    <definedName name="wrn.Produciton._.Profile." localSheetId="19" hidden="1">{"Production Profile",#N/A,FALSE,"Production Profile"}</definedName>
    <definedName name="wrn.Produciton._.Profile." localSheetId="1" hidden="1">{"Production Profile",#N/A,FALSE,"Production Profile"}</definedName>
    <definedName name="wrn.Produciton._.Profile." localSheetId="8" hidden="1">{"Production Profile",#N/A,FALSE,"Production Profile"}</definedName>
    <definedName name="wrn.Produciton._.Profile." localSheetId="6" hidden="1">{"Production Profile",#N/A,FALSE,"Production Profile"}</definedName>
    <definedName name="wrn.Produciton._.Profile." localSheetId="17" hidden="1">{"Production Profile",#N/A,FALSE,"Production Profile"}</definedName>
    <definedName name="wrn.Produciton._.Profile." localSheetId="7" hidden="1">{"Production Profile",#N/A,FALSE,"Production Profile"}</definedName>
    <definedName name="wrn.Produciton._.Profile." localSheetId="3" hidden="1">{"Production Profile",#N/A,FALSE,"Production Profile"}</definedName>
    <definedName name="wrn.Produciton._.Profile." localSheetId="21" hidden="1">{"Production Profile",#N/A,FALSE,"Production Profile"}</definedName>
    <definedName name="wrn.Produciton._.Profile." hidden="1">{"Production Profile",#N/A,FALSE,"Production Profile"}</definedName>
    <definedName name="wrn.Production._.Profile." localSheetId="0" hidden="1">{"Production Profile",#N/A,FALSE,"Production"}</definedName>
    <definedName name="wrn.Production._.Profile." localSheetId="27" hidden="1">{"Production Profile",#N/A,FALSE,"Production"}</definedName>
    <definedName name="wrn.Production._.Profile." localSheetId="19" hidden="1">{"Production Profile",#N/A,FALSE,"Production"}</definedName>
    <definedName name="wrn.Production._.Profile." localSheetId="1" hidden="1">{"Production Profile",#N/A,FALSE,"Production"}</definedName>
    <definedName name="wrn.Production._.Profile." localSheetId="8" hidden="1">{"Production Profile",#N/A,FALSE,"Production"}</definedName>
    <definedName name="wrn.Production._.Profile." localSheetId="6" hidden="1">{"Production Profile",#N/A,FALSE,"Production"}</definedName>
    <definedName name="wrn.Production._.Profile." localSheetId="17" hidden="1">{"Production Profile",#N/A,FALSE,"Production"}</definedName>
    <definedName name="wrn.Production._.Profile." localSheetId="7" hidden="1">{"Production Profile",#N/A,FALSE,"Production"}</definedName>
    <definedName name="wrn.Production._.Profile." localSheetId="3" hidden="1">{"Production Profile",#N/A,FALSE,"Production"}</definedName>
    <definedName name="wrn.Production._.Profile." localSheetId="21" hidden="1">{"Production Profile",#N/A,FALSE,"Production"}</definedName>
    <definedName name="wrn.Production._.Profile." hidden="1">{"Production Profile",#N/A,FALSE,"Production"}</definedName>
    <definedName name="wrn.Production._.Schedule." localSheetId="0" hidden="1">{"Production Schedule",#N/A,FALSE,"Production Schedule"}</definedName>
    <definedName name="wrn.Production._.Schedule." localSheetId="27" hidden="1">{"Production Schedule",#N/A,FALSE,"Production Schedule"}</definedName>
    <definedName name="wrn.Production._.Schedule." localSheetId="19" hidden="1">{"Production Schedule",#N/A,FALSE,"Production Schedule"}</definedName>
    <definedName name="wrn.Production._.Schedule." localSheetId="1" hidden="1">{"Production Schedule",#N/A,FALSE,"Production Schedule"}</definedName>
    <definedName name="wrn.Production._.Schedule." localSheetId="8" hidden="1">{"Production Schedule",#N/A,FALSE,"Production Schedule"}</definedName>
    <definedName name="wrn.Production._.Schedule." localSheetId="6" hidden="1">{"Production Schedule",#N/A,FALSE,"Production Schedule"}</definedName>
    <definedName name="wrn.Production._.Schedule." localSheetId="17" hidden="1">{"Production Schedule",#N/A,FALSE,"Production Schedule"}</definedName>
    <definedName name="wrn.Production._.Schedule." localSheetId="7" hidden="1">{"Production Schedule",#N/A,FALSE,"Production Schedule"}</definedName>
    <definedName name="wrn.Production._.Schedule." localSheetId="3" hidden="1">{"Production Schedule",#N/A,FALSE,"Production Schedule"}</definedName>
    <definedName name="wrn.Production._.Schedule." localSheetId="21" hidden="1">{"Production Schedule",#N/A,FALSE,"Production Schedule"}</definedName>
    <definedName name="wrn.Production._.Schedule." hidden="1">{"Production Schedule",#N/A,FALSE,"Production Schedule"}</definedName>
    <definedName name="wrn.Profit._.V._.LY." localSheetId="19" hidden="1">{"profit",#N/A,FALSE,"Aerospace";"profit",#N/A,FALSE,"Engines";"profit",#N/A,FALSE,"AES";"profit",#N/A,FALSE,"ES";"profit",#N/A,FALSE,"CAS";"profit",#N/A,FALSE,"ATSC";"profit",#N/A,FALSE,"FMT";"profit",#N/A,FALSE,"Aero Other";"profit",#N/A,FALSE,"Judgement"}</definedName>
    <definedName name="wrn.Profit._.V._.LY." localSheetId="6" hidden="1">{"profit",#N/A,FALSE,"Aerospace";"profit",#N/A,FALSE,"Engines";"profit",#N/A,FALSE,"AES";"profit",#N/A,FALSE,"ES";"profit",#N/A,FALSE,"CAS";"profit",#N/A,FALSE,"ATSC";"profit",#N/A,FALSE,"FMT";"profit",#N/A,FALSE,"Aero Other";"profit",#N/A,FALSE,"Judgement"}</definedName>
    <definedName name="wrn.Profit._.V._.LY." localSheetId="7" hidden="1">{"profit",#N/A,FALSE,"Aerospace";"profit",#N/A,FALSE,"Engines";"profit",#N/A,FALSE,"AES";"profit",#N/A,FALSE,"ES";"profit",#N/A,FALSE,"CAS";"profit",#N/A,FALSE,"ATSC";"profit",#N/A,FALSE,"FMT";"profit",#N/A,FALSE,"Aero Other";"profit",#N/A,FALSE,"Judgement"}</definedName>
    <definedName name="wrn.Profit._.V._.LY." localSheetId="3" hidden="1">{"profit",#N/A,FALSE,"Aerospace";"profit",#N/A,FALSE,"Engines";"profit",#N/A,FALSE,"AES";"profit",#N/A,FALSE,"ES";"profit",#N/A,FALSE,"CAS";"profit",#N/A,FALSE,"ATSC";"profit",#N/A,FALSE,"FMT";"profit",#N/A,FALSE,"Aero Other";"profit",#N/A,FALSE,"Judgement"}</definedName>
    <definedName name="wrn.Profit._.V._.LY." localSheetId="21" hidden="1">{"profit",#N/A,FALSE,"Aerospace";"profit",#N/A,FALSE,"Engines";"profit",#N/A,FALSE,"AES";"profit",#N/A,FALSE,"ES";"profit",#N/A,FALSE,"CAS";"profit",#N/A,FALSE,"ATSC";"profit",#N/A,FALSE,"FMT";"profit",#N/A,FALSE,"Aero Other";"profit",#N/A,FALSE,"Judgement"}</definedName>
    <definedName name="wrn.Profit._.V._.LY." hidden="1">{"profit",#N/A,FALSE,"Aerospace";"profit",#N/A,FALSE,"Engines";"profit",#N/A,FALSE,"AES";"profit",#N/A,FALSE,"ES";"profit",#N/A,FALSE,"CAS";"profit",#N/A,FALSE,"ATSC";"profit",#N/A,FALSE,"FMT";"profit",#N/A,FALSE,"Aero Other";"profit",#N/A,FALSE,"Judgement"}</definedName>
    <definedName name="wrn.Profit._.V._.Prior._.Fcst.." localSheetId="19"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6"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7"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3"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1"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hidden="1">{"profit",#N/A,FALSE,"Aero V prior";"profit",#N/A,FALSE,"Eng V Prior";"profit",#N/A,FALSE,"AES V Prior";"profit",#N/A,FALSE,"ES V Prior";"profit",#N/A,FALSE,"CAS V Prior";"profit",#N/A,FALSE,"ATSC V Prior";"profit",#N/A,FALSE,"FMT V Prior";"profit",#N/A,FALSE,"Aero Other V Prior";"profit",#N/A,FALSE,"Judge V Prior"}</definedName>
    <definedName name="wrn.Pulp." localSheetId="0" hidden="1">{"Pulp Production",#N/A,FALSE,"Pulp";"Pulp Earnings",#N/A,FALSE,"Pulp"}</definedName>
    <definedName name="wrn.Pulp." localSheetId="27" hidden="1">{"Pulp Production",#N/A,FALSE,"Pulp";"Pulp Earnings",#N/A,FALSE,"Pulp"}</definedName>
    <definedName name="wrn.Pulp." localSheetId="19" hidden="1">{"Pulp Production",#N/A,FALSE,"Pulp";"Pulp Earnings",#N/A,FALSE,"Pulp"}</definedName>
    <definedName name="wrn.Pulp." localSheetId="1" hidden="1">{"Pulp Production",#N/A,FALSE,"Pulp";"Pulp Earnings",#N/A,FALSE,"Pulp"}</definedName>
    <definedName name="wrn.Pulp." localSheetId="8" hidden="1">{"Pulp Production",#N/A,FALSE,"Pulp";"Pulp Earnings",#N/A,FALSE,"Pulp"}</definedName>
    <definedName name="wrn.Pulp." localSheetId="6" hidden="1">{"Pulp Production",#N/A,FALSE,"Pulp";"Pulp Earnings",#N/A,FALSE,"Pulp"}</definedName>
    <definedName name="wrn.Pulp." localSheetId="17" hidden="1">{"Pulp Production",#N/A,FALSE,"Pulp";"Pulp Earnings",#N/A,FALSE,"Pulp"}</definedName>
    <definedName name="wrn.Pulp." localSheetId="7" hidden="1">{"Pulp Production",#N/A,FALSE,"Pulp";"Pulp Earnings",#N/A,FALSE,"Pulp"}</definedName>
    <definedName name="wrn.Pulp." localSheetId="3" hidden="1">{"Pulp Production",#N/A,FALSE,"Pulp";"Pulp Earnings",#N/A,FALSE,"Pulp"}</definedName>
    <definedName name="wrn.Pulp." localSheetId="21" hidden="1">{"Pulp Production",#N/A,FALSE,"Pulp";"Pulp Earnings",#N/A,FALSE,"Pulp"}</definedName>
    <definedName name="wrn.Pulp." hidden="1">{"Pulp Production",#N/A,FALSE,"Pulp";"Pulp Earnings",#N/A,FALSE,"Pulp"}</definedName>
    <definedName name="wrn.qrt95." localSheetId="0" hidden="1">{"qrt95",#N/A,FALSE,"BAIRNUMB"}</definedName>
    <definedName name="wrn.qrt95." localSheetId="27" hidden="1">{"qrt95",#N/A,FALSE,"BAIRNUMB"}</definedName>
    <definedName name="wrn.qrt95." localSheetId="19" hidden="1">{"qrt95",#N/A,FALSE,"BAIRNUMB"}</definedName>
    <definedName name="wrn.qrt95." localSheetId="1" hidden="1">{"qrt95",#N/A,FALSE,"BAIRNUMB"}</definedName>
    <definedName name="wrn.qrt95." localSheetId="8" hidden="1">{"qrt95",#N/A,FALSE,"BAIRNUMB"}</definedName>
    <definedName name="wrn.qrt95." localSheetId="6" hidden="1">{"qrt95",#N/A,FALSE,"BAIRNUMB"}</definedName>
    <definedName name="wrn.qrt95." localSheetId="17" hidden="1">{"qrt95",#N/A,FALSE,"BAIRNUMB"}</definedName>
    <definedName name="wrn.qrt95." localSheetId="7" hidden="1">{"qrt95",#N/A,FALSE,"BAIRNUMB"}</definedName>
    <definedName name="wrn.qrt95." localSheetId="3" hidden="1">{"qrt95",#N/A,FALSE,"BAIRNUMB"}</definedName>
    <definedName name="wrn.qrt95." localSheetId="21" hidden="1">{"qrt95",#N/A,FALSE,"BAIRNUMB"}</definedName>
    <definedName name="wrn.qrt95." hidden="1">{"qrt95",#N/A,FALSE,"BAIRNUMB"}</definedName>
    <definedName name="wrn.Qtr._.Op._.Q1." localSheetId="0" hidden="1">{"Qtr Op Mgd Q1",#N/A,FALSE,"Qtr-Op (Mng)";"Qtr Op Rpt Q1",#N/A,FALSE,"Qtr-Op (Rpt)";"Operating Vs Reported",#N/A,FALSE,"Rpt-Op Inc"}</definedName>
    <definedName name="wrn.Qtr._.Op._.Q1." localSheetId="27" hidden="1">{"Qtr Op Mgd Q1",#N/A,FALSE,"Qtr-Op (Mng)";"Qtr Op Rpt Q1",#N/A,FALSE,"Qtr-Op (Rpt)";"Operating Vs Reported",#N/A,FALSE,"Rpt-Op Inc"}</definedName>
    <definedName name="wrn.Qtr._.Op._.Q1." localSheetId="19" hidden="1">{"Qtr Op Mgd Q1",#N/A,FALSE,"Qtr-Op (Mng)";"Qtr Op Rpt Q1",#N/A,FALSE,"Qtr-Op (Rpt)";"Operating Vs Reported",#N/A,FALSE,"Rpt-Op Inc"}</definedName>
    <definedName name="wrn.Qtr._.Op._.Q1." localSheetId="1" hidden="1">{"Qtr Op Mgd Q1",#N/A,FALSE,"Qtr-Op (Mng)";"Qtr Op Rpt Q1",#N/A,FALSE,"Qtr-Op (Rpt)";"Operating Vs Reported",#N/A,FALSE,"Rpt-Op Inc"}</definedName>
    <definedName name="wrn.Qtr._.Op._.Q1." localSheetId="8" hidden="1">{"Qtr Op Mgd Q1",#N/A,FALSE,"Qtr-Op (Mng)";"Qtr Op Rpt Q1",#N/A,FALSE,"Qtr-Op (Rpt)";"Operating Vs Reported",#N/A,FALSE,"Rpt-Op Inc"}</definedName>
    <definedName name="wrn.Qtr._.Op._.Q1." localSheetId="6" hidden="1">{"Qtr Op Mgd Q1",#N/A,FALSE,"Qtr-Op (Mng)";"Qtr Op Rpt Q1",#N/A,FALSE,"Qtr-Op (Rpt)";"Operating Vs Reported",#N/A,FALSE,"Rpt-Op Inc"}</definedName>
    <definedName name="wrn.Qtr._.Op._.Q1." localSheetId="17" hidden="1">{"Qtr Op Mgd Q1",#N/A,FALSE,"Qtr-Op (Mng)";"Qtr Op Rpt Q1",#N/A,FALSE,"Qtr-Op (Rpt)";"Operating Vs Reported",#N/A,FALSE,"Rpt-Op Inc"}</definedName>
    <definedName name="wrn.Qtr._.Op._.Q1." localSheetId="7" hidden="1">{"Qtr Op Mgd Q1",#N/A,FALSE,"Qtr-Op (Mng)";"Qtr Op Rpt Q1",#N/A,FALSE,"Qtr-Op (Rpt)";"Operating Vs Reported",#N/A,FALSE,"Rpt-Op Inc"}</definedName>
    <definedName name="wrn.Qtr._.Op._.Q1." localSheetId="3" hidden="1">{"Qtr Op Mgd Q1",#N/A,FALSE,"Qtr-Op (Mng)";"Qtr Op Rpt Q1",#N/A,FALSE,"Qtr-Op (Rpt)";"Operating Vs Reported",#N/A,FALSE,"Rpt-Op Inc"}</definedName>
    <definedName name="wrn.Qtr._.Op._.Q1." localSheetId="21"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0" hidden="1">{"Qtr Op Mgd Q2",#N/A,FALSE,"Qtr-Op (Mng)";"Qtr Op Rpt Q2",#N/A,FALSE,"Qtr-Op (Rpt)";"Operating Vs Reported",#N/A,FALSE,"Rpt-Op Inc"}</definedName>
    <definedName name="wrn.Qtr._.Op._.Q2." localSheetId="27" hidden="1">{"Qtr Op Mgd Q2",#N/A,FALSE,"Qtr-Op (Mng)";"Qtr Op Rpt Q2",#N/A,FALSE,"Qtr-Op (Rpt)";"Operating Vs Reported",#N/A,FALSE,"Rpt-Op Inc"}</definedName>
    <definedName name="wrn.Qtr._.Op._.Q2." localSheetId="19" hidden="1">{"Qtr Op Mgd Q2",#N/A,FALSE,"Qtr-Op (Mng)";"Qtr Op Rpt Q2",#N/A,FALSE,"Qtr-Op (Rpt)";"Operating Vs Reported",#N/A,FALSE,"Rpt-Op Inc"}</definedName>
    <definedName name="wrn.Qtr._.Op._.Q2." localSheetId="1" hidden="1">{"Qtr Op Mgd Q2",#N/A,FALSE,"Qtr-Op (Mng)";"Qtr Op Rpt Q2",#N/A,FALSE,"Qtr-Op (Rpt)";"Operating Vs Reported",#N/A,FALSE,"Rpt-Op Inc"}</definedName>
    <definedName name="wrn.Qtr._.Op._.Q2." localSheetId="8" hidden="1">{"Qtr Op Mgd Q2",#N/A,FALSE,"Qtr-Op (Mng)";"Qtr Op Rpt Q2",#N/A,FALSE,"Qtr-Op (Rpt)";"Operating Vs Reported",#N/A,FALSE,"Rpt-Op Inc"}</definedName>
    <definedName name="wrn.Qtr._.Op._.Q2." localSheetId="6" hidden="1">{"Qtr Op Mgd Q2",#N/A,FALSE,"Qtr-Op (Mng)";"Qtr Op Rpt Q2",#N/A,FALSE,"Qtr-Op (Rpt)";"Operating Vs Reported",#N/A,FALSE,"Rpt-Op Inc"}</definedName>
    <definedName name="wrn.Qtr._.Op._.Q2." localSheetId="17" hidden="1">{"Qtr Op Mgd Q2",#N/A,FALSE,"Qtr-Op (Mng)";"Qtr Op Rpt Q2",#N/A,FALSE,"Qtr-Op (Rpt)";"Operating Vs Reported",#N/A,FALSE,"Rpt-Op Inc"}</definedName>
    <definedName name="wrn.Qtr._.Op._.Q2." localSheetId="7" hidden="1">{"Qtr Op Mgd Q2",#N/A,FALSE,"Qtr-Op (Mng)";"Qtr Op Rpt Q2",#N/A,FALSE,"Qtr-Op (Rpt)";"Operating Vs Reported",#N/A,FALSE,"Rpt-Op Inc"}</definedName>
    <definedName name="wrn.Qtr._.Op._.Q2." localSheetId="3" hidden="1">{"Qtr Op Mgd Q2",#N/A,FALSE,"Qtr-Op (Mng)";"Qtr Op Rpt Q2",#N/A,FALSE,"Qtr-Op (Rpt)";"Operating Vs Reported",#N/A,FALSE,"Rpt-Op Inc"}</definedName>
    <definedName name="wrn.Qtr._.Op._.Q2." localSheetId="21"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0" hidden="1">{"Qtr Op Mgd Q3",#N/A,FALSE,"Qtr-Op (Mng)";"Qtr Op Rpt Q3",#N/A,FALSE,"Qtr-Op (Rpt)";"Operating Vs Reported",#N/A,FALSE,"Rpt-Op Inc"}</definedName>
    <definedName name="wrn.Qtr._.Op._.Q3." localSheetId="27" hidden="1">{"Qtr Op Mgd Q3",#N/A,FALSE,"Qtr-Op (Mng)";"Qtr Op Rpt Q3",#N/A,FALSE,"Qtr-Op (Rpt)";"Operating Vs Reported",#N/A,FALSE,"Rpt-Op Inc"}</definedName>
    <definedName name="wrn.Qtr._.Op._.Q3." localSheetId="19" hidden="1">{"Qtr Op Mgd Q3",#N/A,FALSE,"Qtr-Op (Mng)";"Qtr Op Rpt Q3",#N/A,FALSE,"Qtr-Op (Rpt)";"Operating Vs Reported",#N/A,FALSE,"Rpt-Op Inc"}</definedName>
    <definedName name="wrn.Qtr._.Op._.Q3." localSheetId="1" hidden="1">{"Qtr Op Mgd Q3",#N/A,FALSE,"Qtr-Op (Mng)";"Qtr Op Rpt Q3",#N/A,FALSE,"Qtr-Op (Rpt)";"Operating Vs Reported",#N/A,FALSE,"Rpt-Op Inc"}</definedName>
    <definedName name="wrn.Qtr._.Op._.Q3." localSheetId="8" hidden="1">{"Qtr Op Mgd Q3",#N/A,FALSE,"Qtr-Op (Mng)";"Qtr Op Rpt Q3",#N/A,FALSE,"Qtr-Op (Rpt)";"Operating Vs Reported",#N/A,FALSE,"Rpt-Op Inc"}</definedName>
    <definedName name="wrn.Qtr._.Op._.Q3." localSheetId="6" hidden="1">{"Qtr Op Mgd Q3",#N/A,FALSE,"Qtr-Op (Mng)";"Qtr Op Rpt Q3",#N/A,FALSE,"Qtr-Op (Rpt)";"Operating Vs Reported",#N/A,FALSE,"Rpt-Op Inc"}</definedName>
    <definedName name="wrn.Qtr._.Op._.Q3." localSheetId="17" hidden="1">{"Qtr Op Mgd Q3",#N/A,FALSE,"Qtr-Op (Mng)";"Qtr Op Rpt Q3",#N/A,FALSE,"Qtr-Op (Rpt)";"Operating Vs Reported",#N/A,FALSE,"Rpt-Op Inc"}</definedName>
    <definedName name="wrn.Qtr._.Op._.Q3." localSheetId="7" hidden="1">{"Qtr Op Mgd Q3",#N/A,FALSE,"Qtr-Op (Mng)";"Qtr Op Rpt Q3",#N/A,FALSE,"Qtr-Op (Rpt)";"Operating Vs Reported",#N/A,FALSE,"Rpt-Op Inc"}</definedName>
    <definedName name="wrn.Qtr._.Op._.Q3." localSheetId="3" hidden="1">{"Qtr Op Mgd Q3",#N/A,FALSE,"Qtr-Op (Mng)";"Qtr Op Rpt Q3",#N/A,FALSE,"Qtr-Op (Rpt)";"Operating Vs Reported",#N/A,FALSE,"Rpt-Op Inc"}</definedName>
    <definedName name="wrn.Qtr._.Op._.Q3." localSheetId="21"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0" hidden="1">{"Qtr Op Mgd Q3",#N/A,FALSE,"Qtr-Op (Mng)";"Qtr Op Rpt Q4",#N/A,FALSE,"Qtr-Op (Rpt)";"Operating Vs Reported",#N/A,FALSE,"Rpt-Op Inc"}</definedName>
    <definedName name="wrn.Qtr._.Op._.Q4." localSheetId="27" hidden="1">{"Qtr Op Mgd Q3",#N/A,FALSE,"Qtr-Op (Mng)";"Qtr Op Rpt Q4",#N/A,FALSE,"Qtr-Op (Rpt)";"Operating Vs Reported",#N/A,FALSE,"Rpt-Op Inc"}</definedName>
    <definedName name="wrn.Qtr._.Op._.Q4." localSheetId="19"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8" hidden="1">{"Qtr Op Mgd Q3",#N/A,FALSE,"Qtr-Op (Mng)";"Qtr Op Rpt Q4",#N/A,FALSE,"Qtr-Op (Rpt)";"Operating Vs Reported",#N/A,FALSE,"Rpt-Op Inc"}</definedName>
    <definedName name="wrn.Qtr._.Op._.Q4." localSheetId="6" hidden="1">{"Qtr Op Mgd Q3",#N/A,FALSE,"Qtr-Op (Mng)";"Qtr Op Rpt Q4",#N/A,FALSE,"Qtr-Op (Rpt)";"Operating Vs Reported",#N/A,FALSE,"Rpt-Op Inc"}</definedName>
    <definedName name="wrn.Qtr._.Op._.Q4." localSheetId="17"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21"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0" hidden="1">{"Qtr Op Mgd Q2",#N/A,FALSE,"Qtr-Op (Mng)";"Qtr Op Rpt Q2",#N/A,FALSE,"Qtr-Op (Rpt)";"Operating Vs Reported",#N/A,FALSE,"Rpt-Op Inc"}</definedName>
    <definedName name="wrn.Qtr._.Op._Q2a." localSheetId="27" hidden="1">{"Qtr Op Mgd Q2",#N/A,FALSE,"Qtr-Op (Mng)";"Qtr Op Rpt Q2",#N/A,FALSE,"Qtr-Op (Rpt)";"Operating Vs Reported",#N/A,FALSE,"Rpt-Op Inc"}</definedName>
    <definedName name="wrn.Qtr._.Op._Q2a." localSheetId="19" hidden="1">{"Qtr Op Mgd Q2",#N/A,FALSE,"Qtr-Op (Mng)";"Qtr Op Rpt Q2",#N/A,FALSE,"Qtr-Op (Rpt)";"Operating Vs Reported",#N/A,FALSE,"Rpt-Op Inc"}</definedName>
    <definedName name="wrn.Qtr._.Op._Q2a." localSheetId="1" hidden="1">{"Qtr Op Mgd Q2",#N/A,FALSE,"Qtr-Op (Mng)";"Qtr Op Rpt Q2",#N/A,FALSE,"Qtr-Op (Rpt)";"Operating Vs Reported",#N/A,FALSE,"Rpt-Op Inc"}</definedName>
    <definedName name="wrn.Qtr._.Op._Q2a." localSheetId="8" hidden="1">{"Qtr Op Mgd Q2",#N/A,FALSE,"Qtr-Op (Mng)";"Qtr Op Rpt Q2",#N/A,FALSE,"Qtr-Op (Rpt)";"Operating Vs Reported",#N/A,FALSE,"Rpt-Op Inc"}</definedName>
    <definedName name="wrn.Qtr._.Op._Q2a." localSheetId="6" hidden="1">{"Qtr Op Mgd Q2",#N/A,FALSE,"Qtr-Op (Mng)";"Qtr Op Rpt Q2",#N/A,FALSE,"Qtr-Op (Rpt)";"Operating Vs Reported",#N/A,FALSE,"Rpt-Op Inc"}</definedName>
    <definedName name="wrn.Qtr._.Op._Q2a." localSheetId="17" hidden="1">{"Qtr Op Mgd Q2",#N/A,FALSE,"Qtr-Op (Mng)";"Qtr Op Rpt Q2",#N/A,FALSE,"Qtr-Op (Rpt)";"Operating Vs Reported",#N/A,FALSE,"Rpt-Op Inc"}</definedName>
    <definedName name="wrn.Qtr._.Op._Q2a." localSheetId="7" hidden="1">{"Qtr Op Mgd Q2",#N/A,FALSE,"Qtr-Op (Mng)";"Qtr Op Rpt Q2",#N/A,FALSE,"Qtr-Op (Rpt)";"Operating Vs Reported",#N/A,FALSE,"Rpt-Op Inc"}</definedName>
    <definedName name="wrn.Qtr._.Op._Q2a." localSheetId="3" hidden="1">{"Qtr Op Mgd Q2",#N/A,FALSE,"Qtr-Op (Mng)";"Qtr Op Rpt Q2",#N/A,FALSE,"Qtr-Op (Rpt)";"Operating Vs Reported",#N/A,FALSE,"Rpt-Op Inc"}</definedName>
    <definedName name="wrn.Qtr._.Op._Q2a." localSheetId="21"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0" hidden="1">{"Qtr Op Mgd Q3",#N/A,FALSE,"Qtr-Op (Mng)";"Qtr Op Rpt Q4",#N/A,FALSE,"Qtr-Op (Rpt)";"Operating Vs Reported",#N/A,FALSE,"Rpt-Op Inc"}</definedName>
    <definedName name="wrn.Qtr_.Op._.Q4." localSheetId="27" hidden="1">{"Qtr Op Mgd Q3",#N/A,FALSE,"Qtr-Op (Mng)";"Qtr Op Rpt Q4",#N/A,FALSE,"Qtr-Op (Rpt)";"Operating Vs Reported",#N/A,FALSE,"Rpt-Op Inc"}</definedName>
    <definedName name="wrn.Qtr_.Op._.Q4." localSheetId="19"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8" hidden="1">{"Qtr Op Mgd Q3",#N/A,FALSE,"Qtr-Op (Mng)";"Qtr Op Rpt Q4",#N/A,FALSE,"Qtr-Op (Rpt)";"Operating Vs Reported",#N/A,FALSE,"Rpt-Op Inc"}</definedName>
    <definedName name="wrn.Qtr_.Op._.Q4." localSheetId="6" hidden="1">{"Qtr Op Mgd Q3",#N/A,FALSE,"Qtr-Op (Mng)";"Qtr Op Rpt Q4",#N/A,FALSE,"Qtr-Op (Rpt)";"Operating Vs Reported",#N/A,FALSE,"Rpt-Op Inc"}</definedName>
    <definedName name="wrn.Qtr_.Op._.Q4." localSheetId="17"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21"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0" hidden="1">{"quarterly",#N/A,FALSE,"BAIRNUMB"}</definedName>
    <definedName name="wrn.quarterly." localSheetId="27" hidden="1">{"quarterly",#N/A,FALSE,"BAIRNUMB"}</definedName>
    <definedName name="wrn.quarterly." localSheetId="19" hidden="1">{"quarterly",#N/A,FALSE,"BAIRNUMB"}</definedName>
    <definedName name="wrn.quarterly." localSheetId="1" hidden="1">{"quarterly",#N/A,FALSE,"BAIRNUMB"}</definedName>
    <definedName name="wrn.quarterly." localSheetId="8" hidden="1">{"quarterly",#N/A,FALSE,"BAIRNUMB"}</definedName>
    <definedName name="wrn.quarterly." localSheetId="6" hidden="1">{"quarterly",#N/A,FALSE,"BAIRNUMB"}</definedName>
    <definedName name="wrn.quarterly." localSheetId="17" hidden="1">{"quarterly",#N/A,FALSE,"BAIRNUMB"}</definedName>
    <definedName name="wrn.quarterly." localSheetId="7" hidden="1">{"quarterly",#N/A,FALSE,"BAIRNUMB"}</definedName>
    <definedName name="wrn.quarterly." localSheetId="3" hidden="1">{"quarterly",#N/A,FALSE,"BAIRNUMB"}</definedName>
    <definedName name="wrn.quarterly." localSheetId="21" hidden="1">{"quarterly",#N/A,FALSE,"BAIRNUMB"}</definedName>
    <definedName name="wrn.quarterly." hidden="1">{"quarterly",#N/A,FALSE,"BAIRNUMB"}</definedName>
    <definedName name="wrn.Refining." localSheetId="0" hidden="1">{"Refining",#N/A,FALSE,"Refining"}</definedName>
    <definedName name="wrn.Refining." localSheetId="27" hidden="1">{"Refining",#N/A,FALSE,"Refining"}</definedName>
    <definedName name="wrn.Refining." localSheetId="19" hidden="1">{"Refining",#N/A,FALSE,"Refining"}</definedName>
    <definedName name="wrn.Refining." localSheetId="1" hidden="1">{"Refining",#N/A,FALSE,"Refining"}</definedName>
    <definedName name="wrn.Refining." localSheetId="8" hidden="1">{"Refining",#N/A,FALSE,"Refining"}</definedName>
    <definedName name="wrn.Refining." localSheetId="6" hidden="1">{"Refining",#N/A,FALSE,"Refining"}</definedName>
    <definedName name="wrn.Refining." localSheetId="17" hidden="1">{"Refining",#N/A,FALSE,"Refining"}</definedName>
    <definedName name="wrn.Refining." localSheetId="7" hidden="1">{"Refining",#N/A,FALSE,"Refining"}</definedName>
    <definedName name="wrn.Refining." localSheetId="3" hidden="1">{"Refining",#N/A,FALSE,"Refining"}</definedName>
    <definedName name="wrn.Refining." localSheetId="21" hidden="1">{"Refining",#N/A,FALSE,"Refining"}</definedName>
    <definedName name="wrn.Refining." hidden="1">{"Refining",#N/A,FALSE,"Refining"}</definedName>
    <definedName name="wrn.Report." localSheetId="0" hidden="1">{#N/A,#N/A,FALSE,"COVER";#N/A,#N/A,FALSE,"FORECAST";#N/A,#N/A,FALSE,"VALUATION";#N/A,#N/A,FALSE,"FY ANALYSIS ";#N/A,#N/A,FALSE," HY ANALYSIS"}</definedName>
    <definedName name="wrn.Report." localSheetId="27" hidden="1">{#N/A,#N/A,FALSE,"COVER";#N/A,#N/A,FALSE,"FORECAST";#N/A,#N/A,FALSE,"VALUATION";#N/A,#N/A,FALSE,"FY ANALYSIS ";#N/A,#N/A,FALSE," HY ANALYSIS"}</definedName>
    <definedName name="wrn.Report." localSheetId="19" hidden="1">{#N/A,#N/A,FALSE,"COVER";#N/A,#N/A,FALSE,"FORECAST";#N/A,#N/A,FALSE,"VALUATION";#N/A,#N/A,FALSE,"FY ANALYSIS ";#N/A,#N/A,FALSE," HY ANALYSIS"}</definedName>
    <definedName name="wrn.Report." localSheetId="1" hidden="1">{#N/A,#N/A,FALSE,"COVER";#N/A,#N/A,FALSE,"FORECAST";#N/A,#N/A,FALSE,"VALUATION";#N/A,#N/A,FALSE,"FY ANALYSIS ";#N/A,#N/A,FALSE," HY ANALYSIS"}</definedName>
    <definedName name="wrn.Report." localSheetId="8" hidden="1">{#N/A,#N/A,FALSE,"COVER";#N/A,#N/A,FALSE,"FORECAST";#N/A,#N/A,FALSE,"VALUATION";#N/A,#N/A,FALSE,"FY ANALYSIS ";#N/A,#N/A,FALSE," HY ANALYSIS"}</definedName>
    <definedName name="wrn.Report." localSheetId="6" hidden="1">{#N/A,#N/A,FALSE,"COVER";#N/A,#N/A,FALSE,"FORECAST";#N/A,#N/A,FALSE,"VALUATION";#N/A,#N/A,FALSE,"FY ANALYSIS ";#N/A,#N/A,FALSE," HY ANALYSIS"}</definedName>
    <definedName name="wrn.Report." localSheetId="17" hidden="1">{#N/A,#N/A,FALSE,"COVER";#N/A,#N/A,FALSE,"FORECAST";#N/A,#N/A,FALSE,"VALUATION";#N/A,#N/A,FALSE,"FY ANALYSIS ";#N/A,#N/A,FALSE," HY ANALYSIS"}</definedName>
    <definedName name="wrn.Report." localSheetId="7" hidden="1">{#N/A,#N/A,FALSE,"COVER";#N/A,#N/A,FALSE,"FORECAST";#N/A,#N/A,FALSE,"VALUATION";#N/A,#N/A,FALSE,"FY ANALYSIS ";#N/A,#N/A,FALSE," HY ANALYSIS"}</definedName>
    <definedName name="wrn.Report." localSheetId="3" hidden="1">{#N/A,#N/A,FALSE,"COVER";#N/A,#N/A,FALSE,"FORECAST";#N/A,#N/A,FALSE,"VALUATION";#N/A,#N/A,FALSE,"FY ANALYSIS ";#N/A,#N/A,FALSE," HY ANALYSIS"}</definedName>
    <definedName name="wrn.Report." localSheetId="21" hidden="1">{#N/A,#N/A,FALSE,"COVER";#N/A,#N/A,FALSE,"FORECAST";#N/A,#N/A,FALSE,"VALUATION";#N/A,#N/A,FALSE,"FY ANALYSIS ";#N/A,#N/A,FALSE," HY ANALYSIS"}</definedName>
    <definedName name="wrn.Report." hidden="1">{#N/A,#N/A,FALSE,"COVER";#N/A,#N/A,FALSE,"FORECAST";#N/A,#N/A,FALSE,"VALUATION";#N/A,#N/A,FALSE,"FY ANALYSIS ";#N/A,#N/A,FALSE," HY ANALYSIS"}</definedName>
    <definedName name="wrn.revenue._.historical." localSheetId="1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obert." localSheetId="0" hidden="1">{"ROR",#N/A,FALSE,"CF";"Total",#N/A,FALSE,"Reserve Report";"HPDP",#N/A,FALSE,"Reserve Report";"PPDP",#N/A,FALSE,"Reserve Report";"PDNP",#N/A,FALSE,"Reserve Report";"PUD",#N/A,FALSE,"Reserve Report";"Price",#N/A,FALSE,"Reserve Report"}</definedName>
    <definedName name="wrn.Robert." localSheetId="27" hidden="1">{"ROR",#N/A,FALSE,"CF";"Total",#N/A,FALSE,"Reserve Report";"HPDP",#N/A,FALSE,"Reserve Report";"PPDP",#N/A,FALSE,"Reserve Report";"PDNP",#N/A,FALSE,"Reserve Report";"PUD",#N/A,FALSE,"Reserve Report";"Price",#N/A,FALSE,"Reserve Report"}</definedName>
    <definedName name="wrn.Robert." localSheetId="19" hidden="1">{"ROR",#N/A,FALSE,"CF";"Total",#N/A,FALSE,"Reserve Report";"HPDP",#N/A,FALSE,"Reserve Report";"PPDP",#N/A,FALSE,"Reserve Report";"PDNP",#N/A,FALSE,"Reserve Report";"PUD",#N/A,FALSE,"Reserve Report";"Price",#N/A,FALSE,"Reserve Report"}</definedName>
    <definedName name="wrn.Robert." localSheetId="1" hidden="1">{"ROR",#N/A,FALSE,"CF";"Total",#N/A,FALSE,"Reserve Report";"HPDP",#N/A,FALSE,"Reserve Report";"PPDP",#N/A,FALSE,"Reserve Report";"PDNP",#N/A,FALSE,"Reserve Report";"PUD",#N/A,FALSE,"Reserve Report";"Price",#N/A,FALSE,"Reserve Report"}</definedName>
    <definedName name="wrn.Robert." localSheetId="8" hidden="1">{"ROR",#N/A,FALSE,"CF";"Total",#N/A,FALSE,"Reserve Report";"HPDP",#N/A,FALSE,"Reserve Report";"PPDP",#N/A,FALSE,"Reserve Report";"PDNP",#N/A,FALSE,"Reserve Report";"PUD",#N/A,FALSE,"Reserve Report";"Price",#N/A,FALSE,"Reserve Report"}</definedName>
    <definedName name="wrn.Robert." localSheetId="6" hidden="1">{"ROR",#N/A,FALSE,"CF";"Total",#N/A,FALSE,"Reserve Report";"HPDP",#N/A,FALSE,"Reserve Report";"PPDP",#N/A,FALSE,"Reserve Report";"PDNP",#N/A,FALSE,"Reserve Report";"PUD",#N/A,FALSE,"Reserve Report";"Price",#N/A,FALSE,"Reserve Report"}</definedName>
    <definedName name="wrn.Robert." localSheetId="17" hidden="1">{"ROR",#N/A,FALSE,"CF";"Total",#N/A,FALSE,"Reserve Report";"HPDP",#N/A,FALSE,"Reserve Report";"PPDP",#N/A,FALSE,"Reserve Report";"PDNP",#N/A,FALSE,"Reserve Report";"PUD",#N/A,FALSE,"Reserve Report";"Price",#N/A,FALSE,"Reserve Report"}</definedName>
    <definedName name="wrn.Robert." localSheetId="7" hidden="1">{"ROR",#N/A,FALSE,"CF";"Total",#N/A,FALSE,"Reserve Report";"HPDP",#N/A,FALSE,"Reserve Report";"PPDP",#N/A,FALSE,"Reserve Report";"PDNP",#N/A,FALSE,"Reserve Report";"PUD",#N/A,FALSE,"Reserve Report";"Price",#N/A,FALSE,"Reserve Report"}</definedName>
    <definedName name="wrn.Robert." localSheetId="3" hidden="1">{"ROR",#N/A,FALSE,"CF";"Total",#N/A,FALSE,"Reserve Report";"HPDP",#N/A,FALSE,"Reserve Report";"PPDP",#N/A,FALSE,"Reserve Report";"PDNP",#N/A,FALSE,"Reserve Report";"PUD",#N/A,FALSE,"Reserve Report";"Price",#N/A,FALSE,"Reserve Report"}</definedName>
    <definedName name="wrn.Robert." localSheetId="21"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0" hidden="1">{"Total",#N/A,FALSE,"Six Fields";"PDP",#N/A,FALSE,"Six Fields";"PNP",#N/A,FALSE,"Six Fields";"PUD",#N/A,FALSE,"Six Fields";"Prob",#N/A,FALSE,"Six Fields"}</definedName>
    <definedName name="wrn.Roll._.Up._.Fields." localSheetId="27" hidden="1">{"Total",#N/A,FALSE,"Six Fields";"PDP",#N/A,FALSE,"Six Fields";"PNP",#N/A,FALSE,"Six Fields";"PUD",#N/A,FALSE,"Six Fields";"Prob",#N/A,FALSE,"Six Fields"}</definedName>
    <definedName name="wrn.Roll._.Up._.Fields." localSheetId="19" hidden="1">{"Total",#N/A,FALSE,"Six Fields";"PDP",#N/A,FALSE,"Six Fields";"PNP",#N/A,FALSE,"Six Fields";"PUD",#N/A,FALSE,"Six Fields";"Prob",#N/A,FALSE,"Six Fields"}</definedName>
    <definedName name="wrn.Roll._.Up._.Fields." localSheetId="1" hidden="1">{"Total",#N/A,FALSE,"Six Fields";"PDP",#N/A,FALSE,"Six Fields";"PNP",#N/A,FALSE,"Six Fields";"PUD",#N/A,FALSE,"Six Fields";"Prob",#N/A,FALSE,"Six Fields"}</definedName>
    <definedName name="wrn.Roll._.Up._.Fields." localSheetId="8" hidden="1">{"Total",#N/A,FALSE,"Six Fields";"PDP",#N/A,FALSE,"Six Fields";"PNP",#N/A,FALSE,"Six Fields";"PUD",#N/A,FALSE,"Six Fields";"Prob",#N/A,FALSE,"Six Fields"}</definedName>
    <definedName name="wrn.Roll._.Up._.Fields." localSheetId="6" hidden="1">{"Total",#N/A,FALSE,"Six Fields";"PDP",#N/A,FALSE,"Six Fields";"PNP",#N/A,FALSE,"Six Fields";"PUD",#N/A,FALSE,"Six Fields";"Prob",#N/A,FALSE,"Six Fields"}</definedName>
    <definedName name="wrn.Roll._.Up._.Fields." localSheetId="17" hidden="1">{"Total",#N/A,FALSE,"Six Fields";"PDP",#N/A,FALSE,"Six Fields";"PNP",#N/A,FALSE,"Six Fields";"PUD",#N/A,FALSE,"Six Fields";"Prob",#N/A,FALSE,"Six Fields"}</definedName>
    <definedName name="wrn.Roll._.Up._.Fields." localSheetId="7" hidden="1">{"Total",#N/A,FALSE,"Six Fields";"PDP",#N/A,FALSE,"Six Fields";"PNP",#N/A,FALSE,"Six Fields";"PUD",#N/A,FALSE,"Six Fields";"Prob",#N/A,FALSE,"Six Fields"}</definedName>
    <definedName name="wrn.Roll._.Up._.Fields." localSheetId="3" hidden="1">{"Total",#N/A,FALSE,"Six Fields";"PDP",#N/A,FALSE,"Six Fields";"PNP",#N/A,FALSE,"Six Fields";"PUD",#N/A,FALSE,"Six Fields";"Prob",#N/A,FALSE,"Six Fields"}</definedName>
    <definedName name="wrn.Roll._.Up._.Fields." localSheetId="21"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segment._.EPS." localSheetId="19" hidden="1">{"segment_EPS",#N/A,FALSE,"TXTCOMPS"}</definedName>
    <definedName name="wrn.segment._.EPS." localSheetId="6" hidden="1">{"segment_EPS",#N/A,FALSE,"TXTCOMPS"}</definedName>
    <definedName name="wrn.segment._.EPS." localSheetId="7" hidden="1">{"segment_EPS",#N/A,FALSE,"TXTCOMPS"}</definedName>
    <definedName name="wrn.segment._.EPS." localSheetId="3" hidden="1">{"segment_EPS",#N/A,FALSE,"TXTCOMPS"}</definedName>
    <definedName name="wrn.segment._.EPS." localSheetId="21" hidden="1">{"segment_EPS",#N/A,FALSE,"TXTCOMPS"}</definedName>
    <definedName name="wrn.segment._.EPS." hidden="1">{"segment_EPS",#N/A,FALSE,"TXTCOMPS"}</definedName>
    <definedName name="wrn.SGPMODELS." localSheetId="0" hidden="1">{"QTRINC1",#N/A,FALSE,"SGPNEW";"QTRINC2",#N/A,FALSE,"SGPNEW";"USSALES1",#N/A,FALSE,"SGPNEW";"USSALES2",#N/A,FALSE,"SGPNEW";"INTLSALES1",#N/A,FALSE,"SGPNEW";"INTLSALES2",#N/A,FALSE,"SGPNEW";"WWSALES1",#N/A,FALSE,"SGPNEW";"WWSALES2",#N/A,FALSE,"SGPNEW";"NEWPRODS",#N/A,FALSE,"SGPNEW";"CASHFLOW",#N/A,FALSE,"SGPNEW"}</definedName>
    <definedName name="wrn.SGPMODELS." localSheetId="27" hidden="1">{"QTRINC1",#N/A,FALSE,"SGPNEW";"QTRINC2",#N/A,FALSE,"SGPNEW";"USSALES1",#N/A,FALSE,"SGPNEW";"USSALES2",#N/A,FALSE,"SGPNEW";"INTLSALES1",#N/A,FALSE,"SGPNEW";"INTLSALES2",#N/A,FALSE,"SGPNEW";"WWSALES1",#N/A,FALSE,"SGPNEW";"WWSALES2",#N/A,FALSE,"SGPNEW";"NEWPRODS",#N/A,FALSE,"SGPNEW";"CASHFLOW",#N/A,FALSE,"SGPNEW"}</definedName>
    <definedName name="wrn.SGPMODELS." localSheetId="19" hidden="1">{"QTRINC1",#N/A,FALSE,"SGPNEW";"QTRINC2",#N/A,FALSE,"SGPNEW";"USSALES1",#N/A,FALSE,"SGPNEW";"USSALES2",#N/A,FALSE,"SGPNEW";"INTLSALES1",#N/A,FALSE,"SGPNEW";"INTLSALES2",#N/A,FALSE,"SGPNEW";"WWSALES1",#N/A,FALSE,"SGPNEW";"WWSALES2",#N/A,FALSE,"SGPNEW";"NEWPRODS",#N/A,FALSE,"SGPNEW";"CASHFLOW",#N/A,FALSE,"SGPNEW"}</definedName>
    <definedName name="wrn.SGPMODELS." localSheetId="1" hidden="1">{"QTRINC1",#N/A,FALSE,"SGPNEW";"QTRINC2",#N/A,FALSE,"SGPNEW";"USSALES1",#N/A,FALSE,"SGPNEW";"USSALES2",#N/A,FALSE,"SGPNEW";"INTLSALES1",#N/A,FALSE,"SGPNEW";"INTLSALES2",#N/A,FALSE,"SGPNEW";"WWSALES1",#N/A,FALSE,"SGPNEW";"WWSALES2",#N/A,FALSE,"SGPNEW";"NEWPRODS",#N/A,FALSE,"SGPNEW";"CASHFLOW",#N/A,FALSE,"SGPNEW"}</definedName>
    <definedName name="wrn.SGPMODELS." localSheetId="8" hidden="1">{"QTRINC1",#N/A,FALSE,"SGPNEW";"QTRINC2",#N/A,FALSE,"SGPNEW";"USSALES1",#N/A,FALSE,"SGPNEW";"USSALES2",#N/A,FALSE,"SGPNEW";"INTLSALES1",#N/A,FALSE,"SGPNEW";"INTLSALES2",#N/A,FALSE,"SGPNEW";"WWSALES1",#N/A,FALSE,"SGPNEW";"WWSALES2",#N/A,FALSE,"SGPNEW";"NEWPRODS",#N/A,FALSE,"SGPNEW";"CASHFLOW",#N/A,FALSE,"SGPNEW"}</definedName>
    <definedName name="wrn.SGPMODELS." localSheetId="6" hidden="1">{"QTRINC1",#N/A,FALSE,"SGPNEW";"QTRINC2",#N/A,FALSE,"SGPNEW";"USSALES1",#N/A,FALSE,"SGPNEW";"USSALES2",#N/A,FALSE,"SGPNEW";"INTLSALES1",#N/A,FALSE,"SGPNEW";"INTLSALES2",#N/A,FALSE,"SGPNEW";"WWSALES1",#N/A,FALSE,"SGPNEW";"WWSALES2",#N/A,FALSE,"SGPNEW";"NEWPRODS",#N/A,FALSE,"SGPNEW";"CASHFLOW",#N/A,FALSE,"SGPNEW"}</definedName>
    <definedName name="wrn.SGPMODELS." localSheetId="17" hidden="1">{"QTRINC1",#N/A,FALSE,"SGPNEW";"QTRINC2",#N/A,FALSE,"SGPNEW";"USSALES1",#N/A,FALSE,"SGPNEW";"USSALES2",#N/A,FALSE,"SGPNEW";"INTLSALES1",#N/A,FALSE,"SGPNEW";"INTLSALES2",#N/A,FALSE,"SGPNEW";"WWSALES1",#N/A,FALSE,"SGPNEW";"WWSALES2",#N/A,FALSE,"SGPNEW";"NEWPRODS",#N/A,FALSE,"SGPNEW";"CASHFLOW",#N/A,FALSE,"SGPNEW"}</definedName>
    <definedName name="wrn.SGPMODELS." localSheetId="7" hidden="1">{"QTRINC1",#N/A,FALSE,"SGPNEW";"QTRINC2",#N/A,FALSE,"SGPNEW";"USSALES1",#N/A,FALSE,"SGPNEW";"USSALES2",#N/A,FALSE,"SGPNEW";"INTLSALES1",#N/A,FALSE,"SGPNEW";"INTLSALES2",#N/A,FALSE,"SGPNEW";"WWSALES1",#N/A,FALSE,"SGPNEW";"WWSALES2",#N/A,FALSE,"SGPNEW";"NEWPRODS",#N/A,FALSE,"SGPNEW";"CASHFLOW",#N/A,FALSE,"SGPNEW"}</definedName>
    <definedName name="wrn.SGPMODELS." localSheetId="3" hidden="1">{"QTRINC1",#N/A,FALSE,"SGPNEW";"QTRINC2",#N/A,FALSE,"SGPNEW";"USSALES1",#N/A,FALSE,"SGPNEW";"USSALES2",#N/A,FALSE,"SGPNEW";"INTLSALES1",#N/A,FALSE,"SGPNEW";"INTLSALES2",#N/A,FALSE,"SGPNEW";"WWSALES1",#N/A,FALSE,"SGPNEW";"WWSALES2",#N/A,FALSE,"SGPNEW";"NEWPRODS",#N/A,FALSE,"SGPNEW";"CASHFLOW",#N/A,FALSE,"SGPNEW"}</definedName>
    <definedName name="wrn.SGPMODELS." localSheetId="21" hidden="1">{"QTRINC1",#N/A,FALSE,"SGPNEW";"QTRINC2",#N/A,FALSE,"SGPNEW";"USSALES1",#N/A,FALSE,"SGPNEW";"USSALES2",#N/A,FALSE,"SGPNEW";"INTLSALES1",#N/A,FALSE,"SGPNEW";"INTLSALES2",#N/A,FALSE,"SGPNEW";"WWSALES1",#N/A,FALSE,"SGPNEW";"WWSALES2",#N/A,FALSE,"SGPNEW";"NEWPRODS",#N/A,FALSE,"SGPNEW";"CASHFLOW",#N/A,FALSE,"SGPNEW"}</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localSheetId="0" hidden="1">{#N/A,#N/A,FALSE,"Share the Wealth";#N/A,#N/A,FALSE,"Shareholders vs Employees";#N/A,#N/A,FALSE,"Share vs Emp Summary"}</definedName>
    <definedName name="wrn.Shareholders._.and._.Employees." localSheetId="27" hidden="1">{#N/A,#N/A,FALSE,"Share the Wealth";#N/A,#N/A,FALSE,"Shareholders vs Employees";#N/A,#N/A,FALSE,"Share vs Emp Summary"}</definedName>
    <definedName name="wrn.Shareholders._.and._.Employees." localSheetId="19" hidden="1">{#N/A,#N/A,FALSE,"Share the Wealth";#N/A,#N/A,FALSE,"Shareholders vs Employees";#N/A,#N/A,FALSE,"Share vs Emp Summary"}</definedName>
    <definedName name="wrn.Shareholders._.and._.Employees." localSheetId="1" hidden="1">{#N/A,#N/A,FALSE,"Share the Wealth";#N/A,#N/A,FALSE,"Shareholders vs Employees";#N/A,#N/A,FALSE,"Share vs Emp Summary"}</definedName>
    <definedName name="wrn.Shareholders._.and._.Employees." localSheetId="8" hidden="1">{#N/A,#N/A,FALSE,"Share the Wealth";#N/A,#N/A,FALSE,"Shareholders vs Employees";#N/A,#N/A,FALSE,"Share vs Emp Summary"}</definedName>
    <definedName name="wrn.Shareholders._.and._.Employees." localSheetId="6" hidden="1">{#N/A,#N/A,FALSE,"Share the Wealth";#N/A,#N/A,FALSE,"Shareholders vs Employees";#N/A,#N/A,FALSE,"Share vs Emp Summary"}</definedName>
    <definedName name="wrn.Shareholders._.and._.Employees." localSheetId="17" hidden="1">{#N/A,#N/A,FALSE,"Share the Wealth";#N/A,#N/A,FALSE,"Shareholders vs Employees";#N/A,#N/A,FALSE,"Share vs Emp Summary"}</definedName>
    <definedName name="wrn.Shareholders._.and._.Employees." localSheetId="7" hidden="1">{#N/A,#N/A,FALSE,"Share the Wealth";#N/A,#N/A,FALSE,"Shareholders vs Employees";#N/A,#N/A,FALSE,"Share vs Emp Summary"}</definedName>
    <definedName name="wrn.Shareholders._.and._.Employees." localSheetId="3" hidden="1">{#N/A,#N/A,FALSE,"Share the Wealth";#N/A,#N/A,FALSE,"Shareholders vs Employees";#N/A,#N/A,FALSE,"Share vs Emp Summary"}</definedName>
    <definedName name="wrn.Shareholders._.and._.Employees." localSheetId="21"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unModel." localSheetId="0" hidden="1">{#N/A,#N/A,FALSE,"summary";#N/A,#N/A,FALSE,"SIH";#N/A,#N/A,FALSE,"SIH Value";#N/A,#N/A,FALSE,"tax est.";#N/A,#N/A,FALSE,"Mohegan";#N/A,#N/A,FALSE,"Resorts";#N/A,#N/A,FALSE,"Win Per Day";#N/A,#N/A,FALSE,"CapStr"}</definedName>
    <definedName name="wrn.SunModel." localSheetId="27" hidden="1">{#N/A,#N/A,FALSE,"summary";#N/A,#N/A,FALSE,"SIH";#N/A,#N/A,FALSE,"SIH Value";#N/A,#N/A,FALSE,"tax est.";#N/A,#N/A,FALSE,"Mohegan";#N/A,#N/A,FALSE,"Resorts";#N/A,#N/A,FALSE,"Win Per Day";#N/A,#N/A,FALSE,"CapStr"}</definedName>
    <definedName name="wrn.SunModel." localSheetId="19" hidden="1">{#N/A,#N/A,FALSE,"summary";#N/A,#N/A,FALSE,"SIH";#N/A,#N/A,FALSE,"SIH Value";#N/A,#N/A,FALSE,"tax est.";#N/A,#N/A,FALSE,"Mohegan";#N/A,#N/A,FALSE,"Resorts";#N/A,#N/A,FALSE,"Win Per Day";#N/A,#N/A,FALSE,"CapStr"}</definedName>
    <definedName name="wrn.SunModel." localSheetId="1" hidden="1">{#N/A,#N/A,FALSE,"summary";#N/A,#N/A,FALSE,"SIH";#N/A,#N/A,FALSE,"SIH Value";#N/A,#N/A,FALSE,"tax est.";#N/A,#N/A,FALSE,"Mohegan";#N/A,#N/A,FALSE,"Resorts";#N/A,#N/A,FALSE,"Win Per Day";#N/A,#N/A,FALSE,"CapStr"}</definedName>
    <definedName name="wrn.SunModel." localSheetId="8" hidden="1">{#N/A,#N/A,FALSE,"summary";#N/A,#N/A,FALSE,"SIH";#N/A,#N/A,FALSE,"SIH Value";#N/A,#N/A,FALSE,"tax est.";#N/A,#N/A,FALSE,"Mohegan";#N/A,#N/A,FALSE,"Resorts";#N/A,#N/A,FALSE,"Win Per Day";#N/A,#N/A,FALSE,"CapStr"}</definedName>
    <definedName name="wrn.SunModel." localSheetId="6" hidden="1">{#N/A,#N/A,FALSE,"summary";#N/A,#N/A,FALSE,"SIH";#N/A,#N/A,FALSE,"SIH Value";#N/A,#N/A,FALSE,"tax est.";#N/A,#N/A,FALSE,"Mohegan";#N/A,#N/A,FALSE,"Resorts";#N/A,#N/A,FALSE,"Win Per Day";#N/A,#N/A,FALSE,"CapStr"}</definedName>
    <definedName name="wrn.SunModel." localSheetId="17" hidden="1">{#N/A,#N/A,FALSE,"summary";#N/A,#N/A,FALSE,"SIH";#N/A,#N/A,FALSE,"SIH Value";#N/A,#N/A,FALSE,"tax est.";#N/A,#N/A,FALSE,"Mohegan";#N/A,#N/A,FALSE,"Resorts";#N/A,#N/A,FALSE,"Win Per Day";#N/A,#N/A,FALSE,"CapStr"}</definedName>
    <definedName name="wrn.SunModel." localSheetId="7" hidden="1">{#N/A,#N/A,FALSE,"summary";#N/A,#N/A,FALSE,"SIH";#N/A,#N/A,FALSE,"SIH Value";#N/A,#N/A,FALSE,"tax est.";#N/A,#N/A,FALSE,"Mohegan";#N/A,#N/A,FALSE,"Resorts";#N/A,#N/A,FALSE,"Win Per Day";#N/A,#N/A,FALSE,"CapStr"}</definedName>
    <definedName name="wrn.SunModel." localSheetId="3" hidden="1">{#N/A,#N/A,FALSE,"summary";#N/A,#N/A,FALSE,"SIH";#N/A,#N/A,FALSE,"SIH Value";#N/A,#N/A,FALSE,"tax est.";#N/A,#N/A,FALSE,"Mohegan";#N/A,#N/A,FALSE,"Resorts";#N/A,#N/A,FALSE,"Win Per Day";#N/A,#N/A,FALSE,"CapStr"}</definedName>
    <definedName name="wrn.SunModel." localSheetId="21"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Tables." localSheetId="0" hidden="1">{"view1",#N/A,FALSE,"Tables";"view2",#N/A,FALSE,"Tables";"view3",#N/A,FALSE,"Tables"}</definedName>
    <definedName name="wrn.Tables." localSheetId="27" hidden="1">{"view1",#N/A,FALSE,"Tables";"view2",#N/A,FALSE,"Tables";"view3",#N/A,FALSE,"Tables"}</definedName>
    <definedName name="wrn.Tables." localSheetId="19" hidden="1">{"view1",#N/A,FALSE,"Tables";"view2",#N/A,FALSE,"Tables";"view3",#N/A,FALSE,"Tables"}</definedName>
    <definedName name="wrn.Tables." localSheetId="1" hidden="1">{"view1",#N/A,FALSE,"Tables";"view2",#N/A,FALSE,"Tables";"view3",#N/A,FALSE,"Tables"}</definedName>
    <definedName name="wrn.Tables." localSheetId="8" hidden="1">{"view1",#N/A,FALSE,"Tables";"view2",#N/A,FALSE,"Tables";"view3",#N/A,FALSE,"Tables"}</definedName>
    <definedName name="wrn.Tables." localSheetId="6" hidden="1">{"view1",#N/A,FALSE,"Tables";"view2",#N/A,FALSE,"Tables";"view3",#N/A,FALSE,"Tables"}</definedName>
    <definedName name="wrn.Tables." localSheetId="17" hidden="1">{"view1",#N/A,FALSE,"Tables";"view2",#N/A,FALSE,"Tables";"view3",#N/A,FALSE,"Tables"}</definedName>
    <definedName name="wrn.Tables." localSheetId="7" hidden="1">{"view1",#N/A,FALSE,"Tables";"view2",#N/A,FALSE,"Tables";"view3",#N/A,FALSE,"Tables"}</definedName>
    <definedName name="wrn.Tables." localSheetId="3" hidden="1">{"view1",#N/A,FALSE,"Tables";"view2",#N/A,FALSE,"Tables";"view3",#N/A,FALSE,"Tables"}</definedName>
    <definedName name="wrn.Tables." localSheetId="21" hidden="1">{"view1",#N/A,FALSE,"Tables";"view2",#N/A,FALSE,"Tables";"view3",#N/A,FALSE,"Tables"}</definedName>
    <definedName name="wrn.Tables." hidden="1">{"view1",#N/A,FALSE,"Tables";"view2",#N/A,FALSE,"Tables";"view3",#N/A,FALSE,"Tables"}</definedName>
    <definedName name="wrn.Textron." localSheetId="19" hidden="1">{#N/A,#N/A,FALSE,"IS";#N/A,#N/A,FALSE,"SG";#N/A,#N/A,FALSE,"FF";#N/A,#N/A,FALSE,"BS";#N/A,#N/A,FALSE,"DCF";#N/A,#N/A,FALSE,"EVA";#N/A,#N/A,FALSE,"Air";#N/A,#N/A,FALSE,"Car";#N/A,#N/A,FALSE,"Ind";#N/A,#N/A,FALSE,"Sys";#N/A,#N/A,FALSE,"Fin";#N/A,#N/A,FALSE,"Ces";#N/A,#N/A,FALSE,"Bell"}</definedName>
    <definedName name="wrn.Textron." localSheetId="6" hidden="1">{#N/A,#N/A,FALSE,"IS";#N/A,#N/A,FALSE,"SG";#N/A,#N/A,FALSE,"FF";#N/A,#N/A,FALSE,"BS";#N/A,#N/A,FALSE,"DCF";#N/A,#N/A,FALSE,"EVA";#N/A,#N/A,FALSE,"Air";#N/A,#N/A,FALSE,"Car";#N/A,#N/A,FALSE,"Ind";#N/A,#N/A,FALSE,"Sys";#N/A,#N/A,FALSE,"Fin";#N/A,#N/A,FALSE,"Ces";#N/A,#N/A,FALSE,"Bell"}</definedName>
    <definedName name="wrn.Textron." localSheetId="7" hidden="1">{#N/A,#N/A,FALSE,"IS";#N/A,#N/A,FALSE,"SG";#N/A,#N/A,FALSE,"FF";#N/A,#N/A,FALSE,"BS";#N/A,#N/A,FALSE,"DCF";#N/A,#N/A,FALSE,"EVA";#N/A,#N/A,FALSE,"Air";#N/A,#N/A,FALSE,"Car";#N/A,#N/A,FALSE,"Ind";#N/A,#N/A,FALSE,"Sys";#N/A,#N/A,FALSE,"Fin";#N/A,#N/A,FALSE,"Ces";#N/A,#N/A,FALSE,"Bell"}</definedName>
    <definedName name="wrn.Textron." localSheetId="3" hidden="1">{#N/A,#N/A,FALSE,"IS";#N/A,#N/A,FALSE,"SG";#N/A,#N/A,FALSE,"FF";#N/A,#N/A,FALSE,"BS";#N/A,#N/A,FALSE,"DCF";#N/A,#N/A,FALSE,"EVA";#N/A,#N/A,FALSE,"Air";#N/A,#N/A,FALSE,"Car";#N/A,#N/A,FALSE,"Ind";#N/A,#N/A,FALSE,"Sys";#N/A,#N/A,FALSE,"Fin";#N/A,#N/A,FALSE,"Ces";#N/A,#N/A,FALSE,"Bell"}</definedName>
    <definedName name="wrn.Textron." localSheetId="21" hidden="1">{#N/A,#N/A,FALSE,"IS";#N/A,#N/A,FALSE,"SG";#N/A,#N/A,FALSE,"FF";#N/A,#N/A,FALSE,"BS";#N/A,#N/A,FALSE,"DCF";#N/A,#N/A,FALSE,"EVA";#N/A,#N/A,FALSE,"Air";#N/A,#N/A,FALSE,"Car";#N/A,#N/A,FALSE,"Ind";#N/A,#N/A,FALSE,"Sys";#N/A,#N/A,FALSE,"Fin";#N/A,#N/A,FALSE,"Ces";#N/A,#N/A,FALSE,"Bell"}</definedName>
    <definedName name="wrn.Textron." hidden="1">{#N/A,#N/A,FALSE,"IS";#N/A,#N/A,FALSE,"SG";#N/A,#N/A,FALSE,"FF";#N/A,#N/A,FALSE,"BS";#N/A,#N/A,FALSE,"DCF";#N/A,#N/A,FALSE,"EVA";#N/A,#N/A,FALSE,"Air";#N/A,#N/A,FALSE,"Car";#N/A,#N/A,FALSE,"Ind";#N/A,#N/A,FALSE,"Sys";#N/A,#N/A,FALSE,"Fin";#N/A,#N/A,FALSE,"Ces";#N/A,#N/A,FALSE,"Bell"}</definedName>
    <definedName name="wrn.TheWholeEnchilada." localSheetId="0" hidden="1">{"CSheet",#N/A,FALSE,"C";"SmCap",#N/A,FALSE,"VAL1";"GulfCoast",#N/A,FALSE,"VAL1";"nav",#N/A,FALSE,"NAV";"Summary",#N/A,FALSE,"NAV"}</definedName>
    <definedName name="wrn.TheWholeEnchilada." localSheetId="27" hidden="1">{"CSheet",#N/A,FALSE,"C";"SmCap",#N/A,FALSE,"VAL1";"GulfCoast",#N/A,FALSE,"VAL1";"nav",#N/A,FALSE,"NAV";"Summary",#N/A,FALSE,"NAV"}</definedName>
    <definedName name="wrn.TheWholeEnchilada." localSheetId="19" hidden="1">{"CSheet",#N/A,FALSE,"C";"SmCap",#N/A,FALSE,"VAL1";"GulfCoast",#N/A,FALSE,"VAL1";"nav",#N/A,FALSE,"NAV";"Summary",#N/A,FALSE,"NAV"}</definedName>
    <definedName name="wrn.TheWholeEnchilada." localSheetId="1" hidden="1">{"CSheet",#N/A,FALSE,"C";"SmCap",#N/A,FALSE,"VAL1";"GulfCoast",#N/A,FALSE,"VAL1";"nav",#N/A,FALSE,"NAV";"Summary",#N/A,FALSE,"NAV"}</definedName>
    <definedName name="wrn.TheWholeEnchilada." localSheetId="8" hidden="1">{"CSheet",#N/A,FALSE,"C";"SmCap",#N/A,FALSE,"VAL1";"GulfCoast",#N/A,FALSE,"VAL1";"nav",#N/A,FALSE,"NAV";"Summary",#N/A,FALSE,"NAV"}</definedName>
    <definedName name="wrn.TheWholeEnchilada." localSheetId="6" hidden="1">{"CSheet",#N/A,FALSE,"C";"SmCap",#N/A,FALSE,"VAL1";"GulfCoast",#N/A,FALSE,"VAL1";"nav",#N/A,FALSE,"NAV";"Summary",#N/A,FALSE,"NAV"}</definedName>
    <definedName name="wrn.TheWholeEnchilada." localSheetId="17" hidden="1">{"CSheet",#N/A,FALSE,"C";"SmCap",#N/A,FALSE,"VAL1";"GulfCoast",#N/A,FALSE,"VAL1";"nav",#N/A,FALSE,"NAV";"Summary",#N/A,FALSE,"NAV"}</definedName>
    <definedName name="wrn.TheWholeEnchilada." localSheetId="7" hidden="1">{"CSheet",#N/A,FALSE,"C";"SmCap",#N/A,FALSE,"VAL1";"GulfCoast",#N/A,FALSE,"VAL1";"nav",#N/A,FALSE,"NAV";"Summary",#N/A,FALSE,"NAV"}</definedName>
    <definedName name="wrn.TheWholeEnchilada." localSheetId="3" hidden="1">{"CSheet",#N/A,FALSE,"C";"SmCap",#N/A,FALSE,"VAL1";"GulfCoast",#N/A,FALSE,"VAL1";"nav",#N/A,FALSE,"NAV";"Summary",#N/A,FALSE,"NAV"}</definedName>
    <definedName name="wrn.TheWholeEnchilada." localSheetId="21" hidden="1">{"CSheet",#N/A,FALSE,"C";"SmCap",#N/A,FALSE,"VAL1";"GulfCoast",#N/A,FALSE,"VAL1";"nav",#N/A,FALSE,"NAV";"Summary",#N/A,FALSE,"NAV"}</definedName>
    <definedName name="wrn.TheWholeEnchilada." hidden="1">{"CSheet",#N/A,FALSE,"C";"SmCap",#N/A,FALSE,"VAL1";"GulfCoast",#N/A,FALSE,"VAL1";"nav",#N/A,FALSE,"NAV";"Summary",#N/A,FALSE,"NAV"}</definedName>
    <definedName name="wrn.Total._.Proved." localSheetId="0" hidden="1">{"Total",#N/A,FALSE,"Reserve Report";"HPDP",#N/A,FALSE,"Reserve Report";"PPDP",#N/A,FALSE,"Reserve Report";"PDNP",#N/A,FALSE,"Reserve Report";"PUD",#N/A,FALSE,"Reserve Report"}</definedName>
    <definedName name="wrn.Total._.Proved." localSheetId="27" hidden="1">{"Total",#N/A,FALSE,"Reserve Report";"HPDP",#N/A,FALSE,"Reserve Report";"PPDP",#N/A,FALSE,"Reserve Report";"PDNP",#N/A,FALSE,"Reserve Report";"PUD",#N/A,FALSE,"Reserve Report"}</definedName>
    <definedName name="wrn.Total._.Proved." localSheetId="19" hidden="1">{"Total",#N/A,FALSE,"Reserve Report";"HPDP",#N/A,FALSE,"Reserve Report";"PPDP",#N/A,FALSE,"Reserve Report";"PDNP",#N/A,FALSE,"Reserve Report";"PUD",#N/A,FALSE,"Reserve Report"}</definedName>
    <definedName name="wrn.Total._.Proved." localSheetId="1" hidden="1">{"Total",#N/A,FALSE,"Reserve Report";"HPDP",#N/A,FALSE,"Reserve Report";"PPDP",#N/A,FALSE,"Reserve Report";"PDNP",#N/A,FALSE,"Reserve Report";"PUD",#N/A,FALSE,"Reserve Report"}</definedName>
    <definedName name="wrn.Total._.Proved." localSheetId="8" hidden="1">{"Total",#N/A,FALSE,"Reserve Report";"HPDP",#N/A,FALSE,"Reserve Report";"PPDP",#N/A,FALSE,"Reserve Report";"PDNP",#N/A,FALSE,"Reserve Report";"PUD",#N/A,FALSE,"Reserve Report"}</definedName>
    <definedName name="wrn.Total._.Proved." localSheetId="6" hidden="1">{"Total",#N/A,FALSE,"Reserve Report";"HPDP",#N/A,FALSE,"Reserve Report";"PPDP",#N/A,FALSE,"Reserve Report";"PDNP",#N/A,FALSE,"Reserve Report";"PUD",#N/A,FALSE,"Reserve Report"}</definedName>
    <definedName name="wrn.Total._.Proved." localSheetId="17" hidden="1">{"Total",#N/A,FALSE,"Reserve Report";"HPDP",#N/A,FALSE,"Reserve Report";"PPDP",#N/A,FALSE,"Reserve Report";"PDNP",#N/A,FALSE,"Reserve Report";"PUD",#N/A,FALSE,"Reserve Report"}</definedName>
    <definedName name="wrn.Total._.Proved." localSheetId="7" hidden="1">{"Total",#N/A,FALSE,"Reserve Report";"HPDP",#N/A,FALSE,"Reserve Report";"PPDP",#N/A,FALSE,"Reserve Report";"PDNP",#N/A,FALSE,"Reserve Report";"PUD",#N/A,FALSE,"Reserve Report"}</definedName>
    <definedName name="wrn.Total._.Proved." localSheetId="3" hidden="1">{"Total",#N/A,FALSE,"Reserve Report";"HPDP",#N/A,FALSE,"Reserve Report";"PPDP",#N/A,FALSE,"Reserve Report";"PDNP",#N/A,FALSE,"Reserve Report";"PUD",#N/A,FALSE,"Reserve Report"}</definedName>
    <definedName name="wrn.Total._.Proved." localSheetId="21" hidden="1">{"Total",#N/A,FALSE,"Reserve Report";"HPDP",#N/A,FALSE,"Reserve Report";"PPDP",#N/A,FALSE,"Reserve Report";"PDNP",#N/A,FALSE,"Reserve Report";"PUD",#N/A,FALSE,"Reserve Report"}</definedName>
    <definedName name="wrn.Total._.Proved." hidden="1">{"Total",#N/A,FALSE,"Reserve Report";"HPDP",#N/A,FALSE,"Reserve Report";"PPDP",#N/A,FALSE,"Reserve Report";"PDNP",#N/A,FALSE,"Reserve Report";"PUD",#N/A,FALSE,"Reserve Report"}</definedName>
    <definedName name="wrn.Total._.Proved._.plus._.Probable." localSheetId="0" hidden="1">{"Total",#N/A,FALSE,"Total Proved + Probable";"PDP",#N/A,FALSE,"Total Proved + Probable";"PNP",#N/A,FALSE,"Total Proved + Probable";"PUD",#N/A,FALSE,"Total Proved + Probable";"Prob",#N/A,FALSE,"Total Proved + Probable"}</definedName>
    <definedName name="wrn.Total._.Proved._.plus._.Probable." localSheetId="27" hidden="1">{"Total",#N/A,FALSE,"Total Proved + Probable";"PDP",#N/A,FALSE,"Total Proved + Probable";"PNP",#N/A,FALSE,"Total Proved + Probable";"PUD",#N/A,FALSE,"Total Proved + Probable";"Prob",#N/A,FALSE,"Total Proved + Probable"}</definedName>
    <definedName name="wrn.Total._.Proved._.plus._.Probable." localSheetId="19" hidden="1">{"Total",#N/A,FALSE,"Total Proved + Probable";"PDP",#N/A,FALSE,"Total Proved + Probable";"PNP",#N/A,FALSE,"Total Proved + Probable";"PUD",#N/A,FALSE,"Total Proved + Probable";"Prob",#N/A,FALSE,"Total Proved + Probable"}</definedName>
    <definedName name="wrn.Total._.Proved._.plus._.Probable." localSheetId="1" hidden="1">{"Total",#N/A,FALSE,"Total Proved + Probable";"PDP",#N/A,FALSE,"Total Proved + Probable";"PNP",#N/A,FALSE,"Total Proved + Probable";"PUD",#N/A,FALSE,"Total Proved + Probable";"Prob",#N/A,FALSE,"Total Proved + Probable"}</definedName>
    <definedName name="wrn.Total._.Proved._.plus._.Probable." localSheetId="8" hidden="1">{"Total",#N/A,FALSE,"Total Proved + Probable";"PDP",#N/A,FALSE,"Total Proved + Probable";"PNP",#N/A,FALSE,"Total Proved + Probable";"PUD",#N/A,FALSE,"Total Proved + Probable";"Prob",#N/A,FALSE,"Total Proved + Probable"}</definedName>
    <definedName name="wrn.Total._.Proved._.plus._.Probable." localSheetId="6" hidden="1">{"Total",#N/A,FALSE,"Total Proved + Probable";"PDP",#N/A,FALSE,"Total Proved + Probable";"PNP",#N/A,FALSE,"Total Proved + Probable";"PUD",#N/A,FALSE,"Total Proved + Probable";"Prob",#N/A,FALSE,"Total Proved + Probable"}</definedName>
    <definedName name="wrn.Total._.Proved._.plus._.Probable." localSheetId="17" hidden="1">{"Total",#N/A,FALSE,"Total Proved + Probable";"PDP",#N/A,FALSE,"Total Proved + Probable";"PNP",#N/A,FALSE,"Total Proved + Probable";"PUD",#N/A,FALSE,"Total Proved + Probable";"Prob",#N/A,FALSE,"Total Proved + Probable"}</definedName>
    <definedName name="wrn.Total._.Proved._.plus._.Probable." localSheetId="7" hidden="1">{"Total",#N/A,FALSE,"Total Proved + Probable";"PDP",#N/A,FALSE,"Total Proved + Probable";"PNP",#N/A,FALSE,"Total Proved + Probable";"PUD",#N/A,FALSE,"Total Proved + Probable";"Prob",#N/A,FALSE,"Total Proved + Probable"}</definedName>
    <definedName name="wrn.Total._.Proved._.plus._.Probable." localSheetId="3" hidden="1">{"Total",#N/A,FALSE,"Total Proved + Probable";"PDP",#N/A,FALSE,"Total Proved + Probable";"PNP",#N/A,FALSE,"Total Proved + Probable";"PUD",#N/A,FALSE,"Total Proved + Probable";"Prob",#N/A,FALSE,"Total Proved + Probable"}</definedName>
    <definedName name="wrn.Total._.Proved._.plus._.Probable." localSheetId="21"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rinidad." localSheetId="0" hidden="1">{"Trinidad",#N/A,FALSE,"Trinidad"}</definedName>
    <definedName name="wrn.Trinidad." localSheetId="27" hidden="1">{"Trinidad",#N/A,FALSE,"Trinidad"}</definedName>
    <definedName name="wrn.Trinidad." localSheetId="19" hidden="1">{"Trinidad",#N/A,FALSE,"Trinidad"}</definedName>
    <definedName name="wrn.Trinidad." localSheetId="1" hidden="1">{"Trinidad",#N/A,FALSE,"Trinidad"}</definedName>
    <definedName name="wrn.Trinidad." localSheetId="8" hidden="1">{"Trinidad",#N/A,FALSE,"Trinidad"}</definedName>
    <definedName name="wrn.Trinidad." localSheetId="6" hidden="1">{"Trinidad",#N/A,FALSE,"Trinidad"}</definedName>
    <definedName name="wrn.Trinidad." localSheetId="17" hidden="1">{"Trinidad",#N/A,FALSE,"Trinidad"}</definedName>
    <definedName name="wrn.Trinidad." localSheetId="7" hidden="1">{"Trinidad",#N/A,FALSE,"Trinidad"}</definedName>
    <definedName name="wrn.Trinidad." localSheetId="3" hidden="1">{"Trinidad",#N/A,FALSE,"Trinidad"}</definedName>
    <definedName name="wrn.Trinidad." localSheetId="21" hidden="1">{"Trinidad",#N/A,FALSE,"Trinidad"}</definedName>
    <definedName name="wrn.Trinidad." hidden="1">{"Trinidad",#N/A,FALSE,"Trinidad"}</definedName>
    <definedName name="wrn.U.S.._.Industries._.Inc.." localSheetId="19" hidden="1">{#N/A,#N/A,TRUE,"3QRpt";#N/A,#N/A,TRUE,"EST";#N/A,#N/A,TRUE,"HOUSE";#N/A,#N/A,TRUE,"REC";#N/A,#N/A,TRUE,"SHOE";#N/A,#N/A,TRUE,"BLD";#N/A,#N/A,TRUE,"IND";#N/A,#N/A,TRUE,"COMP";#N/A,#N/A,TRUE,"COMP2";#N/A,#N/A,TRUE,"KEEP";#N/A,#N/A,TRUE,"IntExp";#N/A,#N/A,TRUE,"Proceeds"}</definedName>
    <definedName name="wrn.U.S.._.Industries._.Inc.." localSheetId="6" hidden="1">{#N/A,#N/A,TRUE,"3QRpt";#N/A,#N/A,TRUE,"EST";#N/A,#N/A,TRUE,"HOUSE";#N/A,#N/A,TRUE,"REC";#N/A,#N/A,TRUE,"SHOE";#N/A,#N/A,TRUE,"BLD";#N/A,#N/A,TRUE,"IND";#N/A,#N/A,TRUE,"COMP";#N/A,#N/A,TRUE,"COMP2";#N/A,#N/A,TRUE,"KEEP";#N/A,#N/A,TRUE,"IntExp";#N/A,#N/A,TRUE,"Proceeds"}</definedName>
    <definedName name="wrn.U.S.._.Industries._.Inc.." localSheetId="7" hidden="1">{#N/A,#N/A,TRUE,"3QRpt";#N/A,#N/A,TRUE,"EST";#N/A,#N/A,TRUE,"HOUSE";#N/A,#N/A,TRUE,"REC";#N/A,#N/A,TRUE,"SHOE";#N/A,#N/A,TRUE,"BLD";#N/A,#N/A,TRUE,"IND";#N/A,#N/A,TRUE,"COMP";#N/A,#N/A,TRUE,"COMP2";#N/A,#N/A,TRUE,"KEEP";#N/A,#N/A,TRUE,"IntExp";#N/A,#N/A,TRUE,"Proceeds"}</definedName>
    <definedName name="wrn.U.S.._.Industries._.Inc.." localSheetId="3" hidden="1">{#N/A,#N/A,TRUE,"3QRpt";#N/A,#N/A,TRUE,"EST";#N/A,#N/A,TRUE,"HOUSE";#N/A,#N/A,TRUE,"REC";#N/A,#N/A,TRUE,"SHOE";#N/A,#N/A,TRUE,"BLD";#N/A,#N/A,TRUE,"IND";#N/A,#N/A,TRUE,"COMP";#N/A,#N/A,TRUE,"COMP2";#N/A,#N/A,TRUE,"KEEP";#N/A,#N/A,TRUE,"IntExp";#N/A,#N/A,TRUE,"Proceeds"}</definedName>
    <definedName name="wrn.U.S.._.Industries._.Inc.." localSheetId="21" hidden="1">{#N/A,#N/A,TRUE,"3QRpt";#N/A,#N/A,TRUE,"EST";#N/A,#N/A,TRUE,"HOUSE";#N/A,#N/A,TRUE,"REC";#N/A,#N/A,TRUE,"SHOE";#N/A,#N/A,TRUE,"BLD";#N/A,#N/A,TRUE,"IND";#N/A,#N/A,TRUE,"COMP";#N/A,#N/A,TRUE,"COMP2";#N/A,#N/A,TRUE,"KEEP";#N/A,#N/A,TRUE,"IntExp";#N/A,#N/A,TRUE,"Proceeds"}</definedName>
    <definedName name="wrn.U.S.._.Industries._.Inc.." hidden="1">{#N/A,#N/A,TRUE,"3QRpt";#N/A,#N/A,TRUE,"EST";#N/A,#N/A,TRUE,"HOUSE";#N/A,#N/A,TRUE,"REC";#N/A,#N/A,TRUE,"SHOE";#N/A,#N/A,TRUE,"BLD";#N/A,#N/A,TRUE,"IND";#N/A,#N/A,TRUE,"COMP";#N/A,#N/A,TRUE,"COMP2";#N/A,#N/A,TRUE,"KEEP";#N/A,#N/A,TRUE,"IntExp";#N/A,#N/A,TRUE,"Proceeds"}</definedName>
    <definedName name="wrn.UK." localSheetId="0" hidden="1">{"UK",#N/A,FALSE,"U.K."}</definedName>
    <definedName name="wrn.UK." localSheetId="27" hidden="1">{"UK",#N/A,FALSE,"U.K."}</definedName>
    <definedName name="wrn.UK." localSheetId="19" hidden="1">{"UK",#N/A,FALSE,"U.K."}</definedName>
    <definedName name="wrn.UK." localSheetId="1" hidden="1">{"UK",#N/A,FALSE,"U.K."}</definedName>
    <definedName name="wrn.UK." localSheetId="8" hidden="1">{"UK",#N/A,FALSE,"U.K."}</definedName>
    <definedName name="wrn.UK." localSheetId="6" hidden="1">{"UK",#N/A,FALSE,"U.K."}</definedName>
    <definedName name="wrn.UK." localSheetId="17" hidden="1">{"UK",#N/A,FALSE,"U.K."}</definedName>
    <definedName name="wrn.UK." localSheetId="7" hidden="1">{"UK",#N/A,FALSE,"U.K."}</definedName>
    <definedName name="wrn.UK." localSheetId="3" hidden="1">{"UK",#N/A,FALSE,"U.K."}</definedName>
    <definedName name="wrn.UK." localSheetId="21" hidden="1">{"UK",#N/A,FALSE,"U.K."}</definedName>
    <definedName name="wrn.UK." hidden="1">{"UK",#N/A,FALSE,"U.K."}</definedName>
    <definedName name="wrn.United._.States." localSheetId="0" hidden="1">{"US",#N/A,FALSE,"United States"}</definedName>
    <definedName name="wrn.United._.States." localSheetId="27" hidden="1">{"US",#N/A,FALSE,"United States"}</definedName>
    <definedName name="wrn.United._.States." localSheetId="19" hidden="1">{"US",#N/A,FALSE,"United States"}</definedName>
    <definedName name="wrn.United._.States." localSheetId="1" hidden="1">{"US",#N/A,FALSE,"United States"}</definedName>
    <definedName name="wrn.United._.States." localSheetId="8" hidden="1">{"US",#N/A,FALSE,"United States"}</definedName>
    <definedName name="wrn.United._.States." localSheetId="6" hidden="1">{"US",#N/A,FALSE,"United States"}</definedName>
    <definedName name="wrn.United._.States." localSheetId="17" hidden="1">{"US",#N/A,FALSE,"United States"}</definedName>
    <definedName name="wrn.United._.States." localSheetId="7" hidden="1">{"US",#N/A,FALSE,"United States"}</definedName>
    <definedName name="wrn.United._.States." localSheetId="3" hidden="1">{"US",#N/A,FALSE,"United States"}</definedName>
    <definedName name="wrn.United._.States." localSheetId="21" hidden="1">{"US",#N/A,FALSE,"United States"}</definedName>
    <definedName name="wrn.United._.States." hidden="1">{"US",#N/A,FALSE,"United States"}</definedName>
    <definedName name="wrn.Universe." localSheetId="19" hidden="1">{"View_6",#N/A,FALSE,"Mix-Int-R&amp;D";"View_4",#N/A,FALSE,"Margins";"View_5",#N/A,FALSE,"Ratios";"View_3",#N/A,FALSE,"Mix";"View_2",#N/A,FALSE,"FV-EBITDA";"View_1",#N/A,FALSE,"EPS"}</definedName>
    <definedName name="wrn.Universe." localSheetId="6" hidden="1">{"View_6",#N/A,FALSE,"Mix-Int-R&amp;D";"View_4",#N/A,FALSE,"Margins";"View_5",#N/A,FALSE,"Ratios";"View_3",#N/A,FALSE,"Mix";"View_2",#N/A,FALSE,"FV-EBITDA";"View_1",#N/A,FALSE,"EPS"}</definedName>
    <definedName name="wrn.Universe." localSheetId="7" hidden="1">{"View_6",#N/A,FALSE,"Mix-Int-R&amp;D";"View_4",#N/A,FALSE,"Margins";"View_5",#N/A,FALSE,"Ratios";"View_3",#N/A,FALSE,"Mix";"View_2",#N/A,FALSE,"FV-EBITDA";"View_1",#N/A,FALSE,"EPS"}</definedName>
    <definedName name="wrn.Universe." localSheetId="3" hidden="1">{"View_6",#N/A,FALSE,"Mix-Int-R&amp;D";"View_4",#N/A,FALSE,"Margins";"View_5",#N/A,FALSE,"Ratios";"View_3",#N/A,FALSE,"Mix";"View_2",#N/A,FALSE,"FV-EBITDA";"View_1",#N/A,FALSE,"EPS"}</definedName>
    <definedName name="wrn.Universe." localSheetId="21" hidden="1">{"View_6",#N/A,FALSE,"Mix-Int-R&amp;D";"View_4",#N/A,FALSE,"Margins";"View_5",#N/A,FALSE,"Ratios";"View_3",#N/A,FALSE,"Mix";"View_2",#N/A,FALSE,"FV-EBITDA";"View_1",#N/A,FALSE,"EPS"}</definedName>
    <definedName name="wrn.Universe." hidden="1">{"View_6",#N/A,FALSE,"Mix-Int-R&amp;D";"View_4",#N/A,FALSE,"Margins";"View_5",#N/A,FALSE,"Ratios";"View_3",#N/A,FALSE,"Mix";"View_2",#N/A,FALSE,"FV-EBITDA";"View_1",#N/A,FALSE,"EPS"}</definedName>
    <definedName name="wrn.USA." localSheetId="0" hidden="1">{"USA",#N/A,FALSE,"U.S.A."}</definedName>
    <definedName name="wrn.USA." localSheetId="27" hidden="1">{"USA",#N/A,FALSE,"U.S.A."}</definedName>
    <definedName name="wrn.USA." localSheetId="19" hidden="1">{"USA",#N/A,FALSE,"U.S.A."}</definedName>
    <definedName name="wrn.USA." localSheetId="1" hidden="1">{"USA",#N/A,FALSE,"U.S.A."}</definedName>
    <definedName name="wrn.USA." localSheetId="8" hidden="1">{"USA",#N/A,FALSE,"U.S.A."}</definedName>
    <definedName name="wrn.USA." localSheetId="6" hidden="1">{"USA",#N/A,FALSE,"U.S.A."}</definedName>
    <definedName name="wrn.USA." localSheetId="17" hidden="1">{"USA",#N/A,FALSE,"U.S.A."}</definedName>
    <definedName name="wrn.USA." localSheetId="7" hidden="1">{"USA",#N/A,FALSE,"U.S.A."}</definedName>
    <definedName name="wrn.USA." localSheetId="3" hidden="1">{"USA",#N/A,FALSE,"U.S.A."}</definedName>
    <definedName name="wrn.USA." localSheetId="21" hidden="1">{"USA",#N/A,FALSE,"U.S.A."}</definedName>
    <definedName name="wrn.USA." hidden="1">{"USA",#N/A,FALSE,"U.S.A."}</definedName>
    <definedName name="wrn.valuation." localSheetId="19" hidden="1">{"valuation",#N/A,FALSE,"TXTCOMPS"}</definedName>
    <definedName name="wrn.valuation." localSheetId="6" hidden="1">{"valuation",#N/A,FALSE,"TXTCOMPS"}</definedName>
    <definedName name="wrn.valuation." localSheetId="7" hidden="1">{"valuation",#N/A,FALSE,"TXTCOMPS"}</definedName>
    <definedName name="wrn.valuation." localSheetId="3" hidden="1">{"valuation",#N/A,FALSE,"TXTCOMPS"}</definedName>
    <definedName name="wrn.valuation." localSheetId="21" hidden="1">{"valuation",#N/A,FALSE,"TXTCOMPS"}</definedName>
    <definedName name="wrn.valuation." hidden="1">{"valuation",#N/A,FALSE,"TXTCOMPS"}</definedName>
    <definedName name="wrn.VALUENAV." localSheetId="0" hidden="1">{#N/A,#N/A,FALSE,"Value";#N/A,#N/A,FALSE,"NAV"}</definedName>
    <definedName name="wrn.VALUENAV." localSheetId="27" hidden="1">{#N/A,#N/A,FALSE,"Value";#N/A,#N/A,FALSE,"NAV"}</definedName>
    <definedName name="wrn.VALUENAV." localSheetId="19" hidden="1">{#N/A,#N/A,FALSE,"Value";#N/A,#N/A,FALSE,"NAV"}</definedName>
    <definedName name="wrn.VALUENAV." localSheetId="1" hidden="1">{#N/A,#N/A,FALSE,"Value";#N/A,#N/A,FALSE,"NAV"}</definedName>
    <definedName name="wrn.VALUENAV." localSheetId="8" hidden="1">{#N/A,#N/A,FALSE,"Value";#N/A,#N/A,FALSE,"NAV"}</definedName>
    <definedName name="wrn.VALUENAV." localSheetId="6" hidden="1">{#N/A,#N/A,FALSE,"Value";#N/A,#N/A,FALSE,"NAV"}</definedName>
    <definedName name="wrn.VALUENAV." localSheetId="17" hidden="1">{#N/A,#N/A,FALSE,"Value";#N/A,#N/A,FALSE,"NAV"}</definedName>
    <definedName name="wrn.VALUENAV." localSheetId="7" hidden="1">{#N/A,#N/A,FALSE,"Value";#N/A,#N/A,FALSE,"NAV"}</definedName>
    <definedName name="wrn.VALUENAV." localSheetId="3" hidden="1">{#N/A,#N/A,FALSE,"Value";#N/A,#N/A,FALSE,"NAV"}</definedName>
    <definedName name="wrn.VALUENAV." localSheetId="21" hidden="1">{#N/A,#N/A,FALSE,"Value";#N/A,#N/A,FALSE,"NAV"}</definedName>
    <definedName name="wrn.VALUENAV." hidden="1">{#N/A,#N/A,FALSE,"Value";#N/A,#N/A,FALSE,"NAV"}</definedName>
    <definedName name="wrn.Variance._.3." localSheetId="0" hidden="1">{"Variance Q3",#N/A,FALSE,"Var"}</definedName>
    <definedName name="wrn.Variance._.3." localSheetId="27" hidden="1">{"Variance Q3",#N/A,FALSE,"Var"}</definedName>
    <definedName name="wrn.Variance._.3." localSheetId="19" hidden="1">{"Variance Q3",#N/A,FALSE,"Var"}</definedName>
    <definedName name="wrn.Variance._.3." localSheetId="1" hidden="1">{"Variance Q3",#N/A,FALSE,"Var"}</definedName>
    <definedName name="wrn.Variance._.3." localSheetId="8" hidden="1">{"Variance Q3",#N/A,FALSE,"Var"}</definedName>
    <definedName name="wrn.Variance._.3." localSheetId="6" hidden="1">{"Variance Q3",#N/A,FALSE,"Var"}</definedName>
    <definedName name="wrn.Variance._.3." localSheetId="17" hidden="1">{"Variance Q3",#N/A,FALSE,"Var"}</definedName>
    <definedName name="wrn.Variance._.3." localSheetId="7" hidden="1">{"Variance Q3",#N/A,FALSE,"Var"}</definedName>
    <definedName name="wrn.Variance._.3." localSheetId="3" hidden="1">{"Variance Q3",#N/A,FALSE,"Var"}</definedName>
    <definedName name="wrn.Variance._.3." localSheetId="21" hidden="1">{"Variance Q3",#N/A,FALSE,"Var"}</definedName>
    <definedName name="wrn.Variance._.3." hidden="1">{"Variance Q3",#N/A,FALSE,"Var"}</definedName>
    <definedName name="wrn.Variance._.Q1." localSheetId="0" hidden="1">{"Variance Q1",#N/A,FALSE,"Var"}</definedName>
    <definedName name="wrn.Variance._.Q1." localSheetId="27" hidden="1">{"Variance Q1",#N/A,FALSE,"Var"}</definedName>
    <definedName name="wrn.Variance._.Q1." localSheetId="19" hidden="1">{"Variance Q1",#N/A,FALSE,"Var"}</definedName>
    <definedName name="wrn.Variance._.Q1." localSheetId="1" hidden="1">{"Variance Q1",#N/A,FALSE,"Var"}</definedName>
    <definedName name="wrn.Variance._.Q1." localSheetId="8" hidden="1">{"Variance Q1",#N/A,FALSE,"Var"}</definedName>
    <definedName name="wrn.Variance._.Q1." localSheetId="6" hidden="1">{"Variance Q1",#N/A,FALSE,"Var"}</definedName>
    <definedName name="wrn.Variance._.Q1." localSheetId="17" hidden="1">{"Variance Q1",#N/A,FALSE,"Var"}</definedName>
    <definedName name="wrn.Variance._.Q1." localSheetId="7" hidden="1">{"Variance Q1",#N/A,FALSE,"Var"}</definedName>
    <definedName name="wrn.Variance._.Q1." localSheetId="3" hidden="1">{"Variance Q1",#N/A,FALSE,"Var"}</definedName>
    <definedName name="wrn.Variance._.Q1." localSheetId="21" hidden="1">{"Variance Q1",#N/A,FALSE,"Var"}</definedName>
    <definedName name="wrn.Variance._.Q1." hidden="1">{"Variance Q1",#N/A,FALSE,"Var"}</definedName>
    <definedName name="wrn.Variance._.Q2." localSheetId="0" hidden="1">{"Variance Q2",#N/A,FALSE,"Var"}</definedName>
    <definedName name="wrn.Variance._.Q2." localSheetId="27" hidden="1">{"Variance Q2",#N/A,FALSE,"Var"}</definedName>
    <definedName name="wrn.Variance._.Q2." localSheetId="19" hidden="1">{"Variance Q2",#N/A,FALSE,"Var"}</definedName>
    <definedName name="wrn.Variance._.Q2." localSheetId="1" hidden="1">{"Variance Q2",#N/A,FALSE,"Var"}</definedName>
    <definedName name="wrn.Variance._.Q2." localSheetId="8" hidden="1">{"Variance Q2",#N/A,FALSE,"Var"}</definedName>
    <definedName name="wrn.Variance._.Q2." localSheetId="6" hidden="1">{"Variance Q2",#N/A,FALSE,"Var"}</definedName>
    <definedName name="wrn.Variance._.Q2." localSheetId="17" hidden="1">{"Variance Q2",#N/A,FALSE,"Var"}</definedName>
    <definedName name="wrn.Variance._.Q2." localSheetId="7" hidden="1">{"Variance Q2",#N/A,FALSE,"Var"}</definedName>
    <definedName name="wrn.Variance._.Q2." localSheetId="3" hidden="1">{"Variance Q2",#N/A,FALSE,"Var"}</definedName>
    <definedName name="wrn.Variance._.Q2." localSheetId="21" hidden="1">{"Variance Q2",#N/A,FALSE,"Var"}</definedName>
    <definedName name="wrn.Variance._.Q2." hidden="1">{"Variance Q2",#N/A,FALSE,"Var"}</definedName>
    <definedName name="wrn.Variance._.Q3." localSheetId="0" hidden="1">{"Variance Q3",#N/A,FALSE,"Var"}</definedName>
    <definedName name="wrn.Variance._.Q3." localSheetId="27" hidden="1">{"Variance Q3",#N/A,FALSE,"Var"}</definedName>
    <definedName name="wrn.Variance._.Q3." localSheetId="19" hidden="1">{"Variance Q3",#N/A,FALSE,"Var"}</definedName>
    <definedName name="wrn.Variance._.Q3." localSheetId="1" hidden="1">{"Variance Q3",#N/A,FALSE,"Var"}</definedName>
    <definedName name="wrn.Variance._.Q3." localSheetId="8" hidden="1">{"Variance Q3",#N/A,FALSE,"Var"}</definedName>
    <definedName name="wrn.Variance._.Q3." localSheetId="6" hidden="1">{"Variance Q3",#N/A,FALSE,"Var"}</definedName>
    <definedName name="wrn.Variance._.Q3." localSheetId="17" hidden="1">{"Variance Q3",#N/A,FALSE,"Var"}</definedName>
    <definedName name="wrn.Variance._.Q3." localSheetId="7" hidden="1">{"Variance Q3",#N/A,FALSE,"Var"}</definedName>
    <definedName name="wrn.Variance._.Q3." localSheetId="3" hidden="1">{"Variance Q3",#N/A,FALSE,"Var"}</definedName>
    <definedName name="wrn.Variance._.Q3." localSheetId="21" hidden="1">{"Variance Q3",#N/A,FALSE,"Var"}</definedName>
    <definedName name="wrn.Variance._.Q3." hidden="1">{"Variance Q3",#N/A,FALSE,"Var"}</definedName>
    <definedName name="wrn.Variance._.Q4" localSheetId="0" hidden="1">{"Variance Q4",#N/A,FALSE,"Var"}</definedName>
    <definedName name="wrn.Variance._.Q4" localSheetId="27" hidden="1">{"Variance Q4",#N/A,FALSE,"Var"}</definedName>
    <definedName name="wrn.Variance._.Q4" localSheetId="19" hidden="1">{"Variance Q4",#N/A,FALSE,"Var"}</definedName>
    <definedName name="wrn.Variance._.Q4" localSheetId="1" hidden="1">{"Variance Q4",#N/A,FALSE,"Var"}</definedName>
    <definedName name="wrn.Variance._.Q4" localSheetId="8" hidden="1">{"Variance Q4",#N/A,FALSE,"Var"}</definedName>
    <definedName name="wrn.Variance._.Q4" localSheetId="6" hidden="1">{"Variance Q4",#N/A,FALSE,"Var"}</definedName>
    <definedName name="wrn.Variance._.Q4" localSheetId="17" hidden="1">{"Variance Q4",#N/A,FALSE,"Var"}</definedName>
    <definedName name="wrn.Variance._.Q4" localSheetId="7" hidden="1">{"Variance Q4",#N/A,FALSE,"Var"}</definedName>
    <definedName name="wrn.Variance._.Q4" localSheetId="3" hidden="1">{"Variance Q4",#N/A,FALSE,"Var"}</definedName>
    <definedName name="wrn.Variance._.Q4" localSheetId="21" hidden="1">{"Variance Q4",#N/A,FALSE,"Var"}</definedName>
    <definedName name="wrn.Variance._.Q4" hidden="1">{"Variance Q4",#N/A,FALSE,"Var"}</definedName>
    <definedName name="wrn.Variance._.Q4." localSheetId="0" hidden="1">{"Variance Q4",#N/A,FALSE,"Var"}</definedName>
    <definedName name="wrn.Variance._.Q4." localSheetId="27" hidden="1">{"Variance Q4",#N/A,FALSE,"Var"}</definedName>
    <definedName name="wrn.Variance._.Q4." localSheetId="19" hidden="1">{"Variance Q4",#N/A,FALSE,"Var"}</definedName>
    <definedName name="wrn.Variance._.Q4." localSheetId="1" hidden="1">{"Variance Q4",#N/A,FALSE,"Var"}</definedName>
    <definedName name="wrn.Variance._.Q4." localSheetId="8" hidden="1">{"Variance Q4",#N/A,FALSE,"Var"}</definedName>
    <definedName name="wrn.Variance._.Q4." localSheetId="6" hidden="1">{"Variance Q4",#N/A,FALSE,"Var"}</definedName>
    <definedName name="wrn.Variance._.Q4." localSheetId="17" hidden="1">{"Variance Q4",#N/A,FALSE,"Var"}</definedName>
    <definedName name="wrn.Variance._.Q4." localSheetId="7" hidden="1">{"Variance Q4",#N/A,FALSE,"Var"}</definedName>
    <definedName name="wrn.Variance._.Q4." localSheetId="3" hidden="1">{"Variance Q4",#N/A,FALSE,"Var"}</definedName>
    <definedName name="wrn.Variance._.Q4." localSheetId="21" hidden="1">{"Variance Q4",#N/A,FALSE,"Var"}</definedName>
    <definedName name="wrn.Variance._.Q4." hidden="1">{"Variance Q4",#N/A,FALSE,"Var"}</definedName>
    <definedName name="wrn.weekly." localSheetId="0" hidden="1">{#N/A,#N/A,FALSE,"Large Operators";#N/A,#N/A,FALSE,"Smaller Operators";#N/A,#N/A,FALSE,"Equip. Supply";#N/A,#N/A,FALSE,"EBITDA";#N/A,#N/A,FALSE,"perform"}</definedName>
    <definedName name="wrn.weekly." localSheetId="27" hidden="1">{#N/A,#N/A,FALSE,"Large Operators";#N/A,#N/A,FALSE,"Smaller Operators";#N/A,#N/A,FALSE,"Equip. Supply";#N/A,#N/A,FALSE,"EBITDA";#N/A,#N/A,FALSE,"perform"}</definedName>
    <definedName name="wrn.weekly." localSheetId="19" hidden="1">{#N/A,#N/A,FALSE,"Large Operators";#N/A,#N/A,FALSE,"Smaller Operators";#N/A,#N/A,FALSE,"Equip. Supply";#N/A,#N/A,FALSE,"EBITDA";#N/A,#N/A,FALSE,"perform"}</definedName>
    <definedName name="wrn.weekly." localSheetId="1" hidden="1">{#N/A,#N/A,FALSE,"Large Operators";#N/A,#N/A,FALSE,"Smaller Operators";#N/A,#N/A,FALSE,"Equip. Supply";#N/A,#N/A,FALSE,"EBITDA";#N/A,#N/A,FALSE,"perform"}</definedName>
    <definedName name="wrn.weekly." localSheetId="8" hidden="1">{#N/A,#N/A,FALSE,"Large Operators";#N/A,#N/A,FALSE,"Smaller Operators";#N/A,#N/A,FALSE,"Equip. Supply";#N/A,#N/A,FALSE,"EBITDA";#N/A,#N/A,FALSE,"perform"}</definedName>
    <definedName name="wrn.weekly." localSheetId="6" hidden="1">{#N/A,#N/A,FALSE,"Large Operators";#N/A,#N/A,FALSE,"Smaller Operators";#N/A,#N/A,FALSE,"Equip. Supply";#N/A,#N/A,FALSE,"EBITDA";#N/A,#N/A,FALSE,"perform"}</definedName>
    <definedName name="wrn.weekly." localSheetId="17" hidden="1">{#N/A,#N/A,FALSE,"Large Operators";#N/A,#N/A,FALSE,"Smaller Operators";#N/A,#N/A,FALSE,"Equip. Supply";#N/A,#N/A,FALSE,"EBITDA";#N/A,#N/A,FALSE,"perform"}</definedName>
    <definedName name="wrn.weekly." localSheetId="7" hidden="1">{#N/A,#N/A,FALSE,"Large Operators";#N/A,#N/A,FALSE,"Smaller Operators";#N/A,#N/A,FALSE,"Equip. Supply";#N/A,#N/A,FALSE,"EBITDA";#N/A,#N/A,FALSE,"perform"}</definedName>
    <definedName name="wrn.weekly." localSheetId="3" hidden="1">{#N/A,#N/A,FALSE,"Large Operators";#N/A,#N/A,FALSE,"Smaller Operators";#N/A,#N/A,FALSE,"Equip. Supply";#N/A,#N/A,FALSE,"EBITDA";#N/A,#N/A,FALSE,"perform"}</definedName>
    <definedName name="wrn.weekly." localSheetId="21" hidden="1">{#N/A,#N/A,FALSE,"Large Operators";#N/A,#N/A,FALSE,"Smaller Operators";#N/A,#N/A,FALSE,"Equip. Supply";#N/A,#N/A,FALSE,"EBITDA";#N/A,#N/A,FALSE,"perform"}</definedName>
    <definedName name="wrn.weekly." hidden="1">{#N/A,#N/A,FALSE,"Large Operators";#N/A,#N/A,FALSE,"Smaller Operators";#N/A,#N/A,FALSE,"Equip. Supply";#N/A,#N/A,FALSE,"EBITDA";#N/A,#N/A,FALSE,"perform"}</definedName>
    <definedName name="wrn.wells." localSheetId="0"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9"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8"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6"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1"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LAVARIANCEANALYSIS." localSheetId="0" hidden="1">{"INCOME STATEMENT",#N/A,FALSE,"IS";"WWSALES",#N/A,FALSE,"WWSALES";"USSALES",#N/A,FALSE,"USSALES";"INTLSALES",#N/A,FALSE,"INTLSALES"}</definedName>
    <definedName name="wrn.WLAVARIANCEANALYSIS." localSheetId="27" hidden="1">{"INCOME STATEMENT",#N/A,FALSE,"IS";"WWSALES",#N/A,FALSE,"WWSALES";"USSALES",#N/A,FALSE,"USSALES";"INTLSALES",#N/A,FALSE,"INTLSALES"}</definedName>
    <definedName name="wrn.WLAVARIANCEANALYSIS." localSheetId="19" hidden="1">{"INCOME STATEMENT",#N/A,FALSE,"IS";"WWSALES",#N/A,FALSE,"WWSALES";"USSALES",#N/A,FALSE,"USSALES";"INTLSALES",#N/A,FALSE,"INTLSALES"}</definedName>
    <definedName name="wrn.WLAVARIANCEANALYSIS." localSheetId="1" hidden="1">{"INCOME STATEMENT",#N/A,FALSE,"IS";"WWSALES",#N/A,FALSE,"WWSALES";"USSALES",#N/A,FALSE,"USSALES";"INTLSALES",#N/A,FALSE,"INTLSALES"}</definedName>
    <definedName name="wrn.WLAVARIANCEANALYSIS." localSheetId="8" hidden="1">{"INCOME STATEMENT",#N/A,FALSE,"IS";"WWSALES",#N/A,FALSE,"WWSALES";"USSALES",#N/A,FALSE,"USSALES";"INTLSALES",#N/A,FALSE,"INTLSALES"}</definedName>
    <definedName name="wrn.WLAVARIANCEANALYSIS." localSheetId="6" hidden="1">{"INCOME STATEMENT",#N/A,FALSE,"IS";"WWSALES",#N/A,FALSE,"WWSALES";"USSALES",#N/A,FALSE,"USSALES";"INTLSALES",#N/A,FALSE,"INTLSALES"}</definedName>
    <definedName name="wrn.WLAVARIANCEANALYSIS." localSheetId="17" hidden="1">{"INCOME STATEMENT",#N/A,FALSE,"IS";"WWSALES",#N/A,FALSE,"WWSALES";"USSALES",#N/A,FALSE,"USSALES";"INTLSALES",#N/A,FALSE,"INTLSALES"}</definedName>
    <definedName name="wrn.WLAVARIANCEANALYSIS." localSheetId="7" hidden="1">{"INCOME STATEMENT",#N/A,FALSE,"IS";"WWSALES",#N/A,FALSE,"WWSALES";"USSALES",#N/A,FALSE,"USSALES";"INTLSALES",#N/A,FALSE,"INTLSALES"}</definedName>
    <definedName name="wrn.WLAVARIANCEANALYSIS." localSheetId="3" hidden="1">{"INCOME STATEMENT",#N/A,FALSE,"IS";"WWSALES",#N/A,FALSE,"WWSALES";"USSALES",#N/A,FALSE,"USSALES";"INTLSALES",#N/A,FALSE,"INTLSALES"}</definedName>
    <definedName name="wrn.WLAVARIANCEANALYSIS." localSheetId="21" hidden="1">{"INCOME STATEMENT",#N/A,FALSE,"IS";"WWSALES",#N/A,FALSE,"WWSALES";"USSALES",#N/A,FALSE,"USSALES";"INTLSALES",#N/A,FALSE,"INTLSALES"}</definedName>
    <definedName name="wrn.WLAVARIANCEANALYSIS." hidden="1">{"INCOME STATEMENT",#N/A,FALSE,"IS";"WWSALES",#N/A,FALSE,"WWSALES";"USSALES",#N/A,FALSE,"USSALES";"INTLSALES",#N/A,FALSE,"INTLSALES"}</definedName>
    <definedName name="wrn1.corporate._Profile" localSheetId="0" hidden="1">{"Corporate Profile",#N/A,FALSE,"D"}</definedName>
    <definedName name="wrn1.corporate._Profile" localSheetId="27" hidden="1">{"Corporate Profile",#N/A,FALSE,"D"}</definedName>
    <definedName name="wrn1.corporate._Profile" localSheetId="19" hidden="1">{"Corporate Profile",#N/A,FALSE,"D"}</definedName>
    <definedName name="wrn1.corporate._Profile" localSheetId="1" hidden="1">{"Corporate Profile",#N/A,FALSE,"D"}</definedName>
    <definedName name="wrn1.corporate._Profile" localSheetId="8" hidden="1">{"Corporate Profile",#N/A,FALSE,"D"}</definedName>
    <definedName name="wrn1.corporate._Profile" localSheetId="6" hidden="1">{"Corporate Profile",#N/A,FALSE,"D"}</definedName>
    <definedName name="wrn1.corporate._Profile" localSheetId="17" hidden="1">{"Corporate Profile",#N/A,FALSE,"D"}</definedName>
    <definedName name="wrn1.corporate._Profile" localSheetId="7" hidden="1">{"Corporate Profile",#N/A,FALSE,"D"}</definedName>
    <definedName name="wrn1.corporate._Profile" localSheetId="3" hidden="1">{"Corporate Profile",#N/A,FALSE,"D"}</definedName>
    <definedName name="wrn1.corporate._Profile" localSheetId="21" hidden="1">{"Corporate Profile",#N/A,FALSE,"D"}</definedName>
    <definedName name="wrn1.corporate._Profile" hidden="1">{"Corporate Profile",#N/A,FALSE,"D"}</definedName>
    <definedName name="ws" localSheetId="19" hidden="1">{"'보고양식'!$A$58:$K$111"}</definedName>
    <definedName name="ws" localSheetId="6" hidden="1">{"'보고양식'!$A$58:$K$111"}</definedName>
    <definedName name="ws" localSheetId="7" hidden="1">{"'보고양식'!$A$58:$K$111"}</definedName>
    <definedName name="ws" localSheetId="3" hidden="1">{"'보고양식'!$A$58:$K$111"}</definedName>
    <definedName name="ws" localSheetId="21" hidden="1">{"'보고양식'!$A$58:$K$111"}</definedName>
    <definedName name="ws" hidden="1">{"'보고양식'!$A$58:$K$111"}</definedName>
    <definedName name="wvu.cash." localSheetId="0" hidden="1">{TRUE,TRUE,-1.25,-15.5,456.75,279.75,FALSE,FALSE,TRUE,TRUE,0,1,18,1,199,6,3,4,TRUE,TRUE,3,TRUE,1,TRUE,100,"Swvu.cash.","ACwvu.cash.",1,FALSE,FALSE,0.511811023622047,0.511811023622047,0.511811023622047,0.511811023622047,1,"","",FALSE,FALSE,FALSE,FALSE,1,#N/A,1,1,#DIV/0!,FALSE,"Rwvu.cash.",#N/A,FALSE,FALSE}</definedName>
    <definedName name="wvu.cash." localSheetId="27" hidden="1">{TRUE,TRUE,-1.25,-15.5,456.75,279.75,FALSE,FALSE,TRUE,TRUE,0,1,18,1,199,6,3,4,TRUE,TRUE,3,TRUE,1,TRUE,100,"Swvu.cash.","ACwvu.cash.",1,FALSE,FALSE,0.511811023622047,0.511811023622047,0.511811023622047,0.511811023622047,1,"","",FALSE,FALSE,FALSE,FALSE,1,#N/A,1,1,#DIV/0!,FALSE,"Rwvu.cash.",#N/A,FALSE,FALSE}</definedName>
    <definedName name="wvu.cash." localSheetId="19" hidden="1">{TRUE,TRUE,-1.25,-15.5,456.75,279.75,FALSE,FALSE,TRUE,TRUE,0,1,18,1,199,6,3,4,TRUE,TRUE,3,TRUE,1,TRUE,100,"Swvu.cash.","ACwvu.cash.",1,FALSE,FALSE,0.511811023622047,0.511811023622047,0.511811023622047,0.511811023622047,1,"","",FALSE,FALSE,FALSE,FALSE,1,#N/A,1,1,#DIV/0!,FALSE,"Rwvu.cash.",#N/A,FALSE,FALSE}</definedName>
    <definedName name="wvu.cash." localSheetId="1" hidden="1">{TRUE,TRUE,-1.25,-15.5,456.75,279.75,FALSE,FALSE,TRUE,TRUE,0,1,18,1,199,6,3,4,TRUE,TRUE,3,TRUE,1,TRUE,100,"Swvu.cash.","ACwvu.cash.",1,FALSE,FALSE,0.511811023622047,0.511811023622047,0.511811023622047,0.511811023622047,1,"","",FALSE,FALSE,FALSE,FALSE,1,#N/A,1,1,#DIV/0!,FALSE,"Rwvu.cash.",#N/A,FALSE,FALSE}</definedName>
    <definedName name="wvu.cash." localSheetId="8" hidden="1">{TRUE,TRUE,-1.25,-15.5,456.75,279.75,FALSE,FALSE,TRUE,TRUE,0,1,18,1,199,6,3,4,TRUE,TRUE,3,TRUE,1,TRUE,100,"Swvu.cash.","ACwvu.cash.",1,FALSE,FALSE,0.511811023622047,0.511811023622047,0.511811023622047,0.511811023622047,1,"","",FALSE,FALSE,FALSE,FALSE,1,#N/A,1,1,#DIV/0!,FALSE,"Rwvu.cash.",#N/A,FALSE,FALSE}</definedName>
    <definedName name="wvu.cash." localSheetId="6" hidden="1">{TRUE,TRUE,-1.25,-15.5,456.75,279.75,FALSE,FALSE,TRUE,TRUE,0,1,18,1,199,6,3,4,TRUE,TRUE,3,TRUE,1,TRUE,100,"Swvu.cash.","ACwvu.cash.",1,FALSE,FALSE,0.511811023622047,0.511811023622047,0.511811023622047,0.511811023622047,1,"","",FALSE,FALSE,FALSE,FALSE,1,#N/A,1,1,#DIV/0!,FALSE,"Rwvu.cash.",#N/A,FALSE,FALSE}</definedName>
    <definedName name="wvu.cash." localSheetId="17" hidden="1">{TRUE,TRUE,-1.25,-15.5,456.75,279.75,FALSE,FALSE,TRUE,TRUE,0,1,18,1,199,6,3,4,TRUE,TRUE,3,TRUE,1,TRUE,100,"Swvu.cash.","ACwvu.cash.",1,FALSE,FALSE,0.511811023622047,0.511811023622047,0.511811023622047,0.511811023622047,1,"","",FALSE,FALSE,FALSE,FALSE,1,#N/A,1,1,#DIV/0!,FALSE,"Rwvu.cash.",#N/A,FALSE,FALSE}</definedName>
    <definedName name="wvu.cash." localSheetId="7" hidden="1">{TRUE,TRUE,-1.25,-15.5,456.75,279.75,FALSE,FALSE,TRUE,TRUE,0,1,18,1,199,6,3,4,TRUE,TRUE,3,TRUE,1,TRUE,100,"Swvu.cash.","ACwvu.cash.",1,FALSE,FALSE,0.511811023622047,0.511811023622047,0.511811023622047,0.511811023622047,1,"","",FALSE,FALSE,FALSE,FALSE,1,#N/A,1,1,#DIV/0!,FALSE,"Rwvu.cash.",#N/A,FALSE,FALSE}</definedName>
    <definedName name="wvu.cash." localSheetId="3" hidden="1">{TRUE,TRUE,-1.25,-15.5,456.75,279.75,FALSE,FALSE,TRUE,TRUE,0,1,18,1,199,6,3,4,TRUE,TRUE,3,TRUE,1,TRUE,100,"Swvu.cash.","ACwvu.cash.",1,FALSE,FALSE,0.511811023622047,0.511811023622047,0.511811023622047,0.511811023622047,1,"","",FALSE,FALSE,FALSE,FALSE,1,#N/A,1,1,#DIV/0!,FALSE,"Rwvu.cash.",#N/A,FALSE,FALSE}</definedName>
    <definedName name="wvu.cash." localSheetId="21"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profits."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7"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9"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8"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6"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7"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7"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1"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turnover."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7"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9"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8"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6"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7"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7"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1"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x" localSheetId="19" hidden="1">"c2205"</definedName>
    <definedName name="x" localSheetId="7" hidden="1">"c2205"</definedName>
    <definedName name="x" localSheetId="3" hidden="1">"c2205"</definedName>
    <definedName name="x" localSheetId="21" hidden="1">{"cover a","1q",FALSE,"Cover";"Op Earn Mgd Q1",#N/A,FALSE,"Op-Earn (Mng)";"Op Earn Rpt Q1",#N/A,FALSE,"Op-Earn (Rpt)";"Loans",#N/A,FALSE,"Loans";"Credit Costs",#N/A,FALSE,"CCosts";"Net Interest Margin",#N/A,FALSE,"Margin";"Nonint Income",#N/A,FALSE,"NonII";"Nonint Exp",#N/A,FALSE,"NonIE";"Valuation",#N/A,FALSE,"Valuation"}</definedName>
    <definedName name="x" hidden="1">"c2205"</definedName>
    <definedName name="xArray" localSheetId="6">OFFSET(#REF!,MATCH(MIN(#REF!),#REF!,0),,COUNT(#REF!),1)</definedName>
    <definedName name="xArray">OFFSET(#REF!,MATCH(MIN(#REF!),#REF!,0),,COUNT(#REF!),1)</definedName>
    <definedName name="xxxx" localSheetId="19" hidden="1">#REF!</definedName>
    <definedName name="xxxx" localSheetId="6" hidden="1">#REF!</definedName>
    <definedName name="xxxx" localSheetId="7" hidden="1">#REF!</definedName>
    <definedName name="xxxx" localSheetId="3" hidden="1">#REF!</definedName>
    <definedName name="xxxx" localSheetId="21" hidden="1">#REF!</definedName>
    <definedName name="xxxx" hidden="1">#REF!</definedName>
    <definedName name="y" localSheetId="19" hidden="1">{"segment_EPS",#N/A,FALSE,"TXTCOMPS"}</definedName>
    <definedName name="y" localSheetId="6" hidden="1">{"segment_EPS",#N/A,FALSE,"TXTCOMPS"}</definedName>
    <definedName name="y" localSheetId="7" hidden="1">{"segment_EPS",#N/A,FALSE,"TXTCOMPS"}</definedName>
    <definedName name="y" localSheetId="3" hidden="1">{"segment_EPS",#N/A,FALSE,"TXTCOMPS"}</definedName>
    <definedName name="y" localSheetId="21" hidden="1">{"segment_EPS",#N/A,FALSE,"TXTCOMPS"}</definedName>
    <definedName name="y" hidden="1">{"segment_EPS",#N/A,FALSE,"TXTCOMPS"}</definedName>
    <definedName name="yArray" localSheetId="6">OFFSET(#REF!,MATCH(MIN(#REF!),#REF!,0),,COUNT(#REF!),1)</definedName>
    <definedName name="yArray">OFFSET(#REF!,MATCH(MIN(#REF!),#REF!,0),,COUNT(#REF!),1)</definedName>
    <definedName name="z" localSheetId="0" hidden="1">#REF!</definedName>
    <definedName name="z" localSheetId="27" hidden="1">#REF!</definedName>
    <definedName name="z" localSheetId="19" hidden="1">#REF!</definedName>
    <definedName name="z" localSheetId="1" hidden="1">#REF!</definedName>
    <definedName name="z" localSheetId="8" hidden="1">#REF!</definedName>
    <definedName name="z" localSheetId="17" hidden="1">#REF!</definedName>
    <definedName name="z" localSheetId="7" hidden="1">#REF!</definedName>
    <definedName name="z" localSheetId="3" hidden="1">{#N/A,#N/A,FALSE,"Aging Summary";#N/A,#N/A,FALSE,"Ratio Analysis";#N/A,#N/A,FALSE,"Test 120 Day Accts";#N/A,#N/A,FALSE,"Tickmarks"}</definedName>
    <definedName name="z" localSheetId="21" hidden="1">{#N/A,#N/A,FALSE,"Aging Summary";#N/A,#N/A,FALSE,"Ratio Analysis";#N/A,#N/A,FALSE,"Test 120 Day Accts";#N/A,#N/A,FALSE,"Tickmarks"}</definedName>
    <definedName name="z" hidden="1">#REF!</definedName>
    <definedName name="ㄴㄴ" localSheetId="19" hidden="1">{#N/A,#N/A,FALSE,"Aging Summary";#N/A,#N/A,FALSE,"Ratio Analysis";#N/A,#N/A,FALSE,"Test 120 Day Accts";#N/A,#N/A,FALSE,"Tickmarks"}</definedName>
    <definedName name="ㄴㄴ" localSheetId="6" hidden="1">{#N/A,#N/A,FALSE,"Aging Summary";#N/A,#N/A,FALSE,"Ratio Analysis";#N/A,#N/A,FALSE,"Test 120 Day Accts";#N/A,#N/A,FALSE,"Tickmarks"}</definedName>
    <definedName name="ㄴㄴ" localSheetId="7" hidden="1">{#N/A,#N/A,FALSE,"Aging Summary";#N/A,#N/A,FALSE,"Ratio Analysis";#N/A,#N/A,FALSE,"Test 120 Day Accts";#N/A,#N/A,FALSE,"Tickmarks"}</definedName>
    <definedName name="ㄴㄴ" localSheetId="3" hidden="1">{#N/A,#N/A,FALSE,"Aging Summary";#N/A,#N/A,FALSE,"Ratio Analysis";#N/A,#N/A,FALSE,"Test 120 Day Accts";#N/A,#N/A,FALSE,"Tickmarks"}</definedName>
    <definedName name="ㄴㄴ" localSheetId="21" hidden="1">{#N/A,#N/A,FALSE,"Aging Summary";#N/A,#N/A,FALSE,"Ratio Analysis";#N/A,#N/A,FALSE,"Test 120 Day Accts";#N/A,#N/A,FALSE,"Tickmarks"}</definedName>
    <definedName name="ㄴㄴ" hidden="1">{#N/A,#N/A,FALSE,"Aging Summary";#N/A,#N/A,FALSE,"Ratio Analysis";#N/A,#N/A,FALSE,"Test 120 Day Accts";#N/A,#N/A,FALSE,"Tickmarks"}</definedName>
    <definedName name="매출원가" localSheetId="19" hidden="1">{#N/A,#N/A,FALSE,"Aging Summary";#N/A,#N/A,FALSE,"Ratio Analysis";#N/A,#N/A,FALSE,"Test 120 Day Accts";#N/A,#N/A,FALSE,"Tickmarks"}</definedName>
    <definedName name="매출원가" localSheetId="6" hidden="1">{#N/A,#N/A,FALSE,"Aging Summary";#N/A,#N/A,FALSE,"Ratio Analysis";#N/A,#N/A,FALSE,"Test 120 Day Accts";#N/A,#N/A,FALSE,"Tickmarks"}</definedName>
    <definedName name="매출원가" localSheetId="7" hidden="1">{#N/A,#N/A,FALSE,"Aging Summary";#N/A,#N/A,FALSE,"Ratio Analysis";#N/A,#N/A,FALSE,"Test 120 Day Accts";#N/A,#N/A,FALSE,"Tickmarks"}</definedName>
    <definedName name="매출원가" localSheetId="3" hidden="1">{#N/A,#N/A,FALSE,"Aging Summary";#N/A,#N/A,FALSE,"Ratio Analysis";#N/A,#N/A,FALSE,"Test 120 Day Accts";#N/A,#N/A,FALSE,"Tickmarks"}</definedName>
    <definedName name="매출원가" localSheetId="21" hidden="1">{#N/A,#N/A,FALSE,"Aging Summary";#N/A,#N/A,FALSE,"Ratio Analysis";#N/A,#N/A,FALSE,"Test 120 Day Accts";#N/A,#N/A,FALSE,"Tickmarks"}</definedName>
    <definedName name="매출원가" hidden="1">{#N/A,#N/A,FALSE,"Aging Summary";#N/A,#N/A,FALSE,"Ratio Analysis";#N/A,#N/A,FALSE,"Test 120 Day Accts";#N/A,#N/A,FALSE,"Tickmarks"}</definedName>
    <definedName name="매출원가1" localSheetId="19" hidden="1">{#N/A,#N/A,FALSE,"Aging Summary";#N/A,#N/A,FALSE,"Ratio Analysis";#N/A,#N/A,FALSE,"Test 120 Day Accts";#N/A,#N/A,FALSE,"Tickmarks"}</definedName>
    <definedName name="매출원가1" localSheetId="6" hidden="1">{#N/A,#N/A,FALSE,"Aging Summary";#N/A,#N/A,FALSE,"Ratio Analysis";#N/A,#N/A,FALSE,"Test 120 Day Accts";#N/A,#N/A,FALSE,"Tickmarks"}</definedName>
    <definedName name="매출원가1" localSheetId="7" hidden="1">{#N/A,#N/A,FALSE,"Aging Summary";#N/A,#N/A,FALSE,"Ratio Analysis";#N/A,#N/A,FALSE,"Test 120 Day Accts";#N/A,#N/A,FALSE,"Tickmarks"}</definedName>
    <definedName name="매출원가1" localSheetId="3" hidden="1">{#N/A,#N/A,FALSE,"Aging Summary";#N/A,#N/A,FALSE,"Ratio Analysis";#N/A,#N/A,FALSE,"Test 120 Day Accts";#N/A,#N/A,FALSE,"Tickmarks"}</definedName>
    <definedName name="매출원가1" localSheetId="21" hidden="1">{#N/A,#N/A,FALSE,"Aging Summary";#N/A,#N/A,FALSE,"Ratio Analysis";#N/A,#N/A,FALSE,"Test 120 Day Accts";#N/A,#N/A,FALSE,"Tickmarks"}</definedName>
    <definedName name="매출원가1" hidden="1">{#N/A,#N/A,FALSE,"Aging Summary";#N/A,#N/A,FALSE,"Ratio Analysis";#N/A,#N/A,FALSE,"Test 120 Day Accts";#N/A,#N/A,FALSE,"Tickmarks"}</definedName>
    <definedName name="ㅏㅏ" localSheetId="19" hidden="1">{#N/A,#N/A,FALSE,"Aging Summary";#N/A,#N/A,FALSE,"Ratio Analysis";#N/A,#N/A,FALSE,"Test 120 Day Accts";#N/A,#N/A,FALSE,"Tickmarks"}</definedName>
    <definedName name="ㅏㅏ" localSheetId="6" hidden="1">{#N/A,#N/A,FALSE,"Aging Summary";#N/A,#N/A,FALSE,"Ratio Analysis";#N/A,#N/A,FALSE,"Test 120 Day Accts";#N/A,#N/A,FALSE,"Tickmarks"}</definedName>
    <definedName name="ㅏㅏ" localSheetId="7" hidden="1">{#N/A,#N/A,FALSE,"Aging Summary";#N/A,#N/A,FALSE,"Ratio Analysis";#N/A,#N/A,FALSE,"Test 120 Day Accts";#N/A,#N/A,FALSE,"Tickmarks"}</definedName>
    <definedName name="ㅏㅏ" localSheetId="3" hidden="1">{#N/A,#N/A,FALSE,"Aging Summary";#N/A,#N/A,FALSE,"Ratio Analysis";#N/A,#N/A,FALSE,"Test 120 Day Accts";#N/A,#N/A,FALSE,"Tickmarks"}</definedName>
    <definedName name="ㅏㅏ" localSheetId="21" hidden="1">{#N/A,#N/A,FALSE,"Aging Summary";#N/A,#N/A,FALSE,"Ratio Analysis";#N/A,#N/A,FALSE,"Test 120 Day Accts";#N/A,#N/A,FALSE,"Tickmarks"}</definedName>
    <definedName name="ㅏㅏ" hidden="1">{#N/A,#N/A,FALSE,"Aging Summary";#N/A,#N/A,FALSE,"Ratio Analysis";#N/A,#N/A,FALSE,"Test 120 Day Accts";#N/A,#N/A,FALSE,"Tickmarks"}</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12" l="1"/>
  <c r="J16" i="12"/>
  <c r="L16" i="12"/>
  <c r="M16" i="12"/>
  <c r="K16" i="12"/>
  <c r="E10" i="68"/>
  <c r="E29" i="68"/>
  <c r="AF51" i="17"/>
  <c r="AE51" i="17"/>
  <c r="F44" i="17"/>
  <c r="G44" i="17"/>
  <c r="H44" i="17"/>
  <c r="I44" i="17"/>
  <c r="J44" i="17"/>
  <c r="K44" i="17"/>
  <c r="L44" i="17"/>
  <c r="M44" i="17"/>
  <c r="N44" i="17"/>
  <c r="O44" i="17"/>
  <c r="P44" i="17"/>
  <c r="Q44" i="17"/>
  <c r="R44" i="17"/>
  <c r="S44" i="17"/>
  <c r="T44" i="17"/>
  <c r="U44" i="17"/>
  <c r="V44" i="17"/>
  <c r="W44" i="17"/>
  <c r="X44" i="17"/>
  <c r="Y44" i="17"/>
  <c r="Z44" i="17"/>
  <c r="AA44" i="17"/>
  <c r="AB44" i="17"/>
  <c r="E44" i="17"/>
  <c r="AE50" i="17"/>
  <c r="AF50" i="17"/>
  <c r="AF46" i="17"/>
  <c r="AE46" i="17"/>
  <c r="D60" i="30"/>
  <c r="H49" i="83"/>
  <c r="H50" i="83"/>
  <c r="H51" i="83"/>
  <c r="HG22" i="83"/>
  <c r="HH22" i="83"/>
  <c r="HI22" i="83"/>
  <c r="HG23" i="83"/>
  <c r="HH23" i="83"/>
  <c r="HI23" i="83"/>
  <c r="HG24" i="83"/>
  <c r="HH24" i="83"/>
  <c r="HI24" i="83"/>
  <c r="HG25" i="83"/>
  <c r="HH25" i="83"/>
  <c r="HI25" i="83"/>
  <c r="HG26" i="83"/>
  <c r="HH26" i="83"/>
  <c r="HI26" i="83"/>
  <c r="HG27" i="83"/>
  <c r="HH27" i="83"/>
  <c r="HI27" i="83"/>
  <c r="HG28" i="83"/>
  <c r="HH28" i="83"/>
  <c r="HI28" i="83"/>
  <c r="HG29" i="83"/>
  <c r="HH29" i="83"/>
  <c r="HI29" i="83"/>
  <c r="HG30" i="83"/>
  <c r="HH30" i="83"/>
  <c r="HI30" i="83"/>
  <c r="HG31" i="83"/>
  <c r="HH31" i="83"/>
  <c r="HI31" i="83"/>
  <c r="HG32" i="83"/>
  <c r="HH32" i="83"/>
  <c r="HI32" i="83"/>
  <c r="HG33" i="83"/>
  <c r="HH33" i="83"/>
  <c r="HI33" i="83"/>
  <c r="HG34" i="83"/>
  <c r="HH34" i="83"/>
  <c r="HI34" i="83"/>
  <c r="HG35" i="83"/>
  <c r="HH35" i="83"/>
  <c r="HI35" i="83"/>
  <c r="HG36" i="83"/>
  <c r="HH36" i="83"/>
  <c r="HI36" i="83"/>
  <c r="HG37" i="83"/>
  <c r="HH37" i="83"/>
  <c r="HI37" i="83"/>
  <c r="HG38" i="83"/>
  <c r="HH38" i="83"/>
  <c r="HI38" i="83"/>
  <c r="HG39" i="83"/>
  <c r="HH39" i="83"/>
  <c r="HI39" i="83"/>
  <c r="HG40" i="83"/>
  <c r="HH40" i="83"/>
  <c r="HI40" i="83"/>
  <c r="HG41" i="83"/>
  <c r="HH41" i="83"/>
  <c r="HI41" i="83"/>
  <c r="HH21" i="83"/>
  <c r="HI21" i="83"/>
  <c r="HG21" i="83"/>
  <c r="GJ74" i="83"/>
  <c r="GJ73" i="83"/>
  <c r="GJ69" i="83"/>
  <c r="C21" i="83"/>
  <c r="D21" i="83" s="1"/>
  <c r="D20" i="83"/>
  <c r="AO7" i="83"/>
  <c r="BH7" i="83" s="1"/>
  <c r="AN7" i="83"/>
  <c r="BG7" i="83" s="1"/>
  <c r="BG15" i="83" s="1"/>
  <c r="AM7" i="83"/>
  <c r="BF7" i="83" s="1"/>
  <c r="BF15" i="83" s="1"/>
  <c r="AL7" i="83"/>
  <c r="BE7" i="83" s="1"/>
  <c r="AK7" i="83"/>
  <c r="BD7" i="83" s="1"/>
  <c r="AJ7" i="83"/>
  <c r="BC7" i="83" s="1"/>
  <c r="AI7" i="83"/>
  <c r="BB7" i="83" s="1"/>
  <c r="AH7" i="83"/>
  <c r="BA7" i="83" s="1"/>
  <c r="AG7" i="83"/>
  <c r="AZ7" i="83" s="1"/>
  <c r="AF7" i="83"/>
  <c r="AY7" i="83" s="1"/>
  <c r="AY15" i="83" s="1"/>
  <c r="AE7" i="83"/>
  <c r="AX7" i="83" s="1"/>
  <c r="AX15" i="83" s="1"/>
  <c r="AD7" i="83"/>
  <c r="AW7" i="83" s="1"/>
  <c r="AC7" i="83"/>
  <c r="AV7" i="83" s="1"/>
  <c r="AB7" i="83"/>
  <c r="AU7" i="83" s="1"/>
  <c r="AA7" i="83"/>
  <c r="AT7" i="83" s="1"/>
  <c r="Z7" i="83"/>
  <c r="AS7" i="83" s="1"/>
  <c r="Y7" i="83"/>
  <c r="AR7" i="83" s="1"/>
  <c r="X7" i="83"/>
  <c r="AQ7" i="83" s="1"/>
  <c r="AQ15" i="83" s="1"/>
  <c r="AO6" i="83"/>
  <c r="AN6" i="83"/>
  <c r="AM6" i="83"/>
  <c r="AL6" i="83"/>
  <c r="AK6" i="83"/>
  <c r="AJ6" i="83"/>
  <c r="AI6" i="83"/>
  <c r="AH6" i="83"/>
  <c r="AG6" i="83"/>
  <c r="AF6" i="83"/>
  <c r="AE6" i="83"/>
  <c r="AD6" i="83"/>
  <c r="AC6" i="83"/>
  <c r="AB6" i="83"/>
  <c r="AA6" i="83"/>
  <c r="Z6" i="83"/>
  <c r="Y6" i="83"/>
  <c r="V6" i="83"/>
  <c r="U6" i="83"/>
  <c r="T6" i="83"/>
  <c r="S6" i="83"/>
  <c r="R6" i="83"/>
  <c r="Q6" i="83"/>
  <c r="P6" i="83"/>
  <c r="O6" i="83"/>
  <c r="N6" i="83"/>
  <c r="M6" i="83"/>
  <c r="L6" i="83"/>
  <c r="K6" i="83"/>
  <c r="J6" i="83"/>
  <c r="I6" i="83"/>
  <c r="H6" i="83"/>
  <c r="G6" i="83"/>
  <c r="F6" i="83"/>
  <c r="EH30" i="35"/>
  <c r="EI30" i="35"/>
  <c r="EJ30" i="35"/>
  <c r="EK30" i="35"/>
  <c r="EG30" i="35"/>
  <c r="EH29" i="35"/>
  <c r="EI29" i="35"/>
  <c r="EJ29" i="35"/>
  <c r="EK29" i="35"/>
  <c r="EG29" i="35"/>
  <c r="AG933" i="1"/>
  <c r="G29" i="68"/>
  <c r="G26" i="68"/>
  <c r="G33" i="68"/>
  <c r="E36" i="68"/>
  <c r="E35" i="68"/>
  <c r="E32" i="68"/>
  <c r="D35" i="68"/>
  <c r="D36" i="68" s="1"/>
  <c r="D32" i="68"/>
  <c r="G13" i="68"/>
  <c r="G19" i="68"/>
  <c r="G22" i="68"/>
  <c r="E26" i="68"/>
  <c r="E25" i="68"/>
  <c r="F25" i="68" s="1"/>
  <c r="G25" i="68" s="1"/>
  <c r="AG6" i="11"/>
  <c r="AG7" i="11"/>
  <c r="AG20" i="11"/>
  <c r="AG25" i="11"/>
  <c r="AG30" i="11"/>
  <c r="AG35" i="11"/>
  <c r="AG42" i="11"/>
  <c r="AG47" i="11"/>
  <c r="AG52" i="11"/>
  <c r="AG57" i="11"/>
  <c r="AG62" i="11"/>
  <c r="AG74" i="11"/>
  <c r="AG79" i="11"/>
  <c r="AG84" i="11"/>
  <c r="AG89" i="11"/>
  <c r="AG96" i="11"/>
  <c r="AG101" i="11"/>
  <c r="AG106" i="11"/>
  <c r="AG118" i="11"/>
  <c r="AG123" i="11"/>
  <c r="AG130" i="11"/>
  <c r="AG135" i="11"/>
  <c r="AG140" i="11"/>
  <c r="AG147" i="11"/>
  <c r="AG152" i="11"/>
  <c r="AG157" i="11"/>
  <c r="AG162" i="11"/>
  <c r="AG167" i="11"/>
  <c r="AG172" i="11"/>
  <c r="AG182" i="11"/>
  <c r="D14" i="68"/>
  <c r="D13" i="68"/>
  <c r="F10" i="68"/>
  <c r="G10" i="68" s="1"/>
  <c r="AT258" i="1"/>
  <c r="E18" i="68"/>
  <c r="F18" i="68" s="1"/>
  <c r="G18" i="68" s="1"/>
  <c r="A1" i="68"/>
  <c r="F32" i="68" l="1"/>
  <c r="G32" i="68" s="1"/>
  <c r="BN7" i="83"/>
  <c r="CG7" i="83" s="1"/>
  <c r="CZ7" i="83" s="1"/>
  <c r="DS7" i="83" s="1"/>
  <c r="EL7" i="83" s="1"/>
  <c r="FE7" i="83" s="1"/>
  <c r="FW7" i="83" s="1"/>
  <c r="GO7" i="83" s="1"/>
  <c r="AU15" i="83"/>
  <c r="BV7" i="83"/>
  <c r="CO7" i="83" s="1"/>
  <c r="DH7" i="83" s="1"/>
  <c r="EA7" i="83" s="1"/>
  <c r="ET7" i="83" s="1"/>
  <c r="FM7" i="83" s="1"/>
  <c r="GE7" i="83" s="1"/>
  <c r="GW7" i="83" s="1"/>
  <c r="BC15" i="83"/>
  <c r="BP7" i="83"/>
  <c r="CI7" i="83" s="1"/>
  <c r="DB7" i="83" s="1"/>
  <c r="DU7" i="83" s="1"/>
  <c r="EN7" i="83" s="1"/>
  <c r="FG7" i="83" s="1"/>
  <c r="FY7" i="83" s="1"/>
  <c r="GQ7" i="83" s="1"/>
  <c r="AW15" i="83"/>
  <c r="AR15" i="83"/>
  <c r="BK7" i="83"/>
  <c r="CD7" i="83" s="1"/>
  <c r="CW7" i="83" s="1"/>
  <c r="DP7" i="83" s="1"/>
  <c r="EI7" i="83" s="1"/>
  <c r="FB7" i="83" s="1"/>
  <c r="FT7" i="83" s="1"/>
  <c r="GL7" i="83" s="1"/>
  <c r="AZ15" i="83"/>
  <c r="BS7" i="83"/>
  <c r="CL7" i="83" s="1"/>
  <c r="DE7" i="83" s="1"/>
  <c r="DX7" i="83" s="1"/>
  <c r="EQ7" i="83" s="1"/>
  <c r="FJ7" i="83" s="1"/>
  <c r="GB7" i="83" s="1"/>
  <c r="GT7" i="83" s="1"/>
  <c r="BH15" i="83"/>
  <c r="CA7" i="83"/>
  <c r="CT7" i="83" s="1"/>
  <c r="DM7" i="83" s="1"/>
  <c r="EF7" i="83" s="1"/>
  <c r="EY7" i="83" s="1"/>
  <c r="BX7" i="83"/>
  <c r="CQ7" i="83" s="1"/>
  <c r="DJ7" i="83" s="1"/>
  <c r="EC7" i="83" s="1"/>
  <c r="EV7" i="83" s="1"/>
  <c r="FO7" i="83" s="1"/>
  <c r="GG7" i="83" s="1"/>
  <c r="GY7" i="83" s="1"/>
  <c r="BE15" i="83"/>
  <c r="AS15" i="83"/>
  <c r="BL7" i="83"/>
  <c r="CE7" i="83" s="1"/>
  <c r="CX7" i="83" s="1"/>
  <c r="DQ7" i="83" s="1"/>
  <c r="EJ7" i="83" s="1"/>
  <c r="FC7" i="83" s="1"/>
  <c r="FU7" i="83" s="1"/>
  <c r="GM7" i="83" s="1"/>
  <c r="BA15" i="83"/>
  <c r="BT7" i="83"/>
  <c r="CM7" i="83" s="1"/>
  <c r="DF7" i="83" s="1"/>
  <c r="DY7" i="83" s="1"/>
  <c r="ER7" i="83" s="1"/>
  <c r="FK7" i="83" s="1"/>
  <c r="GC7" i="83" s="1"/>
  <c r="GU7" i="83" s="1"/>
  <c r="BU7" i="83"/>
  <c r="CN7" i="83" s="1"/>
  <c r="DG7" i="83" s="1"/>
  <c r="DZ7" i="83" s="1"/>
  <c r="ES7" i="83" s="1"/>
  <c r="FL7" i="83" s="1"/>
  <c r="GD7" i="83" s="1"/>
  <c r="GV7" i="83" s="1"/>
  <c r="BB15" i="83"/>
  <c r="BM7" i="83"/>
  <c r="CF7" i="83" s="1"/>
  <c r="CY7" i="83" s="1"/>
  <c r="DR7" i="83" s="1"/>
  <c r="EK7" i="83" s="1"/>
  <c r="FD7" i="83" s="1"/>
  <c r="FV7" i="83" s="1"/>
  <c r="GN7" i="83" s="1"/>
  <c r="AT15" i="83"/>
  <c r="BO7" i="83"/>
  <c r="CH7" i="83" s="1"/>
  <c r="DA7" i="83" s="1"/>
  <c r="DT7" i="83" s="1"/>
  <c r="EM7" i="83" s="1"/>
  <c r="FF7" i="83" s="1"/>
  <c r="FX7" i="83" s="1"/>
  <c r="GP7" i="83" s="1"/>
  <c r="AV15" i="83"/>
  <c r="BD15" i="83"/>
  <c r="BW7" i="83"/>
  <c r="CP7" i="83" s="1"/>
  <c r="DI7" i="83" s="1"/>
  <c r="EB7" i="83" s="1"/>
  <c r="EU7" i="83" s="1"/>
  <c r="FN7" i="83" s="1"/>
  <c r="GF7" i="83" s="1"/>
  <c r="GX7" i="83" s="1"/>
  <c r="BQ7" i="83"/>
  <c r="CJ7" i="83" s="1"/>
  <c r="DC7" i="83" s="1"/>
  <c r="DV7" i="83" s="1"/>
  <c r="EO7" i="83" s="1"/>
  <c r="FH7" i="83" s="1"/>
  <c r="FZ7" i="83" s="1"/>
  <c r="GR7" i="83" s="1"/>
  <c r="BY7" i="83"/>
  <c r="CR7" i="83" s="1"/>
  <c r="DK7" i="83" s="1"/>
  <c r="ED7" i="83" s="1"/>
  <c r="EW7" i="83" s="1"/>
  <c r="FP7" i="83" s="1"/>
  <c r="GH7" i="83" s="1"/>
  <c r="GZ7" i="83" s="1"/>
  <c r="BJ7" i="83"/>
  <c r="CC7" i="83" s="1"/>
  <c r="CV7" i="83" s="1"/>
  <c r="DO7" i="83" s="1"/>
  <c r="EH7" i="83" s="1"/>
  <c r="FA7" i="83" s="1"/>
  <c r="FS7" i="83" s="1"/>
  <c r="GK7" i="83" s="1"/>
  <c r="BR7" i="83"/>
  <c r="CK7" i="83" s="1"/>
  <c r="DD7" i="83" s="1"/>
  <c r="DW7" i="83" s="1"/>
  <c r="EP7" i="83" s="1"/>
  <c r="FI7" i="83" s="1"/>
  <c r="GA7" i="83" s="1"/>
  <c r="GS7" i="83" s="1"/>
  <c r="BZ7" i="83"/>
  <c r="CS7" i="83" s="1"/>
  <c r="DL7" i="83" s="1"/>
  <c r="EE7" i="83" s="1"/>
  <c r="EX7" i="83" s="1"/>
  <c r="FQ7" i="83" s="1"/>
  <c r="GI7" i="83" s="1"/>
  <c r="HA7" i="83" s="1"/>
  <c r="C22" i="83"/>
  <c r="G36" i="68"/>
  <c r="F35" i="68"/>
  <c r="G35" i="68" s="1"/>
  <c r="D22" i="83" l="1"/>
  <c r="C23" i="83"/>
  <c r="C24" i="83" l="1"/>
  <c r="D23" i="83"/>
  <c r="D24" i="83" l="1"/>
  <c r="C25" i="83"/>
  <c r="C26" i="83" l="1"/>
  <c r="D25" i="83"/>
  <c r="D26" i="83" l="1"/>
  <c r="C27" i="83"/>
  <c r="D27" i="83" l="1"/>
  <c r="C28" i="83"/>
  <c r="C29" i="83" l="1"/>
  <c r="D28" i="83"/>
  <c r="D29" i="83" l="1"/>
  <c r="C30" i="83"/>
  <c r="D30" i="83" l="1"/>
  <c r="C31" i="83"/>
  <c r="D31" i="83" l="1"/>
  <c r="C32" i="83"/>
  <c r="C33" i="83" l="1"/>
  <c r="D32" i="83"/>
  <c r="D33" i="83" l="1"/>
  <c r="C34" i="83"/>
  <c r="D34" i="83" l="1"/>
  <c r="C35" i="83"/>
  <c r="C36" i="83" l="1"/>
  <c r="D35" i="83"/>
  <c r="C37" i="83" l="1"/>
  <c r="D36" i="83"/>
  <c r="C38" i="83" l="1"/>
  <c r="D37" i="83"/>
  <c r="D38" i="83" l="1"/>
  <c r="C39" i="83"/>
  <c r="D39" i="83" l="1"/>
  <c r="C40" i="83"/>
  <c r="C41" i="83" l="1"/>
  <c r="D41" i="83" s="1"/>
  <c r="D40" i="83"/>
  <c r="AX185" i="1" l="1"/>
  <c r="AW185" i="1"/>
  <c r="AV185" i="1"/>
  <c r="AX184" i="1"/>
  <c r="AW184" i="1"/>
  <c r="AV184" i="1"/>
  <c r="AM185" i="1"/>
  <c r="AL185" i="1"/>
  <c r="AM184" i="1"/>
  <c r="AL184" i="1"/>
  <c r="AH184" i="1"/>
  <c r="AI184" i="1"/>
  <c r="AJ184" i="1"/>
  <c r="AH185" i="1"/>
  <c r="AI185" i="1"/>
  <c r="AJ185" i="1"/>
  <c r="AG60" i="1"/>
  <c r="AG976" i="1" s="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4" i="1"/>
  <c r="AF185" i="1"/>
  <c r="AG185" i="1"/>
  <c r="AG184"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G203" i="1" s="1"/>
  <c r="AH186" i="1"/>
  <c r="AI186" i="1"/>
  <c r="AJ186" i="1"/>
  <c r="AL186" i="1"/>
  <c r="AM186" i="1"/>
  <c r="AV186" i="1"/>
  <c r="AW186" i="1"/>
  <c r="AX186" i="1"/>
  <c r="AK17" i="9"/>
  <c r="Z25" i="9"/>
  <c r="Z28" i="9"/>
  <c r="AG174" i="1"/>
  <c r="AG195" i="1" s="1"/>
  <c r="AG173" i="1"/>
  <c r="AG175" i="1"/>
  <c r="AG196" i="1" s="1"/>
  <c r="AG176" i="1"/>
  <c r="AG177" i="1"/>
  <c r="AG200" i="1" s="1"/>
  <c r="AG178" i="1"/>
  <c r="AG198" i="1" s="1"/>
  <c r="AG179" i="1"/>
  <c r="AG180" i="1"/>
  <c r="AG181" i="1"/>
  <c r="AG197" i="1" s="1"/>
  <c r="AG182" i="1"/>
  <c r="AG202" i="1" s="1"/>
  <c r="AG183" i="1"/>
  <c r="AG951" i="1"/>
  <c r="AG948" i="1"/>
  <c r="AG947" i="1"/>
  <c r="AG946" i="1"/>
  <c r="AG945" i="1"/>
  <c r="AG961" i="1" s="1"/>
  <c r="AG944" i="1"/>
  <c r="AG968" i="1" s="1"/>
  <c r="AG943" i="1"/>
  <c r="AG942" i="1"/>
  <c r="AG941" i="1"/>
  <c r="AG938" i="1"/>
  <c r="AG937" i="1"/>
  <c r="AG936" i="1"/>
  <c r="AG935" i="1"/>
  <c r="AG934" i="1"/>
  <c r="AG931" i="1"/>
  <c r="AG930" i="1"/>
  <c r="AG929" i="1"/>
  <c r="AG928" i="1"/>
  <c r="AG927" i="1"/>
  <c r="AG926" i="1"/>
  <c r="AG923" i="1"/>
  <c r="AG922" i="1"/>
  <c r="AG921" i="1"/>
  <c r="AG920" i="1"/>
  <c r="AG919" i="1"/>
  <c r="AG918" i="1"/>
  <c r="AG917" i="1"/>
  <c r="AG899" i="1" s="1"/>
  <c r="AG914" i="1"/>
  <c r="CB949" i="1"/>
  <c r="CB939" i="1"/>
  <c r="CB932" i="1"/>
  <c r="AG12" i="1"/>
  <c r="AG15" i="1"/>
  <c r="AG16" i="1"/>
  <c r="AG18" i="1"/>
  <c r="AG34" i="1" s="1"/>
  <c r="AG23" i="1"/>
  <c r="AG24" i="1"/>
  <c r="AG27" i="1"/>
  <c r="AG28" i="1"/>
  <c r="AG73" i="1"/>
  <c r="E8" i="68" s="1"/>
  <c r="AG102" i="1"/>
  <c r="AG132" i="1"/>
  <c r="AG138" i="1" s="1"/>
  <c r="AG142" i="1"/>
  <c r="AG145" i="1" s="1"/>
  <c r="AG149" i="1"/>
  <c r="AG152" i="1" s="1"/>
  <c r="AG89" i="1" s="1"/>
  <c r="AG156" i="1"/>
  <c r="AG160" i="1" s="1"/>
  <c r="AG95" i="1" s="1"/>
  <c r="AG162" i="1"/>
  <c r="AG166" i="1" s="1"/>
  <c r="AG93" i="1" s="1"/>
  <c r="AG168" i="1"/>
  <c r="AG199" i="1"/>
  <c r="AG201" i="1"/>
  <c r="AG211" i="1"/>
  <c r="AG218" i="1" s="1"/>
  <c r="AG107" i="1" s="1"/>
  <c r="AG251" i="1"/>
  <c r="AG270" i="1"/>
  <c r="AG271" i="1"/>
  <c r="AG278" i="1"/>
  <c r="AG350" i="1"/>
  <c r="AG353" i="1"/>
  <c r="E19" i="68" s="1"/>
  <c r="AG365" i="1"/>
  <c r="AG372" i="1"/>
  <c r="AG373" i="1"/>
  <c r="AG380" i="1"/>
  <c r="E21" i="68" s="1"/>
  <c r="F21" i="68" s="1"/>
  <c r="G21" i="68" s="1"/>
  <c r="AG434" i="1"/>
  <c r="AG453" i="1"/>
  <c r="AG454" i="1"/>
  <c r="AG461" i="1"/>
  <c r="AG514" i="1"/>
  <c r="AG531" i="1"/>
  <c r="AG532" i="1"/>
  <c r="AG539" i="1"/>
  <c r="AG609" i="1"/>
  <c r="AG619" i="1"/>
  <c r="AG621" i="1" s="1"/>
  <c r="AG623" i="1"/>
  <c r="AG633" i="1"/>
  <c r="AG725" i="1"/>
  <c r="AG732" i="1" s="1"/>
  <c r="AG744" i="1"/>
  <c r="AG748" i="1"/>
  <c r="AG873" i="1" s="1"/>
  <c r="AG762" i="1"/>
  <c r="AG766" i="1"/>
  <c r="AG804" i="1" s="1"/>
  <c r="AG777" i="1"/>
  <c r="AG780" i="1" s="1"/>
  <c r="AG790" i="1"/>
  <c r="AG792" i="1"/>
  <c r="AG795" i="1"/>
  <c r="AG796" i="1"/>
  <c r="AG801" i="1"/>
  <c r="AG805" i="1"/>
  <c r="AG806" i="1"/>
  <c r="AG816" i="1"/>
  <c r="AG819" i="1"/>
  <c r="AG844" i="1"/>
  <c r="AG848" i="1" s="1"/>
  <c r="AG845" i="1"/>
  <c r="AG849" i="1" s="1"/>
  <c r="AG846" i="1"/>
  <c r="AG850" i="1" s="1"/>
  <c r="AG855" i="1"/>
  <c r="AG856" i="1"/>
  <c r="AG864" i="1"/>
  <c r="AG865" i="1"/>
  <c r="AG893" i="1"/>
  <c r="AG888" i="1" s="1"/>
  <c r="AG975" i="1"/>
  <c r="AG981" i="1"/>
  <c r="AG983" i="1"/>
  <c r="AO46" i="21"/>
  <c r="AN46" i="21"/>
  <c r="AM46" i="21"/>
  <c r="AL46" i="21"/>
  <c r="U43" i="17"/>
  <c r="V43" i="17"/>
  <c r="W43" i="17"/>
  <c r="X43" i="17"/>
  <c r="Y43" i="17"/>
  <c r="Z43" i="17"/>
  <c r="AA43" i="17"/>
  <c r="AB43" i="17"/>
  <c r="F43" i="17"/>
  <c r="G43" i="17"/>
  <c r="H43" i="17"/>
  <c r="I43" i="17"/>
  <c r="J43" i="17"/>
  <c r="K43" i="17"/>
  <c r="L43" i="17"/>
  <c r="M43" i="17"/>
  <c r="N43" i="17"/>
  <c r="O43" i="17"/>
  <c r="P43" i="17"/>
  <c r="Q43" i="17"/>
  <c r="R43" i="17"/>
  <c r="S43" i="17"/>
  <c r="T43" i="17"/>
  <c r="E43" i="17"/>
  <c r="AE47" i="17"/>
  <c r="F42" i="17"/>
  <c r="G42" i="17"/>
  <c r="H42" i="17"/>
  <c r="I42" i="17"/>
  <c r="J42" i="17"/>
  <c r="K42" i="17"/>
  <c r="L42" i="17"/>
  <c r="M42" i="17"/>
  <c r="N42" i="17"/>
  <c r="O42" i="17"/>
  <c r="P42" i="17"/>
  <c r="Q42" i="17"/>
  <c r="R42" i="17"/>
  <c r="S42" i="17"/>
  <c r="T42" i="17"/>
  <c r="U42" i="17"/>
  <c r="V42" i="17"/>
  <c r="W42" i="17"/>
  <c r="X42" i="17"/>
  <c r="Y42" i="17"/>
  <c r="Z42" i="17"/>
  <c r="AA42" i="17"/>
  <c r="AB42" i="17"/>
  <c r="E42" i="17"/>
  <c r="F30" i="17"/>
  <c r="G30" i="17"/>
  <c r="H30" i="17"/>
  <c r="I30" i="17"/>
  <c r="J30" i="17"/>
  <c r="K30" i="17"/>
  <c r="L30" i="17"/>
  <c r="M30" i="17"/>
  <c r="N30" i="17"/>
  <c r="O30" i="17"/>
  <c r="P30" i="17"/>
  <c r="Q30" i="17"/>
  <c r="R30" i="17"/>
  <c r="S30" i="17"/>
  <c r="T30" i="17"/>
  <c r="U30" i="17"/>
  <c r="V30" i="17"/>
  <c r="W30" i="17"/>
  <c r="X30" i="17"/>
  <c r="Y30" i="17"/>
  <c r="Z30" i="17"/>
  <c r="AA30" i="17"/>
  <c r="AB30" i="17"/>
  <c r="E30" i="17"/>
  <c r="BM456" i="1"/>
  <c r="BM486" i="1"/>
  <c r="BN486" i="1" s="1"/>
  <c r="BO486" i="1" s="1"/>
  <c r="BP486" i="1" s="1"/>
  <c r="BQ486" i="1" s="1"/>
  <c r="BR486" i="1" s="1"/>
  <c r="BS486" i="1" s="1"/>
  <c r="AF350" i="1"/>
  <c r="AE350" i="1"/>
  <c r="E61" i="12"/>
  <c r="F61" i="12" s="1"/>
  <c r="G61" i="12" s="1"/>
  <c r="H61" i="12" s="1"/>
  <c r="AG541" i="1" l="1"/>
  <c r="E28" i="68"/>
  <c r="F28" i="68" s="1"/>
  <c r="G28" i="68" s="1"/>
  <c r="F8" i="68"/>
  <c r="G8" i="68" s="1"/>
  <c r="E14" i="68"/>
  <c r="G14" i="68" s="1"/>
  <c r="AG939" i="1"/>
  <c r="AG949" i="1"/>
  <c r="CB952" i="1"/>
  <c r="AG932" i="1"/>
  <c r="AG124" i="1" s="1"/>
  <c r="AG626" i="1"/>
  <c r="AG866" i="1"/>
  <c r="AG868" i="1" s="1"/>
  <c r="AG852" i="1"/>
  <c r="AG853" i="1" s="1"/>
  <c r="AG354" i="1"/>
  <c r="AG628" i="1"/>
  <c r="AG986" i="1" s="1"/>
  <c r="AG993" i="1" s="1"/>
  <c r="AG140" i="1"/>
  <c r="AG76" i="1"/>
  <c r="AG80" i="1" s="1"/>
  <c r="AG969" i="1"/>
  <c r="AG875" i="1"/>
  <c r="AG910" i="1"/>
  <c r="AG791" i="1"/>
  <c r="AG793" i="1" s="1"/>
  <c r="AG797" i="1" s="1"/>
  <c r="AG731" i="1"/>
  <c r="AG730" i="1"/>
  <c r="AG611" i="1"/>
  <c r="AG154" i="1"/>
  <c r="AG895" i="1"/>
  <c r="AG727" i="1"/>
  <c r="AG980" i="1"/>
  <c r="AG770" i="1"/>
  <c r="AG781" i="1" s="1"/>
  <c r="AG753" i="1"/>
  <c r="AG635" i="1" s="1"/>
  <c r="AG733" i="1"/>
  <c r="AG625" i="1"/>
  <c r="AG91" i="1"/>
  <c r="AG170" i="1"/>
  <c r="AG187" i="1" s="1"/>
  <c r="AG36" i="1"/>
  <c r="AG43" i="1"/>
  <c r="AG800" i="1"/>
  <c r="AG802" i="1" s="1"/>
  <c r="AG807" i="1" s="1"/>
  <c r="AG809" i="1" s="1"/>
  <c r="AG984" i="1"/>
  <c r="AG515" i="1"/>
  <c r="AG463" i="1"/>
  <c r="AG435" i="1"/>
  <c r="AG382" i="1"/>
  <c r="E22" i="68" s="1"/>
  <c r="AG280" i="1"/>
  <c r="AG252" i="1"/>
  <c r="AG20" i="1"/>
  <c r="AG85" i="1"/>
  <c r="AG147" i="1"/>
  <c r="AD39" i="17"/>
  <c r="AE39" i="17" s="1"/>
  <c r="AF39" i="17" s="1"/>
  <c r="AC39" i="17"/>
  <c r="AE10" i="1"/>
  <c r="F766" i="1"/>
  <c r="F804" i="1" s="1"/>
  <c r="G766" i="1"/>
  <c r="G804" i="1" s="1"/>
  <c r="H766" i="1"/>
  <c r="H804" i="1" s="1"/>
  <c r="I766" i="1"/>
  <c r="J766" i="1"/>
  <c r="J980" i="1" s="1"/>
  <c r="K766" i="1"/>
  <c r="K980" i="1" s="1"/>
  <c r="L766" i="1"/>
  <c r="L804" i="1" s="1"/>
  <c r="M766" i="1"/>
  <c r="N766" i="1"/>
  <c r="N804" i="1" s="1"/>
  <c r="O766" i="1"/>
  <c r="O804" i="1" s="1"/>
  <c r="P766" i="1"/>
  <c r="P804" i="1" s="1"/>
  <c r="Q766" i="1"/>
  <c r="R766" i="1"/>
  <c r="R804" i="1" s="1"/>
  <c r="S766" i="1"/>
  <c r="S980" i="1" s="1"/>
  <c r="T766" i="1"/>
  <c r="T804" i="1" s="1"/>
  <c r="U766" i="1"/>
  <c r="V766" i="1"/>
  <c r="V804" i="1" s="1"/>
  <c r="W766" i="1"/>
  <c r="W804" i="1" s="1"/>
  <c r="X766" i="1"/>
  <c r="X804" i="1" s="1"/>
  <c r="Y766" i="1"/>
  <c r="Z766" i="1"/>
  <c r="Z980" i="1" s="1"/>
  <c r="AA766" i="1"/>
  <c r="AA980" i="1" s="1"/>
  <c r="AB766" i="1"/>
  <c r="AB804" i="1" s="1"/>
  <c r="AC766" i="1"/>
  <c r="AD766" i="1"/>
  <c r="AD804" i="1" s="1"/>
  <c r="AE766" i="1"/>
  <c r="AE804" i="1" s="1"/>
  <c r="AF766" i="1"/>
  <c r="AF804" i="1" s="1"/>
  <c r="AL766" i="1"/>
  <c r="AL804" i="1" s="1"/>
  <c r="AM766" i="1"/>
  <c r="E766" i="1"/>
  <c r="E980" i="1" s="1"/>
  <c r="AM762" i="1"/>
  <c r="AL762" i="1"/>
  <c r="F762" i="1"/>
  <c r="G762" i="1"/>
  <c r="H762" i="1"/>
  <c r="I762" i="1"/>
  <c r="J762" i="1"/>
  <c r="K762" i="1"/>
  <c r="K770" i="1" s="1"/>
  <c r="L762" i="1"/>
  <c r="M762" i="1"/>
  <c r="N762" i="1"/>
  <c r="O762" i="1"/>
  <c r="Q762" i="1"/>
  <c r="R762" i="1"/>
  <c r="S762" i="1"/>
  <c r="U762" i="1"/>
  <c r="V762" i="1"/>
  <c r="W762" i="1"/>
  <c r="X762" i="1"/>
  <c r="Y762" i="1"/>
  <c r="Z762" i="1"/>
  <c r="AA762" i="1"/>
  <c r="AB762" i="1"/>
  <c r="AC762" i="1"/>
  <c r="AD762" i="1"/>
  <c r="AE762" i="1"/>
  <c r="AF762" i="1"/>
  <c r="E762" i="1"/>
  <c r="AG111" i="11" l="1"/>
  <c r="O770" i="1"/>
  <c r="AG952" i="1"/>
  <c r="S770" i="1"/>
  <c r="AM41" i="1"/>
  <c r="N980" i="1"/>
  <c r="Y41" i="1"/>
  <c r="Q41" i="1"/>
  <c r="AG734" i="1"/>
  <c r="AE770" i="1"/>
  <c r="AG78" i="1"/>
  <c r="AG909" i="1"/>
  <c r="AG911" i="1" s="1"/>
  <c r="AG783" i="1"/>
  <c r="AA770" i="1"/>
  <c r="N770" i="1"/>
  <c r="F770" i="1"/>
  <c r="AD770" i="1"/>
  <c r="V770" i="1"/>
  <c r="AM770" i="1"/>
  <c r="AL770" i="1"/>
  <c r="J41" i="1"/>
  <c r="I41" i="1"/>
  <c r="AL980" i="1"/>
  <c r="R770" i="1"/>
  <c r="I770" i="1"/>
  <c r="Z770" i="1"/>
  <c r="Q770" i="1"/>
  <c r="AG992" i="1"/>
  <c r="AG985" i="1"/>
  <c r="AG995" i="1" s="1"/>
  <c r="Y770" i="1"/>
  <c r="AC770" i="1"/>
  <c r="U770" i="1"/>
  <c r="M770" i="1"/>
  <c r="AG630" i="1"/>
  <c r="Y804" i="1"/>
  <c r="R41" i="1"/>
  <c r="Q980" i="1"/>
  <c r="E804" i="1"/>
  <c r="Z804" i="1"/>
  <c r="AG982" i="1"/>
  <c r="AM980" i="1"/>
  <c r="J770" i="1"/>
  <c r="V41" i="1"/>
  <c r="R980" i="1"/>
  <c r="I804" i="1"/>
  <c r="AG41" i="1"/>
  <c r="N41" i="1"/>
  <c r="Z41" i="1"/>
  <c r="V980" i="1"/>
  <c r="J804" i="1"/>
  <c r="AD41" i="1"/>
  <c r="AM804" i="1"/>
  <c r="AB770" i="1"/>
  <c r="L770" i="1"/>
  <c r="F980" i="1"/>
  <c r="Q804" i="1"/>
  <c r="Y980" i="1"/>
  <c r="I980" i="1"/>
  <c r="AD980" i="1"/>
  <c r="AG82" i="1"/>
  <c r="AG87" i="1"/>
  <c r="AG119" i="1"/>
  <c r="E9" i="68" s="1"/>
  <c r="AG189" i="1"/>
  <c r="AG47" i="1"/>
  <c r="AG50" i="1"/>
  <c r="AG192" i="1"/>
  <c r="AG209" i="1" s="1"/>
  <c r="AG96" i="1"/>
  <c r="AG128" i="1"/>
  <c r="AG811" i="1"/>
  <c r="H770" i="1"/>
  <c r="K41" i="1"/>
  <c r="S41" i="1"/>
  <c r="AA41" i="1"/>
  <c r="G980" i="1"/>
  <c r="O980" i="1"/>
  <c r="W980" i="1"/>
  <c r="AE980" i="1"/>
  <c r="G770" i="1"/>
  <c r="L41" i="1"/>
  <c r="T41" i="1"/>
  <c r="AB41" i="1"/>
  <c r="H980" i="1"/>
  <c r="P980" i="1"/>
  <c r="X980" i="1"/>
  <c r="AF980" i="1"/>
  <c r="K804" i="1"/>
  <c r="S804" i="1"/>
  <c r="AA804" i="1"/>
  <c r="AC804" i="1"/>
  <c r="X770" i="1"/>
  <c r="O41" i="1"/>
  <c r="W41" i="1"/>
  <c r="AE41" i="1"/>
  <c r="M41" i="1"/>
  <c r="AC41" i="1"/>
  <c r="M804" i="1"/>
  <c r="E770" i="1"/>
  <c r="W770" i="1"/>
  <c r="P41" i="1"/>
  <c r="X41" i="1"/>
  <c r="AF41" i="1"/>
  <c r="L980" i="1"/>
  <c r="T980" i="1"/>
  <c r="AB980" i="1"/>
  <c r="U41" i="1"/>
  <c r="U804" i="1"/>
  <c r="AF770" i="1"/>
  <c r="M980" i="1"/>
  <c r="U980" i="1"/>
  <c r="AC980" i="1"/>
  <c r="F9" i="68" l="1"/>
  <c r="G9" i="68" s="1"/>
  <c r="E13" i="68"/>
  <c r="AG103" i="1"/>
  <c r="AG98" i="1"/>
  <c r="AG100" i="1"/>
  <c r="AG631" i="1"/>
  <c r="AG987" i="1"/>
  <c r="AG121" i="1"/>
  <c r="AG126" i="1"/>
  <c r="AG52" i="1"/>
  <c r="AG55" i="1"/>
  <c r="FW47" i="35"/>
  <c r="FW33" i="35"/>
  <c r="FW34" i="35"/>
  <c r="FW35" i="35"/>
  <c r="FW36" i="35"/>
  <c r="FW37" i="35"/>
  <c r="FW38" i="35"/>
  <c r="FW39" i="35"/>
  <c r="FW40" i="35"/>
  <c r="FW41" i="35"/>
  <c r="FW42" i="35"/>
  <c r="FW43" i="35"/>
  <c r="FW44" i="35"/>
  <c r="FW45" i="35"/>
  <c r="FW46" i="35"/>
  <c r="FW32" i="35"/>
  <c r="F119" i="12"/>
  <c r="AL32" i="49"/>
  <c r="AL35" i="49" s="1"/>
  <c r="AM30" i="49"/>
  <c r="AK30" i="49"/>
  <c r="AL30" i="49" s="1"/>
  <c r="AL29" i="49"/>
  <c r="AG994" i="1" l="1"/>
  <c r="AG105" i="1"/>
  <c r="AG110" i="1"/>
  <c r="AG108" i="1"/>
  <c r="AG220" i="1"/>
  <c r="AG237" i="1" s="1"/>
  <c r="AG814" i="1"/>
  <c r="AG63" i="1"/>
  <c r="AG64" i="1"/>
  <c r="BM454" i="1"/>
  <c r="BM455" i="1"/>
  <c r="BJ457" i="1"/>
  <c r="BE576" i="1"/>
  <c r="BG576" i="1" s="1"/>
  <c r="BF576" i="1"/>
  <c r="BF575" i="1"/>
  <c r="BC577" i="1"/>
  <c r="BD577" i="1"/>
  <c r="BP541" i="1"/>
  <c r="BQ541" i="1" s="1"/>
  <c r="BR541" i="1" s="1"/>
  <c r="BS541" i="1" s="1"/>
  <c r="BP533" i="1"/>
  <c r="BQ533" i="1" s="1"/>
  <c r="BR533" i="1" s="1"/>
  <c r="BS533" i="1" s="1"/>
  <c r="BP526" i="1"/>
  <c r="BQ526" i="1" s="1"/>
  <c r="BR526" i="1" s="1"/>
  <c r="BS526" i="1" s="1"/>
  <c r="BP519" i="1"/>
  <c r="BQ519" i="1" s="1"/>
  <c r="BR519" i="1" s="1"/>
  <c r="BS519" i="1" s="1"/>
  <c r="BP512" i="1"/>
  <c r="BQ512" i="1" s="1"/>
  <c r="BR512" i="1" s="1"/>
  <c r="BS512" i="1" s="1"/>
  <c r="BP459" i="1"/>
  <c r="BQ459" i="1" s="1"/>
  <c r="BR459" i="1" s="1"/>
  <c r="BS459" i="1" s="1"/>
  <c r="BP453" i="1"/>
  <c r="BQ453" i="1" s="1"/>
  <c r="BR453" i="1" s="1"/>
  <c r="BS453" i="1" s="1"/>
  <c r="BP443" i="1"/>
  <c r="BQ443" i="1" s="1"/>
  <c r="BR443" i="1" s="1"/>
  <c r="BS443" i="1" s="1"/>
  <c r="BP432" i="1"/>
  <c r="BQ432" i="1" s="1"/>
  <c r="BR432" i="1" s="1"/>
  <c r="BS432" i="1" s="1"/>
  <c r="BP285" i="1"/>
  <c r="BQ285" i="1" s="1"/>
  <c r="BR285" i="1" s="1"/>
  <c r="BS285" i="1" s="1"/>
  <c r="BQ278" i="1"/>
  <c r="BR278" i="1" s="1"/>
  <c r="BS278" i="1" s="1"/>
  <c r="BP270" i="1"/>
  <c r="BQ270" i="1" s="1"/>
  <c r="BR270" i="1" s="1"/>
  <c r="BS270" i="1" s="1"/>
  <c r="BP260" i="1"/>
  <c r="BQ260" i="1" s="1"/>
  <c r="BR260" i="1" s="1"/>
  <c r="BS260" i="1" s="1"/>
  <c r="BO249" i="1"/>
  <c r="BP249" i="1" s="1"/>
  <c r="BQ249" i="1" s="1"/>
  <c r="BR249" i="1" s="1"/>
  <c r="BS249" i="1" s="1"/>
  <c r="BP378" i="1"/>
  <c r="BQ378" i="1" s="1"/>
  <c r="BR378" i="1" s="1"/>
  <c r="BS378" i="1" s="1"/>
  <c r="BP373" i="1"/>
  <c r="BQ373" i="1" s="1"/>
  <c r="BR373" i="1" s="1"/>
  <c r="BS373" i="1" s="1"/>
  <c r="BP368" i="1"/>
  <c r="BQ368" i="1" s="1"/>
  <c r="BR368" i="1" s="1"/>
  <c r="BS368" i="1" s="1"/>
  <c r="O65" i="49"/>
  <c r="O64" i="49"/>
  <c r="O63" i="49"/>
  <c r="O62" i="49"/>
  <c r="O61" i="49"/>
  <c r="O60" i="49"/>
  <c r="O59" i="49"/>
  <c r="C57" i="49"/>
  <c r="I47" i="49"/>
  <c r="BD578" i="1" l="1"/>
  <c r="BM457" i="1"/>
  <c r="AG239" i="1"/>
  <c r="AG245" i="1" s="1"/>
  <c r="AG116" i="1" s="1"/>
  <c r="AG972" i="1"/>
  <c r="AG112" i="1"/>
  <c r="AG114" i="1"/>
  <c r="BP360" i="1"/>
  <c r="BQ360" i="1" s="1"/>
  <c r="BR360" i="1" s="1"/>
  <c r="BS360" i="1" s="1"/>
  <c r="BO351" i="1"/>
  <c r="BP351" i="1" s="1"/>
  <c r="BQ351" i="1" s="1"/>
  <c r="BR351" i="1" s="1"/>
  <c r="BS351" i="1" s="1"/>
  <c r="C300" i="1"/>
  <c r="B374"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91" i="58"/>
  <c r="B92" i="58"/>
  <c r="B93" i="58"/>
  <c r="B94" i="58"/>
  <c r="B95" i="58"/>
  <c r="B96" i="58"/>
  <c r="B97" i="58"/>
  <c r="B98" i="58"/>
  <c r="B99" i="58"/>
  <c r="B100" i="58"/>
  <c r="B101" i="58"/>
  <c r="B102" i="58"/>
  <c r="B103" i="58"/>
  <c r="B104" i="58"/>
  <c r="B105" i="58"/>
  <c r="B106" i="58"/>
  <c r="B107" i="58"/>
  <c r="B108" i="58"/>
  <c r="B109" i="58"/>
  <c r="B110" i="58"/>
  <c r="B111" i="58"/>
  <c r="B112" i="58"/>
  <c r="B113" i="58"/>
  <c r="B114" i="58"/>
  <c r="B115" i="58"/>
  <c r="B116" i="58"/>
  <c r="B117" i="58"/>
  <c r="B118" i="58"/>
  <c r="B119" i="58"/>
  <c r="B120" i="58"/>
  <c r="B121" i="58"/>
  <c r="B122" i="58"/>
  <c r="B123" i="58"/>
  <c r="B124" i="58"/>
  <c r="B125" i="58"/>
  <c r="B126" i="58"/>
  <c r="B127" i="58"/>
  <c r="B128" i="58"/>
  <c r="B129" i="58"/>
  <c r="B130" i="58"/>
  <c r="B131" i="58"/>
  <c r="B132" i="58"/>
  <c r="B133" i="58"/>
  <c r="B134" i="58"/>
  <c r="B135" i="58"/>
  <c r="B136" i="58"/>
  <c r="B137" i="58"/>
  <c r="B138" i="58"/>
  <c r="B139" i="58"/>
  <c r="B140" i="58"/>
  <c r="B141" i="58"/>
  <c r="B142" i="58"/>
  <c r="B143" i="58"/>
  <c r="B144" i="58"/>
  <c r="B145" i="58"/>
  <c r="B146" i="58"/>
  <c r="B147" i="58"/>
  <c r="B148" i="58"/>
  <c r="B149" i="58"/>
  <c r="B150" i="58"/>
  <c r="B151" i="58"/>
  <c r="B152" i="58"/>
  <c r="B153" i="58"/>
  <c r="B154" i="58"/>
  <c r="B155" i="58"/>
  <c r="B156" i="58"/>
  <c r="B157" i="58"/>
  <c r="B158" i="58"/>
  <c r="B159" i="58"/>
  <c r="B160" i="58"/>
  <c r="B161" i="58"/>
  <c r="B162" i="58"/>
  <c r="B163" i="58"/>
  <c r="B164" i="58"/>
  <c r="B165" i="58"/>
  <c r="B166" i="58"/>
  <c r="B167" i="58"/>
  <c r="B168" i="58"/>
  <c r="B169" i="58"/>
  <c r="B170" i="58"/>
  <c r="B171" i="58"/>
  <c r="B172" i="58"/>
  <c r="B173" i="58"/>
  <c r="B174" i="58"/>
  <c r="B175" i="58"/>
  <c r="B176" i="58"/>
  <c r="B177" i="58"/>
  <c r="B178" i="58"/>
  <c r="B179" i="58"/>
  <c r="B180" i="58"/>
  <c r="B181" i="58"/>
  <c r="B182" i="58"/>
  <c r="B183" i="58"/>
  <c r="B184" i="58"/>
  <c r="B185" i="58"/>
  <c r="B186" i="58"/>
  <c r="B187" i="58"/>
  <c r="B188" i="58"/>
  <c r="B189" i="58"/>
  <c r="B190" i="58"/>
  <c r="B191" i="58"/>
  <c r="B192" i="58"/>
  <c r="B193" i="58"/>
  <c r="B194" i="58"/>
  <c r="B195" i="58"/>
  <c r="B196" i="58"/>
  <c r="B197" i="58"/>
  <c r="B198" i="58"/>
  <c r="B199" i="58"/>
  <c r="B200" i="58"/>
  <c r="B201" i="58"/>
  <c r="B202" i="58"/>
  <c r="B203" i="58"/>
  <c r="B204" i="58"/>
  <c r="B205" i="58"/>
  <c r="B206"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2" i="58"/>
  <c r="B243" i="58"/>
  <c r="B244" i="58"/>
  <c r="B245" i="58"/>
  <c r="B246" i="58"/>
  <c r="B247" i="58"/>
  <c r="B248" i="58"/>
  <c r="B249" i="58"/>
  <c r="B250" i="58"/>
  <c r="B251" i="58"/>
  <c r="B252" i="58"/>
  <c r="B253" i="58"/>
  <c r="B254" i="58"/>
  <c r="B255" i="58"/>
  <c r="B256" i="58"/>
  <c r="B257" i="58"/>
  <c r="B258" i="58"/>
  <c r="B259" i="58"/>
  <c r="B260" i="58"/>
  <c r="B261" i="58"/>
  <c r="B262" i="58"/>
  <c r="B263" i="58"/>
  <c r="B264" i="58"/>
  <c r="B265" i="58"/>
  <c r="B266" i="58"/>
  <c r="B267" i="58"/>
  <c r="B268" i="58"/>
  <c r="B269" i="58"/>
  <c r="B270" i="58"/>
  <c r="B271" i="58"/>
  <c r="B272" i="58"/>
  <c r="B273" i="58"/>
  <c r="B274" i="58"/>
  <c r="B275" i="58"/>
  <c r="B276" i="58"/>
  <c r="B277" i="58"/>
  <c r="B278" i="58"/>
  <c r="B279" i="58"/>
  <c r="B280" i="58"/>
  <c r="B281" i="58"/>
  <c r="B282" i="58"/>
  <c r="B283" i="58"/>
  <c r="B284" i="58"/>
  <c r="B285" i="58"/>
  <c r="B286" i="58"/>
  <c r="B287" i="58"/>
  <c r="B288" i="58"/>
  <c r="B289" i="58"/>
  <c r="B290" i="58"/>
  <c r="B291" i="58"/>
  <c r="B292" i="58"/>
  <c r="B293" i="58"/>
  <c r="B294" i="58"/>
  <c r="B295" i="58"/>
  <c r="B296" i="58"/>
  <c r="B297" i="58"/>
  <c r="B298" i="58"/>
  <c r="B299" i="58"/>
  <c r="B300" i="58"/>
  <c r="B301" i="58"/>
  <c r="B302" i="58"/>
  <c r="B303" i="58"/>
  <c r="B304" i="58"/>
  <c r="B305" i="58"/>
  <c r="B306" i="58"/>
  <c r="B307" i="58"/>
  <c r="B308" i="58"/>
  <c r="B309" i="58"/>
  <c r="B310" i="58"/>
  <c r="B311" i="58"/>
  <c r="B312" i="58"/>
  <c r="B313" i="58"/>
  <c r="B314" i="58"/>
  <c r="B315" i="58"/>
  <c r="B316" i="58"/>
  <c r="B317" i="58"/>
  <c r="B318" i="58"/>
  <c r="B319" i="58"/>
  <c r="B320" i="58"/>
  <c r="B321" i="58"/>
  <c r="B322" i="58"/>
  <c r="B323" i="58"/>
  <c r="B324" i="58"/>
  <c r="B325" i="58"/>
  <c r="B326" i="58"/>
  <c r="B327" i="58"/>
  <c r="B328" i="58"/>
  <c r="B329" i="58"/>
  <c r="B330" i="58"/>
  <c r="B331" i="58"/>
  <c r="B332" i="58"/>
  <c r="B333" i="58"/>
  <c r="B334" i="58"/>
  <c r="B335" i="58"/>
  <c r="B336" i="58"/>
  <c r="B337" i="58"/>
  <c r="B338" i="58"/>
  <c r="B339" i="58"/>
  <c r="B340" i="58"/>
  <c r="B341" i="58"/>
  <c r="B342" i="58"/>
  <c r="B343" i="58"/>
  <c r="B344" i="58"/>
  <c r="B345" i="58"/>
  <c r="B346" i="58"/>
  <c r="B347" i="58"/>
  <c r="B348" i="58"/>
  <c r="B349" i="58"/>
  <c r="B350" i="58"/>
  <c r="B351" i="58"/>
  <c r="B352" i="58"/>
  <c r="B353" i="58"/>
  <c r="B354" i="58"/>
  <c r="B355" i="58"/>
  <c r="B356" i="58"/>
  <c r="B357" i="58"/>
  <c r="B358" i="58"/>
  <c r="B359" i="58"/>
  <c r="B360" i="58"/>
  <c r="B361" i="58"/>
  <c r="B362" i="58"/>
  <c r="B363" i="58"/>
  <c r="B364" i="58"/>
  <c r="B365" i="58"/>
  <c r="B366" i="58"/>
  <c r="B367" i="58"/>
  <c r="B368" i="58"/>
  <c r="B369" i="58"/>
  <c r="B370" i="58"/>
  <c r="B371" i="58"/>
  <c r="B372" i="58"/>
  <c r="B373" i="58"/>
  <c r="B12" i="58"/>
  <c r="BM517" i="1" l="1"/>
  <c r="BM258" i="1"/>
  <c r="BM441" i="1"/>
  <c r="BM358" i="1"/>
  <c r="AR300" i="1"/>
  <c r="AR301" i="1"/>
  <c r="AR302" i="1"/>
  <c r="AR304" i="1"/>
  <c r="AR305" i="1"/>
  <c r="AR299" i="1"/>
  <c r="AQ300" i="1"/>
  <c r="AQ301" i="1"/>
  <c r="AQ302" i="1"/>
  <c r="AQ304" i="1"/>
  <c r="AQ305" i="1"/>
  <c r="AQ299" i="1"/>
  <c r="AR317" i="1" l="1"/>
  <c r="AR319" i="1"/>
  <c r="AR318" i="1"/>
  <c r="AR316" i="1"/>
  <c r="AR320" i="1"/>
  <c r="AQ313" i="1"/>
  <c r="AQ312" i="1"/>
  <c r="AQ311" i="1"/>
  <c r="AQ310" i="1"/>
  <c r="G139" i="44" l="1"/>
  <c r="G140" i="44" s="1"/>
  <c r="G141" i="44" s="1"/>
  <c r="G142" i="44" s="1"/>
  <c r="G143" i="44" s="1"/>
  <c r="G144" i="44" s="1"/>
  <c r="G145" i="44" s="1"/>
  <c r="G146" i="44" s="1"/>
  <c r="G147" i="44" s="1"/>
  <c r="G148" i="44" s="1"/>
  <c r="G149" i="44" s="1"/>
  <c r="G150" i="44" s="1"/>
  <c r="G151" i="44" s="1"/>
  <c r="G152" i="44" s="1"/>
  <c r="G153" i="44" s="1"/>
  <c r="G154" i="44" s="1"/>
  <c r="G155" i="44" s="1"/>
  <c r="G156" i="44" s="1"/>
  <c r="G157" i="44" s="1"/>
  <c r="E36" i="17"/>
  <c r="F36" i="17"/>
  <c r="G36" i="17"/>
  <c r="H36" i="17"/>
  <c r="I36" i="17"/>
  <c r="J36" i="17"/>
  <c r="K36" i="17"/>
  <c r="L36" i="17"/>
  <c r="M36" i="17"/>
  <c r="N36" i="17"/>
  <c r="O36" i="17"/>
  <c r="P36" i="17"/>
  <c r="Q36" i="17"/>
  <c r="R36" i="17"/>
  <c r="S36" i="17"/>
  <c r="T36" i="17"/>
  <c r="U36" i="17"/>
  <c r="V36" i="17"/>
  <c r="W36" i="17"/>
  <c r="X36" i="17"/>
  <c r="Y36" i="17"/>
  <c r="Z36" i="17"/>
  <c r="AA36" i="17"/>
  <c r="AB36" i="17"/>
  <c r="J157" i="44"/>
  <c r="J155" i="44"/>
  <c r="J156" i="44"/>
  <c r="M109" i="44"/>
  <c r="I111" i="44"/>
  <c r="G112" i="44"/>
  <c r="G113" i="44" s="1"/>
  <c r="M110" i="44"/>
  <c r="G114" i="44" l="1"/>
  <c r="I113" i="44"/>
  <c r="I112" i="44"/>
  <c r="I138" i="44" s="1"/>
  <c r="F38" i="35"/>
  <c r="F30" i="35"/>
  <c r="F31" i="35"/>
  <c r="F34" i="35"/>
  <c r="F41" i="35"/>
  <c r="F40" i="35"/>
  <c r="F43" i="35"/>
  <c r="F29" i="35"/>
  <c r="F35" i="35"/>
  <c r="F42" i="35"/>
  <c r="F44" i="35"/>
  <c r="F33" i="35"/>
  <c r="F36" i="35"/>
  <c r="F32" i="35"/>
  <c r="F37" i="35"/>
  <c r="F39" i="35"/>
  <c r="N111" i="44"/>
  <c r="Q210" i="44"/>
  <c r="Q211" i="44"/>
  <c r="Q212" i="44"/>
  <c r="Q213" i="44"/>
  <c r="Q214" i="44"/>
  <c r="Q215" i="44"/>
  <c r="Q216" i="44"/>
  <c r="Q217" i="44"/>
  <c r="Q209" i="44"/>
  <c r="N210" i="44"/>
  <c r="N211" i="44"/>
  <c r="N212" i="44"/>
  <c r="N213" i="44"/>
  <c r="N214" i="44"/>
  <c r="N215" i="44"/>
  <c r="N216" i="44"/>
  <c r="N217" i="44"/>
  <c r="N209" i="44"/>
  <c r="I139" i="44" l="1"/>
  <c r="G115" i="44"/>
  <c r="I114" i="44"/>
  <c r="I140" i="44" s="1"/>
  <c r="K44" i="49"/>
  <c r="J43" i="49"/>
  <c r="I43" i="49"/>
  <c r="K43" i="49" s="1"/>
  <c r="O12" i="49"/>
  <c r="O11" i="49"/>
  <c r="O10" i="49"/>
  <c r="O9" i="49"/>
  <c r="O8" i="49"/>
  <c r="O7" i="49"/>
  <c r="O5" i="49"/>
  <c r="O26" i="49"/>
  <c r="O25" i="49"/>
  <c r="O24" i="49"/>
  <c r="O23" i="49"/>
  <c r="O22" i="49"/>
  <c r="O21" i="49"/>
  <c r="O19" i="49"/>
  <c r="F36" i="49"/>
  <c r="M41" i="43"/>
  <c r="C30" i="49"/>
  <c r="I38" i="49"/>
  <c r="M14" i="49"/>
  <c r="L14" i="49"/>
  <c r="K14" i="49"/>
  <c r="J14" i="49"/>
  <c r="I14" i="49"/>
  <c r="H14" i="49"/>
  <c r="G14" i="49"/>
  <c r="F14" i="49"/>
  <c r="E14" i="49"/>
  <c r="D14" i="49"/>
  <c r="C14" i="49"/>
  <c r="D28" i="49"/>
  <c r="E28" i="49"/>
  <c r="F28" i="49"/>
  <c r="G28" i="49"/>
  <c r="H28" i="49"/>
  <c r="I28" i="49"/>
  <c r="J28" i="49"/>
  <c r="K28" i="49"/>
  <c r="L28" i="49"/>
  <c r="M28" i="49"/>
  <c r="C28" i="49"/>
  <c r="D32" i="49"/>
  <c r="E32" i="49"/>
  <c r="F32" i="49"/>
  <c r="G32" i="49"/>
  <c r="H32" i="49"/>
  <c r="I32" i="49"/>
  <c r="J32" i="49"/>
  <c r="K32" i="49"/>
  <c r="L32" i="49"/>
  <c r="M32" i="49"/>
  <c r="D34" i="49"/>
  <c r="E34" i="49"/>
  <c r="F34" i="49"/>
  <c r="G34" i="49"/>
  <c r="H34" i="49"/>
  <c r="I34" i="49"/>
  <c r="J34" i="49"/>
  <c r="K34" i="49"/>
  <c r="L34" i="49"/>
  <c r="M34" i="49"/>
  <c r="D35" i="49"/>
  <c r="E35" i="49"/>
  <c r="F35" i="49"/>
  <c r="G35" i="49"/>
  <c r="H35" i="49"/>
  <c r="I35" i="49"/>
  <c r="J35" i="49"/>
  <c r="K35" i="49"/>
  <c r="L35" i="49"/>
  <c r="M35" i="49"/>
  <c r="D36" i="49"/>
  <c r="E36" i="49"/>
  <c r="G36" i="49"/>
  <c r="H36" i="49"/>
  <c r="I36" i="49"/>
  <c r="J36" i="49"/>
  <c r="K36" i="49"/>
  <c r="L36" i="49"/>
  <c r="M36" i="49"/>
  <c r="D37" i="49"/>
  <c r="E37" i="49"/>
  <c r="F37" i="49"/>
  <c r="G37" i="49"/>
  <c r="H37" i="49"/>
  <c r="I37" i="49"/>
  <c r="J37" i="49"/>
  <c r="K37" i="49"/>
  <c r="L37" i="49"/>
  <c r="M37" i="49"/>
  <c r="D38" i="49"/>
  <c r="E38" i="49"/>
  <c r="F38" i="49"/>
  <c r="G38" i="49"/>
  <c r="H38" i="49"/>
  <c r="J38" i="49"/>
  <c r="K38" i="49"/>
  <c r="L38" i="49"/>
  <c r="M38" i="49"/>
  <c r="D39" i="49"/>
  <c r="E39" i="49"/>
  <c r="F39" i="49"/>
  <c r="G39" i="49"/>
  <c r="H39" i="49"/>
  <c r="I39" i="49"/>
  <c r="J39" i="49"/>
  <c r="K39" i="49"/>
  <c r="L39" i="49"/>
  <c r="M39" i="49"/>
  <c r="C34" i="49"/>
  <c r="C35" i="49"/>
  <c r="C36" i="49"/>
  <c r="C37" i="49"/>
  <c r="C38" i="49"/>
  <c r="C39" i="49"/>
  <c r="C32" i="49"/>
  <c r="CI7" i="44"/>
  <c r="CJ7" i="44"/>
  <c r="CK7" i="44"/>
  <c r="CL7" i="44"/>
  <c r="CM7" i="44"/>
  <c r="CN7" i="44"/>
  <c r="CO7" i="44"/>
  <c r="CP7" i="44"/>
  <c r="CQ7" i="44"/>
  <c r="BY7" i="44"/>
  <c r="BZ7" i="44"/>
  <c r="CA7" i="44"/>
  <c r="CB7" i="44"/>
  <c r="CC7" i="44"/>
  <c r="CD7" i="44"/>
  <c r="CE7" i="44"/>
  <c r="CF7" i="44"/>
  <c r="CG7" i="44"/>
  <c r="BO7" i="44"/>
  <c r="BP7" i="44"/>
  <c r="BQ7" i="44"/>
  <c r="BR7" i="44"/>
  <c r="BS7" i="44"/>
  <c r="BT7" i="44"/>
  <c r="BU7" i="44"/>
  <c r="BV7" i="44"/>
  <c r="BW7" i="44"/>
  <c r="AS7" i="44"/>
  <c r="AT7" i="44"/>
  <c r="AU7" i="44"/>
  <c r="AV7" i="44"/>
  <c r="AW7" i="44"/>
  <c r="AX7" i="44"/>
  <c r="AY7" i="44"/>
  <c r="AZ7" i="44"/>
  <c r="BA7" i="44"/>
  <c r="AI7" i="44"/>
  <c r="AJ7" i="44"/>
  <c r="AK7" i="44"/>
  <c r="AL7" i="44"/>
  <c r="AM7" i="44"/>
  <c r="AN7" i="44"/>
  <c r="AO7" i="44"/>
  <c r="AP7" i="44"/>
  <c r="AQ7" i="44"/>
  <c r="Y7" i="44"/>
  <c r="Z7" i="44"/>
  <c r="AA7" i="44"/>
  <c r="AB7" i="44"/>
  <c r="AC7" i="44"/>
  <c r="AD7" i="44"/>
  <c r="AE7" i="44"/>
  <c r="AF7" i="44"/>
  <c r="AG7" i="44"/>
  <c r="O7" i="44"/>
  <c r="CS7" i="44" s="1"/>
  <c r="P7" i="44"/>
  <c r="CT7" i="44" s="1"/>
  <c r="Q7" i="44"/>
  <c r="CU7" i="44" s="1"/>
  <c r="R7" i="44"/>
  <c r="CV7" i="44" s="1"/>
  <c r="S7" i="44"/>
  <c r="T7" i="44"/>
  <c r="CW7" i="44" s="1"/>
  <c r="U7" i="44"/>
  <c r="CX7" i="44" s="1"/>
  <c r="V7" i="44"/>
  <c r="CY7" i="44" s="1"/>
  <c r="W7" i="44"/>
  <c r="C17" i="49"/>
  <c r="C3" i="49"/>
  <c r="AA59" i="43"/>
  <c r="M27" i="43" s="1"/>
  <c r="AA41" i="43"/>
  <c r="D25" i="43"/>
  <c r="G116" i="44" l="1"/>
  <c r="I115" i="44"/>
  <c r="I141" i="44" s="1"/>
  <c r="O37" i="49"/>
  <c r="O36" i="49"/>
  <c r="O35" i="49"/>
  <c r="O39" i="49"/>
  <c r="O38" i="49"/>
  <c r="O34" i="49"/>
  <c r="O32" i="49"/>
  <c r="E25" i="43"/>
  <c r="AC42" i="43"/>
  <c r="AG95" i="43"/>
  <c r="AH132" i="43"/>
  <c r="AH102" i="43"/>
  <c r="AG80" i="43"/>
  <c r="AG137" i="43"/>
  <c r="AH100" i="43"/>
  <c r="AG66" i="43"/>
  <c r="AG128" i="43"/>
  <c r="AH110" i="43"/>
  <c r="AH74" i="43"/>
  <c r="AH129" i="43"/>
  <c r="AG74" i="43"/>
  <c r="AH149" i="43"/>
  <c r="AH75" i="43"/>
  <c r="AG147" i="43"/>
  <c r="AG111" i="43"/>
  <c r="AG86" i="43"/>
  <c r="AG143" i="43"/>
  <c r="AG109" i="43"/>
  <c r="AG99" i="43"/>
  <c r="AG145" i="43"/>
  <c r="AH91" i="43"/>
  <c r="AH147" i="43"/>
  <c r="AH145" i="43"/>
  <c r="AG79" i="43"/>
  <c r="AG132" i="43"/>
  <c r="AH97" i="43"/>
  <c r="AG98" i="43"/>
  <c r="AH138" i="43"/>
  <c r="AG71" i="43"/>
  <c r="AH71" i="43"/>
  <c r="AG135" i="43"/>
  <c r="AH72" i="43"/>
  <c r="AH116" i="43"/>
  <c r="AH99" i="43"/>
  <c r="AG141" i="43"/>
  <c r="AG68" i="43"/>
  <c r="AH109" i="43"/>
  <c r="AH123" i="43"/>
  <c r="AG108" i="43"/>
  <c r="AH115" i="43"/>
  <c r="AH139" i="43"/>
  <c r="AH78" i="43"/>
  <c r="AG142" i="43"/>
  <c r="AG92" i="43"/>
  <c r="AH96" i="43"/>
  <c r="AG117" i="43"/>
  <c r="AH85" i="43"/>
  <c r="AG124" i="43"/>
  <c r="AH89" i="43"/>
  <c r="AH112" i="43"/>
  <c r="AG121" i="43"/>
  <c r="AH107" i="43"/>
  <c r="AG113" i="43"/>
  <c r="AH126" i="43"/>
  <c r="AH90" i="43"/>
  <c r="AG76" i="43"/>
  <c r="AG123" i="43"/>
  <c r="AH124" i="43"/>
  <c r="AH80" i="43"/>
  <c r="AH82" i="43"/>
  <c r="AH130" i="43"/>
  <c r="AG103" i="43"/>
  <c r="AH150" i="43"/>
  <c r="AG126" i="43"/>
  <c r="AG110" i="43"/>
  <c r="AH131" i="43"/>
  <c r="AH76" i="43"/>
  <c r="AG96" i="43"/>
  <c r="AG125" i="43"/>
  <c r="AG69" i="43"/>
  <c r="AG67" i="43"/>
  <c r="AH144" i="43"/>
  <c r="AG100" i="43"/>
  <c r="AH67" i="43"/>
  <c r="AH134" i="43"/>
  <c r="AG106" i="43"/>
  <c r="AG148" i="43"/>
  <c r="AH65" i="43"/>
  <c r="AG94" i="43"/>
  <c r="AH133" i="43"/>
  <c r="AH84" i="43"/>
  <c r="AG104" i="43"/>
  <c r="AH137" i="43"/>
  <c r="AH88" i="43"/>
  <c r="AH146" i="43"/>
  <c r="AG133" i="43"/>
  <c r="AG64" i="43"/>
  <c r="AG150" i="43"/>
  <c r="AG78" i="43"/>
  <c r="AH122" i="43"/>
  <c r="AH92" i="43"/>
  <c r="AG112" i="43"/>
  <c r="AG130" i="43"/>
  <c r="AG90" i="43"/>
  <c r="AG97" i="43"/>
  <c r="AG138" i="43"/>
  <c r="AG65" i="43"/>
  <c r="AC41" i="43"/>
  <c r="AG131" i="43"/>
  <c r="AH118" i="43"/>
  <c r="AH69" i="43"/>
  <c r="AH94" i="43"/>
  <c r="AH136" i="43"/>
  <c r="AG63" i="43"/>
  <c r="AH127" i="43"/>
  <c r="AH113" i="43"/>
  <c r="AG101" i="43"/>
  <c r="AH140" i="43"/>
  <c r="AH68" i="43"/>
  <c r="AG88" i="43"/>
  <c r="AG146" i="43"/>
  <c r="AH114" i="43"/>
  <c r="AG70" i="43"/>
  <c r="AG129" i="43"/>
  <c r="AG89" i="43"/>
  <c r="AH93" i="43"/>
  <c r="AG139" i="43"/>
  <c r="AH95" i="43"/>
  <c r="AG149" i="43"/>
  <c r="AH117" i="43"/>
  <c r="AH101" i="43"/>
  <c r="AH125" i="43"/>
  <c r="AH108" i="43"/>
  <c r="AH83" i="43"/>
  <c r="AG136" i="43"/>
  <c r="AH77" i="43"/>
  <c r="AH105" i="43"/>
  <c r="AG73" i="43"/>
  <c r="AG118" i="43"/>
  <c r="AH70" i="43"/>
  <c r="AG107" i="43"/>
  <c r="AG120" i="43"/>
  <c r="AG93" i="43"/>
  <c r="AH66" i="43"/>
  <c r="AH121" i="43"/>
  <c r="AG105" i="43"/>
  <c r="AH148" i="43"/>
  <c r="AH143" i="43"/>
  <c r="AH98" i="43"/>
  <c r="AH141" i="43"/>
  <c r="AH104" i="43"/>
  <c r="AG127" i="43"/>
  <c r="AG83" i="43"/>
  <c r="AG84" i="43"/>
  <c r="Z57" i="43"/>
  <c r="AH87" i="43"/>
  <c r="AH128" i="43"/>
  <c r="AH142" i="43"/>
  <c r="AG82" i="43"/>
  <c r="AG140" i="43"/>
  <c r="AH63" i="43"/>
  <c r="AG77" i="43"/>
  <c r="AG115" i="43"/>
  <c r="AH81" i="43"/>
  <c r="AG91" i="43"/>
  <c r="AH79" i="43"/>
  <c r="AH106" i="43"/>
  <c r="AG144" i="43"/>
  <c r="AH73" i="43"/>
  <c r="AG75" i="43"/>
  <c r="AH135" i="43"/>
  <c r="AG114" i="43"/>
  <c r="AG102" i="43"/>
  <c r="AH103" i="43"/>
  <c r="AG122" i="43"/>
  <c r="AH120" i="43"/>
  <c r="AH64" i="43"/>
  <c r="AG134" i="43"/>
  <c r="AG116" i="43"/>
  <c r="AG85" i="43"/>
  <c r="AG72" i="43"/>
  <c r="AH119" i="43"/>
  <c r="AG87" i="43"/>
  <c r="AH111" i="43"/>
  <c r="AG119" i="43"/>
  <c r="AH86" i="43"/>
  <c r="AG81" i="43"/>
  <c r="AC44" i="43"/>
  <c r="G117" i="44" l="1"/>
  <c r="I116" i="44"/>
  <c r="I142" i="44" s="1"/>
  <c r="Z59" i="43"/>
  <c r="Z61" i="43"/>
  <c r="AE61" i="43"/>
  <c r="AG62" i="43"/>
  <c r="AH62" i="43"/>
  <c r="G118" i="44" l="1"/>
  <c r="I117" i="44"/>
  <c r="I143" i="44" s="1"/>
  <c r="E34" i="17"/>
  <c r="F34" i="17"/>
  <c r="G34" i="17"/>
  <c r="H34" i="17"/>
  <c r="I34" i="17"/>
  <c r="J34" i="17"/>
  <c r="K34" i="17"/>
  <c r="L34" i="17"/>
  <c r="M34" i="17"/>
  <c r="N34" i="17"/>
  <c r="O34" i="17"/>
  <c r="P34" i="17"/>
  <c r="Q34" i="17"/>
  <c r="R34" i="17"/>
  <c r="S34" i="17"/>
  <c r="T34" i="17"/>
  <c r="U34" i="17"/>
  <c r="V34" i="17"/>
  <c r="W34" i="17"/>
  <c r="X34" i="17"/>
  <c r="Y34" i="17"/>
  <c r="Z34" i="17"/>
  <c r="AA34" i="17"/>
  <c r="AB34" i="17"/>
  <c r="G119" i="44" l="1"/>
  <c r="I118" i="44"/>
  <c r="I144" i="44" s="1"/>
  <c r="AM835" i="1"/>
  <c r="AU26" i="1"/>
  <c r="AU28" i="1" s="1"/>
  <c r="AU22" i="1"/>
  <c r="AU24" i="1" l="1"/>
  <c r="G120" i="44"/>
  <c r="I119" i="44"/>
  <c r="I145" i="44" s="1"/>
  <c r="AL828" i="1"/>
  <c r="AM834" i="1"/>
  <c r="AL817" i="1"/>
  <c r="AL820" i="1" s="1"/>
  <c r="AM819" i="1"/>
  <c r="AM816" i="1"/>
  <c r="G816" i="1"/>
  <c r="H816" i="1"/>
  <c r="I816" i="1"/>
  <c r="J816" i="1"/>
  <c r="K816" i="1"/>
  <c r="L816" i="1"/>
  <c r="M816" i="1"/>
  <c r="N816" i="1"/>
  <c r="O816" i="1"/>
  <c r="P816" i="1"/>
  <c r="Q816" i="1"/>
  <c r="R816" i="1"/>
  <c r="S816" i="1"/>
  <c r="T816" i="1"/>
  <c r="U816" i="1"/>
  <c r="V816" i="1"/>
  <c r="W816" i="1"/>
  <c r="X816" i="1"/>
  <c r="Y816" i="1"/>
  <c r="Z816" i="1"/>
  <c r="AA816" i="1"/>
  <c r="AB816" i="1"/>
  <c r="AC816" i="1"/>
  <c r="AD816" i="1"/>
  <c r="AE816" i="1"/>
  <c r="AF816" i="1"/>
  <c r="G819" i="1"/>
  <c r="H819" i="1"/>
  <c r="I819" i="1"/>
  <c r="J819" i="1"/>
  <c r="K819" i="1"/>
  <c r="L819" i="1"/>
  <c r="M819" i="1"/>
  <c r="N819" i="1"/>
  <c r="O819" i="1"/>
  <c r="P819" i="1"/>
  <c r="Q819" i="1"/>
  <c r="R819" i="1"/>
  <c r="S819" i="1"/>
  <c r="T819" i="1"/>
  <c r="U819" i="1"/>
  <c r="V819" i="1"/>
  <c r="W819" i="1"/>
  <c r="X819" i="1"/>
  <c r="Y819" i="1"/>
  <c r="Z819" i="1"/>
  <c r="AA819" i="1"/>
  <c r="AB819" i="1"/>
  <c r="AC819" i="1"/>
  <c r="AD819" i="1"/>
  <c r="AE819" i="1"/>
  <c r="AF819" i="1"/>
  <c r="F819" i="1"/>
  <c r="F816" i="1"/>
  <c r="AL836" i="1"/>
  <c r="E817" i="1"/>
  <c r="E820" i="1" s="1"/>
  <c r="G121" i="44" l="1"/>
  <c r="I120" i="44"/>
  <c r="I146" i="44" s="1"/>
  <c r="C44" i="9"/>
  <c r="C67" i="9"/>
  <c r="AK67" i="9"/>
  <c r="C86" i="9"/>
  <c r="H94" i="12"/>
  <c r="F96" i="12"/>
  <c r="G96" i="12"/>
  <c r="E96" i="12"/>
  <c r="AH767" i="1"/>
  <c r="AI767" i="1" s="1"/>
  <c r="AJ767" i="1" s="1"/>
  <c r="G3" i="32"/>
  <c r="H96" i="12" l="1"/>
  <c r="H95" i="12" s="1"/>
  <c r="I95" i="12" s="1"/>
  <c r="I121" i="44"/>
  <c r="I147" i="44" s="1"/>
  <c r="G122" i="44"/>
  <c r="I122" i="44" l="1"/>
  <c r="G123" i="44"/>
  <c r="G124" i="44" l="1"/>
  <c r="I123" i="44"/>
  <c r="I149" i="44" s="1"/>
  <c r="I133" i="44"/>
  <c r="I148" i="44"/>
  <c r="G125" i="44" l="1"/>
  <c r="I124" i="44"/>
  <c r="I150" i="44" s="1"/>
  <c r="G126" i="44" l="1"/>
  <c r="I125" i="44"/>
  <c r="I151" i="44" s="1"/>
  <c r="G127" i="44" l="1"/>
  <c r="I126" i="44"/>
  <c r="I152" i="44" s="1"/>
  <c r="M15" i="35"/>
  <c r="N15" i="35" s="1"/>
  <c r="M16" i="35"/>
  <c r="N16" i="35" s="1"/>
  <c r="M17" i="35"/>
  <c r="N17" i="35" s="1"/>
  <c r="M18" i="35"/>
  <c r="N18" i="35" s="1"/>
  <c r="M20" i="35"/>
  <c r="N20" i="35" s="1"/>
  <c r="M21" i="35"/>
  <c r="N21" i="35" s="1"/>
  <c r="M22" i="35"/>
  <c r="N22" i="35" s="1"/>
  <c r="M23" i="35"/>
  <c r="N23" i="35" s="1"/>
  <c r="M24" i="35"/>
  <c r="N24" i="35" s="1"/>
  <c r="M25" i="35"/>
  <c r="N25" i="35" s="1"/>
  <c r="M26" i="35"/>
  <c r="N26" i="35" s="1"/>
  <c r="M27" i="35"/>
  <c r="N27" i="35" s="1"/>
  <c r="M19" i="35"/>
  <c r="N19" i="35" s="1"/>
  <c r="BA15" i="44"/>
  <c r="AZ15" i="44"/>
  <c r="AY15" i="44"/>
  <c r="AX15" i="44"/>
  <c r="AW15" i="44"/>
  <c r="AV15" i="44"/>
  <c r="AU15" i="44"/>
  <c r="AT15" i="44"/>
  <c r="AS15" i="44"/>
  <c r="A2" i="45"/>
  <c r="A1" i="45"/>
  <c r="C21" i="44"/>
  <c r="N112" i="44" s="1"/>
  <c r="D20" i="44"/>
  <c r="M6" i="44"/>
  <c r="L6" i="44"/>
  <c r="K6" i="44"/>
  <c r="J6" i="44"/>
  <c r="I6" i="44"/>
  <c r="H6" i="44"/>
  <c r="G6" i="44"/>
  <c r="F6" i="44"/>
  <c r="G128" i="44" l="1"/>
  <c r="I127" i="44"/>
  <c r="C22" i="44"/>
  <c r="C23" i="44" s="1"/>
  <c r="F25" i="43"/>
  <c r="E14" i="43"/>
  <c r="H25" i="43"/>
  <c r="D14" i="43"/>
  <c r="J25" i="43"/>
  <c r="D21" i="44"/>
  <c r="D22" i="44" l="1"/>
  <c r="I153" i="44"/>
  <c r="I136" i="44"/>
  <c r="I134" i="44"/>
  <c r="G129" i="44"/>
  <c r="I128" i="44"/>
  <c r="I154" i="44" s="1"/>
  <c r="N114" i="44"/>
  <c r="N113" i="44"/>
  <c r="C24" i="44"/>
  <c r="D23" i="44"/>
  <c r="G130" i="44" l="1"/>
  <c r="I130" i="44" s="1"/>
  <c r="I156" i="44" s="1"/>
  <c r="I129" i="44"/>
  <c r="I155" i="44" s="1"/>
  <c r="N115" i="44"/>
  <c r="C25" i="44"/>
  <c r="D24" i="44"/>
  <c r="N116" i="44" l="1"/>
  <c r="C26" i="44"/>
  <c r="D25" i="44"/>
  <c r="N117" i="44" l="1"/>
  <c r="C27" i="44"/>
  <c r="D26" i="44"/>
  <c r="U14" i="21"/>
  <c r="U13" i="21"/>
  <c r="U12" i="21"/>
  <c r="U11" i="21"/>
  <c r="U10" i="21"/>
  <c r="N118" i="44" l="1"/>
  <c r="C28" i="44"/>
  <c r="D27" i="44"/>
  <c r="AL74" i="21"/>
  <c r="AM74" i="21"/>
  <c r="AN74" i="21"/>
  <c r="AO74" i="21"/>
  <c r="J17" i="36"/>
  <c r="H26" i="12" s="1"/>
  <c r="AH97" i="11"/>
  <c r="AI97" i="11"/>
  <c r="AJ97" i="11"/>
  <c r="AH99" i="11"/>
  <c r="AI99" i="11"/>
  <c r="AJ99" i="11"/>
  <c r="N119" i="44" l="1"/>
  <c r="C29" i="44"/>
  <c r="D28" i="44"/>
  <c r="E45" i="16"/>
  <c r="AT573" i="1"/>
  <c r="AT709" i="1"/>
  <c r="N120" i="44" l="1"/>
  <c r="C30" i="44"/>
  <c r="D29" i="44"/>
  <c r="AD432" i="1"/>
  <c r="AM38" i="21"/>
  <c r="AN38" i="21"/>
  <c r="AO38" i="21"/>
  <c r="AL38" i="21"/>
  <c r="AM13" i="21"/>
  <c r="AN13" i="21"/>
  <c r="AO13" i="21"/>
  <c r="AL13" i="21"/>
  <c r="N121" i="44" l="1"/>
  <c r="C31" i="44"/>
  <c r="D30" i="44"/>
  <c r="AM36" i="21"/>
  <c r="AN36" i="21"/>
  <c r="AO36" i="21"/>
  <c r="AL36" i="21"/>
  <c r="AM11" i="21"/>
  <c r="AN11" i="21"/>
  <c r="AO11" i="21"/>
  <c r="AL11" i="21"/>
  <c r="AT494" i="1"/>
  <c r="AT690" i="1"/>
  <c r="AT654" i="1"/>
  <c r="AS297" i="1"/>
  <c r="AT297" i="1"/>
  <c r="AM297" i="1"/>
  <c r="AN297" i="1"/>
  <c r="AO297" i="1"/>
  <c r="AP297" i="1"/>
  <c r="AQ297" i="1"/>
  <c r="AR297" i="1"/>
  <c r="AL297" i="1"/>
  <c r="AT671" i="1"/>
  <c r="AT414" i="1"/>
  <c r="AL5" i="21"/>
  <c r="AM6" i="21"/>
  <c r="AM5" i="21" s="1"/>
  <c r="AL35" i="21"/>
  <c r="AM35" i="21"/>
  <c r="AN35" i="21"/>
  <c r="AO35" i="21"/>
  <c r="AL10" i="21"/>
  <c r="AM10" i="21"/>
  <c r="AM15" i="21" s="1"/>
  <c r="AN10" i="21"/>
  <c r="AO10" i="21"/>
  <c r="AO15" i="21" s="1"/>
  <c r="N13" i="16"/>
  <c r="N12" i="16"/>
  <c r="N11" i="16"/>
  <c r="N10" i="16"/>
  <c r="N9" i="16"/>
  <c r="N8" i="16"/>
  <c r="AD12" i="1"/>
  <c r="AE12" i="1"/>
  <c r="AF12" i="1"/>
  <c r="AC10" i="21"/>
  <c r="AD10" i="21"/>
  <c r="AE10" i="21"/>
  <c r="AF10" i="21"/>
  <c r="AC11" i="21"/>
  <c r="AD11" i="21"/>
  <c r="AE11" i="21"/>
  <c r="AF11" i="21"/>
  <c r="AC12" i="21"/>
  <c r="AD12" i="21"/>
  <c r="AE12" i="21"/>
  <c r="AF12" i="21"/>
  <c r="AC13" i="21"/>
  <c r="AD13" i="21"/>
  <c r="AE13" i="21"/>
  <c r="AF13" i="21"/>
  <c r="AC14" i="21"/>
  <c r="AD14" i="21"/>
  <c r="AE14" i="21"/>
  <c r="AF14" i="21"/>
  <c r="AW112" i="21"/>
  <c r="AX112" i="21"/>
  <c r="AW113" i="21"/>
  <c r="AX113" i="21"/>
  <c r="AW114" i="21"/>
  <c r="AX114" i="21"/>
  <c r="AW115" i="21"/>
  <c r="AX115" i="21"/>
  <c r="AW116" i="21"/>
  <c r="AX116" i="21"/>
  <c r="AV112" i="21"/>
  <c r="AR640" i="1"/>
  <c r="AS640" i="1"/>
  <c r="AT640" i="1"/>
  <c r="AQ103" i="21"/>
  <c r="AQ104" i="21"/>
  <c r="AQ105" i="21"/>
  <c r="AQ106" i="21"/>
  <c r="AQ107" i="21"/>
  <c r="AQ128" i="21"/>
  <c r="AR128" i="21"/>
  <c r="AS128" i="21"/>
  <c r="AT128" i="21"/>
  <c r="AU128" i="21"/>
  <c r="AV128" i="21"/>
  <c r="AW128" i="21"/>
  <c r="AX128" i="21"/>
  <c r="AQ129" i="21"/>
  <c r="AR129" i="21"/>
  <c r="AS129" i="21"/>
  <c r="AT129" i="21"/>
  <c r="AU129" i="21"/>
  <c r="AV129" i="21"/>
  <c r="AW129" i="21"/>
  <c r="AX129" i="21"/>
  <c r="AQ130" i="21"/>
  <c r="AR130" i="21"/>
  <c r="AS130" i="21"/>
  <c r="AT130" i="21"/>
  <c r="AU130" i="21"/>
  <c r="AV130" i="21"/>
  <c r="AW130" i="21"/>
  <c r="AX130" i="21"/>
  <c r="AQ131" i="21"/>
  <c r="AR131" i="21"/>
  <c r="AS131" i="21"/>
  <c r="AT131" i="21"/>
  <c r="AU131" i="21"/>
  <c r="AV131" i="21"/>
  <c r="AW131" i="21"/>
  <c r="AX131" i="21"/>
  <c r="AQ132" i="21"/>
  <c r="AR132" i="21"/>
  <c r="AS132" i="21"/>
  <c r="AT132" i="21"/>
  <c r="AU132" i="21"/>
  <c r="AV132" i="21"/>
  <c r="AW132" i="21"/>
  <c r="AX132" i="21"/>
  <c r="AQ112" i="21"/>
  <c r="AR112" i="21"/>
  <c r="AS112" i="21"/>
  <c r="AT112" i="21"/>
  <c r="AU112" i="21"/>
  <c r="AQ113" i="21"/>
  <c r="AR113" i="21"/>
  <c r="AS113" i="21"/>
  <c r="AT113" i="21"/>
  <c r="AU113" i="21"/>
  <c r="AV113" i="21"/>
  <c r="AQ114" i="21"/>
  <c r="AR114" i="21"/>
  <c r="AS114" i="21"/>
  <c r="AT114" i="21"/>
  <c r="AU114" i="21"/>
  <c r="AV114" i="21"/>
  <c r="AQ115" i="21"/>
  <c r="AR115" i="21"/>
  <c r="AS115" i="21"/>
  <c r="AT115" i="21"/>
  <c r="AU115" i="21"/>
  <c r="AV115" i="21"/>
  <c r="AQ116" i="21"/>
  <c r="AR116" i="21"/>
  <c r="AS116" i="21"/>
  <c r="AT116" i="21"/>
  <c r="AU116" i="21"/>
  <c r="AV116" i="21"/>
  <c r="AP116" i="21"/>
  <c r="AP132" i="21"/>
  <c r="AP107" i="21"/>
  <c r="AP131" i="21"/>
  <c r="AP115" i="21"/>
  <c r="AP106" i="21"/>
  <c r="AP130" i="21"/>
  <c r="AP114" i="21"/>
  <c r="AP105" i="21"/>
  <c r="AP129" i="21"/>
  <c r="AP113" i="21"/>
  <c r="AP104" i="21"/>
  <c r="AP128" i="21"/>
  <c r="AP112" i="21"/>
  <c r="AP103" i="21"/>
  <c r="AN15" i="21" l="1"/>
  <c r="AN6" i="21"/>
  <c r="AL15" i="21"/>
  <c r="N122" i="44"/>
  <c r="C32" i="44"/>
  <c r="D31" i="44"/>
  <c r="AE31" i="21"/>
  <c r="AD31" i="21"/>
  <c r="AD29" i="21"/>
  <c r="AE29" i="21"/>
  <c r="AC30" i="21"/>
  <c r="AE27" i="21"/>
  <c r="AC15" i="21"/>
  <c r="AC16" i="21" s="1"/>
  <c r="AD27" i="21"/>
  <c r="AC28" i="21"/>
  <c r="AC31" i="21"/>
  <c r="AF15" i="21"/>
  <c r="AF16" i="21" s="1"/>
  <c r="AF28" i="21"/>
  <c r="AE15" i="21"/>
  <c r="AE16" i="21" s="1"/>
  <c r="AU117" i="21"/>
  <c r="AT117" i="21"/>
  <c r="AF30" i="21"/>
  <c r="AD15" i="21"/>
  <c r="AQ108" i="21"/>
  <c r="AE30" i="21"/>
  <c r="AE28" i="21"/>
  <c r="AD30" i="21"/>
  <c r="AD28" i="21"/>
  <c r="AF31" i="21"/>
  <c r="AF29" i="21"/>
  <c r="AF27" i="21"/>
  <c r="AC29" i="21"/>
  <c r="AC27" i="21"/>
  <c r="AP117" i="21"/>
  <c r="AP118" i="21" s="1"/>
  <c r="AW117" i="21"/>
  <c r="AQ117" i="21"/>
  <c r="AQ118" i="21" s="1"/>
  <c r="AX117" i="21"/>
  <c r="AS117" i="21"/>
  <c r="AR117" i="21"/>
  <c r="AV117" i="21"/>
  <c r="AP108" i="21"/>
  <c r="AO6" i="21" l="1"/>
  <c r="AO5" i="21" s="1"/>
  <c r="AN5" i="21"/>
  <c r="N123" i="44"/>
  <c r="C33" i="44"/>
  <c r="D32" i="44"/>
  <c r="AD32" i="21"/>
  <c r="AE32" i="21"/>
  <c r="AD16" i="21"/>
  <c r="AF32" i="21"/>
  <c r="AC32" i="21"/>
  <c r="N124" i="44" l="1"/>
  <c r="C34" i="44"/>
  <c r="D33" i="44"/>
  <c r="N125" i="44" l="1"/>
  <c r="C35" i="44"/>
  <c r="D34" i="44"/>
  <c r="O20" i="30"/>
  <c r="AU7" i="11"/>
  <c r="AU6" i="11" s="1"/>
  <c r="AD975" i="1"/>
  <c r="AE975" i="1"/>
  <c r="AF975" i="1"/>
  <c r="AM129" i="1"/>
  <c r="AL129" i="1"/>
  <c r="F140" i="3"/>
  <c r="G140" i="3" s="1"/>
  <c r="H140" i="3" s="1"/>
  <c r="I140" i="3" s="1"/>
  <c r="J140" i="3" s="1"/>
  <c r="E140" i="3"/>
  <c r="AN19" i="2"/>
  <c r="AF806" i="1"/>
  <c r="AE806" i="1"/>
  <c r="AD806"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AF805" i="1"/>
  <c r="AE805" i="1"/>
  <c r="AD805"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AF801" i="1"/>
  <c r="AG815" i="1" s="1"/>
  <c r="AG817" i="1" s="1"/>
  <c r="AG820" i="1" s="1"/>
  <c r="AE801" i="1"/>
  <c r="AD801"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AF796" i="1"/>
  <c r="AE796" i="1"/>
  <c r="AD796"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AF795" i="1"/>
  <c r="AE795" i="1"/>
  <c r="AD795"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AF792" i="1"/>
  <c r="AE792" i="1"/>
  <c r="AD792" i="1"/>
  <c r="AC792" i="1"/>
  <c r="AB792" i="1"/>
  <c r="AA792" i="1"/>
  <c r="Z792" i="1"/>
  <c r="Y792" i="1"/>
  <c r="X792" i="1"/>
  <c r="W792" i="1"/>
  <c r="V792" i="1"/>
  <c r="U792" i="1"/>
  <c r="S792" i="1"/>
  <c r="R792" i="1"/>
  <c r="Q792" i="1"/>
  <c r="O792" i="1"/>
  <c r="N792" i="1"/>
  <c r="M792" i="1"/>
  <c r="L792" i="1"/>
  <c r="K792" i="1"/>
  <c r="J792" i="1"/>
  <c r="I792" i="1"/>
  <c r="H792" i="1"/>
  <c r="G792" i="1"/>
  <c r="F792" i="1"/>
  <c r="E792" i="1"/>
  <c r="AF790" i="1"/>
  <c r="AE790" i="1"/>
  <c r="AD790"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AM806" i="1"/>
  <c r="AM805" i="1"/>
  <c r="AM801" i="1"/>
  <c r="AM796" i="1"/>
  <c r="AM795" i="1"/>
  <c r="AM792" i="1"/>
  <c r="AM790" i="1"/>
  <c r="AL805" i="1"/>
  <c r="AL792" i="1"/>
  <c r="D9" i="42"/>
  <c r="E4" i="42"/>
  <c r="E3" i="42" s="1"/>
  <c r="D3" i="42"/>
  <c r="AL806" i="1"/>
  <c r="AL801" i="1"/>
  <c r="AL796" i="1"/>
  <c r="AL795" i="1"/>
  <c r="AL790" i="1"/>
  <c r="BD51" i="41"/>
  <c r="BC52" i="41"/>
  <c r="BC53" i="41" s="1"/>
  <c r="J815" i="1" l="1"/>
  <c r="R815" i="1"/>
  <c r="Z815" i="1"/>
  <c r="G815" i="1"/>
  <c r="O815" i="1"/>
  <c r="N126" i="44"/>
  <c r="W815" i="1"/>
  <c r="AM815" i="1"/>
  <c r="AM827" i="1"/>
  <c r="AE815" i="1"/>
  <c r="H815" i="1"/>
  <c r="P815" i="1"/>
  <c r="X815" i="1"/>
  <c r="AF815" i="1"/>
  <c r="K815" i="1"/>
  <c r="S815" i="1"/>
  <c r="AA815" i="1"/>
  <c r="L815" i="1"/>
  <c r="T815" i="1"/>
  <c r="AB815" i="1"/>
  <c r="M815" i="1"/>
  <c r="U815" i="1"/>
  <c r="AC815" i="1"/>
  <c r="F815" i="1"/>
  <c r="N815" i="1"/>
  <c r="V815" i="1"/>
  <c r="AD815" i="1"/>
  <c r="I815" i="1"/>
  <c r="Q815" i="1"/>
  <c r="Y815" i="1"/>
  <c r="BD53" i="41"/>
  <c r="BC54" i="41"/>
  <c r="BD52" i="41"/>
  <c r="C36" i="44"/>
  <c r="D35" i="44"/>
  <c r="F4" i="42"/>
  <c r="BM15" i="41"/>
  <c r="BL15" i="41"/>
  <c r="BK15" i="41"/>
  <c r="BJ15" i="41"/>
  <c r="BI15" i="41"/>
  <c r="BH15" i="41"/>
  <c r="BG15" i="41"/>
  <c r="BF15" i="41"/>
  <c r="BE15" i="41"/>
  <c r="KK19" i="35"/>
  <c r="KK18" i="35"/>
  <c r="KK17" i="35"/>
  <c r="KK23" i="35"/>
  <c r="KK24" i="35"/>
  <c r="KK16" i="35"/>
  <c r="KK15" i="35"/>
  <c r="KK14" i="35"/>
  <c r="KK13" i="35"/>
  <c r="KK12" i="35"/>
  <c r="KK10" i="35"/>
  <c r="N127" i="44" l="1"/>
  <c r="BC55" i="41"/>
  <c r="BD54" i="41"/>
  <c r="D36" i="44"/>
  <c r="C37" i="44"/>
  <c r="G4" i="42"/>
  <c r="F3" i="42"/>
  <c r="N128" i="44" l="1"/>
  <c r="BC56" i="41"/>
  <c r="BD55" i="41"/>
  <c r="D37" i="44"/>
  <c r="C38" i="44"/>
  <c r="H4" i="42"/>
  <c r="G3" i="42"/>
  <c r="N129" i="44" l="1"/>
  <c r="BC57" i="41"/>
  <c r="BD56" i="41"/>
  <c r="C39" i="44"/>
  <c r="D38" i="44"/>
  <c r="I4" i="42"/>
  <c r="H3" i="42"/>
  <c r="N130" i="44" l="1"/>
  <c r="BC58" i="41"/>
  <c r="BD57" i="41"/>
  <c r="C40" i="44"/>
  <c r="D39" i="44"/>
  <c r="J4" i="42"/>
  <c r="I3" i="42"/>
  <c r="N131" i="44" l="1"/>
  <c r="BC59" i="41"/>
  <c r="BD58" i="41"/>
  <c r="D40" i="44"/>
  <c r="C41" i="44"/>
  <c r="J3" i="42"/>
  <c r="K4" i="42"/>
  <c r="L4" i="42" s="1"/>
  <c r="N132" i="44" l="1"/>
  <c r="M4" i="42"/>
  <c r="L3" i="42"/>
  <c r="BC60" i="41"/>
  <c r="BD59" i="41"/>
  <c r="C42" i="44"/>
  <c r="D41" i="44"/>
  <c r="K3" i="42"/>
  <c r="AU15" i="41"/>
  <c r="AU62" i="41" s="1"/>
  <c r="AV15" i="41"/>
  <c r="AV62" i="41" s="1"/>
  <c r="AW15" i="41"/>
  <c r="AW62" i="41" s="1"/>
  <c r="AX15" i="41"/>
  <c r="AX62" i="41" s="1"/>
  <c r="AY15" i="41"/>
  <c r="AY62" i="41" s="1"/>
  <c r="AZ15" i="41"/>
  <c r="AZ62" i="41" s="1"/>
  <c r="BA15" i="41"/>
  <c r="BA62" i="41" s="1"/>
  <c r="BB15" i="41"/>
  <c r="BB62" i="41" s="1"/>
  <c r="AT15" i="41"/>
  <c r="AT62" i="41" s="1"/>
  <c r="E24" i="9"/>
  <c r="E6" i="35"/>
  <c r="F6" i="41"/>
  <c r="G6" i="41"/>
  <c r="H6" i="41"/>
  <c r="I6" i="41"/>
  <c r="J6" i="41"/>
  <c r="K6" i="41"/>
  <c r="L6" i="41"/>
  <c r="M6" i="41"/>
  <c r="C21" i="41"/>
  <c r="D21" i="41" s="1"/>
  <c r="D20" i="41"/>
  <c r="AL910" i="1"/>
  <c r="AM910" i="1"/>
  <c r="C910" i="1"/>
  <c r="C909" i="1"/>
  <c r="K28" i="12"/>
  <c r="C21" i="30"/>
  <c r="D20" i="30"/>
  <c r="A2" i="40"/>
  <c r="A1" i="40"/>
  <c r="C21" i="39"/>
  <c r="D21" i="39" s="1"/>
  <c r="D20" i="39"/>
  <c r="A2" i="38"/>
  <c r="A1" i="38"/>
  <c r="C21" i="37"/>
  <c r="D21" i="37" s="1"/>
  <c r="D20" i="37"/>
  <c r="AT58" i="1"/>
  <c r="AT975" i="1" s="1"/>
  <c r="AS58" i="1"/>
  <c r="AQ640" i="1"/>
  <c r="AL348" i="1"/>
  <c r="AT43" i="2"/>
  <c r="AT70" i="2"/>
  <c r="AT106" i="2"/>
  <c r="AT133" i="2"/>
  <c r="G38" i="36"/>
  <c r="G36" i="36" s="1"/>
  <c r="E30" i="36"/>
  <c r="E25" i="36"/>
  <c r="G8" i="36"/>
  <c r="KC17" i="35"/>
  <c r="KB17" i="35"/>
  <c r="JT17" i="35"/>
  <c r="JS17" i="35"/>
  <c r="JK17" i="35"/>
  <c r="JJ17" i="35"/>
  <c r="KC23" i="35"/>
  <c r="KB23" i="35"/>
  <c r="JT23" i="35"/>
  <c r="JS23" i="35"/>
  <c r="JK23" i="35"/>
  <c r="JJ23" i="35"/>
  <c r="KC24" i="35"/>
  <c r="KB24" i="35"/>
  <c r="JT24" i="35"/>
  <c r="JS24" i="35"/>
  <c r="JK24" i="35"/>
  <c r="JJ24" i="35"/>
  <c r="KC16" i="35"/>
  <c r="KB16" i="35"/>
  <c r="JT16" i="35"/>
  <c r="JS16" i="35"/>
  <c r="JK16" i="35"/>
  <c r="JJ16" i="35"/>
  <c r="KC15" i="35"/>
  <c r="KB15" i="35"/>
  <c r="JT15" i="35"/>
  <c r="JS15" i="35"/>
  <c r="JK15" i="35"/>
  <c r="JJ15" i="35"/>
  <c r="KC14" i="35"/>
  <c r="KB14" i="35"/>
  <c r="JT14" i="35"/>
  <c r="JS14" i="35"/>
  <c r="JK14" i="35"/>
  <c r="JJ14" i="35"/>
  <c r="O14" i="35"/>
  <c r="M14" i="35"/>
  <c r="N14" i="35" s="1"/>
  <c r="KC13" i="35"/>
  <c r="KB13" i="35"/>
  <c r="JT13" i="35"/>
  <c r="JS13" i="35"/>
  <c r="JK13" i="35"/>
  <c r="JJ13" i="35"/>
  <c r="M13" i="35"/>
  <c r="N13" i="35" s="1"/>
  <c r="C13" i="35"/>
  <c r="C14" i="35" s="1"/>
  <c r="C15" i="35" s="1"/>
  <c r="C16" i="35" s="1"/>
  <c r="C17" i="35" s="1"/>
  <c r="C18" i="35" s="1"/>
  <c r="C19" i="35" s="1"/>
  <c r="C20" i="35" s="1"/>
  <c r="C21" i="35" s="1"/>
  <c r="C22" i="35" s="1"/>
  <c r="C23" i="35" s="1"/>
  <c r="C24" i="35" s="1"/>
  <c r="C25" i="35" s="1"/>
  <c r="C26" i="35" s="1"/>
  <c r="C27" i="35" s="1"/>
  <c r="KC12" i="35"/>
  <c r="KB12" i="35"/>
  <c r="JT12" i="35"/>
  <c r="JS12" i="35"/>
  <c r="JK12" i="35"/>
  <c r="JJ12" i="35"/>
  <c r="M12" i="35"/>
  <c r="N12" i="35" s="1"/>
  <c r="KU10" i="35"/>
  <c r="KT10" i="35"/>
  <c r="KL10" i="35"/>
  <c r="D6" i="35"/>
  <c r="G20" i="20"/>
  <c r="G19" i="20"/>
  <c r="AP146" i="2"/>
  <c r="AP182" i="2"/>
  <c r="AP197" i="2"/>
  <c r="AP151" i="2"/>
  <c r="AP118" i="2"/>
  <c r="AP70" i="2"/>
  <c r="AP55" i="2"/>
  <c r="M39" i="12"/>
  <c r="M35" i="12"/>
  <c r="M46" i="12"/>
  <c r="L46" i="12"/>
  <c r="N47" i="12" s="1"/>
  <c r="K46" i="12"/>
  <c r="N133" i="44" l="1"/>
  <c r="N4" i="42"/>
  <c r="M3" i="42"/>
  <c r="BD60" i="41"/>
  <c r="C43" i="44"/>
  <c r="D42" i="44"/>
  <c r="D21" i="30"/>
  <c r="O21" i="30"/>
  <c r="C22" i="41"/>
  <c r="C22" i="30"/>
  <c r="O22" i="30" s="1"/>
  <c r="C22" i="37"/>
  <c r="C23" i="37" s="1"/>
  <c r="C24" i="37" s="1"/>
  <c r="C22" i="39"/>
  <c r="D22" i="39" s="1"/>
  <c r="N134" i="44" l="1"/>
  <c r="O4" i="42"/>
  <c r="O3" i="42" s="1"/>
  <c r="N3" i="42"/>
  <c r="C44" i="44"/>
  <c r="D43" i="44"/>
  <c r="D22" i="41"/>
  <c r="C23" i="41"/>
  <c r="D22" i="30"/>
  <c r="C23" i="30"/>
  <c r="O23" i="30" s="1"/>
  <c r="C23" i="39"/>
  <c r="C24" i="39" s="1"/>
  <c r="D22" i="37"/>
  <c r="D23" i="37"/>
  <c r="C25" i="37"/>
  <c r="D24" i="37"/>
  <c r="JI10" i="35"/>
  <c r="BA10" i="35"/>
  <c r="HO10" i="35"/>
  <c r="GX10" i="35"/>
  <c r="EZ10" i="35"/>
  <c r="DQ10" i="35"/>
  <c r="AF10" i="35"/>
  <c r="Q10" i="35"/>
  <c r="KO10" i="35"/>
  <c r="AW10" i="35"/>
  <c r="GW10" i="35"/>
  <c r="DR10" i="35"/>
  <c r="JQ10" i="35"/>
  <c r="J10" i="35"/>
  <c r="AH10" i="35"/>
  <c r="BE10" i="35"/>
  <c r="CF10" i="35"/>
  <c r="BS10" i="35"/>
  <c r="DT10" i="35"/>
  <c r="DF10" i="35"/>
  <c r="FM10" i="35"/>
  <c r="HV10" i="35"/>
  <c r="AJ10" i="35"/>
  <c r="DM10" i="35"/>
  <c r="GG10" i="35"/>
  <c r="JW10" i="35"/>
  <c r="AE10" i="35"/>
  <c r="IO10" i="35"/>
  <c r="JO10" i="35"/>
  <c r="AV10" i="35"/>
  <c r="DV10" i="35"/>
  <c r="IE10" i="35"/>
  <c r="GP10" i="35"/>
  <c r="EL10" i="35"/>
  <c r="EH10" i="35"/>
  <c r="IC10" i="35"/>
  <c r="GB10" i="35"/>
  <c r="KQ10" i="35"/>
  <c r="FN10" i="35"/>
  <c r="GD10" i="35"/>
  <c r="KX10" i="35"/>
  <c r="IF10" i="35"/>
  <c r="BF10" i="35"/>
  <c r="EG10" i="35"/>
  <c r="IV10" i="35"/>
  <c r="KP10" i="35"/>
  <c r="FX10" i="35"/>
  <c r="CK10" i="35"/>
  <c r="II10" i="35"/>
  <c r="BR10" i="35"/>
  <c r="BG10" i="35"/>
  <c r="F10" i="35"/>
  <c r="HN10" i="35"/>
  <c r="DK10" i="35"/>
  <c r="IP10" i="35"/>
  <c r="FJ10" i="35"/>
  <c r="E33" i="36"/>
  <c r="HK10" i="35"/>
  <c r="HP10" i="35"/>
  <c r="FT10" i="35"/>
  <c r="EB10" i="35"/>
  <c r="DG10" i="35"/>
  <c r="GT10" i="35"/>
  <c r="FU10" i="35"/>
  <c r="AZ10" i="35"/>
  <c r="FW10" i="35"/>
  <c r="FZ10" i="35"/>
  <c r="BK10" i="35"/>
  <c r="HY10" i="35"/>
  <c r="HL10" i="35"/>
  <c r="HR10" i="35"/>
  <c r="FH10" i="35"/>
  <c r="DL10" i="35"/>
  <c r="T10" i="35"/>
  <c r="FV10" i="35"/>
  <c r="IL10" i="35"/>
  <c r="CA10" i="35"/>
  <c r="DH10" i="35"/>
  <c r="GQ10" i="35"/>
  <c r="E10" i="35"/>
  <c r="JX10" i="35"/>
  <c r="JN10" i="35"/>
  <c r="FF10" i="35"/>
  <c r="JR10" i="35"/>
  <c r="HB10" i="35"/>
  <c r="GY10" i="35"/>
  <c r="R10" i="35"/>
  <c r="KJ10" i="35"/>
  <c r="GZ10" i="35"/>
  <c r="HQ10" i="35"/>
  <c r="AO10" i="35"/>
  <c r="GS10" i="35"/>
  <c r="JY10" i="35"/>
  <c r="HG10" i="35"/>
  <c r="U10" i="35"/>
  <c r="AN10" i="35"/>
  <c r="IY10" i="35"/>
  <c r="K10" i="35"/>
  <c r="GA10" i="35"/>
  <c r="CS10" i="35"/>
  <c r="JV10" i="35"/>
  <c r="Z10" i="35"/>
  <c r="IS10" i="35"/>
  <c r="CC10" i="35"/>
  <c r="HW10" i="35"/>
  <c r="BH10" i="35"/>
  <c r="DJ10" i="35"/>
  <c r="EN10" i="35"/>
  <c r="V10" i="35"/>
  <c r="EW10" i="35"/>
  <c r="EJ10" i="35"/>
  <c r="FK10" i="35"/>
  <c r="HI10" i="35"/>
  <c r="DU10" i="35"/>
  <c r="HZ10" i="35"/>
  <c r="BN10" i="35"/>
  <c r="HE10" i="35"/>
  <c r="CI10" i="35"/>
  <c r="HU10" i="35"/>
  <c r="D7" i="36"/>
  <c r="CU10" i="35"/>
  <c r="ES10" i="35"/>
  <c r="EV10" i="35"/>
  <c r="JF10" i="35"/>
  <c r="CN10" i="35"/>
  <c r="GJ10" i="35"/>
  <c r="DC10" i="35"/>
  <c r="CX10" i="35"/>
  <c r="DY10" i="35"/>
  <c r="BY10" i="35"/>
  <c r="IW10" i="35"/>
  <c r="JP10" i="35"/>
  <c r="BX10" i="35"/>
  <c r="IH10" i="35"/>
  <c r="AI10" i="35"/>
  <c r="FE10" i="35"/>
  <c r="HX10" i="35"/>
  <c r="DX10" i="35"/>
  <c r="AY10" i="35"/>
  <c r="DP10" i="35"/>
  <c r="JB10" i="35"/>
  <c r="GC10" i="35"/>
  <c r="FI10" i="35"/>
  <c r="EM10" i="35"/>
  <c r="KA10" i="35"/>
  <c r="JZ10" i="35"/>
  <c r="CY10" i="35"/>
  <c r="GF10" i="35"/>
  <c r="BT10" i="35"/>
  <c r="AD10" i="35"/>
  <c r="KG10" i="35"/>
  <c r="EK10" i="35"/>
  <c r="EP10" i="35"/>
  <c r="CO10" i="35"/>
  <c r="DB10" i="35"/>
  <c r="HF10" i="35"/>
  <c r="JD10" i="35"/>
  <c r="EY10" i="35"/>
  <c r="EC10" i="35"/>
  <c r="CE10" i="35"/>
  <c r="EU10" i="35"/>
  <c r="GL10" i="35"/>
  <c r="JG10" i="35"/>
  <c r="EI10" i="35"/>
  <c r="IM10" i="35"/>
  <c r="BJ10" i="35"/>
  <c r="AU10" i="35"/>
  <c r="AG10" i="35"/>
  <c r="G10" i="35"/>
  <c r="FO10" i="35"/>
  <c r="GU10" i="35"/>
  <c r="IQ10" i="35"/>
  <c r="KS10" i="35"/>
  <c r="FB10" i="35"/>
  <c r="FC10" i="35"/>
  <c r="HT10" i="35"/>
  <c r="KH10" i="35"/>
  <c r="DS10" i="35"/>
  <c r="FS10" i="35"/>
  <c r="FD10" i="35"/>
  <c r="EE10" i="35"/>
  <c r="AM10" i="35"/>
  <c r="AP10" i="35"/>
  <c r="HM10" i="35"/>
  <c r="IJ10" i="35"/>
  <c r="HD10" i="35"/>
  <c r="CW10" i="35"/>
  <c r="BI10" i="35"/>
  <c r="ED10" i="35"/>
  <c r="CZ10" i="35"/>
  <c r="IR10" i="35"/>
  <c r="DZ10" i="35"/>
  <c r="GM10" i="35"/>
  <c r="IA10" i="35"/>
  <c r="GN10" i="35"/>
  <c r="CJ10" i="35"/>
  <c r="IX10" i="35"/>
  <c r="D10" i="35"/>
  <c r="IG10" i="35"/>
  <c r="GO10" i="35"/>
  <c r="DO10" i="35"/>
  <c r="CB10" i="35"/>
  <c r="JA10" i="35"/>
  <c r="DD10" i="35"/>
  <c r="CH10" i="35"/>
  <c r="BW10" i="35"/>
  <c r="KF10" i="35"/>
  <c r="D29" i="36"/>
  <c r="FQ10" i="35"/>
  <c r="IU10" i="35"/>
  <c r="KN10" i="35"/>
  <c r="JH10" i="35"/>
  <c r="KR10" i="35"/>
  <c r="ER10" i="35"/>
  <c r="BD10" i="35"/>
  <c r="F2" i="36"/>
  <c r="AQ10" i="35"/>
  <c r="AA10" i="35"/>
  <c r="DA10" i="35"/>
  <c r="H10" i="35"/>
  <c r="CL10" i="35"/>
  <c r="FA10" i="35"/>
  <c r="HC10" i="35"/>
  <c r="IZ10" i="35"/>
  <c r="W10" i="35"/>
  <c r="JE10" i="35"/>
  <c r="EQ10" i="35"/>
  <c r="AS10" i="35"/>
  <c r="X10" i="35"/>
  <c r="AL10" i="35"/>
  <c r="BB10" i="35"/>
  <c r="BM10" i="35"/>
  <c r="CG10" i="35"/>
  <c r="AR10" i="35"/>
  <c r="CT10" i="35"/>
  <c r="CP10" i="35"/>
  <c r="CR10" i="35"/>
  <c r="BO10" i="35"/>
  <c r="IN10" i="35"/>
  <c r="AX10" i="35"/>
  <c r="FR10" i="35"/>
  <c r="HH10" i="35"/>
  <c r="DI10" i="35"/>
  <c r="JM10" i="35"/>
  <c r="I10" i="35"/>
  <c r="Y10" i="35"/>
  <c r="BQ10" i="35"/>
  <c r="AC10" i="35"/>
  <c r="GV10" i="35"/>
  <c r="E44" i="36"/>
  <c r="GE10" i="35"/>
  <c r="BZ10" i="35"/>
  <c r="KE10" i="35"/>
  <c r="FL10" i="35"/>
  <c r="EA10" i="35"/>
  <c r="BV10" i="35"/>
  <c r="BP10" i="35"/>
  <c r="ET10" i="35"/>
  <c r="CQ10" i="35"/>
  <c r="ID10" i="35"/>
  <c r="KI10" i="35"/>
  <c r="L10" i="35"/>
  <c r="GK10" i="35"/>
  <c r="N135" i="44" l="1"/>
  <c r="KB10" i="35"/>
  <c r="JJ10" i="35"/>
  <c r="JK10" i="35"/>
  <c r="JT10" i="35"/>
  <c r="KC10" i="35"/>
  <c r="G37" i="36"/>
  <c r="G35" i="36" s="1"/>
  <c r="G11" i="36" s="1"/>
  <c r="G9" i="36" s="1"/>
  <c r="G7" i="36" s="1"/>
  <c r="JS10" i="35"/>
  <c r="D44" i="44"/>
  <c r="C45" i="44"/>
  <c r="D23" i="41"/>
  <c r="C24" i="41"/>
  <c r="D23" i="30"/>
  <c r="C24" i="30"/>
  <c r="O24" i="30" s="1"/>
  <c r="D23" i="39"/>
  <c r="C26" i="37"/>
  <c r="D25" i="37"/>
  <c r="C25" i="39"/>
  <c r="D24" i="39"/>
  <c r="N136" i="44" l="1"/>
  <c r="H11" i="36"/>
  <c r="D45" i="44"/>
  <c r="C46" i="44"/>
  <c r="D24" i="41"/>
  <c r="C25" i="41"/>
  <c r="D24" i="30"/>
  <c r="C25" i="30"/>
  <c r="O25" i="30" s="1"/>
  <c r="D25" i="39"/>
  <c r="C26" i="39"/>
  <c r="C27" i="37"/>
  <c r="D26" i="37"/>
  <c r="N137" i="44" l="1"/>
  <c r="C47" i="44"/>
  <c r="D46" i="44"/>
  <c r="D25" i="41"/>
  <c r="C26" i="41"/>
  <c r="D25" i="30"/>
  <c r="C26" i="30"/>
  <c r="O26" i="30" s="1"/>
  <c r="C28" i="37"/>
  <c r="D27" i="37"/>
  <c r="C27" i="39"/>
  <c r="D26" i="39"/>
  <c r="N138" i="44" l="1"/>
  <c r="C48" i="44"/>
  <c r="D47" i="44"/>
  <c r="D26" i="41"/>
  <c r="C27" i="41"/>
  <c r="D26" i="30"/>
  <c r="C27" i="30"/>
  <c r="O27" i="30" s="1"/>
  <c r="C28" i="39"/>
  <c r="D27" i="39"/>
  <c r="D28" i="37"/>
  <c r="C29" i="37"/>
  <c r="N139" i="44" l="1"/>
  <c r="D48" i="44"/>
  <c r="C49" i="44"/>
  <c r="D27" i="41"/>
  <c r="C28" i="41"/>
  <c r="D27" i="30"/>
  <c r="C28" i="30"/>
  <c r="O28" i="30" s="1"/>
  <c r="C30" i="37"/>
  <c r="D29" i="37"/>
  <c r="D28" i="39"/>
  <c r="C29" i="39"/>
  <c r="N140" i="44" l="1"/>
  <c r="C50" i="44"/>
  <c r="D49" i="44"/>
  <c r="D28" i="41"/>
  <c r="C29" i="41"/>
  <c r="D28" i="30"/>
  <c r="C29" i="30"/>
  <c r="O29" i="30" s="1"/>
  <c r="D29" i="39"/>
  <c r="C30" i="39"/>
  <c r="C31" i="37"/>
  <c r="D30" i="37"/>
  <c r="N141" i="44" l="1"/>
  <c r="C51" i="44"/>
  <c r="D50" i="44"/>
  <c r="D29" i="41"/>
  <c r="C30" i="41"/>
  <c r="D29" i="30"/>
  <c r="C30" i="30"/>
  <c r="O30" i="30" s="1"/>
  <c r="C32" i="37"/>
  <c r="D31" i="37"/>
  <c r="C31" i="39"/>
  <c r="D30" i="39"/>
  <c r="N142" i="44" l="1"/>
  <c r="C52" i="44"/>
  <c r="D51" i="44"/>
  <c r="D30" i="41"/>
  <c r="C31" i="41"/>
  <c r="D30" i="30"/>
  <c r="C31" i="30"/>
  <c r="O31" i="30" s="1"/>
  <c r="D31" i="39"/>
  <c r="C32" i="39"/>
  <c r="C33" i="37"/>
  <c r="D32" i="37"/>
  <c r="N143" i="44" l="1"/>
  <c r="C53" i="44"/>
  <c r="N144" i="44" s="1"/>
  <c r="D52" i="44"/>
  <c r="D31" i="41"/>
  <c r="C32" i="41"/>
  <c r="D31" i="30"/>
  <c r="C32" i="30"/>
  <c r="O32" i="30" s="1"/>
  <c r="C34" i="37"/>
  <c r="D33" i="37"/>
  <c r="D32" i="39"/>
  <c r="C33" i="39"/>
  <c r="D53" i="44" l="1"/>
  <c r="C54" i="44"/>
  <c r="N145" i="44" s="1"/>
  <c r="D32" i="41"/>
  <c r="C33" i="41"/>
  <c r="D32" i="30"/>
  <c r="C33" i="30"/>
  <c r="O33" i="30" s="1"/>
  <c r="D33" i="39"/>
  <c r="C34" i="39"/>
  <c r="D34" i="37"/>
  <c r="C35" i="37"/>
  <c r="D54" i="44" l="1"/>
  <c r="C55" i="44"/>
  <c r="N146" i="44" s="1"/>
  <c r="D33" i="41"/>
  <c r="C34" i="41"/>
  <c r="D33" i="30"/>
  <c r="C34" i="30"/>
  <c r="O34" i="30" s="1"/>
  <c r="D35" i="37"/>
  <c r="C36" i="37"/>
  <c r="D34" i="39"/>
  <c r="C35" i="39"/>
  <c r="D55" i="44" l="1"/>
  <c r="C56" i="44"/>
  <c r="N147" i="44" s="1"/>
  <c r="D34" i="41"/>
  <c r="C35" i="41"/>
  <c r="D34" i="30"/>
  <c r="C35" i="30"/>
  <c r="O35" i="30" s="1"/>
  <c r="D35" i="39"/>
  <c r="C36" i="39"/>
  <c r="D36" i="37"/>
  <c r="C37" i="37"/>
  <c r="D56" i="44" l="1"/>
  <c r="C57" i="44"/>
  <c r="N148" i="44" s="1"/>
  <c r="D35" i="41"/>
  <c r="C36" i="41"/>
  <c r="D35" i="30"/>
  <c r="C36" i="30"/>
  <c r="O36" i="30" s="1"/>
  <c r="D37" i="37"/>
  <c r="C38" i="37"/>
  <c r="D36" i="39"/>
  <c r="C37" i="39"/>
  <c r="D57" i="44" l="1"/>
  <c r="C58" i="44"/>
  <c r="N149" i="44" s="1"/>
  <c r="D36" i="41"/>
  <c r="C37" i="41"/>
  <c r="D36" i="30"/>
  <c r="C37" i="30"/>
  <c r="O37" i="30" s="1"/>
  <c r="D37" i="39"/>
  <c r="C38" i="39"/>
  <c r="D38" i="37"/>
  <c r="C39" i="37"/>
  <c r="D58" i="44" l="1"/>
  <c r="C59" i="44"/>
  <c r="D37" i="41"/>
  <c r="C38" i="41"/>
  <c r="D37" i="30"/>
  <c r="C38" i="30"/>
  <c r="O38" i="30" s="1"/>
  <c r="D39" i="37"/>
  <c r="C40" i="37"/>
  <c r="D38" i="39"/>
  <c r="C39" i="39"/>
  <c r="N150" i="44" l="1"/>
  <c r="C60" i="44"/>
  <c r="D59" i="44"/>
  <c r="D38" i="41"/>
  <c r="C39" i="41"/>
  <c r="D38" i="30"/>
  <c r="C39" i="30"/>
  <c r="O39" i="30" s="1"/>
  <c r="D39" i="39"/>
  <c r="C40" i="39"/>
  <c r="D40" i="37"/>
  <c r="C41" i="37"/>
  <c r="N151" i="44" l="1"/>
  <c r="C61" i="44"/>
  <c r="D60" i="44"/>
  <c r="D39" i="41"/>
  <c r="C40" i="41"/>
  <c r="D39" i="30"/>
  <c r="C40" i="30"/>
  <c r="O40" i="30" s="1"/>
  <c r="D41" i="37"/>
  <c r="C42" i="37"/>
  <c r="D40" i="39"/>
  <c r="C41" i="39"/>
  <c r="N152" i="44" l="1"/>
  <c r="D61" i="44"/>
  <c r="C62" i="44"/>
  <c r="D40" i="41"/>
  <c r="C41" i="41"/>
  <c r="D40" i="30"/>
  <c r="C41" i="30"/>
  <c r="O41" i="30" s="1"/>
  <c r="D41" i="39"/>
  <c r="C42" i="39"/>
  <c r="D42" i="37"/>
  <c r="C43" i="37"/>
  <c r="N153" i="44" l="1"/>
  <c r="D62" i="44"/>
  <c r="C63" i="44"/>
  <c r="D41" i="41"/>
  <c r="C42" i="41"/>
  <c r="D41" i="30"/>
  <c r="C42" i="30"/>
  <c r="O42" i="30" s="1"/>
  <c r="C44" i="37"/>
  <c r="D43" i="37"/>
  <c r="C43" i="39"/>
  <c r="D42" i="39"/>
  <c r="N154" i="44" l="1"/>
  <c r="D63" i="44"/>
  <c r="C64" i="44"/>
  <c r="D42" i="41"/>
  <c r="C43" i="41"/>
  <c r="D42" i="30"/>
  <c r="C43" i="30"/>
  <c r="O43" i="30" s="1"/>
  <c r="C44" i="39"/>
  <c r="D43" i="39"/>
  <c r="D44" i="37"/>
  <c r="C45" i="37"/>
  <c r="N155" i="44" l="1"/>
  <c r="D64" i="44"/>
  <c r="C65" i="44"/>
  <c r="D43" i="41"/>
  <c r="C44" i="41"/>
  <c r="D43" i="30"/>
  <c r="C44" i="30"/>
  <c r="O44" i="30" s="1"/>
  <c r="D45" i="37"/>
  <c r="C46" i="37"/>
  <c r="D44" i="39"/>
  <c r="C45" i="39"/>
  <c r="N156" i="44" l="1"/>
  <c r="D65" i="44"/>
  <c r="C66" i="44"/>
  <c r="C45" i="41"/>
  <c r="D44" i="41"/>
  <c r="D44" i="30"/>
  <c r="C45" i="30"/>
  <c r="O45" i="30" s="1"/>
  <c r="C47" i="37"/>
  <c r="D46" i="37"/>
  <c r="D45" i="39"/>
  <c r="C46" i="39"/>
  <c r="N157" i="44" l="1"/>
  <c r="D66" i="44"/>
  <c r="C67" i="44"/>
  <c r="D45" i="41"/>
  <c r="C46" i="41"/>
  <c r="D45" i="30"/>
  <c r="C46" i="30"/>
  <c r="O46" i="30" s="1"/>
  <c r="C47" i="39"/>
  <c r="D46" i="39"/>
  <c r="C48" i="37"/>
  <c r="D47" i="37"/>
  <c r="N158" i="44" l="1"/>
  <c r="D67" i="44"/>
  <c r="C68" i="44"/>
  <c r="D46" i="41"/>
  <c r="C47" i="41"/>
  <c r="D46" i="30"/>
  <c r="C47" i="30"/>
  <c r="O47" i="30" s="1"/>
  <c r="C49" i="37"/>
  <c r="D48" i="37"/>
  <c r="C48" i="39"/>
  <c r="D47" i="39"/>
  <c r="N159" i="44" l="1"/>
  <c r="D68" i="44"/>
  <c r="C69" i="44"/>
  <c r="D47" i="41"/>
  <c r="C48" i="41"/>
  <c r="D47" i="30"/>
  <c r="C48" i="30"/>
  <c r="O48" i="30" s="1"/>
  <c r="D48" i="39"/>
  <c r="C49" i="39"/>
  <c r="D49" i="37"/>
  <c r="C50" i="37"/>
  <c r="N160" i="44" l="1"/>
  <c r="D69" i="44"/>
  <c r="C70" i="44"/>
  <c r="C49" i="41"/>
  <c r="D48" i="41"/>
  <c r="D48" i="30"/>
  <c r="C49" i="30"/>
  <c r="O49" i="30" s="1"/>
  <c r="C51" i="37"/>
  <c r="D50" i="37"/>
  <c r="D49" i="39"/>
  <c r="C50" i="39"/>
  <c r="N161" i="44" l="1"/>
  <c r="D70" i="44"/>
  <c r="C71" i="44"/>
  <c r="C50" i="41"/>
  <c r="D49" i="41"/>
  <c r="D49" i="30"/>
  <c r="C50" i="30"/>
  <c r="O50" i="30" s="1"/>
  <c r="C51" i="39"/>
  <c r="D50" i="39"/>
  <c r="C52" i="37"/>
  <c r="D51" i="37"/>
  <c r="N162" i="44" l="1"/>
  <c r="D71" i="44"/>
  <c r="C72" i="44"/>
  <c r="D50" i="41"/>
  <c r="C51" i="41"/>
  <c r="D50" i="30"/>
  <c r="C51" i="30"/>
  <c r="O51" i="30" s="1"/>
  <c r="D52" i="37"/>
  <c r="C53" i="37"/>
  <c r="C52" i="39"/>
  <c r="D51" i="39"/>
  <c r="N163" i="44" l="1"/>
  <c r="D72" i="44"/>
  <c r="C73" i="44"/>
  <c r="D51" i="41"/>
  <c r="C52" i="41"/>
  <c r="D51" i="30"/>
  <c r="C52" i="30"/>
  <c r="O52" i="30" s="1"/>
  <c r="C53" i="39"/>
  <c r="D52" i="39"/>
  <c r="D53" i="37"/>
  <c r="C54" i="37"/>
  <c r="N164" i="44" l="1"/>
  <c r="D73" i="44"/>
  <c r="C74" i="44"/>
  <c r="C53" i="41"/>
  <c r="D52" i="41"/>
  <c r="D52" i="30"/>
  <c r="C53" i="30"/>
  <c r="O53" i="30" s="1"/>
  <c r="D54" i="37"/>
  <c r="C55" i="37"/>
  <c r="D53" i="39"/>
  <c r="C54" i="39"/>
  <c r="N165" i="44" l="1"/>
  <c r="D74" i="44"/>
  <c r="C75" i="44"/>
  <c r="C54" i="41"/>
  <c r="D53" i="41"/>
  <c r="D53" i="30"/>
  <c r="C54" i="30"/>
  <c r="O54" i="30" s="1"/>
  <c r="D54" i="39"/>
  <c r="C55" i="39"/>
  <c r="C56" i="37"/>
  <c r="D55" i="37"/>
  <c r="N166" i="44" l="1"/>
  <c r="D75" i="44"/>
  <c r="C76" i="44"/>
  <c r="C55" i="41"/>
  <c r="D54" i="41"/>
  <c r="D54" i="30"/>
  <c r="C55" i="30"/>
  <c r="O55" i="30" s="1"/>
  <c r="D56" i="37"/>
  <c r="C57" i="37"/>
  <c r="C56" i="39"/>
  <c r="D55" i="39"/>
  <c r="N167" i="44" l="1"/>
  <c r="D76" i="44"/>
  <c r="C77" i="44"/>
  <c r="C56" i="41"/>
  <c r="D55" i="41"/>
  <c r="D55" i="30"/>
  <c r="C56" i="30"/>
  <c r="O56" i="30" s="1"/>
  <c r="C57" i="39"/>
  <c r="D56" i="39"/>
  <c r="D57" i="37"/>
  <c r="C58" i="37"/>
  <c r="N168" i="44" l="1"/>
  <c r="D77" i="44"/>
  <c r="C78" i="44"/>
  <c r="C57" i="41"/>
  <c r="D56" i="41"/>
  <c r="D56" i="30"/>
  <c r="C57" i="30"/>
  <c r="O57" i="30" s="1"/>
  <c r="D58" i="37"/>
  <c r="C59" i="37"/>
  <c r="D57" i="39"/>
  <c r="C58" i="39"/>
  <c r="N169" i="44" l="1"/>
  <c r="D78" i="44"/>
  <c r="C79" i="44"/>
  <c r="C58" i="41"/>
  <c r="D57" i="41"/>
  <c r="C58" i="30"/>
  <c r="O58" i="30" s="1"/>
  <c r="D57" i="30"/>
  <c r="C59" i="39"/>
  <c r="D58" i="39"/>
  <c r="C60" i="37"/>
  <c r="D60" i="37" s="1"/>
  <c r="D59" i="37"/>
  <c r="N170" i="44" l="1"/>
  <c r="D79" i="44"/>
  <c r="C80" i="44"/>
  <c r="C59" i="41"/>
  <c r="D58" i="41"/>
  <c r="D58" i="30"/>
  <c r="C59" i="30"/>
  <c r="O59" i="30" s="1"/>
  <c r="C60" i="39"/>
  <c r="D60" i="39" s="1"/>
  <c r="D59" i="39"/>
  <c r="N171" i="44" l="1"/>
  <c r="D80" i="44"/>
  <c r="C81" i="44"/>
  <c r="C60" i="41"/>
  <c r="D60" i="41" s="1"/>
  <c r="D59" i="41"/>
  <c r="D59" i="30"/>
  <c r="C60" i="30"/>
  <c r="BA14" i="21"/>
  <c r="BB14" i="21"/>
  <c r="AZ14" i="21"/>
  <c r="AX32" i="1"/>
  <c r="AX156" i="1" s="1"/>
  <c r="AX160" i="1" s="1"/>
  <c r="AX95" i="1" s="1"/>
  <c r="AX173" i="1"/>
  <c r="AX174" i="1"/>
  <c r="AX195" i="1" s="1"/>
  <c r="AX175" i="1"/>
  <c r="AX196" i="1" s="1"/>
  <c r="AX177" i="1"/>
  <c r="AX200" i="1" s="1"/>
  <c r="AX178" i="1"/>
  <c r="AX198" i="1" s="1"/>
  <c r="AX179" i="1"/>
  <c r="AX180" i="1"/>
  <c r="AX181" i="1"/>
  <c r="AX197" i="1" s="1"/>
  <c r="AX182" i="1"/>
  <c r="AX202" i="1" s="1"/>
  <c r="AX183" i="1"/>
  <c r="AX203" i="1"/>
  <c r="AX199" i="1"/>
  <c r="AX892" i="1"/>
  <c r="AX945" i="1"/>
  <c r="AO96" i="9" s="1"/>
  <c r="AF278" i="1"/>
  <c r="AF35" i="21" s="1"/>
  <c r="AE725" i="1"/>
  <c r="AE727" i="1" s="1"/>
  <c r="AD725" i="1"/>
  <c r="AD727" i="1" s="1"/>
  <c r="F975" i="1"/>
  <c r="G975" i="1"/>
  <c r="H975" i="1"/>
  <c r="I975" i="1"/>
  <c r="J975" i="1"/>
  <c r="K975" i="1"/>
  <c r="L975" i="1"/>
  <c r="M975" i="1"/>
  <c r="N975" i="1"/>
  <c r="O975" i="1"/>
  <c r="P975" i="1"/>
  <c r="Q975" i="1"/>
  <c r="R975" i="1"/>
  <c r="S975" i="1"/>
  <c r="T975" i="1"/>
  <c r="U975" i="1"/>
  <c r="V975" i="1"/>
  <c r="W975" i="1"/>
  <c r="X975" i="1"/>
  <c r="Y975" i="1"/>
  <c r="Z975" i="1"/>
  <c r="AA975" i="1"/>
  <c r="AB975" i="1"/>
  <c r="AC975" i="1"/>
  <c r="AL975" i="1"/>
  <c r="AM975" i="1"/>
  <c r="AN975" i="1"/>
  <c r="AO975" i="1"/>
  <c r="AP975" i="1"/>
  <c r="H976" i="1"/>
  <c r="L976" i="1"/>
  <c r="P976" i="1"/>
  <c r="T976" i="1"/>
  <c r="AT886" i="1"/>
  <c r="AT864" i="1"/>
  <c r="AH898" i="1"/>
  <c r="AI898" i="1"/>
  <c r="AJ898" i="1"/>
  <c r="C85" i="9"/>
  <c r="C66" i="9"/>
  <c r="AK66" i="9"/>
  <c r="C43" i="9"/>
  <c r="AF251" i="1"/>
  <c r="W28" i="9"/>
  <c r="X28" i="9"/>
  <c r="Y28" i="9"/>
  <c r="V28" i="9"/>
  <c r="W25" i="9"/>
  <c r="X25" i="9"/>
  <c r="Y25" i="9"/>
  <c r="AD132" i="1"/>
  <c r="AD138" i="1" s="1"/>
  <c r="AE132" i="1"/>
  <c r="AE138" i="1" s="1"/>
  <c r="AD142" i="1"/>
  <c r="AD145" i="1" s="1"/>
  <c r="AE142" i="1"/>
  <c r="AE145" i="1" s="1"/>
  <c r="AD149" i="1"/>
  <c r="AD152" i="1" s="1"/>
  <c r="AE149" i="1"/>
  <c r="AE152" i="1" s="1"/>
  <c r="AD156" i="1"/>
  <c r="AD160" i="1" s="1"/>
  <c r="AE156" i="1"/>
  <c r="AE160" i="1" s="1"/>
  <c r="AD162" i="1"/>
  <c r="AD166" i="1" s="1"/>
  <c r="AE162" i="1"/>
  <c r="AE166" i="1" s="1"/>
  <c r="AD168" i="1"/>
  <c r="AE168" i="1"/>
  <c r="AD173" i="1"/>
  <c r="AE173" i="1"/>
  <c r="AF173" i="1"/>
  <c r="AD174" i="1"/>
  <c r="AD195" i="1" s="1"/>
  <c r="AE174" i="1"/>
  <c r="AE195" i="1" s="1"/>
  <c r="AF174" i="1"/>
  <c r="AF195" i="1" s="1"/>
  <c r="AD175" i="1"/>
  <c r="AD196" i="1" s="1"/>
  <c r="AE175" i="1"/>
  <c r="AE196" i="1" s="1"/>
  <c r="AF175" i="1"/>
  <c r="AF196" i="1" s="1"/>
  <c r="AD176" i="1"/>
  <c r="AE176" i="1"/>
  <c r="AF176" i="1"/>
  <c r="AD177" i="1"/>
  <c r="AD200" i="1" s="1"/>
  <c r="AE177" i="1"/>
  <c r="AE200" i="1" s="1"/>
  <c r="AF177" i="1"/>
  <c r="AF200" i="1" s="1"/>
  <c r="AD178" i="1"/>
  <c r="AD198" i="1" s="1"/>
  <c r="AE178" i="1"/>
  <c r="AE198" i="1" s="1"/>
  <c r="AF178" i="1"/>
  <c r="AF198" i="1" s="1"/>
  <c r="AD179" i="1"/>
  <c r="AE179" i="1"/>
  <c r="AF179" i="1"/>
  <c r="AD180" i="1"/>
  <c r="AE180" i="1"/>
  <c r="AF180" i="1"/>
  <c r="AD181" i="1"/>
  <c r="AD197" i="1" s="1"/>
  <c r="AE181" i="1"/>
  <c r="AE197" i="1" s="1"/>
  <c r="AF181" i="1"/>
  <c r="AF197" i="1" s="1"/>
  <c r="AD182" i="1"/>
  <c r="AD202" i="1" s="1"/>
  <c r="AE182" i="1"/>
  <c r="AE202" i="1" s="1"/>
  <c r="AF182" i="1"/>
  <c r="AF202" i="1" s="1"/>
  <c r="AD183" i="1"/>
  <c r="AE183" i="1"/>
  <c r="AF183" i="1"/>
  <c r="AD203" i="1"/>
  <c r="AE203" i="1"/>
  <c r="AF203" i="1"/>
  <c r="AD199" i="1"/>
  <c r="AE199" i="1"/>
  <c r="AF199" i="1"/>
  <c r="AD201" i="1"/>
  <c r="AE201" i="1"/>
  <c r="AF201" i="1"/>
  <c r="AD211" i="1"/>
  <c r="AD218" i="1" s="1"/>
  <c r="AE211" i="1"/>
  <c r="AE218" i="1" s="1"/>
  <c r="AD619" i="1"/>
  <c r="AD621" i="1" s="1"/>
  <c r="AE619" i="1"/>
  <c r="AE621" i="1" s="1"/>
  <c r="AF619" i="1"/>
  <c r="AF252" i="1" s="1"/>
  <c r="AD623" i="1"/>
  <c r="AE623" i="1"/>
  <c r="AF623" i="1"/>
  <c r="AD633" i="1"/>
  <c r="AE633" i="1"/>
  <c r="AF633" i="1"/>
  <c r="AF609" i="1"/>
  <c r="AF39" i="21" s="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H180" i="1"/>
  <c r="AI180" i="1"/>
  <c r="AJ180" i="1"/>
  <c r="AL180" i="1"/>
  <c r="AM180" i="1"/>
  <c r="AV180" i="1"/>
  <c r="AW180"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AH179" i="1"/>
  <c r="AI179" i="1"/>
  <c r="AJ179" i="1"/>
  <c r="AL179" i="1"/>
  <c r="AM179" i="1"/>
  <c r="AV179" i="1"/>
  <c r="AW179" i="1"/>
  <c r="AF518" i="1"/>
  <c r="AF519" i="1"/>
  <c r="AF517" i="1"/>
  <c r="AF439" i="1"/>
  <c r="AF440" i="1"/>
  <c r="AF449" i="1" s="1"/>
  <c r="AF84" i="11" s="1"/>
  <c r="AF438" i="1"/>
  <c r="AD893" i="1"/>
  <c r="AD895" i="1" s="1"/>
  <c r="AE893" i="1"/>
  <c r="AE895" i="1" s="1"/>
  <c r="AF893" i="1"/>
  <c r="AF895" i="1" s="1"/>
  <c r="AF951" i="1"/>
  <c r="AE951" i="1"/>
  <c r="AD951" i="1"/>
  <c r="AF948" i="1"/>
  <c r="AE948" i="1"/>
  <c r="AD948" i="1"/>
  <c r="AF947" i="1"/>
  <c r="AE947" i="1"/>
  <c r="AD947" i="1"/>
  <c r="AF946" i="1"/>
  <c r="AE946" i="1"/>
  <c r="AD946" i="1"/>
  <c r="AF945" i="1"/>
  <c r="AF961" i="1" s="1"/>
  <c r="AE945" i="1"/>
  <c r="AE961" i="1" s="1"/>
  <c r="AD945" i="1"/>
  <c r="AD961" i="1" s="1"/>
  <c r="AF944" i="1"/>
  <c r="AF968" i="1" s="1"/>
  <c r="AE944" i="1"/>
  <c r="AE968" i="1" s="1"/>
  <c r="AD944" i="1"/>
  <c r="AD968" i="1" s="1"/>
  <c r="AF943" i="1"/>
  <c r="AE943" i="1"/>
  <c r="AD943" i="1"/>
  <c r="AF942" i="1"/>
  <c r="AE942" i="1"/>
  <c r="AD942" i="1"/>
  <c r="AF941" i="1"/>
  <c r="AE941" i="1"/>
  <c r="AD941" i="1"/>
  <c r="AF938" i="1"/>
  <c r="AE938" i="1"/>
  <c r="AD938" i="1"/>
  <c r="AF937" i="1"/>
  <c r="AE937" i="1"/>
  <c r="AD937" i="1"/>
  <c r="AF936" i="1"/>
  <c r="AE936" i="1"/>
  <c r="AD936" i="1"/>
  <c r="AF935" i="1"/>
  <c r="AE935" i="1"/>
  <c r="AD935" i="1"/>
  <c r="AF934" i="1"/>
  <c r="AF910" i="1" s="1"/>
  <c r="AE934" i="1"/>
  <c r="AE910" i="1" s="1"/>
  <c r="AD934" i="1"/>
  <c r="AD910" i="1" s="1"/>
  <c r="AF931" i="1"/>
  <c r="AE931" i="1"/>
  <c r="AD931" i="1"/>
  <c r="AF930" i="1"/>
  <c r="AE930" i="1"/>
  <c r="AD930" i="1"/>
  <c r="AF929" i="1"/>
  <c r="AE929" i="1"/>
  <c r="AD929" i="1"/>
  <c r="AF928" i="1"/>
  <c r="AE928" i="1"/>
  <c r="AD928" i="1"/>
  <c r="AF927" i="1"/>
  <c r="AE927" i="1"/>
  <c r="AD927" i="1"/>
  <c r="AF926" i="1"/>
  <c r="AE926" i="1"/>
  <c r="AD926" i="1"/>
  <c r="AF923" i="1"/>
  <c r="AE923" i="1"/>
  <c r="AD923" i="1"/>
  <c r="AF922" i="1"/>
  <c r="AE922" i="1"/>
  <c r="AD922" i="1"/>
  <c r="AF921" i="1"/>
  <c r="AE921" i="1"/>
  <c r="AD921" i="1"/>
  <c r="AF920" i="1"/>
  <c r="AE920" i="1"/>
  <c r="AD920" i="1"/>
  <c r="AF919" i="1"/>
  <c r="AE919" i="1"/>
  <c r="AD919" i="1"/>
  <c r="AF918" i="1"/>
  <c r="AE918" i="1"/>
  <c r="AD918" i="1"/>
  <c r="AF917" i="1"/>
  <c r="AF899" i="1" s="1"/>
  <c r="AE917" i="1"/>
  <c r="AE899" i="1" s="1"/>
  <c r="AD917" i="1"/>
  <c r="AD899" i="1" s="1"/>
  <c r="AF914" i="1"/>
  <c r="AE914" i="1"/>
  <c r="AD914" i="1"/>
  <c r="AF358" i="1"/>
  <c r="AF359" i="1"/>
  <c r="AF357" i="1"/>
  <c r="AF211" i="1"/>
  <c r="AF218" i="1" s="1"/>
  <c r="AF162" i="1"/>
  <c r="AF156" i="1"/>
  <c r="AF160" i="1" s="1"/>
  <c r="AF168" i="1"/>
  <c r="AF27" i="1"/>
  <c r="AF142" i="1"/>
  <c r="AF145" i="1" s="1"/>
  <c r="AF132" i="1"/>
  <c r="AF138" i="1" s="1"/>
  <c r="AF856" i="1"/>
  <c r="AF167" i="11" s="1"/>
  <c r="AD27" i="1"/>
  <c r="AE27" i="1"/>
  <c r="AD28" i="1"/>
  <c r="AE28" i="1"/>
  <c r="AD23" i="1"/>
  <c r="AE23" i="1"/>
  <c r="AD24" i="1"/>
  <c r="AE24" i="1"/>
  <c r="AD18" i="1"/>
  <c r="AD20" i="1" s="1"/>
  <c r="AE18" i="1"/>
  <c r="AE20" i="1" s="1"/>
  <c r="AD15" i="1"/>
  <c r="AE15" i="1"/>
  <c r="AD16" i="1"/>
  <c r="AE16" i="1"/>
  <c r="AF270" i="1"/>
  <c r="AD60" i="1"/>
  <c r="AD976" i="1" s="1"/>
  <c r="AE60" i="1"/>
  <c r="AE976" i="1" s="1"/>
  <c r="AF60" i="1"/>
  <c r="AF976" i="1" s="1"/>
  <c r="AD251" i="1"/>
  <c r="AE251" i="1"/>
  <c r="AD258" i="1"/>
  <c r="AE258" i="1"/>
  <c r="AD263" i="1"/>
  <c r="AD15" i="11" s="1"/>
  <c r="AE263" i="1"/>
  <c r="AE15" i="11" s="1"/>
  <c r="AD264" i="1"/>
  <c r="AD20" i="11" s="1"/>
  <c r="AE264" i="1"/>
  <c r="AE20" i="11" s="1"/>
  <c r="AD265" i="1"/>
  <c r="AD25" i="11" s="1"/>
  <c r="AE265" i="1"/>
  <c r="AE25" i="11" s="1"/>
  <c r="AD266" i="1"/>
  <c r="AD30" i="11" s="1"/>
  <c r="AE266" i="1"/>
  <c r="AE30" i="11" s="1"/>
  <c r="AD270" i="1"/>
  <c r="AE270" i="1"/>
  <c r="AD271" i="1"/>
  <c r="AE271" i="1"/>
  <c r="AF271" i="1"/>
  <c r="AD278" i="1"/>
  <c r="AE278" i="1"/>
  <c r="AD353" i="1"/>
  <c r="AE353" i="1"/>
  <c r="AF353" i="1"/>
  <c r="AD360" i="1"/>
  <c r="AD369" i="1" s="1"/>
  <c r="AE360" i="1"/>
  <c r="AE362" i="1" s="1"/>
  <c r="AD365" i="1"/>
  <c r="AD42" i="11" s="1"/>
  <c r="AE365" i="1"/>
  <c r="AE42" i="11" s="1"/>
  <c r="AF365" i="1"/>
  <c r="AF42" i="11" s="1"/>
  <c r="AD366" i="1"/>
  <c r="AD47" i="11" s="1"/>
  <c r="AE366" i="1"/>
  <c r="AE47" i="11" s="1"/>
  <c r="AD367" i="1"/>
  <c r="AD52" i="11" s="1"/>
  <c r="AE367" i="1"/>
  <c r="AE52" i="11" s="1"/>
  <c r="AD368" i="1"/>
  <c r="AD57" i="11" s="1"/>
  <c r="AE368" i="1"/>
  <c r="AE57" i="11" s="1"/>
  <c r="AD372" i="1"/>
  <c r="AE372" i="1"/>
  <c r="AF372" i="1"/>
  <c r="AD373" i="1"/>
  <c r="AE373" i="1"/>
  <c r="AF373" i="1"/>
  <c r="AD380" i="1"/>
  <c r="AD36" i="21" s="1"/>
  <c r="AE380" i="1"/>
  <c r="AF380" i="1"/>
  <c r="AF36" i="21" s="1"/>
  <c r="AD434" i="1"/>
  <c r="AE434" i="1"/>
  <c r="AF434" i="1"/>
  <c r="AD447" i="1"/>
  <c r="AD74" i="11" s="1"/>
  <c r="AE447" i="1"/>
  <c r="AE74" i="11" s="1"/>
  <c r="AD448" i="1"/>
  <c r="AD79" i="11" s="1"/>
  <c r="AE448" i="1"/>
  <c r="AE79" i="11" s="1"/>
  <c r="AD449" i="1"/>
  <c r="AD84" i="11" s="1"/>
  <c r="AE449" i="1"/>
  <c r="AE84" i="11" s="1"/>
  <c r="AD453" i="1"/>
  <c r="AE453" i="1"/>
  <c r="AF453" i="1"/>
  <c r="AD454" i="1"/>
  <c r="AE454" i="1"/>
  <c r="AF454" i="1"/>
  <c r="AD461" i="1"/>
  <c r="AE461" i="1"/>
  <c r="AE37" i="21" s="1"/>
  <c r="AF461" i="1"/>
  <c r="AD514" i="1"/>
  <c r="AE514" i="1"/>
  <c r="AF514" i="1"/>
  <c r="AD520" i="1"/>
  <c r="AD522" i="1" s="1"/>
  <c r="AE520" i="1"/>
  <c r="AE528" i="1" s="1"/>
  <c r="AD525" i="1"/>
  <c r="AD96" i="11" s="1"/>
  <c r="AE525" i="1"/>
  <c r="AE96" i="11" s="1"/>
  <c r="AD526" i="1"/>
  <c r="AD101" i="11" s="1"/>
  <c r="AE526" i="1"/>
  <c r="AE101" i="11" s="1"/>
  <c r="AD527" i="1"/>
  <c r="AD106" i="11" s="1"/>
  <c r="AE527" i="1"/>
  <c r="AE106" i="11" s="1"/>
  <c r="AD531" i="1"/>
  <c r="AE531" i="1"/>
  <c r="AF531" i="1"/>
  <c r="AD532" i="1"/>
  <c r="AE532" i="1"/>
  <c r="AF532" i="1"/>
  <c r="AD539" i="1"/>
  <c r="AD38" i="21" s="1"/>
  <c r="AE539" i="1"/>
  <c r="AF539" i="1"/>
  <c r="AF38" i="21" s="1"/>
  <c r="AF49" i="21" s="1"/>
  <c r="AD609" i="1"/>
  <c r="AD39" i="21" s="1"/>
  <c r="AE609" i="1"/>
  <c r="AE39" i="21" s="1"/>
  <c r="AD864" i="1"/>
  <c r="AE864" i="1"/>
  <c r="AF864" i="1"/>
  <c r="AD865" i="1"/>
  <c r="AE865" i="1"/>
  <c r="AF865" i="1"/>
  <c r="AD844" i="1"/>
  <c r="AD848" i="1" s="1"/>
  <c r="AD147" i="11" s="1"/>
  <c r="AE844" i="1"/>
  <c r="AE848" i="1" s="1"/>
  <c r="AE147" i="11" s="1"/>
  <c r="AD845" i="1"/>
  <c r="AD849" i="1" s="1"/>
  <c r="AD152" i="11" s="1"/>
  <c r="AE845" i="1"/>
  <c r="AE849" i="1" s="1"/>
  <c r="AE152" i="11" s="1"/>
  <c r="AF845" i="1"/>
  <c r="AF849" i="1" s="1"/>
  <c r="AF152" i="11" s="1"/>
  <c r="AD846" i="1"/>
  <c r="AD850" i="1" s="1"/>
  <c r="AD157" i="11" s="1"/>
  <c r="AE846" i="1"/>
  <c r="AE850" i="1" s="1"/>
  <c r="AE157" i="11" s="1"/>
  <c r="AD855" i="1"/>
  <c r="AD162" i="11" s="1"/>
  <c r="AE855" i="1"/>
  <c r="AE162" i="11" s="1"/>
  <c r="AF855" i="1"/>
  <c r="AF162" i="11" s="1"/>
  <c r="AD856" i="1"/>
  <c r="AD167" i="11" s="1"/>
  <c r="AE856" i="1"/>
  <c r="AE167" i="11" s="1"/>
  <c r="AF744" i="1"/>
  <c r="AF748" i="1"/>
  <c r="AF791" i="1" s="1"/>
  <c r="AF793" i="1" s="1"/>
  <c r="AF797" i="1" s="1"/>
  <c r="AE748" i="1"/>
  <c r="AE791" i="1" s="1"/>
  <c r="AE793" i="1" s="1"/>
  <c r="AE797" i="1" s="1"/>
  <c r="BZ932" i="1"/>
  <c r="CA932" i="1"/>
  <c r="BZ939" i="1"/>
  <c r="CA939" i="1"/>
  <c r="BZ949" i="1"/>
  <c r="CA949" i="1"/>
  <c r="BY949" i="1"/>
  <c r="BY939" i="1"/>
  <c r="BY932" i="1"/>
  <c r="N172" i="44" l="1"/>
  <c r="D81" i="44"/>
  <c r="C82" i="44"/>
  <c r="O60" i="30"/>
  <c r="AD354" i="1"/>
  <c r="AF463" i="1"/>
  <c r="AF89" i="11" s="1"/>
  <c r="AF37" i="21"/>
  <c r="AF40" i="21" s="1"/>
  <c r="AF65" i="21" s="1"/>
  <c r="AD50" i="21"/>
  <c r="AE48" i="21"/>
  <c r="AD280" i="1"/>
  <c r="AD35" i="11" s="1"/>
  <c r="AD35" i="21"/>
  <c r="AE50" i="21"/>
  <c r="AD463" i="1"/>
  <c r="AD89" i="11" s="1"/>
  <c r="AD37" i="21"/>
  <c r="AE280" i="1"/>
  <c r="AE35" i="11" s="1"/>
  <c r="AE35" i="21"/>
  <c r="AE382" i="1"/>
  <c r="AE62" i="11" s="1"/>
  <c r="AE36" i="21"/>
  <c r="AE541" i="1"/>
  <c r="AE111" i="11" s="1"/>
  <c r="AE38" i="21"/>
  <c r="AD47" i="21"/>
  <c r="AF47" i="21"/>
  <c r="AD49" i="21"/>
  <c r="AF50" i="21"/>
  <c r="AF46" i="21"/>
  <c r="AD969" i="1"/>
  <c r="AE969" i="1"/>
  <c r="AF969" i="1"/>
  <c r="AE873" i="1"/>
  <c r="AF873" i="1"/>
  <c r="AF526" i="1"/>
  <c r="AF101" i="11" s="1"/>
  <c r="AE354" i="1"/>
  <c r="BB23" i="21"/>
  <c r="AF525" i="1"/>
  <c r="AF96" i="11" s="1"/>
  <c r="AF448" i="1"/>
  <c r="AF79" i="11" s="1"/>
  <c r="AD875" i="1"/>
  <c r="AD172" i="11" s="1"/>
  <c r="BA23" i="21"/>
  <c r="AD625" i="1"/>
  <c r="BY952" i="1"/>
  <c r="BY955" i="1" s="1"/>
  <c r="AF354" i="1"/>
  <c r="AD628" i="1"/>
  <c r="AD630" i="1" s="1"/>
  <c r="AF263" i="1"/>
  <c r="AF15" i="11" s="1"/>
  <c r="AF366" i="1"/>
  <c r="AF47" i="11" s="1"/>
  <c r="AF265" i="1"/>
  <c r="AF25" i="11" s="1"/>
  <c r="AF368" i="1"/>
  <c r="AF57" i="11" s="1"/>
  <c r="AF266" i="1"/>
  <c r="AF30" i="11" s="1"/>
  <c r="AF447" i="1"/>
  <c r="AF74" i="11" s="1"/>
  <c r="AF527" i="1"/>
  <c r="AF106" i="11" s="1"/>
  <c r="AT866" i="1"/>
  <c r="AE732" i="1"/>
  <c r="AF264" i="1"/>
  <c r="AF20" i="11" s="1"/>
  <c r="E38" i="12"/>
  <c r="AT888" i="1"/>
  <c r="AE730" i="1"/>
  <c r="AE731" i="1"/>
  <c r="AD731" i="1"/>
  <c r="AE733" i="1"/>
  <c r="AD733" i="1"/>
  <c r="AD730" i="1"/>
  <c r="AU886" i="1"/>
  <c r="AD732" i="1"/>
  <c r="AF725" i="1"/>
  <c r="AF166" i="1"/>
  <c r="AE628" i="1"/>
  <c r="AE630" i="1" s="1"/>
  <c r="AF625" i="1"/>
  <c r="AF140" i="1"/>
  <c r="AF130" i="11" s="1"/>
  <c r="AF147" i="1"/>
  <c r="AF135" i="11" s="1"/>
  <c r="AF149" i="1"/>
  <c r="AF152" i="1" s="1"/>
  <c r="AF844" i="1"/>
  <c r="AF848" i="1" s="1"/>
  <c r="AF611" i="1"/>
  <c r="AF118" i="11" s="1"/>
  <c r="AE875" i="1"/>
  <c r="AE172" i="11" s="1"/>
  <c r="AE625" i="1"/>
  <c r="AF621" i="1"/>
  <c r="AF628" i="1"/>
  <c r="AF630" i="1" s="1"/>
  <c r="AD147" i="1"/>
  <c r="AD135" i="11" s="1"/>
  <c r="AE147" i="1"/>
  <c r="AE135" i="11" s="1"/>
  <c r="AE154" i="1"/>
  <c r="AE140" i="11" s="1"/>
  <c r="AE140" i="1"/>
  <c r="AE130" i="11" s="1"/>
  <c r="AD154" i="1"/>
  <c r="AD140" i="11" s="1"/>
  <c r="AD140" i="1"/>
  <c r="AD130" i="11" s="1"/>
  <c r="AF875" i="1"/>
  <c r="AF172" i="11" s="1"/>
  <c r="AE866" i="1"/>
  <c r="AE868" i="1" s="1"/>
  <c r="AF24" i="1"/>
  <c r="AF18" i="1"/>
  <c r="AF34" i="1" s="1"/>
  <c r="AD34" i="1"/>
  <c r="AF866" i="1"/>
  <c r="AF868" i="1" s="1"/>
  <c r="AF258" i="1"/>
  <c r="AF949" i="1"/>
  <c r="AF520" i="1"/>
  <c r="AF522" i="1" s="1"/>
  <c r="AE267" i="1"/>
  <c r="AF28" i="1"/>
  <c r="AF360" i="1"/>
  <c r="AF369" i="1" s="1"/>
  <c r="AD866" i="1"/>
  <c r="AE932" i="1"/>
  <c r="AE909" i="1" s="1"/>
  <c r="AE911" i="1" s="1"/>
  <c r="AD949" i="1"/>
  <c r="AF932" i="1"/>
  <c r="AF909" i="1" s="1"/>
  <c r="AF911" i="1" s="1"/>
  <c r="AD939" i="1"/>
  <c r="AE949" i="1"/>
  <c r="AD932" i="1"/>
  <c r="AD909" i="1" s="1"/>
  <c r="AD911" i="1" s="1"/>
  <c r="AE939" i="1"/>
  <c r="AE34" i="1"/>
  <c r="AE170" i="1" s="1"/>
  <c r="AE187" i="1" s="1"/>
  <c r="AF16" i="1"/>
  <c r="AF939" i="1"/>
  <c r="AE611" i="1"/>
  <c r="AE118" i="11" s="1"/>
  <c r="AE522" i="1"/>
  <c r="AD528" i="1"/>
  <c r="AE463" i="1"/>
  <c r="AE89" i="11" s="1"/>
  <c r="AF367" i="1"/>
  <c r="AF52" i="11" s="1"/>
  <c r="AE369" i="1"/>
  <c r="BZ952" i="1"/>
  <c r="BZ955" i="1" s="1"/>
  <c r="AF23" i="1"/>
  <c r="AF15" i="1"/>
  <c r="AF846" i="1"/>
  <c r="AF850" i="1" s="1"/>
  <c r="AF157" i="11" s="1"/>
  <c r="AE852" i="1"/>
  <c r="AE853" i="1" s="1"/>
  <c r="AF280" i="1"/>
  <c r="AF35" i="11" s="1"/>
  <c r="AD541" i="1"/>
  <c r="AD111" i="11" s="1"/>
  <c r="AD267" i="1"/>
  <c r="AD611" i="1"/>
  <c r="AD118" i="11" s="1"/>
  <c r="AF541" i="1"/>
  <c r="AF111" i="11" s="1"/>
  <c r="AF435" i="1"/>
  <c r="AF382" i="1"/>
  <c r="AF62" i="11" s="1"/>
  <c r="AD362" i="1"/>
  <c r="AF515" i="1"/>
  <c r="AE435" i="1"/>
  <c r="AE252" i="1"/>
  <c r="AE515" i="1"/>
  <c r="AD435" i="1"/>
  <c r="AD382" i="1"/>
  <c r="AD62" i="11" s="1"/>
  <c r="AD252" i="1"/>
  <c r="AD515" i="1"/>
  <c r="AD852" i="1"/>
  <c r="AD853" i="1" s="1"/>
  <c r="AF753" i="1"/>
  <c r="AF635" i="1" s="1"/>
  <c r="AE744" i="1"/>
  <c r="AE753" i="1" s="1"/>
  <c r="AE635" i="1" s="1"/>
  <c r="CA952" i="1"/>
  <c r="CA955" i="1" s="1"/>
  <c r="CB954" i="1" s="1"/>
  <c r="CB955" i="1" s="1"/>
  <c r="AH173" i="1"/>
  <c r="AI173" i="1"/>
  <c r="AJ173" i="1"/>
  <c r="AH175" i="1"/>
  <c r="AH196" i="1" s="1"/>
  <c r="AI175" i="1"/>
  <c r="AI196" i="1" s="1"/>
  <c r="AJ175" i="1"/>
  <c r="AJ196" i="1" s="1"/>
  <c r="AH177" i="1"/>
  <c r="AH200" i="1" s="1"/>
  <c r="AI177" i="1"/>
  <c r="AI200" i="1" s="1"/>
  <c r="AJ177" i="1"/>
  <c r="AJ200" i="1" s="1"/>
  <c r="AH178" i="1"/>
  <c r="AH198" i="1" s="1"/>
  <c r="AI178" i="1"/>
  <c r="AI198" i="1" s="1"/>
  <c r="AJ178" i="1"/>
  <c r="AJ198" i="1" s="1"/>
  <c r="AH181" i="1"/>
  <c r="AH197" i="1" s="1"/>
  <c r="AI181" i="1"/>
  <c r="AI197" i="1" s="1"/>
  <c r="AJ181" i="1"/>
  <c r="AJ197" i="1" s="1"/>
  <c r="AH182" i="1"/>
  <c r="AH202" i="1" s="1"/>
  <c r="AI182" i="1"/>
  <c r="AI202" i="1" s="1"/>
  <c r="AJ182" i="1"/>
  <c r="AJ202" i="1" s="1"/>
  <c r="AH183" i="1"/>
  <c r="AI183" i="1"/>
  <c r="AJ183" i="1"/>
  <c r="AH203" i="1"/>
  <c r="AI203" i="1"/>
  <c r="AJ203" i="1"/>
  <c r="AH199" i="1"/>
  <c r="AI199" i="1"/>
  <c r="AJ199" i="1"/>
  <c r="AH945" i="1"/>
  <c r="AA96" i="9" s="1"/>
  <c r="AI945" i="1"/>
  <c r="AB96" i="9" s="1"/>
  <c r="AJ945" i="1"/>
  <c r="AC96" i="9" s="1"/>
  <c r="AH14" i="21"/>
  <c r="AI14" i="21"/>
  <c r="AJ14" i="21"/>
  <c r="AG14" i="21"/>
  <c r="AA98" i="9"/>
  <c r="AB98" i="9" s="1"/>
  <c r="AC98" i="9" s="1"/>
  <c r="AM98" i="9" s="1"/>
  <c r="AN98" i="9" s="1"/>
  <c r="AO98" i="9" s="1"/>
  <c r="AX15" i="11"/>
  <c r="AX263" i="1" s="1"/>
  <c r="AX20" i="11"/>
  <c r="AX264" i="1" s="1"/>
  <c r="AX21" i="11"/>
  <c r="AX23" i="11"/>
  <c r="AX25" i="11"/>
  <c r="AX265" i="1" s="1"/>
  <c r="AX26" i="11"/>
  <c r="AX28" i="11"/>
  <c r="AX30" i="11"/>
  <c r="AX266" i="1" s="1"/>
  <c r="AX31" i="11"/>
  <c r="AX33" i="11"/>
  <c r="AX35" i="11"/>
  <c r="AX280" i="1" s="1"/>
  <c r="AX36" i="11"/>
  <c r="AX38" i="11"/>
  <c r="AX42" i="11"/>
  <c r="AX365" i="1" s="1"/>
  <c r="AX47" i="11"/>
  <c r="AX366" i="1" s="1"/>
  <c r="AX48" i="11"/>
  <c r="AX50" i="11"/>
  <c r="AX52" i="11"/>
  <c r="AX367" i="1" s="1"/>
  <c r="AX53" i="11"/>
  <c r="AX57" i="11"/>
  <c r="AX368" i="1" s="1"/>
  <c r="AX58" i="11"/>
  <c r="AX62" i="11"/>
  <c r="AX382" i="1" s="1"/>
  <c r="AX63" i="11"/>
  <c r="AX65" i="11"/>
  <c r="AX69" i="11"/>
  <c r="AX446" i="1" s="1"/>
  <c r="AX74" i="11"/>
  <c r="AX447" i="1" s="1"/>
  <c r="AX75" i="11"/>
  <c r="AX77" i="11"/>
  <c r="AX79" i="11"/>
  <c r="AX448" i="1" s="1"/>
  <c r="AX80" i="11"/>
  <c r="AX82" i="11"/>
  <c r="AX84" i="11"/>
  <c r="AX449" i="1" s="1"/>
  <c r="AX85" i="11"/>
  <c r="AX87" i="11"/>
  <c r="AX89" i="11"/>
  <c r="AX463" i="1" s="1"/>
  <c r="AX90" i="11"/>
  <c r="AX92" i="11"/>
  <c r="AX96" i="11"/>
  <c r="AX525" i="1" s="1"/>
  <c r="AX97" i="11"/>
  <c r="AX99" i="11"/>
  <c r="AX101" i="11"/>
  <c r="AX526" i="1" s="1"/>
  <c r="AX102" i="11"/>
  <c r="AX104" i="11"/>
  <c r="AX106" i="11"/>
  <c r="AX527" i="1" s="1"/>
  <c r="AX107" i="11"/>
  <c r="AX109" i="11"/>
  <c r="AX111" i="11"/>
  <c r="AX541" i="1" s="1"/>
  <c r="AX112" i="11"/>
  <c r="AX114" i="11"/>
  <c r="AX118" i="11"/>
  <c r="AX611" i="1" s="1"/>
  <c r="AX123" i="11"/>
  <c r="AX47" i="1" s="1"/>
  <c r="AX126" i="11"/>
  <c r="AX130" i="11"/>
  <c r="AX140" i="1" s="1"/>
  <c r="AX131" i="11"/>
  <c r="AX133" i="11"/>
  <c r="AX135" i="11"/>
  <c r="AX147" i="1" s="1"/>
  <c r="AX136" i="11"/>
  <c r="AX138" i="11"/>
  <c r="AX140" i="11"/>
  <c r="AX154" i="1" s="1"/>
  <c r="AX141" i="11"/>
  <c r="AX143" i="11"/>
  <c r="AX147" i="11"/>
  <c r="AX848" i="1" s="1"/>
  <c r="AX148" i="11"/>
  <c r="AX150" i="11"/>
  <c r="AX152" i="11"/>
  <c r="AX849" i="1" s="1"/>
  <c r="AX153" i="11"/>
  <c r="AX155" i="11"/>
  <c r="AX157" i="11"/>
  <c r="AX850" i="1" s="1"/>
  <c r="AX158" i="11"/>
  <c r="AX160" i="11"/>
  <c r="AX162" i="11"/>
  <c r="AX855" i="1" s="1"/>
  <c r="AX163" i="11"/>
  <c r="AX165" i="11"/>
  <c r="AX167" i="11"/>
  <c r="AX168" i="11"/>
  <c r="AX170" i="11"/>
  <c r="AX172" i="11"/>
  <c r="AX173" i="11"/>
  <c r="AX175" i="11"/>
  <c r="AX177" i="11"/>
  <c r="AX876" i="1" s="1"/>
  <c r="AX182" i="11"/>
  <c r="AX969" i="1" s="1"/>
  <c r="AH15" i="11"/>
  <c r="AI15" i="11"/>
  <c r="AJ15" i="11"/>
  <c r="AJ263" i="1" s="1"/>
  <c r="AH20" i="11"/>
  <c r="AI20" i="11"/>
  <c r="AJ20" i="11"/>
  <c r="AH21" i="11"/>
  <c r="AI21" i="11"/>
  <c r="AJ21" i="11"/>
  <c r="AH23" i="11"/>
  <c r="AI23" i="11"/>
  <c r="AJ23" i="11"/>
  <c r="AH25" i="11"/>
  <c r="AI25" i="11"/>
  <c r="AI265" i="1" s="1"/>
  <c r="AJ25" i="11"/>
  <c r="AH26" i="11"/>
  <c r="AI26" i="11"/>
  <c r="AJ26" i="11"/>
  <c r="AH28" i="11"/>
  <c r="AI28" i="11"/>
  <c r="AJ28" i="11"/>
  <c r="AH30" i="11"/>
  <c r="AI30" i="11"/>
  <c r="AI266" i="1" s="1"/>
  <c r="AJ30" i="11"/>
  <c r="AJ266" i="1" s="1"/>
  <c r="AH31" i="11"/>
  <c r="AI31" i="11"/>
  <c r="AJ31" i="11"/>
  <c r="AH33" i="11"/>
  <c r="AI33" i="11"/>
  <c r="AJ33" i="11"/>
  <c r="AH35" i="11"/>
  <c r="AH280" i="1" s="1"/>
  <c r="AI35" i="11"/>
  <c r="AJ35" i="11"/>
  <c r="AH36" i="11"/>
  <c r="AI36" i="11"/>
  <c r="AJ36" i="11"/>
  <c r="AH38" i="11"/>
  <c r="AI38" i="11"/>
  <c r="AJ38" i="11"/>
  <c r="AH42" i="11"/>
  <c r="AH365" i="1" s="1"/>
  <c r="AI42" i="11"/>
  <c r="AJ42" i="11"/>
  <c r="AH47" i="11"/>
  <c r="AH366" i="1" s="1"/>
  <c r="AI47" i="11"/>
  <c r="AJ47" i="11"/>
  <c r="AH48" i="11"/>
  <c r="AI48" i="11"/>
  <c r="AJ48" i="11"/>
  <c r="AH50" i="11"/>
  <c r="AI50" i="11"/>
  <c r="AJ50" i="11"/>
  <c r="AH52" i="11"/>
  <c r="AI52" i="11"/>
  <c r="AJ52" i="11"/>
  <c r="AJ367" i="1" s="1"/>
  <c r="AH53" i="11"/>
  <c r="AI53" i="11"/>
  <c r="AJ53" i="11"/>
  <c r="AH55" i="11"/>
  <c r="AI55" i="11"/>
  <c r="AJ55" i="11"/>
  <c r="AH57" i="11"/>
  <c r="AI57" i="11"/>
  <c r="AJ57" i="11"/>
  <c r="AJ368" i="1" s="1"/>
  <c r="AH60" i="11"/>
  <c r="AI60" i="11"/>
  <c r="AJ60" i="11"/>
  <c r="AH62" i="11"/>
  <c r="AH382" i="1" s="1"/>
  <c r="AJ62" i="11"/>
  <c r="AH63" i="11"/>
  <c r="AJ63" i="11"/>
  <c r="AH65" i="11"/>
  <c r="AJ65" i="11"/>
  <c r="AH69" i="11"/>
  <c r="AI69" i="11"/>
  <c r="AI446" i="1" s="1"/>
  <c r="AJ69" i="11"/>
  <c r="AH74" i="11"/>
  <c r="AH447" i="1" s="1"/>
  <c r="AI74" i="11"/>
  <c r="AI447" i="1" s="1"/>
  <c r="AJ74" i="11"/>
  <c r="AJ447" i="1" s="1"/>
  <c r="AH75" i="11"/>
  <c r="AI75" i="11"/>
  <c r="AJ75" i="11"/>
  <c r="AH77" i="11"/>
  <c r="AI77" i="11"/>
  <c r="AJ77" i="11"/>
  <c r="AH79" i="11"/>
  <c r="AH448" i="1" s="1"/>
  <c r="AI79" i="11"/>
  <c r="AJ79" i="11"/>
  <c r="AH80" i="11"/>
  <c r="AI80" i="11"/>
  <c r="AJ80" i="11"/>
  <c r="AH82" i="11"/>
  <c r="AI82" i="11"/>
  <c r="AJ82" i="11"/>
  <c r="AH84" i="11"/>
  <c r="AI84" i="11"/>
  <c r="AJ84" i="11"/>
  <c r="AH85" i="11"/>
  <c r="AI85" i="11"/>
  <c r="AJ85" i="11"/>
  <c r="AH87" i="11"/>
  <c r="AI87" i="11"/>
  <c r="AJ87" i="11"/>
  <c r="AH89" i="11"/>
  <c r="AH463" i="1" s="1"/>
  <c r="AI89" i="11"/>
  <c r="AI463" i="1" s="1"/>
  <c r="AJ89" i="11"/>
  <c r="AJ463" i="1" s="1"/>
  <c r="AH90" i="11"/>
  <c r="AI90" i="11"/>
  <c r="AJ90" i="11"/>
  <c r="AH92" i="11"/>
  <c r="AI92" i="11"/>
  <c r="AJ92" i="11"/>
  <c r="AH96" i="11"/>
  <c r="AI96" i="11"/>
  <c r="AJ96" i="11"/>
  <c r="AH101" i="11"/>
  <c r="AH526" i="1" s="1"/>
  <c r="AI101" i="11"/>
  <c r="AI526" i="1" s="1"/>
  <c r="AJ101" i="11"/>
  <c r="AJ526" i="1" s="1"/>
  <c r="AH106" i="11"/>
  <c r="AI106" i="11"/>
  <c r="AJ106" i="11"/>
  <c r="AH107" i="11"/>
  <c r="AI107" i="11"/>
  <c r="AJ107" i="11"/>
  <c r="AH109" i="11"/>
  <c r="AI109" i="11"/>
  <c r="AJ109" i="11"/>
  <c r="AH111" i="11"/>
  <c r="AI111" i="11"/>
  <c r="AI541" i="1" s="1"/>
  <c r="AJ111" i="11"/>
  <c r="AH112" i="11"/>
  <c r="AI112" i="11"/>
  <c r="AJ112" i="11"/>
  <c r="AH114" i="11"/>
  <c r="AI114" i="11"/>
  <c r="AJ114" i="11"/>
  <c r="AH118" i="11"/>
  <c r="AI118" i="11"/>
  <c r="AJ118" i="11"/>
  <c r="AH123" i="11"/>
  <c r="AI123" i="11"/>
  <c r="AJ123" i="11"/>
  <c r="AH130" i="11"/>
  <c r="AI130" i="11"/>
  <c r="AJ130" i="11"/>
  <c r="AH131" i="11"/>
  <c r="AI131" i="11"/>
  <c r="AJ131" i="11"/>
  <c r="AH133" i="11"/>
  <c r="AI133" i="11"/>
  <c r="AJ133" i="11"/>
  <c r="AH135" i="11"/>
  <c r="AI135" i="11"/>
  <c r="AI147" i="1" s="1"/>
  <c r="AJ135" i="11"/>
  <c r="AH136" i="11"/>
  <c r="AI136" i="11"/>
  <c r="AJ136" i="11"/>
  <c r="AH138" i="11"/>
  <c r="AI138" i="11"/>
  <c r="AJ138" i="11"/>
  <c r="AH140" i="11"/>
  <c r="AI140" i="11"/>
  <c r="AI154" i="1" s="1"/>
  <c r="AJ140" i="11"/>
  <c r="AH141" i="11"/>
  <c r="AI141" i="11"/>
  <c r="AJ141" i="11"/>
  <c r="AH143" i="11"/>
  <c r="AI143" i="11"/>
  <c r="AJ143" i="11"/>
  <c r="AH147" i="11"/>
  <c r="AH848" i="1" s="1"/>
  <c r="AI147" i="11"/>
  <c r="AI848" i="1" s="1"/>
  <c r="AJ147" i="11"/>
  <c r="AJ848" i="1" s="1"/>
  <c r="AH148" i="11"/>
  <c r="AI148" i="11"/>
  <c r="AJ148" i="11"/>
  <c r="AH150" i="11"/>
  <c r="AI150" i="11"/>
  <c r="AJ150" i="11"/>
  <c r="AH152" i="11"/>
  <c r="AH849" i="1" s="1"/>
  <c r="AI152" i="11"/>
  <c r="AI849" i="1" s="1"/>
  <c r="AJ152" i="11"/>
  <c r="AJ849" i="1" s="1"/>
  <c r="AH153" i="11"/>
  <c r="AI153" i="11"/>
  <c r="AJ153" i="11"/>
  <c r="AH155" i="11"/>
  <c r="AI155" i="11"/>
  <c r="AJ155" i="11"/>
  <c r="AH157" i="11"/>
  <c r="AI157" i="11"/>
  <c r="AJ157" i="11"/>
  <c r="AH158" i="11"/>
  <c r="AI158" i="11"/>
  <c r="AJ158" i="11"/>
  <c r="AH160" i="11"/>
  <c r="AI160" i="11"/>
  <c r="AJ160" i="11"/>
  <c r="AH162" i="11"/>
  <c r="AI162" i="11"/>
  <c r="AJ162" i="11"/>
  <c r="AH163" i="11"/>
  <c r="AI163" i="11"/>
  <c r="AJ163" i="11"/>
  <c r="AH165" i="11"/>
  <c r="AI165" i="11"/>
  <c r="AJ165" i="11"/>
  <c r="AH167" i="11"/>
  <c r="AI167" i="11"/>
  <c r="AJ167" i="11"/>
  <c r="AH168" i="11"/>
  <c r="AI168" i="11"/>
  <c r="AJ168" i="11"/>
  <c r="AH170" i="11"/>
  <c r="AI170" i="11"/>
  <c r="AJ170" i="11"/>
  <c r="AH172" i="11"/>
  <c r="AI172" i="11"/>
  <c r="AJ172" i="11"/>
  <c r="AH173" i="11"/>
  <c r="AI173" i="11"/>
  <c r="AJ173" i="11"/>
  <c r="AH175" i="11"/>
  <c r="AI175" i="11"/>
  <c r="AJ175" i="11"/>
  <c r="AH182" i="11"/>
  <c r="AI182" i="11"/>
  <c r="AJ182" i="11"/>
  <c r="V365" i="1"/>
  <c r="W365" i="1"/>
  <c r="X365" i="1"/>
  <c r="Y365" i="1"/>
  <c r="Z365" i="1"/>
  <c r="AA365" i="1"/>
  <c r="AB365" i="1"/>
  <c r="AC365" i="1"/>
  <c r="V366" i="1"/>
  <c r="W366" i="1"/>
  <c r="Y366" i="1"/>
  <c r="Z366" i="1"/>
  <c r="AA366" i="1"/>
  <c r="AC366" i="1"/>
  <c r="V367" i="1"/>
  <c r="W367" i="1"/>
  <c r="Y367" i="1"/>
  <c r="Z367" i="1"/>
  <c r="AA367" i="1"/>
  <c r="AC367" i="1"/>
  <c r="V368" i="1"/>
  <c r="W368" i="1"/>
  <c r="Y368" i="1"/>
  <c r="Z368" i="1"/>
  <c r="AA368" i="1"/>
  <c r="AC368" i="1"/>
  <c r="U368" i="1"/>
  <c r="U57" i="11" s="1"/>
  <c r="U367" i="1"/>
  <c r="U52" i="11" s="1"/>
  <c r="U366" i="1"/>
  <c r="U47" i="11" s="1"/>
  <c r="U365" i="1"/>
  <c r="U42" i="11" s="1"/>
  <c r="N173" i="44" l="1"/>
  <c r="D82" i="44"/>
  <c r="C83" i="44"/>
  <c r="AX66" i="1"/>
  <c r="AF64" i="21"/>
  <c r="AF68" i="21"/>
  <c r="AE46" i="21"/>
  <c r="AE40" i="21"/>
  <c r="AE65" i="21" s="1"/>
  <c r="AE49" i="21"/>
  <c r="AD48" i="21"/>
  <c r="AF67" i="21"/>
  <c r="AF51" i="21"/>
  <c r="AE47" i="21"/>
  <c r="AD46" i="21"/>
  <c r="AD40" i="21"/>
  <c r="AD64" i="21" s="1"/>
  <c r="AF48" i="21"/>
  <c r="AF66" i="21"/>
  <c r="AF267" i="1"/>
  <c r="AE734" i="1"/>
  <c r="AF852" i="1"/>
  <c r="AF853" i="1" s="1"/>
  <c r="AF147" i="11"/>
  <c r="AX852" i="1"/>
  <c r="AX853" i="1" s="1"/>
  <c r="AX450" i="1"/>
  <c r="AX528" i="1"/>
  <c r="AX267" i="1"/>
  <c r="AX369" i="1"/>
  <c r="AF727" i="1"/>
  <c r="AF732" i="1"/>
  <c r="AF730" i="1"/>
  <c r="AF731" i="1"/>
  <c r="AF733" i="1"/>
  <c r="AD734" i="1"/>
  <c r="AF528" i="1"/>
  <c r="AF154" i="1"/>
  <c r="AF140" i="11" s="1"/>
  <c r="AD626" i="1"/>
  <c r="AD170" i="1"/>
  <c r="AD187" i="1" s="1"/>
  <c r="AE626" i="1"/>
  <c r="AF170" i="1"/>
  <c r="AF187" i="1" s="1"/>
  <c r="AF626" i="1"/>
  <c r="AF20" i="1"/>
  <c r="AD952" i="1"/>
  <c r="AD43" i="1"/>
  <c r="AD192" i="1" s="1"/>
  <c r="AD209" i="1" s="1"/>
  <c r="AD36" i="1"/>
  <c r="AF362" i="1"/>
  <c r="AE952" i="1"/>
  <c r="AE36" i="1"/>
  <c r="AE43" i="1"/>
  <c r="AE192" i="1" s="1"/>
  <c r="AE209" i="1" s="1"/>
  <c r="AF952" i="1"/>
  <c r="AF43" i="1"/>
  <c r="AF192" i="1" s="1"/>
  <c r="AF209" i="1" s="1"/>
  <c r="AF36" i="1"/>
  <c r="AH855" i="1"/>
  <c r="AJ541" i="1"/>
  <c r="AJ446" i="1"/>
  <c r="AH368" i="1"/>
  <c r="AI365" i="1"/>
  <c r="AJ265" i="1"/>
  <c r="AH263" i="1"/>
  <c r="AJ147" i="1"/>
  <c r="AH47" i="1"/>
  <c r="AJ850" i="1"/>
  <c r="AJ525" i="1"/>
  <c r="AJ969" i="1"/>
  <c r="AI850" i="1"/>
  <c r="AH541" i="1"/>
  <c r="AI525" i="1"/>
  <c r="AJ448" i="1"/>
  <c r="AH446" i="1"/>
  <c r="AI367" i="1"/>
  <c r="AJ280" i="1"/>
  <c r="AH265" i="1"/>
  <c r="AH147" i="1"/>
  <c r="AI969" i="1"/>
  <c r="AJ856" i="1"/>
  <c r="AH850" i="1"/>
  <c r="AJ527" i="1"/>
  <c r="AH525" i="1"/>
  <c r="AI448" i="1"/>
  <c r="AJ382" i="1"/>
  <c r="AH367" i="1"/>
  <c r="AI280" i="1"/>
  <c r="AJ264" i="1"/>
  <c r="AJ140" i="1"/>
  <c r="AH969" i="1"/>
  <c r="AI856" i="1"/>
  <c r="AI527" i="1"/>
  <c r="AJ366" i="1"/>
  <c r="AI264" i="1"/>
  <c r="AI140" i="1"/>
  <c r="AH856" i="1"/>
  <c r="AH527" i="1"/>
  <c r="AI366" i="1"/>
  <c r="AH264" i="1"/>
  <c r="AJ154" i="1"/>
  <c r="AH140" i="1"/>
  <c r="AJ855" i="1"/>
  <c r="AH852" i="1"/>
  <c r="AJ47" i="1"/>
  <c r="AI855" i="1"/>
  <c r="AI368" i="1"/>
  <c r="AJ365" i="1"/>
  <c r="AH266" i="1"/>
  <c r="AI263" i="1"/>
  <c r="AH154" i="1"/>
  <c r="AI47" i="1"/>
  <c r="A1" i="32"/>
  <c r="V30" i="32"/>
  <c r="V29" i="32"/>
  <c r="V38" i="32" s="1"/>
  <c r="V28" i="32"/>
  <c r="V27" i="32"/>
  <c r="V36" i="32" s="1"/>
  <c r="V26" i="32"/>
  <c r="V25" i="32"/>
  <c r="V34" i="32" s="1"/>
  <c r="V24" i="32"/>
  <c r="V33" i="32" s="1"/>
  <c r="I6" i="32"/>
  <c r="M6" i="32" s="1"/>
  <c r="Q6" i="32" s="1"/>
  <c r="U6" i="32" s="1"/>
  <c r="A2" i="31"/>
  <c r="A1" i="31"/>
  <c r="M6" i="30"/>
  <c r="L6" i="30"/>
  <c r="K6" i="30"/>
  <c r="J6" i="30"/>
  <c r="I6" i="30"/>
  <c r="H6" i="30"/>
  <c r="G6" i="30"/>
  <c r="F6" i="30"/>
  <c r="N174" i="44" l="1"/>
  <c r="D83" i="44"/>
  <c r="C84" i="44"/>
  <c r="AJ66" i="1"/>
  <c r="AJ970" i="1"/>
  <c r="AI66" i="1"/>
  <c r="AI970" i="1"/>
  <c r="AH66" i="1"/>
  <c r="AH970" i="1"/>
  <c r="AE67" i="21"/>
  <c r="AF69" i="21"/>
  <c r="AE64" i="21"/>
  <c r="AD51" i="21"/>
  <c r="AD68" i="21"/>
  <c r="AD67" i="21"/>
  <c r="AD65" i="21"/>
  <c r="AD66" i="21"/>
  <c r="AE51" i="21"/>
  <c r="AE68" i="21"/>
  <c r="AE66" i="21"/>
  <c r="AF734" i="1"/>
  <c r="AJ369" i="1"/>
  <c r="AH853" i="1"/>
  <c r="AJ450" i="1"/>
  <c r="AI267" i="1"/>
  <c r="AI369" i="1"/>
  <c r="AJ267" i="1"/>
  <c r="AJ528" i="1"/>
  <c r="AH528" i="1"/>
  <c r="AI450" i="1"/>
  <c r="AD50" i="1"/>
  <c r="AD47" i="1"/>
  <c r="AD123" i="11" s="1"/>
  <c r="AI852" i="1"/>
  <c r="AI853" i="1" s="1"/>
  <c r="AH267" i="1"/>
  <c r="AH369" i="1"/>
  <c r="AI528" i="1"/>
  <c r="AE47" i="1"/>
  <c r="AE123" i="11" s="1"/>
  <c r="AE50" i="1"/>
  <c r="AF50" i="1"/>
  <c r="AF52" i="1" s="1"/>
  <c r="AF47" i="1"/>
  <c r="AF123" i="11" s="1"/>
  <c r="AJ852" i="1"/>
  <c r="AJ853" i="1" s="1"/>
  <c r="AH450" i="1"/>
  <c r="V35" i="32"/>
  <c r="V37" i="32"/>
  <c r="V39" i="32"/>
  <c r="AG36" i="21" l="1"/>
  <c r="N175" i="44"/>
  <c r="D84" i="44"/>
  <c r="C85" i="44"/>
  <c r="AE69" i="21"/>
  <c r="AD69" i="21"/>
  <c r="AG11" i="21"/>
  <c r="AG10" i="21"/>
  <c r="AG35" i="21"/>
  <c r="AD55" i="1"/>
  <c r="AD52" i="1"/>
  <c r="AE52" i="1"/>
  <c r="AE55" i="1"/>
  <c r="AF55" i="1"/>
  <c r="AF814" i="1" s="1"/>
  <c r="AF817" i="1" s="1"/>
  <c r="AF820" i="1" s="1"/>
  <c r="AG12" i="21"/>
  <c r="AG13" i="21"/>
  <c r="N176" i="44" l="1"/>
  <c r="D85" i="44"/>
  <c r="C86" i="44"/>
  <c r="AE220" i="1"/>
  <c r="AE237" i="1" s="1"/>
  <c r="AE814" i="1"/>
  <c r="AE817" i="1" s="1"/>
  <c r="AE820" i="1" s="1"/>
  <c r="AD220" i="1"/>
  <c r="AD237" i="1" s="1"/>
  <c r="AD814" i="1"/>
  <c r="AD817" i="1" s="1"/>
  <c r="AD820" i="1" s="1"/>
  <c r="AG47" i="21"/>
  <c r="AF63" i="1"/>
  <c r="AF220" i="1"/>
  <c r="AF237" i="1" s="1"/>
  <c r="AD63" i="1"/>
  <c r="AD64" i="1"/>
  <c r="AE63" i="1"/>
  <c r="AE64" i="1"/>
  <c r="AF64" i="1"/>
  <c r="AG27" i="21"/>
  <c r="AG31" i="21"/>
  <c r="AG46" i="21"/>
  <c r="AG15" i="21"/>
  <c r="AG37" i="21"/>
  <c r="AG38" i="21"/>
  <c r="AG29" i="21"/>
  <c r="AG28" i="21"/>
  <c r="AG30" i="21"/>
  <c r="N177" i="44" l="1"/>
  <c r="D86" i="44"/>
  <c r="C87" i="44"/>
  <c r="AF239" i="1"/>
  <c r="AF245" i="1" s="1"/>
  <c r="AF972" i="1"/>
  <c r="AD239" i="1"/>
  <c r="AD245" i="1" s="1"/>
  <c r="AD972" i="1"/>
  <c r="AE239" i="1"/>
  <c r="AE245" i="1" s="1"/>
  <c r="AE972" i="1"/>
  <c r="AG32" i="21"/>
  <c r="AG48" i="21"/>
  <c r="AG16" i="21"/>
  <c r="AG39" i="21"/>
  <c r="AG49" i="21"/>
  <c r="N178" i="44" l="1"/>
  <c r="D87" i="44"/>
  <c r="C88" i="44"/>
  <c r="AG50" i="21"/>
  <c r="AG40" i="21"/>
  <c r="AG68" i="21" s="1"/>
  <c r="N179" i="44" l="1"/>
  <c r="D88" i="44"/>
  <c r="C89" i="44"/>
  <c r="AG51" i="21"/>
  <c r="AG65" i="21"/>
  <c r="AG64" i="21"/>
  <c r="AG67" i="21"/>
  <c r="AG66" i="21"/>
  <c r="N180" i="44" l="1"/>
  <c r="D89" i="44"/>
  <c r="C90" i="44"/>
  <c r="AG69" i="21"/>
  <c r="N181" i="44" l="1"/>
  <c r="D90" i="44"/>
  <c r="C91" i="44"/>
  <c r="AR573" i="1"/>
  <c r="AS573" i="1"/>
  <c r="AR709" i="1"/>
  <c r="AS709" i="1"/>
  <c r="AR494" i="1"/>
  <c r="AS494" i="1"/>
  <c r="AR690" i="1"/>
  <c r="AS690" i="1"/>
  <c r="AR671" i="1"/>
  <c r="AS671" i="1"/>
  <c r="AR414" i="1"/>
  <c r="AS414" i="1"/>
  <c r="AR654" i="1"/>
  <c r="AS654" i="1"/>
  <c r="AW173" i="1"/>
  <c r="AW174" i="1"/>
  <c r="AW195" i="1" s="1"/>
  <c r="AW175" i="1"/>
  <c r="AW196" i="1" s="1"/>
  <c r="AW177" i="1"/>
  <c r="AW200" i="1" s="1"/>
  <c r="AW178" i="1"/>
  <c r="AW198" i="1" s="1"/>
  <c r="AW181" i="1"/>
  <c r="AW197" i="1" s="1"/>
  <c r="AW182" i="1"/>
  <c r="AW202" i="1" s="1"/>
  <c r="AW183" i="1"/>
  <c r="AW203" i="1"/>
  <c r="AW199" i="1"/>
  <c r="AW892" i="1"/>
  <c r="AW945" i="1"/>
  <c r="AN96" i="9" s="1"/>
  <c r="AV173" i="1"/>
  <c r="AV174" i="1"/>
  <c r="AV195" i="1" s="1"/>
  <c r="AV175" i="1"/>
  <c r="AV196" i="1" s="1"/>
  <c r="AV177" i="1"/>
  <c r="AV200" i="1" s="1"/>
  <c r="AV178" i="1"/>
  <c r="AV198" i="1" s="1"/>
  <c r="AV181" i="1"/>
  <c r="AV197" i="1" s="1"/>
  <c r="AV182" i="1"/>
  <c r="AV202" i="1" s="1"/>
  <c r="AV183" i="1"/>
  <c r="AV203" i="1"/>
  <c r="AV199" i="1"/>
  <c r="AV892" i="1"/>
  <c r="AV945" i="1"/>
  <c r="AM96" i="9" s="1"/>
  <c r="AS43" i="2"/>
  <c r="AS70" i="2"/>
  <c r="AS106" i="2"/>
  <c r="AS133" i="2"/>
  <c r="AR43" i="2"/>
  <c r="AR70" i="2"/>
  <c r="AR106" i="2"/>
  <c r="AR133" i="2"/>
  <c r="AW15" i="11"/>
  <c r="AW20" i="11"/>
  <c r="AW21" i="11"/>
  <c r="AW23" i="11"/>
  <c r="AW25" i="11"/>
  <c r="AW26" i="11"/>
  <c r="AW28" i="11"/>
  <c r="AW30" i="11"/>
  <c r="AW31" i="11"/>
  <c r="AW33" i="11"/>
  <c r="AW35" i="11"/>
  <c r="AW36" i="11"/>
  <c r="AW38" i="11"/>
  <c r="AW42" i="11"/>
  <c r="AW47" i="11"/>
  <c r="AW48" i="11"/>
  <c r="AW50" i="11"/>
  <c r="AW52" i="11"/>
  <c r="AW53" i="11"/>
  <c r="AW57" i="11"/>
  <c r="AW58" i="11"/>
  <c r="AW62" i="11"/>
  <c r="AW63" i="11"/>
  <c r="AW65" i="11"/>
  <c r="AW69" i="11"/>
  <c r="AW74" i="11"/>
  <c r="AW75" i="11"/>
  <c r="AW77" i="11"/>
  <c r="AW79" i="11"/>
  <c r="AW80" i="11"/>
  <c r="AW82" i="11"/>
  <c r="AW84" i="11"/>
  <c r="AW85" i="11"/>
  <c r="AW87" i="11"/>
  <c r="AW89" i="11"/>
  <c r="AW463" i="1" s="1"/>
  <c r="AW90" i="11"/>
  <c r="AW92" i="11"/>
  <c r="AW96" i="11"/>
  <c r="AW97" i="11"/>
  <c r="AW99" i="11"/>
  <c r="AW101" i="11"/>
  <c r="AW102" i="11"/>
  <c r="AW104" i="11"/>
  <c r="AW106" i="11"/>
  <c r="AW107" i="11"/>
  <c r="AW109" i="11"/>
  <c r="AW111" i="11"/>
  <c r="AW112" i="11"/>
  <c r="AW114" i="11"/>
  <c r="AW118" i="11"/>
  <c r="AW611" i="1" s="1"/>
  <c r="AW123" i="11"/>
  <c r="AW126" i="11"/>
  <c r="AW130" i="11"/>
  <c r="AW131" i="11"/>
  <c r="AW133" i="11"/>
  <c r="AW135" i="11"/>
  <c r="AW136" i="11"/>
  <c r="AW138" i="11"/>
  <c r="AW140" i="11"/>
  <c r="AW141" i="11"/>
  <c r="AW143" i="11"/>
  <c r="AW147" i="11"/>
  <c r="AW148" i="11"/>
  <c r="AW150" i="11"/>
  <c r="AW152" i="11"/>
  <c r="AW849" i="1" s="1"/>
  <c r="AW153" i="11"/>
  <c r="AW155" i="11"/>
  <c r="AW157" i="11"/>
  <c r="AW158" i="11"/>
  <c r="AW160" i="11"/>
  <c r="AW162" i="11"/>
  <c r="AW163" i="11"/>
  <c r="AW165" i="11"/>
  <c r="AW167" i="11"/>
  <c r="AW168" i="11"/>
  <c r="AW170" i="11"/>
  <c r="AW172" i="11"/>
  <c r="AW173" i="11"/>
  <c r="AW175" i="11"/>
  <c r="AW177" i="11"/>
  <c r="AW182" i="11"/>
  <c r="AN182" i="2"/>
  <c r="AO182" i="2"/>
  <c r="AN132" i="2"/>
  <c r="AN131" i="2"/>
  <c r="AN130" i="2"/>
  <c r="AN129" i="2"/>
  <c r="AN118" i="2"/>
  <c r="AO118" i="2"/>
  <c r="AN55" i="2"/>
  <c r="AO55" i="2"/>
  <c r="AB81" i="2"/>
  <c r="AB80" i="2"/>
  <c r="X80" i="2"/>
  <c r="X17" i="2"/>
  <c r="Z197" i="2"/>
  <c r="AA197" i="2"/>
  <c r="AC197" i="2"/>
  <c r="AB145" i="2"/>
  <c r="AB144" i="2"/>
  <c r="AB140" i="2"/>
  <c r="AB139" i="2"/>
  <c r="AB75" i="2"/>
  <c r="AB76" i="2"/>
  <c r="X145" i="2"/>
  <c r="X144" i="2"/>
  <c r="X140" i="2"/>
  <c r="X139" i="2"/>
  <c r="AB18" i="2"/>
  <c r="X18" i="2"/>
  <c r="AB74" i="2"/>
  <c r="X76" i="2"/>
  <c r="X75" i="2"/>
  <c r="X74" i="2"/>
  <c r="AB12" i="2"/>
  <c r="AB13" i="2"/>
  <c r="AB11" i="2"/>
  <c r="X12" i="2"/>
  <c r="X13" i="2"/>
  <c r="X11" i="2"/>
  <c r="X138" i="2"/>
  <c r="AC82" i="2"/>
  <c r="AA82" i="2"/>
  <c r="Z82" i="2"/>
  <c r="Y82" i="2"/>
  <c r="W82" i="2"/>
  <c r="V82" i="2"/>
  <c r="U82" i="2"/>
  <c r="AC19" i="2"/>
  <c r="AA19" i="2"/>
  <c r="Z19" i="2"/>
  <c r="Y19" i="2"/>
  <c r="W19" i="2"/>
  <c r="V19" i="2"/>
  <c r="Y197" i="2"/>
  <c r="AP637" i="1"/>
  <c r="AQ637" i="1"/>
  <c r="AR637" i="1"/>
  <c r="AS637" i="1"/>
  <c r="AM199" i="1"/>
  <c r="AL199" i="1"/>
  <c r="AC60" i="1"/>
  <c r="AC976" i="1" s="1"/>
  <c r="AB60" i="1"/>
  <c r="AB976" i="1" s="1"/>
  <c r="AA60" i="1"/>
  <c r="AA976" i="1" s="1"/>
  <c r="Z60" i="1"/>
  <c r="Z976" i="1" s="1"/>
  <c r="Y60" i="1"/>
  <c r="Y976" i="1" s="1"/>
  <c r="X60" i="1"/>
  <c r="X976" i="1" s="1"/>
  <c r="W60" i="1"/>
  <c r="W976" i="1" s="1"/>
  <c r="V60" i="1"/>
  <c r="V976" i="1" s="1"/>
  <c r="U60" i="1"/>
  <c r="U976" i="1" s="1"/>
  <c r="U725" i="1"/>
  <c r="U731" i="1" s="1"/>
  <c r="V725" i="1"/>
  <c r="V727" i="1" s="1"/>
  <c r="W725" i="1"/>
  <c r="W730" i="1" s="1"/>
  <c r="X725" i="1"/>
  <c r="X727" i="1" s="1"/>
  <c r="Y725" i="1"/>
  <c r="Y727" i="1" s="1"/>
  <c r="Z725" i="1"/>
  <c r="Z727" i="1" s="1"/>
  <c r="AA725" i="1"/>
  <c r="AA727" i="1" s="1"/>
  <c r="AB725" i="1"/>
  <c r="AB727" i="1" s="1"/>
  <c r="AC725" i="1"/>
  <c r="AC730" i="1" s="1"/>
  <c r="X633" i="1"/>
  <c r="U633" i="1"/>
  <c r="V633" i="1"/>
  <c r="W633" i="1"/>
  <c r="Y633" i="1"/>
  <c r="Z633" i="1"/>
  <c r="AD634" i="1" s="1"/>
  <c r="AA633" i="1"/>
  <c r="AE634" i="1" s="1"/>
  <c r="AB633" i="1"/>
  <c r="AF634" i="1" s="1"/>
  <c r="AC633" i="1"/>
  <c r="AG634" i="1" s="1"/>
  <c r="Z10" i="21"/>
  <c r="AD19" i="21" s="1"/>
  <c r="AA10" i="21"/>
  <c r="AE19" i="21" s="1"/>
  <c r="AB10" i="21"/>
  <c r="AF19" i="21" s="1"/>
  <c r="AG19" i="21"/>
  <c r="Z11" i="21"/>
  <c r="AD20" i="21" s="1"/>
  <c r="AA11" i="21"/>
  <c r="AE20" i="21" s="1"/>
  <c r="AB11" i="21"/>
  <c r="AF20" i="21" s="1"/>
  <c r="AG20" i="21"/>
  <c r="Z12" i="21"/>
  <c r="AD21" i="21" s="1"/>
  <c r="AA12" i="21"/>
  <c r="AE21" i="21" s="1"/>
  <c r="AB12" i="21"/>
  <c r="AF21" i="21" s="1"/>
  <c r="AG21" i="21"/>
  <c r="Z13" i="21"/>
  <c r="AD22" i="21" s="1"/>
  <c r="AA13" i="21"/>
  <c r="AE22" i="21" s="1"/>
  <c r="AB13" i="21"/>
  <c r="AF22" i="21" s="1"/>
  <c r="AG22" i="21"/>
  <c r="Z14" i="21"/>
  <c r="AA14" i="21"/>
  <c r="AB14" i="21"/>
  <c r="Y10" i="21"/>
  <c r="AC19" i="21" s="1"/>
  <c r="Y11" i="21"/>
  <c r="AC20" i="21" s="1"/>
  <c r="Y12" i="21"/>
  <c r="AC21" i="21" s="1"/>
  <c r="Y13" i="21"/>
  <c r="AC22" i="21" s="1"/>
  <c r="Y14" i="21"/>
  <c r="N199" i="1"/>
  <c r="O199" i="1"/>
  <c r="P199" i="1"/>
  <c r="Q199" i="1"/>
  <c r="R199" i="1"/>
  <c r="S199" i="1"/>
  <c r="T199" i="1"/>
  <c r="U199" i="1"/>
  <c r="V199" i="1"/>
  <c r="W199" i="1"/>
  <c r="X199" i="1"/>
  <c r="Y199" i="1"/>
  <c r="Z199" i="1"/>
  <c r="AA199" i="1"/>
  <c r="AB199" i="1"/>
  <c r="AC199" i="1"/>
  <c r="M199" i="1"/>
  <c r="M73" i="1"/>
  <c r="N73" i="1"/>
  <c r="O73" i="1"/>
  <c r="P73" i="1"/>
  <c r="Q73" i="1"/>
  <c r="R73" i="1"/>
  <c r="S73" i="1"/>
  <c r="T73" i="1"/>
  <c r="U73" i="1"/>
  <c r="V73" i="1"/>
  <c r="W73" i="1"/>
  <c r="X73" i="1"/>
  <c r="Y73" i="1"/>
  <c r="Z73" i="1"/>
  <c r="AA73" i="1"/>
  <c r="AB73" i="1"/>
  <c r="AC73" i="1"/>
  <c r="AG74" i="1" s="1"/>
  <c r="M102" i="1"/>
  <c r="N102" i="1"/>
  <c r="O102" i="1"/>
  <c r="P102" i="1"/>
  <c r="Q102" i="1"/>
  <c r="R102" i="1"/>
  <c r="S102" i="1"/>
  <c r="T102" i="1"/>
  <c r="U102" i="1"/>
  <c r="V102" i="1"/>
  <c r="W102" i="1"/>
  <c r="X102" i="1"/>
  <c r="Y102" i="1"/>
  <c r="Z102" i="1"/>
  <c r="AA102" i="1"/>
  <c r="AB102" i="1"/>
  <c r="AC102" i="1"/>
  <c r="AV15" i="11"/>
  <c r="AV20" i="11"/>
  <c r="AV21" i="11"/>
  <c r="AV23" i="11"/>
  <c r="AV25" i="11"/>
  <c r="AV26" i="11"/>
  <c r="AV28" i="11"/>
  <c r="AV30" i="11"/>
  <c r="AV31" i="11"/>
  <c r="AV33" i="11"/>
  <c r="AV35" i="11"/>
  <c r="AV36" i="11"/>
  <c r="AV38" i="11"/>
  <c r="AV42" i="11"/>
  <c r="AV47" i="11"/>
  <c r="AV48" i="11"/>
  <c r="AV50" i="11"/>
  <c r="AV52" i="11"/>
  <c r="AV53" i="11"/>
  <c r="AV57" i="11"/>
  <c r="AV58" i="11"/>
  <c r="AV62" i="11"/>
  <c r="AV63" i="11"/>
  <c r="AV65" i="11"/>
  <c r="AV69" i="11"/>
  <c r="AV74" i="11"/>
  <c r="AV75" i="11"/>
  <c r="AV77" i="11"/>
  <c r="AV79" i="11"/>
  <c r="AV80" i="11"/>
  <c r="AV82" i="11"/>
  <c r="AV84" i="11"/>
  <c r="AV85" i="11"/>
  <c r="AV87" i="11"/>
  <c r="AV89" i="11"/>
  <c r="AV463" i="1" s="1"/>
  <c r="AV90" i="11"/>
  <c r="AV92" i="11"/>
  <c r="AV96" i="11"/>
  <c r="AV97" i="11"/>
  <c r="AV99" i="11"/>
  <c r="AV101" i="11"/>
  <c r="AV102" i="11"/>
  <c r="AV104" i="11"/>
  <c r="AV106" i="11"/>
  <c r="AV107" i="11"/>
  <c r="AV109" i="11"/>
  <c r="AV111" i="11"/>
  <c r="AV112" i="11"/>
  <c r="AV114" i="11"/>
  <c r="AV118" i="11"/>
  <c r="AV611" i="1" s="1"/>
  <c r="AV123" i="11"/>
  <c r="AV126" i="11"/>
  <c r="AV130" i="11"/>
  <c r="AV131" i="11"/>
  <c r="AV133" i="11"/>
  <c r="AV135" i="11"/>
  <c r="AV136" i="11"/>
  <c r="AV138" i="11"/>
  <c r="AV140" i="11"/>
  <c r="AV141" i="11"/>
  <c r="AV143" i="11"/>
  <c r="AV147" i="11"/>
  <c r="AV148" i="11"/>
  <c r="AV150" i="11"/>
  <c r="AV152" i="11"/>
  <c r="AV153" i="11"/>
  <c r="AV155" i="11"/>
  <c r="AV157" i="11"/>
  <c r="AV158" i="11"/>
  <c r="AV160" i="11"/>
  <c r="AV162" i="11"/>
  <c r="AV163" i="11"/>
  <c r="AV165" i="11"/>
  <c r="AV167" i="11"/>
  <c r="AV168" i="11"/>
  <c r="AV170" i="11"/>
  <c r="AV172" i="11"/>
  <c r="AV173" i="11"/>
  <c r="AV175" i="11"/>
  <c r="AV177" i="11"/>
  <c r="AV182" i="11"/>
  <c r="AU860" i="1"/>
  <c r="AR864" i="1"/>
  <c r="AS876" i="1" s="1"/>
  <c r="AS177" i="11" s="1"/>
  <c r="AS864" i="1"/>
  <c r="S893" i="1"/>
  <c r="T893" i="1"/>
  <c r="U893" i="1"/>
  <c r="V893" i="1"/>
  <c r="W893" i="1"/>
  <c r="X893" i="1"/>
  <c r="Y893" i="1"/>
  <c r="Z893" i="1"/>
  <c r="AA893" i="1"/>
  <c r="AB893" i="1"/>
  <c r="AC893" i="1"/>
  <c r="AR886" i="1"/>
  <c r="AR888" i="1" s="1"/>
  <c r="AS886" i="1"/>
  <c r="BB897" i="1"/>
  <c r="BC897" i="1" s="1"/>
  <c r="AH761" i="1"/>
  <c r="AI761" i="1" s="1"/>
  <c r="AJ761" i="1" s="1"/>
  <c r="AB223" i="1"/>
  <c r="AB214" i="1"/>
  <c r="U156" i="1"/>
  <c r="U160" i="1" s="1"/>
  <c r="U95" i="1" s="1"/>
  <c r="U149" i="1"/>
  <c r="U152" i="1" s="1"/>
  <c r="U89" i="1" s="1"/>
  <c r="U132" i="1"/>
  <c r="U138" i="1" s="1"/>
  <c r="V132" i="1"/>
  <c r="V138" i="1" s="1"/>
  <c r="W132" i="1"/>
  <c r="W138" i="1" s="1"/>
  <c r="X132" i="1"/>
  <c r="X138" i="1" s="1"/>
  <c r="Y132" i="1"/>
  <c r="Y138" i="1" s="1"/>
  <c r="Z132" i="1"/>
  <c r="Z138" i="1" s="1"/>
  <c r="AA132" i="1"/>
  <c r="AA138" i="1" s="1"/>
  <c r="AB132" i="1"/>
  <c r="AB138" i="1" s="1"/>
  <c r="AC132" i="1"/>
  <c r="AC138" i="1" s="1"/>
  <c r="AG139" i="1" s="1"/>
  <c r="U142" i="1"/>
  <c r="U145" i="1" s="1"/>
  <c r="U85" i="1" s="1"/>
  <c r="V142" i="1"/>
  <c r="V145" i="1" s="1"/>
  <c r="V85" i="1" s="1"/>
  <c r="W142" i="1"/>
  <c r="W145" i="1" s="1"/>
  <c r="W85" i="1" s="1"/>
  <c r="X142" i="1"/>
  <c r="X145" i="1" s="1"/>
  <c r="X85" i="1" s="1"/>
  <c r="Y142" i="1"/>
  <c r="Y145" i="1" s="1"/>
  <c r="Y147" i="1" s="1"/>
  <c r="Y135" i="11" s="1"/>
  <c r="Z142" i="1"/>
  <c r="Z145" i="1" s="1"/>
  <c r="AA142" i="1"/>
  <c r="AA145" i="1" s="1"/>
  <c r="AB142" i="1"/>
  <c r="AB145" i="1" s="1"/>
  <c r="AC142" i="1"/>
  <c r="AC145" i="1" s="1"/>
  <c r="AG146" i="1" s="1"/>
  <c r="V149" i="1"/>
  <c r="V152" i="1" s="1"/>
  <c r="V89" i="1" s="1"/>
  <c r="W149" i="1"/>
  <c r="W152" i="1" s="1"/>
  <c r="W89" i="1" s="1"/>
  <c r="X149" i="1"/>
  <c r="X152" i="1" s="1"/>
  <c r="X154" i="1" s="1"/>
  <c r="X140" i="11" s="1"/>
  <c r="Y149" i="1"/>
  <c r="Y152" i="1" s="1"/>
  <c r="Y154" i="1" s="1"/>
  <c r="Y140" i="11" s="1"/>
  <c r="Z149" i="1"/>
  <c r="Z152" i="1" s="1"/>
  <c r="AD153" i="1" s="1"/>
  <c r="AA149" i="1"/>
  <c r="AA152" i="1" s="1"/>
  <c r="AB149" i="1"/>
  <c r="AB152" i="1" s="1"/>
  <c r="AC149" i="1"/>
  <c r="AC152" i="1" s="1"/>
  <c r="AG153" i="1" s="1"/>
  <c r="V156" i="1"/>
  <c r="V160" i="1" s="1"/>
  <c r="V95" i="1" s="1"/>
  <c r="W156" i="1"/>
  <c r="W160" i="1" s="1"/>
  <c r="W95" i="1" s="1"/>
  <c r="X156" i="1"/>
  <c r="X160" i="1" s="1"/>
  <c r="X95" i="1" s="1"/>
  <c r="Y156" i="1"/>
  <c r="Y160" i="1" s="1"/>
  <c r="Y95" i="1" s="1"/>
  <c r="Z156" i="1"/>
  <c r="Z160" i="1" s="1"/>
  <c r="Z95" i="1" s="1"/>
  <c r="AA156" i="1"/>
  <c r="AA160" i="1" s="1"/>
  <c r="AA95" i="1" s="1"/>
  <c r="AB156" i="1"/>
  <c r="AB160" i="1" s="1"/>
  <c r="AB95" i="1" s="1"/>
  <c r="AC156" i="1"/>
  <c r="AC160" i="1" s="1"/>
  <c r="AC95" i="1" s="1"/>
  <c r="U162" i="1"/>
  <c r="U166" i="1" s="1"/>
  <c r="U93" i="1" s="1"/>
  <c r="V162" i="1"/>
  <c r="V166" i="1" s="1"/>
  <c r="V93" i="1" s="1"/>
  <c r="W162" i="1"/>
  <c r="W166" i="1" s="1"/>
  <c r="W93" i="1" s="1"/>
  <c r="X162" i="1"/>
  <c r="X166" i="1" s="1"/>
  <c r="X93" i="1" s="1"/>
  <c r="Y162" i="1"/>
  <c r="Y166" i="1" s="1"/>
  <c r="Y93" i="1" s="1"/>
  <c r="Z162" i="1"/>
  <c r="Z166" i="1" s="1"/>
  <c r="Z93" i="1" s="1"/>
  <c r="AA162" i="1"/>
  <c r="AA166" i="1" s="1"/>
  <c r="AA93" i="1" s="1"/>
  <c r="AB162" i="1"/>
  <c r="AB166" i="1" s="1"/>
  <c r="AB93" i="1" s="1"/>
  <c r="AC162" i="1"/>
  <c r="AC166" i="1" s="1"/>
  <c r="AC93" i="1" s="1"/>
  <c r="U168" i="1"/>
  <c r="V168" i="1"/>
  <c r="W168" i="1"/>
  <c r="X168" i="1"/>
  <c r="Y168" i="1"/>
  <c r="Z168" i="1"/>
  <c r="AA168" i="1"/>
  <c r="AB168" i="1"/>
  <c r="AC168" i="1"/>
  <c r="F176" i="1"/>
  <c r="G176" i="1"/>
  <c r="H176" i="1"/>
  <c r="I176" i="1"/>
  <c r="J176" i="1"/>
  <c r="K176" i="1"/>
  <c r="L176" i="1"/>
  <c r="M176" i="1"/>
  <c r="N176" i="1"/>
  <c r="O176" i="1"/>
  <c r="P176" i="1"/>
  <c r="Q176" i="1"/>
  <c r="R176" i="1"/>
  <c r="S176" i="1"/>
  <c r="T176" i="1"/>
  <c r="U176" i="1"/>
  <c r="V176" i="1"/>
  <c r="W176" i="1"/>
  <c r="X176" i="1"/>
  <c r="Y176" i="1"/>
  <c r="Z176" i="1"/>
  <c r="AA176" i="1"/>
  <c r="AB176" i="1"/>
  <c r="AC176" i="1"/>
  <c r="E176" i="1"/>
  <c r="U844" i="1"/>
  <c r="U848" i="1" s="1"/>
  <c r="U147" i="11" s="1"/>
  <c r="V844" i="1"/>
  <c r="V848" i="1" s="1"/>
  <c r="V147" i="11" s="1"/>
  <c r="W844" i="1"/>
  <c r="W848" i="1" s="1"/>
  <c r="W147" i="11" s="1"/>
  <c r="X844" i="1"/>
  <c r="X848" i="1" s="1"/>
  <c r="X147" i="11" s="1"/>
  <c r="Y844" i="1"/>
  <c r="Y848" i="1" s="1"/>
  <c r="Y147" i="11" s="1"/>
  <c r="Z844" i="1"/>
  <c r="Z848" i="1" s="1"/>
  <c r="Z147" i="11" s="1"/>
  <c r="AA844" i="1"/>
  <c r="AA848" i="1" s="1"/>
  <c r="AA147" i="11" s="1"/>
  <c r="AB844" i="1"/>
  <c r="AB848" i="1" s="1"/>
  <c r="AB147" i="11" s="1"/>
  <c r="AC844" i="1"/>
  <c r="AC848" i="1" s="1"/>
  <c r="AC147" i="11" s="1"/>
  <c r="U845" i="1"/>
  <c r="U849" i="1" s="1"/>
  <c r="U152" i="11" s="1"/>
  <c r="V845" i="1"/>
  <c r="V849" i="1" s="1"/>
  <c r="V152" i="11" s="1"/>
  <c r="W845" i="1"/>
  <c r="W849" i="1" s="1"/>
  <c r="W152" i="11" s="1"/>
  <c r="X845" i="1"/>
  <c r="X849" i="1" s="1"/>
  <c r="X152" i="11" s="1"/>
  <c r="Y845" i="1"/>
  <c r="Y849" i="1" s="1"/>
  <c r="Y152" i="11" s="1"/>
  <c r="Z845" i="1"/>
  <c r="Z849" i="1" s="1"/>
  <c r="Z152" i="11" s="1"/>
  <c r="AA845" i="1"/>
  <c r="AA849" i="1" s="1"/>
  <c r="AA152" i="11" s="1"/>
  <c r="AB845" i="1"/>
  <c r="AB849" i="1" s="1"/>
  <c r="AB152" i="11" s="1"/>
  <c r="U846" i="1"/>
  <c r="U850" i="1" s="1"/>
  <c r="U157" i="11" s="1"/>
  <c r="V846" i="1"/>
  <c r="V850" i="1" s="1"/>
  <c r="V157" i="11" s="1"/>
  <c r="W846" i="1"/>
  <c r="W850" i="1" s="1"/>
  <c r="W157" i="11" s="1"/>
  <c r="X846" i="1"/>
  <c r="X850" i="1" s="1"/>
  <c r="X157" i="11" s="1"/>
  <c r="Y846" i="1"/>
  <c r="Y850" i="1" s="1"/>
  <c r="Y157" i="11" s="1"/>
  <c r="Z846" i="1"/>
  <c r="Z850" i="1" s="1"/>
  <c r="Z157" i="11" s="1"/>
  <c r="AA846" i="1"/>
  <c r="AA850" i="1" s="1"/>
  <c r="AA157" i="11" s="1"/>
  <c r="AB846" i="1"/>
  <c r="AB850" i="1" s="1"/>
  <c r="AB157" i="11" s="1"/>
  <c r="U855" i="1"/>
  <c r="U162" i="11" s="1"/>
  <c r="V855" i="1"/>
  <c r="V162" i="11" s="1"/>
  <c r="W855" i="1"/>
  <c r="W162" i="11" s="1"/>
  <c r="X855" i="1"/>
  <c r="X162" i="11" s="1"/>
  <c r="Y855" i="1"/>
  <c r="Y162" i="11" s="1"/>
  <c r="Z855" i="1"/>
  <c r="Z162" i="11" s="1"/>
  <c r="AA855" i="1"/>
  <c r="AA162" i="11" s="1"/>
  <c r="AB855" i="1"/>
  <c r="AB162" i="11" s="1"/>
  <c r="U856" i="1"/>
  <c r="U167" i="11" s="1"/>
  <c r="V856" i="1"/>
  <c r="V167" i="11" s="1"/>
  <c r="W856" i="1"/>
  <c r="W167" i="11" s="1"/>
  <c r="X856" i="1"/>
  <c r="X167" i="11" s="1"/>
  <c r="Y856" i="1"/>
  <c r="Y167" i="11" s="1"/>
  <c r="Z856" i="1"/>
  <c r="Z167" i="11" s="1"/>
  <c r="AA856" i="1"/>
  <c r="AA167" i="11" s="1"/>
  <c r="AB856" i="1"/>
  <c r="AB167" i="11" s="1"/>
  <c r="AC856" i="1"/>
  <c r="AC167" i="11" s="1"/>
  <c r="AC951" i="1"/>
  <c r="AC948" i="1"/>
  <c r="AC947" i="1"/>
  <c r="AC946" i="1"/>
  <c r="AC945" i="1"/>
  <c r="AC961" i="1" s="1"/>
  <c r="AC944" i="1"/>
  <c r="AC968" i="1" s="1"/>
  <c r="AC943" i="1"/>
  <c r="AC942" i="1"/>
  <c r="AC941" i="1"/>
  <c r="AC938" i="1"/>
  <c r="AC937" i="1"/>
  <c r="AC936" i="1"/>
  <c r="AC935" i="1"/>
  <c r="AC934" i="1"/>
  <c r="AC910" i="1" s="1"/>
  <c r="AC931" i="1"/>
  <c r="AC930" i="1"/>
  <c r="AC929" i="1"/>
  <c r="AC928" i="1"/>
  <c r="AC927" i="1"/>
  <c r="AC926" i="1"/>
  <c r="AC923" i="1"/>
  <c r="AC922" i="1"/>
  <c r="AC921" i="1"/>
  <c r="AC920" i="1"/>
  <c r="AC919" i="1"/>
  <c r="AC918" i="1"/>
  <c r="AC917" i="1"/>
  <c r="AC899" i="1" s="1"/>
  <c r="AC914" i="1"/>
  <c r="AB951" i="1"/>
  <c r="AA951" i="1"/>
  <c r="Z951" i="1"/>
  <c r="Y951" i="1"/>
  <c r="AB948" i="1"/>
  <c r="AA948" i="1"/>
  <c r="Z948" i="1"/>
  <c r="Y948" i="1"/>
  <c r="AB947" i="1"/>
  <c r="AA947" i="1"/>
  <c r="Z947" i="1"/>
  <c r="Y947" i="1"/>
  <c r="AB946" i="1"/>
  <c r="AA946" i="1"/>
  <c r="Z946" i="1"/>
  <c r="Y946" i="1"/>
  <c r="AB945" i="1"/>
  <c r="AB961" i="1" s="1"/>
  <c r="AA945" i="1"/>
  <c r="AA961" i="1" s="1"/>
  <c r="Z945" i="1"/>
  <c r="Z961" i="1" s="1"/>
  <c r="Y945" i="1"/>
  <c r="Y961" i="1" s="1"/>
  <c r="AB944" i="1"/>
  <c r="AB968" i="1" s="1"/>
  <c r="AA944" i="1"/>
  <c r="AA968" i="1" s="1"/>
  <c r="Z944" i="1"/>
  <c r="Z968" i="1" s="1"/>
  <c r="Y944" i="1"/>
  <c r="Y968" i="1" s="1"/>
  <c r="AB943" i="1"/>
  <c r="AA943" i="1"/>
  <c r="Z943" i="1"/>
  <c r="Y943" i="1"/>
  <c r="AB942" i="1"/>
  <c r="AA942" i="1"/>
  <c r="Z942" i="1"/>
  <c r="Y942" i="1"/>
  <c r="AB941" i="1"/>
  <c r="AA941" i="1"/>
  <c r="Z941" i="1"/>
  <c r="Y941" i="1"/>
  <c r="AB938" i="1"/>
  <c r="AA938" i="1"/>
  <c r="Z938" i="1"/>
  <c r="Y938" i="1"/>
  <c r="AB937" i="1"/>
  <c r="AA937" i="1"/>
  <c r="Z937" i="1"/>
  <c r="Y937" i="1"/>
  <c r="AB936" i="1"/>
  <c r="AA936" i="1"/>
  <c r="Z936" i="1"/>
  <c r="Y936" i="1"/>
  <c r="AB935" i="1"/>
  <c r="AA935" i="1"/>
  <c r="Z935" i="1"/>
  <c r="Y935" i="1"/>
  <c r="Y934" i="1"/>
  <c r="Y910" i="1" s="1"/>
  <c r="AB931" i="1"/>
  <c r="AA931" i="1"/>
  <c r="Z931" i="1"/>
  <c r="Y931" i="1"/>
  <c r="AB930" i="1"/>
  <c r="AA930" i="1"/>
  <c r="Z930" i="1"/>
  <c r="Y930" i="1"/>
  <c r="AB929" i="1"/>
  <c r="AA929" i="1"/>
  <c r="Z929" i="1"/>
  <c r="Y929" i="1"/>
  <c r="AB928" i="1"/>
  <c r="AA928" i="1"/>
  <c r="Z928" i="1"/>
  <c r="Y928" i="1"/>
  <c r="AB927" i="1"/>
  <c r="AA927" i="1"/>
  <c r="Z927" i="1"/>
  <c r="Y927" i="1"/>
  <c r="AB926" i="1"/>
  <c r="AA926" i="1"/>
  <c r="Z926" i="1"/>
  <c r="Y926" i="1"/>
  <c r="AB923" i="1"/>
  <c r="AA923" i="1"/>
  <c r="Z923" i="1"/>
  <c r="Y923" i="1"/>
  <c r="AB922" i="1"/>
  <c r="AA922" i="1"/>
  <c r="Z922" i="1"/>
  <c r="Y922" i="1"/>
  <c r="AB921" i="1"/>
  <c r="AA921" i="1"/>
  <c r="Z921" i="1"/>
  <c r="Y921" i="1"/>
  <c r="AB920" i="1"/>
  <c r="AA920" i="1"/>
  <c r="Z920" i="1"/>
  <c r="Y920" i="1"/>
  <c r="AB919" i="1"/>
  <c r="AA919" i="1"/>
  <c r="Z919" i="1"/>
  <c r="Y919" i="1"/>
  <c r="AB918" i="1"/>
  <c r="AA918" i="1"/>
  <c r="Z918" i="1"/>
  <c r="Y918" i="1"/>
  <c r="AB917" i="1"/>
  <c r="AB899" i="1" s="1"/>
  <c r="AA917" i="1"/>
  <c r="AA899" i="1" s="1"/>
  <c r="Z917" i="1"/>
  <c r="Z899" i="1" s="1"/>
  <c r="Y917" i="1"/>
  <c r="Y899" i="1" s="1"/>
  <c r="AB914" i="1"/>
  <c r="AA914" i="1"/>
  <c r="Z914" i="1"/>
  <c r="Y914" i="1"/>
  <c r="X951" i="1"/>
  <c r="W951" i="1"/>
  <c r="V951" i="1"/>
  <c r="U951" i="1"/>
  <c r="X948" i="1"/>
  <c r="W948" i="1"/>
  <c r="V948" i="1"/>
  <c r="U948" i="1"/>
  <c r="X947" i="1"/>
  <c r="W947" i="1"/>
  <c r="V947" i="1"/>
  <c r="U947" i="1"/>
  <c r="X946" i="1"/>
  <c r="W946" i="1"/>
  <c r="V946" i="1"/>
  <c r="U946" i="1"/>
  <c r="X945" i="1"/>
  <c r="X961" i="1" s="1"/>
  <c r="W945" i="1"/>
  <c r="W961" i="1" s="1"/>
  <c r="V945" i="1"/>
  <c r="V961" i="1" s="1"/>
  <c r="U945" i="1"/>
  <c r="U961" i="1" s="1"/>
  <c r="X944" i="1"/>
  <c r="X968" i="1" s="1"/>
  <c r="W944" i="1"/>
  <c r="W968" i="1" s="1"/>
  <c r="V944" i="1"/>
  <c r="V968" i="1" s="1"/>
  <c r="U944" i="1"/>
  <c r="U968" i="1" s="1"/>
  <c r="X943" i="1"/>
  <c r="W943" i="1"/>
  <c r="V943" i="1"/>
  <c r="U943" i="1"/>
  <c r="X942" i="1"/>
  <c r="W942" i="1"/>
  <c r="V942" i="1"/>
  <c r="U942" i="1"/>
  <c r="X941" i="1"/>
  <c r="W941" i="1"/>
  <c r="V941" i="1"/>
  <c r="U941" i="1"/>
  <c r="X938" i="1"/>
  <c r="W938" i="1"/>
  <c r="V938" i="1"/>
  <c r="U938" i="1"/>
  <c r="X937" i="1"/>
  <c r="W937" i="1"/>
  <c r="V937" i="1"/>
  <c r="U937" i="1"/>
  <c r="X936" i="1"/>
  <c r="W936" i="1"/>
  <c r="V936" i="1"/>
  <c r="U936" i="1"/>
  <c r="X935" i="1"/>
  <c r="W935" i="1"/>
  <c r="V935" i="1"/>
  <c r="U935" i="1"/>
  <c r="X931" i="1"/>
  <c r="W931" i="1"/>
  <c r="V931" i="1"/>
  <c r="U931" i="1"/>
  <c r="X930" i="1"/>
  <c r="W930" i="1"/>
  <c r="V930" i="1"/>
  <c r="U930" i="1"/>
  <c r="X929" i="1"/>
  <c r="W929" i="1"/>
  <c r="V929" i="1"/>
  <c r="U929" i="1"/>
  <c r="X928" i="1"/>
  <c r="W928" i="1"/>
  <c r="V928" i="1"/>
  <c r="U928" i="1"/>
  <c r="X927" i="1"/>
  <c r="W927" i="1"/>
  <c r="V927" i="1"/>
  <c r="U927" i="1"/>
  <c r="X926" i="1"/>
  <c r="W926" i="1"/>
  <c r="V926" i="1"/>
  <c r="U926" i="1"/>
  <c r="X923" i="1"/>
  <c r="W923" i="1"/>
  <c r="V923" i="1"/>
  <c r="U923" i="1"/>
  <c r="X922" i="1"/>
  <c r="W922" i="1"/>
  <c r="V922" i="1"/>
  <c r="U922" i="1"/>
  <c r="X921" i="1"/>
  <c r="W921" i="1"/>
  <c r="V921" i="1"/>
  <c r="U921" i="1"/>
  <c r="X920" i="1"/>
  <c r="W920" i="1"/>
  <c r="V920" i="1"/>
  <c r="U920" i="1"/>
  <c r="X919" i="1"/>
  <c r="W919" i="1"/>
  <c r="V919" i="1"/>
  <c r="U919" i="1"/>
  <c r="X918" i="1"/>
  <c r="W918" i="1"/>
  <c r="V918" i="1"/>
  <c r="U918" i="1"/>
  <c r="X917" i="1"/>
  <c r="X899" i="1" s="1"/>
  <c r="W917" i="1"/>
  <c r="W899" i="1" s="1"/>
  <c r="V917" i="1"/>
  <c r="V899" i="1" s="1"/>
  <c r="U917" i="1"/>
  <c r="U899" i="1" s="1"/>
  <c r="X914" i="1"/>
  <c r="W914" i="1"/>
  <c r="V914" i="1"/>
  <c r="U914" i="1"/>
  <c r="BQ934" i="1"/>
  <c r="BQ939" i="1" s="1"/>
  <c r="BP934" i="1"/>
  <c r="U934" i="1" s="1"/>
  <c r="U910" i="1" s="1"/>
  <c r="BS934" i="1"/>
  <c r="X934" i="1" s="1"/>
  <c r="X910" i="1" s="1"/>
  <c r="BW934" i="1"/>
  <c r="BW939" i="1" s="1"/>
  <c r="BU934" i="1"/>
  <c r="BU939" i="1" s="1"/>
  <c r="BV934" i="1"/>
  <c r="BV939" i="1" s="1"/>
  <c r="BX932" i="1"/>
  <c r="BX939" i="1"/>
  <c r="BX949" i="1"/>
  <c r="BP932" i="1"/>
  <c r="BQ932" i="1"/>
  <c r="BR932" i="1"/>
  <c r="BS932" i="1"/>
  <c r="BT932" i="1"/>
  <c r="BU932" i="1"/>
  <c r="BV932" i="1"/>
  <c r="BW932" i="1"/>
  <c r="BP939" i="1"/>
  <c r="BR939" i="1"/>
  <c r="BT939" i="1"/>
  <c r="BP949" i="1"/>
  <c r="BQ949" i="1"/>
  <c r="BR949" i="1"/>
  <c r="BS949" i="1"/>
  <c r="BT949" i="1"/>
  <c r="BU949" i="1"/>
  <c r="BV949" i="1"/>
  <c r="BW949" i="1"/>
  <c r="U864" i="1"/>
  <c r="V864" i="1"/>
  <c r="W864" i="1"/>
  <c r="X864" i="1"/>
  <c r="Y864" i="1"/>
  <c r="Z864" i="1"/>
  <c r="AA864" i="1"/>
  <c r="AB864" i="1"/>
  <c r="AC864" i="1"/>
  <c r="U865" i="1"/>
  <c r="V865" i="1"/>
  <c r="W865" i="1"/>
  <c r="X865" i="1"/>
  <c r="Y865" i="1"/>
  <c r="Z865" i="1"/>
  <c r="AA865" i="1"/>
  <c r="AB865" i="1"/>
  <c r="AC865" i="1"/>
  <c r="AM744" i="1"/>
  <c r="AL744" i="1"/>
  <c r="F744" i="1"/>
  <c r="G744" i="1"/>
  <c r="H744" i="1"/>
  <c r="I744" i="1"/>
  <c r="J744" i="1"/>
  <c r="K744" i="1"/>
  <c r="L744" i="1"/>
  <c r="M744" i="1"/>
  <c r="N744" i="1"/>
  <c r="O744" i="1"/>
  <c r="P744" i="1"/>
  <c r="Q744" i="1"/>
  <c r="R744" i="1"/>
  <c r="S744" i="1"/>
  <c r="T744" i="1"/>
  <c r="U744" i="1"/>
  <c r="V744" i="1"/>
  <c r="W744" i="1"/>
  <c r="X744" i="1"/>
  <c r="Y744" i="1"/>
  <c r="Z744" i="1"/>
  <c r="AA744" i="1"/>
  <c r="AB744" i="1"/>
  <c r="AC744" i="1"/>
  <c r="E744" i="1"/>
  <c r="U748" i="1"/>
  <c r="U791" i="1" s="1"/>
  <c r="U793" i="1" s="1"/>
  <c r="U797" i="1" s="1"/>
  <c r="V748" i="1"/>
  <c r="V791" i="1" s="1"/>
  <c r="V793" i="1" s="1"/>
  <c r="V797" i="1" s="1"/>
  <c r="W748" i="1"/>
  <c r="W791" i="1" s="1"/>
  <c r="W793" i="1" s="1"/>
  <c r="W797" i="1" s="1"/>
  <c r="X748" i="1"/>
  <c r="X791" i="1" s="1"/>
  <c r="X793" i="1" s="1"/>
  <c r="X797" i="1" s="1"/>
  <c r="Y748" i="1"/>
  <c r="Y791" i="1" s="1"/>
  <c r="Y793" i="1" s="1"/>
  <c r="Y797" i="1" s="1"/>
  <c r="Z748" i="1"/>
  <c r="Z791" i="1" s="1"/>
  <c r="Z793" i="1" s="1"/>
  <c r="Z797" i="1" s="1"/>
  <c r="AA748" i="1"/>
  <c r="AA791" i="1" s="1"/>
  <c r="AA793" i="1" s="1"/>
  <c r="AA797" i="1" s="1"/>
  <c r="AB748" i="1"/>
  <c r="AB791" i="1" s="1"/>
  <c r="AB793" i="1" s="1"/>
  <c r="AB797" i="1" s="1"/>
  <c r="AC748" i="1"/>
  <c r="AC791" i="1" s="1"/>
  <c r="AC793" i="1" s="1"/>
  <c r="AC797" i="1" s="1"/>
  <c r="U777" i="1"/>
  <c r="U780" i="1" s="1"/>
  <c r="U800" i="1" s="1"/>
  <c r="U802" i="1" s="1"/>
  <c r="U807" i="1" s="1"/>
  <c r="U809" i="1" s="1"/>
  <c r="V777" i="1"/>
  <c r="V780" i="1" s="1"/>
  <c r="V800" i="1" s="1"/>
  <c r="V802" i="1" s="1"/>
  <c r="V807" i="1" s="1"/>
  <c r="V809" i="1" s="1"/>
  <c r="W777" i="1"/>
  <c r="W780" i="1" s="1"/>
  <c r="W800" i="1" s="1"/>
  <c r="W802" i="1" s="1"/>
  <c r="W807" i="1" s="1"/>
  <c r="W809" i="1" s="1"/>
  <c r="X777" i="1"/>
  <c r="X780" i="1" s="1"/>
  <c r="X800" i="1" s="1"/>
  <c r="X802" i="1" s="1"/>
  <c r="X807" i="1" s="1"/>
  <c r="X809" i="1" s="1"/>
  <c r="Y777" i="1"/>
  <c r="Y780" i="1" s="1"/>
  <c r="Y800" i="1" s="1"/>
  <c r="Y802" i="1" s="1"/>
  <c r="Y807" i="1" s="1"/>
  <c r="Y809" i="1" s="1"/>
  <c r="Z777" i="1"/>
  <c r="Z780" i="1" s="1"/>
  <c r="Z800" i="1" s="1"/>
  <c r="Z802" i="1" s="1"/>
  <c r="Z807" i="1" s="1"/>
  <c r="Z809" i="1" s="1"/>
  <c r="AA777" i="1"/>
  <c r="AA780" i="1" s="1"/>
  <c r="AA800" i="1" s="1"/>
  <c r="AA802" i="1" s="1"/>
  <c r="AA807" i="1" s="1"/>
  <c r="AA809" i="1" s="1"/>
  <c r="AB777" i="1"/>
  <c r="AC777" i="1"/>
  <c r="AC780" i="1" s="1"/>
  <c r="AC800" i="1" s="1"/>
  <c r="AC802" i="1" s="1"/>
  <c r="AC807" i="1" s="1"/>
  <c r="AC809" i="1" s="1"/>
  <c r="Z12" i="1"/>
  <c r="AA12" i="1"/>
  <c r="U12" i="1"/>
  <c r="AC24" i="1"/>
  <c r="W12" i="1"/>
  <c r="X12" i="1"/>
  <c r="Y12" i="1"/>
  <c r="AB12" i="1"/>
  <c r="U15" i="1"/>
  <c r="V15" i="1"/>
  <c r="W15" i="1"/>
  <c r="X15" i="1"/>
  <c r="Y15" i="1"/>
  <c r="Z15" i="1"/>
  <c r="AA15" i="1"/>
  <c r="AB15" i="1"/>
  <c r="W16" i="1"/>
  <c r="X16" i="1"/>
  <c r="Y16" i="1"/>
  <c r="Z16" i="1"/>
  <c r="AA16" i="1"/>
  <c r="AB16" i="1"/>
  <c r="W18" i="1"/>
  <c r="W20" i="1" s="1"/>
  <c r="X18" i="1"/>
  <c r="X20" i="1" s="1"/>
  <c r="Y18" i="1"/>
  <c r="Z18" i="1"/>
  <c r="AA18" i="1"/>
  <c r="AB18" i="1"/>
  <c r="U23" i="1"/>
  <c r="V23" i="1"/>
  <c r="W23" i="1"/>
  <c r="X23" i="1"/>
  <c r="Y23" i="1"/>
  <c r="Z23" i="1"/>
  <c r="AA23" i="1"/>
  <c r="AB23" i="1"/>
  <c r="AC23" i="1"/>
  <c r="U24" i="1"/>
  <c r="W24" i="1"/>
  <c r="X24" i="1"/>
  <c r="Y24" i="1"/>
  <c r="Z24" i="1"/>
  <c r="AA24" i="1"/>
  <c r="AB24" i="1"/>
  <c r="U27" i="1"/>
  <c r="V27" i="1"/>
  <c r="W27" i="1"/>
  <c r="X27" i="1"/>
  <c r="Y27" i="1"/>
  <c r="Z27" i="1"/>
  <c r="AA27" i="1"/>
  <c r="AB27" i="1"/>
  <c r="AC27" i="1"/>
  <c r="U28" i="1"/>
  <c r="W28" i="1"/>
  <c r="X28" i="1"/>
  <c r="Y28" i="1"/>
  <c r="Z28" i="1"/>
  <c r="AA28" i="1"/>
  <c r="AB28" i="1"/>
  <c r="AG614" i="1" l="1"/>
  <c r="AG482" i="1"/>
  <c r="AG560" i="1"/>
  <c r="AG401" i="1"/>
  <c r="AG346" i="1"/>
  <c r="N182" i="44"/>
  <c r="D91" i="44"/>
  <c r="C92" i="44"/>
  <c r="AC614" i="1"/>
  <c r="AC482" i="1"/>
  <c r="AF482" i="1"/>
  <c r="AF614" i="1"/>
  <c r="AE482" i="1"/>
  <c r="AE614" i="1"/>
  <c r="AD482" i="1"/>
  <c r="AD614" i="1"/>
  <c r="W811" i="1"/>
  <c r="V811" i="1"/>
  <c r="AC811" i="1"/>
  <c r="U811" i="1"/>
  <c r="AA811" i="1"/>
  <c r="Z811" i="1"/>
  <c r="Y811" i="1"/>
  <c r="X811" i="1"/>
  <c r="AH743" i="1"/>
  <c r="AC873" i="1"/>
  <c r="Y74" i="1"/>
  <c r="W727" i="1"/>
  <c r="AB89" i="1"/>
  <c r="AB91" i="1" s="1"/>
  <c r="AF153" i="1"/>
  <c r="AB147" i="1"/>
  <c r="AB135" i="11" s="1"/>
  <c r="AF146" i="1"/>
  <c r="AA89" i="1"/>
  <c r="AA90" i="1" s="1"/>
  <c r="AE153" i="1"/>
  <c r="AA85" i="1"/>
  <c r="AA86" i="1" s="1"/>
  <c r="AE146" i="1"/>
  <c r="AF139" i="1"/>
  <c r="Z85" i="1"/>
  <c r="Z87" i="1" s="1"/>
  <c r="AD146" i="1"/>
  <c r="AE139" i="1"/>
  <c r="AD139" i="1"/>
  <c r="Q74" i="1"/>
  <c r="AC875" i="1"/>
  <c r="AC172" i="11" s="1"/>
  <c r="AA34" i="1"/>
  <c r="AE35" i="1" s="1"/>
  <c r="AE19" i="1"/>
  <c r="AB20" i="1"/>
  <c r="AF19" i="1"/>
  <c r="Z34" i="1"/>
  <c r="AD35" i="1" s="1"/>
  <c r="AD19" i="1"/>
  <c r="AV280" i="1"/>
  <c r="AI464" i="1"/>
  <c r="AH383" i="1"/>
  <c r="AV447" i="1"/>
  <c r="AV367" i="1"/>
  <c r="AV264" i="1"/>
  <c r="AW969" i="1"/>
  <c r="AW526" i="1"/>
  <c r="AW446" i="1"/>
  <c r="AW263" i="1"/>
  <c r="AJ464" i="1"/>
  <c r="AW264" i="1"/>
  <c r="AH464" i="1"/>
  <c r="AV969" i="1"/>
  <c r="AV526" i="1"/>
  <c r="AV446" i="1"/>
  <c r="AV263" i="1"/>
  <c r="AW876" i="1"/>
  <c r="AW147" i="1"/>
  <c r="AW449" i="1"/>
  <c r="AW266" i="1"/>
  <c r="AJ281" i="1"/>
  <c r="AV876" i="1"/>
  <c r="AV147" i="1"/>
  <c r="AV449" i="1"/>
  <c r="AV266" i="1"/>
  <c r="AW855" i="1"/>
  <c r="AW541" i="1"/>
  <c r="AX542" i="1" s="1"/>
  <c r="AW366" i="1"/>
  <c r="AJ542" i="1"/>
  <c r="AI281" i="1"/>
  <c r="AV855" i="1"/>
  <c r="AV541" i="1"/>
  <c r="AV366" i="1"/>
  <c r="AW848" i="1"/>
  <c r="AW525" i="1"/>
  <c r="AW382" i="1"/>
  <c r="AX383" i="1" s="1"/>
  <c r="AW365" i="1"/>
  <c r="AI542" i="1"/>
  <c r="AH281" i="1"/>
  <c r="AV848" i="1"/>
  <c r="AV525" i="1"/>
  <c r="AV382" i="1"/>
  <c r="AV365" i="1"/>
  <c r="AW140" i="1"/>
  <c r="AW448" i="1"/>
  <c r="AW265" i="1"/>
  <c r="AV154" i="1"/>
  <c r="AW367" i="1"/>
  <c r="AH542" i="1"/>
  <c r="AV140" i="1"/>
  <c r="AV448" i="1"/>
  <c r="AV265" i="1"/>
  <c r="AW850" i="1"/>
  <c r="AW527" i="1"/>
  <c r="AW368" i="1"/>
  <c r="AV47" i="1"/>
  <c r="AW447" i="1"/>
  <c r="AJ383" i="1"/>
  <c r="AV850" i="1"/>
  <c r="AV527" i="1"/>
  <c r="AV368" i="1"/>
  <c r="AW154" i="1"/>
  <c r="AW47" i="1"/>
  <c r="AX464" i="1"/>
  <c r="AW280" i="1"/>
  <c r="AX281" i="1" s="1"/>
  <c r="AC147" i="1"/>
  <c r="AC135" i="11" s="1"/>
  <c r="AC140" i="1"/>
  <c r="AC130" i="11" s="1"/>
  <c r="Z28" i="21"/>
  <c r="Z346" i="1"/>
  <c r="Z902" i="1" s="1"/>
  <c r="U614" i="1"/>
  <c r="U906" i="1" s="1"/>
  <c r="AB74" i="1"/>
  <c r="T74" i="1"/>
  <c r="V74" i="1"/>
  <c r="X19" i="2"/>
  <c r="AB197" i="2"/>
  <c r="AB82" i="2"/>
  <c r="AA614" i="1"/>
  <c r="AA906" i="1" s="1"/>
  <c r="Z733" i="1"/>
  <c r="U866" i="1"/>
  <c r="U868" i="1" s="1"/>
  <c r="AB614" i="1"/>
  <c r="AB906" i="1" s="1"/>
  <c r="AA732" i="1"/>
  <c r="AB780" i="1"/>
  <c r="AB800" i="1" s="1"/>
  <c r="AB802" i="1" s="1"/>
  <c r="AB807" i="1" s="1"/>
  <c r="AB809" i="1" s="1"/>
  <c r="V614" i="1"/>
  <c r="V906" i="1" s="1"/>
  <c r="W87" i="1"/>
  <c r="AA74" i="1"/>
  <c r="W74" i="1"/>
  <c r="U730" i="1"/>
  <c r="AS888" i="1"/>
  <c r="AC727" i="1"/>
  <c r="W614" i="1"/>
  <c r="W906" i="1" s="1"/>
  <c r="AB873" i="1"/>
  <c r="X560" i="1"/>
  <c r="X905" i="1" s="1"/>
  <c r="AB634" i="1"/>
  <c r="Y614" i="1"/>
  <c r="U727" i="1"/>
  <c r="X146" i="2"/>
  <c r="AB19" i="2"/>
  <c r="X614" i="1"/>
  <c r="X906" i="1" s="1"/>
  <c r="AA31" i="21"/>
  <c r="Y346" i="1"/>
  <c r="Y401" i="1"/>
  <c r="Y482" i="1"/>
  <c r="Y560" i="1"/>
  <c r="Y733" i="1"/>
  <c r="Z732" i="1"/>
  <c r="AA731" i="1"/>
  <c r="AB730" i="1"/>
  <c r="AB346" i="1"/>
  <c r="AB902" i="1" s="1"/>
  <c r="Z401" i="1"/>
  <c r="Z903" i="1" s="1"/>
  <c r="Z482" i="1"/>
  <c r="Z904" i="1" s="1"/>
  <c r="Z560" i="1"/>
  <c r="Z905" i="1" s="1"/>
  <c r="Z614" i="1"/>
  <c r="Z906" i="1" s="1"/>
  <c r="X733" i="1"/>
  <c r="Y732" i="1"/>
  <c r="Z731" i="1"/>
  <c r="AA730" i="1"/>
  <c r="X401" i="1"/>
  <c r="X903" i="1" s="1"/>
  <c r="AB731" i="1"/>
  <c r="Z29" i="21"/>
  <c r="AA346" i="1"/>
  <c r="AA902" i="1" s="1"/>
  <c r="AA401" i="1"/>
  <c r="AA903" i="1" s="1"/>
  <c r="AA482" i="1"/>
  <c r="AA904" i="1" s="1"/>
  <c r="AA560" i="1"/>
  <c r="AA905" i="1" s="1"/>
  <c r="W733" i="1"/>
  <c r="X732" i="1"/>
  <c r="Y731" i="1"/>
  <c r="Z730" i="1"/>
  <c r="AB401" i="1"/>
  <c r="AB903" i="1" s="1"/>
  <c r="AB482" i="1"/>
  <c r="AB904" i="1" s="1"/>
  <c r="AB560" i="1"/>
  <c r="AB905" i="1" s="1"/>
  <c r="V733" i="1"/>
  <c r="W732" i="1"/>
  <c r="X731" i="1"/>
  <c r="Y730" i="1"/>
  <c r="X482" i="1"/>
  <c r="X904" i="1" s="1"/>
  <c r="U346" i="1"/>
  <c r="U902" i="1" s="1"/>
  <c r="U401" i="1"/>
  <c r="U903" i="1" s="1"/>
  <c r="U482" i="1"/>
  <c r="U904" i="1" s="1"/>
  <c r="U560" i="1"/>
  <c r="U905" i="1" s="1"/>
  <c r="AC733" i="1"/>
  <c r="U733" i="1"/>
  <c r="V732" i="1"/>
  <c r="W731" i="1"/>
  <c r="X730" i="1"/>
  <c r="V346" i="1"/>
  <c r="V902" i="1" s="1"/>
  <c r="Y29" i="21"/>
  <c r="X346" i="1"/>
  <c r="X902" i="1" s="1"/>
  <c r="V401" i="1"/>
  <c r="V903" i="1" s="1"/>
  <c r="V482" i="1"/>
  <c r="V904" i="1" s="1"/>
  <c r="V560" i="1"/>
  <c r="V905" i="1" s="1"/>
  <c r="AB733" i="1"/>
  <c r="AC732" i="1"/>
  <c r="U732" i="1"/>
  <c r="V731" i="1"/>
  <c r="Z866" i="1"/>
  <c r="Z868" i="1" s="1"/>
  <c r="AC634" i="1"/>
  <c r="W346" i="1"/>
  <c r="W902" i="1" s="1"/>
  <c r="W401" i="1"/>
  <c r="W903" i="1" s="1"/>
  <c r="W482" i="1"/>
  <c r="W904" i="1" s="1"/>
  <c r="W560" i="1"/>
  <c r="W905" i="1" s="1"/>
  <c r="AA733" i="1"/>
  <c r="AB732" i="1"/>
  <c r="AC731" i="1"/>
  <c r="V730" i="1"/>
  <c r="Y28" i="21"/>
  <c r="Z31" i="21"/>
  <c r="Z634" i="1"/>
  <c r="Z27" i="21"/>
  <c r="Z30" i="21"/>
  <c r="Z15" i="21"/>
  <c r="AD24" i="21" s="1"/>
  <c r="Y15" i="21"/>
  <c r="Y30" i="21"/>
  <c r="Y634" i="1"/>
  <c r="AA634" i="1"/>
  <c r="AB27" i="21"/>
  <c r="AG24" i="21"/>
  <c r="AB28" i="21"/>
  <c r="AA27" i="21"/>
  <c r="AB15" i="21"/>
  <c r="AF24" i="21" s="1"/>
  <c r="AB29" i="21"/>
  <c r="AA28" i="21"/>
  <c r="AA15" i="21"/>
  <c r="AE24" i="21" s="1"/>
  <c r="AB30" i="21"/>
  <c r="AA29" i="21"/>
  <c r="AB31" i="21"/>
  <c r="AA30" i="21"/>
  <c r="Y27" i="21"/>
  <c r="Y31" i="21"/>
  <c r="Z89" i="1"/>
  <c r="Z90" i="1" s="1"/>
  <c r="Z154" i="1"/>
  <c r="Z140" i="11" s="1"/>
  <c r="V91" i="1"/>
  <c r="X140" i="1"/>
  <c r="X130" i="11" s="1"/>
  <c r="X76" i="1"/>
  <c r="AC154" i="1"/>
  <c r="AC140" i="11" s="1"/>
  <c r="AC89" i="1"/>
  <c r="AG90" i="1" s="1"/>
  <c r="V87" i="1"/>
  <c r="W91" i="1"/>
  <c r="U76" i="1"/>
  <c r="U78" i="1" s="1"/>
  <c r="W866" i="1"/>
  <c r="W868" i="1" s="1"/>
  <c r="AA76" i="1"/>
  <c r="AA78" i="1" s="1"/>
  <c r="Z76" i="1"/>
  <c r="Z80" i="1" s="1"/>
  <c r="Z82" i="1" s="1"/>
  <c r="S74" i="1"/>
  <c r="X87" i="1"/>
  <c r="AC85" i="1"/>
  <c r="AG86" i="1" s="1"/>
  <c r="Y76" i="1"/>
  <c r="Y80" i="1" s="1"/>
  <c r="Y89" i="1"/>
  <c r="Y90" i="1" s="1"/>
  <c r="AB85" i="1"/>
  <c r="AB86" i="1" s="1"/>
  <c r="AB76" i="1"/>
  <c r="AB80" i="1" s="1"/>
  <c r="X89" i="1"/>
  <c r="W76" i="1"/>
  <c r="V76" i="1"/>
  <c r="Y85" i="1"/>
  <c r="Y86" i="1" s="1"/>
  <c r="AC76" i="1"/>
  <c r="AG77" i="1" s="1"/>
  <c r="AC74" i="1"/>
  <c r="U74" i="1"/>
  <c r="U91" i="1"/>
  <c r="Z74" i="1"/>
  <c r="R74" i="1"/>
  <c r="X74" i="1"/>
  <c r="U87" i="1"/>
  <c r="U147" i="1"/>
  <c r="U135" i="11" s="1"/>
  <c r="AC153" i="1"/>
  <c r="AA949" i="1"/>
  <c r="U939" i="1"/>
  <c r="Z153" i="1"/>
  <c r="AC866" i="1"/>
  <c r="AB932" i="1"/>
  <c r="AB909" i="1" s="1"/>
  <c r="U895" i="1"/>
  <c r="U154" i="1"/>
  <c r="U140" i="11" s="1"/>
  <c r="Y140" i="1"/>
  <c r="Y130" i="11" s="1"/>
  <c r="AA139" i="1"/>
  <c r="Z139" i="1"/>
  <c r="Y146" i="1"/>
  <c r="V147" i="1"/>
  <c r="V135" i="11" s="1"/>
  <c r="U140" i="1"/>
  <c r="U130" i="11" s="1"/>
  <c r="U852" i="1"/>
  <c r="U853" i="1" s="1"/>
  <c r="Y866" i="1"/>
  <c r="Y868" i="1" s="1"/>
  <c r="Z140" i="1"/>
  <c r="Z130" i="11" s="1"/>
  <c r="X866" i="1"/>
  <c r="X868" i="1" s="1"/>
  <c r="Z932" i="1"/>
  <c r="Z909" i="1" s="1"/>
  <c r="Y939" i="1"/>
  <c r="Z146" i="1"/>
  <c r="V934" i="1"/>
  <c r="U875" i="1"/>
  <c r="U172" i="11" s="1"/>
  <c r="Y852" i="1"/>
  <c r="Y853" i="1" s="1"/>
  <c r="AA153" i="1"/>
  <c r="AC139" i="1"/>
  <c r="W934" i="1"/>
  <c r="W852" i="1"/>
  <c r="W853" i="1" s="1"/>
  <c r="AA866" i="1"/>
  <c r="AA868" i="1" s="1"/>
  <c r="AB866" i="1"/>
  <c r="AB868" i="1" s="1"/>
  <c r="V852" i="1"/>
  <c r="V853" i="1" s="1"/>
  <c r="BS939" i="1"/>
  <c r="BS952" i="1" s="1"/>
  <c r="AB139" i="1"/>
  <c r="AB140" i="1"/>
  <c r="AB130" i="11" s="1"/>
  <c r="AB153" i="1"/>
  <c r="AB154" i="1"/>
  <c r="AB140" i="11" s="1"/>
  <c r="AA146" i="1"/>
  <c r="AA147" i="1"/>
  <c r="AA135" i="11" s="1"/>
  <c r="X147" i="1"/>
  <c r="X135" i="11" s="1"/>
  <c r="AB146" i="1"/>
  <c r="W140" i="1"/>
  <c r="W130" i="11" s="1"/>
  <c r="W154" i="1"/>
  <c r="W140" i="11" s="1"/>
  <c r="Y153" i="1"/>
  <c r="AC146" i="1"/>
  <c r="Y139" i="1"/>
  <c r="V154" i="1"/>
  <c r="V140" i="11" s="1"/>
  <c r="Z147" i="1"/>
  <c r="Z135" i="11" s="1"/>
  <c r="V140" i="1"/>
  <c r="V130" i="11" s="1"/>
  <c r="AA154" i="1"/>
  <c r="AA140" i="11" s="1"/>
  <c r="W147" i="1"/>
  <c r="W135" i="11" s="1"/>
  <c r="AA140" i="1"/>
  <c r="AA130" i="11" s="1"/>
  <c r="X852" i="1"/>
  <c r="X853" i="1" s="1"/>
  <c r="X875" i="1"/>
  <c r="X172" i="11" s="1"/>
  <c r="U932" i="1"/>
  <c r="V932" i="1"/>
  <c r="V909" i="1" s="1"/>
  <c r="Y932" i="1"/>
  <c r="AB949" i="1"/>
  <c r="V866" i="1"/>
  <c r="V868" i="1" s="1"/>
  <c r="X932" i="1"/>
  <c r="AA932" i="1"/>
  <c r="AA909" i="1" s="1"/>
  <c r="Z934" i="1"/>
  <c r="U949" i="1"/>
  <c r="AA934" i="1"/>
  <c r="AA910" i="1" s="1"/>
  <c r="W932" i="1"/>
  <c r="W909" i="1" s="1"/>
  <c r="V949" i="1"/>
  <c r="AB934" i="1"/>
  <c r="AC939" i="1"/>
  <c r="Y875" i="1"/>
  <c r="Y172" i="11" s="1"/>
  <c r="W949" i="1"/>
  <c r="Y949" i="1"/>
  <c r="AC932" i="1"/>
  <c r="AC933" i="1" s="1"/>
  <c r="AC949" i="1"/>
  <c r="AB852" i="1"/>
  <c r="AB853" i="1" s="1"/>
  <c r="X939" i="1"/>
  <c r="X949" i="1"/>
  <c r="Z949" i="1"/>
  <c r="AA852" i="1"/>
  <c r="AA853" i="1" s="1"/>
  <c r="Z852" i="1"/>
  <c r="Z853" i="1" s="1"/>
  <c r="BQ952" i="1"/>
  <c r="BP952" i="1"/>
  <c r="BW952" i="1"/>
  <c r="BU952" i="1"/>
  <c r="BR952" i="1"/>
  <c r="BV952" i="1"/>
  <c r="BT952" i="1"/>
  <c r="BX952" i="1"/>
  <c r="BX955" i="1" s="1"/>
  <c r="Y753" i="1"/>
  <c r="Y635" i="1" s="1"/>
  <c r="AB753" i="1"/>
  <c r="AB635" i="1" s="1"/>
  <c r="U753" i="1"/>
  <c r="U635" i="1" s="1"/>
  <c r="AC753" i="1"/>
  <c r="AC635" i="1" s="1"/>
  <c r="X34" i="1"/>
  <c r="X36" i="1" s="1"/>
  <c r="AC28" i="1"/>
  <c r="X753" i="1"/>
  <c r="X635" i="1" s="1"/>
  <c r="Z753" i="1"/>
  <c r="Z635" i="1" s="1"/>
  <c r="V753" i="1"/>
  <c r="V635" i="1" s="1"/>
  <c r="AA753" i="1"/>
  <c r="AA635" i="1" s="1"/>
  <c r="W753" i="1"/>
  <c r="W635" i="1" s="1"/>
  <c r="AB34" i="1"/>
  <c r="AA20" i="1"/>
  <c r="AB19" i="1"/>
  <c r="Z20" i="1"/>
  <c r="AA19" i="1"/>
  <c r="W34" i="1"/>
  <c r="W36" i="1" s="1"/>
  <c r="V12" i="1"/>
  <c r="V16" i="1"/>
  <c r="V24" i="1"/>
  <c r="V18" i="1"/>
  <c r="V28" i="1"/>
  <c r="AC12" i="1"/>
  <c r="U18" i="1"/>
  <c r="Y19" i="1" s="1"/>
  <c r="U16" i="1"/>
  <c r="Y34" i="1"/>
  <c r="Y20" i="1"/>
  <c r="AS441" i="1"/>
  <c r="U609" i="1"/>
  <c r="U39" i="21" s="1"/>
  <c r="AB518" i="1"/>
  <c r="AB519" i="1"/>
  <c r="AB517" i="1"/>
  <c r="AS520" i="1"/>
  <c r="X518" i="1"/>
  <c r="X519" i="1"/>
  <c r="X517" i="1"/>
  <c r="U539" i="1"/>
  <c r="U38" i="21" s="1"/>
  <c r="U525" i="1"/>
  <c r="U96" i="11" s="1"/>
  <c r="U526" i="1"/>
  <c r="U101" i="11" s="1"/>
  <c r="U527" i="1"/>
  <c r="U106" i="11" s="1"/>
  <c r="U520" i="1"/>
  <c r="U528" i="1" s="1"/>
  <c r="AB438" i="1"/>
  <c r="AB439" i="1"/>
  <c r="AB440" i="1"/>
  <c r="X437" i="1"/>
  <c r="U461" i="1"/>
  <c r="U37" i="21" s="1"/>
  <c r="V461" i="1"/>
  <c r="V37" i="21" s="1"/>
  <c r="W461" i="1"/>
  <c r="W37" i="21" s="1"/>
  <c r="X461" i="1"/>
  <c r="X37" i="21" s="1"/>
  <c r="V447" i="1"/>
  <c r="V74" i="11" s="1"/>
  <c r="U447" i="1"/>
  <c r="U74" i="11" s="1"/>
  <c r="U448" i="1"/>
  <c r="U79" i="11" s="1"/>
  <c r="U449" i="1"/>
  <c r="U84" i="11" s="1"/>
  <c r="AB358" i="1"/>
  <c r="AB367" i="1" s="1"/>
  <c r="AB359" i="1"/>
  <c r="AB368" i="1" s="1"/>
  <c r="AB357" i="1"/>
  <c r="AB366" i="1" s="1"/>
  <c r="X358" i="1"/>
  <c r="X367" i="1" s="1"/>
  <c r="X359" i="1"/>
  <c r="X368" i="1" s="1"/>
  <c r="X357" i="1"/>
  <c r="X366" i="1" s="1"/>
  <c r="U380" i="1"/>
  <c r="U36" i="21" s="1"/>
  <c r="Y270" i="1"/>
  <c r="Y271" i="1"/>
  <c r="Y264" i="1"/>
  <c r="Y20" i="11" s="1"/>
  <c r="Y265" i="1"/>
  <c r="Y25" i="11" s="1"/>
  <c r="Y266" i="1"/>
  <c r="Y30" i="11" s="1"/>
  <c r="X264" i="1"/>
  <c r="X20" i="11" s="1"/>
  <c r="X265" i="1"/>
  <c r="X25" i="11" s="1"/>
  <c r="X266" i="1"/>
  <c r="X30" i="11" s="1"/>
  <c r="W278" i="1"/>
  <c r="V278" i="1"/>
  <c r="V35" i="21" s="1"/>
  <c r="W264" i="1"/>
  <c r="W20" i="11" s="1"/>
  <c r="W265" i="1"/>
  <c r="W25" i="11" s="1"/>
  <c r="W266" i="1"/>
  <c r="W30" i="11" s="1"/>
  <c r="V264" i="1"/>
  <c r="V20" i="11" s="1"/>
  <c r="V265" i="1"/>
  <c r="V25" i="11" s="1"/>
  <c r="V266" i="1"/>
  <c r="V30" i="11" s="1"/>
  <c r="U278" i="1"/>
  <c r="U35" i="21" s="1"/>
  <c r="U264" i="1"/>
  <c r="U20" i="11" s="1"/>
  <c r="U265" i="1"/>
  <c r="U25" i="11" s="1"/>
  <c r="U266" i="1"/>
  <c r="U30" i="11" s="1"/>
  <c r="Z173" i="1"/>
  <c r="AA173" i="1"/>
  <c r="AB173" i="1"/>
  <c r="AC173" i="1"/>
  <c r="Z175" i="1"/>
  <c r="Z196" i="1" s="1"/>
  <c r="AA175" i="1"/>
  <c r="AA196" i="1" s="1"/>
  <c r="AB175" i="1"/>
  <c r="AB196" i="1" s="1"/>
  <c r="AC175" i="1"/>
  <c r="AC196" i="1" s="1"/>
  <c r="Z177" i="1"/>
  <c r="Z200" i="1" s="1"/>
  <c r="AA177" i="1"/>
  <c r="AA200" i="1" s="1"/>
  <c r="AB177" i="1"/>
  <c r="AB200" i="1" s="1"/>
  <c r="AC177" i="1"/>
  <c r="AC200" i="1" s="1"/>
  <c r="Z178" i="1"/>
  <c r="Z198" i="1" s="1"/>
  <c r="AA178" i="1"/>
  <c r="AA198" i="1" s="1"/>
  <c r="AB178" i="1"/>
  <c r="AB198" i="1" s="1"/>
  <c r="AC178" i="1"/>
  <c r="AC198" i="1" s="1"/>
  <c r="Z181" i="1"/>
  <c r="Z197" i="1" s="1"/>
  <c r="AA181" i="1"/>
  <c r="AA197" i="1" s="1"/>
  <c r="AB181" i="1"/>
  <c r="AB197" i="1" s="1"/>
  <c r="AC181" i="1"/>
  <c r="AC197" i="1" s="1"/>
  <c r="Z182" i="1"/>
  <c r="Z202" i="1" s="1"/>
  <c r="AA182" i="1"/>
  <c r="AA202" i="1" s="1"/>
  <c r="AB182" i="1"/>
  <c r="AB202" i="1" s="1"/>
  <c r="AC182" i="1"/>
  <c r="AC202" i="1" s="1"/>
  <c r="Z183" i="1"/>
  <c r="AA183" i="1"/>
  <c r="AB183" i="1"/>
  <c r="AC183" i="1"/>
  <c r="Z203" i="1"/>
  <c r="AA203" i="1"/>
  <c r="AB203" i="1"/>
  <c r="AC203" i="1"/>
  <c r="Z174" i="1"/>
  <c r="Z195" i="1" s="1"/>
  <c r="AA174" i="1"/>
  <c r="AA195" i="1" s="1"/>
  <c r="AB174" i="1"/>
  <c r="AB195" i="1" s="1"/>
  <c r="AC174" i="1"/>
  <c r="AC195" i="1" s="1"/>
  <c r="Z983" i="1"/>
  <c r="AA983" i="1"/>
  <c r="AB983" i="1"/>
  <c r="AC983" i="1"/>
  <c r="Y173" i="1"/>
  <c r="Y175" i="1"/>
  <c r="Y196" i="1" s="1"/>
  <c r="Y177" i="1"/>
  <c r="Y200" i="1" s="1"/>
  <c r="Y178" i="1"/>
  <c r="Y198" i="1" s="1"/>
  <c r="Y181" i="1"/>
  <c r="Y197" i="1" s="1"/>
  <c r="Y182" i="1"/>
  <c r="Y202" i="1" s="1"/>
  <c r="Y183" i="1"/>
  <c r="Y203" i="1"/>
  <c r="Y174" i="1"/>
  <c r="Y195" i="1" s="1"/>
  <c r="Y983" i="1"/>
  <c r="U909" i="1" l="1"/>
  <c r="U911" i="1" s="1"/>
  <c r="U933" i="1"/>
  <c r="AG902" i="1"/>
  <c r="AG283" i="1"/>
  <c r="AG285" i="1" s="1"/>
  <c r="AG903" i="1"/>
  <c r="AG404" i="1"/>
  <c r="AG563" i="1"/>
  <c r="AG905" i="1"/>
  <c r="AG904" i="1"/>
  <c r="AG485" i="1"/>
  <c r="Y933" i="1"/>
  <c r="AG906" i="1"/>
  <c r="AG637" i="1"/>
  <c r="AG638" i="1" s="1"/>
  <c r="AG617" i="1"/>
  <c r="N183" i="44"/>
  <c r="D92" i="44"/>
  <c r="C93" i="44"/>
  <c r="AW66" i="1"/>
  <c r="AW970" i="1"/>
  <c r="AX970" i="1"/>
  <c r="AV66" i="1"/>
  <c r="Y16" i="21"/>
  <c r="AC24" i="21"/>
  <c r="AB811" i="1"/>
  <c r="AI743" i="1"/>
  <c r="AA91" i="1"/>
  <c r="Z86" i="1"/>
  <c r="AA911" i="1"/>
  <c r="AB939" i="1"/>
  <c r="AB952" i="1" s="1"/>
  <c r="AB910" i="1"/>
  <c r="AB911" i="1" s="1"/>
  <c r="V875" i="1"/>
  <c r="V172" i="11" s="1"/>
  <c r="V910" i="1"/>
  <c r="V911" i="1" s="1"/>
  <c r="Z939" i="1"/>
  <c r="Z952" i="1" s="1"/>
  <c r="Z910" i="1"/>
  <c r="Z911" i="1" s="1"/>
  <c r="Y124" i="1"/>
  <c r="Y128" i="1" s="1"/>
  <c r="Y909" i="1"/>
  <c r="Y911" i="1" s="1"/>
  <c r="AC124" i="1"/>
  <c r="AG125" i="1" s="1"/>
  <c r="AC909" i="1"/>
  <c r="AC911" i="1" s="1"/>
  <c r="X124" i="1"/>
  <c r="X128" i="1" s="1"/>
  <c r="X909" i="1"/>
  <c r="X911" i="1" s="1"/>
  <c r="W875" i="1"/>
  <c r="W172" i="11" s="1"/>
  <c r="W910" i="1"/>
  <c r="W911" i="1" s="1"/>
  <c r="AB90" i="1"/>
  <c r="Z43" i="1"/>
  <c r="AD44" i="1" s="1"/>
  <c r="AA43" i="1"/>
  <c r="AE44" i="1" s="1"/>
  <c r="AW852" i="1"/>
  <c r="AW853" i="1" s="1"/>
  <c r="AV852" i="1"/>
  <c r="AV853" i="1" s="1"/>
  <c r="AA36" i="1"/>
  <c r="Z36" i="1"/>
  <c r="AA87" i="1"/>
  <c r="AW267" i="1"/>
  <c r="AW528" i="1"/>
  <c r="AC868" i="1"/>
  <c r="AV267" i="1"/>
  <c r="AV450" i="1"/>
  <c r="AV369" i="1"/>
  <c r="AW450" i="1"/>
  <c r="AW542" i="1"/>
  <c r="Z78" i="1"/>
  <c r="AB78" i="1"/>
  <c r="AW464" i="1"/>
  <c r="AW281" i="1"/>
  <c r="V124" i="1"/>
  <c r="V128" i="1" s="1"/>
  <c r="AW369" i="1"/>
  <c r="AW383" i="1"/>
  <c r="AV528" i="1"/>
  <c r="AC78" i="1"/>
  <c r="AB43" i="1"/>
  <c r="AB47" i="1" s="1"/>
  <c r="AB123" i="11" s="1"/>
  <c r="AF35" i="1"/>
  <c r="AC91" i="1"/>
  <c r="AC87" i="1"/>
  <c r="AE93" i="1"/>
  <c r="W124" i="1"/>
  <c r="W128" i="1" s="1"/>
  <c r="Z907" i="1"/>
  <c r="U734" i="1"/>
  <c r="X734" i="1"/>
  <c r="AA80" i="1"/>
  <c r="AA96" i="1" s="1"/>
  <c r="W734" i="1"/>
  <c r="Y903" i="1"/>
  <c r="Y902" i="1"/>
  <c r="U907" i="1"/>
  <c r="Y734" i="1"/>
  <c r="AB87" i="1"/>
  <c r="Y91" i="1"/>
  <c r="V734" i="1"/>
  <c r="Y905" i="1"/>
  <c r="Y906" i="1"/>
  <c r="AC734" i="1"/>
  <c r="Y904" i="1"/>
  <c r="U382" i="1"/>
  <c r="U62" i="11" s="1"/>
  <c r="W907" i="1"/>
  <c r="AA907" i="1"/>
  <c r="X907" i="1"/>
  <c r="Z734" i="1"/>
  <c r="AA734" i="1"/>
  <c r="AB907" i="1"/>
  <c r="U280" i="1"/>
  <c r="U35" i="11" s="1"/>
  <c r="U40" i="21"/>
  <c r="W280" i="1"/>
  <c r="W35" i="11" s="1"/>
  <c r="W35" i="21"/>
  <c r="AC90" i="1"/>
  <c r="X91" i="1"/>
  <c r="V907" i="1"/>
  <c r="AB734" i="1"/>
  <c r="Z32" i="21"/>
  <c r="Z16" i="21"/>
  <c r="AA32" i="21"/>
  <c r="AB32" i="21"/>
  <c r="AB16" i="21"/>
  <c r="AA16" i="21"/>
  <c r="Y32" i="21"/>
  <c r="U80" i="1"/>
  <c r="Y96" i="1"/>
  <c r="Y82" i="1"/>
  <c r="U952" i="1"/>
  <c r="U124" i="1"/>
  <c r="AC77" i="1"/>
  <c r="AC80" i="1"/>
  <c r="AG81" i="1" s="1"/>
  <c r="AA124" i="1"/>
  <c r="AC86" i="1"/>
  <c r="Y87" i="1"/>
  <c r="AB77" i="1"/>
  <c r="X78" i="1"/>
  <c r="X80" i="1"/>
  <c r="AB81" i="1" s="1"/>
  <c r="Z91" i="1"/>
  <c r="Z77" i="1"/>
  <c r="V80" i="1"/>
  <c r="V78" i="1"/>
  <c r="Z96" i="1"/>
  <c r="Z98" i="1" s="1"/>
  <c r="AA77" i="1"/>
  <c r="Z124" i="1"/>
  <c r="AB124" i="1"/>
  <c r="W80" i="1"/>
  <c r="W78" i="1"/>
  <c r="Y78" i="1"/>
  <c r="Y77" i="1"/>
  <c r="AB96" i="1"/>
  <c r="AB82" i="1"/>
  <c r="V939" i="1"/>
  <c r="V952" i="1" s="1"/>
  <c r="W939" i="1"/>
  <c r="W952" i="1" s="1"/>
  <c r="X952" i="1"/>
  <c r="Y952" i="1"/>
  <c r="AA939" i="1"/>
  <c r="AA952" i="1" s="1"/>
  <c r="AA875" i="1"/>
  <c r="AA172" i="11" s="1"/>
  <c r="AB875" i="1"/>
  <c r="AB172" i="11" s="1"/>
  <c r="Z875" i="1"/>
  <c r="Z172" i="11" s="1"/>
  <c r="AC952" i="1"/>
  <c r="X43" i="1"/>
  <c r="X50" i="1" s="1"/>
  <c r="AB35" i="1"/>
  <c r="AB36" i="1"/>
  <c r="AA35" i="1"/>
  <c r="W43" i="1"/>
  <c r="V34" i="1"/>
  <c r="Z19" i="1"/>
  <c r="V20" i="1"/>
  <c r="U20" i="1"/>
  <c r="U34" i="1"/>
  <c r="Y36" i="1"/>
  <c r="Y43" i="1"/>
  <c r="AB520" i="1"/>
  <c r="X520" i="1"/>
  <c r="AC996" i="1"/>
  <c r="AG643" i="1" l="1"/>
  <c r="AG644" i="1" s="1"/>
  <c r="AG565" i="1"/>
  <c r="AG406" i="1"/>
  <c r="AG907" i="1"/>
  <c r="AG487" i="1"/>
  <c r="N184" i="44"/>
  <c r="D93" i="44"/>
  <c r="C94" i="44"/>
  <c r="AJ743" i="1"/>
  <c r="AC96" i="1"/>
  <c r="AG97" i="1" s="1"/>
  <c r="AC125" i="1"/>
  <c r="Y125" i="1"/>
  <c r="AC128" i="1"/>
  <c r="Z47" i="1"/>
  <c r="Z123" i="11" s="1"/>
  <c r="Z50" i="1"/>
  <c r="AD51" i="1" s="1"/>
  <c r="AA47" i="1"/>
  <c r="AA123" i="11" s="1"/>
  <c r="AA50" i="1"/>
  <c r="AE51" i="1" s="1"/>
  <c r="AB50" i="1"/>
  <c r="AB51" i="1" s="1"/>
  <c r="AF44" i="1"/>
  <c r="AF93" i="1"/>
  <c r="AA81" i="1"/>
  <c r="Y907" i="1"/>
  <c r="AA82" i="1"/>
  <c r="Z103" i="1"/>
  <c r="AA128" i="1"/>
  <c r="AA125" i="1"/>
  <c r="Y103" i="1"/>
  <c r="Y98" i="1"/>
  <c r="U96" i="1"/>
  <c r="U42" i="21" s="1"/>
  <c r="U82" i="1"/>
  <c r="Y81" i="1"/>
  <c r="U128" i="1"/>
  <c r="W96" i="1"/>
  <c r="W82" i="1"/>
  <c r="V82" i="1"/>
  <c r="Z83" i="1" s="1"/>
  <c r="Z81" i="1"/>
  <c r="V96" i="1"/>
  <c r="X96" i="1"/>
  <c r="X82" i="1"/>
  <c r="AC82" i="1"/>
  <c r="AG83" i="1" s="1"/>
  <c r="AC81" i="1"/>
  <c r="Z128" i="1"/>
  <c r="Z125" i="1"/>
  <c r="AB125" i="1"/>
  <c r="AB128" i="1"/>
  <c r="AB98" i="1"/>
  <c r="AB103" i="1"/>
  <c r="AA98" i="1"/>
  <c r="AA103" i="1"/>
  <c r="X47" i="1"/>
  <c r="X123" i="11" s="1"/>
  <c r="AB44" i="1"/>
  <c r="X55" i="1"/>
  <c r="X814" i="1" s="1"/>
  <c r="X817" i="1" s="1"/>
  <c r="X820" i="1" s="1"/>
  <c r="X52" i="1"/>
  <c r="W50" i="1"/>
  <c r="AA44" i="1"/>
  <c r="W47" i="1"/>
  <c r="W123" i="11" s="1"/>
  <c r="V36" i="1"/>
  <c r="V43" i="1"/>
  <c r="Z35" i="1"/>
  <c r="U43" i="1"/>
  <c r="Y44" i="1" s="1"/>
  <c r="U36" i="1"/>
  <c r="Y35" i="1"/>
  <c r="Y47" i="1"/>
  <c r="Y123" i="11" s="1"/>
  <c r="Y50" i="1"/>
  <c r="N185" i="44" l="1"/>
  <c r="D94" i="44"/>
  <c r="C95" i="44"/>
  <c r="Z52" i="1"/>
  <c r="Z55" i="1"/>
  <c r="Z63" i="1" s="1"/>
  <c r="AA55" i="1"/>
  <c r="AA51" i="1"/>
  <c r="AA52" i="1"/>
  <c r="AA83" i="1"/>
  <c r="AF51" i="1"/>
  <c r="AB55" i="1"/>
  <c r="AB814" i="1" s="1"/>
  <c r="AB817" i="1" s="1"/>
  <c r="AB820" i="1" s="1"/>
  <c r="AB52" i="1"/>
  <c r="AC83" i="1"/>
  <c r="AH33" i="1"/>
  <c r="AD93" i="1"/>
  <c r="X103" i="1"/>
  <c r="X98" i="1"/>
  <c r="Z97" i="1"/>
  <c r="V98" i="1"/>
  <c r="V103" i="1"/>
  <c r="AC97" i="1"/>
  <c r="AC98" i="1"/>
  <c r="AC103" i="1"/>
  <c r="AB83" i="1"/>
  <c r="W98" i="1"/>
  <c r="W103" i="1"/>
  <c r="U98" i="1"/>
  <c r="U103" i="1"/>
  <c r="AB97" i="1"/>
  <c r="AA97" i="1"/>
  <c r="Y97" i="1"/>
  <c r="Y83" i="1"/>
  <c r="X63" i="1"/>
  <c r="X64" i="1"/>
  <c r="W55" i="1"/>
  <c r="W52" i="1"/>
  <c r="V50" i="1"/>
  <c r="V47" i="1"/>
  <c r="V123" i="11" s="1"/>
  <c r="Z44" i="1"/>
  <c r="U50" i="1"/>
  <c r="Y51" i="1" s="1"/>
  <c r="U47" i="1"/>
  <c r="U123" i="11" s="1"/>
  <c r="Y55" i="1"/>
  <c r="Y814" i="1" s="1"/>
  <c r="Y817" i="1" s="1"/>
  <c r="Y820" i="1" s="1"/>
  <c r="Y52" i="1"/>
  <c r="Y251" i="1"/>
  <c r="N186" i="44" l="1"/>
  <c r="D95" i="44"/>
  <c r="C96" i="44"/>
  <c r="W64" i="1"/>
  <c r="W814" i="1"/>
  <c r="W817" i="1" s="1"/>
  <c r="W820" i="1" s="1"/>
  <c r="AA64" i="1"/>
  <c r="AA814" i="1"/>
  <c r="AA817" i="1" s="1"/>
  <c r="AA820" i="1" s="1"/>
  <c r="Z64" i="1"/>
  <c r="Z814" i="1"/>
  <c r="Z817" i="1" s="1"/>
  <c r="Z820" i="1" s="1"/>
  <c r="AA63" i="1"/>
  <c r="AB63" i="1"/>
  <c r="AB64" i="1"/>
  <c r="AH30" i="1"/>
  <c r="AH168" i="1" s="1"/>
  <c r="AI33" i="1"/>
  <c r="AH162" i="1"/>
  <c r="AH166" i="1" s="1"/>
  <c r="AH93" i="1" s="1"/>
  <c r="W63" i="1"/>
  <c r="V55" i="1"/>
  <c r="V814" i="1" s="1"/>
  <c r="V817" i="1" s="1"/>
  <c r="V820" i="1" s="1"/>
  <c r="V52" i="1"/>
  <c r="Z51" i="1"/>
  <c r="U52" i="1"/>
  <c r="U55" i="1"/>
  <c r="U814" i="1" s="1"/>
  <c r="U817" i="1" s="1"/>
  <c r="U820" i="1" s="1"/>
  <c r="Y63" i="1"/>
  <c r="Y64" i="1"/>
  <c r="J105" i="6"/>
  <c r="I105" i="6"/>
  <c r="J169" i="5"/>
  <c r="I169" i="5"/>
  <c r="N187" i="44" l="1"/>
  <c r="D96" i="44"/>
  <c r="C97" i="44"/>
  <c r="AH604" i="1"/>
  <c r="AH174" i="1" s="1"/>
  <c r="AH195" i="1" s="1"/>
  <c r="AI30" i="1"/>
  <c r="AI168" i="1" s="1"/>
  <c r="AI162" i="1"/>
  <c r="AI166" i="1" s="1"/>
  <c r="AI93" i="1" s="1"/>
  <c r="AJ33" i="1"/>
  <c r="V64" i="1"/>
  <c r="V63" i="1"/>
  <c r="U64" i="1"/>
  <c r="U63" i="1"/>
  <c r="J170" i="5"/>
  <c r="D13" i="20"/>
  <c r="N188" i="44" l="1"/>
  <c r="D97" i="44"/>
  <c r="C98" i="44"/>
  <c r="AI604" i="1"/>
  <c r="AI174" i="1" s="1"/>
  <c r="AI195" i="1" s="1"/>
  <c r="AJ30" i="1"/>
  <c r="AJ168" i="1" s="1"/>
  <c r="AJ162" i="1"/>
  <c r="AJ166" i="1" s="1"/>
  <c r="AJ93" i="1" s="1"/>
  <c r="D84" i="12"/>
  <c r="J77" i="12"/>
  <c r="J84" i="12" s="1"/>
  <c r="E77" i="12"/>
  <c r="F77" i="12" s="1"/>
  <c r="N189" i="44" l="1"/>
  <c r="D98" i="44"/>
  <c r="C99" i="44"/>
  <c r="K77" i="12"/>
  <c r="K84" i="12" s="1"/>
  <c r="G77" i="12"/>
  <c r="L77" i="12"/>
  <c r="L84" i="12" s="1"/>
  <c r="F84" i="12"/>
  <c r="E84" i="12"/>
  <c r="AJ604" i="1"/>
  <c r="AJ174" i="1" s="1"/>
  <c r="AJ195" i="1" s="1"/>
  <c r="D18" i="13"/>
  <c r="D17" i="13"/>
  <c r="N190" i="44" l="1"/>
  <c r="D99" i="44"/>
  <c r="C100" i="44"/>
  <c r="H77" i="12"/>
  <c r="M77" i="12"/>
  <c r="M84" i="12" s="1"/>
  <c r="G84" i="12"/>
  <c r="AQ709" i="1"/>
  <c r="AQ573" i="1"/>
  <c r="AQ690" i="1"/>
  <c r="AQ494" i="1"/>
  <c r="AQ671" i="1"/>
  <c r="AQ414" i="1"/>
  <c r="AQ654" i="1"/>
  <c r="N191" i="44" l="1"/>
  <c r="D100" i="44"/>
  <c r="C101" i="44"/>
  <c r="H84" i="12"/>
  <c r="N77" i="12"/>
  <c r="N84" i="12" s="1"/>
  <c r="T145" i="2"/>
  <c r="T144" i="2"/>
  <c r="T141" i="2"/>
  <c r="T140" i="2"/>
  <c r="T139" i="2"/>
  <c r="T81" i="2"/>
  <c r="T80" i="2"/>
  <c r="T76" i="2"/>
  <c r="T75" i="2"/>
  <c r="T74" i="2"/>
  <c r="AM182" i="2"/>
  <c r="AM82" i="2"/>
  <c r="AM118" i="2"/>
  <c r="T18" i="2"/>
  <c r="T17" i="2"/>
  <c r="T12" i="2"/>
  <c r="T13" i="2"/>
  <c r="T11" i="2"/>
  <c r="AM55" i="2"/>
  <c r="AL24" i="10"/>
  <c r="AM24" i="10" s="1"/>
  <c r="AN24" i="10" s="1"/>
  <c r="T10" i="21"/>
  <c r="T11" i="21"/>
  <c r="T12" i="21"/>
  <c r="T13" i="21"/>
  <c r="T14" i="21"/>
  <c r="T619" i="1"/>
  <c r="T621" i="1" s="1"/>
  <c r="T623" i="1"/>
  <c r="T633" i="1"/>
  <c r="X634" i="1" s="1"/>
  <c r="T609" i="1"/>
  <c r="T39" i="21" s="1"/>
  <c r="T547" i="1"/>
  <c r="T546" i="1"/>
  <c r="T545" i="1"/>
  <c r="T544" i="1"/>
  <c r="AQ548" i="1"/>
  <c r="T539" i="1"/>
  <c r="T519" i="1"/>
  <c r="T527" i="1" s="1"/>
  <c r="T106" i="11" s="1"/>
  <c r="T518" i="1"/>
  <c r="T526" i="1" s="1"/>
  <c r="T101" i="11" s="1"/>
  <c r="T517" i="1"/>
  <c r="T525" i="1" s="1"/>
  <c r="T96" i="11" s="1"/>
  <c r="AQ520" i="1"/>
  <c r="T468" i="1"/>
  <c r="T467" i="1"/>
  <c r="T466" i="1"/>
  <c r="AQ470" i="1"/>
  <c r="T440" i="1"/>
  <c r="T449" i="1" s="1"/>
  <c r="T84" i="11" s="1"/>
  <c r="T439" i="1"/>
  <c r="T448" i="1" s="1"/>
  <c r="T79" i="11" s="1"/>
  <c r="T438" i="1"/>
  <c r="T447" i="1" s="1"/>
  <c r="T74" i="11" s="1"/>
  <c r="T437" i="1"/>
  <c r="T446" i="1" s="1"/>
  <c r="T69" i="11" s="1"/>
  <c r="AP388" i="1"/>
  <c r="AQ389" i="1"/>
  <c r="T388" i="1"/>
  <c r="T387" i="1"/>
  <c r="T386" i="1"/>
  <c r="T385" i="1"/>
  <c r="T357" i="1"/>
  <c r="T366" i="1" s="1"/>
  <c r="T47" i="11" s="1"/>
  <c r="T358" i="1"/>
  <c r="T367" i="1" s="1"/>
  <c r="T52" i="11" s="1"/>
  <c r="T359" i="1"/>
  <c r="T368" i="1" s="1"/>
  <c r="T57" i="11" s="1"/>
  <c r="T332" i="1"/>
  <c r="T330" i="1"/>
  <c r="T331" i="1"/>
  <c r="AQ334" i="1"/>
  <c r="T264" i="1"/>
  <c r="T20" i="11" s="1"/>
  <c r="T266" i="1"/>
  <c r="T30" i="11" s="1"/>
  <c r="AQ886" i="1"/>
  <c r="AQ888" i="1" s="1"/>
  <c r="AQ864" i="1"/>
  <c r="AR876" i="1" s="1"/>
  <c r="AR177" i="11" s="1"/>
  <c r="T888" i="1"/>
  <c r="T864" i="1"/>
  <c r="T865" i="1"/>
  <c r="T844" i="1"/>
  <c r="T848" i="1" s="1"/>
  <c r="T147" i="11" s="1"/>
  <c r="T845" i="1"/>
  <c r="T849" i="1" s="1"/>
  <c r="T152" i="11" s="1"/>
  <c r="T846" i="1"/>
  <c r="T850" i="1" s="1"/>
  <c r="T157" i="11" s="1"/>
  <c r="T855" i="1"/>
  <c r="T162" i="11" s="1"/>
  <c r="T856" i="1"/>
  <c r="T167" i="11" s="1"/>
  <c r="T758" i="1"/>
  <c r="P758" i="1"/>
  <c r="T748" i="1"/>
  <c r="T791" i="1" s="1"/>
  <c r="T132" i="1"/>
  <c r="T142" i="1"/>
  <c r="T145" i="1" s="1"/>
  <c r="T149" i="1"/>
  <c r="T152" i="1" s="1"/>
  <c r="T156" i="1"/>
  <c r="T160" i="1" s="1"/>
  <c r="T95" i="1" s="1"/>
  <c r="T162" i="1"/>
  <c r="T166" i="1" s="1"/>
  <c r="T93" i="1" s="1"/>
  <c r="T168" i="1"/>
  <c r="T173" i="1"/>
  <c r="T174" i="1"/>
  <c r="T195" i="1" s="1"/>
  <c r="T175" i="1"/>
  <c r="T196" i="1" s="1"/>
  <c r="T177" i="1"/>
  <c r="T200" i="1" s="1"/>
  <c r="T178" i="1"/>
  <c r="T198" i="1" s="1"/>
  <c r="T181" i="1"/>
  <c r="T197" i="1" s="1"/>
  <c r="T182" i="1"/>
  <c r="T202" i="1" s="1"/>
  <c r="T183" i="1"/>
  <c r="T203" i="1"/>
  <c r="T201" i="1"/>
  <c r="T211" i="1"/>
  <c r="P792" i="1" l="1"/>
  <c r="P762" i="1"/>
  <c r="P770" i="1" s="1"/>
  <c r="T792" i="1"/>
  <c r="T793" i="1" s="1"/>
  <c r="T797" i="1" s="1"/>
  <c r="T762" i="1"/>
  <c r="T770" i="1" s="1"/>
  <c r="N192" i="44"/>
  <c r="D101" i="44"/>
  <c r="C102" i="44"/>
  <c r="T541" i="1"/>
  <c r="T111" i="11" s="1"/>
  <c r="T38" i="21"/>
  <c r="T49" i="21" s="1"/>
  <c r="X153" i="1"/>
  <c r="T89" i="1"/>
  <c r="X146" i="1"/>
  <c r="T85" i="1"/>
  <c r="T138" i="1"/>
  <c r="T28" i="21"/>
  <c r="T265" i="1"/>
  <c r="T25" i="11" s="1"/>
  <c r="T27" i="21"/>
  <c r="T441" i="1"/>
  <c r="T450" i="1" s="1"/>
  <c r="T625" i="1"/>
  <c r="T31" i="21"/>
  <c r="T15" i="21"/>
  <c r="T16" i="21" s="1"/>
  <c r="T520" i="1"/>
  <c r="T528" i="1" s="1"/>
  <c r="T30" i="21"/>
  <c r="T548" i="1"/>
  <c r="T852" i="1"/>
  <c r="T853" i="1" s="1"/>
  <c r="T29" i="21"/>
  <c r="T611" i="1"/>
  <c r="T118" i="11" s="1"/>
  <c r="T389" i="1"/>
  <c r="T154" i="1"/>
  <c r="T140" i="11" s="1"/>
  <c r="T147" i="1"/>
  <c r="T135" i="11" s="1"/>
  <c r="K20" i="12"/>
  <c r="L20" i="12" s="1"/>
  <c r="M20" i="12" s="1"/>
  <c r="N193" i="44" l="1"/>
  <c r="D102" i="44"/>
  <c r="C103" i="44"/>
  <c r="N194" i="44" s="1"/>
  <c r="X139" i="1"/>
  <c r="T76" i="1"/>
  <c r="X86" i="1"/>
  <c r="T87" i="1"/>
  <c r="T140" i="1"/>
  <c r="T130" i="11" s="1"/>
  <c r="T91" i="1"/>
  <c r="X90" i="1"/>
  <c r="T443" i="1"/>
  <c r="T32" i="21"/>
  <c r="T50" i="21"/>
  <c r="T522" i="1"/>
  <c r="T914" i="1"/>
  <c r="T917" i="1"/>
  <c r="T899" i="1" s="1"/>
  <c r="T918" i="1"/>
  <c r="T919" i="1"/>
  <c r="T920" i="1"/>
  <c r="T921" i="1"/>
  <c r="T922" i="1"/>
  <c r="T923" i="1"/>
  <c r="T926" i="1"/>
  <c r="T927" i="1"/>
  <c r="T928" i="1"/>
  <c r="T929" i="1"/>
  <c r="T930" i="1"/>
  <c r="T931" i="1"/>
  <c r="T934" i="1"/>
  <c r="T910" i="1" s="1"/>
  <c r="T935" i="1"/>
  <c r="T936" i="1"/>
  <c r="T937" i="1"/>
  <c r="T938" i="1"/>
  <c r="T941" i="1"/>
  <c r="T942" i="1"/>
  <c r="T943" i="1"/>
  <c r="T944" i="1"/>
  <c r="T968" i="1" s="1"/>
  <c r="T945" i="1"/>
  <c r="T961" i="1" s="1"/>
  <c r="T946" i="1"/>
  <c r="T947" i="1"/>
  <c r="T948" i="1"/>
  <c r="T951" i="1"/>
  <c r="T461" i="1"/>
  <c r="T380" i="1"/>
  <c r="T278" i="1"/>
  <c r="BO932" i="1"/>
  <c r="BO939" i="1"/>
  <c r="BO949" i="1"/>
  <c r="T725" i="1"/>
  <c r="T727" i="1" s="1"/>
  <c r="T59" i="1"/>
  <c r="T18" i="1"/>
  <c r="X19" i="1" s="1"/>
  <c r="T23" i="1"/>
  <c r="T24" i="1"/>
  <c r="T27" i="1"/>
  <c r="T28" i="1"/>
  <c r="T16" i="1"/>
  <c r="T15" i="1"/>
  <c r="D103" i="44" l="1"/>
  <c r="C104" i="44"/>
  <c r="N195" i="44" s="1"/>
  <c r="T280" i="1"/>
  <c r="T35" i="11" s="1"/>
  <c r="T35" i="21"/>
  <c r="T463" i="1"/>
  <c r="T89" i="11" s="1"/>
  <c r="T37" i="21"/>
  <c r="T382" i="1"/>
  <c r="T62" i="11" s="1"/>
  <c r="T36" i="21"/>
  <c r="T80" i="1"/>
  <c r="T78" i="1"/>
  <c r="X77" i="1"/>
  <c r="T949" i="1"/>
  <c r="T939" i="1"/>
  <c r="T875" i="1"/>
  <c r="T172" i="11" s="1"/>
  <c r="T932" i="1"/>
  <c r="T730" i="1"/>
  <c r="T732" i="1"/>
  <c r="T731" i="1"/>
  <c r="T733" i="1"/>
  <c r="T628" i="1"/>
  <c r="T34" i="1"/>
  <c r="X35" i="1" s="1"/>
  <c r="BO952" i="1"/>
  <c r="BO955" i="1" s="1"/>
  <c r="BP954" i="1" s="1"/>
  <c r="T20" i="1"/>
  <c r="S526" i="1"/>
  <c r="S527" i="1"/>
  <c r="S525" i="1"/>
  <c r="S447" i="1"/>
  <c r="S448" i="1"/>
  <c r="S449" i="1"/>
  <c r="S446" i="1"/>
  <c r="S266" i="1"/>
  <c r="S265" i="1"/>
  <c r="S264" i="1"/>
  <c r="S263" i="1"/>
  <c r="S365" i="1"/>
  <c r="S367" i="1"/>
  <c r="S368" i="1"/>
  <c r="S366" i="1"/>
  <c r="P365" i="1"/>
  <c r="C105" i="44" l="1"/>
  <c r="N196" i="44" s="1"/>
  <c r="D104" i="44"/>
  <c r="T124" i="1"/>
  <c r="T128" i="1" s="1"/>
  <c r="T909" i="1"/>
  <c r="T911" i="1" s="1"/>
  <c r="T40" i="21"/>
  <c r="T96" i="1"/>
  <c r="T631" i="1" s="1"/>
  <c r="T82" i="1"/>
  <c r="X81" i="1"/>
  <c r="BQ954" i="1"/>
  <c r="BP955" i="1"/>
  <c r="T952" i="1"/>
  <c r="T630" i="1"/>
  <c r="T734" i="1"/>
  <c r="T47" i="21"/>
  <c r="T46" i="21"/>
  <c r="T170" i="1"/>
  <c r="T187" i="1" s="1"/>
  <c r="T626" i="1"/>
  <c r="T48" i="21"/>
  <c r="I101" i="8"/>
  <c r="H101" i="8"/>
  <c r="I100" i="7"/>
  <c r="H100" i="7"/>
  <c r="C106" i="44" l="1"/>
  <c r="N197" i="44" s="1"/>
  <c r="D105" i="44"/>
  <c r="X125" i="1"/>
  <c r="T42" i="21"/>
  <c r="X83" i="1"/>
  <c r="T98" i="1"/>
  <c r="T103" i="1"/>
  <c r="X97" i="1"/>
  <c r="T119" i="1"/>
  <c r="T100" i="1"/>
  <c r="BR954" i="1"/>
  <c r="BQ955" i="1"/>
  <c r="T189" i="1"/>
  <c r="T51" i="21"/>
  <c r="T67" i="21"/>
  <c r="T68" i="21"/>
  <c r="T64" i="21"/>
  <c r="T65" i="21"/>
  <c r="T66" i="21"/>
  <c r="J106" i="6"/>
  <c r="I102" i="8"/>
  <c r="I101" i="7"/>
  <c r="D106" i="44" l="1"/>
  <c r="C107" i="44"/>
  <c r="N198" i="44" s="1"/>
  <c r="T126" i="1"/>
  <c r="T121" i="1"/>
  <c r="BS954" i="1"/>
  <c r="BS955" i="1" s="1"/>
  <c r="BT954" i="1" s="1"/>
  <c r="BR955" i="1"/>
  <c r="T69" i="21"/>
  <c r="S514" i="1"/>
  <c r="D107" i="44" l="1"/>
  <c r="BU954" i="1"/>
  <c r="BT955" i="1"/>
  <c r="S865" i="1"/>
  <c r="BV954" i="1" l="1"/>
  <c r="BU955" i="1"/>
  <c r="S548" i="1"/>
  <c r="S469" i="1"/>
  <c r="S389" i="1"/>
  <c r="S333" i="1"/>
  <c r="S334" i="1" s="1"/>
  <c r="S864" i="1"/>
  <c r="BW954" i="1" l="1"/>
  <c r="BW955" i="1" s="1"/>
  <c r="BV955" i="1"/>
  <c r="T333" i="1"/>
  <c r="S470" i="1"/>
  <c r="T469" i="1"/>
  <c r="S981" i="1"/>
  <c r="S983" i="1"/>
  <c r="S914" i="1"/>
  <c r="S917" i="1"/>
  <c r="S899" i="1" s="1"/>
  <c r="S918" i="1"/>
  <c r="S919" i="1"/>
  <c r="S920" i="1"/>
  <c r="S921" i="1"/>
  <c r="S922" i="1"/>
  <c r="S923" i="1"/>
  <c r="S926" i="1"/>
  <c r="S927" i="1"/>
  <c r="S928" i="1"/>
  <c r="S929" i="1"/>
  <c r="S930" i="1"/>
  <c r="S931" i="1"/>
  <c r="S934" i="1"/>
  <c r="S910" i="1" s="1"/>
  <c r="S935" i="1"/>
  <c r="S936" i="1"/>
  <c r="S937" i="1"/>
  <c r="S938" i="1"/>
  <c r="S941" i="1"/>
  <c r="S942" i="1"/>
  <c r="S943" i="1"/>
  <c r="S944" i="1"/>
  <c r="S968" i="1" s="1"/>
  <c r="S945" i="1"/>
  <c r="S961" i="1" s="1"/>
  <c r="S946" i="1"/>
  <c r="S947" i="1"/>
  <c r="S948" i="1"/>
  <c r="S951" i="1"/>
  <c r="BN949" i="1"/>
  <c r="BN939" i="1"/>
  <c r="BN932" i="1"/>
  <c r="R893" i="1"/>
  <c r="R895" i="1" s="1"/>
  <c r="S888" i="1"/>
  <c r="S855" i="1"/>
  <c r="S162" i="11" s="1"/>
  <c r="S856" i="1"/>
  <c r="S167" i="11" s="1"/>
  <c r="S844" i="1"/>
  <c r="S848" i="1" s="1"/>
  <c r="S147" i="11" s="1"/>
  <c r="S845" i="1"/>
  <c r="S849" i="1" s="1"/>
  <c r="S152" i="11" s="1"/>
  <c r="S846" i="1"/>
  <c r="S850" i="1" s="1"/>
  <c r="S157" i="11" s="1"/>
  <c r="S725" i="1"/>
  <c r="S149" i="1"/>
  <c r="S152" i="1" s="1"/>
  <c r="S156" i="1"/>
  <c r="S160" i="1" s="1"/>
  <c r="S95" i="1" s="1"/>
  <c r="S132" i="1"/>
  <c r="S142" i="1"/>
  <c r="S145" i="1" s="1"/>
  <c r="S633" i="1"/>
  <c r="W634" i="1" s="1"/>
  <c r="S609" i="1"/>
  <c r="S539" i="1"/>
  <c r="S96" i="11"/>
  <c r="S101" i="11"/>
  <c r="S106" i="11"/>
  <c r="S520" i="1"/>
  <c r="S528" i="1" s="1"/>
  <c r="S461" i="1"/>
  <c r="S69" i="11"/>
  <c r="S74" i="11"/>
  <c r="S79" i="11"/>
  <c r="S84" i="11"/>
  <c r="S441" i="1"/>
  <c r="S450" i="1" s="1"/>
  <c r="S380" i="1"/>
  <c r="S36" i="21" s="1"/>
  <c r="S42" i="11"/>
  <c r="S47" i="11"/>
  <c r="S52" i="11"/>
  <c r="S57" i="11"/>
  <c r="S360" i="1"/>
  <c r="S369" i="1" s="1"/>
  <c r="S278" i="1"/>
  <c r="S35" i="21" s="1"/>
  <c r="S15" i="11"/>
  <c r="S20" i="11"/>
  <c r="S25" i="11"/>
  <c r="S30" i="11"/>
  <c r="S258" i="1"/>
  <c r="S267" i="1" s="1"/>
  <c r="S168" i="1"/>
  <c r="S162" i="1"/>
  <c r="S166" i="1" s="1"/>
  <c r="S93" i="1" s="1"/>
  <c r="S23" i="1"/>
  <c r="S24" i="1"/>
  <c r="S27" i="1"/>
  <c r="S28" i="1"/>
  <c r="S18" i="1"/>
  <c r="S15" i="1"/>
  <c r="S16" i="1"/>
  <c r="S463" i="1" l="1"/>
  <c r="S89" i="11" s="1"/>
  <c r="S37" i="21"/>
  <c r="S611" i="1"/>
  <c r="S118" i="11" s="1"/>
  <c r="S39" i="21"/>
  <c r="S541" i="1"/>
  <c r="S111" i="11" s="1"/>
  <c r="S38" i="21"/>
  <c r="W146" i="1"/>
  <c r="S85" i="1"/>
  <c r="W153" i="1"/>
  <c r="S89" i="1"/>
  <c r="S138" i="1"/>
  <c r="S34" i="1"/>
  <c r="W19" i="1"/>
  <c r="S280" i="1"/>
  <c r="S35" i="11" s="1"/>
  <c r="W279" i="1"/>
  <c r="T470" i="1"/>
  <c r="S895" i="1"/>
  <c r="S727" i="1"/>
  <c r="S731" i="1"/>
  <c r="S730" i="1"/>
  <c r="S732" i="1"/>
  <c r="S733" i="1"/>
  <c r="T334" i="1"/>
  <c r="S982" i="1"/>
  <c r="S932" i="1"/>
  <c r="S939" i="1"/>
  <c r="S154" i="1"/>
  <c r="S140" i="11" s="1"/>
  <c r="S147" i="1"/>
  <c r="S135" i="11" s="1"/>
  <c r="S949" i="1"/>
  <c r="S382" i="1"/>
  <c r="S62" i="11" s="1"/>
  <c r="BN952" i="1"/>
  <c r="BN955" i="1" s="1"/>
  <c r="S852" i="1"/>
  <c r="S853" i="1" s="1"/>
  <c r="S20" i="1"/>
  <c r="S124" i="1" l="1"/>
  <c r="W125" i="1" s="1"/>
  <c r="S909" i="1"/>
  <c r="S911" i="1" s="1"/>
  <c r="S40" i="21"/>
  <c r="W139" i="1"/>
  <c r="S76" i="1"/>
  <c r="S91" i="1"/>
  <c r="W90" i="1"/>
  <c r="W86" i="1"/>
  <c r="S87" i="1"/>
  <c r="S43" i="1"/>
  <c r="W35" i="1"/>
  <c r="S734" i="1"/>
  <c r="S952" i="1"/>
  <c r="S80" i="1" l="1"/>
  <c r="S78" i="1"/>
  <c r="W77" i="1"/>
  <c r="W44" i="1"/>
  <c r="S47" i="1"/>
  <c r="S123" i="11" s="1"/>
  <c r="AL197" i="2"/>
  <c r="AK197" i="2"/>
  <c r="AJ197" i="2"/>
  <c r="AI197" i="2"/>
  <c r="AH197" i="2"/>
  <c r="O197" i="2"/>
  <c r="N197" i="2"/>
  <c r="M197" i="2"/>
  <c r="K197" i="2"/>
  <c r="J197" i="2"/>
  <c r="I197" i="2"/>
  <c r="G197" i="2"/>
  <c r="F197" i="2"/>
  <c r="E197" i="2"/>
  <c r="Q197" i="2"/>
  <c r="R197" i="2"/>
  <c r="AQ187" i="2"/>
  <c r="AR187" i="2" s="1"/>
  <c r="AS187" i="2" s="1"/>
  <c r="AT187" i="2" s="1"/>
  <c r="AQ192" i="2"/>
  <c r="AR192" i="2" s="1"/>
  <c r="AS192" i="2" s="1"/>
  <c r="AT192" i="2" s="1"/>
  <c r="AQ193" i="2"/>
  <c r="AR193" i="2" s="1"/>
  <c r="AS193" i="2" s="1"/>
  <c r="AT193" i="2" s="1"/>
  <c r="AQ194" i="2"/>
  <c r="AR194" i="2" s="1"/>
  <c r="AS194" i="2" s="1"/>
  <c r="AT194" i="2" s="1"/>
  <c r="S19" i="2"/>
  <c r="AD95" i="1" l="1"/>
  <c r="S96" i="1"/>
  <c r="S42" i="21" s="1"/>
  <c r="S82" i="1"/>
  <c r="W81" i="1"/>
  <c r="U19" i="2"/>
  <c r="T197" i="2"/>
  <c r="T19" i="2"/>
  <c r="T82" i="2"/>
  <c r="S197" i="2"/>
  <c r="S82" i="2"/>
  <c r="S146" i="2"/>
  <c r="Q146" i="2"/>
  <c r="R146" i="2"/>
  <c r="Q82" i="2"/>
  <c r="R82" i="2"/>
  <c r="R19" i="2"/>
  <c r="Q19" i="2"/>
  <c r="AH964" i="1" l="1"/>
  <c r="W83" i="1"/>
  <c r="S98" i="1"/>
  <c r="S103" i="1"/>
  <c r="W97" i="1"/>
  <c r="U197" i="2"/>
  <c r="AO105" i="2"/>
  <c r="AQ105" i="2" s="1"/>
  <c r="AR105" i="2" s="1"/>
  <c r="AS105" i="2" s="1"/>
  <c r="AT105" i="2" s="1"/>
  <c r="AQ131" i="2"/>
  <c r="AR131" i="2" s="1"/>
  <c r="AS131" i="2" s="1"/>
  <c r="AT131" i="2" s="1"/>
  <c r="AQ133" i="2"/>
  <c r="AH133" i="2"/>
  <c r="AQ134" i="2"/>
  <c r="AR134" i="2" s="1"/>
  <c r="AS134" i="2" s="1"/>
  <c r="AT134" i="2" s="1"/>
  <c r="AN70" i="2"/>
  <c r="AO70" i="2"/>
  <c r="AQ70" i="2"/>
  <c r="AH70" i="2"/>
  <c r="AQ71" i="2"/>
  <c r="AR71" i="2" s="1"/>
  <c r="AS71" i="2" s="1"/>
  <c r="AT71" i="2" s="1"/>
  <c r="AQ63" i="2"/>
  <c r="AR63" i="2" s="1"/>
  <c r="AS63" i="2" l="1"/>
  <c r="AT63" i="2" s="1"/>
  <c r="AI964" i="1"/>
  <c r="AH966" i="1"/>
  <c r="AH975" i="1" s="1"/>
  <c r="AH58" i="1" s="1"/>
  <c r="V197" i="2"/>
  <c r="AJ964" i="1" l="1"/>
  <c r="AI966" i="1"/>
  <c r="AI975" i="1" s="1"/>
  <c r="AI58" i="1" s="1"/>
  <c r="W197" i="2"/>
  <c r="AJ966" i="1" l="1"/>
  <c r="AU964" i="1"/>
  <c r="AJ975" i="1"/>
  <c r="AJ58" i="1" s="1"/>
  <c r="X197" i="2"/>
  <c r="AQ106" i="2"/>
  <c r="AQ43" i="2"/>
  <c r="AH768" i="1" l="1"/>
  <c r="AH806" i="1" s="1"/>
  <c r="AI768" i="1" l="1"/>
  <c r="AI806" i="1" s="1"/>
  <c r="AR160" i="2"/>
  <c r="AR170" i="2" s="1"/>
  <c r="J51" i="24"/>
  <c r="J14" i="23"/>
  <c r="AJ768" i="1" l="1"/>
  <c r="AJ806" i="1" s="1"/>
  <c r="AS160" i="2"/>
  <c r="AS170" i="2" s="1"/>
  <c r="AT160" i="2"/>
  <c r="AT170" i="2" s="1"/>
  <c r="AV929" i="1"/>
  <c r="AW929" i="1" l="1"/>
  <c r="AX929" i="1"/>
  <c r="AQ160" i="2"/>
  <c r="AQ170" i="2" s="1"/>
  <c r="AH55" i="2" l="1"/>
  <c r="C902" i="1" l="1"/>
  <c r="AQ14" i="21" l="1"/>
  <c r="AP14" i="21"/>
  <c r="F14" i="21"/>
  <c r="G14" i="21"/>
  <c r="H14" i="21"/>
  <c r="I14" i="21"/>
  <c r="J14" i="21"/>
  <c r="K14" i="21"/>
  <c r="L14" i="21"/>
  <c r="M14" i="21"/>
  <c r="N14" i="21"/>
  <c r="O14" i="21"/>
  <c r="P14" i="21"/>
  <c r="Q14" i="21"/>
  <c r="R14" i="21"/>
  <c r="S14" i="21"/>
  <c r="V14" i="21"/>
  <c r="W14" i="21"/>
  <c r="X14" i="21"/>
  <c r="E14" i="21"/>
  <c r="AQ13" i="21"/>
  <c r="AQ123" i="21" s="1"/>
  <c r="AP13" i="21"/>
  <c r="F13" i="21"/>
  <c r="G13" i="21"/>
  <c r="H13" i="21"/>
  <c r="I13" i="21"/>
  <c r="J13" i="21"/>
  <c r="K13" i="21"/>
  <c r="L13" i="21"/>
  <c r="M13" i="21"/>
  <c r="N13" i="21"/>
  <c r="O13" i="21"/>
  <c r="P13" i="21"/>
  <c r="T22" i="21" s="1"/>
  <c r="Q13" i="21"/>
  <c r="R13" i="21"/>
  <c r="E13" i="21"/>
  <c r="AQ12" i="21"/>
  <c r="AQ122" i="21" s="1"/>
  <c r="AP12" i="21"/>
  <c r="F12" i="21"/>
  <c r="G12" i="21"/>
  <c r="H12" i="21"/>
  <c r="I12" i="21"/>
  <c r="J12" i="21"/>
  <c r="K12" i="21"/>
  <c r="L12" i="21"/>
  <c r="M12" i="21"/>
  <c r="N12" i="21"/>
  <c r="O12" i="21"/>
  <c r="P12" i="21"/>
  <c r="T21" i="21" s="1"/>
  <c r="Q12" i="21"/>
  <c r="R12" i="21"/>
  <c r="E12" i="21"/>
  <c r="AQ11" i="21"/>
  <c r="AQ121" i="21" s="1"/>
  <c r="AP11" i="21"/>
  <c r="F11" i="21"/>
  <c r="G11" i="21"/>
  <c r="H11" i="21"/>
  <c r="I11" i="21"/>
  <c r="J11" i="21"/>
  <c r="K11" i="21"/>
  <c r="L11" i="21"/>
  <c r="M11" i="21"/>
  <c r="N11" i="21"/>
  <c r="O11" i="21"/>
  <c r="P11" i="21"/>
  <c r="T20" i="21" s="1"/>
  <c r="Q11" i="21"/>
  <c r="R11" i="21"/>
  <c r="E11" i="21"/>
  <c r="AQ10" i="21"/>
  <c r="AQ120" i="21" s="1"/>
  <c r="AP10" i="21"/>
  <c r="AP120" i="21" s="1"/>
  <c r="F10" i="21"/>
  <c r="G10" i="21"/>
  <c r="H10" i="21"/>
  <c r="I10" i="21"/>
  <c r="J10" i="21"/>
  <c r="K10" i="21"/>
  <c r="L10" i="21"/>
  <c r="M10" i="21"/>
  <c r="N10" i="21"/>
  <c r="O10" i="21"/>
  <c r="P10" i="21"/>
  <c r="T19" i="21" s="1"/>
  <c r="Q10" i="21"/>
  <c r="R10" i="21"/>
  <c r="E10" i="21"/>
  <c r="BE6" i="21"/>
  <c r="BF6" i="21" s="1"/>
  <c r="BG6" i="21" s="1"/>
  <c r="BH6" i="21" s="1"/>
  <c r="BI6" i="21" s="1"/>
  <c r="BJ6" i="21" s="1"/>
  <c r="BK6" i="21" s="1"/>
  <c r="BL6" i="21" s="1"/>
  <c r="BM6" i="21" s="1"/>
  <c r="BN6" i="21" s="1"/>
  <c r="BO6" i="21" s="1"/>
  <c r="BP6" i="21" s="1"/>
  <c r="BQ6" i="21" s="1"/>
  <c r="AQ6" i="21"/>
  <c r="AR6" i="21" s="1"/>
  <c r="AR5" i="21" s="1"/>
  <c r="F6" i="21"/>
  <c r="G6" i="21" s="1"/>
  <c r="H6" i="21" s="1"/>
  <c r="AP5" i="21"/>
  <c r="BA7" i="1"/>
  <c r="BB7" i="1" s="1"/>
  <c r="BC7" i="1" s="1"/>
  <c r="BD7" i="1" s="1"/>
  <c r="BE7" i="1" s="1"/>
  <c r="BF7" i="1" s="1"/>
  <c r="BG7" i="1" s="1"/>
  <c r="BH7" i="1" s="1"/>
  <c r="BI7" i="1" s="1"/>
  <c r="BJ7" i="1" s="1"/>
  <c r="BK7" i="1" s="1"/>
  <c r="BL7" i="1" s="1"/>
  <c r="BM7" i="1" s="1"/>
  <c r="BN7" i="1" s="1"/>
  <c r="BO7" i="1" s="1"/>
  <c r="BP7" i="1" s="1"/>
  <c r="BQ7" i="1" s="1"/>
  <c r="BR7" i="1" s="1"/>
  <c r="BS7" i="1" s="1"/>
  <c r="BT7" i="1" s="1"/>
  <c r="BU7" i="1" s="1"/>
  <c r="BV7" i="1" s="1"/>
  <c r="BW7" i="1" s="1"/>
  <c r="BX7" i="1" s="1"/>
  <c r="BY7" i="1" s="1"/>
  <c r="BZ7" i="1" s="1"/>
  <c r="CA7" i="1" s="1"/>
  <c r="CB7" i="1" s="1"/>
  <c r="AM7" i="1"/>
  <c r="F7" i="1"/>
  <c r="G7" i="1" s="1"/>
  <c r="H7" i="1" s="1"/>
  <c r="AL6" i="1"/>
  <c r="AM6" i="1" l="1"/>
  <c r="AP121" i="21"/>
  <c r="AP122" i="21"/>
  <c r="AP123" i="21"/>
  <c r="O20" i="21"/>
  <c r="O28" i="21"/>
  <c r="O31" i="21"/>
  <c r="O29" i="21"/>
  <c r="O21" i="21"/>
  <c r="O27" i="21"/>
  <c r="O19" i="21"/>
  <c r="O22" i="21"/>
  <c r="O30" i="21"/>
  <c r="R15" i="21"/>
  <c r="J15" i="21"/>
  <c r="F15" i="21"/>
  <c r="F16" i="21" s="1"/>
  <c r="O15" i="21"/>
  <c r="K15" i="21"/>
  <c r="Q15" i="21"/>
  <c r="M15" i="21"/>
  <c r="I15" i="21"/>
  <c r="AP15" i="21"/>
  <c r="G27" i="21"/>
  <c r="G15" i="21"/>
  <c r="G16" i="21" s="1"/>
  <c r="N27" i="21"/>
  <c r="N15" i="21"/>
  <c r="P15" i="21"/>
  <c r="T24" i="21" s="1"/>
  <c r="L15" i="21"/>
  <c r="H15" i="21"/>
  <c r="H16" i="21" s="1"/>
  <c r="AQ15" i="21"/>
  <c r="H27" i="21"/>
  <c r="Q31" i="21"/>
  <c r="AP31" i="21"/>
  <c r="E27" i="21"/>
  <c r="E15" i="21"/>
  <c r="E16" i="21" s="1"/>
  <c r="J28" i="21"/>
  <c r="R30" i="21"/>
  <c r="F30" i="21"/>
  <c r="I28" i="21"/>
  <c r="M29" i="21"/>
  <c r="K31" i="21"/>
  <c r="P28" i="21"/>
  <c r="AQ28" i="21"/>
  <c r="L30" i="21"/>
  <c r="N29" i="21"/>
  <c r="Q30" i="21"/>
  <c r="J31" i="21"/>
  <c r="AP27" i="21"/>
  <c r="G28" i="21"/>
  <c r="P27" i="21"/>
  <c r="J27" i="21"/>
  <c r="AQ27" i="21"/>
  <c r="R28" i="21"/>
  <c r="L28" i="21"/>
  <c r="F28" i="21"/>
  <c r="P29" i="21"/>
  <c r="J29" i="21"/>
  <c r="AQ29" i="21"/>
  <c r="N30" i="21"/>
  <c r="H30" i="21"/>
  <c r="M31" i="21"/>
  <c r="G31" i="21"/>
  <c r="AQ31" i="21"/>
  <c r="I27" i="21"/>
  <c r="Q28" i="21"/>
  <c r="K28" i="21"/>
  <c r="AP28" i="21"/>
  <c r="I29" i="21"/>
  <c r="E30" i="21"/>
  <c r="M30" i="21"/>
  <c r="G30" i="21"/>
  <c r="R31" i="21"/>
  <c r="L31" i="21"/>
  <c r="F31" i="21"/>
  <c r="G29" i="21"/>
  <c r="R27" i="21"/>
  <c r="L27" i="21"/>
  <c r="F27" i="21"/>
  <c r="N28" i="21"/>
  <c r="H28" i="21"/>
  <c r="R29" i="21"/>
  <c r="L29" i="21"/>
  <c r="F29" i="21"/>
  <c r="P30" i="21"/>
  <c r="J30" i="21"/>
  <c r="AQ30" i="21"/>
  <c r="I31" i="21"/>
  <c r="M27" i="21"/>
  <c r="K30" i="21"/>
  <c r="P31" i="21"/>
  <c r="Q27" i="21"/>
  <c r="E28" i="21"/>
  <c r="K29" i="21"/>
  <c r="N31" i="21"/>
  <c r="H31" i="21"/>
  <c r="H29" i="21"/>
  <c r="E29" i="21"/>
  <c r="AP30" i="21"/>
  <c r="K27" i="21"/>
  <c r="M28" i="21"/>
  <c r="Q29" i="21"/>
  <c r="AP29" i="21"/>
  <c r="I30" i="21"/>
  <c r="E31" i="21"/>
  <c r="J23" i="21"/>
  <c r="I23" i="21"/>
  <c r="K23" i="21"/>
  <c r="AQ23" i="21"/>
  <c r="L23" i="21"/>
  <c r="AQ5" i="21"/>
  <c r="I22" i="21"/>
  <c r="L22" i="21"/>
  <c r="R22" i="21"/>
  <c r="AQ22" i="21"/>
  <c r="N22" i="21"/>
  <c r="J22" i="21"/>
  <c r="P22" i="21"/>
  <c r="K22" i="21"/>
  <c r="Q22" i="21"/>
  <c r="M22" i="21"/>
  <c r="M21" i="21"/>
  <c r="N21" i="21"/>
  <c r="AQ21" i="21"/>
  <c r="J21" i="21"/>
  <c r="P21" i="21"/>
  <c r="R21" i="21"/>
  <c r="K21" i="21"/>
  <c r="Q21" i="21"/>
  <c r="I21" i="21"/>
  <c r="L21" i="21"/>
  <c r="I20" i="21"/>
  <c r="K20" i="21"/>
  <c r="Q20" i="21"/>
  <c r="L20" i="21"/>
  <c r="R20" i="21"/>
  <c r="R19" i="21"/>
  <c r="L19" i="21"/>
  <c r="M20" i="21"/>
  <c r="AQ20" i="21"/>
  <c r="N20" i="21"/>
  <c r="J20" i="21"/>
  <c r="P20" i="21"/>
  <c r="AQ19" i="21"/>
  <c r="N19" i="21"/>
  <c r="Q19" i="21"/>
  <c r="I19" i="21"/>
  <c r="K19" i="21"/>
  <c r="J19" i="21"/>
  <c r="P19" i="21"/>
  <c r="M19" i="21"/>
  <c r="F5" i="21"/>
  <c r="E5" i="21"/>
  <c r="H5" i="21"/>
  <c r="G5" i="21"/>
  <c r="I6" i="21"/>
  <c r="J6" i="21" s="1"/>
  <c r="K6" i="21" s="1"/>
  <c r="L6" i="21" s="1"/>
  <c r="AS6" i="21"/>
  <c r="I7" i="1"/>
  <c r="J7" i="1" s="1"/>
  <c r="K7" i="1" s="1"/>
  <c r="L7" i="1" s="1"/>
  <c r="H6" i="1"/>
  <c r="E6" i="1"/>
  <c r="G6" i="1"/>
  <c r="F6" i="1"/>
  <c r="AN7" i="1"/>
  <c r="AM327" i="1" l="1" a="1"/>
  <c r="AM327" i="1" s="1"/>
  <c r="AM324" i="1" a="1"/>
  <c r="AM324" i="1" s="1"/>
  <c r="AP16" i="21"/>
  <c r="O32" i="21"/>
  <c r="O24" i="21"/>
  <c r="I16" i="21"/>
  <c r="I24" i="21"/>
  <c r="O16" i="21"/>
  <c r="L16" i="21"/>
  <c r="L24" i="21"/>
  <c r="M16" i="21"/>
  <c r="M24" i="21"/>
  <c r="P16" i="21"/>
  <c r="P24" i="21"/>
  <c r="Q16" i="21"/>
  <c r="Q24" i="21"/>
  <c r="J16" i="21"/>
  <c r="J24" i="21"/>
  <c r="AQ16" i="21"/>
  <c r="AQ24" i="21"/>
  <c r="N16" i="21"/>
  <c r="N24" i="21"/>
  <c r="K16" i="21"/>
  <c r="K24" i="21"/>
  <c r="R16" i="21"/>
  <c r="R24" i="21"/>
  <c r="F32" i="21"/>
  <c r="N32" i="21"/>
  <c r="AQ32" i="21"/>
  <c r="M32" i="21"/>
  <c r="L32" i="21"/>
  <c r="J32" i="21"/>
  <c r="AP32" i="21"/>
  <c r="K32" i="21"/>
  <c r="Q32" i="21"/>
  <c r="R32" i="21"/>
  <c r="P32" i="21"/>
  <c r="H32" i="21"/>
  <c r="G32" i="21"/>
  <c r="I32" i="21"/>
  <c r="E32" i="21"/>
  <c r="M6" i="21"/>
  <c r="N6" i="21" s="1"/>
  <c r="O6" i="21" s="1"/>
  <c r="P6" i="21" s="1"/>
  <c r="L5" i="21"/>
  <c r="K5" i="21"/>
  <c r="J5" i="21"/>
  <c r="I5" i="21"/>
  <c r="AS5" i="21"/>
  <c r="AT6" i="21"/>
  <c r="AN6" i="1"/>
  <c r="AO7" i="1"/>
  <c r="I6" i="1"/>
  <c r="J6" i="1"/>
  <c r="K6" i="1"/>
  <c r="M7" i="1"/>
  <c r="N7" i="1" s="1"/>
  <c r="O7" i="1" s="1"/>
  <c r="P7" i="1" s="1"/>
  <c r="L6" i="1"/>
  <c r="AN327" i="1" l="1" a="1"/>
  <c r="AN327" i="1" s="1"/>
  <c r="AN328" i="1" s="1"/>
  <c r="AN324" i="1" a="1"/>
  <c r="AN324" i="1" s="1"/>
  <c r="AN325" i="1" s="1"/>
  <c r="AT5" i="21"/>
  <c r="AU6" i="21"/>
  <c r="N5" i="21"/>
  <c r="M5" i="21"/>
  <c r="Q6" i="21"/>
  <c r="R6" i="21" s="1"/>
  <c r="S6" i="21" s="1"/>
  <c r="T6" i="21" s="1"/>
  <c r="U6" i="21" s="1"/>
  <c r="V6" i="21" s="1"/>
  <c r="W6" i="21" s="1"/>
  <c r="X6" i="21" s="1"/>
  <c r="P5" i="21"/>
  <c r="O5" i="21"/>
  <c r="AP7" i="1"/>
  <c r="AO6" i="1"/>
  <c r="O6" i="1"/>
  <c r="N6" i="1"/>
  <c r="M6" i="1"/>
  <c r="Q7" i="1"/>
  <c r="R7" i="1" s="1"/>
  <c r="S7" i="1" s="1"/>
  <c r="T7" i="1" s="1"/>
  <c r="P6" i="1"/>
  <c r="AO327" i="1" l="1" a="1"/>
  <c r="AO327" i="1" s="1"/>
  <c r="AO328" i="1" s="1"/>
  <c r="AO324" i="1" a="1"/>
  <c r="AO324" i="1" s="1"/>
  <c r="AO325" i="1" s="1"/>
  <c r="Y6" i="21"/>
  <c r="Z6" i="21" s="1"/>
  <c r="AA6" i="21" s="1"/>
  <c r="AB6" i="21" s="1"/>
  <c r="AC6" i="21" s="1"/>
  <c r="X5" i="21"/>
  <c r="W5" i="21"/>
  <c r="V5" i="21"/>
  <c r="U5" i="21"/>
  <c r="R5" i="21"/>
  <c r="Q5" i="21"/>
  <c r="T5" i="21"/>
  <c r="S5" i="21"/>
  <c r="AU5" i="21"/>
  <c r="AV6" i="21"/>
  <c r="U7" i="1"/>
  <c r="T6" i="1"/>
  <c r="Q6" i="1"/>
  <c r="S6" i="1"/>
  <c r="R6" i="1"/>
  <c r="AQ7" i="1"/>
  <c r="AP6" i="1"/>
  <c r="AP327" i="1" l="1" a="1"/>
  <c r="AP327" i="1" s="1"/>
  <c r="AP328" i="1" s="1"/>
  <c r="AP324" i="1" a="1"/>
  <c r="AP324" i="1" s="1"/>
  <c r="AP325" i="1" s="1"/>
  <c r="AC5" i="21"/>
  <c r="AD6" i="21"/>
  <c r="AA5" i="21"/>
  <c r="AB5" i="21"/>
  <c r="Z5" i="21"/>
  <c r="Y5" i="21"/>
  <c r="V7" i="1"/>
  <c r="U6" i="1"/>
  <c r="AW6" i="21"/>
  <c r="AV5" i="21"/>
  <c r="AQ6" i="1"/>
  <c r="AR7" i="1"/>
  <c r="AQ327" i="1" l="1" a="1"/>
  <c r="AQ327" i="1" s="1"/>
  <c r="AQ328" i="1" s="1"/>
  <c r="AQ324" i="1" a="1"/>
  <c r="AQ324" i="1" s="1"/>
  <c r="AQ325" i="1" s="1"/>
  <c r="AD5" i="21"/>
  <c r="AE6" i="21"/>
  <c r="W7" i="1"/>
  <c r="V6" i="1"/>
  <c r="AX6" i="21"/>
  <c r="AW5" i="21"/>
  <c r="AR6" i="1"/>
  <c r="AS7" i="1"/>
  <c r="AB29" i="17"/>
  <c r="AA29" i="17"/>
  <c r="Z29" i="17"/>
  <c r="Y29" i="17"/>
  <c r="X29" i="17"/>
  <c r="W29" i="17"/>
  <c r="V29" i="17"/>
  <c r="U29" i="17"/>
  <c r="T29" i="17"/>
  <c r="S29" i="17"/>
  <c r="R29" i="17"/>
  <c r="Q29" i="17"/>
  <c r="P29" i="17"/>
  <c r="O29" i="17"/>
  <c r="N29" i="17"/>
  <c r="M29" i="17"/>
  <c r="L29" i="17"/>
  <c r="K29" i="17"/>
  <c r="J29" i="17"/>
  <c r="I29" i="17"/>
  <c r="H29" i="17"/>
  <c r="G29" i="17"/>
  <c r="F29" i="17"/>
  <c r="E29" i="17"/>
  <c r="AB26" i="17"/>
  <c r="AA26" i="17"/>
  <c r="Z26" i="17"/>
  <c r="Y26" i="17"/>
  <c r="X26" i="17"/>
  <c r="W26" i="17"/>
  <c r="V26" i="17"/>
  <c r="U26" i="17"/>
  <c r="T26" i="17"/>
  <c r="S26" i="17"/>
  <c r="R26" i="17"/>
  <c r="Q26" i="17"/>
  <c r="P26" i="17"/>
  <c r="O26" i="17"/>
  <c r="N26" i="17"/>
  <c r="M26" i="17"/>
  <c r="L26" i="17"/>
  <c r="K26" i="17"/>
  <c r="J26" i="17"/>
  <c r="I26" i="17"/>
  <c r="H26" i="17"/>
  <c r="G26" i="17"/>
  <c r="F26" i="17"/>
  <c r="E26" i="17"/>
  <c r="AB23" i="17"/>
  <c r="AA23" i="17"/>
  <c r="Z23" i="17"/>
  <c r="Y23" i="17"/>
  <c r="X23" i="17"/>
  <c r="W23" i="17"/>
  <c r="V23" i="17"/>
  <c r="U23" i="17"/>
  <c r="T23" i="17"/>
  <c r="S23" i="17"/>
  <c r="R23" i="17"/>
  <c r="Q23" i="17"/>
  <c r="P23" i="17"/>
  <c r="O23" i="17"/>
  <c r="N23" i="17"/>
  <c r="M23" i="17"/>
  <c r="L23" i="17"/>
  <c r="K23" i="17"/>
  <c r="J23" i="17"/>
  <c r="I23" i="17"/>
  <c r="H23" i="17"/>
  <c r="G23" i="17"/>
  <c r="F23" i="17"/>
  <c r="E23" i="17"/>
  <c r="AB20" i="17"/>
  <c r="AB21" i="17" s="1"/>
  <c r="AA20" i="17"/>
  <c r="AA21" i="17" s="1"/>
  <c r="Z20" i="17"/>
  <c r="Y20" i="17"/>
  <c r="Y21" i="17" s="1"/>
  <c r="X20" i="17"/>
  <c r="W20" i="17"/>
  <c r="V20" i="17"/>
  <c r="U20" i="17"/>
  <c r="U21" i="17" s="1"/>
  <c r="T20" i="17"/>
  <c r="T21" i="17" s="1"/>
  <c r="S20" i="17"/>
  <c r="R20" i="17"/>
  <c r="Q20" i="17"/>
  <c r="P20" i="17"/>
  <c r="P21" i="17" s="1"/>
  <c r="O20" i="17"/>
  <c r="N20" i="17"/>
  <c r="M20" i="17"/>
  <c r="M21" i="17" s="1"/>
  <c r="L20" i="17"/>
  <c r="K20" i="17"/>
  <c r="J20" i="17"/>
  <c r="I20" i="17"/>
  <c r="H20" i="17"/>
  <c r="G20" i="17"/>
  <c r="F20" i="17"/>
  <c r="E20" i="17"/>
  <c r="AB15" i="17"/>
  <c r="AB16" i="17" s="1"/>
  <c r="AA15" i="17"/>
  <c r="AA16" i="17" s="1"/>
  <c r="Z15" i="17"/>
  <c r="Z16" i="17" s="1"/>
  <c r="Y15" i="17"/>
  <c r="Y16" i="17" s="1"/>
  <c r="X15" i="17"/>
  <c r="X16" i="17" s="1"/>
  <c r="W15" i="17"/>
  <c r="W16" i="17" s="1"/>
  <c r="V15" i="17"/>
  <c r="V16" i="17" s="1"/>
  <c r="U15" i="17"/>
  <c r="U16" i="17" s="1"/>
  <c r="T15" i="17"/>
  <c r="T16" i="17" s="1"/>
  <c r="S15" i="17"/>
  <c r="S16" i="17" s="1"/>
  <c r="R15" i="17"/>
  <c r="R16" i="17" s="1"/>
  <c r="Q15" i="17"/>
  <c r="Q16" i="17" s="1"/>
  <c r="P15" i="17"/>
  <c r="P16" i="17" s="1"/>
  <c r="O15" i="17"/>
  <c r="O16" i="17" s="1"/>
  <c r="N15" i="17"/>
  <c r="N16" i="17" s="1"/>
  <c r="M15" i="17"/>
  <c r="M16" i="17" s="1"/>
  <c r="L15" i="17"/>
  <c r="L16" i="17" s="1"/>
  <c r="K15" i="17"/>
  <c r="K16" i="17" s="1"/>
  <c r="J15" i="17"/>
  <c r="J16" i="17" s="1"/>
  <c r="I15" i="17"/>
  <c r="I16" i="17" s="1"/>
  <c r="H15" i="17"/>
  <c r="H16" i="17" s="1"/>
  <c r="G15" i="17"/>
  <c r="G16" i="17" s="1"/>
  <c r="F15" i="17"/>
  <c r="F16" i="17" s="1"/>
  <c r="E15" i="17"/>
  <c r="E16" i="17" s="1"/>
  <c r="AB13" i="17"/>
  <c r="AA13" i="17"/>
  <c r="Z13" i="17"/>
  <c r="Y13" i="17"/>
  <c r="X13" i="17"/>
  <c r="W13" i="17"/>
  <c r="V13" i="17"/>
  <c r="U13" i="17"/>
  <c r="T13" i="17"/>
  <c r="S13" i="17"/>
  <c r="R13" i="17"/>
  <c r="Q13" i="17"/>
  <c r="P13" i="17"/>
  <c r="O13" i="17"/>
  <c r="N13" i="17"/>
  <c r="M13" i="17"/>
  <c r="L13" i="17"/>
  <c r="K13" i="17"/>
  <c r="J13" i="17"/>
  <c r="I13" i="17"/>
  <c r="H13" i="17"/>
  <c r="G13" i="17"/>
  <c r="F13" i="17"/>
  <c r="AB10" i="17"/>
  <c r="AA10" i="17"/>
  <c r="Z10" i="17"/>
  <c r="Y10" i="17"/>
  <c r="X10" i="17"/>
  <c r="W10" i="17"/>
  <c r="V10" i="17"/>
  <c r="U10" i="17"/>
  <c r="T10" i="17"/>
  <c r="S10" i="17"/>
  <c r="R10" i="17"/>
  <c r="Q10" i="17"/>
  <c r="P10" i="17"/>
  <c r="O10" i="17"/>
  <c r="N10" i="17"/>
  <c r="M10" i="17"/>
  <c r="L10" i="17"/>
  <c r="K10" i="17"/>
  <c r="J10" i="17"/>
  <c r="I10" i="17"/>
  <c r="H10" i="17"/>
  <c r="G10" i="17"/>
  <c r="F10" i="17"/>
  <c r="E10" i="17"/>
  <c r="D10" i="17"/>
  <c r="E4" i="17"/>
  <c r="E3" i="17"/>
  <c r="F3" i="17" s="1"/>
  <c r="G3" i="17" s="1"/>
  <c r="H3" i="17" s="1"/>
  <c r="I3" i="17" s="1"/>
  <c r="J3" i="17" s="1"/>
  <c r="K3" i="17" s="1"/>
  <c r="L3" i="17" s="1"/>
  <c r="M3" i="17" s="1"/>
  <c r="N3" i="17" s="1"/>
  <c r="O3" i="17" s="1"/>
  <c r="P3" i="17" s="1"/>
  <c r="Q3" i="17" s="1"/>
  <c r="R3" i="17" s="1"/>
  <c r="S3" i="17" s="1"/>
  <c r="T3" i="17" s="1"/>
  <c r="U3" i="17" s="1"/>
  <c r="V3" i="17" s="1"/>
  <c r="W3" i="17" s="1"/>
  <c r="X3" i="17" s="1"/>
  <c r="Y3" i="17" s="1"/>
  <c r="Z3" i="17" s="1"/>
  <c r="AA3" i="17" s="1"/>
  <c r="AB3" i="17" s="1"/>
  <c r="M59" i="16"/>
  <c r="L59" i="16"/>
  <c r="K59" i="16"/>
  <c r="J59" i="16"/>
  <c r="M57" i="16"/>
  <c r="L57" i="16"/>
  <c r="K57" i="16"/>
  <c r="J57" i="16"/>
  <c r="M54" i="16"/>
  <c r="L54" i="16"/>
  <c r="K54" i="16"/>
  <c r="J54" i="16"/>
  <c r="I54" i="16"/>
  <c r="M43" i="16"/>
  <c r="L43" i="16"/>
  <c r="K43" i="16"/>
  <c r="J43" i="16"/>
  <c r="I43" i="16"/>
  <c r="H43" i="16"/>
  <c r="G43" i="16"/>
  <c r="F43" i="16"/>
  <c r="E43" i="16"/>
  <c r="M41" i="16"/>
  <c r="L41" i="16"/>
  <c r="K41" i="16"/>
  <c r="J41" i="16"/>
  <c r="I41" i="16"/>
  <c r="H41" i="16"/>
  <c r="G41" i="16"/>
  <c r="F41" i="16"/>
  <c r="E41" i="16"/>
  <c r="M38" i="16"/>
  <c r="L38" i="16"/>
  <c r="K38" i="16"/>
  <c r="J38" i="16"/>
  <c r="I38" i="16"/>
  <c r="H38" i="16"/>
  <c r="G38" i="16"/>
  <c r="F38" i="16"/>
  <c r="E38" i="16"/>
  <c r="M28" i="16"/>
  <c r="L28" i="16"/>
  <c r="K28" i="16"/>
  <c r="J28" i="16"/>
  <c r="I28" i="16"/>
  <c r="H28" i="16"/>
  <c r="G28" i="16"/>
  <c r="F28" i="16"/>
  <c r="E28" i="16"/>
  <c r="M26" i="16"/>
  <c r="L26" i="16"/>
  <c r="K26" i="16"/>
  <c r="J26" i="16"/>
  <c r="I26" i="16"/>
  <c r="H26" i="16"/>
  <c r="G26" i="16"/>
  <c r="F26" i="16"/>
  <c r="E26" i="16"/>
  <c r="M23" i="16"/>
  <c r="L23" i="16"/>
  <c r="K23" i="16"/>
  <c r="J23" i="16"/>
  <c r="I23" i="16"/>
  <c r="H23" i="16"/>
  <c r="G23" i="16"/>
  <c r="F23" i="16"/>
  <c r="E23" i="16"/>
  <c r="M13" i="16"/>
  <c r="L13" i="16"/>
  <c r="K13" i="16"/>
  <c r="J13" i="16"/>
  <c r="I13" i="16"/>
  <c r="H13" i="16"/>
  <c r="G13" i="16"/>
  <c r="F13" i="16"/>
  <c r="E13" i="16"/>
  <c r="M11" i="16"/>
  <c r="L11" i="16"/>
  <c r="K11" i="16"/>
  <c r="J11" i="16"/>
  <c r="I11" i="16"/>
  <c r="H11" i="16"/>
  <c r="G11" i="16"/>
  <c r="F11" i="16"/>
  <c r="E11" i="16"/>
  <c r="M8" i="16"/>
  <c r="L8" i="16"/>
  <c r="K8" i="16"/>
  <c r="J8" i="16"/>
  <c r="I8" i="16"/>
  <c r="H8" i="16"/>
  <c r="G8" i="16"/>
  <c r="F8" i="16"/>
  <c r="E8" i="16"/>
  <c r="F4" i="16"/>
  <c r="G4" i="16" s="1"/>
  <c r="H4" i="16" s="1"/>
  <c r="I4" i="16" s="1"/>
  <c r="J4" i="16" s="1"/>
  <c r="K4" i="16" s="1"/>
  <c r="L4" i="16" s="1"/>
  <c r="M4" i="16" s="1"/>
  <c r="F98" i="7"/>
  <c r="G98" i="7" s="1"/>
  <c r="AR327" i="1" l="1" a="1"/>
  <c r="AR327" i="1" s="1"/>
  <c r="AR328" i="1" s="1"/>
  <c r="AR324" i="1" a="1"/>
  <c r="AR324" i="1" s="1"/>
  <c r="AR325" i="1" s="1"/>
  <c r="R21" i="17"/>
  <c r="W21" i="17"/>
  <c r="X21" i="17"/>
  <c r="Q21" i="17"/>
  <c r="Z21" i="17"/>
  <c r="L2" i="17"/>
  <c r="E2" i="17"/>
  <c r="M2" i="17"/>
  <c r="U2" i="17"/>
  <c r="N21" i="17"/>
  <c r="V21" i="17"/>
  <c r="AB2" i="17"/>
  <c r="F2" i="17"/>
  <c r="N2" i="17"/>
  <c r="V2" i="17"/>
  <c r="O21" i="17"/>
  <c r="G2" i="17"/>
  <c r="O2" i="17"/>
  <c r="W2" i="17"/>
  <c r="T2" i="17"/>
  <c r="H2" i="17"/>
  <c r="P2" i="17"/>
  <c r="X2" i="17"/>
  <c r="I2" i="17"/>
  <c r="Q2" i="17"/>
  <c r="Y2" i="17"/>
  <c r="J2" i="17"/>
  <c r="R2" i="17"/>
  <c r="Z2" i="17"/>
  <c r="K21" i="17"/>
  <c r="S21" i="17"/>
  <c r="K2" i="17"/>
  <c r="S2" i="17"/>
  <c r="AA2" i="17"/>
  <c r="L21" i="17"/>
  <c r="AE5" i="21"/>
  <c r="AF6" i="21"/>
  <c r="J17" i="16"/>
  <c r="J19" i="16" s="1"/>
  <c r="K9" i="16"/>
  <c r="I39" i="16"/>
  <c r="M39" i="16"/>
  <c r="X7" i="1"/>
  <c r="W6" i="1"/>
  <c r="M24" i="16"/>
  <c r="G29" i="16"/>
  <c r="K32" i="16"/>
  <c r="K34" i="16" s="1"/>
  <c r="G47" i="16"/>
  <c r="G49" i="16" s="1"/>
  <c r="I9" i="16"/>
  <c r="K63" i="16"/>
  <c r="K65" i="16" s="1"/>
  <c r="K55" i="16"/>
  <c r="G24" i="16"/>
  <c r="F32" i="16"/>
  <c r="F34" i="16" s="1"/>
  <c r="E32" i="16"/>
  <c r="J47" i="16"/>
  <c r="M47" i="16"/>
  <c r="M49" i="16" s="1"/>
  <c r="L60" i="16"/>
  <c r="L9" i="16"/>
  <c r="F17" i="16"/>
  <c r="F19" i="16" s="1"/>
  <c r="K30" i="16"/>
  <c r="G17" i="16"/>
  <c r="G19" i="16" s="1"/>
  <c r="M17" i="16"/>
  <c r="I32" i="16"/>
  <c r="I34" i="16" s="1"/>
  <c r="K39" i="16"/>
  <c r="L17" i="16"/>
  <c r="H17" i="16"/>
  <c r="J24" i="16"/>
  <c r="J63" i="16"/>
  <c r="F30" i="16"/>
  <c r="H39" i="16"/>
  <c r="F45" i="16"/>
  <c r="K61" i="16"/>
  <c r="K17" i="17"/>
  <c r="Q17" i="17"/>
  <c r="W17" i="17"/>
  <c r="G9" i="16"/>
  <c r="E17" i="16"/>
  <c r="K17" i="16"/>
  <c r="G39" i="16"/>
  <c r="E47" i="16"/>
  <c r="K47" i="16"/>
  <c r="K49" i="16" s="1"/>
  <c r="G17" i="17"/>
  <c r="S17" i="17"/>
  <c r="J30" i="16"/>
  <c r="O17" i="17"/>
  <c r="U17" i="17"/>
  <c r="AA17" i="17"/>
  <c r="H9" i="16"/>
  <c r="G14" i="16"/>
  <c r="F24" i="16"/>
  <c r="L24" i="16"/>
  <c r="J32" i="16"/>
  <c r="J34" i="16" s="1"/>
  <c r="J39" i="16"/>
  <c r="F47" i="16"/>
  <c r="F49" i="16" s="1"/>
  <c r="M55" i="16"/>
  <c r="K60" i="16"/>
  <c r="P17" i="17"/>
  <c r="AB17" i="17"/>
  <c r="F15" i="16"/>
  <c r="M9" i="16"/>
  <c r="L55" i="16"/>
  <c r="K24" i="16"/>
  <c r="I17" i="16"/>
  <c r="G15" i="16"/>
  <c r="I47" i="16"/>
  <c r="J15" i="16"/>
  <c r="K15" i="16"/>
  <c r="H24" i="16"/>
  <c r="I24" i="16"/>
  <c r="G32" i="16"/>
  <c r="G34" i="16" s="1"/>
  <c r="M32" i="16"/>
  <c r="M34" i="16" s="1"/>
  <c r="F39" i="16"/>
  <c r="L39" i="16"/>
  <c r="J45" i="16"/>
  <c r="AX5" i="21"/>
  <c r="AY6" i="21"/>
  <c r="AS6" i="1"/>
  <c r="AT7" i="1"/>
  <c r="T17" i="17"/>
  <c r="H17" i="17"/>
  <c r="I17" i="17"/>
  <c r="L17" i="17"/>
  <c r="M17" i="17"/>
  <c r="X17" i="17"/>
  <c r="Y17" i="17"/>
  <c r="M19" i="16"/>
  <c r="J49" i="16"/>
  <c r="F9" i="16"/>
  <c r="J9" i="16"/>
  <c r="K29" i="16"/>
  <c r="H47" i="16"/>
  <c r="L47" i="16"/>
  <c r="G45" i="16"/>
  <c r="K44" i="16"/>
  <c r="K14" i="16"/>
  <c r="H32" i="16"/>
  <c r="L32" i="16"/>
  <c r="G30" i="16"/>
  <c r="K45" i="16"/>
  <c r="J55" i="16"/>
  <c r="M60" i="16"/>
  <c r="M63" i="16"/>
  <c r="M61" i="16"/>
  <c r="F17" i="17"/>
  <c r="J17" i="17"/>
  <c r="N17" i="17"/>
  <c r="R17" i="17"/>
  <c r="V17" i="17"/>
  <c r="Z17" i="17"/>
  <c r="H19" i="16"/>
  <c r="G44" i="16"/>
  <c r="H14" i="16"/>
  <c r="L14" i="16"/>
  <c r="H15" i="16"/>
  <c r="L15" i="16"/>
  <c r="H29" i="16"/>
  <c r="L29" i="16"/>
  <c r="H30" i="16"/>
  <c r="L30" i="16"/>
  <c r="H44" i="16"/>
  <c r="L44" i="16"/>
  <c r="H45" i="16"/>
  <c r="L45" i="16"/>
  <c r="L61" i="16"/>
  <c r="L63" i="16"/>
  <c r="I14" i="16"/>
  <c r="M14" i="16"/>
  <c r="I15" i="16"/>
  <c r="M15" i="16"/>
  <c r="I29" i="16"/>
  <c r="M29" i="16"/>
  <c r="I30" i="16"/>
  <c r="M30" i="16"/>
  <c r="I44" i="16"/>
  <c r="M44" i="16"/>
  <c r="I45" i="16"/>
  <c r="M45" i="16"/>
  <c r="F4" i="17"/>
  <c r="F14" i="16"/>
  <c r="J14" i="16"/>
  <c r="F29" i="16"/>
  <c r="J29" i="16"/>
  <c r="F44" i="16"/>
  <c r="J44" i="16"/>
  <c r="AS324" i="1" l="1" a="1"/>
  <c r="AS324" i="1" s="1"/>
  <c r="AS325" i="1" s="1"/>
  <c r="AS327" i="1" a="1"/>
  <c r="AS327" i="1" s="1"/>
  <c r="AS328" i="1" s="1"/>
  <c r="AF5" i="21"/>
  <c r="AG6" i="21"/>
  <c r="J18" i="16"/>
  <c r="K18" i="16"/>
  <c r="K64" i="16"/>
  <c r="M18" i="16"/>
  <c r="G18" i="16"/>
  <c r="I48" i="16"/>
  <c r="F33" i="16"/>
  <c r="H18" i="16"/>
  <c r="G48" i="16"/>
  <c r="K33" i="16"/>
  <c r="AY5" i="21"/>
  <c r="AZ6" i="21"/>
  <c r="AU7" i="1"/>
  <c r="AV7" i="1" s="1"/>
  <c r="Y7" i="1"/>
  <c r="X6" i="1"/>
  <c r="F48" i="16"/>
  <c r="J48" i="16"/>
  <c r="F18" i="16"/>
  <c r="M33" i="16"/>
  <c r="I49" i="16"/>
  <c r="G33" i="16"/>
  <c r="L19" i="16"/>
  <c r="K48" i="16"/>
  <c r="L18" i="16"/>
  <c r="I33" i="16"/>
  <c r="J33" i="16"/>
  <c r="K19" i="16"/>
  <c r="I18" i="16"/>
  <c r="I19" i="16"/>
  <c r="AT6" i="1"/>
  <c r="L65" i="16"/>
  <c r="L64" i="16"/>
  <c r="L34" i="16"/>
  <c r="L33" i="16"/>
  <c r="L49" i="16"/>
  <c r="L48" i="16"/>
  <c r="G4" i="17"/>
  <c r="H34" i="16"/>
  <c r="H33" i="16"/>
  <c r="H49" i="16"/>
  <c r="H48" i="16"/>
  <c r="M64" i="16"/>
  <c r="M65" i="16"/>
  <c r="M48" i="16"/>
  <c r="AT324" i="1" l="1" a="1"/>
  <c r="AT324" i="1" s="1"/>
  <c r="AT327" i="1" a="1"/>
  <c r="AT327" i="1" s="1"/>
  <c r="AG5" i="21"/>
  <c r="AH6" i="21"/>
  <c r="AZ5" i="21"/>
  <c r="BA6" i="21"/>
  <c r="AU6" i="1"/>
  <c r="AW7" i="1"/>
  <c r="AV6" i="1"/>
  <c r="AR244" i="1"/>
  <c r="Z7" i="1"/>
  <c r="Y6" i="1"/>
  <c r="AQ244" i="1"/>
  <c r="H4" i="17"/>
  <c r="C26" i="13"/>
  <c r="AT328" i="1" l="1"/>
  <c r="AY327" i="1"/>
  <c r="AT325" i="1"/>
  <c r="AY324" i="1"/>
  <c r="AI6" i="21"/>
  <c r="AH5" i="21"/>
  <c r="AW6" i="1"/>
  <c r="AX7" i="1"/>
  <c r="AX6" i="1" s="1"/>
  <c r="BA5" i="21"/>
  <c r="BB6" i="21"/>
  <c r="BB5" i="21" s="1"/>
  <c r="AA7" i="1"/>
  <c r="Z6" i="1"/>
  <c r="I4" i="17"/>
  <c r="AJ6" i="21" l="1"/>
  <c r="AJ5" i="21" s="1"/>
  <c r="AI5" i="21"/>
  <c r="AB7" i="1"/>
  <c r="AA6" i="1"/>
  <c r="J4" i="17"/>
  <c r="AB6" i="1" l="1"/>
  <c r="AC7" i="1"/>
  <c r="K4" i="17"/>
  <c r="C25" i="13"/>
  <c r="AD7" i="1" l="1"/>
  <c r="AC6" i="1"/>
  <c r="L4" i="17"/>
  <c r="AE7" i="1" l="1"/>
  <c r="AD6" i="1"/>
  <c r="AF7" i="1" l="1"/>
  <c r="AE6" i="1"/>
  <c r="N4" i="17"/>
  <c r="C24" i="13"/>
  <c r="AG7" i="1" l="1"/>
  <c r="AF6" i="1"/>
  <c r="O4" i="17"/>
  <c r="AG6" i="1" l="1"/>
  <c r="AH7" i="1"/>
  <c r="AU137" i="1"/>
  <c r="AU136" i="1"/>
  <c r="AN136" i="1"/>
  <c r="AN137" i="1"/>
  <c r="AP136" i="1"/>
  <c r="AO136" i="1"/>
  <c r="AO137" i="1"/>
  <c r="AP137" i="1"/>
  <c r="AQ137" i="1"/>
  <c r="AR137" i="1"/>
  <c r="AQ136" i="1"/>
  <c r="AR136" i="1"/>
  <c r="AS137" i="1"/>
  <c r="AS136" i="1"/>
  <c r="AT136" i="1"/>
  <c r="AT137" i="1"/>
  <c r="P4" i="17"/>
  <c r="AI7" i="1" l="1"/>
  <c r="AH6" i="1"/>
  <c r="Q4" i="17"/>
  <c r="C23" i="13"/>
  <c r="AI6" i="1" l="1"/>
  <c r="AJ7" i="1"/>
  <c r="R4" i="17"/>
  <c r="AN400" i="1" l="1"/>
  <c r="AR104" i="21" s="1"/>
  <c r="AO559" i="1"/>
  <c r="AS106" i="21" s="1"/>
  <c r="AN559" i="1"/>
  <c r="AR106" i="21" s="1"/>
  <c r="AN481" i="1"/>
  <c r="AR105" i="21" s="1"/>
  <c r="AN613" i="1"/>
  <c r="AR107" i="21" s="1"/>
  <c r="AN345" i="1"/>
  <c r="AR103" i="21" s="1"/>
  <c r="AO345" i="1"/>
  <c r="AS103" i="21" s="1"/>
  <c r="AQ559" i="1"/>
  <c r="AU106" i="21" s="1"/>
  <c r="AP613" i="1"/>
  <c r="AT107" i="21" s="1"/>
  <c r="AO400" i="1"/>
  <c r="AS104" i="21" s="1"/>
  <c r="AO613" i="1"/>
  <c r="AS107" i="21" s="1"/>
  <c r="AO481" i="1"/>
  <c r="AS105" i="21" s="1"/>
  <c r="AQ345" i="1"/>
  <c r="AU103" i="21" s="1"/>
  <c r="AP481" i="1"/>
  <c r="AT105" i="21" s="1"/>
  <c r="AP400" i="1"/>
  <c r="AT104" i="21" s="1"/>
  <c r="AP345" i="1"/>
  <c r="AT103" i="21" s="1"/>
  <c r="AR613" i="1"/>
  <c r="AV107" i="21" s="1"/>
  <c r="AP559" i="1"/>
  <c r="AT106" i="21" s="1"/>
  <c r="AS400" i="1"/>
  <c r="AW104" i="21" s="1"/>
  <c r="AQ613" i="1"/>
  <c r="AU107" i="21" s="1"/>
  <c r="AQ400" i="1"/>
  <c r="AU104" i="21" s="1"/>
  <c r="AQ481" i="1"/>
  <c r="AU105" i="21" s="1"/>
  <c r="AR559" i="1"/>
  <c r="AV106" i="21" s="1"/>
  <c r="AR481" i="1"/>
  <c r="AV105" i="21" s="1"/>
  <c r="AR400" i="1"/>
  <c r="AV104" i="21" s="1"/>
  <c r="AS345" i="1"/>
  <c r="AW103" i="21" s="1"/>
  <c r="AS613" i="1"/>
  <c r="AW107" i="21" s="1"/>
  <c r="AS559" i="1"/>
  <c r="AW106" i="21" s="1"/>
  <c r="AT613" i="1"/>
  <c r="AX107" i="21" s="1"/>
  <c r="AR345" i="1"/>
  <c r="AV103" i="21" s="1"/>
  <c r="AT345" i="1"/>
  <c r="AX103" i="21" s="1"/>
  <c r="AT400" i="1"/>
  <c r="AX104" i="21" s="1"/>
  <c r="AS481" i="1"/>
  <c r="AW105" i="21" s="1"/>
  <c r="AT481" i="1"/>
  <c r="AX105" i="21" s="1"/>
  <c r="AT559" i="1"/>
  <c r="AX106" i="21" s="1"/>
  <c r="AQ893" i="1"/>
  <c r="AS873" i="1"/>
  <c r="AR893" i="1"/>
  <c r="AS893" i="1"/>
  <c r="AT893" i="1"/>
  <c r="AT873" i="1"/>
  <c r="AJ6" i="1"/>
  <c r="AN739" i="1"/>
  <c r="AN740" i="1"/>
  <c r="AN756" i="1"/>
  <c r="AN761" i="1"/>
  <c r="AN772" i="1"/>
  <c r="AN755" i="1"/>
  <c r="AO767" i="1"/>
  <c r="AO801" i="1" s="1"/>
  <c r="AN743" i="1"/>
  <c r="AN741" i="1"/>
  <c r="AN738" i="1"/>
  <c r="AN795" i="1" s="1"/>
  <c r="AN764" i="1"/>
  <c r="AN751" i="1"/>
  <c r="AN776" i="1"/>
  <c r="AN774" i="1"/>
  <c r="AN742" i="1"/>
  <c r="AN758" i="1"/>
  <c r="AN750" i="1"/>
  <c r="AO779" i="1"/>
  <c r="AO769" i="1"/>
  <c r="AO805" i="1" s="1"/>
  <c r="AO747" i="1"/>
  <c r="AN768" i="1"/>
  <c r="AN806" i="1" s="1"/>
  <c r="AO775" i="1"/>
  <c r="AN779" i="1"/>
  <c r="AO746" i="1"/>
  <c r="AO759" i="1"/>
  <c r="AN747" i="1"/>
  <c r="AO773" i="1"/>
  <c r="AO761" i="1"/>
  <c r="AP759" i="1"/>
  <c r="AO741" i="1"/>
  <c r="AN775" i="1"/>
  <c r="AN765" i="1"/>
  <c r="AN752" i="1"/>
  <c r="AN773" i="1"/>
  <c r="AO751" i="1"/>
  <c r="AO740" i="1"/>
  <c r="AN757" i="1"/>
  <c r="AN759" i="1"/>
  <c r="AO752" i="1"/>
  <c r="AN767" i="1"/>
  <c r="AN801" i="1" s="1"/>
  <c r="AN760" i="1"/>
  <c r="AO758" i="1"/>
  <c r="AO755" i="1"/>
  <c r="AN769" i="1"/>
  <c r="AN805" i="1" s="1"/>
  <c r="AO738" i="1"/>
  <c r="AO795" i="1" s="1"/>
  <c r="AO776" i="1"/>
  <c r="AP779" i="1"/>
  <c r="AP764" i="1"/>
  <c r="AP755" i="1"/>
  <c r="AP772" i="1"/>
  <c r="AP767" i="1"/>
  <c r="AP801" i="1" s="1"/>
  <c r="AP761" i="1"/>
  <c r="AP743" i="1"/>
  <c r="AO765" i="1"/>
  <c r="AP738" i="1"/>
  <c r="AP795" i="1" s="1"/>
  <c r="AP750" i="1"/>
  <c r="AO772" i="1"/>
  <c r="AP742" i="1"/>
  <c r="AP774" i="1"/>
  <c r="AP757" i="1"/>
  <c r="AP747" i="1"/>
  <c r="AO757" i="1"/>
  <c r="AP752" i="1"/>
  <c r="AO756" i="1"/>
  <c r="AP765" i="1"/>
  <c r="AP773" i="1"/>
  <c r="AP739" i="1"/>
  <c r="AO768" i="1"/>
  <c r="AO806" i="1" s="1"/>
  <c r="AN746" i="1"/>
  <c r="AP740" i="1"/>
  <c r="AO743" i="1"/>
  <c r="AO750" i="1"/>
  <c r="AO739" i="1"/>
  <c r="AO764" i="1"/>
  <c r="AO742" i="1"/>
  <c r="AP746" i="1"/>
  <c r="AP760" i="1"/>
  <c r="AQ759" i="1"/>
  <c r="AO774" i="1"/>
  <c r="AO760" i="1"/>
  <c r="AQ747" i="1"/>
  <c r="AQ750" i="1"/>
  <c r="AQ761" i="1"/>
  <c r="AP751" i="1"/>
  <c r="AQ767" i="1"/>
  <c r="AQ801" i="1" s="1"/>
  <c r="AP769" i="1"/>
  <c r="AP805" i="1" s="1"/>
  <c r="AQ758" i="1"/>
  <c r="AP775" i="1"/>
  <c r="AQ740" i="1"/>
  <c r="AQ741" i="1"/>
  <c r="AQ772" i="1"/>
  <c r="AQ764" i="1"/>
  <c r="AQ739" i="1"/>
  <c r="AP776" i="1"/>
  <c r="AQ757" i="1"/>
  <c r="AQ779" i="1"/>
  <c r="AQ775" i="1"/>
  <c r="AP756" i="1"/>
  <c r="AQ746" i="1"/>
  <c r="AP741" i="1"/>
  <c r="AQ742" i="1"/>
  <c r="AQ768" i="1"/>
  <c r="AQ806" i="1" s="1"/>
  <c r="AQ776" i="1"/>
  <c r="AP768" i="1"/>
  <c r="AP806" i="1" s="1"/>
  <c r="AQ769" i="1"/>
  <c r="AQ805" i="1" s="1"/>
  <c r="AR775" i="1"/>
  <c r="AR743" i="1"/>
  <c r="AR760" i="1"/>
  <c r="AQ751" i="1"/>
  <c r="AR742" i="1"/>
  <c r="AS738" i="1"/>
  <c r="AS795" i="1" s="1"/>
  <c r="AR779" i="1"/>
  <c r="AR739" i="1"/>
  <c r="AQ760" i="1"/>
  <c r="AQ774" i="1"/>
  <c r="AQ738" i="1"/>
  <c r="AQ795" i="1" s="1"/>
  <c r="AR768" i="1"/>
  <c r="AR806" i="1" s="1"/>
  <c r="AR747" i="1"/>
  <c r="AR764" i="1"/>
  <c r="AQ752" i="1"/>
  <c r="AQ755" i="1"/>
  <c r="AQ765" i="1"/>
  <c r="AP758" i="1"/>
  <c r="AR757" i="1"/>
  <c r="AR756" i="1"/>
  <c r="AR769" i="1"/>
  <c r="AR805" i="1" s="1"/>
  <c r="AQ756" i="1"/>
  <c r="AR776" i="1"/>
  <c r="AR738" i="1"/>
  <c r="AR795" i="1" s="1"/>
  <c r="AR751" i="1"/>
  <c r="AR740" i="1"/>
  <c r="AR774" i="1"/>
  <c r="AQ743" i="1"/>
  <c r="AQ773" i="1"/>
  <c r="AR772" i="1"/>
  <c r="AR765" i="1"/>
  <c r="AR750" i="1"/>
  <c r="AS746" i="1"/>
  <c r="AS740" i="1"/>
  <c r="AR767" i="1"/>
  <c r="AR801" i="1" s="1"/>
  <c r="AS747" i="1"/>
  <c r="AS750" i="1"/>
  <c r="AS758" i="1"/>
  <c r="AR773" i="1"/>
  <c r="AS775" i="1"/>
  <c r="AR755" i="1"/>
  <c r="AS743" i="1"/>
  <c r="AS756" i="1"/>
  <c r="AS774" i="1"/>
  <c r="AS765" i="1"/>
  <c r="AR752" i="1"/>
  <c r="AS773" i="1"/>
  <c r="AS779" i="1"/>
  <c r="AR758" i="1"/>
  <c r="AS752" i="1"/>
  <c r="AR741" i="1"/>
  <c r="AR761" i="1"/>
  <c r="AR759" i="1"/>
  <c r="AS769" i="1"/>
  <c r="AS805" i="1" s="1"/>
  <c r="AS760" i="1"/>
  <c r="AS772" i="1"/>
  <c r="AS742" i="1"/>
  <c r="AS768" i="1"/>
  <c r="AS806" i="1" s="1"/>
  <c r="AS759" i="1"/>
  <c r="AS764" i="1"/>
  <c r="AS741" i="1"/>
  <c r="AT761" i="1"/>
  <c r="AS751" i="1"/>
  <c r="AS761" i="1"/>
  <c r="AT768" i="1"/>
  <c r="AT806" i="1" s="1"/>
  <c r="AS755" i="1"/>
  <c r="AR746" i="1"/>
  <c r="AS776" i="1"/>
  <c r="AS757" i="1"/>
  <c r="AT743" i="1"/>
  <c r="AS739" i="1"/>
  <c r="AU743" i="1"/>
  <c r="AU768" i="1"/>
  <c r="AU806" i="1" s="1"/>
  <c r="AS767" i="1"/>
  <c r="AS801" i="1" s="1"/>
  <c r="AU761" i="1"/>
  <c r="S4" i="17"/>
  <c r="AO207" i="1" l="1"/>
  <c r="AO206" i="1"/>
  <c r="AP207" i="1"/>
  <c r="AN206" i="1"/>
  <c r="AN207" i="1"/>
  <c r="AP206" i="1"/>
  <c r="AQ206" i="1"/>
  <c r="AQ207" i="1"/>
  <c r="AR207" i="1"/>
  <c r="AR206" i="1"/>
  <c r="AS206" i="1"/>
  <c r="AS207" i="1"/>
  <c r="AT207" i="1"/>
  <c r="AT206" i="1"/>
  <c r="AU206" i="1"/>
  <c r="AU207" i="1"/>
  <c r="AN185" i="1"/>
  <c r="AO184" i="1"/>
  <c r="AO185" i="1"/>
  <c r="AN184" i="1"/>
  <c r="AQ185" i="1"/>
  <c r="AR185" i="1"/>
  <c r="AP184" i="1"/>
  <c r="AR184" i="1"/>
  <c r="AP185" i="1"/>
  <c r="AS185" i="1"/>
  <c r="AS184" i="1"/>
  <c r="AQ184" i="1"/>
  <c r="AU185" i="1"/>
  <c r="AU184" i="1"/>
  <c r="AT185" i="1"/>
  <c r="AT184" i="1"/>
  <c r="AN186" i="1"/>
  <c r="AO186" i="1"/>
  <c r="AP186" i="1"/>
  <c r="AQ186" i="1"/>
  <c r="AR186" i="1"/>
  <c r="AS186" i="1"/>
  <c r="AU186" i="1"/>
  <c r="AT186" i="1"/>
  <c r="AN606" i="1"/>
  <c r="AP606" i="1"/>
  <c r="AO606" i="1"/>
  <c r="AQ606" i="1"/>
  <c r="AR606" i="1"/>
  <c r="AS606" i="1"/>
  <c r="AT606" i="1"/>
  <c r="AU606" i="1"/>
  <c r="AS929" i="1"/>
  <c r="AN537" i="1"/>
  <c r="AO537" i="1"/>
  <c r="AP537" i="1"/>
  <c r="AQ537" i="1"/>
  <c r="AR537" i="1"/>
  <c r="AT537" i="1"/>
  <c r="AS537" i="1"/>
  <c r="AU537" i="1"/>
  <c r="AN766" i="1"/>
  <c r="AN980" i="1" s="1"/>
  <c r="AP766" i="1"/>
  <c r="AP980" i="1" s="1"/>
  <c r="AS766" i="1"/>
  <c r="AQ766" i="1"/>
  <c r="AO766" i="1"/>
  <c r="AR766" i="1"/>
  <c r="AO762" i="1"/>
  <c r="AR762" i="1"/>
  <c r="AS762" i="1"/>
  <c r="AQ762" i="1"/>
  <c r="AP762" i="1"/>
  <c r="AN762" i="1"/>
  <c r="AO796" i="1"/>
  <c r="AR827" i="1"/>
  <c r="AQ815" i="1"/>
  <c r="AQ827" i="1"/>
  <c r="AS815" i="1"/>
  <c r="AS827" i="1"/>
  <c r="AP815" i="1"/>
  <c r="AP827" i="1"/>
  <c r="AN815" i="1"/>
  <c r="AN827" i="1"/>
  <c r="AO827" i="1"/>
  <c r="AR815" i="1"/>
  <c r="AR108" i="21"/>
  <c r="AO815" i="1"/>
  <c r="AR796" i="1"/>
  <c r="AV108" i="21"/>
  <c r="AQ792" i="1"/>
  <c r="AO790" i="1"/>
  <c r="AN796" i="1"/>
  <c r="AT108" i="21"/>
  <c r="AX108" i="21"/>
  <c r="AS108" i="21"/>
  <c r="AU108" i="21"/>
  <c r="AR790" i="1"/>
  <c r="AT14" i="1"/>
  <c r="AS927" i="1"/>
  <c r="AW108" i="21"/>
  <c r="AS790" i="1"/>
  <c r="AP796" i="1"/>
  <c r="AN792" i="1"/>
  <c r="AO792" i="1"/>
  <c r="AS796" i="1"/>
  <c r="AN790" i="1"/>
  <c r="AQ790" i="1"/>
  <c r="AP792" i="1"/>
  <c r="AS792" i="1"/>
  <c r="AR792" i="1"/>
  <c r="AP790" i="1"/>
  <c r="AQ796" i="1"/>
  <c r="AN600" i="1"/>
  <c r="AO601" i="1"/>
  <c r="AO600" i="1"/>
  <c r="AN601" i="1"/>
  <c r="AP601" i="1"/>
  <c r="AQ601" i="1"/>
  <c r="AP600" i="1"/>
  <c r="AQ600" i="1"/>
  <c r="AR601" i="1"/>
  <c r="AR600" i="1"/>
  <c r="AU600" i="1"/>
  <c r="AS600" i="1"/>
  <c r="AS601" i="1"/>
  <c r="AU601" i="1"/>
  <c r="AT601" i="1"/>
  <c r="AT600" i="1"/>
  <c r="AN233" i="1"/>
  <c r="AN234" i="1"/>
  <c r="AP233" i="1"/>
  <c r="AP234" i="1"/>
  <c r="AO234" i="1"/>
  <c r="AQ233" i="1"/>
  <c r="AO233" i="1"/>
  <c r="AR968" i="1"/>
  <c r="AR233" i="1"/>
  <c r="AR961" i="1"/>
  <c r="AQ234" i="1"/>
  <c r="AR234" i="1"/>
  <c r="AT233" i="1"/>
  <c r="AS968" i="1"/>
  <c r="AT234" i="1"/>
  <c r="AU234" i="1"/>
  <c r="AS234" i="1"/>
  <c r="AU233" i="1"/>
  <c r="AS961" i="1"/>
  <c r="AU969" i="1"/>
  <c r="AS233" i="1"/>
  <c r="AT961" i="1"/>
  <c r="AU961" i="1"/>
  <c r="AV761" i="1"/>
  <c r="AW761" i="1" s="1"/>
  <c r="AX761" i="1" s="1"/>
  <c r="AV743" i="1"/>
  <c r="AT513" i="1"/>
  <c r="AN179" i="1"/>
  <c r="AO179" i="1"/>
  <c r="AN180" i="1"/>
  <c r="AO180" i="1"/>
  <c r="AP180" i="1"/>
  <c r="AQ179" i="1"/>
  <c r="AP179" i="1"/>
  <c r="AQ180" i="1"/>
  <c r="AT180" i="1"/>
  <c r="AS179" i="1"/>
  <c r="AR180" i="1"/>
  <c r="AR179" i="1"/>
  <c r="AS180" i="1"/>
  <c r="AU180" i="1"/>
  <c r="AT179" i="1"/>
  <c r="AU179" i="1"/>
  <c r="AN724" i="1"/>
  <c r="AN215" i="1"/>
  <c r="AN513" i="1"/>
  <c r="AN605" i="1"/>
  <c r="AN217" i="1"/>
  <c r="AN227" i="1"/>
  <c r="AN722" i="1"/>
  <c r="AN538" i="1"/>
  <c r="AN214" i="1"/>
  <c r="AN159" i="1"/>
  <c r="AN40" i="1"/>
  <c r="AN41" i="1" s="1"/>
  <c r="AN721" i="1"/>
  <c r="AN603" i="1"/>
  <c r="AN231" i="1"/>
  <c r="AN93" i="1"/>
  <c r="AN379" i="1"/>
  <c r="AN378" i="1"/>
  <c r="AN223" i="1"/>
  <c r="AN216" i="1"/>
  <c r="AN172" i="1"/>
  <c r="AN226" i="1"/>
  <c r="AN151" i="1"/>
  <c r="AN599" i="1"/>
  <c r="AN277" i="1"/>
  <c r="AN460" i="1"/>
  <c r="AN232" i="1"/>
  <c r="AN457" i="1"/>
  <c r="AN371" i="1"/>
  <c r="AN274" i="1"/>
  <c r="AN225" i="1"/>
  <c r="AN33" i="1"/>
  <c r="AN32" i="1"/>
  <c r="AN535" i="1"/>
  <c r="AN26" i="1"/>
  <c r="AN352" i="1"/>
  <c r="AN208" i="1"/>
  <c r="AN596" i="1"/>
  <c r="AN275" i="1"/>
  <c r="AN235" i="1"/>
  <c r="AN22" i="1"/>
  <c r="AN49" i="1"/>
  <c r="AN205" i="1"/>
  <c r="AN11" i="1"/>
  <c r="AN38" i="1"/>
  <c r="AN39" i="1"/>
  <c r="AN723" i="1"/>
  <c r="AN608" i="1"/>
  <c r="AN228" i="1"/>
  <c r="AN269" i="1"/>
  <c r="AN135" i="1"/>
  <c r="AN236" i="1"/>
  <c r="AN230" i="1"/>
  <c r="AN54" i="1"/>
  <c r="AN276" i="1"/>
  <c r="AN204" i="1"/>
  <c r="AN250" i="1"/>
  <c r="AN144" i="1"/>
  <c r="AN376" i="1"/>
  <c r="AN14" i="1"/>
  <c r="AN459" i="1"/>
  <c r="AN165" i="1"/>
  <c r="AN607" i="1"/>
  <c r="AN199" i="1"/>
  <c r="AN377" i="1"/>
  <c r="AN433" i="1"/>
  <c r="AO176" i="1"/>
  <c r="AO277" i="1"/>
  <c r="AN46" i="1"/>
  <c r="AO26" i="1"/>
  <c r="AO144" i="1"/>
  <c r="AN592" i="1"/>
  <c r="AO208" i="1"/>
  <c r="AO371" i="1"/>
  <c r="AO603" i="1"/>
  <c r="AO378" i="1"/>
  <c r="AO230" i="1"/>
  <c r="AO452" i="1"/>
  <c r="AN458" i="1"/>
  <c r="AO215" i="1"/>
  <c r="AN604" i="1"/>
  <c r="AO204" i="1"/>
  <c r="AO724" i="1"/>
  <c r="AO723" i="1"/>
  <c r="AO214" i="1"/>
  <c r="AO379" i="1"/>
  <c r="AO352" i="1"/>
  <c r="AO608" i="1"/>
  <c r="AN530" i="1"/>
  <c r="AN31" i="1"/>
  <c r="AO49" i="1"/>
  <c r="AO276" i="1"/>
  <c r="AO721" i="1"/>
  <c r="AO135" i="1"/>
  <c r="AO460" i="1"/>
  <c r="AO377" i="1"/>
  <c r="AN176" i="1"/>
  <c r="AO457" i="1"/>
  <c r="AO22" i="1"/>
  <c r="AO231" i="1"/>
  <c r="AO458" i="1"/>
  <c r="AN536" i="1"/>
  <c r="AO592" i="1"/>
  <c r="AO11" i="1"/>
  <c r="AO250" i="1"/>
  <c r="AO536" i="1"/>
  <c r="AO433" i="1"/>
  <c r="AO376" i="1"/>
  <c r="AO232" i="1"/>
  <c r="AO151" i="1"/>
  <c r="AO14" i="1"/>
  <c r="AO538" i="1"/>
  <c r="AO602" i="1"/>
  <c r="AO604" i="1"/>
  <c r="AO217" i="1"/>
  <c r="AO530" i="1"/>
  <c r="AN602" i="1"/>
  <c r="AN30" i="1"/>
  <c r="AN229" i="1"/>
  <c r="AO459" i="1"/>
  <c r="AO275" i="1"/>
  <c r="AN452" i="1"/>
  <c r="AO172" i="1"/>
  <c r="AO40" i="1"/>
  <c r="AQ379" i="1"/>
  <c r="AP275" i="1"/>
  <c r="AP269" i="1"/>
  <c r="AP352" i="1"/>
  <c r="AP592" i="1"/>
  <c r="AP722" i="1"/>
  <c r="AP159" i="1"/>
  <c r="AP26" i="1"/>
  <c r="AP235" i="1"/>
  <c r="AP225" i="1"/>
  <c r="AP276" i="1"/>
  <c r="AO605" i="1"/>
  <c r="AP371" i="1"/>
  <c r="AP724" i="1"/>
  <c r="AP144" i="1"/>
  <c r="AP530" i="1"/>
  <c r="AP215" i="1"/>
  <c r="AP49" i="1"/>
  <c r="AO535" i="1"/>
  <c r="AP135" i="1"/>
  <c r="AP605" i="1"/>
  <c r="AP458" i="1"/>
  <c r="AO223" i="1"/>
  <c r="AP231" i="1"/>
  <c r="AO46" i="1"/>
  <c r="AP214" i="1"/>
  <c r="AO39" i="1"/>
  <c r="AP40" i="1"/>
  <c r="AO722" i="1"/>
  <c r="AP599" i="1"/>
  <c r="AP535" i="1"/>
  <c r="AO165" i="1"/>
  <c r="AP199" i="1"/>
  <c r="AO236" i="1"/>
  <c r="AP39" i="1"/>
  <c r="AO30" i="1"/>
  <c r="AO205" i="1"/>
  <c r="AO216" i="1"/>
  <c r="AO607" i="1"/>
  <c r="AO235" i="1"/>
  <c r="AP457" i="1"/>
  <c r="AP274" i="1"/>
  <c r="AP379" i="1"/>
  <c r="AO229" i="1"/>
  <c r="AP176" i="1"/>
  <c r="AO269" i="1"/>
  <c r="AP205" i="1"/>
  <c r="AP32" i="1"/>
  <c r="AO513" i="1"/>
  <c r="AP721" i="1"/>
  <c r="AO31" i="1"/>
  <c r="AO38" i="1"/>
  <c r="AP277" i="1"/>
  <c r="AP236" i="1"/>
  <c r="AP230" i="1"/>
  <c r="AP38" i="1"/>
  <c r="AP604" i="1"/>
  <c r="AP536" i="1"/>
  <c r="AO228" i="1"/>
  <c r="AP602" i="1"/>
  <c r="AO226" i="1"/>
  <c r="AP216" i="1"/>
  <c r="AP31" i="1"/>
  <c r="AP228" i="1"/>
  <c r="AO596" i="1"/>
  <c r="AP452" i="1"/>
  <c r="AP596" i="1"/>
  <c r="AO199" i="1"/>
  <c r="AP723" i="1"/>
  <c r="AO32" i="1"/>
  <c r="AO274" i="1"/>
  <c r="AO159" i="1"/>
  <c r="AP33" i="1"/>
  <c r="AP376" i="1"/>
  <c r="AP226" i="1"/>
  <c r="AQ458" i="1"/>
  <c r="AQ377" i="1"/>
  <c r="AP232" i="1"/>
  <c r="AQ608" i="1"/>
  <c r="AO225" i="1"/>
  <c r="AQ530" i="1"/>
  <c r="AQ228" i="1"/>
  <c r="AQ236" i="1"/>
  <c r="AQ22" i="1"/>
  <c r="AP11" i="1"/>
  <c r="AQ135" i="1"/>
  <c r="AQ14" i="1"/>
  <c r="AP172" i="1"/>
  <c r="AP250" i="1"/>
  <c r="AP513" i="1"/>
  <c r="AP22" i="1"/>
  <c r="AP102" i="1"/>
  <c r="AP459" i="1"/>
  <c r="AP217" i="1"/>
  <c r="AO54" i="1"/>
  <c r="AQ535" i="1"/>
  <c r="AP151" i="1"/>
  <c r="AQ269" i="1"/>
  <c r="AQ204" i="1"/>
  <c r="AQ214" i="1"/>
  <c r="AP165" i="1"/>
  <c r="AP377" i="1"/>
  <c r="AQ459" i="1"/>
  <c r="AP433" i="1"/>
  <c r="AO33" i="1"/>
  <c r="AQ39" i="1"/>
  <c r="AP30" i="1"/>
  <c r="AQ460" i="1"/>
  <c r="AQ223" i="1"/>
  <c r="AQ32" i="1"/>
  <c r="AQ452" i="1"/>
  <c r="AQ40" i="1"/>
  <c r="AP608" i="1"/>
  <c r="AQ592" i="1"/>
  <c r="AQ217" i="1"/>
  <c r="AQ602" i="1"/>
  <c r="AQ605" i="1"/>
  <c r="AP227" i="1"/>
  <c r="AP73" i="1"/>
  <c r="AQ46" i="1"/>
  <c r="AQ54" i="1"/>
  <c r="AQ457" i="1"/>
  <c r="AQ596" i="1"/>
  <c r="AQ144" i="1"/>
  <c r="AP460" i="1"/>
  <c r="AQ151" i="1"/>
  <c r="AQ176" i="1"/>
  <c r="AQ205" i="1"/>
  <c r="AP229" i="1"/>
  <c r="AP208" i="1"/>
  <c r="AQ215" i="1"/>
  <c r="AQ275" i="1"/>
  <c r="AP603" i="1"/>
  <c r="AQ49" i="1"/>
  <c r="AQ722" i="1"/>
  <c r="AP46" i="1"/>
  <c r="AQ208" i="1"/>
  <c r="AQ227" i="1"/>
  <c r="AQ378" i="1"/>
  <c r="AO599" i="1"/>
  <c r="AO227" i="1"/>
  <c r="AQ26" i="1"/>
  <c r="AQ513" i="1"/>
  <c r="AQ226" i="1"/>
  <c r="AQ73" i="1"/>
  <c r="AQ721" i="1"/>
  <c r="AQ371" i="1"/>
  <c r="AP538" i="1"/>
  <c r="AQ604" i="1"/>
  <c r="AQ230" i="1"/>
  <c r="AP204" i="1"/>
  <c r="AP14" i="1"/>
  <c r="AP855" i="1" s="1"/>
  <c r="AP378" i="1"/>
  <c r="AP54" i="1"/>
  <c r="AQ231" i="1"/>
  <c r="AP223" i="1"/>
  <c r="AQ38" i="1"/>
  <c r="AQ250" i="1"/>
  <c r="AR599" i="1"/>
  <c r="AR38" i="1"/>
  <c r="AR162" i="1"/>
  <c r="AR132" i="1"/>
  <c r="AQ159" i="1"/>
  <c r="AR920" i="1"/>
  <c r="AR376" i="1"/>
  <c r="AR452" i="1"/>
  <c r="AR149" i="1"/>
  <c r="AQ165" i="1"/>
  <c r="AR95" i="1"/>
  <c r="AR513" i="1"/>
  <c r="AR22" i="1"/>
  <c r="AQ603" i="1"/>
  <c r="AR931" i="1"/>
  <c r="AR172" i="1"/>
  <c r="AQ433" i="1"/>
  <c r="AQ432" i="1" s="1"/>
  <c r="AR378" i="1"/>
  <c r="AR538" i="1"/>
  <c r="AR530" i="1"/>
  <c r="AR223" i="1"/>
  <c r="AR49" i="1"/>
  <c r="AR377" i="1"/>
  <c r="AR934" i="1"/>
  <c r="AR214" i="1"/>
  <c r="AR946" i="1"/>
  <c r="AR89" i="1"/>
  <c r="AR536" i="1"/>
  <c r="AR199" i="1"/>
  <c r="AR947" i="1"/>
  <c r="AR40" i="1"/>
  <c r="AR919" i="1"/>
  <c r="AR54" i="1"/>
  <c r="AQ536" i="1"/>
  <c r="AR942" i="1"/>
  <c r="AR93" i="1"/>
  <c r="AQ274" i="1"/>
  <c r="AR941" i="1"/>
  <c r="AR371" i="1"/>
  <c r="AR124" i="1"/>
  <c r="AR32" i="1"/>
  <c r="AR918" i="1"/>
  <c r="AQ225" i="1"/>
  <c r="AR231" i="1"/>
  <c r="AR30" i="1"/>
  <c r="AR721" i="1"/>
  <c r="AR11" i="1"/>
  <c r="AR936" i="1"/>
  <c r="AR723" i="1"/>
  <c r="AR930" i="1"/>
  <c r="AQ277" i="1"/>
  <c r="AR229" i="1"/>
  <c r="AQ199" i="1"/>
  <c r="AR921" i="1"/>
  <c r="AR168" i="1"/>
  <c r="AQ232" i="1"/>
  <c r="AR205" i="1"/>
  <c r="AQ33" i="1"/>
  <c r="AQ31" i="1"/>
  <c r="AQ229" i="1"/>
  <c r="AR228" i="1"/>
  <c r="AR433" i="1"/>
  <c r="AR432" i="1" s="1"/>
  <c r="AQ607" i="1"/>
  <c r="AR926" i="1"/>
  <c r="AQ724" i="1"/>
  <c r="AR215" i="1"/>
  <c r="AR917" i="1"/>
  <c r="AR899" i="1" s="1"/>
  <c r="AR937" i="1"/>
  <c r="AQ102" i="1"/>
  <c r="AR914" i="1"/>
  <c r="AR85" i="1"/>
  <c r="AR938" i="1"/>
  <c r="AR951" i="1"/>
  <c r="AR722" i="1"/>
  <c r="AQ723" i="1"/>
  <c r="AR935" i="1"/>
  <c r="AR922" i="1"/>
  <c r="AR604" i="1"/>
  <c r="AR165" i="1"/>
  <c r="AR596" i="1"/>
  <c r="AR944" i="1"/>
  <c r="AR226" i="1"/>
  <c r="AR943" i="1"/>
  <c r="AR151" i="1"/>
  <c r="AQ276" i="1"/>
  <c r="AQ235" i="1"/>
  <c r="AR31" i="1"/>
  <c r="AQ11" i="1"/>
  <c r="AR142" i="1"/>
  <c r="AR176" i="1"/>
  <c r="AR39" i="1"/>
  <c r="AP607" i="1"/>
  <c r="AR277" i="1"/>
  <c r="AR269" i="1"/>
  <c r="AR227" i="1"/>
  <c r="AR236" i="1"/>
  <c r="AQ538" i="1"/>
  <c r="AR33" i="1"/>
  <c r="AR216" i="1"/>
  <c r="AR232" i="1"/>
  <c r="AR250" i="1"/>
  <c r="AR460" i="1"/>
  <c r="AR276" i="1"/>
  <c r="AR76" i="1"/>
  <c r="AQ216" i="1"/>
  <c r="AR535" i="1"/>
  <c r="AR46" i="1"/>
  <c r="AQ172" i="1"/>
  <c r="AR603" i="1"/>
  <c r="AQ30" i="1"/>
  <c r="AQ599" i="1"/>
  <c r="AR928" i="1"/>
  <c r="AS217" i="1"/>
  <c r="AS199" i="1"/>
  <c r="AS38" i="1"/>
  <c r="AS919" i="1"/>
  <c r="AS228" i="1"/>
  <c r="AS202" i="1"/>
  <c r="AR208" i="1"/>
  <c r="AS11" i="1"/>
  <c r="AS22" i="1"/>
  <c r="AS513" i="1"/>
  <c r="AR26" i="1"/>
  <c r="AS602" i="1"/>
  <c r="AS460" i="1"/>
  <c r="AS459" i="1"/>
  <c r="AS607" i="1"/>
  <c r="AS165" i="1"/>
  <c r="AR144" i="1"/>
  <c r="AS216" i="1"/>
  <c r="AS102" i="1"/>
  <c r="AS227" i="1"/>
  <c r="AS937" i="1"/>
  <c r="AS203" i="1"/>
  <c r="AS277" i="1"/>
  <c r="AS200" i="1"/>
  <c r="AS535" i="1"/>
  <c r="AS608" i="1"/>
  <c r="AS85" i="1"/>
  <c r="AS198" i="1"/>
  <c r="AS232" i="1"/>
  <c r="AS156" i="1"/>
  <c r="AS936" i="1"/>
  <c r="AS182" i="1"/>
  <c r="AS433" i="1"/>
  <c r="AS432" i="1" s="1"/>
  <c r="AS603" i="1"/>
  <c r="AS538" i="1"/>
  <c r="AR135" i="1"/>
  <c r="AS276" i="1"/>
  <c r="AS93" i="1"/>
  <c r="AS935" i="1"/>
  <c r="AS173" i="1"/>
  <c r="AR274" i="1"/>
  <c r="AS596" i="1"/>
  <c r="AS26" i="1"/>
  <c r="AQ376" i="1"/>
  <c r="AS951" i="1"/>
  <c r="AS605" i="1"/>
  <c r="AS352" i="1"/>
  <c r="AS917" i="1"/>
  <c r="AR159" i="1"/>
  <c r="AS142" i="1"/>
  <c r="AS378" i="1"/>
  <c r="AS236" i="1"/>
  <c r="AR352" i="1"/>
  <c r="AS181" i="1"/>
  <c r="AS183" i="1"/>
  <c r="AS214" i="1"/>
  <c r="AS376" i="1"/>
  <c r="AR102" i="1"/>
  <c r="AS230" i="1"/>
  <c r="AS457" i="1"/>
  <c r="AR724" i="1"/>
  <c r="AS274" i="1"/>
  <c r="AS920" i="1"/>
  <c r="AR14" i="1"/>
  <c r="AR855" i="1" s="1"/>
  <c r="AS947" i="1"/>
  <c r="AS922" i="1"/>
  <c r="AR459" i="1"/>
  <c r="AS275" i="1"/>
  <c r="AR457" i="1"/>
  <c r="AR217" i="1"/>
  <c r="AS54" i="1"/>
  <c r="AS46" i="1"/>
  <c r="AS49" i="1"/>
  <c r="AS73" i="1"/>
  <c r="AS926" i="1"/>
  <c r="AS458" i="1"/>
  <c r="AS162" i="1"/>
  <c r="AR945" i="1"/>
  <c r="AS132" i="1"/>
  <c r="AR602" i="1"/>
  <c r="AS918" i="1"/>
  <c r="AR458" i="1"/>
  <c r="AS599" i="1"/>
  <c r="AS235" i="1"/>
  <c r="AS724" i="1"/>
  <c r="AR607" i="1"/>
  <c r="AS604" i="1"/>
  <c r="AS124" i="1"/>
  <c r="AS928" i="1"/>
  <c r="AS215" i="1"/>
  <c r="AR929" i="1"/>
  <c r="AS176" i="1"/>
  <c r="AS948" i="1"/>
  <c r="AS921" i="1"/>
  <c r="AS923" i="1"/>
  <c r="AS530" i="1"/>
  <c r="AS226" i="1"/>
  <c r="AS592" i="1"/>
  <c r="AW14" i="21" s="1"/>
  <c r="AS149" i="1"/>
  <c r="AS95" i="1"/>
  <c r="AS536" i="1"/>
  <c r="AS159" i="1"/>
  <c r="AT918" i="1"/>
  <c r="AT30" i="1"/>
  <c r="AT176" i="1"/>
  <c r="AR235" i="1"/>
  <c r="AS721" i="1"/>
  <c r="AR275" i="1"/>
  <c r="AS934" i="1"/>
  <c r="AR605" i="1"/>
  <c r="AS30" i="1"/>
  <c r="AT274" i="1"/>
  <c r="AT151" i="1"/>
  <c r="AT226" i="1"/>
  <c r="AT227" i="1"/>
  <c r="AS14" i="1"/>
  <c r="AS855" i="1" s="1"/>
  <c r="AS162" i="11" s="1"/>
  <c r="AS135" i="1"/>
  <c r="AS175" i="1"/>
  <c r="AR948" i="1"/>
  <c r="AS223" i="1"/>
  <c r="AS39" i="1"/>
  <c r="AS177" i="1"/>
  <c r="AT937" i="1"/>
  <c r="AT204" i="1"/>
  <c r="AT205" i="1"/>
  <c r="AT724" i="1"/>
  <c r="AT277" i="1"/>
  <c r="AU159" i="1"/>
  <c r="AT945" i="1"/>
  <c r="AT235" i="1"/>
  <c r="AT93" i="1"/>
  <c r="AS377" i="1"/>
  <c r="AR204" i="1"/>
  <c r="AR927" i="1"/>
  <c r="AT947" i="1"/>
  <c r="AR923" i="1"/>
  <c r="AS269" i="1"/>
  <c r="AS168" i="1"/>
  <c r="AS144" i="1"/>
  <c r="AS33" i="1"/>
  <c r="AS938" i="1"/>
  <c r="AS945" i="1"/>
  <c r="AR225" i="1"/>
  <c r="AT938" i="1"/>
  <c r="AT232" i="1"/>
  <c r="AS174" i="1"/>
  <c r="AR230" i="1"/>
  <c r="AS76" i="1"/>
  <c r="AS452" i="1"/>
  <c r="AT721" i="1"/>
  <c r="AT603" i="1"/>
  <c r="AT599" i="1"/>
  <c r="AT162" i="1"/>
  <c r="AS225" i="1"/>
  <c r="AS931" i="1"/>
  <c r="AS204" i="1"/>
  <c r="AR608" i="1"/>
  <c r="AS197" i="1"/>
  <c r="AR592" i="1"/>
  <c r="AS946" i="1"/>
  <c r="AS151" i="1"/>
  <c r="AS196" i="1"/>
  <c r="AT144" i="1"/>
  <c r="AT608" i="1"/>
  <c r="AT168" i="1"/>
  <c r="AT607" i="1"/>
  <c r="AS231" i="1"/>
  <c r="AS371" i="1"/>
  <c r="AS89" i="1"/>
  <c r="AR73" i="1"/>
  <c r="AS942" i="1"/>
  <c r="AS229" i="1"/>
  <c r="AT231" i="1"/>
  <c r="AS914" i="1"/>
  <c r="AR379" i="1"/>
  <c r="AS172" i="1"/>
  <c r="AS941" i="1"/>
  <c r="AS250" i="1"/>
  <c r="AR156" i="1"/>
  <c r="AT378" i="1"/>
  <c r="AT216" i="1"/>
  <c r="AT200" i="1"/>
  <c r="AT936" i="1"/>
  <c r="AT941" i="1"/>
  <c r="AS379" i="1"/>
  <c r="AS723" i="1"/>
  <c r="AT183" i="1"/>
  <c r="AS930" i="1"/>
  <c r="AT177" i="1"/>
  <c r="AT276" i="1"/>
  <c r="AS722" i="1"/>
  <c r="AQ352" i="1"/>
  <c r="AS40" i="1"/>
  <c r="AS178" i="1"/>
  <c r="AS943" i="1"/>
  <c r="AS944" i="1"/>
  <c r="AT592" i="1"/>
  <c r="AT457" i="1"/>
  <c r="AT929" i="1"/>
  <c r="AT228" i="1"/>
  <c r="AT33" i="1"/>
  <c r="AS208" i="1"/>
  <c r="AS205" i="1"/>
  <c r="AS31" i="1"/>
  <c r="AS195" i="1"/>
  <c r="AS32" i="1"/>
  <c r="AT223" i="1"/>
  <c r="AT31" i="1"/>
  <c r="AU204" i="1"/>
  <c r="AT460" i="1"/>
  <c r="AU460" i="1"/>
  <c r="AT921" i="1"/>
  <c r="AT458" i="1"/>
  <c r="AT951" i="1"/>
  <c r="AT135" i="1"/>
  <c r="AU276" i="1"/>
  <c r="AU208" i="1"/>
  <c r="AT159" i="1"/>
  <c r="AT377" i="1"/>
  <c r="AT215" i="1"/>
  <c r="AU277" i="1"/>
  <c r="AT946" i="1"/>
  <c r="AT229" i="1"/>
  <c r="AT172" i="1"/>
  <c r="AT919" i="1"/>
  <c r="AU196" i="1"/>
  <c r="AT236" i="1"/>
  <c r="AU936" i="1"/>
  <c r="AT181" i="1"/>
  <c r="AT178" i="1"/>
  <c r="AU459" i="1"/>
  <c r="AU235" i="1"/>
  <c r="AT198" i="1"/>
  <c r="AT173" i="1"/>
  <c r="AT182" i="1"/>
  <c r="AT459" i="1"/>
  <c r="AU197" i="1"/>
  <c r="AU920" i="1"/>
  <c r="AT199" i="1"/>
  <c r="AU378" i="1"/>
  <c r="AU607" i="1"/>
  <c r="AT376" i="1"/>
  <c r="AT174" i="1"/>
  <c r="AT202" i="1"/>
  <c r="AU172" i="1"/>
  <c r="AT196" i="1"/>
  <c r="AU231" i="1"/>
  <c r="AT536" i="1"/>
  <c r="AT195" i="1"/>
  <c r="AT922" i="1"/>
  <c r="AU937" i="1"/>
  <c r="AU457" i="1"/>
  <c r="AU236" i="1"/>
  <c r="AU227" i="1"/>
  <c r="AT923" i="1"/>
  <c r="AT208" i="1"/>
  <c r="AU376" i="1"/>
  <c r="AU135" i="1"/>
  <c r="AT203" i="1"/>
  <c r="AU195" i="1"/>
  <c r="AT214" i="1"/>
  <c r="AU177" i="1"/>
  <c r="AT722" i="1"/>
  <c r="AT225" i="1"/>
  <c r="AT604" i="1"/>
  <c r="AU30" i="1"/>
  <c r="AU274" i="1"/>
  <c r="AT54" i="1"/>
  <c r="AT538" i="1"/>
  <c r="AT197" i="1"/>
  <c r="AT275" i="1"/>
  <c r="AT379" i="1"/>
  <c r="AT948" i="1"/>
  <c r="AU230" i="1"/>
  <c r="AT230" i="1"/>
  <c r="AU93" i="1"/>
  <c r="AT920" i="1"/>
  <c r="AT602" i="1"/>
  <c r="AT165" i="1"/>
  <c r="AU458" i="1"/>
  <c r="AT605" i="1"/>
  <c r="AT535" i="1"/>
  <c r="AT723" i="1"/>
  <c r="AT175" i="1"/>
  <c r="AU203" i="1"/>
  <c r="AU945" i="1"/>
  <c r="AU162" i="1"/>
  <c r="AU199" i="1"/>
  <c r="AU144" i="1"/>
  <c r="AU202" i="1"/>
  <c r="AU175" i="1"/>
  <c r="AU151" i="1"/>
  <c r="AU31" i="1"/>
  <c r="AU173" i="1"/>
  <c r="AU198" i="1"/>
  <c r="AU168" i="1"/>
  <c r="AU217" i="1"/>
  <c r="AU535" i="1"/>
  <c r="AU929" i="1"/>
  <c r="AU599" i="1"/>
  <c r="AU536" i="1"/>
  <c r="AU215" i="1"/>
  <c r="AU232" i="1"/>
  <c r="AU935" i="1"/>
  <c r="AU174" i="1"/>
  <c r="AU923" i="1"/>
  <c r="AT217" i="1"/>
  <c r="AU921" i="1"/>
  <c r="AU951" i="1"/>
  <c r="AU918" i="1"/>
  <c r="AU182" i="1"/>
  <c r="AU603" i="1"/>
  <c r="AU922" i="1"/>
  <c r="AU181" i="1"/>
  <c r="AU379" i="1"/>
  <c r="AU604" i="1"/>
  <c r="AU377" i="1"/>
  <c r="AU275" i="1"/>
  <c r="AU919" i="1"/>
  <c r="AU938" i="1"/>
  <c r="AU200" i="1"/>
  <c r="AU602" i="1"/>
  <c r="AU948" i="1"/>
  <c r="AU228" i="1"/>
  <c r="AU605" i="1"/>
  <c r="AT935" i="1"/>
  <c r="AU941" i="1"/>
  <c r="AU176" i="1"/>
  <c r="AU608" i="1"/>
  <c r="AU229" i="1"/>
  <c r="AU225" i="1"/>
  <c r="AU178" i="1"/>
  <c r="AU165" i="1"/>
  <c r="AU216" i="1"/>
  <c r="AU947" i="1"/>
  <c r="AU214" i="1"/>
  <c r="AU946" i="1"/>
  <c r="AU54" i="1"/>
  <c r="AU538" i="1"/>
  <c r="AU223" i="1"/>
  <c r="AU592" i="1"/>
  <c r="AU33" i="1"/>
  <c r="AU226" i="1"/>
  <c r="AU205" i="1"/>
  <c r="AU183" i="1"/>
  <c r="T4" i="17"/>
  <c r="C22" i="13"/>
  <c r="AU10" i="21" l="1"/>
  <c r="AV10" i="21"/>
  <c r="AP770" i="1"/>
  <c r="AP804" i="1"/>
  <c r="AP41" i="1"/>
  <c r="AN770" i="1"/>
  <c r="AN835" i="1"/>
  <c r="AN804" i="1"/>
  <c r="AR770" i="1"/>
  <c r="AR804" i="1"/>
  <c r="AR41" i="1"/>
  <c r="AR980" i="1"/>
  <c r="AO770" i="1"/>
  <c r="AO804" i="1"/>
  <c r="AO980" i="1"/>
  <c r="AO41" i="1"/>
  <c r="AQ770" i="1"/>
  <c r="AQ41" i="1"/>
  <c r="AQ804" i="1"/>
  <c r="AQ980" i="1"/>
  <c r="AS770" i="1"/>
  <c r="AS804" i="1"/>
  <c r="AS980" i="1"/>
  <c r="AS41" i="1"/>
  <c r="BN514" i="1"/>
  <c r="BN515" i="1"/>
  <c r="BO515" i="1" s="1"/>
  <c r="BP515" i="1" s="1"/>
  <c r="BQ515" i="1" s="1"/>
  <c r="BN516" i="1"/>
  <c r="BN440" i="1"/>
  <c r="BO440" i="1" s="1"/>
  <c r="BP440" i="1" s="1"/>
  <c r="BQ440" i="1" s="1"/>
  <c r="BR440" i="1" s="1"/>
  <c r="BS440" i="1" s="1"/>
  <c r="BU440" i="1" s="1"/>
  <c r="BN434" i="1"/>
  <c r="BO434" i="1" s="1"/>
  <c r="BP434" i="1" s="1"/>
  <c r="BQ434" i="1" s="1"/>
  <c r="BN433" i="1"/>
  <c r="BN435" i="1"/>
  <c r="BO435" i="1" s="1"/>
  <c r="BN437" i="1"/>
  <c r="BN438" i="1"/>
  <c r="BN436" i="1"/>
  <c r="BO436" i="1" s="1"/>
  <c r="BN439" i="1"/>
  <c r="BO439" i="1" s="1"/>
  <c r="BP439" i="1" s="1"/>
  <c r="BQ439" i="1" s="1"/>
  <c r="BR439" i="1" s="1"/>
  <c r="BS439" i="1" s="1"/>
  <c r="BU439" i="1" s="1"/>
  <c r="BN353" i="1"/>
  <c r="BO353" i="1" s="1"/>
  <c r="BP353" i="1" s="1"/>
  <c r="BQ353" i="1" s="1"/>
  <c r="BN354" i="1"/>
  <c r="BO354" i="1" s="1"/>
  <c r="BP354" i="1" s="1"/>
  <c r="BQ354" i="1" s="1"/>
  <c r="BR354" i="1" s="1"/>
  <c r="BS354" i="1" s="1"/>
  <c r="BN356" i="1"/>
  <c r="BO356" i="1" s="1"/>
  <c r="BP356" i="1" s="1"/>
  <c r="BQ356" i="1" s="1"/>
  <c r="BR356" i="1" s="1"/>
  <c r="BS356" i="1" s="1"/>
  <c r="BN355" i="1"/>
  <c r="BN357" i="1"/>
  <c r="BN352" i="1"/>
  <c r="AW10" i="21"/>
  <c r="BN513" i="1"/>
  <c r="AQ835" i="1"/>
  <c r="G11" i="12"/>
  <c r="AS129" i="1"/>
  <c r="AS835" i="1"/>
  <c r="E9" i="42"/>
  <c r="G142" i="3"/>
  <c r="AV970" i="1"/>
  <c r="AR835" i="1"/>
  <c r="AQ819" i="1"/>
  <c r="AQ834" i="1"/>
  <c r="AP816" i="1"/>
  <c r="AP835" i="1"/>
  <c r="AO819" i="1"/>
  <c r="AO834" i="1"/>
  <c r="AN819" i="1"/>
  <c r="AN834" i="1"/>
  <c r="AR819" i="1"/>
  <c r="AR834" i="1"/>
  <c r="AO816" i="1"/>
  <c r="AO835" i="1"/>
  <c r="AP819" i="1"/>
  <c r="AP834" i="1"/>
  <c r="AS819" i="1"/>
  <c r="AS834" i="1"/>
  <c r="AS816" i="1"/>
  <c r="AN816" i="1"/>
  <c r="AR816" i="1"/>
  <c r="H11" i="12"/>
  <c r="AQ816" i="1"/>
  <c r="AT593" i="1"/>
  <c r="AT712" i="1"/>
  <c r="AT713" i="1"/>
  <c r="AT576" i="1"/>
  <c r="AU576" i="1" s="1"/>
  <c r="AT578" i="1"/>
  <c r="AU578" i="1" s="1"/>
  <c r="AT575" i="1"/>
  <c r="AT714" i="1"/>
  <c r="AT577" i="1"/>
  <c r="AU577" i="1" s="1"/>
  <c r="AT711" i="1"/>
  <c r="AS299" i="1"/>
  <c r="AS305" i="1"/>
  <c r="AS300" i="1"/>
  <c r="AS317" i="1" s="1"/>
  <c r="AS302" i="1"/>
  <c r="AS319" i="1" s="1"/>
  <c r="AS301" i="1"/>
  <c r="AS306" i="1"/>
  <c r="AS304" i="1"/>
  <c r="AR910" i="1"/>
  <c r="AR641" i="1"/>
  <c r="AV118" i="21"/>
  <c r="AS641" i="1"/>
  <c r="AW118" i="21"/>
  <c r="AU66" i="1"/>
  <c r="AU182" i="11"/>
  <c r="J9" i="42"/>
  <c r="I142" i="3"/>
  <c r="AR129" i="1"/>
  <c r="I9" i="42"/>
  <c r="H142" i="3"/>
  <c r="AQ844" i="1"/>
  <c r="AQ848" i="1" s="1"/>
  <c r="H9" i="42"/>
  <c r="AP844" i="1"/>
  <c r="AP848" i="1" s="1"/>
  <c r="G9" i="42"/>
  <c r="AO844" i="1"/>
  <c r="AO848" i="1" s="1"/>
  <c r="F9" i="42"/>
  <c r="AW743" i="1"/>
  <c r="H16" i="12"/>
  <c r="AS910" i="1"/>
  <c r="G16" i="12"/>
  <c r="AX14" i="21"/>
  <c r="G15" i="12"/>
  <c r="H15" i="12"/>
  <c r="AR898" i="1"/>
  <c r="V898" i="1" s="1"/>
  <c r="G9" i="12"/>
  <c r="G14" i="12" s="1"/>
  <c r="AY14" i="21"/>
  <c r="AS875" i="1"/>
  <c r="AS172" i="11" s="1"/>
  <c r="AS461" i="1"/>
  <c r="AS463" i="1" s="1"/>
  <c r="AS89" i="11" s="1"/>
  <c r="AS380" i="1"/>
  <c r="AS382" i="1" s="1"/>
  <c r="AO856" i="1"/>
  <c r="AR449" i="1"/>
  <c r="AR446" i="1"/>
  <c r="AR448" i="1"/>
  <c r="AR447" i="1"/>
  <c r="AT725" i="1"/>
  <c r="AS152" i="1"/>
  <c r="AS154" i="1" s="1"/>
  <c r="AR417" i="1"/>
  <c r="AR418" i="1"/>
  <c r="AR673" i="1"/>
  <c r="AR674" i="1"/>
  <c r="AS368" i="1"/>
  <c r="AS57" i="11" s="1"/>
  <c r="AR416" i="1"/>
  <c r="AS367" i="1"/>
  <c r="AS52" i="11" s="1"/>
  <c r="AR675" i="1"/>
  <c r="AR676" i="1"/>
  <c r="AS366" i="1"/>
  <c r="AS47" i="11" s="1"/>
  <c r="AR609" i="1"/>
  <c r="AR875" i="1"/>
  <c r="AR264" i="1"/>
  <c r="AR266" i="1"/>
  <c r="AR265" i="1"/>
  <c r="AQ846" i="1"/>
  <c r="AQ850" i="1" s="1"/>
  <c r="AQ845" i="1"/>
  <c r="AQ849" i="1" s="1"/>
  <c r="AU166" i="1"/>
  <c r="AR368" i="1"/>
  <c r="AR366" i="1"/>
  <c r="AR365" i="1"/>
  <c r="AR367" i="1"/>
  <c r="AS659" i="1"/>
  <c r="AS657" i="1"/>
  <c r="AS658" i="1"/>
  <c r="AS656" i="1"/>
  <c r="AR844" i="1"/>
  <c r="AR848" i="1" s="1"/>
  <c r="AR18" i="1"/>
  <c r="AS28" i="1"/>
  <c r="AS27" i="1"/>
  <c r="AR306" i="1"/>
  <c r="AR659" i="1"/>
  <c r="AR657" i="1"/>
  <c r="AR656" i="1"/>
  <c r="AR658" i="1"/>
  <c r="AR693" i="1"/>
  <c r="AR497" i="1"/>
  <c r="AR499" i="1"/>
  <c r="AR431" i="1" s="1"/>
  <c r="AR694" i="1"/>
  <c r="AS448" i="1"/>
  <c r="AS79" i="11" s="1"/>
  <c r="AS449" i="1"/>
  <c r="AS84" i="11" s="1"/>
  <c r="AS446" i="1"/>
  <c r="AS69" i="11" s="1"/>
  <c r="AS447" i="1"/>
  <c r="AS74" i="11" s="1"/>
  <c r="AR692" i="1"/>
  <c r="AR695" i="1"/>
  <c r="AR498" i="1"/>
  <c r="AR725" i="1"/>
  <c r="AR727" i="1" s="1"/>
  <c r="AS725" i="1"/>
  <c r="AS730" i="1" s="1"/>
  <c r="AS539" i="1"/>
  <c r="AS541" i="1" s="1"/>
  <c r="AS145" i="1"/>
  <c r="AS147" i="1" s="1"/>
  <c r="AS609" i="1"/>
  <c r="AR27" i="1"/>
  <c r="AR28" i="1"/>
  <c r="AR24" i="1"/>
  <c r="AR23" i="1"/>
  <c r="AQ856" i="1"/>
  <c r="AS578" i="1"/>
  <c r="AS713" i="1"/>
  <c r="AS575" i="1"/>
  <c r="AS714" i="1"/>
  <c r="AS576" i="1"/>
  <c r="AS711" i="1"/>
  <c r="AS577" i="1"/>
  <c r="AS712" i="1"/>
  <c r="AR578" i="1"/>
  <c r="AS525" i="1"/>
  <c r="AS96" i="11" s="1"/>
  <c r="AR713" i="1"/>
  <c r="AS527" i="1"/>
  <c r="AS106" i="11" s="1"/>
  <c r="AR575" i="1"/>
  <c r="AS528" i="1"/>
  <c r="AR714" i="1"/>
  <c r="AS526" i="1"/>
  <c r="AS101" i="11" s="1"/>
  <c r="AR711" i="1"/>
  <c r="AR576" i="1"/>
  <c r="AR712" i="1"/>
  <c r="AR577" i="1"/>
  <c r="AR138" i="1"/>
  <c r="AQ609" i="1"/>
  <c r="AR856" i="1"/>
  <c r="AS138" i="1"/>
  <c r="AS140" i="1" s="1"/>
  <c r="AS130" i="11" s="1"/>
  <c r="AR16" i="1"/>
  <c r="AR845" i="1"/>
  <c r="AR849" i="1" s="1"/>
  <c r="AR846" i="1"/>
  <c r="AR850" i="1" s="1"/>
  <c r="AR15" i="1"/>
  <c r="AS693" i="1"/>
  <c r="AS695" i="1"/>
  <c r="AS499" i="1"/>
  <c r="AS431" i="1" s="1"/>
  <c r="AS694" i="1"/>
  <c r="AS497" i="1"/>
  <c r="AS692" i="1"/>
  <c r="AS498" i="1"/>
  <c r="AS23" i="1"/>
  <c r="AS24" i="1"/>
  <c r="AQ725" i="1"/>
  <c r="AQ727" i="1" s="1"/>
  <c r="AO846" i="1"/>
  <c r="AO850" i="1" s="1"/>
  <c r="AO845" i="1"/>
  <c r="AO849" i="1" s="1"/>
  <c r="AP856" i="1"/>
  <c r="AO855" i="1"/>
  <c r="AP846" i="1"/>
  <c r="AP850" i="1" s="1"/>
  <c r="AP845" i="1"/>
  <c r="AP849" i="1" s="1"/>
  <c r="AS278" i="1"/>
  <c r="AS280" i="1" s="1"/>
  <c r="AS16" i="1"/>
  <c r="AS845" i="1"/>
  <c r="AS849" i="1" s="1"/>
  <c r="AS152" i="11" s="1"/>
  <c r="AS15" i="1"/>
  <c r="AS846" i="1"/>
  <c r="AS850" i="1" s="1"/>
  <c r="AS157" i="11" s="1"/>
  <c r="AS418" i="1"/>
  <c r="AS424" i="1" s="1"/>
  <c r="AS673" i="1"/>
  <c r="AS676" i="1"/>
  <c r="AS674" i="1"/>
  <c r="AS416" i="1"/>
  <c r="AS675" i="1"/>
  <c r="AS417" i="1"/>
  <c r="AS18" i="1"/>
  <c r="AS844" i="1"/>
  <c r="AS848" i="1" s="1"/>
  <c r="AS856" i="1"/>
  <c r="AS167" i="11" s="1"/>
  <c r="AQ855" i="1"/>
  <c r="U4" i="17"/>
  <c r="BP435" i="1" l="1"/>
  <c r="BQ435" i="1" s="1"/>
  <c r="BR435" i="1" s="1"/>
  <c r="AS423" i="1"/>
  <c r="BP436" i="1"/>
  <c r="BQ436" i="1" s="1"/>
  <c r="BR436" i="1" s="1"/>
  <c r="BS436" i="1" s="1"/>
  <c r="BU436" i="1" s="1"/>
  <c r="AU575" i="1"/>
  <c r="AV575" i="1" s="1"/>
  <c r="AV578" i="1"/>
  <c r="AV576" i="1"/>
  <c r="AV577" i="1"/>
  <c r="BR434" i="1"/>
  <c r="BR515" i="1"/>
  <c r="BS515" i="1" s="1"/>
  <c r="BR353" i="1"/>
  <c r="AX23" i="21"/>
  <c r="BN456" i="1"/>
  <c r="BM225" i="1" s="1"/>
  <c r="BN454" i="1"/>
  <c r="BM222" i="1" s="1"/>
  <c r="BN374" i="1"/>
  <c r="BN527" i="1"/>
  <c r="BM232" i="1" s="1"/>
  <c r="BN528" i="1"/>
  <c r="BM233" i="1" s="1"/>
  <c r="BO513" i="1"/>
  <c r="BN530" i="1"/>
  <c r="BM235" i="1" s="1"/>
  <c r="BO516" i="1"/>
  <c r="BN455" i="1"/>
  <c r="BM223" i="1" s="1"/>
  <c r="BO514" i="1"/>
  <c r="BN529" i="1"/>
  <c r="BM234" i="1" s="1"/>
  <c r="BO352" i="1"/>
  <c r="BN369" i="1"/>
  <c r="BM230" i="1" s="1"/>
  <c r="BM240" i="1" s="1"/>
  <c r="BO438" i="1"/>
  <c r="BO455" i="1" s="1"/>
  <c r="BO437" i="1"/>
  <c r="BO456" i="1" s="1"/>
  <c r="BN271" i="1"/>
  <c r="BM226" i="1" s="1"/>
  <c r="BN274" i="1"/>
  <c r="BM229" i="1" s="1"/>
  <c r="BO355" i="1"/>
  <c r="BP355" i="1" s="1"/>
  <c r="BQ355" i="1" s="1"/>
  <c r="BR355" i="1" s="1"/>
  <c r="BS355" i="1" s="1"/>
  <c r="BN370" i="1"/>
  <c r="BM231" i="1" s="1"/>
  <c r="BO433" i="1"/>
  <c r="BO454" i="1" s="1"/>
  <c r="BN272" i="1"/>
  <c r="BM227" i="1" s="1"/>
  <c r="BN273" i="1"/>
  <c r="BM228" i="1" s="1"/>
  <c r="BO357" i="1"/>
  <c r="AS584" i="1"/>
  <c r="BN536" i="1" s="1"/>
  <c r="BN441" i="1"/>
  <c r="BN517" i="1"/>
  <c r="AS583" i="1"/>
  <c r="BN535" i="1" s="1"/>
  <c r="AX175" i="21"/>
  <c r="AT585" i="1"/>
  <c r="AX173" i="21"/>
  <c r="AT583" i="1"/>
  <c r="AX174" i="21"/>
  <c r="AT584" i="1"/>
  <c r="AS585" i="1"/>
  <c r="BN538" i="1" s="1"/>
  <c r="AS666" i="1"/>
  <c r="AS422" i="1"/>
  <c r="BN375" i="1" s="1"/>
  <c r="AR666" i="1"/>
  <c r="AR681" i="1"/>
  <c r="AS504" i="1"/>
  <c r="BN461" i="1" s="1"/>
  <c r="AS503" i="1"/>
  <c r="BN460" i="1" s="1"/>
  <c r="AS490" i="1"/>
  <c r="AS505" i="1"/>
  <c r="BN462" i="1" s="1"/>
  <c r="AS316" i="1"/>
  <c r="AS320" i="1"/>
  <c r="AS312" i="1"/>
  <c r="AS318" i="1"/>
  <c r="AS313" i="1"/>
  <c r="AS311" i="1"/>
  <c r="AX168" i="21"/>
  <c r="AT582" i="1"/>
  <c r="AS310" i="1"/>
  <c r="AS582" i="1"/>
  <c r="BN534" i="1" s="1"/>
  <c r="AR311" i="1"/>
  <c r="AR313" i="1"/>
  <c r="AR312" i="1"/>
  <c r="AR310" i="1"/>
  <c r="AS681" i="1"/>
  <c r="AR490" i="1"/>
  <c r="H143" i="3"/>
  <c r="AO852" i="1"/>
  <c r="AO853" i="1" s="1"/>
  <c r="AT715" i="1"/>
  <c r="AT717" i="1" s="1"/>
  <c r="AT579" i="1"/>
  <c r="AS307" i="1"/>
  <c r="AS322" i="1" s="1"/>
  <c r="AR322" i="1"/>
  <c r="AQ852" i="1"/>
  <c r="AQ853" i="1" s="1"/>
  <c r="I143" i="3"/>
  <c r="AP852" i="1"/>
  <c r="AP853" i="1" s="1"/>
  <c r="AX743" i="1"/>
  <c r="U898" i="1"/>
  <c r="X898" i="1"/>
  <c r="X897" i="1" s="1"/>
  <c r="W898" i="1"/>
  <c r="AY23" i="21"/>
  <c r="AZ23" i="21"/>
  <c r="AT731" i="1"/>
  <c r="AT733" i="1"/>
  <c r="AT732" i="1"/>
  <c r="AT730" i="1"/>
  <c r="AR732" i="1"/>
  <c r="AS733" i="1"/>
  <c r="AS419" i="1"/>
  <c r="AR419" i="1"/>
  <c r="AR579" i="1"/>
  <c r="AS677" i="1"/>
  <c r="AS679" i="1" s="1"/>
  <c r="AS500" i="1"/>
  <c r="AR715" i="1"/>
  <c r="AR717" i="1" s="1"/>
  <c r="AS660" i="1"/>
  <c r="AS662" i="1" s="1"/>
  <c r="AS147" i="11"/>
  <c r="AS852" i="1"/>
  <c r="AS853" i="1" s="1"/>
  <c r="AR733" i="1"/>
  <c r="AS732" i="1"/>
  <c r="AS727" i="1"/>
  <c r="AS715" i="1"/>
  <c r="AS717" i="1" s="1"/>
  <c r="AR730" i="1"/>
  <c r="AS731" i="1"/>
  <c r="AS579" i="1"/>
  <c r="AS611" i="1"/>
  <c r="AS610" i="1"/>
  <c r="AR500" i="1"/>
  <c r="AR660" i="1"/>
  <c r="AR662" i="1" s="1"/>
  <c r="AR20" i="1"/>
  <c r="AR34" i="1"/>
  <c r="AR677" i="1"/>
  <c r="AR679" i="1" s="1"/>
  <c r="AS20" i="1"/>
  <c r="AS19" i="1"/>
  <c r="AS34" i="1"/>
  <c r="AR731" i="1"/>
  <c r="AS696" i="1"/>
  <c r="AS698" i="1" s="1"/>
  <c r="AR696" i="1"/>
  <c r="AR698" i="1" s="1"/>
  <c r="AR852" i="1"/>
  <c r="AR853" i="1" s="1"/>
  <c r="V4" i="17"/>
  <c r="BM238" i="1" l="1"/>
  <c r="AU579" i="1"/>
  <c r="AU572" i="1" s="1"/>
  <c r="BM239" i="1"/>
  <c r="AW577" i="1"/>
  <c r="AX577" i="1" s="1"/>
  <c r="AW576" i="1"/>
  <c r="AX576" i="1" s="1"/>
  <c r="AW578" i="1"/>
  <c r="AX578" i="1" s="1"/>
  <c r="BS435" i="1"/>
  <c r="BU435" i="1" s="1"/>
  <c r="BS434" i="1"/>
  <c r="BU434" i="1" s="1"/>
  <c r="AW575" i="1"/>
  <c r="AV579" i="1"/>
  <c r="BM236" i="1"/>
  <c r="BN232" i="1" s="1"/>
  <c r="BM241" i="1"/>
  <c r="BS353" i="1"/>
  <c r="BN531" i="1"/>
  <c r="BP516" i="1"/>
  <c r="BQ516" i="1" s="1"/>
  <c r="BO530" i="1"/>
  <c r="BO538" i="1" s="1"/>
  <c r="BP513" i="1"/>
  <c r="BQ513" i="1" s="1"/>
  <c r="BO527" i="1"/>
  <c r="BO534" i="1" s="1"/>
  <c r="BO517" i="1"/>
  <c r="BO528" i="1"/>
  <c r="BO535" i="1" s="1"/>
  <c r="BO529" i="1"/>
  <c r="BO536" i="1" s="1"/>
  <c r="BP514" i="1"/>
  <c r="BQ514" i="1" s="1"/>
  <c r="BN371" i="1"/>
  <c r="BN275" i="1"/>
  <c r="BP437" i="1"/>
  <c r="BO462" i="1"/>
  <c r="BP433" i="1"/>
  <c r="BO441" i="1"/>
  <c r="BP438" i="1"/>
  <c r="BO461" i="1"/>
  <c r="BN457" i="1"/>
  <c r="BO375" i="1"/>
  <c r="BO370" i="1"/>
  <c r="BP352" i="1"/>
  <c r="BQ352" i="1" s="1"/>
  <c r="BR352" i="1" s="1"/>
  <c r="BS352" i="1" s="1"/>
  <c r="BO374" i="1"/>
  <c r="BO369" i="1"/>
  <c r="BP357" i="1"/>
  <c r="BQ357" i="1" s="1"/>
  <c r="BO358" i="1"/>
  <c r="BO379" i="1" s="1"/>
  <c r="AT702" i="1"/>
  <c r="AT586" i="1"/>
  <c r="AR702" i="1"/>
  <c r="AS702" i="1"/>
  <c r="AS586" i="1"/>
  <c r="BN539" i="1" s="1"/>
  <c r="AS428" i="1"/>
  <c r="AS425" i="1"/>
  <c r="BN376" i="1" s="1"/>
  <c r="AR428" i="1"/>
  <c r="AR683" i="1"/>
  <c r="AS683" i="1"/>
  <c r="AS506" i="1"/>
  <c r="BN463" i="1" s="1"/>
  <c r="AT734" i="1"/>
  <c r="AS734" i="1"/>
  <c r="AR734" i="1"/>
  <c r="W4" i="17"/>
  <c r="C21" i="13"/>
  <c r="AU586" i="1" l="1"/>
  <c r="AU569" i="1"/>
  <c r="AV586" i="1"/>
  <c r="AU570" i="1"/>
  <c r="AU571" i="1"/>
  <c r="BM242" i="1"/>
  <c r="AV572" i="1"/>
  <c r="AV570" i="1"/>
  <c r="AV569" i="1"/>
  <c r="AV571" i="1"/>
  <c r="BP455" i="1"/>
  <c r="BP461" i="1" s="1"/>
  <c r="AU504" i="1" s="1"/>
  <c r="BQ438" i="1"/>
  <c r="BP456" i="1"/>
  <c r="BP462" i="1" s="1"/>
  <c r="AU505" i="1" s="1"/>
  <c r="BQ437" i="1"/>
  <c r="BP454" i="1"/>
  <c r="BQ433" i="1"/>
  <c r="AX575" i="1"/>
  <c r="AX579" i="1" s="1"/>
  <c r="AW579" i="1"/>
  <c r="BN229" i="1"/>
  <c r="BN223" i="1"/>
  <c r="BN230" i="1"/>
  <c r="BN225" i="1"/>
  <c r="BN226" i="1"/>
  <c r="BN227" i="1"/>
  <c r="BN228" i="1"/>
  <c r="BN222" i="1"/>
  <c r="BN231" i="1"/>
  <c r="BN233" i="1"/>
  <c r="BN234" i="1"/>
  <c r="BN235" i="1"/>
  <c r="BR516" i="1"/>
  <c r="BQ530" i="1"/>
  <c r="BR513" i="1"/>
  <c r="BQ528" i="1"/>
  <c r="BQ527" i="1"/>
  <c r="BR514" i="1"/>
  <c r="BQ517" i="1"/>
  <c r="BQ529" i="1"/>
  <c r="BR357" i="1"/>
  <c r="BQ374" i="1"/>
  <c r="BQ369" i="1"/>
  <c r="BQ375" i="1"/>
  <c r="BQ370" i="1"/>
  <c r="BQ358" i="1"/>
  <c r="BQ379" i="1" s="1"/>
  <c r="BP530" i="1"/>
  <c r="BP538" i="1" s="1"/>
  <c r="BP529" i="1"/>
  <c r="BP536" i="1" s="1"/>
  <c r="BN542" i="1"/>
  <c r="BN545" i="1"/>
  <c r="BN544" i="1"/>
  <c r="BO380" i="1"/>
  <c r="BP527" i="1"/>
  <c r="BP528" i="1"/>
  <c r="BP535" i="1" s="1"/>
  <c r="BP517" i="1"/>
  <c r="BO531" i="1"/>
  <c r="BP358" i="1"/>
  <c r="BO460" i="1"/>
  <c r="BO457" i="1"/>
  <c r="BO463" i="1" s="1"/>
  <c r="BP441" i="1"/>
  <c r="AU432" i="1" s="1"/>
  <c r="BP369" i="1"/>
  <c r="BP374" i="1"/>
  <c r="BP370" i="1"/>
  <c r="BO371" i="1"/>
  <c r="BP375" i="1"/>
  <c r="X4" i="17"/>
  <c r="BN238" i="1" l="1"/>
  <c r="AU573" i="1"/>
  <c r="AV573" i="1"/>
  <c r="BN239" i="1"/>
  <c r="BN240" i="1"/>
  <c r="BQ371" i="1"/>
  <c r="BN241" i="1"/>
  <c r="BR438" i="1"/>
  <c r="BQ455" i="1"/>
  <c r="BQ461" i="1" s="1"/>
  <c r="AV504" i="1" s="1"/>
  <c r="BR437" i="1"/>
  <c r="BQ456" i="1"/>
  <c r="BQ462" i="1" s="1"/>
  <c r="AV505" i="1" s="1"/>
  <c r="BR433" i="1"/>
  <c r="BQ441" i="1"/>
  <c r="AV432" i="1" s="1"/>
  <c r="BQ454" i="1"/>
  <c r="AW586" i="1"/>
  <c r="AW569" i="1"/>
  <c r="AW572" i="1"/>
  <c r="AW570" i="1"/>
  <c r="AW571" i="1"/>
  <c r="AX569" i="1"/>
  <c r="AX572" i="1"/>
  <c r="AX570" i="1"/>
  <c r="AX571" i="1"/>
  <c r="AX586" i="1"/>
  <c r="BQ538" i="1"/>
  <c r="BS516" i="1"/>
  <c r="BS530" i="1" s="1"/>
  <c r="BR530" i="1"/>
  <c r="BR538" i="1" s="1"/>
  <c r="BQ534" i="1"/>
  <c r="BQ535" i="1"/>
  <c r="BR528" i="1"/>
  <c r="BR535" i="1" s="1"/>
  <c r="BS513" i="1"/>
  <c r="BR527" i="1"/>
  <c r="BR534" i="1" s="1"/>
  <c r="BQ536" i="1"/>
  <c r="BQ531" i="1"/>
  <c r="BR529" i="1"/>
  <c r="BS514" i="1"/>
  <c r="BR517" i="1"/>
  <c r="BQ380" i="1"/>
  <c r="BS357" i="1"/>
  <c r="BR369" i="1"/>
  <c r="BR374" i="1"/>
  <c r="BR358" i="1"/>
  <c r="BR375" i="1"/>
  <c r="BR370" i="1"/>
  <c r="BP376" i="1"/>
  <c r="BQ376" i="1"/>
  <c r="BP379" i="1"/>
  <c r="BO539" i="1"/>
  <c r="BO545" i="1"/>
  <c r="BO542" i="1"/>
  <c r="BO544" i="1"/>
  <c r="BP380" i="1"/>
  <c r="BP534" i="1"/>
  <c r="BP531" i="1"/>
  <c r="BP371" i="1"/>
  <c r="BP457" i="1"/>
  <c r="BP460" i="1"/>
  <c r="AU503" i="1" s="1"/>
  <c r="Y4" i="17"/>
  <c r="AW573" i="1" l="1"/>
  <c r="BQ457" i="1"/>
  <c r="BQ463" i="1" s="1"/>
  <c r="BS438" i="1"/>
  <c r="BR455" i="1"/>
  <c r="BR461" i="1" s="1"/>
  <c r="AW504" i="1" s="1"/>
  <c r="BS437" i="1"/>
  <c r="BR456" i="1"/>
  <c r="BR462" i="1" s="1"/>
  <c r="AW505" i="1" s="1"/>
  <c r="BQ460" i="1"/>
  <c r="AV503" i="1" s="1"/>
  <c r="BS433" i="1"/>
  <c r="BU433" i="1" s="1"/>
  <c r="BR441" i="1"/>
  <c r="AW432" i="1" s="1"/>
  <c r="BR454" i="1"/>
  <c r="BP463" i="1"/>
  <c r="AX573" i="1"/>
  <c r="BS538" i="1"/>
  <c r="BS528" i="1"/>
  <c r="BS535" i="1" s="1"/>
  <c r="BS527" i="1"/>
  <c r="BS534" i="1" s="1"/>
  <c r="BR536" i="1"/>
  <c r="BR531" i="1"/>
  <c r="BS529" i="1"/>
  <c r="BS517" i="1"/>
  <c r="BQ542" i="1"/>
  <c r="BQ545" i="1"/>
  <c r="BQ539" i="1"/>
  <c r="BQ544" i="1"/>
  <c r="BR371" i="1"/>
  <c r="BR380" i="1"/>
  <c r="BR379" i="1"/>
  <c r="BR376" i="1"/>
  <c r="BS369" i="1"/>
  <c r="BS374" i="1"/>
  <c r="BS375" i="1"/>
  <c r="BS370" i="1"/>
  <c r="BS358" i="1"/>
  <c r="BP539" i="1"/>
  <c r="BP542" i="1"/>
  <c r="BP545" i="1"/>
  <c r="BP544" i="1"/>
  <c r="Z4" i="17"/>
  <c r="BS371" i="1" l="1"/>
  <c r="BS456" i="1"/>
  <c r="BS462" i="1" s="1"/>
  <c r="AX505" i="1" s="1"/>
  <c r="BU437" i="1"/>
  <c r="BS455" i="1"/>
  <c r="BS461" i="1" s="1"/>
  <c r="AX504" i="1" s="1"/>
  <c r="BU438" i="1"/>
  <c r="BS454" i="1"/>
  <c r="BS441" i="1"/>
  <c r="AX432" i="1" s="1"/>
  <c r="BR460" i="1"/>
  <c r="AW503" i="1" s="1"/>
  <c r="BR457" i="1"/>
  <c r="BR463" i="1" s="1"/>
  <c r="BS536" i="1"/>
  <c r="BS531" i="1"/>
  <c r="BR539" i="1"/>
  <c r="BR545" i="1"/>
  <c r="BR542" i="1"/>
  <c r="BR544" i="1"/>
  <c r="BS380" i="1"/>
  <c r="BS379" i="1"/>
  <c r="BS376" i="1"/>
  <c r="AA4" i="17"/>
  <c r="BS460" i="1" l="1"/>
  <c r="AX503" i="1" s="1"/>
  <c r="BS457" i="1"/>
  <c r="BS463" i="1" s="1"/>
  <c r="BS545" i="1"/>
  <c r="BS542" i="1"/>
  <c r="BS539" i="1"/>
  <c r="BS544" i="1"/>
  <c r="AB4" i="17"/>
  <c r="P7" i="13"/>
  <c r="A2" i="13"/>
  <c r="A1" i="13"/>
  <c r="L61" i="12"/>
  <c r="M61" i="12" s="1"/>
  <c r="N61" i="12" s="1"/>
  <c r="O61" i="12" s="1"/>
  <c r="E3" i="13"/>
  <c r="E6" i="12" l="1"/>
  <c r="E5" i="12" s="1"/>
  <c r="D5" i="12"/>
  <c r="E3" i="12"/>
  <c r="A2" i="12"/>
  <c r="A1" i="12"/>
  <c r="F6" i="12" l="1"/>
  <c r="D405" i="10"/>
  <c r="F5" i="12" l="1"/>
  <c r="G6" i="12"/>
  <c r="H6" i="12" l="1"/>
  <c r="G5" i="12"/>
  <c r="I6" i="12" l="1"/>
  <c r="H5" i="12"/>
  <c r="I5" i="12" l="1"/>
  <c r="J6" i="12"/>
  <c r="D404" i="10"/>
  <c r="J5" i="12" l="1"/>
  <c r="K6" i="12"/>
  <c r="L6" i="12" l="1"/>
  <c r="K5" i="12"/>
  <c r="D403" i="10"/>
  <c r="M6" i="12" l="1"/>
  <c r="L5" i="12"/>
  <c r="M5" i="12" l="1"/>
  <c r="D402" i="10"/>
  <c r="C401" i="10" l="1"/>
  <c r="D399" i="10"/>
  <c r="D398" i="10" l="1"/>
  <c r="D397" i="10" l="1"/>
  <c r="D396" i="10" l="1"/>
  <c r="D395" i="10" l="1"/>
  <c r="D394" i="10" l="1"/>
  <c r="D393" i="10" l="1"/>
  <c r="C392" i="10" l="1"/>
  <c r="D385" i="10"/>
  <c r="D384" i="10" l="1"/>
  <c r="D383" i="10" l="1"/>
  <c r="D382" i="10" l="1"/>
  <c r="C381" i="10" l="1"/>
  <c r="D379" i="10"/>
  <c r="D378" i="10" l="1"/>
  <c r="D377" i="10" l="1"/>
  <c r="D376" i="10" l="1"/>
  <c r="D375" i="10" l="1"/>
  <c r="D374" i="10" l="1"/>
  <c r="D373" i="10" l="1"/>
  <c r="C372" i="10" l="1"/>
  <c r="D365" i="10" l="1"/>
  <c r="D364" i="10" l="1"/>
  <c r="D363" i="10" l="1"/>
  <c r="D362" i="10" l="1"/>
  <c r="C361" i="10" l="1"/>
  <c r="D359" i="10"/>
  <c r="D358" i="10" l="1"/>
  <c r="D357" i="10" l="1"/>
  <c r="D356" i="10" l="1"/>
  <c r="D355" i="10" l="1"/>
  <c r="D354" i="10" l="1"/>
  <c r="D353" i="10" l="1"/>
  <c r="C352" i="10" l="1"/>
  <c r="D345" i="10" l="1"/>
  <c r="D344" i="10" l="1"/>
  <c r="D343" i="10" l="1"/>
  <c r="D342" i="10" l="1"/>
  <c r="C341" i="10" l="1"/>
  <c r="D339" i="10"/>
  <c r="D338" i="10" l="1"/>
  <c r="D337" i="10" l="1"/>
  <c r="D336" i="10" l="1"/>
  <c r="D335" i="10" l="1"/>
  <c r="D334" i="10" l="1"/>
  <c r="D333" i="10" l="1"/>
  <c r="C332" i="10" l="1"/>
  <c r="D325" i="10" l="1"/>
  <c r="D324" i="10" l="1"/>
  <c r="D323" i="10" l="1"/>
  <c r="D322" i="10" l="1"/>
  <c r="C321" i="10" l="1"/>
  <c r="D319" i="10"/>
  <c r="D318" i="10" l="1"/>
  <c r="D317" i="10" l="1"/>
  <c r="D316" i="10" l="1"/>
  <c r="D315" i="10" l="1"/>
  <c r="D314" i="10" l="1"/>
  <c r="D313" i="10" l="1"/>
  <c r="C312" i="10" l="1"/>
  <c r="D305" i="10" l="1"/>
  <c r="D304" i="10" l="1"/>
  <c r="D303" i="10" l="1"/>
  <c r="D302" i="10" l="1"/>
  <c r="C301" i="10" l="1"/>
  <c r="D299" i="10"/>
  <c r="D298" i="10"/>
  <c r="D297" i="10" l="1"/>
  <c r="D296" i="10" l="1"/>
  <c r="D295" i="10" l="1"/>
  <c r="D294" i="10" l="1"/>
  <c r="D293" i="10" l="1"/>
  <c r="C292" i="10" l="1"/>
  <c r="D285" i="10"/>
  <c r="D284" i="10" l="1"/>
  <c r="D283" i="10" l="1"/>
  <c r="D282" i="10" l="1"/>
  <c r="C281" i="10" l="1"/>
  <c r="D279" i="10"/>
  <c r="D278" i="10"/>
  <c r="D277" i="10" l="1"/>
  <c r="D276" i="10" l="1"/>
  <c r="D275" i="10" l="1"/>
  <c r="D274" i="10" l="1"/>
  <c r="D273" i="10" l="1"/>
  <c r="C272" i="10" l="1"/>
  <c r="D264" i="10"/>
  <c r="D263" i="10"/>
  <c r="D262" i="10"/>
  <c r="D261" i="10"/>
  <c r="C260" i="10"/>
  <c r="D258" i="10"/>
  <c r="D257" i="10"/>
  <c r="D256" i="10"/>
  <c r="D255" i="10"/>
  <c r="D254" i="10"/>
  <c r="D253" i="10"/>
  <c r="D252" i="10"/>
  <c r="C251" i="10" l="1"/>
  <c r="D244" i="10"/>
  <c r="D243" i="10"/>
  <c r="D242" i="10"/>
  <c r="D241" i="10"/>
  <c r="C240" i="10"/>
  <c r="D238" i="10"/>
  <c r="D237" i="10"/>
  <c r="D236" i="10"/>
  <c r="D235" i="10"/>
  <c r="D234" i="10"/>
  <c r="D233" i="10"/>
  <c r="D232" i="10"/>
  <c r="C231" i="10" l="1"/>
  <c r="D224" i="10"/>
  <c r="D223" i="10" l="1"/>
  <c r="D222" i="10" l="1"/>
  <c r="D221" i="10" l="1"/>
  <c r="C220" i="10" l="1"/>
  <c r="D218" i="10"/>
  <c r="D217" i="10" l="1"/>
  <c r="D216" i="10" l="1"/>
  <c r="D215" i="10" l="1"/>
  <c r="D214" i="10" l="1"/>
  <c r="D213" i="10" l="1"/>
  <c r="D212" i="10" l="1"/>
  <c r="C211" i="10" l="1"/>
  <c r="D204" i="10" l="1"/>
  <c r="D203" i="10" l="1"/>
  <c r="D202" i="10" l="1"/>
  <c r="D201" i="10" l="1"/>
  <c r="C200" i="10" l="1"/>
  <c r="D198" i="10"/>
  <c r="D197" i="10"/>
  <c r="D196" i="10" l="1"/>
  <c r="D195" i="10" l="1"/>
  <c r="D194" i="10" l="1"/>
  <c r="D193" i="10" l="1"/>
  <c r="D192" i="10" l="1"/>
  <c r="C191" i="10" l="1"/>
  <c r="D184" i="10"/>
  <c r="D183" i="10" l="1"/>
  <c r="D182" i="10" l="1"/>
  <c r="D181" i="10" l="1"/>
  <c r="C180" i="10" l="1"/>
  <c r="D178" i="10"/>
  <c r="D177" i="10"/>
  <c r="D176" i="10" l="1"/>
  <c r="D175" i="10" l="1"/>
  <c r="D174" i="10" l="1"/>
  <c r="D173" i="10" l="1"/>
  <c r="D172" i="10" l="1"/>
  <c r="C171" i="10" l="1"/>
  <c r="D164" i="10"/>
  <c r="D163" i="10" l="1"/>
  <c r="D162" i="10" l="1"/>
  <c r="D161" i="10" l="1"/>
  <c r="C160" i="10" l="1"/>
  <c r="D158" i="10"/>
  <c r="D157" i="10" l="1"/>
  <c r="D156" i="10" l="1"/>
  <c r="D155" i="10" l="1"/>
  <c r="D154" i="10" l="1"/>
  <c r="D153" i="10" l="1"/>
  <c r="D152" i="10" l="1"/>
  <c r="C151" i="10" l="1"/>
  <c r="D144" i="10" l="1"/>
  <c r="D143" i="10"/>
  <c r="D142" i="10"/>
  <c r="D141" i="10"/>
  <c r="C140" i="10"/>
  <c r="D138" i="10"/>
  <c r="D137" i="10"/>
  <c r="D136" i="10"/>
  <c r="D135" i="10"/>
  <c r="D134" i="10"/>
  <c r="D133" i="10"/>
  <c r="D132" i="10"/>
  <c r="C131" i="10" l="1"/>
  <c r="D124" i="10"/>
  <c r="D123" i="10" l="1"/>
  <c r="D122" i="10" l="1"/>
  <c r="D121" i="10" l="1"/>
  <c r="C120" i="10" l="1"/>
  <c r="D118" i="10"/>
  <c r="D117" i="10" l="1"/>
  <c r="D116" i="10" l="1"/>
  <c r="D115" i="10" l="1"/>
  <c r="D114" i="10" l="1"/>
  <c r="D113" i="10" l="1"/>
  <c r="D112" i="10" l="1"/>
  <c r="C111" i="10" l="1"/>
  <c r="D104" i="10" l="1"/>
  <c r="D103" i="10" l="1"/>
  <c r="D102" i="10" l="1"/>
  <c r="D101" i="10" l="1"/>
  <c r="C100" i="10" l="1"/>
  <c r="D98" i="10"/>
  <c r="D97" i="10" l="1"/>
  <c r="D96" i="10" l="1"/>
  <c r="D95" i="10" l="1"/>
  <c r="D94" i="10" l="1"/>
  <c r="D93" i="10" l="1"/>
  <c r="D92" i="10" l="1"/>
  <c r="C91" i="10" l="1"/>
  <c r="D84" i="10" l="1"/>
  <c r="D83" i="10" l="1"/>
  <c r="D82" i="10" l="1"/>
  <c r="D81" i="10" l="1"/>
  <c r="C80" i="10" l="1"/>
  <c r="D78" i="10"/>
  <c r="D77" i="10" l="1"/>
  <c r="D76" i="10" l="1"/>
  <c r="D75" i="10" l="1"/>
  <c r="D74" i="10" l="1"/>
  <c r="D73" i="10" l="1"/>
  <c r="D72" i="10" l="1"/>
  <c r="C71" i="10" l="1"/>
  <c r="D64" i="10" l="1"/>
  <c r="D63" i="10" l="1"/>
  <c r="D62" i="10" l="1"/>
  <c r="D61" i="10" l="1"/>
  <c r="C60" i="10" l="1"/>
  <c r="D58" i="10"/>
  <c r="D57" i="10" l="1"/>
  <c r="D56" i="10" l="1"/>
  <c r="D55" i="10" l="1"/>
  <c r="D54" i="10" l="1"/>
  <c r="D53" i="10" l="1"/>
  <c r="D52" i="10" l="1"/>
  <c r="C51" i="10" l="1"/>
  <c r="D44" i="10" l="1"/>
  <c r="D43" i="10" l="1"/>
  <c r="D42" i="10" l="1"/>
  <c r="D41" i="10" l="1"/>
  <c r="D38" i="10" l="1"/>
  <c r="D37" i="10" l="1"/>
  <c r="D36" i="10" l="1"/>
  <c r="D35" i="10" l="1"/>
  <c r="D34" i="10" l="1"/>
  <c r="D33" i="10" l="1"/>
  <c r="D32" i="10" l="1"/>
  <c r="C31" i="10" l="1"/>
  <c r="W7" i="10" l="1"/>
  <c r="X7" i="10" s="1"/>
  <c r="Y7" i="10" s="1"/>
  <c r="F7" i="10"/>
  <c r="G7" i="10" s="1"/>
  <c r="H7" i="10" s="1"/>
  <c r="V6" i="10"/>
  <c r="C89" i="9"/>
  <c r="C88" i="9"/>
  <c r="C87" i="9"/>
  <c r="C84" i="9"/>
  <c r="C83" i="9"/>
  <c r="C82" i="9"/>
  <c r="C81" i="9"/>
  <c r="C80" i="9"/>
  <c r="C79" i="9"/>
  <c r="C78" i="9"/>
  <c r="C77" i="9"/>
  <c r="C76" i="9"/>
  <c r="C75" i="9"/>
  <c r="C70" i="9"/>
  <c r="C69" i="9"/>
  <c r="C68" i="9"/>
  <c r="C65" i="9"/>
  <c r="C64" i="9"/>
  <c r="C63" i="9"/>
  <c r="C62" i="9"/>
  <c r="C61" i="9"/>
  <c r="C60" i="9"/>
  <c r="C59" i="9"/>
  <c r="C58" i="9"/>
  <c r="C57" i="9"/>
  <c r="C56" i="9"/>
  <c r="C45" i="9"/>
  <c r="C42" i="9"/>
  <c r="C41" i="9"/>
  <c r="C40" i="9"/>
  <c r="C39" i="9"/>
  <c r="C38" i="9"/>
  <c r="C37" i="9"/>
  <c r="C36" i="9"/>
  <c r="C35" i="9"/>
  <c r="C34" i="9"/>
  <c r="C33" i="9"/>
  <c r="E25" i="9"/>
  <c r="AF6" i="9"/>
  <c r="AG6" i="9" s="1"/>
  <c r="G6" i="9"/>
  <c r="H6" i="9" s="1"/>
  <c r="I6" i="9" s="1"/>
  <c r="AE5" i="9"/>
  <c r="A2" i="9"/>
  <c r="A1" i="9"/>
  <c r="AL182" i="2"/>
  <c r="AK182" i="2"/>
  <c r="AJ182" i="2"/>
  <c r="AI182" i="2"/>
  <c r="AH182" i="2"/>
  <c r="AH175" i="2"/>
  <c r="AI164" i="2" s="1"/>
  <c r="AI175" i="2" s="1"/>
  <c r="AJ164" i="2" s="1"/>
  <c r="AJ175" i="2" s="1"/>
  <c r="AK164" i="2" s="1"/>
  <c r="AK175" i="2" s="1"/>
  <c r="AH161" i="2"/>
  <c r="AI149" i="2" s="1"/>
  <c r="AI161" i="2" s="1"/>
  <c r="AJ149" i="2" s="1"/>
  <c r="AJ161" i="2" s="1"/>
  <c r="AK149" i="2" s="1"/>
  <c r="AK161" i="2" s="1"/>
  <c r="AL149" i="2" s="1"/>
  <c r="AL161" i="2" s="1"/>
  <c r="AM149" i="2" s="1"/>
  <c r="AL146" i="2"/>
  <c r="AK146" i="2"/>
  <c r="AJ146" i="2"/>
  <c r="AI146" i="2"/>
  <c r="AH146" i="2"/>
  <c r="O146" i="2"/>
  <c r="N146" i="2"/>
  <c r="M146" i="2"/>
  <c r="K146" i="2"/>
  <c r="J146" i="2"/>
  <c r="I146" i="2"/>
  <c r="G146" i="2"/>
  <c r="F146" i="2"/>
  <c r="E146" i="2"/>
  <c r="P145" i="2"/>
  <c r="L145" i="2"/>
  <c r="H145" i="2"/>
  <c r="P144" i="2"/>
  <c r="L144" i="2"/>
  <c r="H144" i="2"/>
  <c r="P141" i="2"/>
  <c r="L141" i="2"/>
  <c r="H141" i="2"/>
  <c r="P140" i="2"/>
  <c r="L140" i="2"/>
  <c r="H140" i="2"/>
  <c r="P139" i="2"/>
  <c r="L139" i="2"/>
  <c r="H139" i="2"/>
  <c r="P138" i="2"/>
  <c r="L138" i="2"/>
  <c r="H138" i="2"/>
  <c r="AL118" i="2"/>
  <c r="AK118" i="2"/>
  <c r="AJ118" i="2"/>
  <c r="AI118" i="2"/>
  <c r="AH118" i="2"/>
  <c r="AH111" i="2"/>
  <c r="AI100" i="2" s="1"/>
  <c r="AI133" i="2" s="1"/>
  <c r="AH97" i="2"/>
  <c r="AL82" i="2"/>
  <c r="AK82" i="2"/>
  <c r="AJ82" i="2"/>
  <c r="AI82" i="2"/>
  <c r="AH82" i="2"/>
  <c r="O82" i="2"/>
  <c r="N82" i="2"/>
  <c r="M82" i="2"/>
  <c r="K82" i="2"/>
  <c r="J82" i="2"/>
  <c r="I82" i="2"/>
  <c r="G82" i="2"/>
  <c r="F82" i="2"/>
  <c r="E82" i="2"/>
  <c r="P81" i="2"/>
  <c r="L81" i="2"/>
  <c r="H81" i="2"/>
  <c r="P80" i="2"/>
  <c r="L80" i="2"/>
  <c r="H80" i="2"/>
  <c r="P77" i="2"/>
  <c r="L77" i="2"/>
  <c r="H77" i="2"/>
  <c r="P76" i="2"/>
  <c r="L76" i="2"/>
  <c r="H76" i="2"/>
  <c r="P75" i="2"/>
  <c r="L75" i="2"/>
  <c r="H75" i="2"/>
  <c r="P74" i="2"/>
  <c r="L74" i="2"/>
  <c r="H74" i="2"/>
  <c r="AL55" i="2"/>
  <c r="AK55" i="2"/>
  <c r="AJ55" i="2"/>
  <c r="AI55" i="2"/>
  <c r="AH48" i="2"/>
  <c r="AI37" i="2" s="1"/>
  <c r="AI70" i="2" s="1"/>
  <c r="AH34" i="2"/>
  <c r="AL19" i="2"/>
  <c r="AK19" i="2"/>
  <c r="AJ19" i="2"/>
  <c r="AI19" i="2"/>
  <c r="AH19" i="2"/>
  <c r="O19" i="2"/>
  <c r="N19" i="2"/>
  <c r="M19" i="2"/>
  <c r="K19" i="2"/>
  <c r="J19" i="2"/>
  <c r="I19" i="2"/>
  <c r="G19" i="2"/>
  <c r="F19" i="2"/>
  <c r="E19" i="2"/>
  <c r="P18" i="2"/>
  <c r="L18" i="2"/>
  <c r="H18" i="2"/>
  <c r="P17" i="2"/>
  <c r="L17" i="2"/>
  <c r="H17" i="2"/>
  <c r="P14" i="2"/>
  <c r="L14" i="2"/>
  <c r="H14" i="2"/>
  <c r="P13" i="2"/>
  <c r="L13" i="2"/>
  <c r="H13" i="2"/>
  <c r="P12" i="2"/>
  <c r="L12" i="2"/>
  <c r="H12" i="2"/>
  <c r="P11" i="2"/>
  <c r="L11" i="2"/>
  <c r="H11" i="2"/>
  <c r="AW6" i="2"/>
  <c r="AX6" i="2" s="1"/>
  <c r="AY6" i="2" s="1"/>
  <c r="AZ6" i="2" s="1"/>
  <c r="BA6" i="2" s="1"/>
  <c r="BB6" i="2" s="1"/>
  <c r="BC6" i="2" s="1"/>
  <c r="BD6" i="2" s="1"/>
  <c r="BE6" i="2" s="1"/>
  <c r="BF6" i="2" s="1"/>
  <c r="BG6" i="2" s="1"/>
  <c r="AI6" i="2"/>
  <c r="AJ6" i="2" s="1"/>
  <c r="AK6" i="2" s="1"/>
  <c r="F6" i="2"/>
  <c r="G6" i="2" s="1"/>
  <c r="H6" i="2" s="1"/>
  <c r="G5" i="2" s="1"/>
  <c r="AH5" i="2"/>
  <c r="AM983" i="1"/>
  <c r="AL983" i="1"/>
  <c r="R983" i="1"/>
  <c r="Q983" i="1"/>
  <c r="P983" i="1"/>
  <c r="O983" i="1"/>
  <c r="N983" i="1"/>
  <c r="M983" i="1"/>
  <c r="L983" i="1"/>
  <c r="K983" i="1"/>
  <c r="J983" i="1"/>
  <c r="I983" i="1"/>
  <c r="H983" i="1"/>
  <c r="G983" i="1"/>
  <c r="F983" i="1"/>
  <c r="E983" i="1"/>
  <c r="AM981" i="1"/>
  <c r="AL981" i="1"/>
  <c r="R981" i="1"/>
  <c r="Q981" i="1"/>
  <c r="P981" i="1"/>
  <c r="O981" i="1"/>
  <c r="N981" i="1"/>
  <c r="M981" i="1"/>
  <c r="L981" i="1"/>
  <c r="K981" i="1"/>
  <c r="J981" i="1"/>
  <c r="I981" i="1"/>
  <c r="H981" i="1"/>
  <c r="G981" i="1"/>
  <c r="F981" i="1"/>
  <c r="E981" i="1"/>
  <c r="E975" i="1"/>
  <c r="AM968" i="1"/>
  <c r="AL968" i="1"/>
  <c r="AM961" i="1"/>
  <c r="AL961" i="1"/>
  <c r="M954" i="1"/>
  <c r="I954" i="1"/>
  <c r="E954" i="1"/>
  <c r="R951" i="1"/>
  <c r="Q951" i="1"/>
  <c r="P951" i="1"/>
  <c r="O951" i="1"/>
  <c r="N951" i="1"/>
  <c r="M951" i="1"/>
  <c r="L951" i="1"/>
  <c r="K951" i="1"/>
  <c r="J951" i="1"/>
  <c r="I951" i="1"/>
  <c r="H951" i="1"/>
  <c r="G951" i="1"/>
  <c r="F951" i="1"/>
  <c r="E951" i="1"/>
  <c r="BM949" i="1"/>
  <c r="BL949" i="1"/>
  <c r="BK949" i="1"/>
  <c r="BJ949" i="1"/>
  <c r="BI949" i="1"/>
  <c r="BH949" i="1"/>
  <c r="BG949" i="1"/>
  <c r="BF949" i="1"/>
  <c r="BE949" i="1"/>
  <c r="BD949" i="1"/>
  <c r="BC949" i="1"/>
  <c r="BB949" i="1"/>
  <c r="BA949" i="1"/>
  <c r="AZ949" i="1"/>
  <c r="AM949" i="1"/>
  <c r="AL949" i="1"/>
  <c r="R948" i="1"/>
  <c r="Q948" i="1"/>
  <c r="P948" i="1"/>
  <c r="O948" i="1"/>
  <c r="N948" i="1"/>
  <c r="M948" i="1"/>
  <c r="L948" i="1"/>
  <c r="K948" i="1"/>
  <c r="J948" i="1"/>
  <c r="I948" i="1"/>
  <c r="H948" i="1"/>
  <c r="G948" i="1"/>
  <c r="F948" i="1"/>
  <c r="E948" i="1"/>
  <c r="R947" i="1"/>
  <c r="Q947" i="1"/>
  <c r="P947" i="1"/>
  <c r="O947" i="1"/>
  <c r="N947" i="1"/>
  <c r="M947" i="1"/>
  <c r="L947" i="1"/>
  <c r="K947" i="1"/>
  <c r="J947" i="1"/>
  <c r="I947" i="1"/>
  <c r="H947" i="1"/>
  <c r="G947" i="1"/>
  <c r="F947" i="1"/>
  <c r="E947" i="1"/>
  <c r="R946" i="1"/>
  <c r="Q946" i="1"/>
  <c r="P946" i="1"/>
  <c r="O946" i="1"/>
  <c r="N946" i="1"/>
  <c r="M946" i="1"/>
  <c r="L946" i="1"/>
  <c r="K946" i="1"/>
  <c r="J946" i="1"/>
  <c r="I946" i="1"/>
  <c r="H946" i="1"/>
  <c r="G946" i="1"/>
  <c r="F946" i="1"/>
  <c r="E946" i="1"/>
  <c r="R945" i="1"/>
  <c r="R961" i="1" s="1"/>
  <c r="Q945" i="1"/>
  <c r="P945" i="1"/>
  <c r="P961" i="1" s="1"/>
  <c r="O945" i="1"/>
  <c r="O961" i="1" s="1"/>
  <c r="N945" i="1"/>
  <c r="N961" i="1" s="1"/>
  <c r="M945" i="1"/>
  <c r="L945" i="1"/>
  <c r="L961" i="1" s="1"/>
  <c r="K945" i="1"/>
  <c r="K961" i="1" s="1"/>
  <c r="J945" i="1"/>
  <c r="J961" i="1" s="1"/>
  <c r="I945" i="1"/>
  <c r="H945" i="1"/>
  <c r="H961" i="1" s="1"/>
  <c r="G945" i="1"/>
  <c r="G961" i="1" s="1"/>
  <c r="F945" i="1"/>
  <c r="F961" i="1" s="1"/>
  <c r="E945" i="1"/>
  <c r="R944" i="1"/>
  <c r="R968" i="1" s="1"/>
  <c r="Q944" i="1"/>
  <c r="P944" i="1"/>
  <c r="P968" i="1" s="1"/>
  <c r="O944" i="1"/>
  <c r="O968" i="1" s="1"/>
  <c r="N944" i="1"/>
  <c r="N968" i="1" s="1"/>
  <c r="M944" i="1"/>
  <c r="L944" i="1"/>
  <c r="L968" i="1" s="1"/>
  <c r="L969" i="1" s="1"/>
  <c r="K944" i="1"/>
  <c r="K968" i="1" s="1"/>
  <c r="J944" i="1"/>
  <c r="J968" i="1" s="1"/>
  <c r="I944" i="1"/>
  <c r="H944" i="1"/>
  <c r="H968" i="1" s="1"/>
  <c r="G944" i="1"/>
  <c r="G968" i="1" s="1"/>
  <c r="F944" i="1"/>
  <c r="F968" i="1" s="1"/>
  <c r="E944" i="1"/>
  <c r="R943" i="1"/>
  <c r="Q943" i="1"/>
  <c r="P943" i="1"/>
  <c r="O943" i="1"/>
  <c r="N943" i="1"/>
  <c r="M943" i="1"/>
  <c r="L943" i="1"/>
  <c r="K943" i="1"/>
  <c r="J943" i="1"/>
  <c r="I943" i="1"/>
  <c r="H943" i="1"/>
  <c r="G943" i="1"/>
  <c r="F943" i="1"/>
  <c r="E943" i="1"/>
  <c r="R942" i="1"/>
  <c r="Q942" i="1"/>
  <c r="P942" i="1"/>
  <c r="O942" i="1"/>
  <c r="N942" i="1"/>
  <c r="M942" i="1"/>
  <c r="L942" i="1"/>
  <c r="K942" i="1"/>
  <c r="J942" i="1"/>
  <c r="I942" i="1"/>
  <c r="H942" i="1"/>
  <c r="G942" i="1"/>
  <c r="F942" i="1"/>
  <c r="E942" i="1"/>
  <c r="R941" i="1"/>
  <c r="Q941" i="1"/>
  <c r="P941" i="1"/>
  <c r="O941" i="1"/>
  <c r="N941" i="1"/>
  <c r="M941" i="1"/>
  <c r="L941" i="1"/>
  <c r="K941" i="1"/>
  <c r="J941" i="1"/>
  <c r="I941" i="1"/>
  <c r="H941" i="1"/>
  <c r="G941" i="1"/>
  <c r="F941" i="1"/>
  <c r="E941" i="1"/>
  <c r="BM939" i="1"/>
  <c r="BL939" i="1"/>
  <c r="BK939" i="1"/>
  <c r="BJ939" i="1"/>
  <c r="BI939" i="1"/>
  <c r="BH939" i="1"/>
  <c r="BG939" i="1"/>
  <c r="BF939" i="1"/>
  <c r="BE939" i="1"/>
  <c r="BD939" i="1"/>
  <c r="BC939" i="1"/>
  <c r="BB939" i="1"/>
  <c r="BA939" i="1"/>
  <c r="AZ939" i="1"/>
  <c r="AM939" i="1"/>
  <c r="AL939" i="1"/>
  <c r="R938" i="1"/>
  <c r="Q938" i="1"/>
  <c r="P938" i="1"/>
  <c r="O938" i="1"/>
  <c r="N938" i="1"/>
  <c r="M938" i="1"/>
  <c r="L938" i="1"/>
  <c r="K938" i="1"/>
  <c r="J938" i="1"/>
  <c r="I938" i="1"/>
  <c r="H938" i="1"/>
  <c r="G938" i="1"/>
  <c r="F938" i="1"/>
  <c r="E938" i="1"/>
  <c r="R937" i="1"/>
  <c r="Q937" i="1"/>
  <c r="P937" i="1"/>
  <c r="O937" i="1"/>
  <c r="N937" i="1"/>
  <c r="M937" i="1"/>
  <c r="L937" i="1"/>
  <c r="K937" i="1"/>
  <c r="J937" i="1"/>
  <c r="I937" i="1"/>
  <c r="H937" i="1"/>
  <c r="G937" i="1"/>
  <c r="F937" i="1"/>
  <c r="E937" i="1"/>
  <c r="R936" i="1"/>
  <c r="Q936" i="1"/>
  <c r="P936" i="1"/>
  <c r="O936" i="1"/>
  <c r="N936" i="1"/>
  <c r="M936" i="1"/>
  <c r="L936" i="1"/>
  <c r="K936" i="1"/>
  <c r="J936" i="1"/>
  <c r="I936" i="1"/>
  <c r="H936" i="1"/>
  <c r="G936" i="1"/>
  <c r="F936" i="1"/>
  <c r="E936" i="1"/>
  <c r="R935" i="1"/>
  <c r="Q935" i="1"/>
  <c r="P935" i="1"/>
  <c r="O935" i="1"/>
  <c r="N935" i="1"/>
  <c r="M935" i="1"/>
  <c r="L935" i="1"/>
  <c r="K935" i="1"/>
  <c r="J935" i="1"/>
  <c r="I935" i="1"/>
  <c r="H935" i="1"/>
  <c r="G935" i="1"/>
  <c r="F935" i="1"/>
  <c r="E935" i="1"/>
  <c r="R934" i="1"/>
  <c r="R910" i="1" s="1"/>
  <c r="Q934" i="1"/>
  <c r="P934" i="1"/>
  <c r="P910" i="1" s="1"/>
  <c r="O934" i="1"/>
  <c r="O910" i="1" s="1"/>
  <c r="N934" i="1"/>
  <c r="N910" i="1" s="1"/>
  <c r="M934" i="1"/>
  <c r="M910" i="1" s="1"/>
  <c r="L934" i="1"/>
  <c r="L910" i="1" s="1"/>
  <c r="K934" i="1"/>
  <c r="K910" i="1" s="1"/>
  <c r="J934" i="1"/>
  <c r="J910" i="1" s="1"/>
  <c r="I934" i="1"/>
  <c r="I910" i="1" s="1"/>
  <c r="H934" i="1"/>
  <c r="H910" i="1" s="1"/>
  <c r="G934" i="1"/>
  <c r="G910" i="1" s="1"/>
  <c r="F934" i="1"/>
  <c r="F910" i="1" s="1"/>
  <c r="E934" i="1"/>
  <c r="E910" i="1" s="1"/>
  <c r="BM932" i="1"/>
  <c r="BL932" i="1"/>
  <c r="BK932" i="1"/>
  <c r="BJ932" i="1"/>
  <c r="BI932" i="1"/>
  <c r="BH932" i="1"/>
  <c r="BG932" i="1"/>
  <c r="BF932" i="1"/>
  <c r="BE932" i="1"/>
  <c r="BD932" i="1"/>
  <c r="BC932" i="1"/>
  <c r="BB932" i="1"/>
  <c r="BA932" i="1"/>
  <c r="AZ932" i="1"/>
  <c r="AM932" i="1"/>
  <c r="AL932" i="1"/>
  <c r="AL909" i="1" s="1"/>
  <c r="AL911" i="1" s="1"/>
  <c r="R931" i="1"/>
  <c r="Q931" i="1"/>
  <c r="P931" i="1"/>
  <c r="O931" i="1"/>
  <c r="N931" i="1"/>
  <c r="M931" i="1"/>
  <c r="L931" i="1"/>
  <c r="K931" i="1"/>
  <c r="J931" i="1"/>
  <c r="I931" i="1"/>
  <c r="H931" i="1"/>
  <c r="G931" i="1"/>
  <c r="F931" i="1"/>
  <c r="E931" i="1"/>
  <c r="R930" i="1"/>
  <c r="Q930" i="1"/>
  <c r="P930" i="1"/>
  <c r="O930" i="1"/>
  <c r="N930" i="1"/>
  <c r="M930" i="1"/>
  <c r="L930" i="1"/>
  <c r="K930" i="1"/>
  <c r="J930" i="1"/>
  <c r="I930" i="1"/>
  <c r="H930" i="1"/>
  <c r="G930" i="1"/>
  <c r="F930" i="1"/>
  <c r="E930" i="1"/>
  <c r="R929" i="1"/>
  <c r="Q929" i="1"/>
  <c r="P929" i="1"/>
  <c r="O929" i="1"/>
  <c r="N929" i="1"/>
  <c r="M929" i="1"/>
  <c r="L929" i="1"/>
  <c r="K929" i="1"/>
  <c r="J929" i="1"/>
  <c r="I929" i="1"/>
  <c r="H929" i="1"/>
  <c r="G929" i="1"/>
  <c r="F929" i="1"/>
  <c r="E929" i="1"/>
  <c r="R928" i="1"/>
  <c r="Q928" i="1"/>
  <c r="P928" i="1"/>
  <c r="O928" i="1"/>
  <c r="N928" i="1"/>
  <c r="M928" i="1"/>
  <c r="L928" i="1"/>
  <c r="K928" i="1"/>
  <c r="J928" i="1"/>
  <c r="I928" i="1"/>
  <c r="H928" i="1"/>
  <c r="G928" i="1"/>
  <c r="F928" i="1"/>
  <c r="E928" i="1"/>
  <c r="R927" i="1"/>
  <c r="Q927" i="1"/>
  <c r="P927" i="1"/>
  <c r="O927" i="1"/>
  <c r="N927" i="1"/>
  <c r="M927" i="1"/>
  <c r="L927" i="1"/>
  <c r="K927" i="1"/>
  <c r="J927" i="1"/>
  <c r="I927" i="1"/>
  <c r="H927" i="1"/>
  <c r="G927" i="1"/>
  <c r="F927" i="1"/>
  <c r="E927" i="1"/>
  <c r="R926" i="1"/>
  <c r="Q926" i="1"/>
  <c r="P926" i="1"/>
  <c r="O926" i="1"/>
  <c r="N926" i="1"/>
  <c r="M926" i="1"/>
  <c r="L926" i="1"/>
  <c r="K926" i="1"/>
  <c r="J926" i="1"/>
  <c r="I926" i="1"/>
  <c r="H926" i="1"/>
  <c r="G926" i="1"/>
  <c r="F926" i="1"/>
  <c r="E926" i="1"/>
  <c r="R923" i="1"/>
  <c r="Q923" i="1"/>
  <c r="P923" i="1"/>
  <c r="O923" i="1"/>
  <c r="N923" i="1"/>
  <c r="M923" i="1"/>
  <c r="L923" i="1"/>
  <c r="K923" i="1"/>
  <c r="J923" i="1"/>
  <c r="I923" i="1"/>
  <c r="H923" i="1"/>
  <c r="G923" i="1"/>
  <c r="F923" i="1"/>
  <c r="E923" i="1"/>
  <c r="R922" i="1"/>
  <c r="Q922" i="1"/>
  <c r="P922" i="1"/>
  <c r="O922" i="1"/>
  <c r="N922" i="1"/>
  <c r="M922" i="1"/>
  <c r="L922" i="1"/>
  <c r="K922" i="1"/>
  <c r="J922" i="1"/>
  <c r="I922" i="1"/>
  <c r="H922" i="1"/>
  <c r="G922" i="1"/>
  <c r="F922" i="1"/>
  <c r="E922" i="1"/>
  <c r="R921" i="1"/>
  <c r="Q921" i="1"/>
  <c r="P921" i="1"/>
  <c r="O921" i="1"/>
  <c r="N921" i="1"/>
  <c r="M921" i="1"/>
  <c r="L921" i="1"/>
  <c r="K921" i="1"/>
  <c r="J921" i="1"/>
  <c r="I921" i="1"/>
  <c r="H921" i="1"/>
  <c r="G921" i="1"/>
  <c r="F921" i="1"/>
  <c r="E921" i="1"/>
  <c r="R920" i="1"/>
  <c r="Q920" i="1"/>
  <c r="P920" i="1"/>
  <c r="O920" i="1"/>
  <c r="N920" i="1"/>
  <c r="M920" i="1"/>
  <c r="L920" i="1"/>
  <c r="K920" i="1"/>
  <c r="J920" i="1"/>
  <c r="I920" i="1"/>
  <c r="H920" i="1"/>
  <c r="G920" i="1"/>
  <c r="F920" i="1"/>
  <c r="E920" i="1"/>
  <c r="R919" i="1"/>
  <c r="Q919" i="1"/>
  <c r="P919" i="1"/>
  <c r="O919" i="1"/>
  <c r="N919" i="1"/>
  <c r="M919" i="1"/>
  <c r="L919" i="1"/>
  <c r="K919" i="1"/>
  <c r="J919" i="1"/>
  <c r="I919" i="1"/>
  <c r="H919" i="1"/>
  <c r="G919" i="1"/>
  <c r="F919" i="1"/>
  <c r="E919" i="1"/>
  <c r="R918" i="1"/>
  <c r="Q918" i="1"/>
  <c r="P918" i="1"/>
  <c r="O918" i="1"/>
  <c r="N918" i="1"/>
  <c r="M918" i="1"/>
  <c r="L918" i="1"/>
  <c r="K918" i="1"/>
  <c r="J918" i="1"/>
  <c r="I918" i="1"/>
  <c r="H918" i="1"/>
  <c r="G918" i="1"/>
  <c r="F918" i="1"/>
  <c r="E918" i="1"/>
  <c r="R917" i="1"/>
  <c r="R899" i="1" s="1"/>
  <c r="Q917" i="1"/>
  <c r="P917" i="1"/>
  <c r="O917" i="1"/>
  <c r="O899" i="1" s="1"/>
  <c r="N917" i="1"/>
  <c r="N899" i="1" s="1"/>
  <c r="M917" i="1"/>
  <c r="L917" i="1"/>
  <c r="L899" i="1" s="1"/>
  <c r="K917" i="1"/>
  <c r="K899" i="1" s="1"/>
  <c r="J917" i="1"/>
  <c r="J899" i="1" s="1"/>
  <c r="I917" i="1"/>
  <c r="H917" i="1"/>
  <c r="H899" i="1" s="1"/>
  <c r="G917" i="1"/>
  <c r="G899" i="1" s="1"/>
  <c r="F917" i="1"/>
  <c r="F899" i="1" s="1"/>
  <c r="E917" i="1"/>
  <c r="R914" i="1"/>
  <c r="Q914" i="1"/>
  <c r="P914" i="1"/>
  <c r="O914" i="1"/>
  <c r="N914" i="1"/>
  <c r="M914" i="1"/>
  <c r="L914" i="1"/>
  <c r="K914" i="1"/>
  <c r="J914" i="1"/>
  <c r="I914" i="1"/>
  <c r="H914" i="1"/>
  <c r="G914" i="1"/>
  <c r="F914" i="1"/>
  <c r="E914" i="1"/>
  <c r="AM899" i="1"/>
  <c r="AL899" i="1"/>
  <c r="P897" i="1"/>
  <c r="O897" i="1"/>
  <c r="N897" i="1"/>
  <c r="M897" i="1"/>
  <c r="L897" i="1"/>
  <c r="K897" i="1"/>
  <c r="J897" i="1"/>
  <c r="I897" i="1"/>
  <c r="H897" i="1"/>
  <c r="G897" i="1"/>
  <c r="F897" i="1"/>
  <c r="E897" i="1"/>
  <c r="R888" i="1"/>
  <c r="Q888" i="1"/>
  <c r="P888" i="1"/>
  <c r="O888" i="1"/>
  <c r="N888" i="1"/>
  <c r="M888" i="1"/>
  <c r="L888" i="1"/>
  <c r="K888" i="1"/>
  <c r="J888" i="1"/>
  <c r="I888" i="1"/>
  <c r="H888" i="1"/>
  <c r="G888" i="1"/>
  <c r="F888" i="1"/>
  <c r="E888" i="1"/>
  <c r="AP886" i="1"/>
  <c r="AP888" i="1" s="1"/>
  <c r="AO886" i="1"/>
  <c r="AO888" i="1" s="1"/>
  <c r="AN886" i="1"/>
  <c r="AN888" i="1" s="1"/>
  <c r="AM886" i="1"/>
  <c r="AM888" i="1" s="1"/>
  <c r="AL886" i="1"/>
  <c r="AL888" i="1" s="1"/>
  <c r="AM875" i="1"/>
  <c r="AM172" i="11" s="1"/>
  <c r="AL875" i="1"/>
  <c r="AL172" i="11" s="1"/>
  <c r="R865" i="1"/>
  <c r="Q865" i="1"/>
  <c r="P865" i="1"/>
  <c r="O865" i="1"/>
  <c r="N865" i="1"/>
  <c r="M865" i="1"/>
  <c r="L865" i="1"/>
  <c r="K865" i="1"/>
  <c r="J865" i="1"/>
  <c r="I865" i="1"/>
  <c r="H865" i="1"/>
  <c r="G865" i="1"/>
  <c r="F865" i="1"/>
  <c r="E865" i="1"/>
  <c r="AP864" i="1"/>
  <c r="AO864" i="1"/>
  <c r="AP876" i="1" s="1"/>
  <c r="AN864" i="1"/>
  <c r="AN866" i="1" s="1"/>
  <c r="AM864" i="1"/>
  <c r="AN876" i="1" s="1"/>
  <c r="AL864" i="1"/>
  <c r="AM876" i="1" s="1"/>
  <c r="R864" i="1"/>
  <c r="Q864" i="1"/>
  <c r="P864" i="1"/>
  <c r="O864" i="1"/>
  <c r="N864" i="1"/>
  <c r="M864" i="1"/>
  <c r="L864" i="1"/>
  <c r="K864" i="1"/>
  <c r="J864" i="1"/>
  <c r="I864" i="1"/>
  <c r="H864" i="1"/>
  <c r="G864" i="1"/>
  <c r="F864" i="1"/>
  <c r="E864" i="1"/>
  <c r="AV860" i="1"/>
  <c r="AW860" i="1" s="1"/>
  <c r="AX860" i="1" s="1"/>
  <c r="AM856" i="1"/>
  <c r="AL856" i="1"/>
  <c r="R856" i="1"/>
  <c r="Q856" i="1"/>
  <c r="P856" i="1"/>
  <c r="O856" i="1"/>
  <c r="N856" i="1"/>
  <c r="M856" i="1"/>
  <c r="L856" i="1"/>
  <c r="K856" i="1"/>
  <c r="J856" i="1"/>
  <c r="I856" i="1"/>
  <c r="H856" i="1"/>
  <c r="AM855" i="1"/>
  <c r="AL855" i="1"/>
  <c r="R855" i="1"/>
  <c r="Q855" i="1"/>
  <c r="P855" i="1"/>
  <c r="O855" i="1"/>
  <c r="N855" i="1"/>
  <c r="M855" i="1"/>
  <c r="L855" i="1"/>
  <c r="K855" i="1"/>
  <c r="J855" i="1"/>
  <c r="I855" i="1"/>
  <c r="H855" i="1"/>
  <c r="AM846" i="1"/>
  <c r="AM850" i="1" s="1"/>
  <c r="AL846" i="1"/>
  <c r="AL850" i="1" s="1"/>
  <c r="R846" i="1"/>
  <c r="R850" i="1" s="1"/>
  <c r="Q846" i="1"/>
  <c r="Q850" i="1" s="1"/>
  <c r="P846" i="1"/>
  <c r="P850" i="1" s="1"/>
  <c r="O846" i="1"/>
  <c r="O850" i="1" s="1"/>
  <c r="N846" i="1"/>
  <c r="N850" i="1" s="1"/>
  <c r="M846" i="1"/>
  <c r="M850" i="1" s="1"/>
  <c r="L846" i="1"/>
  <c r="L850" i="1" s="1"/>
  <c r="K846" i="1"/>
  <c r="K850" i="1" s="1"/>
  <c r="J846" i="1"/>
  <c r="J850" i="1" s="1"/>
  <c r="I846" i="1"/>
  <c r="I850" i="1" s="1"/>
  <c r="H846" i="1"/>
  <c r="H850" i="1" s="1"/>
  <c r="AM845" i="1"/>
  <c r="AM849" i="1" s="1"/>
  <c r="AL845" i="1"/>
  <c r="AL849" i="1" s="1"/>
  <c r="R845" i="1"/>
  <c r="R849" i="1" s="1"/>
  <c r="Q845" i="1"/>
  <c r="Q849" i="1" s="1"/>
  <c r="P845" i="1"/>
  <c r="P849" i="1" s="1"/>
  <c r="O845" i="1"/>
  <c r="O849" i="1" s="1"/>
  <c r="N845" i="1"/>
  <c r="N849" i="1" s="1"/>
  <c r="M845" i="1"/>
  <c r="M849" i="1" s="1"/>
  <c r="L845" i="1"/>
  <c r="L849" i="1" s="1"/>
  <c r="K845" i="1"/>
  <c r="K849" i="1" s="1"/>
  <c r="J845" i="1"/>
  <c r="J849" i="1" s="1"/>
  <c r="I845" i="1"/>
  <c r="I849" i="1" s="1"/>
  <c r="H845" i="1"/>
  <c r="H849" i="1" s="1"/>
  <c r="AM844" i="1"/>
  <c r="AM848" i="1" s="1"/>
  <c r="AL844" i="1"/>
  <c r="AL848" i="1" s="1"/>
  <c r="R844" i="1"/>
  <c r="R848" i="1" s="1"/>
  <c r="Q844" i="1"/>
  <c r="Q848" i="1" s="1"/>
  <c r="P844" i="1"/>
  <c r="P848" i="1" s="1"/>
  <c r="O844" i="1"/>
  <c r="O848" i="1" s="1"/>
  <c r="N844" i="1"/>
  <c r="N848" i="1" s="1"/>
  <c r="M844" i="1"/>
  <c r="M848" i="1" s="1"/>
  <c r="L844" i="1"/>
  <c r="L848" i="1" s="1"/>
  <c r="K844" i="1"/>
  <c r="K848" i="1" s="1"/>
  <c r="J844" i="1"/>
  <c r="J848" i="1" s="1"/>
  <c r="I844" i="1"/>
  <c r="I848" i="1" s="1"/>
  <c r="H844" i="1"/>
  <c r="H848" i="1" s="1"/>
  <c r="AM777" i="1"/>
  <c r="AM780" i="1" s="1"/>
  <c r="AM800" i="1" s="1"/>
  <c r="AM802" i="1" s="1"/>
  <c r="AM807" i="1" s="1"/>
  <c r="AL777" i="1"/>
  <c r="AL780" i="1" s="1"/>
  <c r="R777" i="1"/>
  <c r="R780" i="1" s="1"/>
  <c r="R800" i="1" s="1"/>
  <c r="R802" i="1" s="1"/>
  <c r="R807" i="1" s="1"/>
  <c r="R809" i="1" s="1"/>
  <c r="Q777" i="1"/>
  <c r="Q780" i="1" s="1"/>
  <c r="Q800" i="1" s="1"/>
  <c r="Q802" i="1" s="1"/>
  <c r="Q807" i="1" s="1"/>
  <c r="Q809" i="1" s="1"/>
  <c r="P777" i="1"/>
  <c r="P780" i="1" s="1"/>
  <c r="P800" i="1" s="1"/>
  <c r="P802" i="1" s="1"/>
  <c r="P807" i="1" s="1"/>
  <c r="P809" i="1" s="1"/>
  <c r="O777" i="1"/>
  <c r="O780" i="1" s="1"/>
  <c r="O800" i="1" s="1"/>
  <c r="O802" i="1" s="1"/>
  <c r="O807" i="1" s="1"/>
  <c r="O809" i="1" s="1"/>
  <c r="N777" i="1"/>
  <c r="N780" i="1" s="1"/>
  <c r="N800" i="1" s="1"/>
  <c r="N802" i="1" s="1"/>
  <c r="N807" i="1" s="1"/>
  <c r="N809" i="1" s="1"/>
  <c r="M777" i="1"/>
  <c r="M780" i="1" s="1"/>
  <c r="M800" i="1" s="1"/>
  <c r="M802" i="1" s="1"/>
  <c r="M807" i="1" s="1"/>
  <c r="M809" i="1" s="1"/>
  <c r="L777" i="1"/>
  <c r="L780" i="1" s="1"/>
  <c r="L800" i="1" s="1"/>
  <c r="L802" i="1" s="1"/>
  <c r="L807" i="1" s="1"/>
  <c r="L809" i="1" s="1"/>
  <c r="K777" i="1"/>
  <c r="K780" i="1" s="1"/>
  <c r="K800" i="1" s="1"/>
  <c r="K802" i="1" s="1"/>
  <c r="K807" i="1" s="1"/>
  <c r="K809" i="1" s="1"/>
  <c r="J777" i="1"/>
  <c r="J780" i="1" s="1"/>
  <c r="J800" i="1" s="1"/>
  <c r="J802" i="1" s="1"/>
  <c r="J807" i="1" s="1"/>
  <c r="J809" i="1" s="1"/>
  <c r="I777" i="1"/>
  <c r="I780" i="1" s="1"/>
  <c r="I800" i="1" s="1"/>
  <c r="I802" i="1" s="1"/>
  <c r="I807" i="1" s="1"/>
  <c r="I809" i="1" s="1"/>
  <c r="H777" i="1"/>
  <c r="H780" i="1" s="1"/>
  <c r="H800" i="1" s="1"/>
  <c r="H802" i="1" s="1"/>
  <c r="H807" i="1" s="1"/>
  <c r="H809" i="1" s="1"/>
  <c r="G777" i="1"/>
  <c r="G780" i="1" s="1"/>
  <c r="G800" i="1" s="1"/>
  <c r="G802" i="1" s="1"/>
  <c r="G807" i="1" s="1"/>
  <c r="G809" i="1" s="1"/>
  <c r="F777" i="1"/>
  <c r="F780" i="1" s="1"/>
  <c r="F800" i="1" s="1"/>
  <c r="F802" i="1" s="1"/>
  <c r="F807" i="1" s="1"/>
  <c r="F809" i="1" s="1"/>
  <c r="E777" i="1"/>
  <c r="E780" i="1" s="1"/>
  <c r="E800" i="1" s="1"/>
  <c r="E802" i="1" s="1"/>
  <c r="E807" i="1" s="1"/>
  <c r="E809" i="1" s="1"/>
  <c r="AM748" i="1"/>
  <c r="AM791" i="1" s="1"/>
  <c r="AM793" i="1" s="1"/>
  <c r="AM797" i="1" s="1"/>
  <c r="AL748" i="1"/>
  <c r="R748" i="1"/>
  <c r="R791" i="1" s="1"/>
  <c r="R793" i="1" s="1"/>
  <c r="R797" i="1" s="1"/>
  <c r="Q748" i="1"/>
  <c r="Q791" i="1" s="1"/>
  <c r="Q793" i="1" s="1"/>
  <c r="Q797" i="1" s="1"/>
  <c r="P748" i="1"/>
  <c r="P791" i="1" s="1"/>
  <c r="P793" i="1" s="1"/>
  <c r="P797" i="1" s="1"/>
  <c r="P811" i="1" s="1"/>
  <c r="O748" i="1"/>
  <c r="O791" i="1" s="1"/>
  <c r="O793" i="1" s="1"/>
  <c r="O797" i="1" s="1"/>
  <c r="O811" i="1" s="1"/>
  <c r="N748" i="1"/>
  <c r="N791" i="1" s="1"/>
  <c r="N793" i="1" s="1"/>
  <c r="N797" i="1" s="1"/>
  <c r="N811" i="1" s="1"/>
  <c r="M748" i="1"/>
  <c r="M791" i="1" s="1"/>
  <c r="M793" i="1" s="1"/>
  <c r="M797" i="1" s="1"/>
  <c r="M811" i="1" s="1"/>
  <c r="L748" i="1"/>
  <c r="L791" i="1" s="1"/>
  <c r="L793" i="1" s="1"/>
  <c r="L797" i="1" s="1"/>
  <c r="K748" i="1"/>
  <c r="K791" i="1" s="1"/>
  <c r="K793" i="1" s="1"/>
  <c r="K797" i="1" s="1"/>
  <c r="J748" i="1"/>
  <c r="J791" i="1" s="1"/>
  <c r="J793" i="1" s="1"/>
  <c r="J797" i="1" s="1"/>
  <c r="I748" i="1"/>
  <c r="I791" i="1" s="1"/>
  <c r="I793" i="1" s="1"/>
  <c r="I797" i="1" s="1"/>
  <c r="H748" i="1"/>
  <c r="H791" i="1" s="1"/>
  <c r="H793" i="1" s="1"/>
  <c r="H797" i="1" s="1"/>
  <c r="H811" i="1" s="1"/>
  <c r="G748" i="1"/>
  <c r="G791" i="1" s="1"/>
  <c r="G793" i="1" s="1"/>
  <c r="G797" i="1" s="1"/>
  <c r="G811" i="1" s="1"/>
  <c r="F748" i="1"/>
  <c r="F791" i="1" s="1"/>
  <c r="F793" i="1" s="1"/>
  <c r="F797" i="1" s="1"/>
  <c r="F811" i="1" s="1"/>
  <c r="E748" i="1"/>
  <c r="E791" i="1" s="1"/>
  <c r="E793" i="1" s="1"/>
  <c r="E797" i="1" s="1"/>
  <c r="E811" i="1" s="1"/>
  <c r="AM725" i="1"/>
  <c r="AM727" i="1" s="1"/>
  <c r="AL725" i="1"/>
  <c r="AL727" i="1" s="1"/>
  <c r="R725" i="1"/>
  <c r="R727" i="1" s="1"/>
  <c r="Q725" i="1"/>
  <c r="Q727" i="1" s="1"/>
  <c r="P725" i="1"/>
  <c r="P727" i="1" s="1"/>
  <c r="O725" i="1"/>
  <c r="O727" i="1" s="1"/>
  <c r="N725" i="1"/>
  <c r="N727" i="1" s="1"/>
  <c r="M725" i="1"/>
  <c r="M727" i="1" s="1"/>
  <c r="L725" i="1"/>
  <c r="L727" i="1" s="1"/>
  <c r="K725" i="1"/>
  <c r="K727" i="1" s="1"/>
  <c r="J725" i="1"/>
  <c r="J727" i="1" s="1"/>
  <c r="I725" i="1"/>
  <c r="I727" i="1" s="1"/>
  <c r="H725" i="1"/>
  <c r="H727" i="1" s="1"/>
  <c r="G725" i="1"/>
  <c r="G727" i="1" s="1"/>
  <c r="F725" i="1"/>
  <c r="F727" i="1" s="1"/>
  <c r="E725" i="1"/>
  <c r="E727" i="1" s="1"/>
  <c r="AM714" i="1"/>
  <c r="AL714" i="1"/>
  <c r="AM713" i="1"/>
  <c r="AL713" i="1"/>
  <c r="AM712" i="1"/>
  <c r="AL712" i="1"/>
  <c r="AM711" i="1"/>
  <c r="AL711" i="1"/>
  <c r="AP709" i="1"/>
  <c r="AO709" i="1"/>
  <c r="AN709" i="1"/>
  <c r="AM709" i="1"/>
  <c r="AL709" i="1"/>
  <c r="AM578" i="1"/>
  <c r="AL578" i="1"/>
  <c r="C578" i="1"/>
  <c r="C585" i="1" s="1"/>
  <c r="AM577" i="1"/>
  <c r="AL577" i="1"/>
  <c r="AY577" i="1" s="1"/>
  <c r="C577" i="1"/>
  <c r="C584" i="1" s="1"/>
  <c r="AM576" i="1"/>
  <c r="AL576" i="1"/>
  <c r="AY576" i="1" s="1"/>
  <c r="C576" i="1"/>
  <c r="C583" i="1" s="1"/>
  <c r="AM575" i="1"/>
  <c r="AL575" i="1"/>
  <c r="AY575" i="1" s="1"/>
  <c r="C575" i="1"/>
  <c r="C582" i="1" s="1"/>
  <c r="AP573" i="1"/>
  <c r="AO573" i="1"/>
  <c r="AN573" i="1"/>
  <c r="AM573" i="1"/>
  <c r="AL573" i="1"/>
  <c r="C700" i="1"/>
  <c r="C905" i="1" s="1"/>
  <c r="AM695" i="1"/>
  <c r="AL695" i="1"/>
  <c r="AM694" i="1"/>
  <c r="AL694" i="1"/>
  <c r="AM693" i="1"/>
  <c r="AL693" i="1"/>
  <c r="AM692" i="1"/>
  <c r="AL692" i="1"/>
  <c r="AP690" i="1"/>
  <c r="AO690" i="1"/>
  <c r="AN690" i="1"/>
  <c r="AM690" i="1"/>
  <c r="AL690" i="1"/>
  <c r="AM499" i="1"/>
  <c r="AL499" i="1"/>
  <c r="C499" i="1"/>
  <c r="C505" i="1" s="1"/>
  <c r="AM498" i="1"/>
  <c r="AL498" i="1"/>
  <c r="C498" i="1"/>
  <c r="C504" i="1" s="1"/>
  <c r="AM497" i="1"/>
  <c r="AL497" i="1"/>
  <c r="C497" i="1"/>
  <c r="C503" i="1" s="1"/>
  <c r="AP494" i="1"/>
  <c r="AO494" i="1"/>
  <c r="AN494" i="1"/>
  <c r="AM494" i="1"/>
  <c r="AL494" i="1"/>
  <c r="C681" i="1"/>
  <c r="C904" i="1" s="1"/>
  <c r="AM676" i="1"/>
  <c r="AL676" i="1"/>
  <c r="AM675" i="1"/>
  <c r="AL675" i="1"/>
  <c r="AM674" i="1"/>
  <c r="AL674" i="1"/>
  <c r="AM673" i="1"/>
  <c r="AL673" i="1"/>
  <c r="AP671" i="1"/>
  <c r="AO671" i="1"/>
  <c r="AN671" i="1"/>
  <c r="AM671" i="1"/>
  <c r="AL671" i="1"/>
  <c r="AM418" i="1"/>
  <c r="AL418" i="1"/>
  <c r="C418" i="1"/>
  <c r="AM417" i="1"/>
  <c r="AL417" i="1"/>
  <c r="C417" i="1"/>
  <c r="C423" i="1" s="1"/>
  <c r="AM416" i="1"/>
  <c r="AL416" i="1"/>
  <c r="AL666" i="1" s="1"/>
  <c r="C416" i="1"/>
  <c r="C422" i="1" s="1"/>
  <c r="AP414" i="1"/>
  <c r="AO414" i="1"/>
  <c r="AN414" i="1"/>
  <c r="AM414" i="1"/>
  <c r="AL414" i="1"/>
  <c r="C664" i="1"/>
  <c r="C903" i="1" s="1"/>
  <c r="AM659" i="1"/>
  <c r="AL659" i="1"/>
  <c r="AM658" i="1"/>
  <c r="AL658" i="1"/>
  <c r="AM657" i="1"/>
  <c r="AL657" i="1"/>
  <c r="AM656" i="1"/>
  <c r="AL656" i="1"/>
  <c r="AP654" i="1"/>
  <c r="AO654" i="1"/>
  <c r="AN654" i="1"/>
  <c r="AM654" i="1"/>
  <c r="AL654" i="1"/>
  <c r="AM306" i="1"/>
  <c r="AL306" i="1"/>
  <c r="AM299" i="1"/>
  <c r="AL299" i="1"/>
  <c r="C299" i="1"/>
  <c r="AM302" i="1"/>
  <c r="AL302" i="1"/>
  <c r="C302" i="1"/>
  <c r="AM300" i="1"/>
  <c r="AL300" i="1"/>
  <c r="AM305" i="1"/>
  <c r="AL305" i="1"/>
  <c r="C305" i="1"/>
  <c r="AM304" i="1"/>
  <c r="AL304" i="1"/>
  <c r="C304" i="1"/>
  <c r="AM301" i="1"/>
  <c r="AL301" i="1"/>
  <c r="C301" i="1"/>
  <c r="AP640" i="1"/>
  <c r="AO640" i="1"/>
  <c r="AN640" i="1"/>
  <c r="AM640" i="1"/>
  <c r="AM641" i="1" s="1"/>
  <c r="AL640" i="1"/>
  <c r="AL641" i="1" s="1"/>
  <c r="AO637" i="1"/>
  <c r="AN637" i="1"/>
  <c r="AM637" i="1"/>
  <c r="AL637" i="1"/>
  <c r="AM633" i="1"/>
  <c r="AL633" i="1"/>
  <c r="R633" i="1"/>
  <c r="V634" i="1" s="1"/>
  <c r="Q633" i="1"/>
  <c r="U634" i="1" s="1"/>
  <c r="P633" i="1"/>
  <c r="T634" i="1" s="1"/>
  <c r="O633" i="1"/>
  <c r="S634" i="1" s="1"/>
  <c r="N633" i="1"/>
  <c r="M633" i="1"/>
  <c r="L633" i="1"/>
  <c r="K633" i="1"/>
  <c r="J633" i="1"/>
  <c r="I633" i="1"/>
  <c r="H633" i="1"/>
  <c r="G633" i="1"/>
  <c r="F633" i="1"/>
  <c r="E633" i="1"/>
  <c r="AM623" i="1"/>
  <c r="AL623" i="1"/>
  <c r="R623" i="1"/>
  <c r="Q623" i="1"/>
  <c r="P623" i="1"/>
  <c r="T624" i="1" s="1"/>
  <c r="O623" i="1"/>
  <c r="N623" i="1"/>
  <c r="M623" i="1"/>
  <c r="L623" i="1"/>
  <c r="K623" i="1"/>
  <c r="J623" i="1"/>
  <c r="I623" i="1"/>
  <c r="H623" i="1"/>
  <c r="G623" i="1"/>
  <c r="F623" i="1"/>
  <c r="E623" i="1"/>
  <c r="AM619" i="1"/>
  <c r="AM621" i="1" s="1"/>
  <c r="AL619" i="1"/>
  <c r="AL354" i="1" s="1"/>
  <c r="R619" i="1"/>
  <c r="R621" i="1" s="1"/>
  <c r="Q619" i="1"/>
  <c r="P619" i="1"/>
  <c r="O619" i="1"/>
  <c r="O621" i="1" s="1"/>
  <c r="N619" i="1"/>
  <c r="N621" i="1" s="1"/>
  <c r="M619" i="1"/>
  <c r="L619" i="1"/>
  <c r="L252" i="1" s="1"/>
  <c r="K619" i="1"/>
  <c r="K621" i="1" s="1"/>
  <c r="J619" i="1"/>
  <c r="J621" i="1" s="1"/>
  <c r="I619" i="1"/>
  <c r="H619" i="1"/>
  <c r="H621" i="1" s="1"/>
  <c r="G619" i="1"/>
  <c r="G621" i="1" s="1"/>
  <c r="F619" i="1"/>
  <c r="F621" i="1" s="1"/>
  <c r="E619" i="1"/>
  <c r="AM609" i="1"/>
  <c r="AL609" i="1"/>
  <c r="AP39" i="21" s="1"/>
  <c r="R609" i="1"/>
  <c r="R39" i="21" s="1"/>
  <c r="Q609" i="1"/>
  <c r="Q39" i="21" s="1"/>
  <c r="P609" i="1"/>
  <c r="O609" i="1"/>
  <c r="N609" i="1"/>
  <c r="N39" i="21" s="1"/>
  <c r="M609" i="1"/>
  <c r="M39" i="21" s="1"/>
  <c r="L609" i="1"/>
  <c r="K609" i="1"/>
  <c r="K39" i="21" s="1"/>
  <c r="J609" i="1"/>
  <c r="J39" i="21" s="1"/>
  <c r="I609" i="1"/>
  <c r="I39" i="21" s="1"/>
  <c r="H609" i="1"/>
  <c r="G609" i="1"/>
  <c r="F609" i="1"/>
  <c r="F39" i="21" s="1"/>
  <c r="E609" i="1"/>
  <c r="E39" i="21" s="1"/>
  <c r="X174" i="1"/>
  <c r="X195" i="1" s="1"/>
  <c r="W174" i="1"/>
  <c r="W195" i="1" s="1"/>
  <c r="V174" i="1"/>
  <c r="V195" i="1" s="1"/>
  <c r="U174" i="1"/>
  <c r="AM593" i="1"/>
  <c r="L593" i="1"/>
  <c r="K593" i="1"/>
  <c r="J593" i="1"/>
  <c r="I593" i="1"/>
  <c r="AP548" i="1"/>
  <c r="AO548" i="1"/>
  <c r="AN548" i="1"/>
  <c r="AM548" i="1"/>
  <c r="R548" i="1"/>
  <c r="Q548" i="1"/>
  <c r="O548" i="1"/>
  <c r="N548" i="1"/>
  <c r="M548" i="1"/>
  <c r="K548" i="1"/>
  <c r="J548" i="1"/>
  <c r="I548" i="1"/>
  <c r="P547" i="1"/>
  <c r="L547" i="1"/>
  <c r="P546" i="1"/>
  <c r="L546" i="1"/>
  <c r="P545" i="1"/>
  <c r="L545" i="1"/>
  <c r="P544" i="1"/>
  <c r="L544" i="1"/>
  <c r="AM539" i="1"/>
  <c r="AL539" i="1"/>
  <c r="R539" i="1"/>
  <c r="R38" i="21" s="1"/>
  <c r="Q539" i="1"/>
  <c r="Q38" i="21" s="1"/>
  <c r="P539" i="1"/>
  <c r="O539" i="1"/>
  <c r="N539" i="1"/>
  <c r="M539" i="1"/>
  <c r="L539" i="1"/>
  <c r="K539" i="1"/>
  <c r="J539" i="1"/>
  <c r="I539" i="1"/>
  <c r="H539" i="1"/>
  <c r="H38" i="21" s="1"/>
  <c r="G539" i="1"/>
  <c r="F539" i="1"/>
  <c r="E539" i="1"/>
  <c r="AM532" i="1"/>
  <c r="AL532" i="1"/>
  <c r="R532" i="1"/>
  <c r="Q532" i="1"/>
  <c r="P532" i="1"/>
  <c r="O532" i="1"/>
  <c r="N532" i="1"/>
  <c r="M532" i="1"/>
  <c r="L532" i="1"/>
  <c r="K532" i="1"/>
  <c r="J532" i="1"/>
  <c r="I532" i="1"/>
  <c r="H532" i="1"/>
  <c r="G532" i="1"/>
  <c r="F532" i="1"/>
  <c r="E532" i="1"/>
  <c r="AM531" i="1"/>
  <c r="R531" i="1"/>
  <c r="Q531" i="1"/>
  <c r="P531" i="1"/>
  <c r="O531" i="1"/>
  <c r="N531" i="1"/>
  <c r="M531" i="1"/>
  <c r="L531" i="1"/>
  <c r="K531" i="1"/>
  <c r="J531" i="1"/>
  <c r="I531" i="1"/>
  <c r="AN527" i="1"/>
  <c r="AM527" i="1"/>
  <c r="R527" i="1"/>
  <c r="Q527" i="1"/>
  <c r="O527" i="1"/>
  <c r="N527" i="1"/>
  <c r="M527" i="1"/>
  <c r="K527" i="1"/>
  <c r="J527" i="1"/>
  <c r="I527" i="1"/>
  <c r="AN526" i="1"/>
  <c r="AM526" i="1"/>
  <c r="R526" i="1"/>
  <c r="Q526" i="1"/>
  <c r="O526" i="1"/>
  <c r="N526" i="1"/>
  <c r="M526" i="1"/>
  <c r="K526" i="1"/>
  <c r="J526" i="1"/>
  <c r="I526" i="1"/>
  <c r="AN525" i="1"/>
  <c r="AM525" i="1"/>
  <c r="R525" i="1"/>
  <c r="Q525" i="1"/>
  <c r="O525" i="1"/>
  <c r="N525" i="1"/>
  <c r="M525" i="1"/>
  <c r="K525" i="1"/>
  <c r="J525" i="1"/>
  <c r="I525" i="1"/>
  <c r="AP520" i="1"/>
  <c r="AO520" i="1"/>
  <c r="AN520" i="1"/>
  <c r="AN528" i="1" s="1"/>
  <c r="AM520" i="1"/>
  <c r="AM528" i="1" s="1"/>
  <c r="R520" i="1"/>
  <c r="R528" i="1" s="1"/>
  <c r="Q520" i="1"/>
  <c r="Q528" i="1" s="1"/>
  <c r="O520" i="1"/>
  <c r="O528" i="1" s="1"/>
  <c r="N520" i="1"/>
  <c r="N528" i="1" s="1"/>
  <c r="M520" i="1"/>
  <c r="M528" i="1" s="1"/>
  <c r="K520" i="1"/>
  <c r="K528" i="1" s="1"/>
  <c r="J520" i="1"/>
  <c r="J528" i="1" s="1"/>
  <c r="I520" i="1"/>
  <c r="I528" i="1" s="1"/>
  <c r="H520" i="1"/>
  <c r="G520" i="1"/>
  <c r="F520" i="1"/>
  <c r="E520" i="1"/>
  <c r="P519" i="1"/>
  <c r="P527" i="1" s="1"/>
  <c r="L519" i="1"/>
  <c r="L527" i="1" s="1"/>
  <c r="P518" i="1"/>
  <c r="P526" i="1" s="1"/>
  <c r="L518" i="1"/>
  <c r="L526" i="1" s="1"/>
  <c r="P517" i="1"/>
  <c r="L517" i="1"/>
  <c r="L525" i="1" s="1"/>
  <c r="AM514" i="1"/>
  <c r="R514" i="1"/>
  <c r="Q514" i="1"/>
  <c r="P514" i="1"/>
  <c r="O514" i="1"/>
  <c r="N514" i="1"/>
  <c r="M514" i="1"/>
  <c r="L514" i="1"/>
  <c r="K514" i="1"/>
  <c r="J514" i="1"/>
  <c r="I514" i="1"/>
  <c r="AP470" i="1"/>
  <c r="AO470" i="1"/>
  <c r="AN470" i="1"/>
  <c r="AM470" i="1"/>
  <c r="R470" i="1"/>
  <c r="Q470" i="1"/>
  <c r="O470" i="1"/>
  <c r="N470" i="1"/>
  <c r="M470" i="1"/>
  <c r="K470" i="1"/>
  <c r="J470" i="1"/>
  <c r="I470" i="1"/>
  <c r="P469" i="1"/>
  <c r="L469" i="1"/>
  <c r="P468" i="1"/>
  <c r="L468" i="1"/>
  <c r="P467" i="1"/>
  <c r="L467" i="1"/>
  <c r="P466" i="1"/>
  <c r="L466" i="1"/>
  <c r="AM461" i="1"/>
  <c r="AL461" i="1"/>
  <c r="R461" i="1"/>
  <c r="R37" i="21" s="1"/>
  <c r="Q461" i="1"/>
  <c r="Q37" i="21" s="1"/>
  <c r="P461" i="1"/>
  <c r="O461" i="1"/>
  <c r="N461" i="1"/>
  <c r="M461" i="1"/>
  <c r="L461" i="1"/>
  <c r="K461" i="1"/>
  <c r="K37" i="21" s="1"/>
  <c r="J461" i="1"/>
  <c r="I461" i="1"/>
  <c r="H461" i="1"/>
  <c r="G461" i="1"/>
  <c r="G37" i="21" s="1"/>
  <c r="F461" i="1"/>
  <c r="E461" i="1"/>
  <c r="AM454" i="1"/>
  <c r="AL454" i="1"/>
  <c r="R454" i="1"/>
  <c r="Q454" i="1"/>
  <c r="P454" i="1"/>
  <c r="O454" i="1"/>
  <c r="N454" i="1"/>
  <c r="M454" i="1"/>
  <c r="L454" i="1"/>
  <c r="K454" i="1"/>
  <c r="J454" i="1"/>
  <c r="I454" i="1"/>
  <c r="H454" i="1"/>
  <c r="G454" i="1"/>
  <c r="F454" i="1"/>
  <c r="E454" i="1"/>
  <c r="AM453" i="1"/>
  <c r="R453" i="1"/>
  <c r="Q453" i="1"/>
  <c r="P453" i="1"/>
  <c r="O453" i="1"/>
  <c r="N453" i="1"/>
  <c r="M453" i="1"/>
  <c r="L453" i="1"/>
  <c r="K453" i="1"/>
  <c r="J453" i="1"/>
  <c r="I453" i="1"/>
  <c r="AN449" i="1"/>
  <c r="AM449" i="1"/>
  <c r="R449" i="1"/>
  <c r="Q449" i="1"/>
  <c r="O449" i="1"/>
  <c r="N449" i="1"/>
  <c r="M449" i="1"/>
  <c r="K449" i="1"/>
  <c r="J449" i="1"/>
  <c r="I449" i="1"/>
  <c r="AN448" i="1"/>
  <c r="AM448" i="1"/>
  <c r="R448" i="1"/>
  <c r="Q448" i="1"/>
  <c r="O448" i="1"/>
  <c r="N448" i="1"/>
  <c r="M448" i="1"/>
  <c r="K448" i="1"/>
  <c r="J448" i="1"/>
  <c r="I448" i="1"/>
  <c r="AN447" i="1"/>
  <c r="AM447" i="1"/>
  <c r="R447" i="1"/>
  <c r="Q447" i="1"/>
  <c r="O447" i="1"/>
  <c r="N447" i="1"/>
  <c r="M447" i="1"/>
  <c r="K447" i="1"/>
  <c r="J447" i="1"/>
  <c r="I447" i="1"/>
  <c r="AN446" i="1"/>
  <c r="AM446" i="1"/>
  <c r="R446" i="1"/>
  <c r="Q446" i="1"/>
  <c r="P446" i="1"/>
  <c r="O446" i="1"/>
  <c r="N446" i="1"/>
  <c r="M446" i="1"/>
  <c r="L446" i="1"/>
  <c r="K446" i="1"/>
  <c r="J446" i="1"/>
  <c r="I446" i="1"/>
  <c r="AP441" i="1"/>
  <c r="AO441" i="1"/>
  <c r="AN441" i="1"/>
  <c r="AN450" i="1" s="1"/>
  <c r="AM441" i="1"/>
  <c r="AM443" i="1" s="1"/>
  <c r="R441" i="1"/>
  <c r="R450" i="1" s="1"/>
  <c r="Q441" i="1"/>
  <c r="Q443" i="1" s="1"/>
  <c r="O441" i="1"/>
  <c r="O450" i="1" s="1"/>
  <c r="N441" i="1"/>
  <c r="N450" i="1" s="1"/>
  <c r="M441" i="1"/>
  <c r="M443" i="1" s="1"/>
  <c r="K441" i="1"/>
  <c r="K450" i="1" s="1"/>
  <c r="J441" i="1"/>
  <c r="J450" i="1" s="1"/>
  <c r="I441" i="1"/>
  <c r="I443" i="1" s="1"/>
  <c r="P440" i="1"/>
  <c r="P449" i="1" s="1"/>
  <c r="L440" i="1"/>
  <c r="L449" i="1" s="1"/>
  <c r="P439" i="1"/>
  <c r="P448" i="1" s="1"/>
  <c r="L439" i="1"/>
  <c r="L448" i="1" s="1"/>
  <c r="P438" i="1"/>
  <c r="P447" i="1" s="1"/>
  <c r="L438" i="1"/>
  <c r="L447" i="1" s="1"/>
  <c r="AM434" i="1"/>
  <c r="BL488" i="1" s="1"/>
  <c r="R434" i="1"/>
  <c r="Q434" i="1"/>
  <c r="P434" i="1"/>
  <c r="O434" i="1"/>
  <c r="N434" i="1"/>
  <c r="M434" i="1"/>
  <c r="L434" i="1"/>
  <c r="K434" i="1"/>
  <c r="J434" i="1"/>
  <c r="I434" i="1"/>
  <c r="AP389" i="1"/>
  <c r="AO389" i="1"/>
  <c r="AN389" i="1"/>
  <c r="AM389" i="1"/>
  <c r="R389" i="1"/>
  <c r="Q389" i="1"/>
  <c r="O389" i="1"/>
  <c r="N389" i="1"/>
  <c r="M389" i="1"/>
  <c r="K389" i="1"/>
  <c r="J389" i="1"/>
  <c r="I389" i="1"/>
  <c r="P388" i="1"/>
  <c r="L388" i="1"/>
  <c r="P387" i="1"/>
  <c r="L387" i="1"/>
  <c r="P386" i="1"/>
  <c r="L386" i="1"/>
  <c r="P385" i="1"/>
  <c r="L385" i="1"/>
  <c r="AM380" i="1"/>
  <c r="AL380" i="1"/>
  <c r="R380" i="1"/>
  <c r="R36" i="21" s="1"/>
  <c r="Q380" i="1"/>
  <c r="P380" i="1"/>
  <c r="O380" i="1"/>
  <c r="N380" i="1"/>
  <c r="M380" i="1"/>
  <c r="Q397" i="1" s="1"/>
  <c r="L380" i="1"/>
  <c r="K380" i="1"/>
  <c r="J380" i="1"/>
  <c r="N397" i="1" s="1"/>
  <c r="I380" i="1"/>
  <c r="M397" i="1" s="1"/>
  <c r="H380" i="1"/>
  <c r="G380" i="1"/>
  <c r="K397" i="1" s="1"/>
  <c r="F380" i="1"/>
  <c r="J397" i="1" s="1"/>
  <c r="E380" i="1"/>
  <c r="I397" i="1" s="1"/>
  <c r="AM373" i="1"/>
  <c r="AL373" i="1"/>
  <c r="R373" i="1"/>
  <c r="Q373" i="1"/>
  <c r="P373" i="1"/>
  <c r="O373" i="1"/>
  <c r="N373" i="1"/>
  <c r="M373" i="1"/>
  <c r="L373" i="1"/>
  <c r="K373" i="1"/>
  <c r="J373" i="1"/>
  <c r="I373" i="1"/>
  <c r="H373" i="1"/>
  <c r="G373" i="1"/>
  <c r="F373" i="1"/>
  <c r="E373" i="1"/>
  <c r="AM372" i="1"/>
  <c r="R372" i="1"/>
  <c r="Q372" i="1"/>
  <c r="P372" i="1"/>
  <c r="O372" i="1"/>
  <c r="N372" i="1"/>
  <c r="M372" i="1"/>
  <c r="L372" i="1"/>
  <c r="K372" i="1"/>
  <c r="J372" i="1"/>
  <c r="I372" i="1"/>
  <c r="AN368" i="1"/>
  <c r="AM368" i="1"/>
  <c r="R368" i="1"/>
  <c r="Q368" i="1"/>
  <c r="O368" i="1"/>
  <c r="N368" i="1"/>
  <c r="M368" i="1"/>
  <c r="K368" i="1"/>
  <c r="J368" i="1"/>
  <c r="I368" i="1"/>
  <c r="AN367" i="1"/>
  <c r="AM367" i="1"/>
  <c r="R367" i="1"/>
  <c r="Q367" i="1"/>
  <c r="O367" i="1"/>
  <c r="N367" i="1"/>
  <c r="M367" i="1"/>
  <c r="K367" i="1"/>
  <c r="J367" i="1"/>
  <c r="I367" i="1"/>
  <c r="AN366" i="1"/>
  <c r="AM366" i="1"/>
  <c r="R366" i="1"/>
  <c r="Q366" i="1"/>
  <c r="O366" i="1"/>
  <c r="N366" i="1"/>
  <c r="M366" i="1"/>
  <c r="K366" i="1"/>
  <c r="J366" i="1"/>
  <c r="I366" i="1"/>
  <c r="AN365" i="1"/>
  <c r="AM365" i="1"/>
  <c r="R365" i="1"/>
  <c r="Q365" i="1"/>
  <c r="O365" i="1"/>
  <c r="N365" i="1"/>
  <c r="M365" i="1"/>
  <c r="L365" i="1"/>
  <c r="K365" i="1"/>
  <c r="J365" i="1"/>
  <c r="I365" i="1"/>
  <c r="AP360" i="1"/>
  <c r="AO360" i="1"/>
  <c r="AN360" i="1"/>
  <c r="AN369" i="1" s="1"/>
  <c r="AM360" i="1"/>
  <c r="AM362" i="1" s="1"/>
  <c r="R360" i="1"/>
  <c r="R369" i="1" s="1"/>
  <c r="Q360" i="1"/>
  <c r="Q362" i="1" s="1"/>
  <c r="O360" i="1"/>
  <c r="O369" i="1" s="1"/>
  <c r="N360" i="1"/>
  <c r="N369" i="1" s="1"/>
  <c r="M360" i="1"/>
  <c r="M369" i="1" s="1"/>
  <c r="K360" i="1"/>
  <c r="K369" i="1" s="1"/>
  <c r="J360" i="1"/>
  <c r="J369" i="1" s="1"/>
  <c r="I360" i="1"/>
  <c r="I369" i="1" s="1"/>
  <c r="H360" i="1"/>
  <c r="G360" i="1"/>
  <c r="F360" i="1"/>
  <c r="E360" i="1"/>
  <c r="P359" i="1"/>
  <c r="P368" i="1" s="1"/>
  <c r="L359" i="1"/>
  <c r="L368" i="1" s="1"/>
  <c r="P358" i="1"/>
  <c r="P367" i="1" s="1"/>
  <c r="L358" i="1"/>
  <c r="L367" i="1" s="1"/>
  <c r="P357" i="1"/>
  <c r="P366" i="1" s="1"/>
  <c r="L357" i="1"/>
  <c r="L366" i="1" s="1"/>
  <c r="AM353" i="1"/>
  <c r="R353" i="1"/>
  <c r="Q353" i="1"/>
  <c r="P353" i="1"/>
  <c r="O353" i="1"/>
  <c r="N353" i="1"/>
  <c r="M353" i="1"/>
  <c r="L353" i="1"/>
  <c r="K353" i="1"/>
  <c r="J353" i="1"/>
  <c r="I353" i="1"/>
  <c r="AP334" i="1"/>
  <c r="AO334" i="1"/>
  <c r="AN334" i="1"/>
  <c r="R334" i="1"/>
  <c r="Q334" i="1"/>
  <c r="O334" i="1"/>
  <c r="N334" i="1"/>
  <c r="M334" i="1"/>
  <c r="K334" i="1"/>
  <c r="J334" i="1"/>
  <c r="I334" i="1"/>
  <c r="P333" i="1"/>
  <c r="L333" i="1"/>
  <c r="P332" i="1"/>
  <c r="L332" i="1"/>
  <c r="P331" i="1"/>
  <c r="L331" i="1"/>
  <c r="P330" i="1"/>
  <c r="L330" i="1"/>
  <c r="AM278" i="1"/>
  <c r="AL278" i="1"/>
  <c r="R278" i="1"/>
  <c r="R35" i="21" s="1"/>
  <c r="Q278" i="1"/>
  <c r="P278" i="1"/>
  <c r="O278" i="1"/>
  <c r="S336" i="1" s="1"/>
  <c r="N278" i="1"/>
  <c r="M278" i="1"/>
  <c r="L278" i="1"/>
  <c r="K278" i="1"/>
  <c r="J278" i="1"/>
  <c r="I278" i="1"/>
  <c r="H278" i="1"/>
  <c r="G278" i="1"/>
  <c r="F278" i="1"/>
  <c r="E278" i="1"/>
  <c r="AM271" i="1"/>
  <c r="AL271" i="1"/>
  <c r="R271" i="1"/>
  <c r="Q271" i="1"/>
  <c r="P271" i="1"/>
  <c r="O271" i="1"/>
  <c r="N271" i="1"/>
  <c r="M271" i="1"/>
  <c r="L271" i="1"/>
  <c r="K271" i="1"/>
  <c r="J271" i="1"/>
  <c r="I271" i="1"/>
  <c r="H271" i="1"/>
  <c r="G271" i="1"/>
  <c r="F271" i="1"/>
  <c r="E271" i="1"/>
  <c r="AM270" i="1"/>
  <c r="R270" i="1"/>
  <c r="Q270" i="1"/>
  <c r="P270" i="1"/>
  <c r="O270" i="1"/>
  <c r="N270" i="1"/>
  <c r="M270" i="1"/>
  <c r="L270" i="1"/>
  <c r="K270" i="1"/>
  <c r="J270" i="1"/>
  <c r="I270" i="1"/>
  <c r="AN266" i="1"/>
  <c r="AM266" i="1"/>
  <c r="R266" i="1"/>
  <c r="Q266" i="1"/>
  <c r="O266" i="1"/>
  <c r="N266" i="1"/>
  <c r="M266" i="1"/>
  <c r="K266" i="1"/>
  <c r="J266" i="1"/>
  <c r="I266" i="1"/>
  <c r="AN265" i="1"/>
  <c r="AM265" i="1"/>
  <c r="R265" i="1"/>
  <c r="Q265" i="1"/>
  <c r="O265" i="1"/>
  <c r="N265" i="1"/>
  <c r="M265" i="1"/>
  <c r="K265" i="1"/>
  <c r="J265" i="1"/>
  <c r="I265" i="1"/>
  <c r="AN264" i="1"/>
  <c r="AM264" i="1"/>
  <c r="R264" i="1"/>
  <c r="Q264" i="1"/>
  <c r="O264" i="1"/>
  <c r="N264" i="1"/>
  <c r="M264" i="1"/>
  <c r="K264" i="1"/>
  <c r="J264" i="1"/>
  <c r="I264" i="1"/>
  <c r="AN263" i="1"/>
  <c r="AM263" i="1"/>
  <c r="R263" i="1"/>
  <c r="P263" i="1"/>
  <c r="O263" i="1"/>
  <c r="N263" i="1"/>
  <c r="M263" i="1"/>
  <c r="L263" i="1"/>
  <c r="K263" i="1"/>
  <c r="J263" i="1"/>
  <c r="I263" i="1"/>
  <c r="AP258" i="1"/>
  <c r="AO258" i="1"/>
  <c r="AN258" i="1"/>
  <c r="AN267" i="1" s="1"/>
  <c r="AM258" i="1"/>
  <c r="AM267" i="1" s="1"/>
  <c r="R258" i="1"/>
  <c r="R267" i="1" s="1"/>
  <c r="O258" i="1"/>
  <c r="O267" i="1" s="1"/>
  <c r="N258" i="1"/>
  <c r="N267" i="1" s="1"/>
  <c r="M258" i="1"/>
  <c r="M267" i="1" s="1"/>
  <c r="K258" i="1"/>
  <c r="K267" i="1" s="1"/>
  <c r="J258" i="1"/>
  <c r="J267" i="1" s="1"/>
  <c r="I258" i="1"/>
  <c r="I267" i="1" s="1"/>
  <c r="P257" i="1"/>
  <c r="P266" i="1" s="1"/>
  <c r="L257" i="1"/>
  <c r="P256" i="1"/>
  <c r="P265" i="1" s="1"/>
  <c r="L256" i="1"/>
  <c r="L265" i="1" s="1"/>
  <c r="P255" i="1"/>
  <c r="P264" i="1" s="1"/>
  <c r="L255" i="1"/>
  <c r="L264" i="1" s="1"/>
  <c r="AM251" i="1"/>
  <c r="R251" i="1"/>
  <c r="Q251" i="1"/>
  <c r="P251" i="1"/>
  <c r="O251" i="1"/>
  <c r="N251" i="1"/>
  <c r="M251" i="1"/>
  <c r="L251" i="1"/>
  <c r="K251" i="1"/>
  <c r="J251" i="1"/>
  <c r="I251" i="1"/>
  <c r="P243" i="1"/>
  <c r="L243" i="1"/>
  <c r="P242" i="1"/>
  <c r="L242" i="1"/>
  <c r="AM211" i="1"/>
  <c r="AL211" i="1"/>
  <c r="AL218" i="1" s="1"/>
  <c r="AL107" i="1" s="1"/>
  <c r="R211" i="1"/>
  <c r="Q211" i="1"/>
  <c r="P211" i="1"/>
  <c r="O211" i="1"/>
  <c r="N211" i="1"/>
  <c r="M211" i="1"/>
  <c r="L211" i="1"/>
  <c r="K211" i="1"/>
  <c r="J211" i="1"/>
  <c r="I211" i="1"/>
  <c r="H211" i="1"/>
  <c r="G211" i="1"/>
  <c r="F211" i="1"/>
  <c r="E211" i="1"/>
  <c r="AM201" i="1"/>
  <c r="AL201" i="1"/>
  <c r="R201" i="1"/>
  <c r="Q201" i="1"/>
  <c r="P201" i="1"/>
  <c r="O201" i="1"/>
  <c r="N201" i="1"/>
  <c r="M201" i="1"/>
  <c r="L201" i="1"/>
  <c r="K201" i="1"/>
  <c r="J201" i="1"/>
  <c r="I201" i="1"/>
  <c r="H201" i="1"/>
  <c r="G201" i="1"/>
  <c r="E201" i="1"/>
  <c r="AM203" i="1"/>
  <c r="AL203" i="1"/>
  <c r="X203" i="1"/>
  <c r="W203" i="1"/>
  <c r="V203" i="1"/>
  <c r="S203" i="1"/>
  <c r="R203" i="1"/>
  <c r="P203" i="1"/>
  <c r="O203" i="1"/>
  <c r="N203" i="1"/>
  <c r="L203" i="1"/>
  <c r="K203" i="1"/>
  <c r="J203" i="1"/>
  <c r="H203" i="1"/>
  <c r="G203" i="1"/>
  <c r="F203" i="1"/>
  <c r="AM183" i="1"/>
  <c r="AL183" i="1"/>
  <c r="X183" i="1"/>
  <c r="W183" i="1"/>
  <c r="V183" i="1"/>
  <c r="U183" i="1"/>
  <c r="S183" i="1"/>
  <c r="R183" i="1"/>
  <c r="Q183" i="1"/>
  <c r="P183" i="1"/>
  <c r="O183" i="1"/>
  <c r="N183" i="1"/>
  <c r="M183" i="1"/>
  <c r="L183" i="1"/>
  <c r="K183" i="1"/>
  <c r="J183" i="1"/>
  <c r="I183" i="1"/>
  <c r="H183" i="1"/>
  <c r="G183" i="1"/>
  <c r="F183" i="1"/>
  <c r="E183" i="1"/>
  <c r="AM182" i="1"/>
  <c r="AM202" i="1" s="1"/>
  <c r="AL182" i="1"/>
  <c r="AL202" i="1" s="1"/>
  <c r="X182" i="1"/>
  <c r="X202" i="1" s="1"/>
  <c r="W182" i="1"/>
  <c r="W202" i="1" s="1"/>
  <c r="V182" i="1"/>
  <c r="V202" i="1" s="1"/>
  <c r="U182" i="1"/>
  <c r="S182" i="1"/>
  <c r="S202" i="1" s="1"/>
  <c r="R182" i="1"/>
  <c r="R202" i="1" s="1"/>
  <c r="Q182" i="1"/>
  <c r="P182" i="1"/>
  <c r="P202" i="1" s="1"/>
  <c r="O182" i="1"/>
  <c r="O202" i="1" s="1"/>
  <c r="N182" i="1"/>
  <c r="N202" i="1" s="1"/>
  <c r="M182" i="1"/>
  <c r="L182" i="1"/>
  <c r="L202" i="1" s="1"/>
  <c r="K182" i="1"/>
  <c r="K202" i="1" s="1"/>
  <c r="J182" i="1"/>
  <c r="J202" i="1" s="1"/>
  <c r="I182" i="1"/>
  <c r="H182" i="1"/>
  <c r="H202" i="1" s="1"/>
  <c r="G182" i="1"/>
  <c r="G202" i="1" s="1"/>
  <c r="F182" i="1"/>
  <c r="F202" i="1" s="1"/>
  <c r="E182" i="1"/>
  <c r="AM181" i="1"/>
  <c r="AM197" i="1" s="1"/>
  <c r="AL181" i="1"/>
  <c r="AL197" i="1" s="1"/>
  <c r="X181" i="1"/>
  <c r="X197" i="1" s="1"/>
  <c r="W181" i="1"/>
  <c r="W197" i="1" s="1"/>
  <c r="V181" i="1"/>
  <c r="V197" i="1" s="1"/>
  <c r="U181" i="1"/>
  <c r="S181" i="1"/>
  <c r="S197" i="1" s="1"/>
  <c r="R181" i="1"/>
  <c r="R197" i="1" s="1"/>
  <c r="Q181" i="1"/>
  <c r="P181" i="1"/>
  <c r="P197" i="1" s="1"/>
  <c r="O181" i="1"/>
  <c r="O197" i="1" s="1"/>
  <c r="N181" i="1"/>
  <c r="N197" i="1" s="1"/>
  <c r="M181" i="1"/>
  <c r="L181" i="1"/>
  <c r="L197" i="1" s="1"/>
  <c r="K181" i="1"/>
  <c r="K197" i="1" s="1"/>
  <c r="J181" i="1"/>
  <c r="J197" i="1" s="1"/>
  <c r="I181" i="1"/>
  <c r="H181" i="1"/>
  <c r="H197" i="1" s="1"/>
  <c r="G181" i="1"/>
  <c r="G197" i="1" s="1"/>
  <c r="F181" i="1"/>
  <c r="F197" i="1" s="1"/>
  <c r="E181" i="1"/>
  <c r="AM178" i="1"/>
  <c r="AM198" i="1" s="1"/>
  <c r="AL178" i="1"/>
  <c r="AL198" i="1" s="1"/>
  <c r="X178" i="1"/>
  <c r="X198" i="1" s="1"/>
  <c r="W178" i="1"/>
  <c r="W198" i="1" s="1"/>
  <c r="V178" i="1"/>
  <c r="V198" i="1" s="1"/>
  <c r="U178" i="1"/>
  <c r="S178" i="1"/>
  <c r="S198" i="1" s="1"/>
  <c r="R178" i="1"/>
  <c r="R198" i="1" s="1"/>
  <c r="Q178" i="1"/>
  <c r="P178" i="1"/>
  <c r="P198" i="1" s="1"/>
  <c r="O178" i="1"/>
  <c r="O198" i="1" s="1"/>
  <c r="N178" i="1"/>
  <c r="N198" i="1" s="1"/>
  <c r="M178" i="1"/>
  <c r="L178" i="1"/>
  <c r="L198" i="1" s="1"/>
  <c r="K178" i="1"/>
  <c r="K198" i="1" s="1"/>
  <c r="J178" i="1"/>
  <c r="J198" i="1" s="1"/>
  <c r="I178" i="1"/>
  <c r="H178" i="1"/>
  <c r="H198" i="1" s="1"/>
  <c r="G178" i="1"/>
  <c r="G198" i="1" s="1"/>
  <c r="F178" i="1"/>
  <c r="F198" i="1" s="1"/>
  <c r="E178" i="1"/>
  <c r="AM177" i="1"/>
  <c r="AM200" i="1" s="1"/>
  <c r="AL177" i="1"/>
  <c r="AL200" i="1" s="1"/>
  <c r="X177" i="1"/>
  <c r="X200" i="1" s="1"/>
  <c r="W177" i="1"/>
  <c r="W200" i="1" s="1"/>
  <c r="V177" i="1"/>
  <c r="V200" i="1" s="1"/>
  <c r="U177" i="1"/>
  <c r="S177" i="1"/>
  <c r="S200" i="1" s="1"/>
  <c r="R177" i="1"/>
  <c r="R200" i="1" s="1"/>
  <c r="Q177" i="1"/>
  <c r="P177" i="1"/>
  <c r="P200" i="1" s="1"/>
  <c r="O177" i="1"/>
  <c r="O200" i="1" s="1"/>
  <c r="N177" i="1"/>
  <c r="N200" i="1" s="1"/>
  <c r="M177" i="1"/>
  <c r="L177" i="1"/>
  <c r="L200" i="1" s="1"/>
  <c r="K177" i="1"/>
  <c r="K200" i="1" s="1"/>
  <c r="J177" i="1"/>
  <c r="J200" i="1" s="1"/>
  <c r="I177" i="1"/>
  <c r="H177" i="1"/>
  <c r="H200" i="1" s="1"/>
  <c r="G177" i="1"/>
  <c r="G200" i="1" s="1"/>
  <c r="F177" i="1"/>
  <c r="F200" i="1" s="1"/>
  <c r="E177" i="1"/>
  <c r="AM175" i="1"/>
  <c r="AM196" i="1" s="1"/>
  <c r="AL175" i="1"/>
  <c r="AL196" i="1" s="1"/>
  <c r="X175" i="1"/>
  <c r="X196" i="1" s="1"/>
  <c r="W175" i="1"/>
  <c r="W196" i="1" s="1"/>
  <c r="V175" i="1"/>
  <c r="V196" i="1" s="1"/>
  <c r="U175" i="1"/>
  <c r="S175" i="1"/>
  <c r="S196" i="1" s="1"/>
  <c r="R175" i="1"/>
  <c r="R196" i="1" s="1"/>
  <c r="Q175" i="1"/>
  <c r="P175" i="1"/>
  <c r="P196" i="1" s="1"/>
  <c r="O175" i="1"/>
  <c r="O196" i="1" s="1"/>
  <c r="N175" i="1"/>
  <c r="N196" i="1" s="1"/>
  <c r="M175" i="1"/>
  <c r="L175" i="1"/>
  <c r="L196" i="1" s="1"/>
  <c r="K175" i="1"/>
  <c r="K196" i="1" s="1"/>
  <c r="J175" i="1"/>
  <c r="J196" i="1" s="1"/>
  <c r="I175" i="1"/>
  <c r="H175" i="1"/>
  <c r="H196" i="1" s="1"/>
  <c r="G175" i="1"/>
  <c r="G196" i="1" s="1"/>
  <c r="F175" i="1"/>
  <c r="F196" i="1" s="1"/>
  <c r="E175" i="1"/>
  <c r="AM174" i="1"/>
  <c r="AM195" i="1" s="1"/>
  <c r="AL174" i="1"/>
  <c r="AL195" i="1" s="1"/>
  <c r="R174" i="1"/>
  <c r="R195" i="1" s="1"/>
  <c r="Q174" i="1"/>
  <c r="P174" i="1"/>
  <c r="P195" i="1" s="1"/>
  <c r="O174" i="1"/>
  <c r="O195" i="1" s="1"/>
  <c r="N174" i="1"/>
  <c r="N195" i="1" s="1"/>
  <c r="M174" i="1"/>
  <c r="L174" i="1"/>
  <c r="L195" i="1" s="1"/>
  <c r="K174" i="1"/>
  <c r="K195" i="1" s="1"/>
  <c r="J174" i="1"/>
  <c r="J195" i="1" s="1"/>
  <c r="I174" i="1"/>
  <c r="H174" i="1"/>
  <c r="H195" i="1" s="1"/>
  <c r="G174" i="1"/>
  <c r="G195" i="1" s="1"/>
  <c r="F174" i="1"/>
  <c r="F195" i="1" s="1"/>
  <c r="E174" i="1"/>
  <c r="AM173" i="1"/>
  <c r="AL173" i="1"/>
  <c r="X173" i="1"/>
  <c r="W173" i="1"/>
  <c r="V173" i="1"/>
  <c r="U173" i="1"/>
  <c r="S173" i="1"/>
  <c r="R173" i="1"/>
  <c r="Q173" i="1"/>
  <c r="P173" i="1"/>
  <c r="O173" i="1"/>
  <c r="N173" i="1"/>
  <c r="M173" i="1"/>
  <c r="L173" i="1"/>
  <c r="K173" i="1"/>
  <c r="J173" i="1"/>
  <c r="I173" i="1"/>
  <c r="H173" i="1"/>
  <c r="G173" i="1"/>
  <c r="F173" i="1"/>
  <c r="E173" i="1"/>
  <c r="AM168" i="1"/>
  <c r="AL168" i="1"/>
  <c r="R168" i="1"/>
  <c r="Q168" i="1"/>
  <c r="P168" i="1"/>
  <c r="O168" i="1"/>
  <c r="N168" i="1"/>
  <c r="M168" i="1"/>
  <c r="L168" i="1"/>
  <c r="K168" i="1"/>
  <c r="J168" i="1"/>
  <c r="I168" i="1"/>
  <c r="H168" i="1"/>
  <c r="G168" i="1"/>
  <c r="F168" i="1"/>
  <c r="E168" i="1"/>
  <c r="AM162" i="1"/>
  <c r="AM166" i="1" s="1"/>
  <c r="AM93" i="1" s="1"/>
  <c r="AL162" i="1"/>
  <c r="AL166" i="1" s="1"/>
  <c r="AL93" i="1" s="1"/>
  <c r="R162" i="1"/>
  <c r="R166" i="1" s="1"/>
  <c r="R93" i="1" s="1"/>
  <c r="Q162" i="1"/>
  <c r="P162" i="1"/>
  <c r="P166" i="1" s="1"/>
  <c r="P93" i="1" s="1"/>
  <c r="O162" i="1"/>
  <c r="O166" i="1" s="1"/>
  <c r="O93" i="1" s="1"/>
  <c r="N162" i="1"/>
  <c r="N166" i="1" s="1"/>
  <c r="N93" i="1" s="1"/>
  <c r="M162" i="1"/>
  <c r="L162" i="1"/>
  <c r="L166" i="1" s="1"/>
  <c r="L93" i="1" s="1"/>
  <c r="K162" i="1"/>
  <c r="K166" i="1" s="1"/>
  <c r="K93" i="1" s="1"/>
  <c r="J162" i="1"/>
  <c r="J166" i="1" s="1"/>
  <c r="J93" i="1" s="1"/>
  <c r="I162" i="1"/>
  <c r="H162" i="1"/>
  <c r="H166" i="1" s="1"/>
  <c r="G162" i="1"/>
  <c r="G166" i="1" s="1"/>
  <c r="F162" i="1"/>
  <c r="F166" i="1" s="1"/>
  <c r="E162" i="1"/>
  <c r="AM156" i="1"/>
  <c r="AM160" i="1" s="1"/>
  <c r="AM95" i="1" s="1"/>
  <c r="AL156" i="1"/>
  <c r="AL160" i="1" s="1"/>
  <c r="AL95" i="1" s="1"/>
  <c r="R156" i="1"/>
  <c r="R160" i="1" s="1"/>
  <c r="R95" i="1" s="1"/>
  <c r="Q156" i="1"/>
  <c r="P156" i="1"/>
  <c r="P160" i="1" s="1"/>
  <c r="P95" i="1" s="1"/>
  <c r="O156" i="1"/>
  <c r="O160" i="1" s="1"/>
  <c r="O95" i="1" s="1"/>
  <c r="N156" i="1"/>
  <c r="N160" i="1" s="1"/>
  <c r="N95" i="1" s="1"/>
  <c r="M156" i="1"/>
  <c r="L156" i="1"/>
  <c r="L160" i="1" s="1"/>
  <c r="L95" i="1" s="1"/>
  <c r="K156" i="1"/>
  <c r="K160" i="1" s="1"/>
  <c r="K95" i="1" s="1"/>
  <c r="J156" i="1"/>
  <c r="J160" i="1" s="1"/>
  <c r="J95" i="1" s="1"/>
  <c r="I156" i="1"/>
  <c r="H156" i="1"/>
  <c r="H160" i="1" s="1"/>
  <c r="H95" i="1" s="1"/>
  <c r="G156" i="1"/>
  <c r="G160" i="1" s="1"/>
  <c r="G95" i="1" s="1"/>
  <c r="F156" i="1"/>
  <c r="F160" i="1" s="1"/>
  <c r="F95" i="1" s="1"/>
  <c r="E156" i="1"/>
  <c r="AM149" i="1"/>
  <c r="AM152" i="1" s="1"/>
  <c r="AM89" i="1" s="1"/>
  <c r="AL149" i="1"/>
  <c r="AL152" i="1" s="1"/>
  <c r="AL154" i="1" s="1"/>
  <c r="R149" i="1"/>
  <c r="R152" i="1" s="1"/>
  <c r="R89" i="1" s="1"/>
  <c r="Q149" i="1"/>
  <c r="P149" i="1"/>
  <c r="P152" i="1" s="1"/>
  <c r="P89" i="1" s="1"/>
  <c r="O149" i="1"/>
  <c r="O152" i="1" s="1"/>
  <c r="N149" i="1"/>
  <c r="N152" i="1" s="1"/>
  <c r="N89" i="1" s="1"/>
  <c r="M149" i="1"/>
  <c r="L149" i="1"/>
  <c r="L152" i="1" s="1"/>
  <c r="K149" i="1"/>
  <c r="K152" i="1" s="1"/>
  <c r="J149" i="1"/>
  <c r="J152" i="1" s="1"/>
  <c r="J89" i="1" s="1"/>
  <c r="I149" i="1"/>
  <c r="H149" i="1"/>
  <c r="H152" i="1" s="1"/>
  <c r="G149" i="1"/>
  <c r="G152" i="1" s="1"/>
  <c r="F149" i="1"/>
  <c r="F152" i="1" s="1"/>
  <c r="F154" i="1" s="1"/>
  <c r="E149" i="1"/>
  <c r="AM142" i="1"/>
  <c r="AM145" i="1" s="1"/>
  <c r="AM85" i="1" s="1"/>
  <c r="AL142" i="1"/>
  <c r="AL145" i="1" s="1"/>
  <c r="AL147" i="1" s="1"/>
  <c r="R142" i="1"/>
  <c r="R145" i="1" s="1"/>
  <c r="R85" i="1" s="1"/>
  <c r="Q142" i="1"/>
  <c r="P142" i="1"/>
  <c r="P145" i="1" s="1"/>
  <c r="P85" i="1" s="1"/>
  <c r="O142" i="1"/>
  <c r="O145" i="1" s="1"/>
  <c r="N142" i="1"/>
  <c r="N145" i="1" s="1"/>
  <c r="N85" i="1" s="1"/>
  <c r="M142" i="1"/>
  <c r="L142" i="1"/>
  <c r="L145" i="1" s="1"/>
  <c r="L85" i="1" s="1"/>
  <c r="K142" i="1"/>
  <c r="K145" i="1" s="1"/>
  <c r="J142" i="1"/>
  <c r="J145" i="1" s="1"/>
  <c r="J85" i="1" s="1"/>
  <c r="I142" i="1"/>
  <c r="H142" i="1"/>
  <c r="H145" i="1" s="1"/>
  <c r="H147" i="1" s="1"/>
  <c r="G142" i="1"/>
  <c r="G145" i="1" s="1"/>
  <c r="F142" i="1"/>
  <c r="F145" i="1" s="1"/>
  <c r="F147" i="1" s="1"/>
  <c r="E142" i="1"/>
  <c r="AM132" i="1"/>
  <c r="AM138" i="1" s="1"/>
  <c r="AM76" i="1" s="1"/>
  <c r="AL132" i="1"/>
  <c r="AL138" i="1" s="1"/>
  <c r="AL140" i="1" s="1"/>
  <c r="R132" i="1"/>
  <c r="R138" i="1" s="1"/>
  <c r="R76" i="1" s="1"/>
  <c r="Q132" i="1"/>
  <c r="P132" i="1"/>
  <c r="P138" i="1" s="1"/>
  <c r="P76" i="1" s="1"/>
  <c r="O132" i="1"/>
  <c r="N132" i="1"/>
  <c r="M132" i="1"/>
  <c r="L132" i="1"/>
  <c r="K132" i="1"/>
  <c r="J132" i="1"/>
  <c r="I132" i="1"/>
  <c r="H132" i="1"/>
  <c r="G132" i="1"/>
  <c r="F132" i="1"/>
  <c r="E132" i="1"/>
  <c r="G116" i="1"/>
  <c r="F116" i="1"/>
  <c r="E116" i="1"/>
  <c r="AM102" i="1"/>
  <c r="AL102" i="1"/>
  <c r="L102" i="1"/>
  <c r="K102" i="1"/>
  <c r="J102" i="1"/>
  <c r="I102" i="1"/>
  <c r="H102" i="1"/>
  <c r="G102" i="1"/>
  <c r="F102" i="1"/>
  <c r="E102" i="1"/>
  <c r="C95" i="1"/>
  <c r="C93" i="1"/>
  <c r="C89" i="1"/>
  <c r="C85" i="1"/>
  <c r="AM73" i="1"/>
  <c r="AL73" i="1"/>
  <c r="L73" i="1"/>
  <c r="P74" i="1" s="1"/>
  <c r="K73" i="1"/>
  <c r="O74" i="1" s="1"/>
  <c r="J73" i="1"/>
  <c r="N74" i="1" s="1"/>
  <c r="I73" i="1"/>
  <c r="H73" i="1"/>
  <c r="G73" i="1"/>
  <c r="F73" i="1"/>
  <c r="E73" i="1"/>
  <c r="AM490" i="1" l="1"/>
  <c r="L811" i="1"/>
  <c r="AM584" i="1"/>
  <c r="AM583" i="1"/>
  <c r="AM423" i="1"/>
  <c r="AM424" i="1"/>
  <c r="AM666" i="1"/>
  <c r="AM422" i="1"/>
  <c r="AM504" i="1"/>
  <c r="AM503" i="1"/>
  <c r="Q811" i="1"/>
  <c r="AM313" i="1"/>
  <c r="AM310" i="1"/>
  <c r="AM582" i="1"/>
  <c r="AM312" i="1"/>
  <c r="AM311" i="1"/>
  <c r="K811" i="1"/>
  <c r="I811" i="1"/>
  <c r="AL681" i="1"/>
  <c r="AM681" i="1"/>
  <c r="L182" i="11"/>
  <c r="R811" i="1"/>
  <c r="J811" i="1"/>
  <c r="AL307" i="1"/>
  <c r="AL322" i="1" s="1"/>
  <c r="AM307" i="1"/>
  <c r="AM322" i="1" s="1"/>
  <c r="AL791" i="1"/>
  <c r="AL793" i="1" s="1"/>
  <c r="AL797" i="1" s="1"/>
  <c r="AL800" i="1"/>
  <c r="AL802" i="1" s="1"/>
  <c r="AM809" i="1"/>
  <c r="AQ918" i="1"/>
  <c r="AQ922" i="1"/>
  <c r="AQ928" i="1"/>
  <c r="AQ938" i="1"/>
  <c r="AQ944" i="1"/>
  <c r="AQ948" i="1"/>
  <c r="AQ934" i="1"/>
  <c r="Q910" i="1"/>
  <c r="AM124" i="1"/>
  <c r="AM909" i="1"/>
  <c r="AM911" i="1" s="1"/>
  <c r="AQ917" i="1"/>
  <c r="AQ921" i="1"/>
  <c r="AQ927" i="1"/>
  <c r="AQ931" i="1"/>
  <c r="AQ937" i="1"/>
  <c r="AQ943" i="1"/>
  <c r="AQ947" i="1"/>
  <c r="AU966" i="1"/>
  <c r="AQ183" i="1"/>
  <c r="AO177" i="1"/>
  <c r="AQ177" i="1"/>
  <c r="AR178" i="1"/>
  <c r="AN183" i="1"/>
  <c r="AP183" i="1"/>
  <c r="AN917" i="1"/>
  <c r="AP917" i="1"/>
  <c r="AO919" i="1"/>
  <c r="AQ919" i="1"/>
  <c r="AN921" i="1"/>
  <c r="AP921" i="1"/>
  <c r="AO923" i="1"/>
  <c r="AQ923" i="1"/>
  <c r="AN927" i="1"/>
  <c r="AP927" i="1"/>
  <c r="AO929" i="1"/>
  <c r="AQ929" i="1"/>
  <c r="AN931" i="1"/>
  <c r="AP931" i="1"/>
  <c r="AO935" i="1"/>
  <c r="AQ935" i="1"/>
  <c r="AN937" i="1"/>
  <c r="AP937" i="1"/>
  <c r="AO941" i="1"/>
  <c r="AQ941" i="1"/>
  <c r="AN943" i="1"/>
  <c r="AP943" i="1"/>
  <c r="AO945" i="1"/>
  <c r="AQ945" i="1"/>
  <c r="AN947" i="1"/>
  <c r="AP947" i="1"/>
  <c r="AO951" i="1"/>
  <c r="AQ951" i="1"/>
  <c r="AN177" i="1"/>
  <c r="AO917" i="1"/>
  <c r="AN919" i="1"/>
  <c r="AP919" i="1"/>
  <c r="AO921" i="1"/>
  <c r="AN923" i="1"/>
  <c r="AP923" i="1"/>
  <c r="AO927" i="1"/>
  <c r="AN929" i="1"/>
  <c r="AP929" i="1"/>
  <c r="AO931" i="1"/>
  <c r="AN935" i="1"/>
  <c r="AP935" i="1"/>
  <c r="AO937" i="1"/>
  <c r="AN941" i="1"/>
  <c r="AP941" i="1"/>
  <c r="AO943" i="1"/>
  <c r="AN945" i="1"/>
  <c r="AP945" i="1"/>
  <c r="AO947" i="1"/>
  <c r="AN951" i="1"/>
  <c r="AP951" i="1"/>
  <c r="AP177" i="1"/>
  <c r="AO183" i="1"/>
  <c r="AQ132" i="1"/>
  <c r="AQ138" i="1" s="1"/>
  <c r="AQ142" i="1"/>
  <c r="AQ149" i="1"/>
  <c r="AQ156" i="1"/>
  <c r="AQ168" i="1"/>
  <c r="AQ914" i="1"/>
  <c r="AQ920" i="1"/>
  <c r="AQ926" i="1"/>
  <c r="AQ930" i="1"/>
  <c r="AQ936" i="1"/>
  <c r="AQ942" i="1"/>
  <c r="AQ946" i="1"/>
  <c r="AO132" i="1"/>
  <c r="AO138" i="1" s="1"/>
  <c r="AO149" i="1"/>
  <c r="I166" i="1"/>
  <c r="I93" i="1" s="1"/>
  <c r="AO93" i="1" s="1"/>
  <c r="AO162" i="1"/>
  <c r="Q166" i="1"/>
  <c r="Q93" i="1" s="1"/>
  <c r="AQ93" i="1" s="1"/>
  <c r="AQ162" i="1"/>
  <c r="AO168" i="1"/>
  <c r="AQ173" i="1"/>
  <c r="AN73" i="1"/>
  <c r="AN174" i="1"/>
  <c r="AP174" i="1"/>
  <c r="AN175" i="1"/>
  <c r="AP175" i="1"/>
  <c r="AO182" i="1"/>
  <c r="AQ182" i="1"/>
  <c r="AR183" i="1"/>
  <c r="AO102" i="1"/>
  <c r="AR173" i="1"/>
  <c r="AN178" i="1"/>
  <c r="AP178" i="1"/>
  <c r="AP201" i="1"/>
  <c r="AN211" i="1"/>
  <c r="AP211" i="1"/>
  <c r="AN132" i="1"/>
  <c r="AN138" i="1" s="1"/>
  <c r="AP142" i="1"/>
  <c r="AN149" i="1"/>
  <c r="AP156" i="1"/>
  <c r="M166" i="1"/>
  <c r="M93" i="1" s="1"/>
  <c r="AP93" i="1" s="1"/>
  <c r="AP162" i="1"/>
  <c r="AN168" i="1"/>
  <c r="AP173" i="1"/>
  <c r="AQ181" i="1"/>
  <c r="AN201" i="1"/>
  <c r="R40" i="21"/>
  <c r="AR174" i="1"/>
  <c r="AO619" i="1"/>
  <c r="Q435" i="1"/>
  <c r="AO623" i="1"/>
  <c r="AN914" i="1"/>
  <c r="AP914" i="1"/>
  <c r="AO918" i="1"/>
  <c r="AN920" i="1"/>
  <c r="AP920" i="1"/>
  <c r="AO922" i="1"/>
  <c r="AN926" i="1"/>
  <c r="AP926" i="1"/>
  <c r="AO928" i="1"/>
  <c r="AN930" i="1"/>
  <c r="AP930" i="1"/>
  <c r="AO934" i="1"/>
  <c r="AN936" i="1"/>
  <c r="AP936" i="1"/>
  <c r="AO938" i="1"/>
  <c r="AN942" i="1"/>
  <c r="AP942" i="1"/>
  <c r="AO944" i="1"/>
  <c r="AN946" i="1"/>
  <c r="AP946" i="1"/>
  <c r="AO948" i="1"/>
  <c r="AP132" i="1"/>
  <c r="AP138" i="1" s="1"/>
  <c r="AN142" i="1"/>
  <c r="AP149" i="1"/>
  <c r="AN156" i="1"/>
  <c r="E166" i="1"/>
  <c r="AN162" i="1"/>
  <c r="AP168" i="1"/>
  <c r="AN173" i="1"/>
  <c r="AO181" i="1"/>
  <c r="AR182" i="1"/>
  <c r="M74" i="1"/>
  <c r="AO73" i="1"/>
  <c r="AO174" i="1"/>
  <c r="AO175" i="1"/>
  <c r="AQ175" i="1"/>
  <c r="AR177" i="1"/>
  <c r="AN182" i="1"/>
  <c r="AP182" i="1"/>
  <c r="AN102" i="1"/>
  <c r="AO178" i="1"/>
  <c r="AQ178" i="1"/>
  <c r="AR181" i="1"/>
  <c r="AO201" i="1"/>
  <c r="AO211" i="1"/>
  <c r="AO142" i="1"/>
  <c r="AO156" i="1"/>
  <c r="AO173" i="1"/>
  <c r="AR175" i="1"/>
  <c r="AN181" i="1"/>
  <c r="AP181" i="1"/>
  <c r="E354" i="1"/>
  <c r="AN619" i="1"/>
  <c r="M621" i="1"/>
  <c r="AP619" i="1"/>
  <c r="AN623" i="1"/>
  <c r="AP623" i="1"/>
  <c r="AO914" i="1"/>
  <c r="AN918" i="1"/>
  <c r="AP918" i="1"/>
  <c r="AO920" i="1"/>
  <c r="AN922" i="1"/>
  <c r="AP922" i="1"/>
  <c r="AO926" i="1"/>
  <c r="AN928" i="1"/>
  <c r="AP928" i="1"/>
  <c r="AO930" i="1"/>
  <c r="AN934" i="1"/>
  <c r="AP934" i="1"/>
  <c r="AT118" i="21" s="1"/>
  <c r="AO936" i="1"/>
  <c r="AN938" i="1"/>
  <c r="AP938" i="1"/>
  <c r="AO942" i="1"/>
  <c r="AN944" i="1"/>
  <c r="AP944" i="1"/>
  <c r="AO946" i="1"/>
  <c r="AN948" i="1"/>
  <c r="AP948" i="1"/>
  <c r="V138" i="2"/>
  <c r="W138" i="2"/>
  <c r="W146" i="2" s="1"/>
  <c r="U381" i="1"/>
  <c r="Q36" i="21"/>
  <c r="U279" i="1"/>
  <c r="Q35" i="21"/>
  <c r="P91" i="1"/>
  <c r="T90" i="1"/>
  <c r="R80" i="1"/>
  <c r="R78" i="1"/>
  <c r="V77" i="1"/>
  <c r="R86" i="1"/>
  <c r="R87" i="1"/>
  <c r="V86" i="1"/>
  <c r="R91" i="1"/>
  <c r="V90" i="1"/>
  <c r="T77" i="1"/>
  <c r="P78" i="1"/>
  <c r="P80" i="1"/>
  <c r="N87" i="1"/>
  <c r="N86" i="1"/>
  <c r="R90" i="1"/>
  <c r="N91" i="1"/>
  <c r="N90" i="1"/>
  <c r="P86" i="1"/>
  <c r="P87" i="1"/>
  <c r="T86" i="1"/>
  <c r="S146" i="1"/>
  <c r="O85" i="1"/>
  <c r="S153" i="1"/>
  <c r="O89" i="1"/>
  <c r="M203" i="1"/>
  <c r="AP203" i="1" s="1"/>
  <c r="I145" i="1"/>
  <c r="I85" i="1" s="1"/>
  <c r="U200" i="1"/>
  <c r="AR200" i="1" s="1"/>
  <c r="I899" i="1"/>
  <c r="K614" i="1" s="1"/>
  <c r="K906" i="1" s="1"/>
  <c r="Q899" i="1"/>
  <c r="E961" i="1"/>
  <c r="M961" i="1"/>
  <c r="I138" i="1"/>
  <c r="I76" i="1" s="1"/>
  <c r="Q138" i="1"/>
  <c r="Q76" i="1" s="1"/>
  <c r="AQ76" i="1" s="1"/>
  <c r="Q145" i="1"/>
  <c r="Q147" i="1" s="1"/>
  <c r="Q135" i="11" s="1"/>
  <c r="I152" i="1"/>
  <c r="I89" i="1" s="1"/>
  <c r="Q152" i="1"/>
  <c r="Q154" i="1" s="1"/>
  <c r="Q140" i="11" s="1"/>
  <c r="I160" i="1"/>
  <c r="I95" i="1" s="1"/>
  <c r="AO95" i="1" s="1"/>
  <c r="Q160" i="1"/>
  <c r="Q95" i="1" s="1"/>
  <c r="AQ95" i="1" s="1"/>
  <c r="J138" i="1"/>
  <c r="J76" i="1" s="1"/>
  <c r="E200" i="1"/>
  <c r="AN200" i="1" s="1"/>
  <c r="M200" i="1"/>
  <c r="AP200" i="1" s="1"/>
  <c r="I197" i="1"/>
  <c r="AO197" i="1" s="1"/>
  <c r="Q197" i="1"/>
  <c r="AQ197" i="1" s="1"/>
  <c r="U195" i="1"/>
  <c r="AR195" i="1" s="1"/>
  <c r="Q196" i="1"/>
  <c r="AQ196" i="1" s="1"/>
  <c r="M198" i="1"/>
  <c r="AP198" i="1" s="1"/>
  <c r="K138" i="1"/>
  <c r="K76" i="1" s="1"/>
  <c r="E968" i="1"/>
  <c r="AN968" i="1" s="1"/>
  <c r="M968" i="1"/>
  <c r="AP968" i="1" s="1"/>
  <c r="I202" i="1"/>
  <c r="AO202" i="1" s="1"/>
  <c r="E203" i="1"/>
  <c r="AN203" i="1" s="1"/>
  <c r="L138" i="1"/>
  <c r="L76" i="1" s="1"/>
  <c r="P77" i="1" s="1"/>
  <c r="E196" i="1"/>
  <c r="AN196" i="1" s="1"/>
  <c r="M196" i="1"/>
  <c r="AP196" i="1" s="1"/>
  <c r="I198" i="1"/>
  <c r="AO198" i="1" s="1"/>
  <c r="Q198" i="1"/>
  <c r="AQ198" i="1" s="1"/>
  <c r="E202" i="1"/>
  <c r="AN202" i="1" s="1"/>
  <c r="M202" i="1"/>
  <c r="AP202" i="1" s="1"/>
  <c r="I203" i="1"/>
  <c r="AO203" i="1" s="1"/>
  <c r="Q203" i="1"/>
  <c r="AQ203" i="1" s="1"/>
  <c r="U196" i="1"/>
  <c r="AR196" i="1" s="1"/>
  <c r="U197" i="1"/>
  <c r="AR197" i="1" s="1"/>
  <c r="E899" i="1"/>
  <c r="G614" i="1" s="1"/>
  <c r="G906" i="1" s="1"/>
  <c r="M899" i="1"/>
  <c r="M898" i="1" s="1"/>
  <c r="I961" i="1"/>
  <c r="Q961" i="1"/>
  <c r="AQ961" i="1" s="1"/>
  <c r="I196" i="1"/>
  <c r="AO196" i="1" s="1"/>
  <c r="E198" i="1"/>
  <c r="AN198" i="1" s="1"/>
  <c r="Q202" i="1"/>
  <c r="AQ202" i="1" s="1"/>
  <c r="E195" i="1"/>
  <c r="AN195" i="1" s="1"/>
  <c r="U202" i="1"/>
  <c r="AR202" i="1" s="1"/>
  <c r="E145" i="1"/>
  <c r="E147" i="1" s="1"/>
  <c r="E135" i="11" s="1"/>
  <c r="M152" i="1"/>
  <c r="M89" i="1" s="1"/>
  <c r="F138" i="1"/>
  <c r="F140" i="1" s="1"/>
  <c r="F130" i="11" s="1"/>
  <c r="N138" i="1"/>
  <c r="N76" i="1" s="1"/>
  <c r="I200" i="1"/>
  <c r="AO200" i="1" s="1"/>
  <c r="Q200" i="1"/>
  <c r="AQ200" i="1" s="1"/>
  <c r="E197" i="1"/>
  <c r="AN197" i="1" s="1"/>
  <c r="M197" i="1"/>
  <c r="AP197" i="1" s="1"/>
  <c r="H138" i="1"/>
  <c r="H140" i="1" s="1"/>
  <c r="H130" i="11" s="1"/>
  <c r="M195" i="1"/>
  <c r="AP195" i="1" s="1"/>
  <c r="E138" i="1"/>
  <c r="E76" i="1" s="1"/>
  <c r="M138" i="1"/>
  <c r="M76" i="1" s="1"/>
  <c r="M145" i="1"/>
  <c r="M85" i="1" s="1"/>
  <c r="E152" i="1"/>
  <c r="E154" i="1" s="1"/>
  <c r="E140" i="11" s="1"/>
  <c r="E160" i="1"/>
  <c r="E95" i="1" s="1"/>
  <c r="AN95" i="1" s="1"/>
  <c r="M160" i="1"/>
  <c r="G138" i="1"/>
  <c r="O138" i="1"/>
  <c r="O76" i="1" s="1"/>
  <c r="I195" i="1"/>
  <c r="AO195" i="1" s="1"/>
  <c r="Q195" i="1"/>
  <c r="U198" i="1"/>
  <c r="AR198" i="1" s="1"/>
  <c r="U203" i="1"/>
  <c r="AR203" i="1" s="1"/>
  <c r="I968" i="1"/>
  <c r="AO968" i="1" s="1"/>
  <c r="Q968" i="1"/>
  <c r="AQ968" i="1" s="1"/>
  <c r="V139" i="1"/>
  <c r="V146" i="1"/>
  <c r="V153" i="1"/>
  <c r="AP981" i="1"/>
  <c r="AP744" i="1"/>
  <c r="AN981" i="1"/>
  <c r="AN744" i="1"/>
  <c r="AO981" i="1"/>
  <c r="AO744" i="1"/>
  <c r="T476" i="1"/>
  <c r="T477" i="1"/>
  <c r="T478" i="1"/>
  <c r="T139" i="1"/>
  <c r="P38" i="21"/>
  <c r="T58" i="21" s="1"/>
  <c r="T555" i="1"/>
  <c r="T554" i="1"/>
  <c r="T556" i="1"/>
  <c r="T540" i="1"/>
  <c r="T553" i="1"/>
  <c r="T550" i="1"/>
  <c r="T557" i="1"/>
  <c r="P39" i="21"/>
  <c r="T59" i="21" s="1"/>
  <c r="T610" i="1"/>
  <c r="AP866" i="1"/>
  <c r="AQ876" i="1"/>
  <c r="T153" i="1"/>
  <c r="P35" i="21"/>
  <c r="T55" i="21" s="1"/>
  <c r="T341" i="1"/>
  <c r="T340" i="1"/>
  <c r="T339" i="1"/>
  <c r="T342" i="1"/>
  <c r="T343" i="1"/>
  <c r="T336" i="1"/>
  <c r="T475" i="1"/>
  <c r="T472" i="1"/>
  <c r="T479" i="1"/>
  <c r="T146" i="1"/>
  <c r="P252" i="1"/>
  <c r="T620" i="1"/>
  <c r="T395" i="1"/>
  <c r="T396" i="1"/>
  <c r="T397" i="1"/>
  <c r="T394" i="1"/>
  <c r="T398" i="1"/>
  <c r="T391" i="1"/>
  <c r="G252" i="1"/>
  <c r="AI111" i="2"/>
  <c r="AJ100" i="2" s="1"/>
  <c r="H5" i="9"/>
  <c r="I5" i="9"/>
  <c r="J6" i="9"/>
  <c r="K6" i="9" s="1"/>
  <c r="L6" i="9" s="1"/>
  <c r="M6" i="9" s="1"/>
  <c r="J5" i="9" s="1"/>
  <c r="G5" i="9"/>
  <c r="P197" i="2"/>
  <c r="P146" i="2"/>
  <c r="AI5" i="2"/>
  <c r="H197" i="2"/>
  <c r="L197" i="2"/>
  <c r="Q252" i="1"/>
  <c r="L875" i="1"/>
  <c r="L172" i="11" s="1"/>
  <c r="W6" i="10"/>
  <c r="S996" i="1"/>
  <c r="L397" i="1"/>
  <c r="Q218" i="1"/>
  <c r="Q107" i="1" s="1"/>
  <c r="S476" i="1"/>
  <c r="S477" i="1"/>
  <c r="S475" i="1"/>
  <c r="S479" i="1"/>
  <c r="S478" i="1"/>
  <c r="O37" i="21"/>
  <c r="O48" i="21" s="1"/>
  <c r="S472" i="1"/>
  <c r="S462" i="1"/>
  <c r="J218" i="1"/>
  <c r="J107" i="1" s="1"/>
  <c r="P218" i="1"/>
  <c r="P107" i="1" s="1"/>
  <c r="E218" i="1"/>
  <c r="E107" i="1" s="1"/>
  <c r="F218" i="1"/>
  <c r="F107" i="1" s="1"/>
  <c r="L218" i="1"/>
  <c r="L107" i="1" s="1"/>
  <c r="R218" i="1"/>
  <c r="R107" i="1" s="1"/>
  <c r="J594" i="1"/>
  <c r="G218" i="1"/>
  <c r="G107" i="1" s="1"/>
  <c r="M218" i="1"/>
  <c r="M107" i="1" s="1"/>
  <c r="AP895" i="1"/>
  <c r="H218" i="1"/>
  <c r="H107" i="1" s="1"/>
  <c r="N218" i="1"/>
  <c r="N107" i="1" s="1"/>
  <c r="AM218" i="1"/>
  <c r="AM107" i="1" s="1"/>
  <c r="AM833" i="1" s="1"/>
  <c r="AM836" i="1" s="1"/>
  <c r="AM826" i="1" s="1"/>
  <c r="S554" i="1"/>
  <c r="S555" i="1"/>
  <c r="S556" i="1"/>
  <c r="S553" i="1"/>
  <c r="S550" i="1"/>
  <c r="S557" i="1"/>
  <c r="O38" i="21"/>
  <c r="O49" i="21" s="1"/>
  <c r="K218" i="1"/>
  <c r="K107" i="1" s="1"/>
  <c r="S394" i="1"/>
  <c r="S395" i="1"/>
  <c r="S396" i="1"/>
  <c r="S397" i="1"/>
  <c r="O36" i="21"/>
  <c r="O47" i="21" s="1"/>
  <c r="S398" i="1"/>
  <c r="S391" i="1"/>
  <c r="I218" i="1"/>
  <c r="I107" i="1" s="1"/>
  <c r="O218" i="1"/>
  <c r="O107" i="1" s="1"/>
  <c r="S340" i="1"/>
  <c r="S341" i="1"/>
  <c r="S339" i="1"/>
  <c r="O35" i="21"/>
  <c r="S343" i="1"/>
  <c r="S342" i="1"/>
  <c r="J435" i="1"/>
  <c r="O39" i="21"/>
  <c r="O50" i="21" s="1"/>
  <c r="S610" i="1"/>
  <c r="AH49" i="2"/>
  <c r="AH56" i="2" s="1"/>
  <c r="AI22" i="2"/>
  <c r="AI34" i="2" s="1"/>
  <c r="AJ22" i="2" s="1"/>
  <c r="AJ34" i="2" s="1"/>
  <c r="AK22" i="2" s="1"/>
  <c r="AK34" i="2" s="1"/>
  <c r="AL22" i="2" s="1"/>
  <c r="AL34" i="2" s="1"/>
  <c r="AM22" i="2" s="1"/>
  <c r="AH112" i="2"/>
  <c r="AH119" i="2" s="1"/>
  <c r="AI85" i="2"/>
  <c r="AI97" i="2" s="1"/>
  <c r="AJ85" i="2" s="1"/>
  <c r="AJ97" i="2" s="1"/>
  <c r="AK85" i="2" s="1"/>
  <c r="AK97" i="2" s="1"/>
  <c r="AL85" i="2" s="1"/>
  <c r="AL97" i="2" s="1"/>
  <c r="AM85" i="2" s="1"/>
  <c r="H146" i="2"/>
  <c r="L146" i="2"/>
  <c r="AI48" i="2"/>
  <c r="AJ37" i="2" s="1"/>
  <c r="P82" i="2"/>
  <c r="H82" i="2"/>
  <c r="AH176" i="2"/>
  <c r="L82" i="2"/>
  <c r="P19" i="2"/>
  <c r="H19" i="2"/>
  <c r="L19" i="2"/>
  <c r="AI176" i="2"/>
  <c r="AL164" i="2"/>
  <c r="AL175" i="2" s="1"/>
  <c r="AK176" i="2"/>
  <c r="AJ176" i="2"/>
  <c r="G48" i="21"/>
  <c r="K48" i="21"/>
  <c r="E50" i="21"/>
  <c r="M50" i="21"/>
  <c r="F50" i="21"/>
  <c r="N50" i="21"/>
  <c r="H49" i="21"/>
  <c r="K50" i="21"/>
  <c r="AP50" i="21"/>
  <c r="R49" i="21"/>
  <c r="I50" i="21"/>
  <c r="R50" i="21"/>
  <c r="Q49" i="21"/>
  <c r="J59" i="21"/>
  <c r="J50" i="21"/>
  <c r="Q59" i="21"/>
  <c r="Q50" i="21"/>
  <c r="N59" i="21"/>
  <c r="M59" i="21"/>
  <c r="I59" i="21"/>
  <c r="R59" i="21"/>
  <c r="BJ952" i="1"/>
  <c r="BJ955" i="1" s="1"/>
  <c r="AL952" i="1"/>
  <c r="AL955" i="1" s="1"/>
  <c r="AM954" i="1" s="1"/>
  <c r="AL594" i="1"/>
  <c r="P354" i="1"/>
  <c r="AM638" i="1"/>
  <c r="BD952" i="1"/>
  <c r="BD955" i="1" s="1"/>
  <c r="AM397" i="1"/>
  <c r="AM396" i="1"/>
  <c r="AM395" i="1"/>
  <c r="AM394" i="1"/>
  <c r="AM398" i="1"/>
  <c r="N36" i="21"/>
  <c r="R397" i="1"/>
  <c r="AN396" i="1"/>
  <c r="AN394" i="1"/>
  <c r="AN395" i="1"/>
  <c r="AN397" i="1"/>
  <c r="AN398" i="1"/>
  <c r="P397" i="1"/>
  <c r="K36" i="21"/>
  <c r="O397" i="1"/>
  <c r="R634" i="1"/>
  <c r="P634" i="1"/>
  <c r="Q634" i="1"/>
  <c r="J875" i="1"/>
  <c r="J172" i="11" s="1"/>
  <c r="O875" i="1"/>
  <c r="O172" i="11" s="1"/>
  <c r="P875" i="1"/>
  <c r="P172" i="11" s="1"/>
  <c r="P515" i="1"/>
  <c r="M753" i="1"/>
  <c r="M985" i="1" s="1"/>
  <c r="M995" i="1" s="1"/>
  <c r="AL753" i="1"/>
  <c r="G939" i="1"/>
  <c r="M939" i="1"/>
  <c r="E875" i="1"/>
  <c r="E172" i="11" s="1"/>
  <c r="K875" i="1"/>
  <c r="K172" i="11" s="1"/>
  <c r="L982" i="1"/>
  <c r="P969" i="1"/>
  <c r="P970" i="1" s="1"/>
  <c r="J515" i="1"/>
  <c r="J252" i="1"/>
  <c r="AZ952" i="1"/>
  <c r="AZ955" i="1" s="1"/>
  <c r="BF952" i="1"/>
  <c r="BF955" i="1" s="1"/>
  <c r="BL952" i="1"/>
  <c r="BL955" i="1" s="1"/>
  <c r="I875" i="1"/>
  <c r="I172" i="11" s="1"/>
  <c r="P435" i="1"/>
  <c r="J354" i="1"/>
  <c r="K354" i="1"/>
  <c r="E435" i="1"/>
  <c r="Q515" i="1"/>
  <c r="F89" i="1"/>
  <c r="F91" i="1" s="1"/>
  <c r="E252" i="1"/>
  <c r="Q354" i="1"/>
  <c r="K435" i="1"/>
  <c r="E515" i="1"/>
  <c r="E949" i="1"/>
  <c r="K949" i="1"/>
  <c r="Q949" i="1"/>
  <c r="H939" i="1"/>
  <c r="N939" i="1"/>
  <c r="K515" i="1"/>
  <c r="K252" i="1"/>
  <c r="BA952" i="1"/>
  <c r="BA955" i="1" s="1"/>
  <c r="BG952" i="1"/>
  <c r="BG955" i="1" s="1"/>
  <c r="BM952" i="1"/>
  <c r="BM955" i="1" s="1"/>
  <c r="AL89" i="1"/>
  <c r="AL91" i="1" s="1"/>
  <c r="F252" i="1"/>
  <c r="L515" i="1"/>
  <c r="F85" i="1"/>
  <c r="J86" i="1" s="1"/>
  <c r="F354" i="1"/>
  <c r="R354" i="1"/>
  <c r="F594" i="1"/>
  <c r="R252" i="1"/>
  <c r="L435" i="1"/>
  <c r="F875" i="1"/>
  <c r="F172" i="11" s="1"/>
  <c r="L354" i="1"/>
  <c r="F515" i="1"/>
  <c r="R515" i="1"/>
  <c r="F435" i="1"/>
  <c r="R435" i="1"/>
  <c r="E866" i="1"/>
  <c r="E868" i="1" s="1"/>
  <c r="K866" i="1"/>
  <c r="K868" i="1" s="1"/>
  <c r="Q624" i="1"/>
  <c r="AM904" i="1"/>
  <c r="AM905" i="1"/>
  <c r="AM902" i="1"/>
  <c r="AM906" i="1"/>
  <c r="AM903" i="1"/>
  <c r="AL906" i="1"/>
  <c r="AL902" i="1"/>
  <c r="AL905" i="1"/>
  <c r="AL904" i="1"/>
  <c r="AL903" i="1"/>
  <c r="AM419" i="1"/>
  <c r="M354" i="1"/>
  <c r="AL435" i="1"/>
  <c r="G515" i="1"/>
  <c r="M852" i="1"/>
  <c r="M853" i="1" s="1"/>
  <c r="J866" i="1"/>
  <c r="J868" i="1" s="1"/>
  <c r="P866" i="1"/>
  <c r="P868" i="1" s="1"/>
  <c r="H875" i="1"/>
  <c r="H172" i="11" s="1"/>
  <c r="R875" i="1"/>
  <c r="R172" i="11" s="1"/>
  <c r="AL515" i="1"/>
  <c r="AL252" i="1"/>
  <c r="I625" i="1"/>
  <c r="AM715" i="1"/>
  <c r="AM717" i="1" s="1"/>
  <c r="N753" i="1"/>
  <c r="N985" i="1" s="1"/>
  <c r="N995" i="1" s="1"/>
  <c r="AM753" i="1"/>
  <c r="N875" i="1"/>
  <c r="N172" i="11" s="1"/>
  <c r="G354" i="1"/>
  <c r="M435" i="1"/>
  <c r="J91" i="1"/>
  <c r="H85" i="1"/>
  <c r="H87" i="1" s="1"/>
  <c r="G435" i="1"/>
  <c r="M515" i="1"/>
  <c r="AL579" i="1"/>
  <c r="AN748" i="1"/>
  <c r="AN791" i="1" s="1"/>
  <c r="AN793" i="1" s="1"/>
  <c r="AN797" i="1" s="1"/>
  <c r="AL76" i="1"/>
  <c r="AL80" i="1" s="1"/>
  <c r="M252" i="1"/>
  <c r="L334" i="1"/>
  <c r="L343" i="1" s="1"/>
  <c r="G594" i="1"/>
  <c r="O852" i="1"/>
  <c r="O853" i="1" s="1"/>
  <c r="O252" i="1"/>
  <c r="H866" i="1"/>
  <c r="H868" i="1" s="1"/>
  <c r="N866" i="1"/>
  <c r="N868" i="1" s="1"/>
  <c r="AM952" i="1"/>
  <c r="BE952" i="1"/>
  <c r="BE955" i="1" s="1"/>
  <c r="BK952" i="1"/>
  <c r="BK955" i="1" s="1"/>
  <c r="I252" i="1"/>
  <c r="K594" i="1"/>
  <c r="H969" i="1"/>
  <c r="L970" i="1" s="1"/>
  <c r="AL625" i="1"/>
  <c r="O634" i="1"/>
  <c r="F753" i="1"/>
  <c r="F985" i="1" s="1"/>
  <c r="F995" i="1" s="1"/>
  <c r="R753" i="1"/>
  <c r="R985" i="1" s="1"/>
  <c r="R995" i="1" s="1"/>
  <c r="AL85" i="1"/>
  <c r="AL87" i="1" s="1"/>
  <c r="AM354" i="1"/>
  <c r="AM435" i="1"/>
  <c r="AM515" i="1"/>
  <c r="P625" i="1"/>
  <c r="I753" i="1"/>
  <c r="I985" i="1" s="1"/>
  <c r="I995" i="1" s="1"/>
  <c r="H252" i="1"/>
  <c r="N252" i="1"/>
  <c r="AM252" i="1"/>
  <c r="N354" i="1"/>
  <c r="N435" i="1"/>
  <c r="N515" i="1"/>
  <c r="AM579" i="1"/>
  <c r="Q875" i="1"/>
  <c r="Q172" i="11" s="1"/>
  <c r="H354" i="1"/>
  <c r="H435" i="1"/>
  <c r="H515" i="1"/>
  <c r="AM594" i="1"/>
  <c r="H35" i="21"/>
  <c r="P396" i="1"/>
  <c r="L36" i="21"/>
  <c r="K57" i="21"/>
  <c r="R556" i="1"/>
  <c r="N38" i="21"/>
  <c r="L39" i="21"/>
  <c r="AM74" i="1"/>
  <c r="AL124" i="1"/>
  <c r="K340" i="1"/>
  <c r="G35" i="21"/>
  <c r="Q342" i="1"/>
  <c r="M35" i="21"/>
  <c r="AL283" i="1"/>
  <c r="AP35" i="21"/>
  <c r="I396" i="1"/>
  <c r="E36" i="21"/>
  <c r="N478" i="1"/>
  <c r="J37" i="21"/>
  <c r="P463" i="1"/>
  <c r="P37" i="21"/>
  <c r="T57" i="21" s="1"/>
  <c r="K556" i="1"/>
  <c r="G38" i="21"/>
  <c r="Q556" i="1"/>
  <c r="M38" i="21"/>
  <c r="AM555" i="1"/>
  <c r="AP38" i="21"/>
  <c r="L634" i="1"/>
  <c r="L852" i="1"/>
  <c r="L853" i="1" s="1"/>
  <c r="O866" i="1"/>
  <c r="O868" i="1" s="1"/>
  <c r="BC952" i="1"/>
  <c r="BC955" i="1" s="1"/>
  <c r="BI952" i="1"/>
  <c r="BI955" i="1" s="1"/>
  <c r="F939" i="1"/>
  <c r="J949" i="1"/>
  <c r="M342" i="1"/>
  <c r="I35" i="21"/>
  <c r="G382" i="1"/>
  <c r="G62" i="11" s="1"/>
  <c r="G36" i="21"/>
  <c r="Q396" i="1"/>
  <c r="M36" i="21"/>
  <c r="AL404" i="1"/>
  <c r="AP36" i="21"/>
  <c r="J478" i="1"/>
  <c r="F37" i="21"/>
  <c r="P478" i="1"/>
  <c r="L37" i="21"/>
  <c r="M556" i="1"/>
  <c r="I38" i="21"/>
  <c r="G611" i="1"/>
  <c r="G118" i="11" s="1"/>
  <c r="G39" i="21"/>
  <c r="N898" i="1"/>
  <c r="F949" i="1"/>
  <c r="L949" i="1"/>
  <c r="R949" i="1"/>
  <c r="R341" i="1"/>
  <c r="N35" i="21"/>
  <c r="N341" i="1"/>
  <c r="J35" i="21"/>
  <c r="H36" i="21"/>
  <c r="AM404" i="1"/>
  <c r="AQ74" i="21" s="1"/>
  <c r="AQ84" i="21" s="1"/>
  <c r="AQ36" i="21"/>
  <c r="M462" i="1"/>
  <c r="M37" i="21"/>
  <c r="AL485" i="1"/>
  <c r="AP37" i="21"/>
  <c r="I515" i="1"/>
  <c r="O515" i="1"/>
  <c r="N556" i="1"/>
  <c r="J38" i="21"/>
  <c r="H611" i="1"/>
  <c r="H118" i="11" s="1"/>
  <c r="H39" i="21"/>
  <c r="AM617" i="1"/>
  <c r="AQ77" i="21" s="1"/>
  <c r="AQ39" i="21"/>
  <c r="E625" i="1"/>
  <c r="Q625" i="1"/>
  <c r="AL660" i="1"/>
  <c r="AL662" i="1" s="1"/>
  <c r="J753" i="1"/>
  <c r="J985" i="1" s="1"/>
  <c r="J995" i="1" s="1"/>
  <c r="G875" i="1"/>
  <c r="G172" i="11" s="1"/>
  <c r="M875" i="1"/>
  <c r="M172" i="11" s="1"/>
  <c r="H982" i="1"/>
  <c r="AM283" i="1"/>
  <c r="AQ73" i="21" s="1"/>
  <c r="AQ83" i="21" s="1"/>
  <c r="AQ35" i="21"/>
  <c r="F36" i="21"/>
  <c r="E37" i="21"/>
  <c r="AM563" i="1"/>
  <c r="AQ76" i="21" s="1"/>
  <c r="AQ86" i="21" s="1"/>
  <c r="AQ38" i="21"/>
  <c r="I342" i="1"/>
  <c r="E35" i="21"/>
  <c r="O340" i="1"/>
  <c r="K35" i="21"/>
  <c r="Q280" i="1"/>
  <c r="M396" i="1"/>
  <c r="I36" i="21"/>
  <c r="I435" i="1"/>
  <c r="O435" i="1"/>
  <c r="L478" i="1"/>
  <c r="H37" i="21"/>
  <c r="R478" i="1"/>
  <c r="N37" i="21"/>
  <c r="AN477" i="1"/>
  <c r="AQ37" i="21"/>
  <c r="P520" i="1"/>
  <c r="P528" i="1" s="1"/>
  <c r="I556" i="1"/>
  <c r="E38" i="21"/>
  <c r="O556" i="1"/>
  <c r="K38" i="21"/>
  <c r="E753" i="1"/>
  <c r="E985" i="1" s="1"/>
  <c r="E995" i="1" s="1"/>
  <c r="Q753" i="1"/>
  <c r="Q985" i="1" s="1"/>
  <c r="Q995" i="1" s="1"/>
  <c r="P996" i="1"/>
  <c r="J341" i="1"/>
  <c r="F35" i="21"/>
  <c r="L35" i="21"/>
  <c r="I354" i="1"/>
  <c r="O354" i="1"/>
  <c r="J36" i="21"/>
  <c r="P382" i="1"/>
  <c r="P36" i="21"/>
  <c r="T56" i="21" s="1"/>
  <c r="I37" i="21"/>
  <c r="J556" i="1"/>
  <c r="F38" i="21"/>
  <c r="P556" i="1"/>
  <c r="L38" i="21"/>
  <c r="AL638" i="1"/>
  <c r="AM500" i="1"/>
  <c r="M866" i="1"/>
  <c r="M868" i="1" s="1"/>
  <c r="BB952" i="1"/>
  <c r="BB955" i="1" s="1"/>
  <c r="BH952" i="1"/>
  <c r="BH955" i="1" s="1"/>
  <c r="O154" i="1"/>
  <c r="O140" i="11" s="1"/>
  <c r="K610" i="1"/>
  <c r="AL419" i="1"/>
  <c r="AL428" i="1" s="1"/>
  <c r="O730" i="1"/>
  <c r="AM391" i="1"/>
  <c r="O540" i="1"/>
  <c r="J898" i="1"/>
  <c r="K472" i="1"/>
  <c r="M624" i="1"/>
  <c r="AM677" i="1"/>
  <c r="AM679" i="1" s="1"/>
  <c r="F898" i="1"/>
  <c r="J939" i="1"/>
  <c r="H949" i="1"/>
  <c r="N949" i="1"/>
  <c r="O610" i="1"/>
  <c r="N624" i="1"/>
  <c r="F866" i="1"/>
  <c r="F868" i="1" s="1"/>
  <c r="L866" i="1"/>
  <c r="L868" i="1" s="1"/>
  <c r="R866" i="1"/>
  <c r="R868" i="1" s="1"/>
  <c r="R540" i="1"/>
  <c r="P610" i="1"/>
  <c r="I624" i="1"/>
  <c r="AL500" i="1"/>
  <c r="AP777" i="1"/>
  <c r="AP780" i="1" s="1"/>
  <c r="AP800" i="1" s="1"/>
  <c r="AP802" i="1" s="1"/>
  <c r="AP807" i="1" s="1"/>
  <c r="AM78" i="1"/>
  <c r="L74" i="1"/>
  <c r="H154" i="1"/>
  <c r="H140" i="11" s="1"/>
  <c r="H89" i="1"/>
  <c r="H91" i="1" s="1"/>
  <c r="G147" i="1"/>
  <c r="G135" i="11" s="1"/>
  <c r="G85" i="1"/>
  <c r="G87" i="1" s="1"/>
  <c r="O147" i="1"/>
  <c r="O135" i="11" s="1"/>
  <c r="K154" i="1"/>
  <c r="K140" i="11" s="1"/>
  <c r="K89" i="1"/>
  <c r="L87" i="1"/>
  <c r="L153" i="1"/>
  <c r="L89" i="1"/>
  <c r="P90" i="1" s="1"/>
  <c r="L154" i="1"/>
  <c r="L140" i="11" s="1"/>
  <c r="I74" i="1"/>
  <c r="K147" i="1"/>
  <c r="K135" i="11" s="1"/>
  <c r="K85" i="1"/>
  <c r="K87" i="1" s="1"/>
  <c r="G154" i="1"/>
  <c r="G140" i="11" s="1"/>
  <c r="G89" i="1"/>
  <c r="G91" i="1" s="1"/>
  <c r="P153" i="1"/>
  <c r="J279" i="1"/>
  <c r="L341" i="1"/>
  <c r="K343" i="1"/>
  <c r="AN343" i="1"/>
  <c r="N362" i="1"/>
  <c r="Q369" i="1"/>
  <c r="P381" i="1"/>
  <c r="L394" i="1"/>
  <c r="N398" i="1"/>
  <c r="I450" i="1"/>
  <c r="AM450" i="1"/>
  <c r="N462" i="1"/>
  <c r="H463" i="1"/>
  <c r="H89" i="11" s="1"/>
  <c r="L477" i="1"/>
  <c r="AM479" i="1"/>
  <c r="I475" i="1"/>
  <c r="AM476" i="1"/>
  <c r="Q477" i="1"/>
  <c r="J540" i="1"/>
  <c r="F541" i="1"/>
  <c r="F111" i="11" s="1"/>
  <c r="N541" i="1"/>
  <c r="N111" i="11" s="1"/>
  <c r="K557" i="1"/>
  <c r="AM557" i="1"/>
  <c r="N553" i="1"/>
  <c r="N555" i="1"/>
  <c r="J610" i="1"/>
  <c r="L610" i="1"/>
  <c r="O611" i="1"/>
  <c r="O118" i="11" s="1"/>
  <c r="J620" i="1"/>
  <c r="N634" i="1"/>
  <c r="AL696" i="1"/>
  <c r="AL698" i="1" s="1"/>
  <c r="P730" i="1"/>
  <c r="L731" i="1"/>
  <c r="H732" i="1"/>
  <c r="AM732" i="1"/>
  <c r="P733" i="1"/>
  <c r="AO777" i="1"/>
  <c r="AO780" i="1" s="1"/>
  <c r="AO800" i="1" s="1"/>
  <c r="AO802" i="1" s="1"/>
  <c r="AO807" i="1" s="1"/>
  <c r="G11" i="42" s="1"/>
  <c r="G16" i="42" s="1"/>
  <c r="H898" i="1"/>
  <c r="L932" i="1"/>
  <c r="AM87" i="1"/>
  <c r="L258" i="1"/>
  <c r="L260" i="1" s="1"/>
  <c r="N279" i="1"/>
  <c r="AL280" i="1"/>
  <c r="AL35" i="11" s="1"/>
  <c r="P341" i="1"/>
  <c r="M343" i="1"/>
  <c r="AM369" i="1"/>
  <c r="Q381" i="1"/>
  <c r="O398" i="1"/>
  <c r="J443" i="1"/>
  <c r="Q462" i="1"/>
  <c r="I463" i="1"/>
  <c r="I89" i="11" s="1"/>
  <c r="Q463" i="1"/>
  <c r="Q89" i="11" s="1"/>
  <c r="P477" i="1"/>
  <c r="M472" i="1"/>
  <c r="AN479" i="1"/>
  <c r="J475" i="1"/>
  <c r="AN476" i="1"/>
  <c r="R477" i="1"/>
  <c r="I522" i="1"/>
  <c r="K540" i="1"/>
  <c r="G541" i="1"/>
  <c r="G111" i="11" s="1"/>
  <c r="O541" i="1"/>
  <c r="O111" i="11" s="1"/>
  <c r="P555" i="1"/>
  <c r="M557" i="1"/>
  <c r="AN557" i="1"/>
  <c r="O553" i="1"/>
  <c r="O555" i="1"/>
  <c r="Q610" i="1"/>
  <c r="P611" i="1"/>
  <c r="P118" i="11" s="1"/>
  <c r="K620" i="1"/>
  <c r="F625" i="1"/>
  <c r="R625" i="1"/>
  <c r="AL677" i="1"/>
  <c r="AL679" i="1" s="1"/>
  <c r="AM696" i="1"/>
  <c r="AM698" i="1" s="1"/>
  <c r="AL715" i="1"/>
  <c r="AL717" i="1" s="1"/>
  <c r="G730" i="1"/>
  <c r="AL730" i="1"/>
  <c r="O731" i="1"/>
  <c r="K732" i="1"/>
  <c r="G733" i="1"/>
  <c r="AL733" i="1"/>
  <c r="K753" i="1"/>
  <c r="K985" i="1" s="1"/>
  <c r="K995" i="1" s="1"/>
  <c r="I852" i="1"/>
  <c r="I853" i="1" s="1"/>
  <c r="H852" i="1"/>
  <c r="H853" i="1" s="1"/>
  <c r="I866" i="1"/>
  <c r="I868" i="1" s="1"/>
  <c r="AL866" i="1"/>
  <c r="AL868" i="1" s="1"/>
  <c r="O898" i="1"/>
  <c r="I939" i="1"/>
  <c r="O939" i="1"/>
  <c r="G949" i="1"/>
  <c r="M949" i="1"/>
  <c r="N996" i="1"/>
  <c r="Q336" i="1"/>
  <c r="R279" i="1"/>
  <c r="L342" i="1"/>
  <c r="N343" i="1"/>
  <c r="R362" i="1"/>
  <c r="AM381" i="1"/>
  <c r="AM374" i="1" s="1"/>
  <c r="L395" i="1"/>
  <c r="I398" i="1"/>
  <c r="Q398" i="1"/>
  <c r="I395" i="1"/>
  <c r="N443" i="1"/>
  <c r="M450" i="1"/>
  <c r="R462" i="1"/>
  <c r="J463" i="1"/>
  <c r="J89" i="11" s="1"/>
  <c r="R463" i="1"/>
  <c r="R89" i="11" s="1"/>
  <c r="N479" i="1"/>
  <c r="M475" i="1"/>
  <c r="I477" i="1"/>
  <c r="AM478" i="1"/>
  <c r="M522" i="1"/>
  <c r="Q550" i="1"/>
  <c r="N540" i="1"/>
  <c r="I541" i="1"/>
  <c r="I111" i="11" s="1"/>
  <c r="Q541" i="1"/>
  <c r="Q111" i="11" s="1"/>
  <c r="N557" i="1"/>
  <c r="R553" i="1"/>
  <c r="R555" i="1"/>
  <c r="R610" i="1"/>
  <c r="AM611" i="1"/>
  <c r="AM118" i="11" s="1"/>
  <c r="N620" i="1"/>
  <c r="G625" i="1"/>
  <c r="AM634" i="1"/>
  <c r="H730" i="1"/>
  <c r="AM730" i="1"/>
  <c r="P731" i="1"/>
  <c r="L732" i="1"/>
  <c r="H733" i="1"/>
  <c r="AM733" i="1"/>
  <c r="AO748" i="1"/>
  <c r="AO791" i="1" s="1"/>
  <c r="AO793" i="1" s="1"/>
  <c r="AO797" i="1" s="1"/>
  <c r="L753" i="1"/>
  <c r="L985" i="1" s="1"/>
  <c r="L995" i="1" s="1"/>
  <c r="J852" i="1"/>
  <c r="J853" i="1" s="1"/>
  <c r="AM898" i="1"/>
  <c r="P932" i="1"/>
  <c r="H932" i="1"/>
  <c r="P939" i="1"/>
  <c r="H996" i="1"/>
  <c r="P154" i="1"/>
  <c r="P140" i="11" s="1"/>
  <c r="K260" i="1"/>
  <c r="E280" i="1"/>
  <c r="E35" i="11" s="1"/>
  <c r="P339" i="1"/>
  <c r="P342" i="1"/>
  <c r="O343" i="1"/>
  <c r="I362" i="1"/>
  <c r="O391" i="1"/>
  <c r="I381" i="1"/>
  <c r="H382" i="1"/>
  <c r="H62" i="11" s="1"/>
  <c r="P395" i="1"/>
  <c r="J398" i="1"/>
  <c r="R398" i="1"/>
  <c r="I394" i="1"/>
  <c r="M395" i="1"/>
  <c r="R443" i="1"/>
  <c r="I462" i="1"/>
  <c r="AM462" i="1"/>
  <c r="L463" i="1"/>
  <c r="AL463" i="1"/>
  <c r="AL89" i="11" s="1"/>
  <c r="P475" i="1"/>
  <c r="N475" i="1"/>
  <c r="J477" i="1"/>
  <c r="AN478" i="1"/>
  <c r="Q522" i="1"/>
  <c r="J541" i="1"/>
  <c r="J111" i="11" s="1"/>
  <c r="R541" i="1"/>
  <c r="R111" i="11" s="1"/>
  <c r="P553" i="1"/>
  <c r="O557" i="1"/>
  <c r="AN554" i="1"/>
  <c r="AN556" i="1"/>
  <c r="O620" i="1"/>
  <c r="N625" i="1"/>
  <c r="AM625" i="1"/>
  <c r="R624" i="1"/>
  <c r="AN633" i="1"/>
  <c r="AN634" i="1" s="1"/>
  <c r="AM660" i="1"/>
  <c r="AM662" i="1" s="1"/>
  <c r="K730" i="1"/>
  <c r="G731" i="1"/>
  <c r="AL731" i="1"/>
  <c r="O732" i="1"/>
  <c r="K733" i="1"/>
  <c r="AP748" i="1"/>
  <c r="AP791" i="1" s="1"/>
  <c r="AP793" i="1" s="1"/>
  <c r="AP797" i="1" s="1"/>
  <c r="G753" i="1"/>
  <c r="G985" i="1" s="1"/>
  <c r="G995" i="1" s="1"/>
  <c r="Q852" i="1"/>
  <c r="Q853" i="1" s="1"/>
  <c r="P852" i="1"/>
  <c r="P853" i="1" s="1"/>
  <c r="Q866" i="1"/>
  <c r="Q868" i="1" s="1"/>
  <c r="K898" i="1"/>
  <c r="E939" i="1"/>
  <c r="K939" i="1"/>
  <c r="I949" i="1"/>
  <c r="O949" i="1"/>
  <c r="J996" i="1"/>
  <c r="O260" i="1"/>
  <c r="I280" i="1"/>
  <c r="I35" i="11" s="1"/>
  <c r="L340" i="1"/>
  <c r="I343" i="1"/>
  <c r="Q343" i="1"/>
  <c r="J362" i="1"/>
  <c r="L381" i="1"/>
  <c r="L382" i="1"/>
  <c r="L62" i="11" s="1"/>
  <c r="L396" i="1"/>
  <c r="K398" i="1"/>
  <c r="M394" i="1"/>
  <c r="Q395" i="1"/>
  <c r="Q450" i="1"/>
  <c r="P462" i="1"/>
  <c r="J462" i="1"/>
  <c r="E463" i="1"/>
  <c r="E89" i="11" s="1"/>
  <c r="M463" i="1"/>
  <c r="M89" i="11" s="1"/>
  <c r="AM463" i="1"/>
  <c r="AM89" i="11" s="1"/>
  <c r="I472" i="1"/>
  <c r="Q472" i="1"/>
  <c r="Q475" i="1"/>
  <c r="M477" i="1"/>
  <c r="AM485" i="1"/>
  <c r="AQ75" i="21" s="1"/>
  <c r="AQ85" i="21" s="1"/>
  <c r="AM522" i="1"/>
  <c r="K541" i="1"/>
  <c r="AL541" i="1"/>
  <c r="AL111" i="11" s="1"/>
  <c r="L548" i="1"/>
  <c r="L557" i="1" s="1"/>
  <c r="I557" i="1"/>
  <c r="Q557" i="1"/>
  <c r="J553" i="1"/>
  <c r="J555" i="1"/>
  <c r="N610" i="1"/>
  <c r="R620" i="1"/>
  <c r="AM624" i="1"/>
  <c r="AO633" i="1"/>
  <c r="L730" i="1"/>
  <c r="H731" i="1"/>
  <c r="AM731" i="1"/>
  <c r="P732" i="1"/>
  <c r="L733" i="1"/>
  <c r="H753" i="1"/>
  <c r="H985" i="1" s="1"/>
  <c r="H995" i="1" s="1"/>
  <c r="R852" i="1"/>
  <c r="R853" i="1" s="1"/>
  <c r="K852" i="1"/>
  <c r="K853" i="1" s="1"/>
  <c r="G866" i="1"/>
  <c r="G868" i="1" s="1"/>
  <c r="L898" i="1"/>
  <c r="L939" i="1"/>
  <c r="P949" i="1"/>
  <c r="M280" i="1"/>
  <c r="M35" i="11" s="1"/>
  <c r="P340" i="1"/>
  <c r="J343" i="1"/>
  <c r="R343" i="1"/>
  <c r="M362" i="1"/>
  <c r="K391" i="1"/>
  <c r="M381" i="1"/>
  <c r="M398" i="1"/>
  <c r="Q394" i="1"/>
  <c r="F463" i="1"/>
  <c r="F89" i="11" s="1"/>
  <c r="N463" i="1"/>
  <c r="J479" i="1"/>
  <c r="R479" i="1"/>
  <c r="AM472" i="1"/>
  <c r="R475" i="1"/>
  <c r="N477" i="1"/>
  <c r="P525" i="1"/>
  <c r="P96" i="11" s="1"/>
  <c r="E541" i="1"/>
  <c r="E111" i="11" s="1"/>
  <c r="M541" i="1"/>
  <c r="M111" i="11" s="1"/>
  <c r="AM541" i="1"/>
  <c r="AM111" i="11" s="1"/>
  <c r="J557" i="1"/>
  <c r="R557" i="1"/>
  <c r="K553" i="1"/>
  <c r="K555" i="1"/>
  <c r="I610" i="1"/>
  <c r="L611" i="1"/>
  <c r="L118" i="11" s="1"/>
  <c r="E621" i="1"/>
  <c r="J625" i="1"/>
  <c r="J624" i="1"/>
  <c r="K634" i="1"/>
  <c r="K731" i="1"/>
  <c r="G732" i="1"/>
  <c r="AL732" i="1"/>
  <c r="O733" i="1"/>
  <c r="O753" i="1"/>
  <c r="O985" i="1" s="1"/>
  <c r="O995" i="1" s="1"/>
  <c r="AN777" i="1"/>
  <c r="AN780" i="1" s="1"/>
  <c r="AN800" i="1" s="1"/>
  <c r="AN802" i="1" s="1"/>
  <c r="AN807" i="1" s="1"/>
  <c r="F11" i="42" s="1"/>
  <c r="F16" i="42" s="1"/>
  <c r="AL852" i="1"/>
  <c r="AL853" i="1" s="1"/>
  <c r="G898" i="1"/>
  <c r="R996" i="1"/>
  <c r="J74" i="1"/>
  <c r="J87" i="1"/>
  <c r="P140" i="1"/>
  <c r="P130" i="11" s="1"/>
  <c r="AM139" i="1"/>
  <c r="AM140" i="1"/>
  <c r="AM130" i="11" s="1"/>
  <c r="L147" i="1"/>
  <c r="L135" i="11" s="1"/>
  <c r="L146" i="1"/>
  <c r="P147" i="1"/>
  <c r="P135" i="11" s="1"/>
  <c r="P146" i="1"/>
  <c r="AM146" i="1"/>
  <c r="AM147" i="1"/>
  <c r="AM135" i="11" s="1"/>
  <c r="K74" i="1"/>
  <c r="J153" i="1"/>
  <c r="J154" i="1"/>
  <c r="J140" i="11" s="1"/>
  <c r="N153" i="1"/>
  <c r="N154" i="1"/>
  <c r="N140" i="11" s="1"/>
  <c r="R153" i="1"/>
  <c r="R154" i="1"/>
  <c r="R140" i="11" s="1"/>
  <c r="AM80" i="1"/>
  <c r="AM91" i="1"/>
  <c r="R140" i="1"/>
  <c r="R130" i="11" s="1"/>
  <c r="J146" i="1"/>
  <c r="J147" i="1"/>
  <c r="J135" i="11" s="1"/>
  <c r="N146" i="1"/>
  <c r="N147" i="1"/>
  <c r="N135" i="11" s="1"/>
  <c r="R146" i="1"/>
  <c r="R147" i="1"/>
  <c r="R135" i="11" s="1"/>
  <c r="AM153" i="1"/>
  <c r="AM154" i="1"/>
  <c r="AM140" i="11" s="1"/>
  <c r="K146" i="1"/>
  <c r="O146" i="1"/>
  <c r="K153" i="1"/>
  <c r="O153" i="1"/>
  <c r="L266" i="1"/>
  <c r="L30" i="11" s="1"/>
  <c r="K279" i="1"/>
  <c r="O279" i="1"/>
  <c r="F280" i="1"/>
  <c r="F35" i="11" s="1"/>
  <c r="J280" i="1"/>
  <c r="J35" i="11" s="1"/>
  <c r="N280" i="1"/>
  <c r="N35" i="11" s="1"/>
  <c r="R280" i="1"/>
  <c r="R35" i="11" s="1"/>
  <c r="AM280" i="1"/>
  <c r="J336" i="1"/>
  <c r="N336" i="1"/>
  <c r="R336" i="1"/>
  <c r="I339" i="1"/>
  <c r="M339" i="1"/>
  <c r="Q339" i="1"/>
  <c r="K341" i="1"/>
  <c r="O341" i="1"/>
  <c r="AN341" i="1"/>
  <c r="J342" i="1"/>
  <c r="N342" i="1"/>
  <c r="R342" i="1"/>
  <c r="L360" i="1"/>
  <c r="P360" i="1"/>
  <c r="K362" i="1"/>
  <c r="O362" i="1"/>
  <c r="J381" i="1"/>
  <c r="N381" i="1"/>
  <c r="R381" i="1"/>
  <c r="E382" i="1"/>
  <c r="E62" i="11" s="1"/>
  <c r="I382" i="1"/>
  <c r="I62" i="11" s="1"/>
  <c r="M382" i="1"/>
  <c r="M62" i="11" s="1"/>
  <c r="Q382" i="1"/>
  <c r="AL382" i="1"/>
  <c r="AL62" i="11" s="1"/>
  <c r="J394" i="1"/>
  <c r="N394" i="1"/>
  <c r="R394" i="1"/>
  <c r="J395" i="1"/>
  <c r="N395" i="1"/>
  <c r="R395" i="1"/>
  <c r="J396" i="1"/>
  <c r="N396" i="1"/>
  <c r="R396" i="1"/>
  <c r="K443" i="1"/>
  <c r="G463" i="1"/>
  <c r="G89" i="11" s="1"/>
  <c r="K477" i="1"/>
  <c r="K475" i="1"/>
  <c r="K463" i="1"/>
  <c r="K89" i="11" s="1"/>
  <c r="O477" i="1"/>
  <c r="O475" i="1"/>
  <c r="K462" i="1"/>
  <c r="O463" i="1"/>
  <c r="O462" i="1"/>
  <c r="O479" i="1"/>
  <c r="O472" i="1"/>
  <c r="K478" i="1"/>
  <c r="I479" i="1"/>
  <c r="H628" i="1"/>
  <c r="P628" i="1"/>
  <c r="T629" i="1" s="1"/>
  <c r="E628" i="1"/>
  <c r="M628" i="1"/>
  <c r="I260" i="1"/>
  <c r="M260" i="1"/>
  <c r="AM260" i="1"/>
  <c r="L279" i="1"/>
  <c r="P279" i="1"/>
  <c r="G280" i="1"/>
  <c r="G35" i="11" s="1"/>
  <c r="K280" i="1"/>
  <c r="O280" i="1"/>
  <c r="O35" i="11" s="1"/>
  <c r="P334" i="1"/>
  <c r="K336" i="1"/>
  <c r="O336" i="1"/>
  <c r="J339" i="1"/>
  <c r="N339" i="1"/>
  <c r="R339" i="1"/>
  <c r="I340" i="1"/>
  <c r="M340" i="1"/>
  <c r="Q340" i="1"/>
  <c r="K342" i="1"/>
  <c r="O342" i="1"/>
  <c r="AN342" i="1"/>
  <c r="K381" i="1"/>
  <c r="O381" i="1"/>
  <c r="F382" i="1"/>
  <c r="F62" i="11" s="1"/>
  <c r="J382" i="1"/>
  <c r="J62" i="11" s="1"/>
  <c r="N382" i="1"/>
  <c r="N62" i="11" s="1"/>
  <c r="R382" i="1"/>
  <c r="R62" i="11" s="1"/>
  <c r="AM382" i="1"/>
  <c r="AM62" i="11" s="1"/>
  <c r="I391" i="1"/>
  <c r="M391" i="1"/>
  <c r="Q391" i="1"/>
  <c r="K394" i="1"/>
  <c r="O394" i="1"/>
  <c r="K395" i="1"/>
  <c r="O395" i="1"/>
  <c r="K396" i="1"/>
  <c r="O396" i="1"/>
  <c r="K479" i="1"/>
  <c r="K476" i="1"/>
  <c r="O478" i="1"/>
  <c r="M479" i="1"/>
  <c r="J260" i="1"/>
  <c r="N260" i="1"/>
  <c r="I279" i="1"/>
  <c r="M279" i="1"/>
  <c r="Q279" i="1"/>
  <c r="AM279" i="1"/>
  <c r="H280" i="1"/>
  <c r="H35" i="11" s="1"/>
  <c r="L280" i="1"/>
  <c r="L35" i="11" s="1"/>
  <c r="P280" i="1"/>
  <c r="P35" i="11" s="1"/>
  <c r="K339" i="1"/>
  <c r="O339" i="1"/>
  <c r="AN339" i="1"/>
  <c r="J340" i="1"/>
  <c r="N340" i="1"/>
  <c r="R340" i="1"/>
  <c r="I341" i="1"/>
  <c r="M341" i="1"/>
  <c r="Q341" i="1"/>
  <c r="K382" i="1"/>
  <c r="K62" i="11" s="1"/>
  <c r="O382" i="1"/>
  <c r="L389" i="1"/>
  <c r="P389" i="1"/>
  <c r="J391" i="1"/>
  <c r="N391" i="1"/>
  <c r="R391" i="1"/>
  <c r="P394" i="1"/>
  <c r="L441" i="1"/>
  <c r="P441" i="1"/>
  <c r="O443" i="1"/>
  <c r="O476" i="1"/>
  <c r="Q479" i="1"/>
  <c r="AL628" i="1"/>
  <c r="P258" i="1"/>
  <c r="I336" i="1"/>
  <c r="M336" i="1"/>
  <c r="L339" i="1"/>
  <c r="AN340" i="1"/>
  <c r="L475" i="1"/>
  <c r="L470" i="1"/>
  <c r="AM475" i="1"/>
  <c r="I476" i="1"/>
  <c r="M476" i="1"/>
  <c r="Q476" i="1"/>
  <c r="AM477" i="1"/>
  <c r="I478" i="1"/>
  <c r="M478" i="1"/>
  <c r="Q478" i="1"/>
  <c r="L520" i="1"/>
  <c r="K522" i="1"/>
  <c r="O522" i="1"/>
  <c r="L540" i="1"/>
  <c r="P540" i="1"/>
  <c r="P548" i="1"/>
  <c r="J550" i="1"/>
  <c r="N550" i="1"/>
  <c r="R550" i="1"/>
  <c r="L553" i="1"/>
  <c r="AN553" i="1"/>
  <c r="J554" i="1"/>
  <c r="N554" i="1"/>
  <c r="R554" i="1"/>
  <c r="L555" i="1"/>
  <c r="AN555" i="1"/>
  <c r="AL563" i="1"/>
  <c r="E594" i="1"/>
  <c r="I594" i="1"/>
  <c r="G628" i="1"/>
  <c r="K628" i="1"/>
  <c r="O628" i="1"/>
  <c r="M610" i="1"/>
  <c r="AM610" i="1"/>
  <c r="AL617" i="1"/>
  <c r="AP77" i="21" s="1"/>
  <c r="AP87" i="21" s="1"/>
  <c r="I621" i="1"/>
  <c r="Q621" i="1"/>
  <c r="AL621" i="1"/>
  <c r="K625" i="1"/>
  <c r="K624" i="1"/>
  <c r="O625" i="1"/>
  <c r="O624" i="1"/>
  <c r="H625" i="1"/>
  <c r="L628" i="1"/>
  <c r="J634" i="1"/>
  <c r="H984" i="1"/>
  <c r="H992" i="1" s="1"/>
  <c r="L984" i="1"/>
  <c r="L992" i="1" s="1"/>
  <c r="P984" i="1"/>
  <c r="P992" i="1" s="1"/>
  <c r="AM984" i="1"/>
  <c r="AM992" i="1" s="1"/>
  <c r="L462" i="1"/>
  <c r="P470" i="1"/>
  <c r="J472" i="1"/>
  <c r="N472" i="1"/>
  <c r="R472" i="1"/>
  <c r="AN475" i="1"/>
  <c r="J476" i="1"/>
  <c r="N476" i="1"/>
  <c r="R476" i="1"/>
  <c r="I540" i="1"/>
  <c r="M540" i="1"/>
  <c r="Q540" i="1"/>
  <c r="AM540" i="1"/>
  <c r="H541" i="1"/>
  <c r="H111" i="11" s="1"/>
  <c r="L541" i="1"/>
  <c r="L111" i="11" s="1"/>
  <c r="P541" i="1"/>
  <c r="K550" i="1"/>
  <c r="O550" i="1"/>
  <c r="AM550" i="1"/>
  <c r="I553" i="1"/>
  <c r="M553" i="1"/>
  <c r="Q553" i="1"/>
  <c r="K554" i="1"/>
  <c r="O554" i="1"/>
  <c r="AM554" i="1"/>
  <c r="I555" i="1"/>
  <c r="M555" i="1"/>
  <c r="Q555" i="1"/>
  <c r="AM556" i="1"/>
  <c r="K611" i="1"/>
  <c r="K118" i="11" s="1"/>
  <c r="AL611" i="1"/>
  <c r="AL118" i="11" s="1"/>
  <c r="AM620" i="1"/>
  <c r="L624" i="1"/>
  <c r="P624" i="1"/>
  <c r="E984" i="1"/>
  <c r="E992" i="1" s="1"/>
  <c r="I984" i="1"/>
  <c r="I992" i="1" s="1"/>
  <c r="M984" i="1"/>
  <c r="M992" i="1" s="1"/>
  <c r="Q984" i="1"/>
  <c r="Q992" i="1" s="1"/>
  <c r="L554" i="1"/>
  <c r="P554" i="1"/>
  <c r="L556" i="1"/>
  <c r="E611" i="1"/>
  <c r="E118" i="11" s="1"/>
  <c r="I611" i="1"/>
  <c r="I118" i="11" s="1"/>
  <c r="M611" i="1"/>
  <c r="M118" i="11" s="1"/>
  <c r="Q611" i="1"/>
  <c r="Q118" i="11" s="1"/>
  <c r="L621" i="1"/>
  <c r="L620" i="1"/>
  <c r="P621" i="1"/>
  <c r="P620" i="1"/>
  <c r="L625" i="1"/>
  <c r="I634" i="1"/>
  <c r="M634" i="1"/>
  <c r="AV768" i="1"/>
  <c r="AV806" i="1" s="1"/>
  <c r="F984" i="1"/>
  <c r="F992" i="1" s="1"/>
  <c r="J984" i="1"/>
  <c r="J992" i="1" s="1"/>
  <c r="N984" i="1"/>
  <c r="N992" i="1" s="1"/>
  <c r="R984" i="1"/>
  <c r="R992" i="1" s="1"/>
  <c r="L476" i="1"/>
  <c r="P476" i="1"/>
  <c r="J522" i="1"/>
  <c r="N522" i="1"/>
  <c r="R522" i="1"/>
  <c r="I550" i="1"/>
  <c r="M550" i="1"/>
  <c r="AM553" i="1"/>
  <c r="I554" i="1"/>
  <c r="M554" i="1"/>
  <c r="Q554" i="1"/>
  <c r="H594" i="1"/>
  <c r="L594" i="1"/>
  <c r="F611" i="1"/>
  <c r="F118" i="11" s="1"/>
  <c r="F628" i="1"/>
  <c r="J611" i="1"/>
  <c r="J118" i="11" s="1"/>
  <c r="J628" i="1"/>
  <c r="N611" i="1"/>
  <c r="N118" i="11" s="1"/>
  <c r="N628" i="1"/>
  <c r="R611" i="1"/>
  <c r="R118" i="11" s="1"/>
  <c r="R628" i="1"/>
  <c r="AM628" i="1"/>
  <c r="I620" i="1"/>
  <c r="M620" i="1"/>
  <c r="Q620" i="1"/>
  <c r="M625" i="1"/>
  <c r="I628" i="1"/>
  <c r="Q628" i="1"/>
  <c r="G984" i="1"/>
  <c r="G992" i="1" s="1"/>
  <c r="K984" i="1"/>
  <c r="K992" i="1" s="1"/>
  <c r="O984" i="1"/>
  <c r="O992" i="1" s="1"/>
  <c r="AL984" i="1"/>
  <c r="AL992" i="1" s="1"/>
  <c r="AP633" i="1"/>
  <c r="E730" i="1"/>
  <c r="I730" i="1"/>
  <c r="M730" i="1"/>
  <c r="Q730" i="1"/>
  <c r="E731" i="1"/>
  <c r="I731" i="1"/>
  <c r="M731" i="1"/>
  <c r="Q731" i="1"/>
  <c r="E732" i="1"/>
  <c r="I732" i="1"/>
  <c r="M732" i="1"/>
  <c r="Q732" i="1"/>
  <c r="E733" i="1"/>
  <c r="I733" i="1"/>
  <c r="M733" i="1"/>
  <c r="Q733" i="1"/>
  <c r="F730" i="1"/>
  <c r="J730" i="1"/>
  <c r="N730" i="1"/>
  <c r="R730" i="1"/>
  <c r="F731" i="1"/>
  <c r="J731" i="1"/>
  <c r="N731" i="1"/>
  <c r="R731" i="1"/>
  <c r="F732" i="1"/>
  <c r="J732" i="1"/>
  <c r="N732" i="1"/>
  <c r="R732" i="1"/>
  <c r="F733" i="1"/>
  <c r="J733" i="1"/>
  <c r="N733" i="1"/>
  <c r="R733" i="1"/>
  <c r="AO866" i="1"/>
  <c r="AO876" i="1"/>
  <c r="AO177" i="11" s="1"/>
  <c r="N852" i="1"/>
  <c r="N853" i="1" s="1"/>
  <c r="AM852" i="1"/>
  <c r="AM853" i="1" s="1"/>
  <c r="P753" i="1"/>
  <c r="AM866" i="1"/>
  <c r="AM868" i="1" s="1"/>
  <c r="G932" i="1"/>
  <c r="K932" i="1"/>
  <c r="O932" i="1"/>
  <c r="AL898" i="1"/>
  <c r="P899" i="1"/>
  <c r="E932" i="1"/>
  <c r="E909" i="1" s="1"/>
  <c r="E911" i="1" s="1"/>
  <c r="I932" i="1"/>
  <c r="M932" i="1"/>
  <c r="Q932" i="1"/>
  <c r="F932" i="1"/>
  <c r="J932" i="1"/>
  <c r="N932" i="1"/>
  <c r="R932" i="1"/>
  <c r="R939" i="1"/>
  <c r="E982" i="1"/>
  <c r="I982" i="1"/>
  <c r="M982" i="1"/>
  <c r="Q982" i="1"/>
  <c r="AL982" i="1"/>
  <c r="AM996" i="1"/>
  <c r="AL6" i="2"/>
  <c r="AK5" i="2"/>
  <c r="F982" i="1"/>
  <c r="J982" i="1"/>
  <c r="N982" i="1"/>
  <c r="R982" i="1"/>
  <c r="AM982" i="1"/>
  <c r="I996" i="1"/>
  <c r="M996" i="1"/>
  <c r="Q996" i="1"/>
  <c r="L996" i="1"/>
  <c r="AJ5" i="2"/>
  <c r="G982" i="1"/>
  <c r="K982" i="1"/>
  <c r="O982" i="1"/>
  <c r="Q939" i="1"/>
  <c r="P982" i="1"/>
  <c r="K996" i="1"/>
  <c r="O996" i="1"/>
  <c r="I6" i="2"/>
  <c r="J6" i="2" s="1"/>
  <c r="K6" i="2" s="1"/>
  <c r="L6" i="2" s="1"/>
  <c r="F5" i="2"/>
  <c r="E5" i="2"/>
  <c r="H5" i="2"/>
  <c r="F5" i="9"/>
  <c r="AF5" i="9"/>
  <c r="AG5" i="9"/>
  <c r="AH6" i="9"/>
  <c r="Z7" i="10"/>
  <c r="Y6" i="10"/>
  <c r="H6" i="10"/>
  <c r="G6" i="10"/>
  <c r="F6" i="10"/>
  <c r="I7" i="10"/>
  <c r="J7" i="10" s="1"/>
  <c r="K7" i="10" s="1"/>
  <c r="L7" i="10" s="1"/>
  <c r="E6" i="10"/>
  <c r="X6" i="10"/>
  <c r="P66" i="1"/>
  <c r="L66" i="1"/>
  <c r="H66" i="1"/>
  <c r="AP60" i="1"/>
  <c r="AP976" i="1" s="1"/>
  <c r="AO60" i="1"/>
  <c r="AO976" i="1" s="1"/>
  <c r="AN60" i="1"/>
  <c r="AN976" i="1" s="1"/>
  <c r="AM60" i="1"/>
  <c r="AL60" i="1"/>
  <c r="R60" i="1"/>
  <c r="R976" i="1" s="1"/>
  <c r="Q60" i="1"/>
  <c r="Q976" i="1" s="1"/>
  <c r="O60" i="1"/>
  <c r="N60" i="1"/>
  <c r="M60" i="1"/>
  <c r="K60" i="1"/>
  <c r="J60" i="1"/>
  <c r="I60" i="1"/>
  <c r="I976" i="1" s="1"/>
  <c r="G60" i="1"/>
  <c r="F60" i="1"/>
  <c r="E60" i="1"/>
  <c r="E976" i="1" s="1"/>
  <c r="AQ59" i="1"/>
  <c r="AR59" i="1" s="1"/>
  <c r="AS59" i="1" s="1"/>
  <c r="P59" i="1"/>
  <c r="L59" i="1"/>
  <c r="H59" i="1"/>
  <c r="S201" i="1"/>
  <c r="AQ201" i="1" s="1"/>
  <c r="AM28" i="1"/>
  <c r="AL28" i="1"/>
  <c r="R28" i="1"/>
  <c r="Q28" i="1"/>
  <c r="P28" i="1"/>
  <c r="O28" i="1"/>
  <c r="N28" i="1"/>
  <c r="M28" i="1"/>
  <c r="L28" i="1"/>
  <c r="K28" i="1"/>
  <c r="J28" i="1"/>
  <c r="I28" i="1"/>
  <c r="H28" i="1"/>
  <c r="G28" i="1"/>
  <c r="F28" i="1"/>
  <c r="E28" i="1"/>
  <c r="AM27" i="1"/>
  <c r="R27" i="1"/>
  <c r="Q27" i="1"/>
  <c r="P27" i="1"/>
  <c r="O27" i="1"/>
  <c r="N27" i="1"/>
  <c r="M27" i="1"/>
  <c r="L27" i="1"/>
  <c r="K27" i="1"/>
  <c r="J27" i="1"/>
  <c r="I27" i="1"/>
  <c r="AM24" i="1"/>
  <c r="AL24" i="1"/>
  <c r="R24" i="1"/>
  <c r="Q24" i="1"/>
  <c r="P24" i="1"/>
  <c r="O24" i="1"/>
  <c r="N24" i="1"/>
  <c r="M24" i="1"/>
  <c r="L24" i="1"/>
  <c r="K24" i="1"/>
  <c r="J24" i="1"/>
  <c r="I24" i="1"/>
  <c r="H24" i="1"/>
  <c r="G24" i="1"/>
  <c r="F24" i="1"/>
  <c r="E24" i="1"/>
  <c r="AM23" i="1"/>
  <c r="R23" i="1"/>
  <c r="Q23" i="1"/>
  <c r="P23" i="1"/>
  <c r="O23" i="1"/>
  <c r="N23" i="1"/>
  <c r="M23" i="1"/>
  <c r="L23" i="1"/>
  <c r="K23" i="1"/>
  <c r="J23" i="1"/>
  <c r="I23" i="1"/>
  <c r="AM18" i="1"/>
  <c r="AM34" i="1" s="1"/>
  <c r="AL18" i="1"/>
  <c r="AL20" i="1" s="1"/>
  <c r="R18" i="1"/>
  <c r="Q18" i="1"/>
  <c r="P18" i="1"/>
  <c r="O18" i="1"/>
  <c r="N18" i="1"/>
  <c r="N34" i="1" s="1"/>
  <c r="M18" i="1"/>
  <c r="M20" i="1" s="1"/>
  <c r="L18" i="1"/>
  <c r="L20" i="1" s="1"/>
  <c r="K18" i="1"/>
  <c r="J18" i="1"/>
  <c r="J34" i="1" s="1"/>
  <c r="I18" i="1"/>
  <c r="I20" i="1" s="1"/>
  <c r="H18" i="1"/>
  <c r="H20" i="1" s="1"/>
  <c r="G18" i="1"/>
  <c r="G20" i="1" s="1"/>
  <c r="F18" i="1"/>
  <c r="F34" i="1" s="1"/>
  <c r="E18" i="1"/>
  <c r="E20" i="1" s="1"/>
  <c r="AM16" i="1"/>
  <c r="AL16" i="1"/>
  <c r="R16" i="1"/>
  <c r="Q16" i="1"/>
  <c r="P16" i="1"/>
  <c r="O16" i="1"/>
  <c r="N16" i="1"/>
  <c r="M16" i="1"/>
  <c r="L16" i="1"/>
  <c r="K16" i="1"/>
  <c r="J16" i="1"/>
  <c r="I16" i="1"/>
  <c r="H16" i="1"/>
  <c r="G16" i="1"/>
  <c r="F16" i="1"/>
  <c r="E16" i="1"/>
  <c r="AM15" i="1"/>
  <c r="R15" i="1"/>
  <c r="Q15" i="1"/>
  <c r="P15" i="1"/>
  <c r="O15" i="1"/>
  <c r="N15" i="1"/>
  <c r="M15" i="1"/>
  <c r="L15" i="1"/>
  <c r="K15" i="1"/>
  <c r="J15" i="1"/>
  <c r="I15" i="1"/>
  <c r="AM12" i="1"/>
  <c r="R12" i="1"/>
  <c r="Q12" i="1"/>
  <c r="P12" i="1"/>
  <c r="O12" i="1"/>
  <c r="N12" i="1"/>
  <c r="M12" i="1"/>
  <c r="L12" i="1"/>
  <c r="K12" i="1"/>
  <c r="J12" i="1"/>
  <c r="I12" i="1"/>
  <c r="AP177" i="11"/>
  <c r="AN177" i="11"/>
  <c r="AM167" i="11"/>
  <c r="AL167" i="11"/>
  <c r="R167" i="11"/>
  <c r="Q167" i="11"/>
  <c r="P167" i="11"/>
  <c r="O167" i="11"/>
  <c r="N167" i="11"/>
  <c r="M167" i="11"/>
  <c r="L167" i="11"/>
  <c r="K167" i="11"/>
  <c r="J167" i="11"/>
  <c r="I167" i="11"/>
  <c r="H167" i="11"/>
  <c r="AM162" i="11"/>
  <c r="AL162" i="11"/>
  <c r="R162" i="11"/>
  <c r="Q162" i="11"/>
  <c r="P162" i="11"/>
  <c r="O162" i="11"/>
  <c r="N162" i="11"/>
  <c r="M162" i="11"/>
  <c r="L162" i="11"/>
  <c r="K162" i="11"/>
  <c r="J162" i="11"/>
  <c r="I162" i="11"/>
  <c r="H162" i="11"/>
  <c r="AM157" i="11"/>
  <c r="AL157" i="11"/>
  <c r="R157" i="11"/>
  <c r="Q157" i="11"/>
  <c r="P157" i="11"/>
  <c r="O157" i="11"/>
  <c r="N157" i="11"/>
  <c r="M157" i="11"/>
  <c r="L157" i="11"/>
  <c r="K157" i="11"/>
  <c r="J157" i="11"/>
  <c r="I157" i="11"/>
  <c r="H157" i="11"/>
  <c r="AM152" i="11"/>
  <c r="AL152" i="11"/>
  <c r="R152" i="11"/>
  <c r="Q152" i="11"/>
  <c r="P152" i="11"/>
  <c r="O152" i="11"/>
  <c r="N152" i="11"/>
  <c r="M152" i="11"/>
  <c r="L152" i="11"/>
  <c r="K152" i="11"/>
  <c r="J152" i="11"/>
  <c r="I152" i="11"/>
  <c r="H152" i="11"/>
  <c r="AM147" i="11"/>
  <c r="AL147" i="11"/>
  <c r="R147" i="11"/>
  <c r="Q147" i="11"/>
  <c r="P147" i="11"/>
  <c r="O147" i="11"/>
  <c r="N147" i="11"/>
  <c r="M147" i="11"/>
  <c r="L147" i="11"/>
  <c r="K147" i="11"/>
  <c r="J147" i="11"/>
  <c r="I147" i="11"/>
  <c r="H147" i="11"/>
  <c r="AL140" i="11"/>
  <c r="F140" i="11"/>
  <c r="AL135" i="11"/>
  <c r="H135" i="11"/>
  <c r="F135" i="11"/>
  <c r="AL130" i="11"/>
  <c r="AN106" i="11"/>
  <c r="AM106" i="11"/>
  <c r="AL106" i="11"/>
  <c r="R106" i="11"/>
  <c r="Q106" i="11"/>
  <c r="P106" i="11"/>
  <c r="O106" i="11"/>
  <c r="N106" i="11"/>
  <c r="M106" i="11"/>
  <c r="L106" i="11"/>
  <c r="K106" i="11"/>
  <c r="J106" i="11"/>
  <c r="I106" i="11"/>
  <c r="AN101" i="11"/>
  <c r="AM101" i="11"/>
  <c r="AL101" i="11"/>
  <c r="R101" i="11"/>
  <c r="Q101" i="11"/>
  <c r="P101" i="11"/>
  <c r="O101" i="11"/>
  <c r="N101" i="11"/>
  <c r="M101" i="11"/>
  <c r="L101" i="11"/>
  <c r="K101" i="11"/>
  <c r="J101" i="11"/>
  <c r="I101" i="11"/>
  <c r="AN96" i="11"/>
  <c r="AM96" i="11"/>
  <c r="AL96" i="11"/>
  <c r="R96" i="11"/>
  <c r="Q96" i="11"/>
  <c r="O96" i="11"/>
  <c r="N96" i="11"/>
  <c r="M96" i="11"/>
  <c r="L96" i="11"/>
  <c r="K96" i="11"/>
  <c r="J96" i="11"/>
  <c r="I96" i="11"/>
  <c r="C94" i="11"/>
  <c r="AN84" i="11"/>
  <c r="AM84" i="11"/>
  <c r="AL84" i="11"/>
  <c r="R84" i="11"/>
  <c r="Q84" i="11"/>
  <c r="P84" i="11"/>
  <c r="O84" i="11"/>
  <c r="N84" i="11"/>
  <c r="M84" i="11"/>
  <c r="L84" i="11"/>
  <c r="K84" i="11"/>
  <c r="J84" i="11"/>
  <c r="I84" i="11"/>
  <c r="AN79" i="11"/>
  <c r="AM79" i="11"/>
  <c r="AL79" i="11"/>
  <c r="R79" i="11"/>
  <c r="Q79" i="11"/>
  <c r="P79" i="11"/>
  <c r="O79" i="11"/>
  <c r="N79" i="11"/>
  <c r="M79" i="11"/>
  <c r="L79" i="11"/>
  <c r="K79" i="11"/>
  <c r="J79" i="11"/>
  <c r="I79" i="11"/>
  <c r="AN74" i="11"/>
  <c r="AM74" i="11"/>
  <c r="AL74" i="11"/>
  <c r="R74" i="11"/>
  <c r="Q74" i="11"/>
  <c r="P74" i="11"/>
  <c r="O74" i="11"/>
  <c r="N74" i="11"/>
  <c r="M74" i="11"/>
  <c r="L74" i="11"/>
  <c r="K74" i="11"/>
  <c r="J74" i="11"/>
  <c r="I74" i="11"/>
  <c r="AN69" i="11"/>
  <c r="AM69" i="11"/>
  <c r="AL69" i="11"/>
  <c r="R69" i="11"/>
  <c r="Q69" i="11"/>
  <c r="P69" i="11"/>
  <c r="O69" i="11"/>
  <c r="N69" i="11"/>
  <c r="M69" i="11"/>
  <c r="L69" i="11"/>
  <c r="K69" i="11"/>
  <c r="J69" i="11"/>
  <c r="I69" i="11"/>
  <c r="C67" i="11"/>
  <c r="AN57" i="11"/>
  <c r="AM57" i="11"/>
  <c r="AL57" i="11"/>
  <c r="R57" i="11"/>
  <c r="Q57" i="11"/>
  <c r="P57" i="11"/>
  <c r="O57" i="11"/>
  <c r="N57" i="11"/>
  <c r="M57" i="11"/>
  <c r="L57" i="11"/>
  <c r="K57" i="11"/>
  <c r="J57" i="11"/>
  <c r="I57" i="11"/>
  <c r="AN52" i="11"/>
  <c r="AM52" i="11"/>
  <c r="AL52" i="11"/>
  <c r="R52" i="11"/>
  <c r="Q52" i="11"/>
  <c r="P52" i="11"/>
  <c r="O52" i="11"/>
  <c r="N52" i="11"/>
  <c r="M52" i="11"/>
  <c r="L52" i="11"/>
  <c r="K52" i="11"/>
  <c r="J52" i="11"/>
  <c r="I52" i="11"/>
  <c r="AN47" i="11"/>
  <c r="AM47" i="11"/>
  <c r="AL47" i="11"/>
  <c r="R47" i="11"/>
  <c r="Q47" i="11"/>
  <c r="P47" i="11"/>
  <c r="O47" i="11"/>
  <c r="N47" i="11"/>
  <c r="M47" i="11"/>
  <c r="L47" i="11"/>
  <c r="K47" i="11"/>
  <c r="J47" i="11"/>
  <c r="I47" i="11"/>
  <c r="AN42" i="11"/>
  <c r="AM42" i="11"/>
  <c r="AL42" i="11"/>
  <c r="R42" i="11"/>
  <c r="Q42" i="11"/>
  <c r="P42" i="11"/>
  <c r="O42" i="11"/>
  <c r="N42" i="11"/>
  <c r="M42" i="11"/>
  <c r="L42" i="11"/>
  <c r="K42" i="11"/>
  <c r="J42" i="11"/>
  <c r="I42" i="11"/>
  <c r="C40" i="11"/>
  <c r="AN30" i="11"/>
  <c r="AM30" i="11"/>
  <c r="AL30" i="11"/>
  <c r="R30" i="11"/>
  <c r="Q30" i="11"/>
  <c r="P30" i="11"/>
  <c r="O30" i="11"/>
  <c r="N30" i="11"/>
  <c r="M30" i="11"/>
  <c r="K30" i="11"/>
  <c r="J30" i="11"/>
  <c r="I30" i="11"/>
  <c r="C30" i="11"/>
  <c r="C57" i="11" s="1"/>
  <c r="AN25" i="11"/>
  <c r="AM25" i="11"/>
  <c r="AL25" i="11"/>
  <c r="R25" i="11"/>
  <c r="Q25" i="11"/>
  <c r="P25" i="11"/>
  <c r="O25" i="11"/>
  <c r="N25" i="11"/>
  <c r="M25" i="11"/>
  <c r="L25" i="11"/>
  <c r="K25" i="11"/>
  <c r="J25" i="11"/>
  <c r="I25" i="11"/>
  <c r="C25" i="11"/>
  <c r="C52" i="11" s="1"/>
  <c r="AN20" i="11"/>
  <c r="AM20" i="11"/>
  <c r="AL20" i="11"/>
  <c r="R20" i="11"/>
  <c r="Q20" i="11"/>
  <c r="P20" i="11"/>
  <c r="O20" i="11"/>
  <c r="N20" i="11"/>
  <c r="M20" i="11"/>
  <c r="L20" i="11"/>
  <c r="K20" i="11"/>
  <c r="J20" i="11"/>
  <c r="I20" i="11"/>
  <c r="C20" i="11"/>
  <c r="C47" i="11" s="1"/>
  <c r="AN15" i="11"/>
  <c r="AM15" i="11"/>
  <c r="AL15" i="11"/>
  <c r="R15" i="11"/>
  <c r="P15" i="11"/>
  <c r="O15" i="11"/>
  <c r="N15" i="11"/>
  <c r="M15" i="11"/>
  <c r="L15" i="11"/>
  <c r="K15" i="11"/>
  <c r="J15" i="11"/>
  <c r="I15" i="11"/>
  <c r="C15" i="11"/>
  <c r="C42" i="11" s="1"/>
  <c r="C13" i="11"/>
  <c r="AM7" i="11"/>
  <c r="AM6" i="11" s="1"/>
  <c r="F7" i="11"/>
  <c r="G7" i="11" s="1"/>
  <c r="H7" i="11" s="1"/>
  <c r="AL6" i="11"/>
  <c r="A1" i="11"/>
  <c r="Q933" i="1" l="1"/>
  <c r="AP44" i="21"/>
  <c r="AQ44" i="21"/>
  <c r="E11" i="42"/>
  <c r="E16" i="42" s="1"/>
  <c r="AM702" i="1"/>
  <c r="AM586" i="1"/>
  <c r="AN129" i="1"/>
  <c r="AM428" i="1"/>
  <c r="AM425" i="1"/>
  <c r="AM683" i="1"/>
  <c r="AM506" i="1"/>
  <c r="AL702" i="1"/>
  <c r="AY579" i="1"/>
  <c r="AL683" i="1"/>
  <c r="H182" i="11"/>
  <c r="P182" i="11"/>
  <c r="AP129" i="1"/>
  <c r="AO129" i="1"/>
  <c r="D11" i="12"/>
  <c r="E11" i="12"/>
  <c r="F11" i="12"/>
  <c r="AI62" i="11"/>
  <c r="AI382" i="1" s="1"/>
  <c r="AI383" i="1" s="1"/>
  <c r="AI63" i="11"/>
  <c r="AI65" i="11"/>
  <c r="AM985" i="1"/>
  <c r="AM995" i="1" s="1"/>
  <c r="AQ109" i="21"/>
  <c r="AO910" i="1"/>
  <c r="AS118" i="21"/>
  <c r="AQ129" i="1"/>
  <c r="AL985" i="1"/>
  <c r="AL995" i="1" s="1"/>
  <c r="AP109" i="21"/>
  <c r="AN910" i="1"/>
  <c r="AR118" i="21"/>
  <c r="AQ910" i="1"/>
  <c r="AU118" i="21"/>
  <c r="I614" i="1"/>
  <c r="I906" i="1" s="1"/>
  <c r="AL807" i="1"/>
  <c r="AM811" i="1"/>
  <c r="AN809" i="1"/>
  <c r="AO809" i="1"/>
  <c r="AW768" i="1"/>
  <c r="AW806" i="1" s="1"/>
  <c r="AO811" i="1"/>
  <c r="AN868" i="1"/>
  <c r="AP984" i="1"/>
  <c r="AP992" i="1" s="1"/>
  <c r="J401" i="1"/>
  <c r="J903" i="1" s="1"/>
  <c r="L482" i="1"/>
  <c r="L904" i="1" s="1"/>
  <c r="K401" i="1"/>
  <c r="K903" i="1" s="1"/>
  <c r="O140" i="1"/>
  <c r="O130" i="11" s="1"/>
  <c r="M154" i="1"/>
  <c r="M140" i="11" s="1"/>
  <c r="E89" i="1"/>
  <c r="AN89" i="1" s="1"/>
  <c r="F16" i="12"/>
  <c r="AQ641" i="1"/>
  <c r="Q153" i="1"/>
  <c r="L346" i="1"/>
  <c r="L902" i="1" s="1"/>
  <c r="I401" i="1"/>
  <c r="I903" i="1" s="1"/>
  <c r="J482" i="1"/>
  <c r="J904" i="1" s="1"/>
  <c r="K560" i="1"/>
  <c r="K905" i="1" s="1"/>
  <c r="I898" i="1"/>
  <c r="I560" i="1"/>
  <c r="I905" i="1" s="1"/>
  <c r="J614" i="1"/>
  <c r="J906" i="1" s="1"/>
  <c r="K346" i="1"/>
  <c r="K902" i="1" s="1"/>
  <c r="L560" i="1"/>
  <c r="L905" i="1" s="1"/>
  <c r="L614" i="1"/>
  <c r="L906" i="1" s="1"/>
  <c r="K482" i="1"/>
  <c r="K904" i="1" s="1"/>
  <c r="I482" i="1"/>
  <c r="I904" i="1" s="1"/>
  <c r="J346" i="1"/>
  <c r="J902" i="1" s="1"/>
  <c r="J560" i="1"/>
  <c r="J905" i="1" s="1"/>
  <c r="L401" i="1"/>
  <c r="L903" i="1" s="1"/>
  <c r="I346" i="1"/>
  <c r="I902" i="1" s="1"/>
  <c r="F124" i="1"/>
  <c r="F128" i="1" s="1"/>
  <c r="F909" i="1"/>
  <c r="F911" i="1" s="1"/>
  <c r="K124" i="1"/>
  <c r="K909" i="1"/>
  <c r="K911" i="1" s="1"/>
  <c r="E16" i="12"/>
  <c r="AP910" i="1"/>
  <c r="R124" i="1"/>
  <c r="V125" i="1" s="1"/>
  <c r="R909" i="1"/>
  <c r="R911" i="1" s="1"/>
  <c r="Q124" i="1"/>
  <c r="U125" i="1" s="1"/>
  <c r="Q909" i="1"/>
  <c r="Q911" i="1" s="1"/>
  <c r="G124" i="1"/>
  <c r="G128" i="1" s="1"/>
  <c r="G909" i="1"/>
  <c r="G911" i="1" s="1"/>
  <c r="H124" i="1"/>
  <c r="H128" i="1" s="1"/>
  <c r="H909" i="1"/>
  <c r="H911" i="1" s="1"/>
  <c r="N124" i="1"/>
  <c r="N128" i="1" s="1"/>
  <c r="N909" i="1"/>
  <c r="N911" i="1" s="1"/>
  <c r="M124" i="1"/>
  <c r="M128" i="1" s="1"/>
  <c r="M909" i="1"/>
  <c r="M911" i="1" s="1"/>
  <c r="P124" i="1"/>
  <c r="P909" i="1"/>
  <c r="P911" i="1" s="1"/>
  <c r="J124" i="1"/>
  <c r="J128" i="1" s="1"/>
  <c r="J909" i="1"/>
  <c r="J911" i="1" s="1"/>
  <c r="I124" i="1"/>
  <c r="I909" i="1"/>
  <c r="I911" i="1" s="1"/>
  <c r="O124" i="1"/>
  <c r="O128" i="1" s="1"/>
  <c r="O909" i="1"/>
  <c r="O911" i="1" s="1"/>
  <c r="L124" i="1"/>
  <c r="L128" i="1" s="1"/>
  <c r="L909" i="1"/>
  <c r="L911" i="1" s="1"/>
  <c r="AV964" i="1"/>
  <c r="AW964" i="1" s="1"/>
  <c r="R139" i="1"/>
  <c r="K140" i="1"/>
  <c r="K130" i="11" s="1"/>
  <c r="E898" i="1"/>
  <c r="AP85" i="1"/>
  <c r="D16" i="12"/>
  <c r="E15" i="12"/>
  <c r="F15" i="12"/>
  <c r="D15" i="12"/>
  <c r="M976" i="1"/>
  <c r="M969" i="1" s="1"/>
  <c r="N976" i="1"/>
  <c r="N969" i="1" s="1"/>
  <c r="O976" i="1"/>
  <c r="O969" i="1" s="1"/>
  <c r="F976" i="1"/>
  <c r="F969" i="1" s="1"/>
  <c r="G976" i="1"/>
  <c r="G969" i="1" s="1"/>
  <c r="AL976" i="1"/>
  <c r="AL969" i="1" s="1"/>
  <c r="K976" i="1"/>
  <c r="K969" i="1" s="1"/>
  <c r="J976" i="1"/>
  <c r="J969" i="1" s="1"/>
  <c r="AM976" i="1"/>
  <c r="AM969" i="1" s="1"/>
  <c r="I140" i="1"/>
  <c r="I130" i="11" s="1"/>
  <c r="E401" i="1"/>
  <c r="E404" i="1" s="1"/>
  <c r="H346" i="1"/>
  <c r="H283" i="1" s="1"/>
  <c r="H285" i="1" s="1"/>
  <c r="F401" i="1"/>
  <c r="F903" i="1" s="1"/>
  <c r="F614" i="1"/>
  <c r="F906" i="1" s="1"/>
  <c r="E560" i="1"/>
  <c r="E905" i="1" s="1"/>
  <c r="F482" i="1"/>
  <c r="F904" i="1" s="1"/>
  <c r="I969" i="1"/>
  <c r="G346" i="1"/>
  <c r="G902" i="1" s="1"/>
  <c r="E482" i="1"/>
  <c r="E904" i="1" s="1"/>
  <c r="H401" i="1"/>
  <c r="H903" i="1" s="1"/>
  <c r="G482" i="1"/>
  <c r="G904" i="1" s="1"/>
  <c r="E346" i="1"/>
  <c r="E902" i="1" s="1"/>
  <c r="E614" i="1"/>
  <c r="E617" i="1" s="1"/>
  <c r="E77" i="21" s="1"/>
  <c r="E87" i="21" s="1"/>
  <c r="H482" i="1"/>
  <c r="H485" i="1" s="1"/>
  <c r="H75" i="21" s="1"/>
  <c r="H85" i="21" s="1"/>
  <c r="O139" i="1"/>
  <c r="H614" i="1"/>
  <c r="H906" i="1" s="1"/>
  <c r="G560" i="1"/>
  <c r="G905" i="1" s="1"/>
  <c r="F560" i="1"/>
  <c r="F905" i="1" s="1"/>
  <c r="J139" i="1"/>
  <c r="F346" i="1"/>
  <c r="F902" i="1" s="1"/>
  <c r="AL957" i="1"/>
  <c r="AL4" i="1" s="1"/>
  <c r="H560" i="1"/>
  <c r="H905" i="1" s="1"/>
  <c r="G401" i="1"/>
  <c r="G903" i="1" s="1"/>
  <c r="AP76" i="1"/>
  <c r="Q969" i="1"/>
  <c r="Q140" i="1"/>
  <c r="Q130" i="11" s="1"/>
  <c r="AO107" i="1"/>
  <c r="AO833" i="1" s="1"/>
  <c r="AO836" i="1" s="1"/>
  <c r="AO826" i="1" s="1"/>
  <c r="U139" i="1"/>
  <c r="AO628" i="1"/>
  <c r="Q40" i="21"/>
  <c r="AP89" i="1"/>
  <c r="I87" i="1"/>
  <c r="AO85" i="1"/>
  <c r="AP628" i="1"/>
  <c r="I80" i="1"/>
  <c r="I96" i="1" s="1"/>
  <c r="AO76" i="1"/>
  <c r="AN628" i="1"/>
  <c r="AP982" i="1"/>
  <c r="AN107" i="1"/>
  <c r="AN833" i="1" s="1"/>
  <c r="AN836" i="1" s="1"/>
  <c r="AN826" i="1" s="1"/>
  <c r="I91" i="1"/>
  <c r="AO89" i="1"/>
  <c r="M147" i="1"/>
  <c r="M135" i="11" s="1"/>
  <c r="AP107" i="1"/>
  <c r="AP833" i="1" s="1"/>
  <c r="AP836" i="1" s="1"/>
  <c r="AP826" i="1" s="1"/>
  <c r="AN982" i="1"/>
  <c r="N140" i="1"/>
  <c r="N130" i="11" s="1"/>
  <c r="N139" i="1"/>
  <c r="K139" i="1"/>
  <c r="J78" i="1"/>
  <c r="J80" i="1"/>
  <c r="J82" i="1" s="1"/>
  <c r="J140" i="1"/>
  <c r="J130" i="11" s="1"/>
  <c r="F76" i="1"/>
  <c r="F78" i="1" s="1"/>
  <c r="Q146" i="1"/>
  <c r="G140" i="1"/>
  <c r="G130" i="11" s="1"/>
  <c r="G76" i="1"/>
  <c r="G80" i="1" s="1"/>
  <c r="G82" i="1" s="1"/>
  <c r="P346" i="1"/>
  <c r="P902" i="1" s="1"/>
  <c r="M146" i="1"/>
  <c r="I147" i="1"/>
  <c r="I135" i="11" s="1"/>
  <c r="I153" i="1"/>
  <c r="M139" i="1"/>
  <c r="AC138" i="2"/>
  <c r="AC146" i="2" s="1"/>
  <c r="V146" i="2"/>
  <c r="AT59" i="1"/>
  <c r="M140" i="1"/>
  <c r="M130" i="11" s="1"/>
  <c r="I154" i="1"/>
  <c r="I140" i="11" s="1"/>
  <c r="E85" i="1"/>
  <c r="AN85" i="1" s="1"/>
  <c r="E969" i="1"/>
  <c r="I146" i="1"/>
  <c r="Q139" i="1"/>
  <c r="M153" i="1"/>
  <c r="M86" i="1"/>
  <c r="M87" i="1"/>
  <c r="M90" i="1"/>
  <c r="M91" i="1"/>
  <c r="U153" i="1"/>
  <c r="Q89" i="1"/>
  <c r="AQ89" i="1" s="1"/>
  <c r="O91" i="1"/>
  <c r="O90" i="1"/>
  <c r="S90" i="1"/>
  <c r="M95" i="1"/>
  <c r="AP95" i="1" s="1"/>
  <c r="M77" i="1"/>
  <c r="M80" i="1"/>
  <c r="M78" i="1"/>
  <c r="R82" i="1"/>
  <c r="R96" i="1"/>
  <c r="R42" i="21" s="1"/>
  <c r="V81" i="1"/>
  <c r="O78" i="1"/>
  <c r="O77" i="1"/>
  <c r="O80" i="1"/>
  <c r="S77" i="1"/>
  <c r="N78" i="1"/>
  <c r="N77" i="1"/>
  <c r="N80" i="1"/>
  <c r="O86" i="1"/>
  <c r="O87" i="1"/>
  <c r="S86" i="1"/>
  <c r="R77" i="1"/>
  <c r="H76" i="1"/>
  <c r="H78" i="1" s="1"/>
  <c r="U146" i="1"/>
  <c r="Q85" i="1"/>
  <c r="AQ85" i="1" s="1"/>
  <c r="Q77" i="1"/>
  <c r="Q78" i="1"/>
  <c r="Q80" i="1"/>
  <c r="U77" i="1"/>
  <c r="P82" i="1"/>
  <c r="P96" i="1"/>
  <c r="T81" i="1"/>
  <c r="K78" i="1"/>
  <c r="K80" i="1"/>
  <c r="K82" i="1" s="1"/>
  <c r="P139" i="1"/>
  <c r="I78" i="1"/>
  <c r="L139" i="1"/>
  <c r="L140" i="1"/>
  <c r="L130" i="11" s="1"/>
  <c r="L78" i="1"/>
  <c r="L80" i="1"/>
  <c r="L82" i="1" s="1"/>
  <c r="E80" i="1"/>
  <c r="E82" i="1" s="1"/>
  <c r="I139" i="1"/>
  <c r="E140" i="1"/>
  <c r="E130" i="11" s="1"/>
  <c r="AO982" i="1"/>
  <c r="P50" i="21"/>
  <c r="R34" i="1"/>
  <c r="V35" i="1" s="1"/>
  <c r="V19" i="1"/>
  <c r="Q20" i="1"/>
  <c r="U19" i="1"/>
  <c r="Q62" i="11"/>
  <c r="U383" i="1"/>
  <c r="Q35" i="11"/>
  <c r="U281" i="1"/>
  <c r="AM125" i="1"/>
  <c r="AL128" i="1"/>
  <c r="AM128" i="1"/>
  <c r="AQ177" i="11"/>
  <c r="AI112" i="2"/>
  <c r="AI119" i="2" s="1"/>
  <c r="P20" i="1"/>
  <c r="T19" i="1"/>
  <c r="P62" i="11"/>
  <c r="T383" i="1"/>
  <c r="P111" i="11"/>
  <c r="T542" i="1"/>
  <c r="L5" i="9"/>
  <c r="P89" i="11"/>
  <c r="T464" i="1"/>
  <c r="P46" i="21"/>
  <c r="P49" i="21"/>
  <c r="AN753" i="1"/>
  <c r="K5" i="9"/>
  <c r="M635" i="1"/>
  <c r="N6" i="9"/>
  <c r="O6" i="9" s="1"/>
  <c r="P6" i="9" s="1"/>
  <c r="Q6" i="9" s="1"/>
  <c r="R6" i="9" s="1"/>
  <c r="S6" i="9" s="1"/>
  <c r="AO868" i="1"/>
  <c r="G617" i="1"/>
  <c r="G77" i="21" s="1"/>
  <c r="G87" i="21" s="1"/>
  <c r="M5" i="9"/>
  <c r="AM635" i="1"/>
  <c r="AI49" i="2"/>
  <c r="AI56" i="2" s="1"/>
  <c r="AL635" i="1"/>
  <c r="O57" i="21"/>
  <c r="AQ96" i="21"/>
  <c r="AQ87" i="21"/>
  <c r="O40" i="21"/>
  <c r="O65" i="21" s="1"/>
  <c r="O46" i="21"/>
  <c r="AP868" i="1"/>
  <c r="O89" i="11"/>
  <c r="S464" i="1"/>
  <c r="O34" i="1"/>
  <c r="O43" i="1" s="1"/>
  <c r="O192" i="1" s="1"/>
  <c r="O209" i="1" s="1"/>
  <c r="S19" i="1"/>
  <c r="O59" i="21"/>
  <c r="AK183" i="2"/>
  <c r="AJ133" i="2"/>
  <c r="AJ111" i="2"/>
  <c r="AJ70" i="2"/>
  <c r="AJ48" i="2"/>
  <c r="AI183" i="2"/>
  <c r="AH183" i="2"/>
  <c r="AH196" i="2"/>
  <c r="AJ183" i="2"/>
  <c r="AN7" i="11"/>
  <c r="AM164" i="2"/>
  <c r="AL176" i="2"/>
  <c r="AP48" i="21"/>
  <c r="AQ47" i="21"/>
  <c r="F48" i="21"/>
  <c r="P48" i="21"/>
  <c r="I48" i="21"/>
  <c r="J47" i="21"/>
  <c r="E49" i="21"/>
  <c r="H48" i="21"/>
  <c r="I47" i="21"/>
  <c r="F47" i="21"/>
  <c r="H50" i="21"/>
  <c r="R48" i="21"/>
  <c r="Q47" i="21"/>
  <c r="F49" i="21"/>
  <c r="Q48" i="21"/>
  <c r="M48" i="21"/>
  <c r="H47" i="21"/>
  <c r="L48" i="21"/>
  <c r="E47" i="21"/>
  <c r="L50" i="21"/>
  <c r="L47" i="21"/>
  <c r="E48" i="21"/>
  <c r="J49" i="21"/>
  <c r="AQ48" i="21"/>
  <c r="M47" i="21"/>
  <c r="AP49" i="21"/>
  <c r="P47" i="21"/>
  <c r="R47" i="21"/>
  <c r="I49" i="21"/>
  <c r="AP47" i="21"/>
  <c r="G47" i="21"/>
  <c r="N49" i="21"/>
  <c r="AQ78" i="21"/>
  <c r="P40" i="21"/>
  <c r="R46" i="21"/>
  <c r="J46" i="21"/>
  <c r="J40" i="21"/>
  <c r="J68" i="21" s="1"/>
  <c r="N40" i="21"/>
  <c r="N68" i="21" s="1"/>
  <c r="H46" i="21"/>
  <c r="H40" i="21"/>
  <c r="H67" i="21" s="1"/>
  <c r="E46" i="21"/>
  <c r="E40" i="21"/>
  <c r="E68" i="21" s="1"/>
  <c r="M46" i="21"/>
  <c r="M40" i="21"/>
  <c r="M68" i="21" s="1"/>
  <c r="L46" i="21"/>
  <c r="L40" i="21"/>
  <c r="L68" i="21" s="1"/>
  <c r="K46" i="21"/>
  <c r="K40" i="21"/>
  <c r="K65" i="21" s="1"/>
  <c r="AP46" i="21"/>
  <c r="AP40" i="21"/>
  <c r="G46" i="21"/>
  <c r="G40" i="21"/>
  <c r="G66" i="21" s="1"/>
  <c r="Q46" i="21"/>
  <c r="F46" i="21"/>
  <c r="F40" i="21"/>
  <c r="F68" i="21" s="1"/>
  <c r="AQ46" i="21"/>
  <c r="AQ40" i="21"/>
  <c r="I46" i="21"/>
  <c r="I40" i="21"/>
  <c r="I68" i="21" s="1"/>
  <c r="G50" i="21"/>
  <c r="L58" i="21"/>
  <c r="L49" i="21"/>
  <c r="N46" i="21"/>
  <c r="K58" i="21"/>
  <c r="K49" i="21"/>
  <c r="AQ58" i="21"/>
  <c r="AQ49" i="21"/>
  <c r="Q58" i="21"/>
  <c r="M49" i="21"/>
  <c r="AQ59" i="21"/>
  <c r="AQ50" i="21"/>
  <c r="J48" i="21"/>
  <c r="N47" i="21"/>
  <c r="N48" i="21"/>
  <c r="G49" i="21"/>
  <c r="K47" i="21"/>
  <c r="J58" i="21"/>
  <c r="L59" i="21"/>
  <c r="P59" i="21"/>
  <c r="M58" i="21"/>
  <c r="N58" i="21"/>
  <c r="I58" i="21"/>
  <c r="O58" i="21"/>
  <c r="K59" i="21"/>
  <c r="P58" i="21"/>
  <c r="R58" i="21"/>
  <c r="O56" i="21"/>
  <c r="AM281" i="1"/>
  <c r="AO634" i="1"/>
  <c r="N635" i="1"/>
  <c r="J90" i="1"/>
  <c r="K542" i="1"/>
  <c r="K617" i="1"/>
  <c r="K77" i="21" s="1"/>
  <c r="AM406" i="1"/>
  <c r="AM90" i="1"/>
  <c r="E635" i="1"/>
  <c r="K383" i="1"/>
  <c r="AM486" i="1"/>
  <c r="BL489" i="1" s="1"/>
  <c r="AM35" i="11"/>
  <c r="AL643" i="1"/>
  <c r="AM643" i="1"/>
  <c r="F87" i="1"/>
  <c r="AM86" i="1"/>
  <c r="AM285" i="1"/>
  <c r="K86" i="1"/>
  <c r="L86" i="1"/>
  <c r="AM405" i="1"/>
  <c r="AM284" i="1"/>
  <c r="O19" i="1"/>
  <c r="I281" i="1"/>
  <c r="AL907" i="1"/>
  <c r="O383" i="1"/>
  <c r="K111" i="11"/>
  <c r="AO753" i="1"/>
  <c r="L464" i="1"/>
  <c r="AM77" i="1"/>
  <c r="N464" i="1"/>
  <c r="AL78" i="1"/>
  <c r="AM907" i="1"/>
  <c r="M464" i="1"/>
  <c r="L336" i="1"/>
  <c r="AL82" i="1"/>
  <c r="AL96" i="1"/>
  <c r="L734" i="1"/>
  <c r="Q635" i="1"/>
  <c r="P522" i="1"/>
  <c r="AM955" i="1"/>
  <c r="AM957" i="1" s="1"/>
  <c r="AM4" i="1" s="1"/>
  <c r="K281" i="1"/>
  <c r="J542" i="1"/>
  <c r="J635" i="1"/>
  <c r="I635" i="1"/>
  <c r="K635" i="1"/>
  <c r="AP753" i="1"/>
  <c r="AM487" i="1"/>
  <c r="AM565" i="1"/>
  <c r="I77" i="1"/>
  <c r="E78" i="1"/>
  <c r="R635" i="1"/>
  <c r="O62" i="11"/>
  <c r="F635" i="1"/>
  <c r="L635" i="1"/>
  <c r="L383" i="1"/>
  <c r="Q57" i="21"/>
  <c r="AQ56" i="21"/>
  <c r="O734" i="1"/>
  <c r="P56" i="21"/>
  <c r="R55" i="21"/>
  <c r="AL565" i="1"/>
  <c r="AP76" i="21"/>
  <c r="L550" i="1"/>
  <c r="R281" i="1"/>
  <c r="L267" i="1"/>
  <c r="M56" i="21"/>
  <c r="Q56" i="21"/>
  <c r="I56" i="21"/>
  <c r="AL487" i="1"/>
  <c r="AP75" i="21"/>
  <c r="AP85" i="21" s="1"/>
  <c r="L56" i="21"/>
  <c r="L89" i="11"/>
  <c r="AM383" i="1"/>
  <c r="R56" i="21"/>
  <c r="N57" i="21"/>
  <c r="Q55" i="21"/>
  <c r="R57" i="21"/>
  <c r="I55" i="21"/>
  <c r="J57" i="21"/>
  <c r="J56" i="21"/>
  <c r="L55" i="21"/>
  <c r="AQ55" i="21"/>
  <c r="N56" i="21"/>
  <c r="P55" i="21"/>
  <c r="AL285" i="1"/>
  <c r="AP73" i="21"/>
  <c r="AP83" i="21" s="1"/>
  <c r="AQ57" i="21"/>
  <c r="P57" i="21"/>
  <c r="K35" i="11"/>
  <c r="M57" i="21"/>
  <c r="J55" i="21"/>
  <c r="N55" i="21"/>
  <c r="N89" i="11"/>
  <c r="M542" i="1"/>
  <c r="I57" i="21"/>
  <c r="K55" i="21"/>
  <c r="L57" i="21"/>
  <c r="AL406" i="1"/>
  <c r="AP74" i="21"/>
  <c r="AP84" i="21" s="1"/>
  <c r="O55" i="21"/>
  <c r="K56" i="21"/>
  <c r="M55" i="21"/>
  <c r="O20" i="1"/>
  <c r="AM542" i="1"/>
  <c r="P542" i="1"/>
  <c r="P464" i="1"/>
  <c r="K464" i="1"/>
  <c r="L542" i="1"/>
  <c r="R542" i="1"/>
  <c r="P19" i="1"/>
  <c r="G34" i="1"/>
  <c r="G43" i="1" s="1"/>
  <c r="G47" i="1" s="1"/>
  <c r="G123" i="11" s="1"/>
  <c r="AM734" i="1"/>
  <c r="Q542" i="1"/>
  <c r="O542" i="1"/>
  <c r="F20" i="1"/>
  <c r="R20" i="1"/>
  <c r="H34" i="1"/>
  <c r="H43" i="1" s="1"/>
  <c r="N281" i="1"/>
  <c r="O635" i="1"/>
  <c r="H952" i="1"/>
  <c r="H734" i="1"/>
  <c r="I542" i="1"/>
  <c r="G635" i="1"/>
  <c r="AM20" i="1"/>
  <c r="K34" i="1"/>
  <c r="K170" i="1" s="1"/>
  <c r="K187" i="1" s="1"/>
  <c r="S60" i="1"/>
  <c r="P952" i="1"/>
  <c r="AL734" i="1"/>
  <c r="L952" i="1"/>
  <c r="H635" i="1"/>
  <c r="K19" i="1"/>
  <c r="J20" i="1"/>
  <c r="L34" i="1"/>
  <c r="L626" i="1" s="1"/>
  <c r="R383" i="1"/>
  <c r="Q383" i="1"/>
  <c r="M281" i="1"/>
  <c r="R464" i="1"/>
  <c r="G734" i="1"/>
  <c r="N542" i="1"/>
  <c r="Q281" i="1"/>
  <c r="K91" i="1"/>
  <c r="K90" i="1"/>
  <c r="L19" i="1"/>
  <c r="K20" i="1"/>
  <c r="L281" i="1"/>
  <c r="N383" i="1"/>
  <c r="O464" i="1"/>
  <c r="M383" i="1"/>
  <c r="AM464" i="1"/>
  <c r="K734" i="1"/>
  <c r="J464" i="1"/>
  <c r="Q464" i="1"/>
  <c r="P734" i="1"/>
  <c r="N20" i="1"/>
  <c r="P34" i="1"/>
  <c r="P626" i="1" s="1"/>
  <c r="J383" i="1"/>
  <c r="I383" i="1"/>
  <c r="I464" i="1"/>
  <c r="P383" i="1"/>
  <c r="L91" i="1"/>
  <c r="L90" i="1"/>
  <c r="J626" i="1"/>
  <c r="J170" i="1"/>
  <c r="J187" i="1" s="1"/>
  <c r="J119" i="1" s="1"/>
  <c r="J35" i="1"/>
  <c r="J43" i="1"/>
  <c r="J36" i="1"/>
  <c r="AM626" i="1"/>
  <c r="AM170" i="1"/>
  <c r="AM187" i="1" s="1"/>
  <c r="AM119" i="1" s="1"/>
  <c r="AM43" i="1"/>
  <c r="AM913" i="1" s="1"/>
  <c r="AM36" i="1"/>
  <c r="F626" i="1"/>
  <c r="F170" i="1"/>
  <c r="F187" i="1" s="1"/>
  <c r="F119" i="1" s="1"/>
  <c r="F43" i="1"/>
  <c r="F36" i="1"/>
  <c r="H6" i="11"/>
  <c r="G6" i="11"/>
  <c r="I7" i="11"/>
  <c r="J7" i="11" s="1"/>
  <c r="K7" i="11" s="1"/>
  <c r="L7" i="11" s="1"/>
  <c r="F6" i="11"/>
  <c r="E6" i="11"/>
  <c r="N626" i="1"/>
  <c r="N170" i="1"/>
  <c r="N187" i="1" s="1"/>
  <c r="N35" i="1"/>
  <c r="N43" i="1"/>
  <c r="N36" i="1"/>
  <c r="S281" i="1"/>
  <c r="I19" i="1"/>
  <c r="M19" i="1"/>
  <c r="Q19" i="1"/>
  <c r="AM19" i="1"/>
  <c r="E34" i="1"/>
  <c r="I34" i="1"/>
  <c r="M34" i="1"/>
  <c r="Q34" i="1"/>
  <c r="U35" i="1" s="1"/>
  <c r="AL34" i="1"/>
  <c r="J952" i="1"/>
  <c r="I952" i="1"/>
  <c r="I955" i="1" s="1"/>
  <c r="R969" i="1"/>
  <c r="K952" i="1"/>
  <c r="J734" i="1"/>
  <c r="I734" i="1"/>
  <c r="Q986" i="1"/>
  <c r="Q993" i="1" s="1"/>
  <c r="Q629" i="1"/>
  <c r="Q630" i="1"/>
  <c r="J986" i="1"/>
  <c r="J993" i="1" s="1"/>
  <c r="J630" i="1"/>
  <c r="J629" i="1"/>
  <c r="O986" i="1"/>
  <c r="O993" i="1" s="1"/>
  <c r="O630" i="1"/>
  <c r="O629" i="1"/>
  <c r="P550" i="1"/>
  <c r="P557" i="1"/>
  <c r="L472" i="1"/>
  <c r="L479" i="1"/>
  <c r="P343" i="1"/>
  <c r="P336" i="1"/>
  <c r="AM564" i="1"/>
  <c r="P369" i="1"/>
  <c r="P362" i="1"/>
  <c r="T281" i="1"/>
  <c r="J19" i="1"/>
  <c r="N19" i="1"/>
  <c r="R19" i="1"/>
  <c r="S174" i="1"/>
  <c r="AQ174" i="1" s="1"/>
  <c r="AQ58" i="1"/>
  <c r="L6" i="10"/>
  <c r="K6" i="10"/>
  <c r="J6" i="10"/>
  <c r="M7" i="10"/>
  <c r="N7" i="10" s="1"/>
  <c r="O7" i="10" s="1"/>
  <c r="P7" i="10" s="1"/>
  <c r="I6" i="10"/>
  <c r="M6" i="2"/>
  <c r="N6" i="2" s="1"/>
  <c r="O6" i="2" s="1"/>
  <c r="P6" i="2" s="1"/>
  <c r="J5" i="2"/>
  <c r="I5" i="2"/>
  <c r="L5" i="2"/>
  <c r="K5" i="2"/>
  <c r="AM6" i="2"/>
  <c r="AL5" i="2"/>
  <c r="R952" i="1"/>
  <c r="F952" i="1"/>
  <c r="Q952" i="1"/>
  <c r="E952" i="1"/>
  <c r="E955" i="1" s="1"/>
  <c r="E124" i="1"/>
  <c r="G952" i="1"/>
  <c r="F734" i="1"/>
  <c r="E734" i="1"/>
  <c r="I986" i="1"/>
  <c r="I993" i="1" s="1"/>
  <c r="I629" i="1"/>
  <c r="I630" i="1"/>
  <c r="AM986" i="1"/>
  <c r="AM993" i="1" s="1"/>
  <c r="AM629" i="1"/>
  <c r="AM630" i="1"/>
  <c r="N986" i="1"/>
  <c r="N993" i="1" s="1"/>
  <c r="N629" i="1"/>
  <c r="N630" i="1"/>
  <c r="AO984" i="1"/>
  <c r="AO992" i="1" s="1"/>
  <c r="AN984" i="1"/>
  <c r="AN992" i="1" s="1"/>
  <c r="K986" i="1"/>
  <c r="K993" i="1" s="1"/>
  <c r="K630" i="1"/>
  <c r="K629" i="1"/>
  <c r="P450" i="1"/>
  <c r="P443" i="1"/>
  <c r="P281" i="1"/>
  <c r="O281" i="1"/>
  <c r="P986" i="1"/>
  <c r="P993" i="1" s="1"/>
  <c r="P630" i="1"/>
  <c r="P629" i="1"/>
  <c r="L369" i="1"/>
  <c r="L362" i="1"/>
  <c r="J281" i="1"/>
  <c r="AA7" i="10"/>
  <c r="Z6" i="10"/>
  <c r="P898" i="1"/>
  <c r="N614" i="1"/>
  <c r="N906" i="1" s="1"/>
  <c r="M614" i="1"/>
  <c r="M906" i="1" s="1"/>
  <c r="N560" i="1"/>
  <c r="M482" i="1"/>
  <c r="M560" i="1"/>
  <c r="P614" i="1"/>
  <c r="P906" i="1" s="1"/>
  <c r="P560" i="1"/>
  <c r="O482" i="1"/>
  <c r="O614" i="1"/>
  <c r="O906" i="1" s="1"/>
  <c r="O560" i="1"/>
  <c r="N482" i="1"/>
  <c r="P482" i="1"/>
  <c r="N401" i="1"/>
  <c r="M401" i="1"/>
  <c r="O346" i="1"/>
  <c r="P401" i="1"/>
  <c r="N346" i="1"/>
  <c r="O401" i="1"/>
  <c r="M346" i="1"/>
  <c r="R734" i="1"/>
  <c r="Q734" i="1"/>
  <c r="AP634" i="1"/>
  <c r="R986" i="1"/>
  <c r="R993" i="1" s="1"/>
  <c r="R630" i="1"/>
  <c r="R629" i="1"/>
  <c r="L986" i="1"/>
  <c r="L993" i="1" s="1"/>
  <c r="L630" i="1"/>
  <c r="L629" i="1"/>
  <c r="G986" i="1"/>
  <c r="G993" i="1" s="1"/>
  <c r="G630" i="1"/>
  <c r="L528" i="1"/>
  <c r="L522" i="1"/>
  <c r="P267" i="1"/>
  <c r="P260" i="1"/>
  <c r="L450" i="1"/>
  <c r="L443" i="1"/>
  <c r="P398" i="1"/>
  <c r="P391" i="1"/>
  <c r="M986" i="1"/>
  <c r="M993" i="1" s="1"/>
  <c r="M629" i="1"/>
  <c r="M630" i="1"/>
  <c r="H986" i="1"/>
  <c r="H993" i="1" s="1"/>
  <c r="H630" i="1"/>
  <c r="S383" i="1"/>
  <c r="S542" i="1"/>
  <c r="AH5" i="9"/>
  <c r="AI6" i="9"/>
  <c r="AJ6" i="9" s="1"/>
  <c r="N952" i="1"/>
  <c r="M952" i="1"/>
  <c r="M955" i="1" s="1"/>
  <c r="O952" i="1"/>
  <c r="P985" i="1"/>
  <c r="P995" i="1" s="1"/>
  <c r="P635" i="1"/>
  <c r="N734" i="1"/>
  <c r="M734" i="1"/>
  <c r="F986" i="1"/>
  <c r="F993" i="1" s="1"/>
  <c r="F630" i="1"/>
  <c r="P472" i="1"/>
  <c r="P479" i="1"/>
  <c r="AL986" i="1"/>
  <c r="AL993" i="1" s="1"/>
  <c r="AL630" i="1"/>
  <c r="L398" i="1"/>
  <c r="L391" i="1"/>
  <c r="E986" i="1"/>
  <c r="E993" i="1" s="1"/>
  <c r="E630" i="1"/>
  <c r="AM81" i="1"/>
  <c r="AM96" i="1"/>
  <c r="AM825" i="1" s="1"/>
  <c r="AM828" i="1" s="1"/>
  <c r="AM82" i="1"/>
  <c r="F10" i="42" l="1"/>
  <c r="F15" i="42" s="1"/>
  <c r="AL809" i="1"/>
  <c r="D10" i="42" s="1"/>
  <c r="D15" i="42" s="1"/>
  <c r="D11" i="42"/>
  <c r="D16" i="42" s="1"/>
  <c r="E10" i="42"/>
  <c r="E15" i="42" s="1"/>
  <c r="R970" i="1"/>
  <c r="K970" i="1"/>
  <c r="Q970" i="1"/>
  <c r="O970" i="1"/>
  <c r="AM970" i="1"/>
  <c r="L485" i="1"/>
  <c r="L487" i="1" s="1"/>
  <c r="N970" i="1"/>
  <c r="I970" i="1"/>
  <c r="M970" i="1"/>
  <c r="J970" i="1"/>
  <c r="K182" i="11"/>
  <c r="AL182" i="11"/>
  <c r="G182" i="11"/>
  <c r="F182" i="11"/>
  <c r="O182" i="11"/>
  <c r="J182" i="11"/>
  <c r="N182" i="11"/>
  <c r="R182" i="11"/>
  <c r="AM182" i="11"/>
  <c r="AM35" i="1"/>
  <c r="AL99" i="1"/>
  <c r="I617" i="1"/>
  <c r="I77" i="21" s="1"/>
  <c r="I87" i="21" s="1"/>
  <c r="AM99" i="1"/>
  <c r="J404" i="1"/>
  <c r="J74" i="21" s="1"/>
  <c r="J84" i="21" s="1"/>
  <c r="AL811" i="1"/>
  <c r="AH59" i="1"/>
  <c r="AI59" i="1" s="1"/>
  <c r="AJ59" i="1" s="1"/>
  <c r="AO985" i="1"/>
  <c r="AO995" i="1" s="1"/>
  <c r="AS109" i="21"/>
  <c r="AN985" i="1"/>
  <c r="AN995" i="1" s="1"/>
  <c r="AR109" i="21"/>
  <c r="AP985" i="1"/>
  <c r="AP995" i="1" s="1"/>
  <c r="AT109" i="21"/>
  <c r="AM631" i="1"/>
  <c r="D8" i="42"/>
  <c r="D14" i="42" s="1"/>
  <c r="AX768" i="1"/>
  <c r="AX806" i="1" s="1"/>
  <c r="AN811" i="1"/>
  <c r="AP811" i="1"/>
  <c r="AP809" i="1"/>
  <c r="G10" i="42" s="1"/>
  <c r="G15" i="42" s="1"/>
  <c r="I404" i="1"/>
  <c r="I74" i="21" s="1"/>
  <c r="I84" i="21" s="1"/>
  <c r="K404" i="1"/>
  <c r="K74" i="21" s="1"/>
  <c r="K84" i="21" s="1"/>
  <c r="L617" i="1"/>
  <c r="L77" i="21" s="1"/>
  <c r="L87" i="21" s="1"/>
  <c r="I907" i="1"/>
  <c r="E283" i="1"/>
  <c r="E285" i="1" s="1"/>
  <c r="K485" i="1"/>
  <c r="K75" i="21" s="1"/>
  <c r="K85" i="21" s="1"/>
  <c r="I485" i="1"/>
  <c r="I75" i="21" s="1"/>
  <c r="I85" i="21" s="1"/>
  <c r="I283" i="1"/>
  <c r="I73" i="21" s="1"/>
  <c r="I83" i="21" s="1"/>
  <c r="R631" i="1"/>
  <c r="AV966" i="1"/>
  <c r="I90" i="1"/>
  <c r="L563" i="1"/>
  <c r="L76" i="21" s="1"/>
  <c r="L86" i="21" s="1"/>
  <c r="E91" i="1"/>
  <c r="S125" i="1"/>
  <c r="K907" i="1"/>
  <c r="K283" i="1"/>
  <c r="K73" i="21" s="1"/>
  <c r="K83" i="21" s="1"/>
  <c r="Q125" i="1"/>
  <c r="I637" i="1"/>
  <c r="I638" i="1" s="1"/>
  <c r="K563" i="1"/>
  <c r="K76" i="21" s="1"/>
  <c r="K86" i="21" s="1"/>
  <c r="J907" i="1"/>
  <c r="J563" i="1"/>
  <c r="J76" i="21" s="1"/>
  <c r="J86" i="21" s="1"/>
  <c r="I563" i="1"/>
  <c r="I76" i="21" s="1"/>
  <c r="I86" i="21" s="1"/>
  <c r="G404" i="1"/>
  <c r="G406" i="1" s="1"/>
  <c r="L283" i="1"/>
  <c r="L73" i="21" s="1"/>
  <c r="L83" i="21" s="1"/>
  <c r="J125" i="1"/>
  <c r="Q128" i="1"/>
  <c r="H902" i="1"/>
  <c r="J283" i="1"/>
  <c r="J73" i="21" s="1"/>
  <c r="J83" i="21" s="1"/>
  <c r="N125" i="1"/>
  <c r="AQ124" i="1"/>
  <c r="L907" i="1"/>
  <c r="O125" i="1"/>
  <c r="AO124" i="1"/>
  <c r="P125" i="1"/>
  <c r="F617" i="1"/>
  <c r="F77" i="21" s="1"/>
  <c r="F87" i="21" s="1"/>
  <c r="J617" i="1"/>
  <c r="J77" i="21" s="1"/>
  <c r="J87" i="21" s="1"/>
  <c r="K128" i="1"/>
  <c r="R125" i="1"/>
  <c r="T125" i="1"/>
  <c r="AN124" i="1"/>
  <c r="L637" i="1"/>
  <c r="L638" i="1" s="1"/>
  <c r="J637" i="1"/>
  <c r="J638" i="1" s="1"/>
  <c r="K637" i="1"/>
  <c r="K638" i="1" s="1"/>
  <c r="L404" i="1"/>
  <c r="L74" i="21" s="1"/>
  <c r="L84" i="21" s="1"/>
  <c r="L125" i="1"/>
  <c r="K125" i="1"/>
  <c r="I128" i="1"/>
  <c r="R128" i="1"/>
  <c r="P128" i="1"/>
  <c r="M125" i="1"/>
  <c r="H617" i="1"/>
  <c r="H77" i="21" s="1"/>
  <c r="H87" i="21" s="1"/>
  <c r="J485" i="1"/>
  <c r="J75" i="21" s="1"/>
  <c r="J85" i="21" s="1"/>
  <c r="AP124" i="1"/>
  <c r="J96" i="1"/>
  <c r="J98" i="1" s="1"/>
  <c r="H563" i="1"/>
  <c r="H76" i="21" s="1"/>
  <c r="H86" i="21" s="1"/>
  <c r="H404" i="1"/>
  <c r="H406" i="1" s="1"/>
  <c r="R626" i="1"/>
  <c r="G283" i="1"/>
  <c r="G73" i="21" s="1"/>
  <c r="E485" i="1"/>
  <c r="E75" i="21" s="1"/>
  <c r="E85" i="21" s="1"/>
  <c r="F283" i="1"/>
  <c r="F73" i="21" s="1"/>
  <c r="F83" i="21" s="1"/>
  <c r="F907" i="1"/>
  <c r="F563" i="1"/>
  <c r="F76" i="21" s="1"/>
  <c r="F86" i="21" s="1"/>
  <c r="H904" i="1"/>
  <c r="O5" i="9"/>
  <c r="F485" i="1"/>
  <c r="F75" i="21" s="1"/>
  <c r="Q5" i="9"/>
  <c r="P5" i="9"/>
  <c r="H637" i="1"/>
  <c r="H638" i="1" s="1"/>
  <c r="E637" i="1"/>
  <c r="E638" i="1" s="1"/>
  <c r="E903" i="1"/>
  <c r="G563" i="1"/>
  <c r="G76" i="21" s="1"/>
  <c r="G86" i="21" s="1"/>
  <c r="I86" i="1"/>
  <c r="AU59" i="1"/>
  <c r="AV59" i="1" s="1"/>
  <c r="AW59" i="1" s="1"/>
  <c r="AX59" i="1" s="1"/>
  <c r="AW966" i="1"/>
  <c r="AX964" i="1"/>
  <c r="AX966" i="1" s="1"/>
  <c r="AP969" i="1"/>
  <c r="M182" i="11"/>
  <c r="F404" i="1"/>
  <c r="G78" i="1"/>
  <c r="AQ60" i="1"/>
  <c r="AQ976" i="1" s="1"/>
  <c r="AQ975" i="1"/>
  <c r="G96" i="1"/>
  <c r="G103" i="1" s="1"/>
  <c r="G108" i="1" s="1"/>
  <c r="G485" i="1"/>
  <c r="G75" i="21" s="1"/>
  <c r="G85" i="21" s="1"/>
  <c r="K77" i="1"/>
  <c r="F637" i="1"/>
  <c r="F638" i="1" s="1"/>
  <c r="G907" i="1"/>
  <c r="AN969" i="1"/>
  <c r="AN970" i="1" s="1"/>
  <c r="S128" i="1"/>
  <c r="S976" i="1"/>
  <c r="K83" i="1"/>
  <c r="Q182" i="11"/>
  <c r="I182" i="11"/>
  <c r="AO969" i="1"/>
  <c r="E906" i="1"/>
  <c r="E563" i="1"/>
  <c r="G637" i="1"/>
  <c r="G638" i="1" s="1"/>
  <c r="K81" i="1"/>
  <c r="K96" i="1"/>
  <c r="K98" i="1" s="1"/>
  <c r="F80" i="1"/>
  <c r="F96" i="1" s="1"/>
  <c r="F631" i="1" s="1"/>
  <c r="J77" i="1"/>
  <c r="I103" i="1"/>
  <c r="I108" i="1" s="1"/>
  <c r="I98" i="1"/>
  <c r="I631" i="1"/>
  <c r="AH758" i="1"/>
  <c r="AI758" i="1" s="1"/>
  <c r="AJ758" i="1" s="1"/>
  <c r="AU758" i="1" s="1"/>
  <c r="AT758" i="1"/>
  <c r="AH779" i="1"/>
  <c r="AI779" i="1" s="1"/>
  <c r="AJ779" i="1" s="1"/>
  <c r="AU779" i="1" s="1"/>
  <c r="AT779" i="1"/>
  <c r="E87" i="1"/>
  <c r="AH752" i="1"/>
  <c r="AI752" i="1" s="1"/>
  <c r="AJ752" i="1" s="1"/>
  <c r="AU752" i="1" s="1"/>
  <c r="AT752" i="1"/>
  <c r="AH38" i="1"/>
  <c r="AT38" i="1"/>
  <c r="I81" i="1"/>
  <c r="AH759" i="1"/>
  <c r="AI759" i="1" s="1"/>
  <c r="AJ759" i="1" s="1"/>
  <c r="AU759" i="1" s="1"/>
  <c r="AT759" i="1"/>
  <c r="I82" i="1"/>
  <c r="I83" i="1" s="1"/>
  <c r="AT767" i="1"/>
  <c r="AH740" i="1"/>
  <c r="AI740" i="1" s="1"/>
  <c r="AJ740" i="1" s="1"/>
  <c r="AU740" i="1" s="1"/>
  <c r="AT740" i="1"/>
  <c r="AH49" i="1"/>
  <c r="AI49" i="1" s="1"/>
  <c r="AJ49" i="1" s="1"/>
  <c r="AN76" i="1"/>
  <c r="AT49" i="1"/>
  <c r="E96" i="1"/>
  <c r="E631" i="1" s="1"/>
  <c r="AH772" i="1"/>
  <c r="AI772" i="1" s="1"/>
  <c r="AJ772" i="1" s="1"/>
  <c r="AU772" i="1" s="1"/>
  <c r="AT772" i="1"/>
  <c r="AT769" i="1"/>
  <c r="AT805" i="1" s="1"/>
  <c r="AT750" i="1"/>
  <c r="AH776" i="1"/>
  <c r="AI776" i="1" s="1"/>
  <c r="AJ776" i="1" s="1"/>
  <c r="AU776" i="1" s="1"/>
  <c r="AT776" i="1"/>
  <c r="AH756" i="1"/>
  <c r="AI756" i="1" s="1"/>
  <c r="AJ756" i="1" s="1"/>
  <c r="AU756" i="1" s="1"/>
  <c r="AT756" i="1"/>
  <c r="AH773" i="1"/>
  <c r="AI773" i="1" s="1"/>
  <c r="AJ773" i="1" s="1"/>
  <c r="AU773" i="1" s="1"/>
  <c r="AT773" i="1"/>
  <c r="AH775" i="1"/>
  <c r="AI775" i="1" s="1"/>
  <c r="AJ775" i="1" s="1"/>
  <c r="AU775" i="1" s="1"/>
  <c r="AT775" i="1"/>
  <c r="E182" i="11"/>
  <c r="H80" i="1"/>
  <c r="H82" i="1" s="1"/>
  <c r="L83" i="1" s="1"/>
  <c r="L77" i="1"/>
  <c r="P98" i="1"/>
  <c r="P103" i="1"/>
  <c r="T97" i="1"/>
  <c r="P83" i="1"/>
  <c r="T83" i="1"/>
  <c r="O81" i="1"/>
  <c r="O96" i="1"/>
  <c r="O42" i="21" s="1"/>
  <c r="O82" i="1"/>
  <c r="S81" i="1"/>
  <c r="M96" i="1"/>
  <c r="M42" i="21" s="1"/>
  <c r="M82" i="1"/>
  <c r="M81" i="1"/>
  <c r="P81" i="1"/>
  <c r="U86" i="1"/>
  <c r="Q87" i="1"/>
  <c r="Q86" i="1"/>
  <c r="R98" i="1"/>
  <c r="R103" i="1"/>
  <c r="V97" i="1"/>
  <c r="Q82" i="1"/>
  <c r="Q96" i="1"/>
  <c r="Q42" i="21" s="1"/>
  <c r="Q81" i="1"/>
  <c r="U81" i="1"/>
  <c r="V83" i="1"/>
  <c r="L96" i="1"/>
  <c r="L103" i="1" s="1"/>
  <c r="L108" i="1" s="1"/>
  <c r="N81" i="1"/>
  <c r="N82" i="1"/>
  <c r="N83" i="1" s="1"/>
  <c r="N96" i="1"/>
  <c r="N42" i="21" s="1"/>
  <c r="R81" i="1"/>
  <c r="Q90" i="1"/>
  <c r="U90" i="1"/>
  <c r="Q91" i="1"/>
  <c r="N119" i="1"/>
  <c r="S195" i="1"/>
  <c r="AQ195" i="1" s="1"/>
  <c r="R36" i="1"/>
  <c r="R43" i="1"/>
  <c r="V44" i="1" s="1"/>
  <c r="R35" i="1"/>
  <c r="O50" i="1"/>
  <c r="O55" i="1" s="1"/>
  <c r="O814" i="1" s="1"/>
  <c r="O817" i="1" s="1"/>
  <c r="O820" i="1" s="1"/>
  <c r="R170" i="1"/>
  <c r="R187" i="1" s="1"/>
  <c r="R189" i="1" s="1"/>
  <c r="AN635" i="1"/>
  <c r="I125" i="1"/>
  <c r="E128" i="1"/>
  <c r="N5" i="9"/>
  <c r="P66" i="21"/>
  <c r="T60" i="21"/>
  <c r="AI196" i="2"/>
  <c r="K189" i="1"/>
  <c r="K119" i="1"/>
  <c r="O626" i="1"/>
  <c r="O47" i="1"/>
  <c r="O123" i="11" s="1"/>
  <c r="O68" i="21"/>
  <c r="O36" i="1"/>
  <c r="O170" i="1"/>
  <c r="O187" i="1" s="1"/>
  <c r="O189" i="1" s="1"/>
  <c r="T969" i="1"/>
  <c r="T970" i="1" s="1"/>
  <c r="AM407" i="1"/>
  <c r="O66" i="21"/>
  <c r="O67" i="21"/>
  <c r="N44" i="1"/>
  <c r="AM286" i="1"/>
  <c r="S44" i="1"/>
  <c r="O51" i="21"/>
  <c r="J44" i="1"/>
  <c r="K96" i="21"/>
  <c r="K87" i="21"/>
  <c r="O64" i="21"/>
  <c r="P631" i="1"/>
  <c r="AK100" i="2"/>
  <c r="AJ112" i="2"/>
  <c r="AJ49" i="2"/>
  <c r="AJ56" i="2" s="1"/>
  <c r="AK37" i="2"/>
  <c r="AL183" i="2"/>
  <c r="AM175" i="2"/>
  <c r="AN164" i="2" s="1"/>
  <c r="AQ60" i="21"/>
  <c r="AN6" i="11"/>
  <c r="AO7" i="11"/>
  <c r="F66" i="21"/>
  <c r="F67" i="21"/>
  <c r="K64" i="21"/>
  <c r="G65" i="21"/>
  <c r="M66" i="21"/>
  <c r="H68" i="21"/>
  <c r="J65" i="21"/>
  <c r="H64" i="21"/>
  <c r="G68" i="21"/>
  <c r="I67" i="21"/>
  <c r="I64" i="21"/>
  <c r="H66" i="21"/>
  <c r="Q68" i="21"/>
  <c r="Q67" i="21"/>
  <c r="AP51" i="21"/>
  <c r="AP68" i="21"/>
  <c r="N67" i="21"/>
  <c r="Q64" i="21"/>
  <c r="AP64" i="21"/>
  <c r="N65" i="21"/>
  <c r="AQ67" i="21"/>
  <c r="Q65" i="21"/>
  <c r="AP67" i="21"/>
  <c r="E66" i="21"/>
  <c r="AP66" i="21"/>
  <c r="K68" i="21"/>
  <c r="K66" i="21"/>
  <c r="M64" i="21"/>
  <c r="AP65" i="21"/>
  <c r="AQ68" i="21"/>
  <c r="K67" i="21"/>
  <c r="J64" i="21"/>
  <c r="G67" i="21"/>
  <c r="I65" i="21"/>
  <c r="E67" i="21"/>
  <c r="I66" i="21"/>
  <c r="N64" i="21"/>
  <c r="P67" i="21"/>
  <c r="P64" i="21"/>
  <c r="P68" i="21"/>
  <c r="N66" i="21"/>
  <c r="P65" i="21"/>
  <c r="AQ66" i="21"/>
  <c r="L65" i="21"/>
  <c r="E65" i="21"/>
  <c r="L66" i="21"/>
  <c r="Q66" i="21"/>
  <c r="R68" i="21"/>
  <c r="R67" i="21"/>
  <c r="M67" i="21"/>
  <c r="E64" i="21"/>
  <c r="R65" i="21"/>
  <c r="M65" i="21"/>
  <c r="L64" i="21"/>
  <c r="J67" i="21"/>
  <c r="L67" i="21"/>
  <c r="J66" i="21"/>
  <c r="H65" i="21"/>
  <c r="AQ64" i="21"/>
  <c r="F64" i="21"/>
  <c r="G64" i="21"/>
  <c r="R66" i="21"/>
  <c r="F65" i="21"/>
  <c r="AQ65" i="21"/>
  <c r="R64" i="21"/>
  <c r="AQ95" i="21"/>
  <c r="AP86" i="21"/>
  <c r="AQ88" i="21"/>
  <c r="I60" i="21"/>
  <c r="AP78" i="21"/>
  <c r="AQ97" i="21" s="1"/>
  <c r="R60" i="21"/>
  <c r="Q60" i="21"/>
  <c r="L60" i="21"/>
  <c r="AQ92" i="21"/>
  <c r="J60" i="21"/>
  <c r="P60" i="21"/>
  <c r="K60" i="21"/>
  <c r="M60" i="21"/>
  <c r="N60" i="21"/>
  <c r="O60" i="21"/>
  <c r="AQ42" i="21"/>
  <c r="AQ51" i="21"/>
  <c r="Q51" i="21"/>
  <c r="L51" i="21"/>
  <c r="N51" i="21"/>
  <c r="J51" i="21"/>
  <c r="P42" i="21"/>
  <c r="P51" i="21"/>
  <c r="I42" i="21"/>
  <c r="I51" i="21"/>
  <c r="F51" i="21"/>
  <c r="G51" i="21"/>
  <c r="K51" i="21"/>
  <c r="M51" i="21"/>
  <c r="H51" i="21"/>
  <c r="R51" i="21"/>
  <c r="E51" i="21"/>
  <c r="AL103" i="1"/>
  <c r="AL108" i="1" s="1"/>
  <c r="AP42" i="21"/>
  <c r="AQ93" i="21"/>
  <c r="AQ94" i="21"/>
  <c r="AL631" i="1"/>
  <c r="AN954" i="1"/>
  <c r="E406" i="1"/>
  <c r="E74" i="21"/>
  <c r="P43" i="1"/>
  <c r="H487" i="1"/>
  <c r="G626" i="1"/>
  <c r="AM566" i="1"/>
  <c r="AL98" i="1"/>
  <c r="K626" i="1"/>
  <c r="K43" i="1"/>
  <c r="AO635" i="1"/>
  <c r="O35" i="1"/>
  <c r="K36" i="1"/>
  <c r="G36" i="1"/>
  <c r="H73" i="21"/>
  <c r="AM83" i="1"/>
  <c r="AP635" i="1"/>
  <c r="P404" i="1"/>
  <c r="P903" i="1"/>
  <c r="N485" i="1"/>
  <c r="N75" i="21" s="1"/>
  <c r="N85" i="21" s="1"/>
  <c r="N904" i="1"/>
  <c r="M563" i="1"/>
  <c r="M76" i="21" s="1"/>
  <c r="M86" i="21" s="1"/>
  <c r="M905" i="1"/>
  <c r="M404" i="1"/>
  <c r="M74" i="21" s="1"/>
  <c r="M84" i="21" s="1"/>
  <c r="M903" i="1"/>
  <c r="N563" i="1"/>
  <c r="N76" i="21" s="1"/>
  <c r="N86" i="21" s="1"/>
  <c r="N905" i="1"/>
  <c r="M485" i="1"/>
  <c r="M75" i="21" s="1"/>
  <c r="M85" i="21" s="1"/>
  <c r="M904" i="1"/>
  <c r="M283" i="1"/>
  <c r="M73" i="21" s="1"/>
  <c r="M902" i="1"/>
  <c r="P283" i="1"/>
  <c r="O485" i="1"/>
  <c r="O904" i="1"/>
  <c r="O563" i="1"/>
  <c r="O905" i="1"/>
  <c r="O404" i="1"/>
  <c r="O903" i="1"/>
  <c r="N404" i="1"/>
  <c r="N74" i="21" s="1"/>
  <c r="N84" i="21" s="1"/>
  <c r="N903" i="1"/>
  <c r="P563" i="1"/>
  <c r="P76" i="21" s="1"/>
  <c r="P86" i="21" s="1"/>
  <c r="P905" i="1"/>
  <c r="O283" i="1"/>
  <c r="O902" i="1"/>
  <c r="N283" i="1"/>
  <c r="N73" i="21" s="1"/>
  <c r="N83" i="21" s="1"/>
  <c r="N902" i="1"/>
  <c r="P485" i="1"/>
  <c r="P75" i="21" s="1"/>
  <c r="P85" i="21" s="1"/>
  <c r="P904" i="1"/>
  <c r="AM488" i="1"/>
  <c r="G192" i="1"/>
  <c r="G209" i="1" s="1"/>
  <c r="H626" i="1"/>
  <c r="G170" i="1"/>
  <c r="G187" i="1" s="1"/>
  <c r="G50" i="1"/>
  <c r="G55" i="1" s="1"/>
  <c r="G814" i="1" s="1"/>
  <c r="G817" i="1" s="1"/>
  <c r="G820" i="1" s="1"/>
  <c r="P35" i="1"/>
  <c r="K35" i="1"/>
  <c r="L35" i="1"/>
  <c r="L43" i="1"/>
  <c r="P170" i="1"/>
  <c r="P187" i="1" s="1"/>
  <c r="P36" i="1"/>
  <c r="L170" i="1"/>
  <c r="L187" i="1" s="1"/>
  <c r="L119" i="1" s="1"/>
  <c r="L36" i="1"/>
  <c r="H170" i="1"/>
  <c r="H187" i="1" s="1"/>
  <c r="H119" i="1" s="1"/>
  <c r="H36" i="1"/>
  <c r="AI5" i="9"/>
  <c r="AM103" i="1"/>
  <c r="AM108" i="1" s="1"/>
  <c r="AM100" i="1"/>
  <c r="AM97" i="1"/>
  <c r="AM98" i="1"/>
  <c r="O637" i="1"/>
  <c r="O638" i="1" s="1"/>
  <c r="O617" i="1"/>
  <c r="O77" i="21" s="1"/>
  <c r="N637" i="1"/>
  <c r="N638" i="1" s="1"/>
  <c r="N617" i="1"/>
  <c r="N77" i="21" s="1"/>
  <c r="T6" i="9"/>
  <c r="U969" i="1"/>
  <c r="U970" i="1" s="1"/>
  <c r="H192" i="1"/>
  <c r="H209" i="1" s="1"/>
  <c r="H50" i="1"/>
  <c r="H47" i="1"/>
  <c r="H123" i="11" s="1"/>
  <c r="U888" i="1"/>
  <c r="P6" i="10"/>
  <c r="O6" i="10"/>
  <c r="N6" i="10"/>
  <c r="Q7" i="10"/>
  <c r="R7" i="10" s="1"/>
  <c r="S7" i="10" s="1"/>
  <c r="T7" i="10" s="1"/>
  <c r="M6" i="10"/>
  <c r="Q170" i="1"/>
  <c r="Q626" i="1"/>
  <c r="Q43" i="1"/>
  <c r="U44" i="1" s="1"/>
  <c r="Q36" i="1"/>
  <c r="Q35" i="1"/>
  <c r="K6" i="11"/>
  <c r="M7" i="11"/>
  <c r="N7" i="11" s="1"/>
  <c r="O7" i="11" s="1"/>
  <c r="P7" i="11" s="1"/>
  <c r="J6" i="11"/>
  <c r="I6" i="11"/>
  <c r="L6" i="11"/>
  <c r="F192" i="1"/>
  <c r="F209" i="1" s="1"/>
  <c r="F50" i="1"/>
  <c r="F47" i="1"/>
  <c r="F123" i="11" s="1"/>
  <c r="M170" i="1"/>
  <c r="M43" i="1"/>
  <c r="M36" i="1"/>
  <c r="M35" i="1"/>
  <c r="M626" i="1"/>
  <c r="N192" i="1"/>
  <c r="N209" i="1" s="1"/>
  <c r="N50" i="1"/>
  <c r="N47" i="1"/>
  <c r="N123" i="11" s="1"/>
  <c r="F189" i="1"/>
  <c r="AM192" i="1"/>
  <c r="AM209" i="1" s="1"/>
  <c r="AM50" i="1"/>
  <c r="AM47" i="1"/>
  <c r="AM123" i="11" s="1"/>
  <c r="J189" i="1"/>
  <c r="J188" i="1"/>
  <c r="M957" i="1"/>
  <c r="M4" i="1" s="1"/>
  <c r="N954" i="1"/>
  <c r="N955" i="1" s="1"/>
  <c r="E957" i="1"/>
  <c r="E4" i="1" s="1"/>
  <c r="F954" i="1"/>
  <c r="F955" i="1" s="1"/>
  <c r="Q6" i="2"/>
  <c r="R6" i="2" s="1"/>
  <c r="S6" i="2" s="1"/>
  <c r="T6" i="2" s="1"/>
  <c r="U6" i="2" s="1"/>
  <c r="V6" i="2" s="1"/>
  <c r="W6" i="2" s="1"/>
  <c r="X6" i="2" s="1"/>
  <c r="Y6" i="2" s="1"/>
  <c r="Z6" i="2" s="1"/>
  <c r="AA6" i="2" s="1"/>
  <c r="AB6" i="2" s="1"/>
  <c r="N5" i="2"/>
  <c r="M5" i="2"/>
  <c r="P5" i="2"/>
  <c r="O5" i="2"/>
  <c r="I170" i="1"/>
  <c r="I43" i="1"/>
  <c r="I36" i="1"/>
  <c r="I35" i="1"/>
  <c r="I626" i="1"/>
  <c r="P637" i="1"/>
  <c r="P638" i="1" s="1"/>
  <c r="P617" i="1"/>
  <c r="P77" i="21" s="1"/>
  <c r="M637" i="1"/>
  <c r="M638" i="1" s="1"/>
  <c r="M617" i="1"/>
  <c r="M77" i="21" s="1"/>
  <c r="AB7" i="10"/>
  <c r="AA6" i="10"/>
  <c r="AM5" i="2"/>
  <c r="AN6" i="2"/>
  <c r="I957" i="1"/>
  <c r="I4" i="1" s="1"/>
  <c r="J954" i="1"/>
  <c r="J955" i="1" s="1"/>
  <c r="AL170" i="1"/>
  <c r="AL187" i="1" s="1"/>
  <c r="AL43" i="1"/>
  <c r="AL36" i="1"/>
  <c r="AL626" i="1"/>
  <c r="E170" i="1"/>
  <c r="E43" i="1"/>
  <c r="E36" i="1"/>
  <c r="E626" i="1"/>
  <c r="N189" i="1"/>
  <c r="N188" i="1"/>
  <c r="AM189" i="1"/>
  <c r="AQ79" i="21"/>
  <c r="J192" i="1"/>
  <c r="J209" i="1" s="1"/>
  <c r="J50" i="1"/>
  <c r="J47" i="1"/>
  <c r="J123" i="11" s="1"/>
  <c r="L75" i="21" l="1"/>
  <c r="L78" i="21" s="1"/>
  <c r="L486" i="1"/>
  <c r="L488" i="1"/>
  <c r="I96" i="21"/>
  <c r="J406" i="1"/>
  <c r="J405" i="1"/>
  <c r="J565" i="1"/>
  <c r="AO970" i="1"/>
  <c r="AP970" i="1"/>
  <c r="AP182" i="11"/>
  <c r="U182" i="11"/>
  <c r="U972" i="1"/>
  <c r="T182" i="11"/>
  <c r="AN182" i="11"/>
  <c r="AO182" i="11"/>
  <c r="AI38" i="1"/>
  <c r="AM44" i="1"/>
  <c r="AL913" i="1"/>
  <c r="I405" i="1"/>
  <c r="I406" i="1"/>
  <c r="I407" i="1" s="1"/>
  <c r="AH769" i="1"/>
  <c r="AT801" i="1"/>
  <c r="K406" i="1"/>
  <c r="K407" i="1" s="1"/>
  <c r="E73" i="21"/>
  <c r="I92" i="21" s="1"/>
  <c r="AH801" i="1"/>
  <c r="AH815" i="1" s="1"/>
  <c r="AH750" i="1"/>
  <c r="I487" i="1"/>
  <c r="L405" i="1"/>
  <c r="K487" i="1"/>
  <c r="I285" i="1"/>
  <c r="I286" i="1" s="1"/>
  <c r="I284" i="1"/>
  <c r="L406" i="1"/>
  <c r="L407" i="1" s="1"/>
  <c r="J487" i="1"/>
  <c r="H74" i="21"/>
  <c r="H84" i="21" s="1"/>
  <c r="I643" i="1"/>
  <c r="I565" i="1"/>
  <c r="I78" i="21"/>
  <c r="I88" i="21" s="1"/>
  <c r="J285" i="1"/>
  <c r="L564" i="1"/>
  <c r="I94" i="21"/>
  <c r="H565" i="1"/>
  <c r="E487" i="1"/>
  <c r="L285" i="1"/>
  <c r="L286" i="1" s="1"/>
  <c r="K285" i="1"/>
  <c r="L565" i="1"/>
  <c r="K92" i="21"/>
  <c r="I486" i="1"/>
  <c r="L643" i="1"/>
  <c r="F74" i="21"/>
  <c r="F84" i="21" s="1"/>
  <c r="J643" i="1"/>
  <c r="J644" i="1" s="1"/>
  <c r="K78" i="21"/>
  <c r="K88" i="21" s="1"/>
  <c r="K643" i="1"/>
  <c r="K644" i="1" s="1"/>
  <c r="K565" i="1"/>
  <c r="K405" i="1"/>
  <c r="G74" i="21"/>
  <c r="G84" i="21" s="1"/>
  <c r="F406" i="1"/>
  <c r="G42" i="21"/>
  <c r="H643" i="1"/>
  <c r="K564" i="1"/>
  <c r="L284" i="1"/>
  <c r="G565" i="1"/>
  <c r="K95" i="21"/>
  <c r="L96" i="21"/>
  <c r="H907" i="1"/>
  <c r="J42" i="21"/>
  <c r="J96" i="21"/>
  <c r="J100" i="1"/>
  <c r="E907" i="1"/>
  <c r="J103" i="1"/>
  <c r="J108" i="1" s="1"/>
  <c r="K284" i="1"/>
  <c r="G83" i="21"/>
  <c r="J631" i="1"/>
  <c r="J564" i="1"/>
  <c r="F565" i="1"/>
  <c r="G285" i="1"/>
  <c r="J95" i="21"/>
  <c r="F42" i="21"/>
  <c r="F82" i="1"/>
  <c r="J83" i="1" s="1"/>
  <c r="J94" i="21"/>
  <c r="E643" i="1"/>
  <c r="J92" i="21"/>
  <c r="J284" i="1"/>
  <c r="F285" i="1"/>
  <c r="F487" i="1"/>
  <c r="F643" i="1"/>
  <c r="F644" i="1" s="1"/>
  <c r="F85" i="21"/>
  <c r="J486" i="1"/>
  <c r="F98" i="1"/>
  <c r="J97" i="1"/>
  <c r="F100" i="1"/>
  <c r="J81" i="1"/>
  <c r="F103" i="1"/>
  <c r="F108" i="1" s="1"/>
  <c r="K42" i="21"/>
  <c r="E76" i="21"/>
  <c r="E86" i="21" s="1"/>
  <c r="G643" i="1"/>
  <c r="I97" i="1"/>
  <c r="E565" i="1"/>
  <c r="E103" i="1"/>
  <c r="E110" i="1" s="1"/>
  <c r="I564" i="1"/>
  <c r="K486" i="1"/>
  <c r="I110" i="1"/>
  <c r="I112" i="1" s="1"/>
  <c r="E98" i="1"/>
  <c r="E42" i="21"/>
  <c r="G487" i="1"/>
  <c r="M83" i="1"/>
  <c r="K94" i="21"/>
  <c r="G110" i="1"/>
  <c r="G112" i="1" s="1"/>
  <c r="K97" i="1"/>
  <c r="G631" i="1"/>
  <c r="G98" i="1"/>
  <c r="G105" i="1"/>
  <c r="AV773" i="1"/>
  <c r="AW773" i="1" s="1"/>
  <c r="AX773" i="1" s="1"/>
  <c r="AV740" i="1"/>
  <c r="AW740" i="1" s="1"/>
  <c r="AX740" i="1" s="1"/>
  <c r="AV758" i="1"/>
  <c r="AW758" i="1" s="1"/>
  <c r="AX758" i="1" s="1"/>
  <c r="AV775" i="1"/>
  <c r="AW775" i="1" s="1"/>
  <c r="AX775" i="1" s="1"/>
  <c r="AV756" i="1"/>
  <c r="AW756" i="1" s="1"/>
  <c r="AX756" i="1" s="1"/>
  <c r="AV772" i="1"/>
  <c r="AW772" i="1" s="1"/>
  <c r="AX772" i="1" s="1"/>
  <c r="AV752" i="1"/>
  <c r="AW752" i="1" s="1"/>
  <c r="AX752" i="1" s="1"/>
  <c r="AV759" i="1"/>
  <c r="AW759" i="1" s="1"/>
  <c r="AX759" i="1" s="1"/>
  <c r="K100" i="1"/>
  <c r="K103" i="1"/>
  <c r="K110" i="1" s="1"/>
  <c r="K112" i="1" s="1"/>
  <c r="K631" i="1"/>
  <c r="AN170" i="1"/>
  <c r="AO170" i="1"/>
  <c r="L631" i="1"/>
  <c r="L42" i="21"/>
  <c r="AU49" i="1"/>
  <c r="L110" i="1"/>
  <c r="L112" i="1" s="1"/>
  <c r="AP170" i="1"/>
  <c r="L98" i="1"/>
  <c r="AH760" i="1"/>
  <c r="AI760" i="1" s="1"/>
  <c r="AJ760" i="1" s="1"/>
  <c r="AU760" i="1" s="1"/>
  <c r="AT760" i="1"/>
  <c r="H96" i="1"/>
  <c r="H42" i="21" s="1"/>
  <c r="L81" i="1"/>
  <c r="AC6" i="2"/>
  <c r="AD6" i="2" s="1"/>
  <c r="AE6" i="2" s="1"/>
  <c r="AF6" i="2" s="1"/>
  <c r="Z5" i="2"/>
  <c r="Y5" i="2"/>
  <c r="AA5" i="2"/>
  <c r="AB5" i="2"/>
  <c r="N100" i="1"/>
  <c r="Q83" i="1"/>
  <c r="U83" i="1"/>
  <c r="R188" i="1"/>
  <c r="Q103" i="1"/>
  <c r="Q98" i="1"/>
  <c r="Q97" i="1"/>
  <c r="U97" i="1"/>
  <c r="Q631" i="1"/>
  <c r="O631" i="1"/>
  <c r="R110" i="1"/>
  <c r="R108" i="1"/>
  <c r="N98" i="1"/>
  <c r="N97" i="1"/>
  <c r="N103" i="1"/>
  <c r="N631" i="1"/>
  <c r="R83" i="1"/>
  <c r="R97" i="1"/>
  <c r="M103" i="1"/>
  <c r="M98" i="1"/>
  <c r="M97" i="1"/>
  <c r="M631" i="1"/>
  <c r="P110" i="1"/>
  <c r="P108" i="1"/>
  <c r="P97" i="1"/>
  <c r="O97" i="1"/>
  <c r="O98" i="1"/>
  <c r="O103" i="1"/>
  <c r="S97" i="1"/>
  <c r="O83" i="1"/>
  <c r="S83" i="1"/>
  <c r="O119" i="1"/>
  <c r="O987" i="1" s="1"/>
  <c r="O100" i="1"/>
  <c r="R47" i="1"/>
  <c r="R123" i="11" s="1"/>
  <c r="P119" i="1"/>
  <c r="P100" i="1"/>
  <c r="R44" i="1"/>
  <c r="R119" i="1"/>
  <c r="R100" i="1"/>
  <c r="R50" i="1"/>
  <c r="V51" i="1" s="1"/>
  <c r="R192" i="1"/>
  <c r="R209" i="1" s="1"/>
  <c r="R105" i="1" s="1"/>
  <c r="N121" i="1"/>
  <c r="N120" i="1"/>
  <c r="N126" i="1"/>
  <c r="I187" i="1"/>
  <c r="I119" i="1" s="1"/>
  <c r="Q187" i="1"/>
  <c r="Q189" i="1" s="1"/>
  <c r="E187" i="1"/>
  <c r="E100" i="1" s="1"/>
  <c r="O52" i="1"/>
  <c r="M187" i="1"/>
  <c r="S969" i="1"/>
  <c r="S970" i="1" s="1"/>
  <c r="AL110" i="1"/>
  <c r="AL112" i="1" s="1"/>
  <c r="O190" i="1"/>
  <c r="M285" i="1"/>
  <c r="M284" i="1"/>
  <c r="P73" i="21"/>
  <c r="P83" i="21" s="1"/>
  <c r="I171" i="5"/>
  <c r="I172" i="5" s="1"/>
  <c r="P74" i="21"/>
  <c r="P84" i="21" s="1"/>
  <c r="I107" i="6"/>
  <c r="I108" i="6" s="1"/>
  <c r="P486" i="1"/>
  <c r="P487" i="1"/>
  <c r="P488" i="1" s="1"/>
  <c r="T188" i="1"/>
  <c r="O188" i="1"/>
  <c r="N406" i="1"/>
  <c r="G189" i="1"/>
  <c r="K190" i="1" s="1"/>
  <c r="G119" i="1"/>
  <c r="G121" i="1" s="1"/>
  <c r="AM188" i="1"/>
  <c r="AL119" i="1"/>
  <c r="AP79" i="21" s="1"/>
  <c r="N405" i="1"/>
  <c r="O73" i="21"/>
  <c r="O83" i="21" s="1"/>
  <c r="G24" i="20"/>
  <c r="O76" i="21"/>
  <c r="O86" i="21" s="1"/>
  <c r="H103" i="8"/>
  <c r="H104" i="8" s="1"/>
  <c r="O74" i="21"/>
  <c r="O84" i="21" s="1"/>
  <c r="O75" i="21"/>
  <c r="O85" i="21" s="1"/>
  <c r="H102" i="7"/>
  <c r="H103" i="7" s="1"/>
  <c r="O69" i="21"/>
  <c r="Q44" i="1"/>
  <c r="I44" i="1"/>
  <c r="P96" i="21"/>
  <c r="P87" i="21"/>
  <c r="O96" i="21"/>
  <c r="O87" i="21"/>
  <c r="K47" i="1"/>
  <c r="K123" i="11" s="1"/>
  <c r="K44" i="1"/>
  <c r="AQ895" i="1"/>
  <c r="T895" i="1"/>
  <c r="P47" i="1"/>
  <c r="P123" i="11" s="1"/>
  <c r="P44" i="1"/>
  <c r="M96" i="21"/>
  <c r="M87" i="21"/>
  <c r="N96" i="21"/>
  <c r="N87" i="21"/>
  <c r="L47" i="1"/>
  <c r="L123" i="11" s="1"/>
  <c r="L44" i="1"/>
  <c r="O44" i="1"/>
  <c r="M44" i="1"/>
  <c r="AN175" i="2"/>
  <c r="AK48" i="2"/>
  <c r="AK70" i="2"/>
  <c r="AJ119" i="2"/>
  <c r="AJ196" i="2"/>
  <c r="U5" i="2"/>
  <c r="X5" i="2"/>
  <c r="V5" i="2"/>
  <c r="W5" i="2"/>
  <c r="AK111" i="2"/>
  <c r="AK133" i="2"/>
  <c r="G69" i="21"/>
  <c r="AP7" i="11"/>
  <c r="AO6" i="11"/>
  <c r="F69" i="21"/>
  <c r="H69" i="21"/>
  <c r="K69" i="21"/>
  <c r="R69" i="21"/>
  <c r="M69" i="21"/>
  <c r="E69" i="21"/>
  <c r="N69" i="21"/>
  <c r="I69" i="21"/>
  <c r="J69" i="21"/>
  <c r="Q69" i="21"/>
  <c r="AQ69" i="21"/>
  <c r="L69" i="21"/>
  <c r="P69" i="21"/>
  <c r="AP69" i="21"/>
  <c r="AP88" i="21"/>
  <c r="I93" i="21"/>
  <c r="E84" i="21"/>
  <c r="M78" i="21"/>
  <c r="M83" i="21"/>
  <c r="H83" i="21"/>
  <c r="N78" i="21"/>
  <c r="N79" i="21" s="1"/>
  <c r="J78" i="21"/>
  <c r="J79" i="21" s="1"/>
  <c r="M94" i="21"/>
  <c r="L94" i="21"/>
  <c r="L95" i="21"/>
  <c r="P95" i="21"/>
  <c r="N95" i="21"/>
  <c r="P94" i="21"/>
  <c r="N93" i="21"/>
  <c r="M92" i="21"/>
  <c r="M95" i="21"/>
  <c r="M93" i="21"/>
  <c r="L92" i="21"/>
  <c r="N92" i="21"/>
  <c r="N94" i="21"/>
  <c r="N565" i="1"/>
  <c r="N566" i="1" s="1"/>
  <c r="N564" i="1"/>
  <c r="P192" i="1"/>
  <c r="P209" i="1" s="1"/>
  <c r="P105" i="1" s="1"/>
  <c r="G52" i="1"/>
  <c r="K126" i="1"/>
  <c r="M486" i="1"/>
  <c r="N487" i="1"/>
  <c r="M487" i="1"/>
  <c r="N486" i="1"/>
  <c r="K192" i="1"/>
  <c r="K209" i="1" s="1"/>
  <c r="L192" i="1"/>
  <c r="L209" i="1" s="1"/>
  <c r="L105" i="1" s="1"/>
  <c r="L50" i="1"/>
  <c r="L52" i="1" s="1"/>
  <c r="M405" i="1"/>
  <c r="O487" i="1"/>
  <c r="M406" i="1"/>
  <c r="O486" i="1"/>
  <c r="P50" i="1"/>
  <c r="P55" i="1" s="1"/>
  <c r="P814" i="1" s="1"/>
  <c r="P817" i="1" s="1"/>
  <c r="P820" i="1" s="1"/>
  <c r="P406" i="1"/>
  <c r="P564" i="1"/>
  <c r="O565" i="1"/>
  <c r="O285" i="1"/>
  <c r="K50" i="1"/>
  <c r="K52" i="1" s="1"/>
  <c r="P405" i="1"/>
  <c r="P565" i="1"/>
  <c r="K121" i="1"/>
  <c r="O564" i="1"/>
  <c r="AM644" i="1"/>
  <c r="K987" i="1"/>
  <c r="K994" i="1" s="1"/>
  <c r="P284" i="1"/>
  <c r="O284" i="1"/>
  <c r="N643" i="1"/>
  <c r="N644" i="1" s="1"/>
  <c r="O643" i="1"/>
  <c r="M643" i="1"/>
  <c r="P285" i="1"/>
  <c r="P643" i="1"/>
  <c r="M565" i="1"/>
  <c r="O405" i="1"/>
  <c r="N285" i="1"/>
  <c r="N284" i="1"/>
  <c r="O406" i="1"/>
  <c r="M564" i="1"/>
  <c r="N907" i="1"/>
  <c r="O907" i="1"/>
  <c r="P907" i="1"/>
  <c r="M907" i="1"/>
  <c r="N190" i="1"/>
  <c r="K188" i="1"/>
  <c r="G100" i="1"/>
  <c r="U522" i="1"/>
  <c r="Y22" i="21"/>
  <c r="S522" i="1"/>
  <c r="S13" i="21"/>
  <c r="Y21" i="21"/>
  <c r="S443" i="1"/>
  <c r="S12" i="21"/>
  <c r="Y20" i="21"/>
  <c r="S362" i="1"/>
  <c r="S11" i="21"/>
  <c r="Y19" i="21"/>
  <c r="V10" i="21"/>
  <c r="Z19" i="21" s="1"/>
  <c r="S10" i="21"/>
  <c r="J190" i="1"/>
  <c r="L189" i="1"/>
  <c r="L188" i="1"/>
  <c r="L100" i="1"/>
  <c r="H189" i="1"/>
  <c r="P188" i="1"/>
  <c r="P189" i="1"/>
  <c r="T190" i="1" s="1"/>
  <c r="N957" i="1"/>
  <c r="N4" i="1" s="1"/>
  <c r="O954" i="1"/>
  <c r="O955" i="1" s="1"/>
  <c r="E192" i="1"/>
  <c r="AN192" i="1" s="1"/>
  <c r="E50" i="1"/>
  <c r="E47" i="1"/>
  <c r="E123" i="11" s="1"/>
  <c r="T353" i="1"/>
  <c r="N52" i="1"/>
  <c r="N55" i="1"/>
  <c r="N814" i="1" s="1"/>
  <c r="N817" i="1" s="1"/>
  <c r="N820" i="1" s="1"/>
  <c r="N51" i="1"/>
  <c r="P6" i="11"/>
  <c r="O6" i="11"/>
  <c r="Q7" i="11"/>
  <c r="R7" i="11" s="1"/>
  <c r="S7" i="11" s="1"/>
  <c r="T7" i="11" s="1"/>
  <c r="N6" i="11"/>
  <c r="M6" i="11"/>
  <c r="N987" i="1"/>
  <c r="AL189" i="1"/>
  <c r="AM190" i="1" s="1"/>
  <c r="AL100" i="1"/>
  <c r="S353" i="1"/>
  <c r="I192" i="1"/>
  <c r="I50" i="1"/>
  <c r="I47" i="1"/>
  <c r="I123" i="11" s="1"/>
  <c r="R5" i="2"/>
  <c r="Q5" i="2"/>
  <c r="T5" i="2"/>
  <c r="S5" i="2"/>
  <c r="U514" i="1"/>
  <c r="J987" i="1"/>
  <c r="J121" i="1"/>
  <c r="J120" i="1"/>
  <c r="AM52" i="1"/>
  <c r="AM55" i="1"/>
  <c r="M192" i="1"/>
  <c r="M50" i="1"/>
  <c r="M47" i="1"/>
  <c r="M123" i="11" s="1"/>
  <c r="T354" i="1"/>
  <c r="T251" i="1"/>
  <c r="Q192" i="1"/>
  <c r="Q50" i="1"/>
  <c r="U51" i="1" s="1"/>
  <c r="Q47" i="1"/>
  <c r="Q123" i="11" s="1"/>
  <c r="J126" i="1"/>
  <c r="S434" i="1"/>
  <c r="AM110" i="1"/>
  <c r="AM814" i="1" s="1"/>
  <c r="AM105" i="1"/>
  <c r="AK6" i="9"/>
  <c r="AJ5" i="9"/>
  <c r="O220" i="1"/>
  <c r="O237" i="1" s="1"/>
  <c r="O64" i="1"/>
  <c r="O63" i="1"/>
  <c r="AL192" i="1"/>
  <c r="AL209" i="1" s="1"/>
  <c r="AL105" i="1" s="1"/>
  <c r="AL50" i="1"/>
  <c r="AM51" i="1" s="1"/>
  <c r="AL47" i="1"/>
  <c r="AL123" i="11" s="1"/>
  <c r="T514" i="1"/>
  <c r="AM987" i="1"/>
  <c r="AM121" i="1"/>
  <c r="AM126" i="1"/>
  <c r="J957" i="1"/>
  <c r="J4" i="1" s="1"/>
  <c r="K954" i="1"/>
  <c r="K955" i="1" s="1"/>
  <c r="S619" i="1"/>
  <c r="S251" i="1"/>
  <c r="AO6" i="2"/>
  <c r="AN5" i="2"/>
  <c r="F957" i="1"/>
  <c r="F4" i="1" s="1"/>
  <c r="G954" i="1"/>
  <c r="G955" i="1" s="1"/>
  <c r="U201" i="1"/>
  <c r="G220" i="1"/>
  <c r="G237" i="1" s="1"/>
  <c r="G64" i="1"/>
  <c r="G63" i="1"/>
  <c r="U434" i="1"/>
  <c r="U619" i="1"/>
  <c r="U251" i="1"/>
  <c r="U611" i="1"/>
  <c r="U118" i="11" s="1"/>
  <c r="V969" i="1"/>
  <c r="U6" i="9"/>
  <c r="T434" i="1"/>
  <c r="F52" i="1"/>
  <c r="F55" i="1"/>
  <c r="F814" i="1" s="1"/>
  <c r="F817" i="1" s="1"/>
  <c r="F820" i="1" s="1"/>
  <c r="T6" i="10"/>
  <c r="S6" i="10"/>
  <c r="R6" i="10"/>
  <c r="Q6" i="10"/>
  <c r="H52" i="1"/>
  <c r="H55" i="1"/>
  <c r="H814" i="1" s="1"/>
  <c r="H817" i="1" s="1"/>
  <c r="H820" i="1" s="1"/>
  <c r="AV886" i="1"/>
  <c r="AC7" i="10"/>
  <c r="AB6" i="10"/>
  <c r="F987" i="1"/>
  <c r="F121" i="1"/>
  <c r="J52" i="1"/>
  <c r="J55" i="1"/>
  <c r="J814" i="1" s="1"/>
  <c r="J817" i="1" s="1"/>
  <c r="J820" i="1" s="1"/>
  <c r="J51" i="1"/>
  <c r="V251" i="1"/>
  <c r="R190" i="1"/>
  <c r="U353" i="1"/>
  <c r="V888" i="1"/>
  <c r="V895" i="1" s="1"/>
  <c r="L85" i="21" l="1"/>
  <c r="J566" i="1"/>
  <c r="M566" i="1"/>
  <c r="N407" i="1"/>
  <c r="J407" i="1"/>
  <c r="O566" i="1"/>
  <c r="V972" i="1"/>
  <c r="V970" i="1"/>
  <c r="AM817" i="1"/>
  <c r="AM820" i="1" s="1"/>
  <c r="AM830" i="1" s="1"/>
  <c r="O239" i="1"/>
  <c r="O972" i="1"/>
  <c r="G239" i="1"/>
  <c r="G972" i="1"/>
  <c r="M407" i="1"/>
  <c r="AT815" i="1"/>
  <c r="AT827" i="1"/>
  <c r="AQ969" i="1"/>
  <c r="AQ970" i="1" s="1"/>
  <c r="AJ38" i="1"/>
  <c r="K93" i="21"/>
  <c r="M488" i="1"/>
  <c r="P286" i="1"/>
  <c r="K79" i="21"/>
  <c r="P407" i="1"/>
  <c r="E83" i="21"/>
  <c r="AI769" i="1"/>
  <c r="AH805" i="1"/>
  <c r="O407" i="1"/>
  <c r="I566" i="1"/>
  <c r="I488" i="1"/>
  <c r="AI750" i="1"/>
  <c r="AI801" i="1"/>
  <c r="AI815" i="1" s="1"/>
  <c r="L566" i="1"/>
  <c r="O488" i="1"/>
  <c r="L93" i="21"/>
  <c r="H78" i="21"/>
  <c r="H88" i="21" s="1"/>
  <c r="M286" i="1"/>
  <c r="K488" i="1"/>
  <c r="N488" i="1"/>
  <c r="I79" i="21"/>
  <c r="J488" i="1"/>
  <c r="F78" i="21"/>
  <c r="J97" i="21" s="1"/>
  <c r="J105" i="1"/>
  <c r="N286" i="1"/>
  <c r="J286" i="1"/>
  <c r="J93" i="21"/>
  <c r="P566" i="1"/>
  <c r="K566" i="1"/>
  <c r="K286" i="1"/>
  <c r="G78" i="21"/>
  <c r="G88" i="21" s="1"/>
  <c r="O286" i="1"/>
  <c r="J110" i="1"/>
  <c r="J112" i="1" s="1"/>
  <c r="E108" i="1"/>
  <c r="K105" i="1"/>
  <c r="K108" i="1"/>
  <c r="F110" i="1"/>
  <c r="F112" i="1" s="1"/>
  <c r="F105" i="1"/>
  <c r="G114" i="1"/>
  <c r="I95" i="21"/>
  <c r="E78" i="21"/>
  <c r="E88" i="21" s="1"/>
  <c r="I111" i="1"/>
  <c r="AP192" i="1"/>
  <c r="AO192" i="1"/>
  <c r="S252" i="1"/>
  <c r="AQ619" i="1"/>
  <c r="H631" i="1"/>
  <c r="H103" i="1"/>
  <c r="H108" i="1" s="1"/>
  <c r="I100" i="1"/>
  <c r="I189" i="1"/>
  <c r="K111" i="1"/>
  <c r="H100" i="1"/>
  <c r="H98" i="1"/>
  <c r="L97" i="1"/>
  <c r="E189" i="1"/>
  <c r="AW886" i="1"/>
  <c r="AX886" i="1" s="1"/>
  <c r="AF5" i="2"/>
  <c r="AE5" i="2"/>
  <c r="AD5" i="2"/>
  <c r="AC5" i="2"/>
  <c r="S182" i="11"/>
  <c r="E119" i="1"/>
  <c r="E121" i="1" s="1"/>
  <c r="R51" i="1"/>
  <c r="R55" i="1"/>
  <c r="O644" i="1"/>
  <c r="R52" i="1"/>
  <c r="I188" i="1"/>
  <c r="N110" i="1"/>
  <c r="R111" i="1" s="1"/>
  <c r="N108" i="1"/>
  <c r="Q110" i="1"/>
  <c r="Q112" i="1" s="1"/>
  <c r="Q108" i="1"/>
  <c r="O110" i="1"/>
  <c r="O108" i="1"/>
  <c r="O105" i="1"/>
  <c r="P111" i="1"/>
  <c r="P112" i="1"/>
  <c r="M108" i="1"/>
  <c r="M110" i="1"/>
  <c r="R112" i="1"/>
  <c r="O94" i="21"/>
  <c r="N105" i="1"/>
  <c r="R121" i="1"/>
  <c r="R122" i="1" s="1"/>
  <c r="R126" i="1"/>
  <c r="R120" i="1"/>
  <c r="M119" i="1"/>
  <c r="M79" i="21" s="1"/>
  <c r="M100" i="1"/>
  <c r="P120" i="1"/>
  <c r="P121" i="1"/>
  <c r="P126" i="1"/>
  <c r="T120" i="1"/>
  <c r="N122" i="1"/>
  <c r="R987" i="1"/>
  <c r="R994" i="1" s="1"/>
  <c r="O121" i="1"/>
  <c r="O122" i="1" s="1"/>
  <c r="O120" i="1"/>
  <c r="O126" i="1"/>
  <c r="Q100" i="1"/>
  <c r="Q119" i="1"/>
  <c r="Q987" i="1" s="1"/>
  <c r="Q188" i="1"/>
  <c r="I209" i="1"/>
  <c r="I105" i="1" s="1"/>
  <c r="M209" i="1"/>
  <c r="M105" i="1" s="1"/>
  <c r="M188" i="1"/>
  <c r="Q209" i="1"/>
  <c r="Q105" i="1" s="1"/>
  <c r="M189" i="1"/>
  <c r="E209" i="1"/>
  <c r="E105" i="1" s="1"/>
  <c r="P92" i="21"/>
  <c r="O92" i="21"/>
  <c r="E112" i="1"/>
  <c r="U435" i="1"/>
  <c r="P93" i="21"/>
  <c r="P78" i="21"/>
  <c r="P97" i="21" s="1"/>
  <c r="O93" i="21"/>
  <c r="G644" i="1"/>
  <c r="G987" i="1"/>
  <c r="G994" i="1" s="1"/>
  <c r="K55" i="1"/>
  <c r="K120" i="1"/>
  <c r="O95" i="21"/>
  <c r="K122" i="1"/>
  <c r="O78" i="21"/>
  <c r="O97" i="21" s="1"/>
  <c r="O245" i="1"/>
  <c r="O116" i="1" s="1"/>
  <c r="P52" i="1"/>
  <c r="L79" i="21"/>
  <c r="AO164" i="2"/>
  <c r="AO175" i="2" s="1"/>
  <c r="AP164" i="2" s="1"/>
  <c r="AP175" i="2" s="1"/>
  <c r="AL100" i="2"/>
  <c r="AK112" i="2"/>
  <c r="AM161" i="2"/>
  <c r="AK49" i="2"/>
  <c r="AK56" i="2" s="1"/>
  <c r="AL37" i="2"/>
  <c r="AN77" i="2"/>
  <c r="AQ140" i="2"/>
  <c r="AR140" i="2" s="1"/>
  <c r="AS140" i="2" s="1"/>
  <c r="AT140" i="2" s="1"/>
  <c r="AN14" i="2"/>
  <c r="AQ7" i="11"/>
  <c r="AP6" i="11"/>
  <c r="U15" i="21"/>
  <c r="U16" i="21" s="1"/>
  <c r="J88" i="21"/>
  <c r="N88" i="21"/>
  <c r="N97" i="21"/>
  <c r="M88" i="21"/>
  <c r="M97" i="21"/>
  <c r="L88" i="21"/>
  <c r="S15" i="21"/>
  <c r="U29" i="21"/>
  <c r="U27" i="21"/>
  <c r="U31" i="21"/>
  <c r="S30" i="21"/>
  <c r="S28" i="21"/>
  <c r="U30" i="21"/>
  <c r="S27" i="21"/>
  <c r="S31" i="21"/>
  <c r="U28" i="21"/>
  <c r="S29" i="21"/>
  <c r="P51" i="1"/>
  <c r="L51" i="1"/>
  <c r="L55" i="1"/>
  <c r="K51" i="1"/>
  <c r="O51" i="1"/>
  <c r="L644" i="1"/>
  <c r="H644" i="1"/>
  <c r="I644" i="1"/>
  <c r="P644" i="1"/>
  <c r="AL644" i="1"/>
  <c r="P190" i="1"/>
  <c r="AM120" i="1"/>
  <c r="U22" i="21"/>
  <c r="S22" i="21"/>
  <c r="U21" i="21"/>
  <c r="S21" i="21"/>
  <c r="U20" i="21"/>
  <c r="S20" i="21"/>
  <c r="U19" i="21"/>
  <c r="V19" i="21"/>
  <c r="W10" i="21"/>
  <c r="AA19" i="21" s="1"/>
  <c r="S19" i="21"/>
  <c r="L126" i="1"/>
  <c r="L987" i="1"/>
  <c r="L994" i="1" s="1"/>
  <c r="L121" i="1"/>
  <c r="L120" i="1"/>
  <c r="H987" i="1"/>
  <c r="H994" i="1" s="1"/>
  <c r="H121" i="1"/>
  <c r="P987" i="1"/>
  <c r="P994" i="1" s="1"/>
  <c r="L190" i="1"/>
  <c r="T435" i="1"/>
  <c r="T252" i="1"/>
  <c r="I987" i="1"/>
  <c r="I121" i="1"/>
  <c r="I126" i="1"/>
  <c r="AD7" i="10"/>
  <c r="AC6" i="10"/>
  <c r="S621" i="1"/>
  <c r="S620" i="1"/>
  <c r="U354" i="1"/>
  <c r="T462" i="1"/>
  <c r="U252" i="1"/>
  <c r="G957" i="1"/>
  <c r="G4" i="1" s="1"/>
  <c r="H954" i="1"/>
  <c r="H955" i="1" s="1"/>
  <c r="H957" i="1" s="1"/>
  <c r="H4" i="1" s="1"/>
  <c r="S12" i="1"/>
  <c r="K957" i="1"/>
  <c r="K4" i="1" s="1"/>
  <c r="L954" i="1"/>
  <c r="L955" i="1" s="1"/>
  <c r="L957" i="1" s="1"/>
  <c r="L4" i="1" s="1"/>
  <c r="AM112" i="1"/>
  <c r="AM111" i="1"/>
  <c r="Q52" i="1"/>
  <c r="Q55" i="1"/>
  <c r="Q814" i="1" s="1"/>
  <c r="Q817" i="1" s="1"/>
  <c r="Q820" i="1" s="1"/>
  <c r="Q51" i="1"/>
  <c r="T12" i="1"/>
  <c r="J122" i="1"/>
  <c r="I52" i="1"/>
  <c r="I55" i="1"/>
  <c r="I814" i="1" s="1"/>
  <c r="I817" i="1" s="1"/>
  <c r="I820" i="1" s="1"/>
  <c r="I51" i="1"/>
  <c r="S354" i="1"/>
  <c r="AL987" i="1"/>
  <c r="AL121" i="1"/>
  <c r="AM122" i="1" s="1"/>
  <c r="S515" i="1"/>
  <c r="AP6" i="2"/>
  <c r="AO5" i="2"/>
  <c r="AO77" i="2" s="1"/>
  <c r="O994" i="1"/>
  <c r="T5" i="9"/>
  <c r="S5" i="9"/>
  <c r="R5" i="9"/>
  <c r="V6" i="9"/>
  <c r="U5" i="9"/>
  <c r="V201" i="1"/>
  <c r="W888" i="1"/>
  <c r="W895" i="1" s="1"/>
  <c r="F994" i="1"/>
  <c r="F220" i="1"/>
  <c r="F237" i="1" s="1"/>
  <c r="F64" i="1"/>
  <c r="F63" i="1"/>
  <c r="W969" i="1"/>
  <c r="AM994" i="1"/>
  <c r="AM990" i="1"/>
  <c r="AM991" i="1"/>
  <c r="T515" i="1"/>
  <c r="AL52" i="1"/>
  <c r="AL55" i="1"/>
  <c r="S435" i="1"/>
  <c r="M52" i="1"/>
  <c r="M55" i="1"/>
  <c r="M814" i="1" s="1"/>
  <c r="M817" i="1" s="1"/>
  <c r="M820" i="1" s="1"/>
  <c r="M51" i="1"/>
  <c r="AM220" i="1"/>
  <c r="AM237" i="1" s="1"/>
  <c r="AM114" i="1" s="1"/>
  <c r="AM64" i="1"/>
  <c r="AM63" i="1"/>
  <c r="J994" i="1"/>
  <c r="U515" i="1"/>
  <c r="N994" i="1"/>
  <c r="T381" i="1"/>
  <c r="O957" i="1"/>
  <c r="O4" i="1" s="1"/>
  <c r="P954" i="1"/>
  <c r="P955" i="1" s="1"/>
  <c r="W251" i="1"/>
  <c r="S279" i="1"/>
  <c r="AK5" i="9"/>
  <c r="AL6" i="9"/>
  <c r="P220" i="1"/>
  <c r="P237" i="1" s="1"/>
  <c r="P114" i="1" s="1"/>
  <c r="P63" i="1"/>
  <c r="P64" i="1"/>
  <c r="S381" i="1"/>
  <c r="N220" i="1"/>
  <c r="N237" i="1" s="1"/>
  <c r="N64" i="1"/>
  <c r="N63" i="1"/>
  <c r="U620" i="1"/>
  <c r="U621" i="1"/>
  <c r="J220" i="1"/>
  <c r="J237" i="1" s="1"/>
  <c r="J64" i="1"/>
  <c r="J63" i="1"/>
  <c r="H220" i="1"/>
  <c r="H237" i="1" s="1"/>
  <c r="H63" i="1"/>
  <c r="H64" i="1"/>
  <c r="T279" i="1"/>
  <c r="T6" i="11"/>
  <c r="S6" i="11"/>
  <c r="U7" i="11"/>
  <c r="V7" i="11" s="1"/>
  <c r="W7" i="11" s="1"/>
  <c r="X7" i="11" s="1"/>
  <c r="Y7" i="11" s="1"/>
  <c r="R6" i="11"/>
  <c r="Q6" i="11"/>
  <c r="S540" i="1"/>
  <c r="E52" i="1"/>
  <c r="E55" i="1"/>
  <c r="AM840" i="1" l="1"/>
  <c r="D7" i="42"/>
  <c r="D13" i="42" s="1"/>
  <c r="W972" i="1"/>
  <c r="W970" i="1"/>
  <c r="AM839" i="1"/>
  <c r="H239" i="1"/>
  <c r="H245" i="1" s="1"/>
  <c r="H116" i="1" s="1"/>
  <c r="H972" i="1"/>
  <c r="F239" i="1"/>
  <c r="F972" i="1"/>
  <c r="N239" i="1"/>
  <c r="N972" i="1"/>
  <c r="AM239" i="1"/>
  <c r="AM245" i="1" s="1"/>
  <c r="AM116" i="1" s="1"/>
  <c r="AM972" i="1"/>
  <c r="J239" i="1"/>
  <c r="J245" i="1" s="1"/>
  <c r="J116" i="1" s="1"/>
  <c r="J972" i="1"/>
  <c r="P239" i="1"/>
  <c r="P245" i="1" s="1"/>
  <c r="P116" i="1" s="1"/>
  <c r="P972" i="1"/>
  <c r="R220" i="1"/>
  <c r="R237" i="1" s="1"/>
  <c r="R114" i="1" s="1"/>
  <c r="R814" i="1"/>
  <c r="R817" i="1" s="1"/>
  <c r="R820" i="1" s="1"/>
  <c r="L63" i="1"/>
  <c r="L814" i="1"/>
  <c r="L817" i="1" s="1"/>
  <c r="L820" i="1" s="1"/>
  <c r="K64" i="1"/>
  <c r="K814" i="1"/>
  <c r="K817" i="1" s="1"/>
  <c r="K820" i="1" s="1"/>
  <c r="AU38" i="1"/>
  <c r="Y24" i="21"/>
  <c r="AJ769" i="1"/>
  <c r="AI805" i="1"/>
  <c r="H79" i="21"/>
  <c r="L97" i="21"/>
  <c r="AJ801" i="1"/>
  <c r="AJ815" i="1" s="1"/>
  <c r="AJ750" i="1"/>
  <c r="F79" i="21"/>
  <c r="F88" i="21"/>
  <c r="I97" i="21"/>
  <c r="H110" i="1"/>
  <c r="L111" i="1" s="1"/>
  <c r="K97" i="21"/>
  <c r="G79" i="21"/>
  <c r="J114" i="1"/>
  <c r="R64" i="1"/>
  <c r="F114" i="1"/>
  <c r="J111" i="1"/>
  <c r="R63" i="1"/>
  <c r="I190" i="1"/>
  <c r="M190" i="1"/>
  <c r="H105" i="1"/>
  <c r="M644" i="1"/>
  <c r="N114" i="1"/>
  <c r="M987" i="1"/>
  <c r="O988" i="1" s="1"/>
  <c r="E79" i="21"/>
  <c r="E644" i="1"/>
  <c r="I120" i="1"/>
  <c r="E987" i="1"/>
  <c r="E994" i="1" s="1"/>
  <c r="O111" i="1"/>
  <c r="O112" i="1"/>
  <c r="O114" i="1"/>
  <c r="Q111" i="1"/>
  <c r="M111" i="1"/>
  <c r="M112" i="1"/>
  <c r="N111" i="1"/>
  <c r="N112" i="1"/>
  <c r="K220" i="1"/>
  <c r="K237" i="1" s="1"/>
  <c r="K114" i="1" s="1"/>
  <c r="M120" i="1"/>
  <c r="M126" i="1"/>
  <c r="M121" i="1"/>
  <c r="M122" i="1" s="1"/>
  <c r="P122" i="1"/>
  <c r="T122" i="1"/>
  <c r="Q121" i="1"/>
  <c r="Q120" i="1"/>
  <c r="Q126" i="1"/>
  <c r="Q190" i="1"/>
  <c r="Z7" i="11"/>
  <c r="AA7" i="11" s="1"/>
  <c r="AB7" i="11" s="1"/>
  <c r="AC7" i="11" s="1"/>
  <c r="AB6" i="11"/>
  <c r="AA6" i="11"/>
  <c r="Z6" i="11"/>
  <c r="Y6" i="11"/>
  <c r="P79" i="21"/>
  <c r="P88" i="21"/>
  <c r="L220" i="1"/>
  <c r="L237" i="1" s="1"/>
  <c r="L114" i="1" s="1"/>
  <c r="K63" i="1"/>
  <c r="O88" i="21"/>
  <c r="O79" i="21"/>
  <c r="N245" i="1"/>
  <c r="N116" i="1" s="1"/>
  <c r="AM19" i="2"/>
  <c r="AM34" i="2"/>
  <c r="AN22" i="2" s="1"/>
  <c r="AM197" i="2"/>
  <c r="AN197" i="2"/>
  <c r="AF95" i="1" s="1"/>
  <c r="AN149" i="2"/>
  <c r="AN161" i="2" s="1"/>
  <c r="AM176" i="2"/>
  <c r="AM183" i="2" s="1"/>
  <c r="AL111" i="2"/>
  <c r="AL133" i="2"/>
  <c r="AL48" i="2"/>
  <c r="AL70" i="2"/>
  <c r="AK119" i="2"/>
  <c r="AK196" i="2"/>
  <c r="AR7" i="11"/>
  <c r="AQ6" i="11"/>
  <c r="U47" i="21"/>
  <c r="S49" i="21"/>
  <c r="U24" i="21"/>
  <c r="S16" i="21"/>
  <c r="S24" i="21"/>
  <c r="U32" i="21"/>
  <c r="S32" i="21"/>
  <c r="S48" i="21"/>
  <c r="U46" i="21"/>
  <c r="S55" i="21"/>
  <c r="S46" i="21"/>
  <c r="S47" i="21"/>
  <c r="S58" i="21"/>
  <c r="L64" i="1"/>
  <c r="U55" i="21"/>
  <c r="S57" i="21"/>
  <c r="Q988" i="1"/>
  <c r="Q990" i="1" s="1"/>
  <c r="U56" i="21"/>
  <c r="S56" i="21"/>
  <c r="I988" i="1"/>
  <c r="I990" i="1" s="1"/>
  <c r="W19" i="21"/>
  <c r="I122" i="1"/>
  <c r="L122" i="1"/>
  <c r="Q994" i="1"/>
  <c r="AE7" i="10"/>
  <c r="AG7" i="10" s="1"/>
  <c r="AD6" i="10"/>
  <c r="L988" i="1"/>
  <c r="I994" i="1"/>
  <c r="K988" i="1"/>
  <c r="AL220" i="1"/>
  <c r="AL237" i="1" s="1"/>
  <c r="AL114" i="1" s="1"/>
  <c r="AL63" i="1"/>
  <c r="AL64" i="1"/>
  <c r="V271" i="1"/>
  <c r="V270" i="1"/>
  <c r="W201" i="1"/>
  <c r="E220" i="1"/>
  <c r="AN220" i="1" s="1"/>
  <c r="E63" i="1"/>
  <c r="E64" i="1"/>
  <c r="T373" i="1"/>
  <c r="T372" i="1"/>
  <c r="R988" i="1"/>
  <c r="U271" i="1"/>
  <c r="U270" i="1"/>
  <c r="S453" i="1"/>
  <c r="S454" i="1"/>
  <c r="T454" i="1"/>
  <c r="T453" i="1"/>
  <c r="J988" i="1"/>
  <c r="AV760" i="1"/>
  <c r="AW760" i="1" s="1"/>
  <c r="AX760" i="1" s="1"/>
  <c r="S270" i="1"/>
  <c r="S271" i="1"/>
  <c r="U373" i="1"/>
  <c r="U372" i="1"/>
  <c r="P957" i="1"/>
  <c r="P4" i="1" s="1"/>
  <c r="Q954" i="1"/>
  <c r="Q955" i="1" s="1"/>
  <c r="U610" i="1"/>
  <c r="AQ6" i="2"/>
  <c r="AP5" i="2"/>
  <c r="AP77" i="2" s="1"/>
  <c r="AL994" i="1"/>
  <c r="AL990" i="1"/>
  <c r="AL991" i="1"/>
  <c r="I220" i="1"/>
  <c r="I63" i="1"/>
  <c r="I64" i="1"/>
  <c r="Q220" i="1"/>
  <c r="Q63" i="1"/>
  <c r="Q64" i="1"/>
  <c r="AV779" i="1"/>
  <c r="AW779" i="1" s="1"/>
  <c r="AX779" i="1" s="1"/>
  <c r="AV776" i="1"/>
  <c r="AW776" i="1" s="1"/>
  <c r="AX776" i="1" s="1"/>
  <c r="T271" i="1"/>
  <c r="T270" i="1"/>
  <c r="S531" i="1"/>
  <c r="S532" i="1"/>
  <c r="W6" i="11"/>
  <c r="X6" i="11"/>
  <c r="V6" i="11"/>
  <c r="U6" i="11"/>
  <c r="S373" i="1"/>
  <c r="S372" i="1"/>
  <c r="AM6" i="9"/>
  <c r="AM44" i="9" s="1"/>
  <c r="AL5" i="9"/>
  <c r="M220" i="1"/>
  <c r="AP220" i="1" s="1"/>
  <c r="M63" i="1"/>
  <c r="M64" i="1"/>
  <c r="X888" i="1"/>
  <c r="W6" i="9"/>
  <c r="T532" i="1"/>
  <c r="T531" i="1"/>
  <c r="S628" i="1"/>
  <c r="U453" i="1"/>
  <c r="U454" i="1"/>
  <c r="D19" i="42" l="1"/>
  <c r="D20" i="42" s="1"/>
  <c r="D18" i="42"/>
  <c r="E239" i="1"/>
  <c r="E972" i="1"/>
  <c r="L239" i="1"/>
  <c r="L972" i="1"/>
  <c r="I239" i="1"/>
  <c r="I245" i="1" s="1"/>
  <c r="I116" i="1" s="1"/>
  <c r="I117" i="1" s="1"/>
  <c r="I972" i="1"/>
  <c r="M239" i="1"/>
  <c r="M245" i="1" s="1"/>
  <c r="M116" i="1" s="1"/>
  <c r="M972" i="1"/>
  <c r="Q239" i="1"/>
  <c r="Q972" i="1"/>
  <c r="R239" i="1"/>
  <c r="R245" i="1" s="1"/>
  <c r="R116" i="1" s="1"/>
  <c r="R117" i="1" s="1"/>
  <c r="R972" i="1"/>
  <c r="AL239" i="1"/>
  <c r="AL245" i="1" s="1"/>
  <c r="AL116" i="1" s="1"/>
  <c r="AM117" i="1" s="1"/>
  <c r="AL972" i="1"/>
  <c r="K239" i="1"/>
  <c r="K245" i="1" s="1"/>
  <c r="K116" i="1" s="1"/>
  <c r="O117" i="1" s="1"/>
  <c r="K972" i="1"/>
  <c r="AV38" i="1"/>
  <c r="AU769" i="1"/>
  <c r="AJ805" i="1"/>
  <c r="H114" i="1"/>
  <c r="AU750" i="1"/>
  <c r="AU767" i="1"/>
  <c r="H112" i="1"/>
  <c r="AO220" i="1"/>
  <c r="AQ5" i="2"/>
  <c r="AR6" i="2"/>
  <c r="AM43" i="9"/>
  <c r="M994" i="1"/>
  <c r="P988" i="1"/>
  <c r="P990" i="1" s="1"/>
  <c r="Q122" i="1"/>
  <c r="M988" i="1"/>
  <c r="M990" i="1" s="1"/>
  <c r="N988" i="1"/>
  <c r="N991" i="1" s="1"/>
  <c r="AT32" i="1"/>
  <c r="N117" i="1"/>
  <c r="H988" i="1"/>
  <c r="H990" i="1" s="1"/>
  <c r="S986" i="1"/>
  <c r="S993" i="1" s="1"/>
  <c r="AQ628" i="1"/>
  <c r="AT156" i="1"/>
  <c r="Y969" i="1"/>
  <c r="X969" i="1"/>
  <c r="Q237" i="1"/>
  <c r="Q114" i="1" s="1"/>
  <c r="I237" i="1"/>
  <c r="I114" i="1" s="1"/>
  <c r="M237" i="1"/>
  <c r="M114" i="1" s="1"/>
  <c r="AD7" i="11"/>
  <c r="AC6" i="11"/>
  <c r="X201" i="1"/>
  <c r="AM33" i="9"/>
  <c r="AN34" i="2"/>
  <c r="AO22" i="2" s="1"/>
  <c r="J117" i="1"/>
  <c r="Q245" i="1"/>
  <c r="Q116" i="1" s="1"/>
  <c r="L245" i="1"/>
  <c r="L116" i="1" s="1"/>
  <c r="P117" i="1" s="1"/>
  <c r="AO149" i="2"/>
  <c r="AO151" i="2" s="1"/>
  <c r="AO161" i="2" s="1"/>
  <c r="AP149" i="2" s="1"/>
  <c r="AN176" i="2"/>
  <c r="AN183" i="2" s="1"/>
  <c r="AM100" i="2"/>
  <c r="AM133" i="2" s="1"/>
  <c r="AL112" i="2"/>
  <c r="AQ17" i="2"/>
  <c r="AR17" i="2" s="1"/>
  <c r="AS17" i="2" s="1"/>
  <c r="AT17" i="2" s="1"/>
  <c r="AL49" i="2"/>
  <c r="AL56" i="2" s="1"/>
  <c r="AM37" i="2"/>
  <c r="AM70" i="2" s="1"/>
  <c r="AR6" i="11"/>
  <c r="AS7" i="11"/>
  <c r="S68" i="21"/>
  <c r="U59" i="21"/>
  <c r="U50" i="21"/>
  <c r="S59" i="21"/>
  <c r="S50" i="21"/>
  <c r="Q991" i="1"/>
  <c r="I991" i="1"/>
  <c r="AR58" i="1"/>
  <c r="K990" i="1"/>
  <c r="K991" i="1"/>
  <c r="AH7" i="10"/>
  <c r="AE6" i="10"/>
  <c r="E237" i="1"/>
  <c r="E114" i="1" s="1"/>
  <c r="AN6" i="9"/>
  <c r="AM5" i="9"/>
  <c r="AM40" i="9"/>
  <c r="Q957" i="1"/>
  <c r="Q4" i="1" s="1"/>
  <c r="R954" i="1"/>
  <c r="R955" i="1" s="1"/>
  <c r="S954" i="1" s="1"/>
  <c r="S955" i="1" s="1"/>
  <c r="T954" i="1" s="1"/>
  <c r="T955" i="1" s="1"/>
  <c r="U954" i="1" s="1"/>
  <c r="U955" i="1" s="1"/>
  <c r="S748" i="1"/>
  <c r="S791" i="1" s="1"/>
  <c r="S793" i="1" s="1"/>
  <c r="S797" i="1" s="1"/>
  <c r="J990" i="1"/>
  <c r="J991" i="1"/>
  <c r="AM37" i="9"/>
  <c r="AM41" i="9"/>
  <c r="S623" i="1"/>
  <c r="AQ623" i="1" s="1"/>
  <c r="R990" i="1"/>
  <c r="R991" i="1"/>
  <c r="L990" i="1"/>
  <c r="L991" i="1"/>
  <c r="X6" i="9"/>
  <c r="O990" i="1"/>
  <c r="O991" i="1"/>
  <c r="S630" i="1"/>
  <c r="S629" i="1"/>
  <c r="AM34" i="9"/>
  <c r="AM38" i="9"/>
  <c r="AM42" i="9"/>
  <c r="AM45" i="9"/>
  <c r="T986" i="1"/>
  <c r="AN44" i="9" l="1"/>
  <c r="Y972" i="1"/>
  <c r="Y970" i="1"/>
  <c r="X972" i="1"/>
  <c r="X970" i="1"/>
  <c r="K117" i="1"/>
  <c r="AW38" i="1"/>
  <c r="AO6" i="9"/>
  <c r="AO5" i="9" s="1"/>
  <c r="AU801" i="1"/>
  <c r="AV767" i="1"/>
  <c r="AW767" i="1" s="1"/>
  <c r="AX767" i="1" s="1"/>
  <c r="AU805" i="1"/>
  <c r="AV769" i="1"/>
  <c r="AV750" i="1"/>
  <c r="N990" i="1"/>
  <c r="P991" i="1"/>
  <c r="AN5" i="9"/>
  <c r="AS6" i="2"/>
  <c r="AR5" i="2"/>
  <c r="AR60" i="1"/>
  <c r="AR976" i="1" s="1"/>
  <c r="AR975" i="1"/>
  <c r="AN43" i="9"/>
  <c r="H991" i="1"/>
  <c r="M991" i="1"/>
  <c r="Q117" i="1"/>
  <c r="Y182" i="11"/>
  <c r="Z969" i="1"/>
  <c r="AE95" i="1"/>
  <c r="AT95" i="1" s="1"/>
  <c r="M117" i="1"/>
  <c r="AE7" i="11"/>
  <c r="AD6" i="11"/>
  <c r="V954" i="1"/>
  <c r="V955" i="1" s="1"/>
  <c r="U957" i="1"/>
  <c r="U4" i="1" s="1"/>
  <c r="Y201" i="1"/>
  <c r="AH6" i="10"/>
  <c r="AI7" i="10"/>
  <c r="AJ7" i="10" s="1"/>
  <c r="AJ6" i="10" s="1"/>
  <c r="AN41" i="9"/>
  <c r="AN33" i="9"/>
  <c r="AN35" i="9"/>
  <c r="AN39" i="9"/>
  <c r="AQ182" i="11"/>
  <c r="L117" i="1"/>
  <c r="AR895" i="1"/>
  <c r="X895" i="1"/>
  <c r="AO146" i="2"/>
  <c r="AO34" i="2"/>
  <c r="AP22" i="2" s="1"/>
  <c r="AQ11" i="2"/>
  <c r="AM48" i="2"/>
  <c r="AL119" i="2"/>
  <c r="AL196" i="2"/>
  <c r="AM111" i="2"/>
  <c r="AN100" i="2" s="1"/>
  <c r="AQ74" i="2"/>
  <c r="AP161" i="2"/>
  <c r="AO176" i="2"/>
  <c r="AO183" i="2" s="1"/>
  <c r="AQ164" i="2"/>
  <c r="AT7" i="11"/>
  <c r="AS6" i="11"/>
  <c r="S51" i="21"/>
  <c r="S60" i="21"/>
  <c r="S66" i="21"/>
  <c r="S67" i="21"/>
  <c r="S64" i="21"/>
  <c r="S65" i="21"/>
  <c r="S36" i="1"/>
  <c r="S170" i="1"/>
  <c r="AQ170" i="1" s="1"/>
  <c r="S35" i="1"/>
  <c r="S625" i="1"/>
  <c r="S624" i="1"/>
  <c r="S626" i="1"/>
  <c r="AN34" i="9"/>
  <c r="AN38" i="9"/>
  <c r="AN45" i="9"/>
  <c r="Y6" i="9"/>
  <c r="T36" i="1"/>
  <c r="T35" i="1"/>
  <c r="R957" i="1"/>
  <c r="R4" i="1" s="1"/>
  <c r="AN36" i="9"/>
  <c r="AN42" i="9"/>
  <c r="AO44" i="9" l="1"/>
  <c r="Z970" i="1"/>
  <c r="AD970" i="1"/>
  <c r="Z182" i="11"/>
  <c r="Z972" i="1"/>
  <c r="AU815" i="1"/>
  <c r="AU827" i="1"/>
  <c r="AV801" i="1"/>
  <c r="AX38" i="1"/>
  <c r="AO36" i="9"/>
  <c r="AO41" i="9"/>
  <c r="AO39" i="9"/>
  <c r="AO37" i="9"/>
  <c r="AO42" i="9"/>
  <c r="AO33" i="9"/>
  <c r="AO35" i="9"/>
  <c r="AO43" i="9"/>
  <c r="AO40" i="9"/>
  <c r="AO34" i="9"/>
  <c r="AW769" i="1"/>
  <c r="AV805" i="1"/>
  <c r="AW750" i="1"/>
  <c r="AW801" i="1"/>
  <c r="AS5" i="2"/>
  <c r="AT6" i="2"/>
  <c r="AT5" i="2" s="1"/>
  <c r="AI6" i="10"/>
  <c r="AQ86" i="2"/>
  <c r="AR74" i="2"/>
  <c r="AQ23" i="2"/>
  <c r="AR11" i="2"/>
  <c r="Z6" i="9"/>
  <c r="AN111" i="2"/>
  <c r="AO100" i="2" s="1"/>
  <c r="AN133" i="2"/>
  <c r="AA969" i="1"/>
  <c r="AF7" i="11"/>
  <c r="AE6" i="11"/>
  <c r="W954" i="1"/>
  <c r="W955" i="1" s="1"/>
  <c r="V957" i="1"/>
  <c r="V4" i="1" s="1"/>
  <c r="Z201" i="1"/>
  <c r="AM49" i="2"/>
  <c r="AM56" i="2" s="1"/>
  <c r="AN37" i="2"/>
  <c r="AP34" i="2"/>
  <c r="AQ22" i="2" s="1"/>
  <c r="AQ12" i="2" s="1"/>
  <c r="AQ165" i="2"/>
  <c r="AQ175" i="2" s="1"/>
  <c r="AR164" i="2" s="1"/>
  <c r="AR165" i="2" s="1"/>
  <c r="AR175" i="2" s="1"/>
  <c r="AS164" i="2" s="1"/>
  <c r="AS165" i="2" s="1"/>
  <c r="AS175" i="2" s="1"/>
  <c r="AT164" i="2" s="1"/>
  <c r="S187" i="1"/>
  <c r="AT6" i="11"/>
  <c r="S69" i="21"/>
  <c r="X5" i="9"/>
  <c r="Y5" i="9"/>
  <c r="W5" i="9"/>
  <c r="V5" i="9"/>
  <c r="AK86" i="9" l="1"/>
  <c r="AA970" i="1"/>
  <c r="AE970" i="1"/>
  <c r="AV815" i="1"/>
  <c r="AV827" i="1"/>
  <c r="AA182" i="11"/>
  <c r="AA972" i="1"/>
  <c r="AW815" i="1"/>
  <c r="AW827" i="1"/>
  <c r="AX769" i="1"/>
  <c r="AX805" i="1" s="1"/>
  <c r="AW805" i="1"/>
  <c r="AX801" i="1"/>
  <c r="AX750" i="1"/>
  <c r="AT165" i="2"/>
  <c r="AT175" i="2" s="1"/>
  <c r="AR86" i="2"/>
  <c r="AS74" i="2"/>
  <c r="AR23" i="2"/>
  <c r="AS11" i="2"/>
  <c r="AK85" i="9"/>
  <c r="Z5" i="9"/>
  <c r="AA6" i="9"/>
  <c r="AB969" i="1"/>
  <c r="AF6" i="11"/>
  <c r="AO111" i="2"/>
  <c r="AO133" i="2"/>
  <c r="AV7" i="11"/>
  <c r="S119" i="1"/>
  <c r="S100" i="1"/>
  <c r="X954" i="1"/>
  <c r="X955" i="1" s="1"/>
  <c r="W957" i="1"/>
  <c r="W4" i="1" s="1"/>
  <c r="AA201" i="1"/>
  <c r="AK81" i="9"/>
  <c r="AK58" i="9"/>
  <c r="AK87" i="9"/>
  <c r="AK83" i="9"/>
  <c r="AK79" i="9"/>
  <c r="AK78" i="9"/>
  <c r="AQ24" i="2"/>
  <c r="AQ34" i="2" s="1"/>
  <c r="AR22" i="2" s="1"/>
  <c r="AR12" i="2" s="1"/>
  <c r="AN48" i="2"/>
  <c r="AQ149" i="2"/>
  <c r="AQ139" i="2" s="1"/>
  <c r="AP176" i="2"/>
  <c r="S188" i="1"/>
  <c r="S189" i="1"/>
  <c r="S190" i="1" s="1"/>
  <c r="AK56" i="9"/>
  <c r="AK75" i="9"/>
  <c r="AK64" i="9"/>
  <c r="AM39" i="9"/>
  <c r="AA44" i="9" l="1"/>
  <c r="AA22" i="9" s="1"/>
  <c r="AB970" i="1"/>
  <c r="AF970" i="1"/>
  <c r="AB182" i="11"/>
  <c r="AB972" i="1"/>
  <c r="AX815" i="1"/>
  <c r="AX827" i="1"/>
  <c r="AS86" i="2"/>
  <c r="AT74" i="2"/>
  <c r="AT86" i="2" s="1"/>
  <c r="AS23" i="2"/>
  <c r="AT11" i="2"/>
  <c r="AT23" i="2" s="1"/>
  <c r="AP183" i="2"/>
  <c r="AP100" i="2"/>
  <c r="AP133" i="2" s="1"/>
  <c r="AR24" i="2"/>
  <c r="AR34" i="2" s="1"/>
  <c r="AS969" i="1"/>
  <c r="AA35" i="9"/>
  <c r="AA12" i="9" s="1"/>
  <c r="AA43" i="9"/>
  <c r="AA21" i="9" s="1"/>
  <c r="AA34" i="9"/>
  <c r="AA11" i="9" s="1"/>
  <c r="AA57" i="9" s="1"/>
  <c r="AA76" i="9" s="1"/>
  <c r="AA42" i="9"/>
  <c r="AA20" i="9" s="1"/>
  <c r="AA65" i="9" s="1"/>
  <c r="AA84" i="9" s="1"/>
  <c r="AA33" i="9"/>
  <c r="AA36" i="9"/>
  <c r="AA13" i="9" s="1"/>
  <c r="AA59" i="9" s="1"/>
  <c r="AA78" i="9" s="1"/>
  <c r="AA37" i="9"/>
  <c r="AA14" i="9" s="1"/>
  <c r="AA45" i="9"/>
  <c r="AA23" i="9" s="1"/>
  <c r="AA39" i="9"/>
  <c r="AA16" i="9" s="1"/>
  <c r="AA41" i="9"/>
  <c r="AA19" i="9" s="1"/>
  <c r="AA40" i="9"/>
  <c r="AA38" i="9"/>
  <c r="AA15" i="9" s="1"/>
  <c r="AA5" i="9"/>
  <c r="AB6" i="9"/>
  <c r="AH7" i="11"/>
  <c r="AV6" i="11"/>
  <c r="AW7" i="11"/>
  <c r="AC969" i="1"/>
  <c r="AG970" i="1" s="1"/>
  <c r="S120" i="1"/>
  <c r="S121" i="1"/>
  <c r="S122" i="1" s="1"/>
  <c r="S126" i="1"/>
  <c r="AK68" i="9"/>
  <c r="AK62" i="9"/>
  <c r="X957" i="1"/>
  <c r="X4" i="1" s="1"/>
  <c r="Y954" i="1"/>
  <c r="Y955" i="1" s="1"/>
  <c r="AB201" i="1"/>
  <c r="AK77" i="9"/>
  <c r="AK59" i="9"/>
  <c r="AK60" i="9"/>
  <c r="AQ151" i="2"/>
  <c r="AQ161" i="2" s="1"/>
  <c r="AQ146" i="2"/>
  <c r="AO37" i="2"/>
  <c r="AN49" i="2"/>
  <c r="AN56" i="2" s="1"/>
  <c r="AK76" i="9"/>
  <c r="AK57" i="9"/>
  <c r="AK84" i="9"/>
  <c r="AK65" i="9"/>
  <c r="AK80" i="9"/>
  <c r="AK61" i="9"/>
  <c r="AA18" i="9" l="1"/>
  <c r="AA17" i="9"/>
  <c r="AB43" i="9"/>
  <c r="AA67" i="9"/>
  <c r="AA86" i="9" s="1"/>
  <c r="AB44" i="9"/>
  <c r="AB22" i="9" s="1"/>
  <c r="AC970" i="1"/>
  <c r="AQ176" i="2"/>
  <c r="AR149" i="2"/>
  <c r="AR139" i="2" s="1"/>
  <c r="AP111" i="2"/>
  <c r="AS22" i="2"/>
  <c r="AS12" i="2" s="1"/>
  <c r="AB34" i="9"/>
  <c r="AB11" i="9" s="1"/>
  <c r="AB57" i="9" s="1"/>
  <c r="AB76" i="9" s="1"/>
  <c r="AR969" i="1"/>
  <c r="AR970" i="1" s="1"/>
  <c r="AB21" i="9"/>
  <c r="AB66" i="9" s="1"/>
  <c r="AB85" i="9" s="1"/>
  <c r="AA66" i="9"/>
  <c r="AA85" i="9" s="1"/>
  <c r="AB39" i="9"/>
  <c r="AB16" i="9" s="1"/>
  <c r="AB62" i="9" s="1"/>
  <c r="AB81" i="9" s="1"/>
  <c r="AB36" i="9"/>
  <c r="AB13" i="9" s="1"/>
  <c r="AB59" i="9" s="1"/>
  <c r="AB78" i="9" s="1"/>
  <c r="AB42" i="9"/>
  <c r="AB20" i="9" s="1"/>
  <c r="AB65" i="9" s="1"/>
  <c r="AB84" i="9" s="1"/>
  <c r="AB45" i="9"/>
  <c r="AB23" i="9" s="1"/>
  <c r="AB68" i="9" s="1"/>
  <c r="AB87" i="9" s="1"/>
  <c r="AB41" i="9"/>
  <c r="AB19" i="9" s="1"/>
  <c r="AB40" i="9"/>
  <c r="AB18" i="9" s="1"/>
  <c r="AB63" i="9" s="1"/>
  <c r="AB82" i="9" s="1"/>
  <c r="AB38" i="9"/>
  <c r="AB15" i="9" s="1"/>
  <c r="AB61" i="9" s="1"/>
  <c r="AB80" i="9" s="1"/>
  <c r="AB37" i="9"/>
  <c r="AB14" i="9" s="1"/>
  <c r="AB60" i="9" s="1"/>
  <c r="AB79" i="9" s="1"/>
  <c r="AB35" i="9"/>
  <c r="AB12" i="9" s="1"/>
  <c r="AB58" i="9" s="1"/>
  <c r="AB77" i="9" s="1"/>
  <c r="AA64" i="9"/>
  <c r="AA83" i="9" s="1"/>
  <c r="AA68" i="9"/>
  <c r="AA87" i="9" s="1"/>
  <c r="AA61" i="9"/>
  <c r="AA80" i="9" s="1"/>
  <c r="AA60" i="9"/>
  <c r="AA79" i="9" s="1"/>
  <c r="AA46" i="9"/>
  <c r="AA62" i="9"/>
  <c r="AA81" i="9" s="1"/>
  <c r="AA58" i="9"/>
  <c r="AA77" i="9" s="1"/>
  <c r="AA63" i="9"/>
  <c r="AA82" i="9" s="1"/>
  <c r="AB33" i="9"/>
  <c r="AA10" i="9"/>
  <c r="AB5" i="9"/>
  <c r="AC6" i="9"/>
  <c r="AW6" i="11"/>
  <c r="AX7" i="11"/>
  <c r="AX6" i="11" s="1"/>
  <c r="AH6" i="11"/>
  <c r="AI7" i="11"/>
  <c r="AC182" i="11"/>
  <c r="AT765" i="1"/>
  <c r="Z954" i="1"/>
  <c r="Z955" i="1" s="1"/>
  <c r="Y957" i="1"/>
  <c r="Y4" i="1" s="1"/>
  <c r="AC201" i="1"/>
  <c r="AO48" i="2"/>
  <c r="AO19" i="2" s="1"/>
  <c r="AK63" i="9"/>
  <c r="AB17" i="9" l="1"/>
  <c r="AB67" i="9"/>
  <c r="AB86" i="9" s="1"/>
  <c r="AK22" i="9"/>
  <c r="AC44" i="9"/>
  <c r="AL44" i="9" s="1"/>
  <c r="AS970" i="1"/>
  <c r="AR146" i="2"/>
  <c r="AR151" i="2"/>
  <c r="AR161" i="2" s="1"/>
  <c r="AQ100" i="2"/>
  <c r="AQ101" i="2" s="1"/>
  <c r="AQ111" i="2" s="1"/>
  <c r="AR100" i="2" s="1"/>
  <c r="AR101" i="2" s="1"/>
  <c r="AR111" i="2" s="1"/>
  <c r="AS100" i="2" s="1"/>
  <c r="AS101" i="2" s="1"/>
  <c r="AS111" i="2" s="1"/>
  <c r="AT100" i="2" s="1"/>
  <c r="AS24" i="2"/>
  <c r="AS34" i="2" s="1"/>
  <c r="AT22" i="2" s="1"/>
  <c r="AT12" i="2" s="1"/>
  <c r="AC36" i="9"/>
  <c r="AC13" i="9" s="1"/>
  <c r="AC59" i="9" s="1"/>
  <c r="AC78" i="9" s="1"/>
  <c r="AK18" i="9"/>
  <c r="AK19" i="9"/>
  <c r="AK25" i="9"/>
  <c r="AK20" i="9"/>
  <c r="AK13" i="9"/>
  <c r="AK21" i="9"/>
  <c r="AK14" i="9"/>
  <c r="AK16" i="9"/>
  <c r="AK23" i="9"/>
  <c r="AK15" i="9"/>
  <c r="AK11" i="9"/>
  <c r="AK10" i="9"/>
  <c r="AK28" i="9"/>
  <c r="AK12" i="9"/>
  <c r="AC43" i="9"/>
  <c r="AC21" i="9" s="1"/>
  <c r="AC66" i="9" s="1"/>
  <c r="AC85" i="9" s="1"/>
  <c r="AC38" i="9"/>
  <c r="AC15" i="9" s="1"/>
  <c r="AC61" i="9" s="1"/>
  <c r="AC80" i="9" s="1"/>
  <c r="AB10" i="9"/>
  <c r="AB56" i="9" s="1"/>
  <c r="AB75" i="9" s="1"/>
  <c r="AC35" i="9"/>
  <c r="AC12" i="9" s="1"/>
  <c r="AC41" i="9"/>
  <c r="AC19" i="9" s="1"/>
  <c r="AC64" i="9" s="1"/>
  <c r="AC83" i="9" s="1"/>
  <c r="AC39" i="9"/>
  <c r="AC16" i="9" s="1"/>
  <c r="AC62" i="9" s="1"/>
  <c r="AC81" i="9" s="1"/>
  <c r="AC37" i="9"/>
  <c r="AC14" i="9" s="1"/>
  <c r="AC60" i="9" s="1"/>
  <c r="AC79" i="9" s="1"/>
  <c r="AC34" i="9"/>
  <c r="AC40" i="9"/>
  <c r="AC18" i="9" s="1"/>
  <c r="AC63" i="9" s="1"/>
  <c r="AC82" i="9" s="1"/>
  <c r="AC42" i="9"/>
  <c r="AC20" i="9" s="1"/>
  <c r="AC65" i="9" s="1"/>
  <c r="AC84" i="9" s="1"/>
  <c r="AB46" i="9"/>
  <c r="AB100" i="9" s="1"/>
  <c r="AA56" i="9"/>
  <c r="AA75" i="9" s="1"/>
  <c r="AA28" i="9"/>
  <c r="AH765" i="1" s="1"/>
  <c r="AA100" i="9"/>
  <c r="AC33" i="9"/>
  <c r="AC5" i="9"/>
  <c r="AB64" i="9"/>
  <c r="AB83" i="9" s="1"/>
  <c r="AC45" i="9"/>
  <c r="AC23" i="9" s="1"/>
  <c r="AC68" i="9" s="1"/>
  <c r="AC87" i="9" s="1"/>
  <c r="AI6" i="11"/>
  <c r="AJ7" i="11"/>
  <c r="AJ6" i="11" s="1"/>
  <c r="AA954" i="1"/>
  <c r="AA955" i="1" s="1"/>
  <c r="Z957" i="1"/>
  <c r="Z4" i="1" s="1"/>
  <c r="AT968" i="1"/>
  <c r="AP37" i="2"/>
  <c r="AO49" i="2"/>
  <c r="AO56" i="2" s="1"/>
  <c r="AK82" i="9"/>
  <c r="AC17" i="9" l="1"/>
  <c r="AL17" i="9" s="1"/>
  <c r="AM17" i="9" s="1"/>
  <c r="AK43" i="9"/>
  <c r="AK44" i="9"/>
  <c r="AC22" i="9"/>
  <c r="AK33" i="9"/>
  <c r="AK34" i="9"/>
  <c r="AK40" i="9"/>
  <c r="AK35" i="9"/>
  <c r="AK41" i="9"/>
  <c r="AK38" i="9"/>
  <c r="AL82" i="9"/>
  <c r="AK39" i="9"/>
  <c r="AK45" i="9"/>
  <c r="AK42" i="9"/>
  <c r="AK36" i="9"/>
  <c r="AL59" i="9"/>
  <c r="AL13" i="9"/>
  <c r="AM36" i="9" s="1"/>
  <c r="AM13" i="9" s="1"/>
  <c r="AL38" i="9"/>
  <c r="AT24" i="2"/>
  <c r="AT34" i="2" s="1"/>
  <c r="AL15" i="9"/>
  <c r="AM15" i="9" s="1"/>
  <c r="AN15" i="9" s="1"/>
  <c r="AO38" i="9" s="1"/>
  <c r="AT101" i="2"/>
  <c r="AT111" i="2" s="1"/>
  <c r="AL14" i="9"/>
  <c r="AM14" i="9" s="1"/>
  <c r="AM60" i="9" s="1"/>
  <c r="AM79" i="9" s="1"/>
  <c r="AL23" i="9"/>
  <c r="AM23" i="9" s="1"/>
  <c r="AN23" i="9" s="1"/>
  <c r="AO45" i="9" s="1"/>
  <c r="AO23" i="9" s="1"/>
  <c r="AO68" i="9" s="1"/>
  <c r="AO87" i="9" s="1"/>
  <c r="AL41" i="9"/>
  <c r="AL65" i="9"/>
  <c r="AL45" i="9"/>
  <c r="AR176" i="2"/>
  <c r="AS149" i="2"/>
  <c r="AC58" i="9"/>
  <c r="AL12" i="9"/>
  <c r="AL19" i="9"/>
  <c r="AM19" i="9" s="1"/>
  <c r="AL61" i="9"/>
  <c r="AL80" i="9"/>
  <c r="AL36" i="9"/>
  <c r="AL68" i="9"/>
  <c r="AL16" i="9"/>
  <c r="AM16" i="9" s="1"/>
  <c r="AL20" i="9"/>
  <c r="AM20" i="9" s="1"/>
  <c r="AL40" i="9"/>
  <c r="AL81" i="9"/>
  <c r="AL37" i="9"/>
  <c r="AL60" i="9"/>
  <c r="AL42" i="9"/>
  <c r="AL87" i="9"/>
  <c r="AL83" i="9"/>
  <c r="AL21" i="9"/>
  <c r="AL18" i="9"/>
  <c r="AL64" i="9"/>
  <c r="AL33" i="9"/>
  <c r="AL39" i="9"/>
  <c r="AC10" i="9"/>
  <c r="AL35" i="9"/>
  <c r="AL66" i="9"/>
  <c r="AL43" i="9"/>
  <c r="AL85" i="9"/>
  <c r="AL84" i="9"/>
  <c r="AK37" i="9"/>
  <c r="AL79" i="9"/>
  <c r="AL63" i="9"/>
  <c r="AL62" i="9"/>
  <c r="AL78" i="9"/>
  <c r="AC11" i="9"/>
  <c r="AL34" i="9"/>
  <c r="AB28" i="9"/>
  <c r="AI765" i="1" s="1"/>
  <c r="AC46" i="9"/>
  <c r="AA957" i="1"/>
  <c r="AA4" i="1" s="1"/>
  <c r="AB954" i="1"/>
  <c r="AB955" i="1" s="1"/>
  <c r="AP48" i="2"/>
  <c r="AP19" i="2" s="1"/>
  <c r="AC67" i="9" l="1"/>
  <c r="AL22" i="9"/>
  <c r="AO15" i="9"/>
  <c r="AO61" i="9" s="1"/>
  <c r="AO80" i="9" s="1"/>
  <c r="AO46" i="9"/>
  <c r="AK46" i="9"/>
  <c r="G39" i="13" s="1"/>
  <c r="AN37" i="9"/>
  <c r="AN14" i="9" s="1"/>
  <c r="AO14" i="9" s="1"/>
  <c r="AO60" i="9" s="1"/>
  <c r="AO79" i="9" s="1"/>
  <c r="AM61" i="9"/>
  <c r="AM80" i="9" s="1"/>
  <c r="AN61" i="9"/>
  <c r="AN80" i="9" s="1"/>
  <c r="AN68" i="9"/>
  <c r="AN87" i="9" s="1"/>
  <c r="AS139" i="2"/>
  <c r="AM64" i="9"/>
  <c r="AM83" i="9" s="1"/>
  <c r="AN19" i="9"/>
  <c r="AO19" i="9" s="1"/>
  <c r="AO64" i="9" s="1"/>
  <c r="AO83" i="9" s="1"/>
  <c r="AM68" i="9"/>
  <c r="AM87" i="9" s="1"/>
  <c r="AM18" i="9"/>
  <c r="AM63" i="9" s="1"/>
  <c r="AM82" i="9" s="1"/>
  <c r="AM59" i="9"/>
  <c r="AM78" i="9" s="1"/>
  <c r="AN13" i="9"/>
  <c r="AO13" i="9" s="1"/>
  <c r="AO59" i="9" s="1"/>
  <c r="AO78" i="9" s="1"/>
  <c r="AM21" i="9"/>
  <c r="AN21" i="9" s="1"/>
  <c r="AO21" i="9" s="1"/>
  <c r="AO66" i="9" s="1"/>
  <c r="AO85" i="9" s="1"/>
  <c r="AC56" i="9"/>
  <c r="AL10" i="9"/>
  <c r="AM10" i="9" s="1"/>
  <c r="AM65" i="9"/>
  <c r="AM84" i="9" s="1"/>
  <c r="AN20" i="9"/>
  <c r="AO20" i="9" s="1"/>
  <c r="AO65" i="9" s="1"/>
  <c r="AO84" i="9" s="1"/>
  <c r="AM35" i="9"/>
  <c r="AM12" i="9" s="1"/>
  <c r="AL46" i="9"/>
  <c r="AM62" i="9"/>
  <c r="AM81" i="9" s="1"/>
  <c r="AN16" i="9"/>
  <c r="AO16" i="9" s="1"/>
  <c r="AO62" i="9" s="1"/>
  <c r="AO81" i="9" s="1"/>
  <c r="AC77" i="9"/>
  <c r="AL77" i="9" s="1"/>
  <c r="AL58" i="9"/>
  <c r="AC57" i="9"/>
  <c r="AL11" i="9"/>
  <c r="AC28" i="9"/>
  <c r="AC100" i="9"/>
  <c r="AT201" i="1"/>
  <c r="AB957" i="1"/>
  <c r="AB4" i="1" s="1"/>
  <c r="AC954" i="1"/>
  <c r="AC955" i="1" s="1"/>
  <c r="AQ37" i="2"/>
  <c r="AP49" i="2"/>
  <c r="AP56" i="2" s="1"/>
  <c r="AM22" i="9" l="1"/>
  <c r="AM67" i="9"/>
  <c r="AM86" i="9" s="1"/>
  <c r="AC86" i="9"/>
  <c r="AL86" i="9" s="1"/>
  <c r="AL67" i="9"/>
  <c r="AL28" i="9"/>
  <c r="AJ765" i="1"/>
  <c r="AO100" i="9"/>
  <c r="AO28" i="9"/>
  <c r="AN60" i="9"/>
  <c r="AN79" i="9" s="1"/>
  <c r="AN62" i="9"/>
  <c r="AN81" i="9" s="1"/>
  <c r="AN65" i="9"/>
  <c r="AN84" i="9" s="1"/>
  <c r="AN66" i="9"/>
  <c r="AN85" i="9" s="1"/>
  <c r="AN59" i="9"/>
  <c r="AN78" i="9" s="1"/>
  <c r="AN64" i="9"/>
  <c r="AN83" i="9" s="1"/>
  <c r="AS146" i="2"/>
  <c r="AS151" i="2"/>
  <c r="AS161" i="2" s="1"/>
  <c r="AM58" i="9"/>
  <c r="AM77" i="9" s="1"/>
  <c r="AN12" i="9"/>
  <c r="AO12" i="9" s="1"/>
  <c r="AO58" i="9" s="1"/>
  <c r="AO77" i="9" s="1"/>
  <c r="AM46" i="9"/>
  <c r="AM56" i="9"/>
  <c r="AM75" i="9" s="1"/>
  <c r="AN10" i="9"/>
  <c r="AN40" i="9"/>
  <c r="AC75" i="9"/>
  <c r="AL75" i="9" s="1"/>
  <c r="AL56" i="9"/>
  <c r="AC76" i="9"/>
  <c r="AL76" i="9" s="1"/>
  <c r="AL57" i="9"/>
  <c r="AM66" i="9"/>
  <c r="AM85" i="9" s="1"/>
  <c r="AM11" i="9"/>
  <c r="AU765" i="1"/>
  <c r="AC957" i="1"/>
  <c r="AC4" i="1" s="1"/>
  <c r="AD954" i="1"/>
  <c r="AD955" i="1" s="1"/>
  <c r="AH39" i="1"/>
  <c r="AH816" i="1" s="1"/>
  <c r="AQ38" i="2"/>
  <c r="AQ48" i="2" s="1"/>
  <c r="AR37" i="2" s="1"/>
  <c r="AS14" i="21"/>
  <c r="AR66" i="1"/>
  <c r="AN899" i="1"/>
  <c r="AQ242" i="1"/>
  <c r="AT11" i="21"/>
  <c r="AT121" i="21" s="1"/>
  <c r="AO899" i="1"/>
  <c r="D9" i="12" s="1"/>
  <c r="D14" i="12" s="1"/>
  <c r="AR14" i="21"/>
  <c r="AV49" i="1"/>
  <c r="AW49" i="1" s="1"/>
  <c r="AX49" i="1" s="1"/>
  <c r="H169" i="5"/>
  <c r="AQ66" i="1"/>
  <c r="AV33" i="1"/>
  <c r="AU14" i="21"/>
  <c r="AS11" i="21"/>
  <c r="AS121" i="21" s="1"/>
  <c r="AT14" i="21"/>
  <c r="AR10" i="21"/>
  <c r="AR120" i="21" s="1"/>
  <c r="AP128" i="1"/>
  <c r="AS12" i="21"/>
  <c r="AS122" i="21" s="1"/>
  <c r="AR13" i="21"/>
  <c r="AR123" i="21" s="1"/>
  <c r="AT12" i="21"/>
  <c r="AT122" i="21" s="1"/>
  <c r="AS10" i="21"/>
  <c r="AS120" i="21" s="1"/>
  <c r="AV14" i="21"/>
  <c r="AN961" i="1"/>
  <c r="AR242" i="1"/>
  <c r="AR243" i="1"/>
  <c r="AR11" i="21"/>
  <c r="AR121" i="21" s="1"/>
  <c r="H105" i="6"/>
  <c r="AQ243" i="1"/>
  <c r="AP961" i="1"/>
  <c r="AR12" i="21"/>
  <c r="AR122" i="21" s="1"/>
  <c r="AT13" i="21"/>
  <c r="AT123" i="21" s="1"/>
  <c r="AO961" i="1"/>
  <c r="AS13" i="21"/>
  <c r="AS123" i="21" s="1"/>
  <c r="AP899" i="1"/>
  <c r="E9" i="12" s="1"/>
  <c r="E14" i="12" s="1"/>
  <c r="AO128" i="1"/>
  <c r="AN46" i="9" l="1"/>
  <c r="AN17" i="9"/>
  <c r="AO17" i="9" s="1"/>
  <c r="AN22" i="9"/>
  <c r="AO22" i="9" s="1"/>
  <c r="AO67" i="9" s="1"/>
  <c r="AO86" i="9" s="1"/>
  <c r="AN67" i="9"/>
  <c r="AN86" i="9" s="1"/>
  <c r="AO10" i="9"/>
  <c r="AO56" i="9" s="1"/>
  <c r="AO75" i="9" s="1"/>
  <c r="AN58" i="9"/>
  <c r="AN77" i="9" s="1"/>
  <c r="AX765" i="1"/>
  <c r="AS176" i="2"/>
  <c r="AT149" i="2"/>
  <c r="AN56" i="9"/>
  <c r="AN75" i="9" s="1"/>
  <c r="AR38" i="2"/>
  <c r="AR48" i="2" s="1"/>
  <c r="AR13" i="2" s="1"/>
  <c r="AN18" i="9"/>
  <c r="AO18" i="9" s="1"/>
  <c r="AO63" i="9" s="1"/>
  <c r="AO82" i="9" s="1"/>
  <c r="AN28" i="9"/>
  <c r="AW765" i="1" s="1"/>
  <c r="AN100" i="9"/>
  <c r="AM28" i="9"/>
  <c r="AV765" i="1" s="1"/>
  <c r="AM100" i="9"/>
  <c r="AM57" i="9"/>
  <c r="AM76" i="9" s="1"/>
  <c r="AN11" i="9"/>
  <c r="AO11" i="9" s="1"/>
  <c r="AO57" i="9" s="1"/>
  <c r="AO76" i="9" s="1"/>
  <c r="AE954" i="1"/>
  <c r="AE955" i="1" s="1"/>
  <c r="AD957" i="1"/>
  <c r="AI39" i="1"/>
  <c r="AI816" i="1" s="1"/>
  <c r="AH201" i="1"/>
  <c r="AW33" i="1"/>
  <c r="AV162" i="1"/>
  <c r="AV166" i="1" s="1"/>
  <c r="AV93" i="1" s="1"/>
  <c r="AN125" i="1"/>
  <c r="AN128" i="1"/>
  <c r="AU11" i="21"/>
  <c r="AQ674" i="1"/>
  <c r="AQ675" i="1"/>
  <c r="AQ416" i="1"/>
  <c r="AQ676" i="1"/>
  <c r="AQ417" i="1"/>
  <c r="AQ673" i="1"/>
  <c r="AQ418" i="1"/>
  <c r="AU13" i="21"/>
  <c r="AQ711" i="1"/>
  <c r="AQ577" i="1"/>
  <c r="AQ713" i="1"/>
  <c r="AQ575" i="1"/>
  <c r="AQ712" i="1"/>
  <c r="AQ578" i="1"/>
  <c r="AQ714" i="1"/>
  <c r="AQ576" i="1"/>
  <c r="AU12" i="21"/>
  <c r="AU122" i="21" s="1"/>
  <c r="AQ695" i="1"/>
  <c r="AQ499" i="1"/>
  <c r="AQ431" i="1" s="1"/>
  <c r="AQ692" i="1"/>
  <c r="AQ693" i="1"/>
  <c r="AQ497" i="1"/>
  <c r="AQ694" i="1"/>
  <c r="AQ498" i="1"/>
  <c r="AU120" i="21"/>
  <c r="AQ659" i="1"/>
  <c r="AQ658" i="1"/>
  <c r="AQ656" i="1"/>
  <c r="AQ306" i="1"/>
  <c r="AQ657" i="1"/>
  <c r="AT10" i="21"/>
  <c r="AP300" i="1"/>
  <c r="AO125" i="1"/>
  <c r="AP125" i="1"/>
  <c r="AP160" i="1"/>
  <c r="AP218" i="1"/>
  <c r="AO218" i="1"/>
  <c r="AN218" i="1"/>
  <c r="AR20" i="11"/>
  <c r="AR166" i="1"/>
  <c r="AQ160" i="1"/>
  <c r="AN139" i="1"/>
  <c r="AQ13" i="2"/>
  <c r="AQ19" i="2" s="1"/>
  <c r="AQ49" i="2"/>
  <c r="AR30" i="11"/>
  <c r="AS15" i="21"/>
  <c r="AR15" i="21"/>
  <c r="AS28" i="21"/>
  <c r="AS31" i="21"/>
  <c r="AR31" i="21"/>
  <c r="AR22" i="21"/>
  <c r="AR30" i="21"/>
  <c r="AS27" i="21"/>
  <c r="AS29" i="21"/>
  <c r="AS30" i="21"/>
  <c r="AR21" i="21"/>
  <c r="AR29" i="21"/>
  <c r="AR20" i="21"/>
  <c r="AR28" i="21"/>
  <c r="AR27" i="21"/>
  <c r="AS23" i="21"/>
  <c r="AR23" i="21"/>
  <c r="AV23" i="21"/>
  <c r="AW23" i="21"/>
  <c r="AU23" i="21"/>
  <c r="AP140" i="1"/>
  <c r="AP130" i="11" s="1"/>
  <c r="AQ448" i="1"/>
  <c r="AQ79" i="11" s="1"/>
  <c r="AP145" i="1"/>
  <c r="AP147" i="1" s="1"/>
  <c r="AP135" i="11" s="1"/>
  <c r="AP902" i="1"/>
  <c r="AP906" i="1"/>
  <c r="AP903" i="1"/>
  <c r="AP904" i="1"/>
  <c r="AP905" i="1"/>
  <c r="AN903" i="1"/>
  <c r="AN902" i="1"/>
  <c r="AN904" i="1"/>
  <c r="AN905" i="1"/>
  <c r="AN906" i="1"/>
  <c r="AO906" i="1"/>
  <c r="AO905" i="1"/>
  <c r="AO903" i="1"/>
  <c r="AO904" i="1"/>
  <c r="AO902" i="1"/>
  <c r="AU39" i="21"/>
  <c r="AP152" i="1"/>
  <c r="AT21" i="21"/>
  <c r="AQ366" i="1"/>
  <c r="AQ47" i="11" s="1"/>
  <c r="AQ367" i="1"/>
  <c r="AQ52" i="11" s="1"/>
  <c r="AR25" i="11"/>
  <c r="AQ264" i="1"/>
  <c r="AQ20" i="11" s="1"/>
  <c r="AQ265" i="1"/>
  <c r="AQ25" i="11" s="1"/>
  <c r="AQ266" i="1"/>
  <c r="AQ30" i="11" s="1"/>
  <c r="AT22" i="21"/>
  <c r="AS22" i="21"/>
  <c r="AQ447" i="1"/>
  <c r="AQ74" i="11" s="1"/>
  <c r="AS21" i="21"/>
  <c r="AS20" i="21"/>
  <c r="AT20" i="21"/>
  <c r="AS19" i="21"/>
  <c r="AR19" i="21"/>
  <c r="AN237" i="1"/>
  <c r="AN152" i="1"/>
  <c r="AN166" i="1"/>
  <c r="AQ368" i="1"/>
  <c r="AQ57" i="11" s="1"/>
  <c r="AQ525" i="1"/>
  <c r="AQ96" i="11" s="1"/>
  <c r="AQ27" i="1"/>
  <c r="AQ28" i="1"/>
  <c r="AN86" i="1"/>
  <c r="AN87" i="1"/>
  <c r="AP28" i="1"/>
  <c r="AP27" i="1"/>
  <c r="E142" i="3"/>
  <c r="AO12" i="1"/>
  <c r="AO18" i="1"/>
  <c r="AO167" i="11"/>
  <c r="AN27" i="1"/>
  <c r="AN28" i="1"/>
  <c r="AN932" i="1"/>
  <c r="AN909" i="1" s="1"/>
  <c r="AN911" i="1" s="1"/>
  <c r="AP24" i="1"/>
  <c r="AP23" i="1"/>
  <c r="AR160" i="1"/>
  <c r="AO725" i="1"/>
  <c r="AO727" i="1" s="1"/>
  <c r="AN725" i="1"/>
  <c r="AN727" i="1" s="1"/>
  <c r="F142" i="3"/>
  <c r="G143" i="3" s="1"/>
  <c r="AP12" i="1"/>
  <c r="AP18" i="1"/>
  <c r="AP167" i="11"/>
  <c r="AN531" i="1"/>
  <c r="AN539" i="1"/>
  <c r="AR38" i="21" s="1"/>
  <c r="AN532" i="1"/>
  <c r="AO278" i="1"/>
  <c r="AS35" i="21" s="1"/>
  <c r="AO270" i="1"/>
  <c r="AO271" i="1"/>
  <c r="AQ157" i="11"/>
  <c r="AQ152" i="11"/>
  <c r="AQ15" i="1"/>
  <c r="AQ16" i="1"/>
  <c r="AQ162" i="11"/>
  <c r="AN949" i="1"/>
  <c r="AQ732" i="1"/>
  <c r="E169" i="5"/>
  <c r="AN659" i="1"/>
  <c r="AN299" i="1"/>
  <c r="AN300" i="1"/>
  <c r="AN304" i="1"/>
  <c r="AN657" i="1"/>
  <c r="AN302" i="1"/>
  <c r="AN319" i="1" s="1"/>
  <c r="AN305" i="1"/>
  <c r="AN301" i="1"/>
  <c r="AN318" i="1" s="1"/>
  <c r="AN656" i="1"/>
  <c r="AN306" i="1"/>
  <c r="AN658" i="1"/>
  <c r="AO266" i="1"/>
  <c r="AO30" i="11" s="1"/>
  <c r="AO265" i="1"/>
  <c r="AO25" i="11" s="1"/>
  <c r="AN252" i="1"/>
  <c r="AO264" i="1"/>
  <c r="AO20" i="11" s="1"/>
  <c r="AO263" i="1"/>
  <c r="AO15" i="11" s="1"/>
  <c r="AN251" i="1"/>
  <c r="AO267" i="1"/>
  <c r="AN260" i="1"/>
  <c r="AP166" i="1"/>
  <c r="F105" i="6"/>
  <c r="AO674" i="1"/>
  <c r="AO676" i="1"/>
  <c r="AO675" i="1"/>
  <c r="AO417" i="1"/>
  <c r="AO673" i="1"/>
  <c r="AO416" i="1"/>
  <c r="AO418" i="1"/>
  <c r="AP366" i="1"/>
  <c r="AP47" i="11" s="1"/>
  <c r="AP365" i="1"/>
  <c r="AP42" i="11" s="1"/>
  <c r="AO353" i="1"/>
  <c r="AP368" i="1"/>
  <c r="AP57" i="11" s="1"/>
  <c r="AP367" i="1"/>
  <c r="AP52" i="11" s="1"/>
  <c r="AO354" i="1"/>
  <c r="AP369" i="1"/>
  <c r="AO362" i="1"/>
  <c r="AQ251" i="1"/>
  <c r="AQ252" i="1"/>
  <c r="AN594" i="1"/>
  <c r="AN593" i="1"/>
  <c r="AQ986" i="1"/>
  <c r="AQ629" i="1"/>
  <c r="AQ630" i="1"/>
  <c r="AO373" i="1"/>
  <c r="AO380" i="1"/>
  <c r="AO372" i="1"/>
  <c r="AO531" i="1"/>
  <c r="AO539" i="1"/>
  <c r="AS38" i="21" s="1"/>
  <c r="AO532" i="1"/>
  <c r="AO152" i="1"/>
  <c r="AO154" i="1" s="1"/>
  <c r="AN898" i="1"/>
  <c r="AN638" i="1"/>
  <c r="AO932" i="1"/>
  <c r="AO909" i="1" s="1"/>
  <c r="AO911" i="1" s="1"/>
  <c r="AQ434" i="1"/>
  <c r="BP488" i="1" s="1"/>
  <c r="AQ435" i="1"/>
  <c r="AO209" i="1"/>
  <c r="AO594" i="1"/>
  <c r="AO593" i="1"/>
  <c r="AP983" i="1"/>
  <c r="AP996" i="1" s="1"/>
  <c r="AP932" i="1"/>
  <c r="AP909" i="1" s="1"/>
  <c r="AP911" i="1" s="1"/>
  <c r="AO87" i="1"/>
  <c r="AO86" i="1"/>
  <c r="AP90" i="1"/>
  <c r="AP91" i="1"/>
  <c r="G101" i="8"/>
  <c r="AP711" i="1"/>
  <c r="AP578" i="1"/>
  <c r="AP576" i="1"/>
  <c r="AP714" i="1"/>
  <c r="AP713" i="1"/>
  <c r="AP577" i="1"/>
  <c r="AP575" i="1"/>
  <c r="AP712" i="1"/>
  <c r="AP514" i="1"/>
  <c r="AP515" i="1"/>
  <c r="AP522" i="1"/>
  <c r="AO983" i="1"/>
  <c r="AO996" i="1" s="1"/>
  <c r="AO237" i="1"/>
  <c r="AO461" i="1"/>
  <c r="AS37" i="21" s="1"/>
  <c r="AO453" i="1"/>
  <c r="AO454" i="1"/>
  <c r="AQ532" i="1"/>
  <c r="AQ531" i="1"/>
  <c r="AQ539" i="1"/>
  <c r="AP949" i="1"/>
  <c r="AN209" i="1"/>
  <c r="AP271" i="1"/>
  <c r="AP278" i="1"/>
  <c r="AP270" i="1"/>
  <c r="AQ263" i="1"/>
  <c r="AQ15" i="11" s="1"/>
  <c r="AQ258" i="1"/>
  <c r="AO986" i="1"/>
  <c r="AO630" i="1"/>
  <c r="AO629" i="1"/>
  <c r="AO23" i="1"/>
  <c r="AO24" i="1"/>
  <c r="AN91" i="1"/>
  <c r="AN90" i="1"/>
  <c r="AQ527" i="1"/>
  <c r="AQ106" i="11" s="1"/>
  <c r="AP986" i="1"/>
  <c r="AP629" i="1"/>
  <c r="AP630" i="1"/>
  <c r="AQ441" i="1"/>
  <c r="AQ446" i="1"/>
  <c r="AQ69" i="11" s="1"/>
  <c r="AQ625" i="1"/>
  <c r="AQ624" i="1"/>
  <c r="AO949" i="1"/>
  <c r="AO898" i="1"/>
  <c r="AO638" i="1"/>
  <c r="AN23" i="1"/>
  <c r="AN24" i="1"/>
  <c r="AN625" i="1"/>
  <c r="AN624" i="1"/>
  <c r="G105" i="6"/>
  <c r="H106" i="6" s="1"/>
  <c r="AP673" i="1"/>
  <c r="AP418" i="1"/>
  <c r="AP416" i="1"/>
  <c r="AP676" i="1"/>
  <c r="AP675" i="1"/>
  <c r="AP417" i="1"/>
  <c r="AP674" i="1"/>
  <c r="AP353" i="1"/>
  <c r="AP354" i="1"/>
  <c r="AP362" i="1"/>
  <c r="G169" i="5"/>
  <c r="H170" i="5" s="1"/>
  <c r="AP657" i="1"/>
  <c r="AP302" i="1"/>
  <c r="AP305" i="1"/>
  <c r="AP301" i="1"/>
  <c r="AP659" i="1"/>
  <c r="AP299" i="1"/>
  <c r="AP304" i="1"/>
  <c r="AP658" i="1"/>
  <c r="AP306" i="1"/>
  <c r="AP656" i="1"/>
  <c r="AP251" i="1"/>
  <c r="AP252" i="1"/>
  <c r="AP260" i="1"/>
  <c r="AO74" i="1"/>
  <c r="AO80" i="1"/>
  <c r="AQ91" i="1"/>
  <c r="AQ90" i="1"/>
  <c r="AQ526" i="1"/>
  <c r="AQ101" i="11" s="1"/>
  <c r="AQ74" i="1"/>
  <c r="AN454" i="1"/>
  <c r="AN461" i="1"/>
  <c r="AR37" i="21" s="1"/>
  <c r="AN453" i="1"/>
  <c r="AP373" i="1"/>
  <c r="AP380" i="1"/>
  <c r="AP372" i="1"/>
  <c r="AQ611" i="1"/>
  <c r="AQ118" i="11" s="1"/>
  <c r="F101" i="8"/>
  <c r="AO712" i="1"/>
  <c r="AO711" i="1"/>
  <c r="AO578" i="1"/>
  <c r="AO576" i="1"/>
  <c r="AO714" i="1"/>
  <c r="AO713" i="1"/>
  <c r="AO577" i="1"/>
  <c r="AO575" i="1"/>
  <c r="AP526" i="1"/>
  <c r="AP101" i="11" s="1"/>
  <c r="AO515" i="1"/>
  <c r="AP525" i="1"/>
  <c r="AP96" i="11" s="1"/>
  <c r="AO514" i="1"/>
  <c r="AP527" i="1"/>
  <c r="AP106" i="11" s="1"/>
  <c r="AO522" i="1"/>
  <c r="AP528" i="1"/>
  <c r="AN278" i="1"/>
  <c r="AR35" i="21" s="1"/>
  <c r="AN270" i="1"/>
  <c r="AN271" i="1"/>
  <c r="AP624" i="1"/>
  <c r="AP625" i="1"/>
  <c r="AO609" i="1"/>
  <c r="AS39" i="21" s="1"/>
  <c r="E100" i="7"/>
  <c r="AN693" i="1"/>
  <c r="AN692" i="1"/>
  <c r="AN499" i="1"/>
  <c r="AN505" i="1" s="1"/>
  <c r="AN497" i="1"/>
  <c r="AN503" i="1" s="1"/>
  <c r="AN695" i="1"/>
  <c r="AN694" i="1"/>
  <c r="AN498" i="1"/>
  <c r="AN504" i="1" s="1"/>
  <c r="AO447" i="1"/>
  <c r="AO74" i="11" s="1"/>
  <c r="AO446" i="1"/>
  <c r="AO69" i="11" s="1"/>
  <c r="AO448" i="1"/>
  <c r="AO79" i="11" s="1"/>
  <c r="AN443" i="1"/>
  <c r="AN434" i="1"/>
  <c r="BM488" i="1" s="1"/>
  <c r="AN435" i="1"/>
  <c r="AO449" i="1"/>
  <c r="AO84" i="11" s="1"/>
  <c r="AO450" i="1"/>
  <c r="AO187" i="1"/>
  <c r="AO119" i="1" s="1"/>
  <c r="D8" i="12" s="1"/>
  <c r="D10" i="12" s="1"/>
  <c r="D12" i="12" s="1"/>
  <c r="D17" i="12" s="1"/>
  <c r="AN983" i="1"/>
  <c r="AN996" i="1" s="1"/>
  <c r="AQ354" i="1"/>
  <c r="AQ353" i="1"/>
  <c r="AP620" i="1"/>
  <c r="AP621" i="1"/>
  <c r="AO939" i="1"/>
  <c r="AO875" i="1"/>
  <c r="AO172" i="11" s="1"/>
  <c r="AO641" i="1"/>
  <c r="AQ187" i="1"/>
  <c r="AP187" i="1"/>
  <c r="AP119" i="1" s="1"/>
  <c r="E8" i="12" s="1"/>
  <c r="E10" i="12" s="1"/>
  <c r="E12" i="12" s="1"/>
  <c r="E17" i="12" s="1"/>
  <c r="AQ24" i="1"/>
  <c r="AQ23" i="1"/>
  <c r="AQ18" i="1"/>
  <c r="AQ34" i="1" s="1"/>
  <c r="AQ12" i="1"/>
  <c r="AQ167" i="11"/>
  <c r="E101" i="8"/>
  <c r="AN713" i="1"/>
  <c r="AN577" i="1"/>
  <c r="AN584" i="1" s="1"/>
  <c r="AN575" i="1"/>
  <c r="AN582" i="1" s="1"/>
  <c r="AN712" i="1"/>
  <c r="AN711" i="1"/>
  <c r="AN578" i="1"/>
  <c r="AN576" i="1"/>
  <c r="AN583" i="1" s="1"/>
  <c r="AN714" i="1"/>
  <c r="AO527" i="1"/>
  <c r="AO106" i="11" s="1"/>
  <c r="AO526" i="1"/>
  <c r="AO101" i="11" s="1"/>
  <c r="AN515" i="1"/>
  <c r="AO525" i="1"/>
  <c r="AO96" i="11" s="1"/>
  <c r="AN514" i="1"/>
  <c r="AO528" i="1"/>
  <c r="AN522" i="1"/>
  <c r="AQ514" i="1"/>
  <c r="AQ515" i="1"/>
  <c r="AP87" i="1"/>
  <c r="AP86" i="1"/>
  <c r="AO152" i="11"/>
  <c r="AO157" i="11"/>
  <c r="AO16" i="1"/>
  <c r="AO15" i="1"/>
  <c r="AO162" i="11"/>
  <c r="AN845" i="1"/>
  <c r="AN849" i="1" s="1"/>
  <c r="AN152" i="11" s="1"/>
  <c r="AN846" i="1"/>
  <c r="AN850" i="1" s="1"/>
  <c r="AN157" i="11" s="1"/>
  <c r="AN855" i="1"/>
  <c r="AN162" i="11" s="1"/>
  <c r="AN16" i="1"/>
  <c r="AN15" i="1"/>
  <c r="AQ454" i="1"/>
  <c r="AQ461" i="1"/>
  <c r="AQ453" i="1"/>
  <c r="AN145" i="1"/>
  <c r="AQ449" i="1"/>
  <c r="AQ84" i="11" s="1"/>
  <c r="AN80" i="1"/>
  <c r="AN74" i="1"/>
  <c r="AN160" i="1"/>
  <c r="AP939" i="1"/>
  <c r="AP875" i="1"/>
  <c r="AP172" i="11" s="1"/>
  <c r="AP641" i="1"/>
  <c r="AO78" i="1"/>
  <c r="AO77" i="1"/>
  <c r="AQ166" i="1"/>
  <c r="AN986" i="1"/>
  <c r="AN630" i="1"/>
  <c r="AN629" i="1"/>
  <c r="AO28" i="1"/>
  <c r="AO27" i="1"/>
  <c r="AP78" i="1"/>
  <c r="AP77" i="1"/>
  <c r="AO160" i="1"/>
  <c r="AN939" i="1"/>
  <c r="AN875" i="1"/>
  <c r="AN172" i="11" s="1"/>
  <c r="AN641" i="1"/>
  <c r="AP898" i="1"/>
  <c r="AP638" i="1"/>
  <c r="D142" i="3"/>
  <c r="AN844" i="1"/>
  <c r="AN848" i="1" s="1"/>
  <c r="AN856" i="1"/>
  <c r="AN167" i="11" s="1"/>
  <c r="AN12" i="1"/>
  <c r="AN18" i="1"/>
  <c r="AP725" i="1"/>
  <c r="AP727" i="1" s="1"/>
  <c r="AP461" i="1"/>
  <c r="AP453" i="1"/>
  <c r="AP454" i="1"/>
  <c r="AP539" i="1"/>
  <c r="AP532" i="1"/>
  <c r="AP531" i="1"/>
  <c r="AO145" i="1"/>
  <c r="E105" i="6"/>
  <c r="AN675" i="1"/>
  <c r="AN417" i="1"/>
  <c r="AN423" i="1" s="1"/>
  <c r="AN673" i="1"/>
  <c r="AN418" i="1"/>
  <c r="AN424" i="1" s="1"/>
  <c r="AN416" i="1"/>
  <c r="AN676" i="1"/>
  <c r="AN674" i="1"/>
  <c r="AO367" i="1"/>
  <c r="AO52" i="11" s="1"/>
  <c r="AN362" i="1"/>
  <c r="AN354" i="1"/>
  <c r="AO366" i="1"/>
  <c r="AO47" i="11" s="1"/>
  <c r="AO365" i="1"/>
  <c r="AO42" i="11" s="1"/>
  <c r="AN353" i="1"/>
  <c r="AO368" i="1"/>
  <c r="AO57" i="11" s="1"/>
  <c r="AO369" i="1"/>
  <c r="AP609" i="1"/>
  <c r="AT39" i="21" s="1"/>
  <c r="AN621" i="1"/>
  <c r="AN620" i="1"/>
  <c r="F169" i="5"/>
  <c r="AO658" i="1"/>
  <c r="AO656" i="1"/>
  <c r="AO306" i="1"/>
  <c r="AO659" i="1"/>
  <c r="AO299" i="1"/>
  <c r="AO300" i="1"/>
  <c r="AO304" i="1"/>
  <c r="AO657" i="1"/>
  <c r="AO301" i="1"/>
  <c r="AO305" i="1"/>
  <c r="AO302" i="1"/>
  <c r="AP265" i="1"/>
  <c r="AP25" i="11" s="1"/>
  <c r="AO260" i="1"/>
  <c r="AO252" i="1"/>
  <c r="AP264" i="1"/>
  <c r="AP20" i="11" s="1"/>
  <c r="AP263" i="1"/>
  <c r="AP15" i="11" s="1"/>
  <c r="AO251" i="1"/>
  <c r="AP266" i="1"/>
  <c r="AP30" i="11" s="1"/>
  <c r="AP267" i="1"/>
  <c r="AO621" i="1"/>
  <c r="AO620" i="1"/>
  <c r="AN187" i="1"/>
  <c r="AN119" i="1" s="1"/>
  <c r="AO624" i="1"/>
  <c r="AO625" i="1"/>
  <c r="G100" i="7"/>
  <c r="AP695" i="1"/>
  <c r="AP694" i="1"/>
  <c r="AP498" i="1"/>
  <c r="AP693" i="1"/>
  <c r="AP692" i="1"/>
  <c r="AP499" i="1"/>
  <c r="AP497" i="1"/>
  <c r="AP435" i="1"/>
  <c r="AP434" i="1"/>
  <c r="BO488" i="1" s="1"/>
  <c r="AP443" i="1"/>
  <c r="AN380" i="1"/>
  <c r="AN372" i="1"/>
  <c r="AN373" i="1"/>
  <c r="F100" i="7"/>
  <c r="AO692" i="1"/>
  <c r="AO499" i="1"/>
  <c r="AO497" i="1"/>
  <c r="AO695" i="1"/>
  <c r="AO694" i="1"/>
  <c r="AO498" i="1"/>
  <c r="AO693" i="1"/>
  <c r="AP446" i="1"/>
  <c r="AP69" i="11" s="1"/>
  <c r="AP449" i="1"/>
  <c r="AP84" i="11" s="1"/>
  <c r="AP447" i="1"/>
  <c r="AP74" i="11" s="1"/>
  <c r="AO435" i="1"/>
  <c r="AP448" i="1"/>
  <c r="AP79" i="11" s="1"/>
  <c r="AO434" i="1"/>
  <c r="BN488" i="1" s="1"/>
  <c r="AO443" i="1"/>
  <c r="AP450" i="1"/>
  <c r="AQ620" i="1"/>
  <c r="AQ621" i="1"/>
  <c r="AS160" i="1"/>
  <c r="AQ271" i="1"/>
  <c r="AQ278" i="1"/>
  <c r="AQ270" i="1"/>
  <c r="AP237" i="1"/>
  <c r="AQ152" i="1"/>
  <c r="AQ154" i="1" s="1"/>
  <c r="AO90" i="1"/>
  <c r="AO91" i="1"/>
  <c r="AN77" i="1"/>
  <c r="AN78" i="1"/>
  <c r="AP152" i="11"/>
  <c r="AP157" i="11"/>
  <c r="AP15" i="1"/>
  <c r="AP162" i="11"/>
  <c r="AP16" i="1"/>
  <c r="AQ380" i="1"/>
  <c r="AQ372" i="1"/>
  <c r="AQ373" i="1"/>
  <c r="AP209" i="1"/>
  <c r="AP80" i="1"/>
  <c r="AP74" i="1"/>
  <c r="AO166" i="1"/>
  <c r="AP336" i="1" l="1"/>
  <c r="AO319" i="1"/>
  <c r="AO503" i="1"/>
  <c r="AO504" i="1"/>
  <c r="AO505" i="1"/>
  <c r="AP423" i="1"/>
  <c r="AQ583" i="1"/>
  <c r="AR583" i="1"/>
  <c r="AO584" i="1"/>
  <c r="AQ585" i="1"/>
  <c r="AR585" i="1"/>
  <c r="AP584" i="1"/>
  <c r="AO583" i="1"/>
  <c r="AP583" i="1"/>
  <c r="AQ584" i="1"/>
  <c r="AR584" i="1"/>
  <c r="AO424" i="1"/>
  <c r="AO666" i="1"/>
  <c r="AO422" i="1"/>
  <c r="AN666" i="1"/>
  <c r="AN422" i="1"/>
  <c r="AQ424" i="1"/>
  <c r="AR424" i="1"/>
  <c r="AO423" i="1"/>
  <c r="AQ423" i="1"/>
  <c r="AR423" i="1"/>
  <c r="AP666" i="1"/>
  <c r="AP422" i="1"/>
  <c r="AP424" i="1"/>
  <c r="AQ666" i="1"/>
  <c r="AQ422" i="1"/>
  <c r="AR422" i="1"/>
  <c r="AQ504" i="1"/>
  <c r="AR504" i="1"/>
  <c r="AP503" i="1"/>
  <c r="AP505" i="1"/>
  <c r="AQ503" i="1"/>
  <c r="AR503" i="1"/>
  <c r="AP504" i="1"/>
  <c r="AQ505" i="1"/>
  <c r="AR505" i="1"/>
  <c r="AN316" i="1"/>
  <c r="AN320" i="1"/>
  <c r="AO316" i="1"/>
  <c r="AO320" i="1"/>
  <c r="AP320" i="1"/>
  <c r="AQ320" i="1"/>
  <c r="AN311" i="1"/>
  <c r="AN317" i="1"/>
  <c r="AO312" i="1"/>
  <c r="AO318" i="1"/>
  <c r="AP318" i="1"/>
  <c r="AQ318" i="1"/>
  <c r="AP317" i="1"/>
  <c r="AQ317" i="1"/>
  <c r="AQ319" i="1"/>
  <c r="AP319" i="1"/>
  <c r="AO317" i="1"/>
  <c r="AP316" i="1"/>
  <c r="AQ316" i="1"/>
  <c r="AP312" i="1"/>
  <c r="AO582" i="1"/>
  <c r="AN310" i="1"/>
  <c r="AP311" i="1"/>
  <c r="AP313" i="1"/>
  <c r="AP582" i="1"/>
  <c r="AO311" i="1"/>
  <c r="AN312" i="1"/>
  <c r="AO310" i="1"/>
  <c r="AQ582" i="1"/>
  <c r="AR582" i="1"/>
  <c r="AN313" i="1"/>
  <c r="AO313" i="1"/>
  <c r="AP310" i="1"/>
  <c r="AN490" i="1"/>
  <c r="AQ500" i="1"/>
  <c r="AP490" i="1"/>
  <c r="AO490" i="1"/>
  <c r="AP681" i="1"/>
  <c r="AQ681" i="1"/>
  <c r="AN681" i="1"/>
  <c r="AO681" i="1"/>
  <c r="AQ490" i="1"/>
  <c r="AP307" i="1"/>
  <c r="AP322" i="1" s="1"/>
  <c r="AO307" i="1"/>
  <c r="AO322" i="1" s="1"/>
  <c r="AN307" i="1"/>
  <c r="AN322" i="1" s="1"/>
  <c r="AQ322" i="1"/>
  <c r="AU22" i="21"/>
  <c r="AU123" i="21"/>
  <c r="AU20" i="21"/>
  <c r="AU121" i="21"/>
  <c r="AT15" i="21"/>
  <c r="AT16" i="21" s="1"/>
  <c r="AT120" i="21"/>
  <c r="AN63" i="9"/>
  <c r="AN82" i="9" s="1"/>
  <c r="AT139" i="2"/>
  <c r="AN57" i="9"/>
  <c r="AN76" i="9" s="1"/>
  <c r="AW162" i="1"/>
  <c r="AW166" i="1" s="1"/>
  <c r="AW93" i="1" s="1"/>
  <c r="AX33" i="1"/>
  <c r="AX162" i="1" s="1"/>
  <c r="AX166" i="1" s="1"/>
  <c r="AX93" i="1" s="1"/>
  <c r="AR19" i="2"/>
  <c r="AS37" i="2"/>
  <c r="AR49" i="2"/>
  <c r="E18" i="12"/>
  <c r="AE957" i="1"/>
  <c r="AF954" i="1"/>
  <c r="AF955" i="1" s="1"/>
  <c r="AG954" i="1" s="1"/>
  <c r="AG955" i="1" s="1"/>
  <c r="AG957" i="1" s="1"/>
  <c r="AP154" i="1"/>
  <c r="AP140" i="11" s="1"/>
  <c r="AN153" i="1"/>
  <c r="AN154" i="1"/>
  <c r="AN140" i="11" s="1"/>
  <c r="AJ39" i="1"/>
  <c r="AI201" i="1"/>
  <c r="AU27" i="21"/>
  <c r="AS166" i="1"/>
  <c r="AR19" i="1"/>
  <c r="AQ391" i="1"/>
  <c r="AQ336" i="1"/>
  <c r="AQ579" i="1"/>
  <c r="AT29" i="21"/>
  <c r="AT30" i="21"/>
  <c r="AQ660" i="1"/>
  <c r="AQ662" i="1" s="1"/>
  <c r="AU19" i="21"/>
  <c r="AT19" i="21"/>
  <c r="AT27" i="21"/>
  <c r="AT31" i="21"/>
  <c r="AT28" i="21"/>
  <c r="AU29" i="21"/>
  <c r="AQ419" i="1"/>
  <c r="AQ677" i="1"/>
  <c r="AQ679" i="1" s="1"/>
  <c r="AU30" i="21"/>
  <c r="AQ715" i="1"/>
  <c r="AQ717" i="1" s="1"/>
  <c r="AU15" i="21"/>
  <c r="AU21" i="21"/>
  <c r="AU31" i="21"/>
  <c r="AU28" i="21"/>
  <c r="AQ696" i="1"/>
  <c r="AQ698" i="1" s="1"/>
  <c r="AT38" i="21"/>
  <c r="AT49" i="21" s="1"/>
  <c r="AQ553" i="1"/>
  <c r="AQ554" i="1"/>
  <c r="AQ555" i="1"/>
  <c r="AQ556" i="1"/>
  <c r="AQ557" i="1"/>
  <c r="AQ472" i="1"/>
  <c r="AT37" i="21"/>
  <c r="AT57" i="21" s="1"/>
  <c r="AQ475" i="1"/>
  <c r="AQ476" i="1"/>
  <c r="AQ477" i="1"/>
  <c r="AQ478" i="1"/>
  <c r="AQ479" i="1"/>
  <c r="AT36" i="21"/>
  <c r="AQ396" i="1"/>
  <c r="AQ397" i="1"/>
  <c r="AQ394" i="1"/>
  <c r="AQ395" i="1"/>
  <c r="AQ398" i="1"/>
  <c r="AT35" i="21"/>
  <c r="AT46" i="21" s="1"/>
  <c r="AQ340" i="1"/>
  <c r="AQ342" i="1"/>
  <c r="AQ339" i="1"/>
  <c r="AQ341" i="1"/>
  <c r="AQ343" i="1"/>
  <c r="AQ550" i="1"/>
  <c r="AN140" i="1"/>
  <c r="AN130" i="11" s="1"/>
  <c r="AO139" i="1"/>
  <c r="AV30" i="1"/>
  <c r="AS50" i="21"/>
  <c r="AS49" i="21"/>
  <c r="AS48" i="21"/>
  <c r="AU50" i="21"/>
  <c r="AR48" i="21"/>
  <c r="AS16" i="21"/>
  <c r="AS24" i="21"/>
  <c r="AR16" i="21"/>
  <c r="AR24" i="21"/>
  <c r="AS32" i="21"/>
  <c r="AR32" i="21"/>
  <c r="AS46" i="21"/>
  <c r="AR46" i="21"/>
  <c r="AT59" i="21"/>
  <c r="AT50" i="21"/>
  <c r="AR58" i="21"/>
  <c r="AR49" i="21"/>
  <c r="AS58" i="21"/>
  <c r="AU59" i="21"/>
  <c r="AN731" i="1"/>
  <c r="AP139" i="1"/>
  <c r="AR36" i="21"/>
  <c r="AR44" i="21" s="1"/>
  <c r="AO395" i="1"/>
  <c r="AO394" i="1"/>
  <c r="AO396" i="1"/>
  <c r="AO397" i="1"/>
  <c r="AO398" i="1"/>
  <c r="AS36" i="21"/>
  <c r="AS44" i="21" s="1"/>
  <c r="AP395" i="1"/>
  <c r="AP397" i="1"/>
  <c r="AP394" i="1"/>
  <c r="AP396" i="1"/>
  <c r="AP398" i="1"/>
  <c r="AO140" i="1"/>
  <c r="AO130" i="11" s="1"/>
  <c r="AO907" i="1"/>
  <c r="AQ733" i="1"/>
  <c r="AU35" i="21"/>
  <c r="AN907" i="1"/>
  <c r="AU38" i="21"/>
  <c r="AU36" i="21"/>
  <c r="AU37" i="21"/>
  <c r="AP907" i="1"/>
  <c r="AQ731" i="1"/>
  <c r="AO733" i="1"/>
  <c r="AP153" i="1"/>
  <c r="AN733" i="1"/>
  <c r="AN732" i="1"/>
  <c r="AO732" i="1"/>
  <c r="AO731" i="1"/>
  <c r="AN993" i="1"/>
  <c r="AN730" i="1"/>
  <c r="AP993" i="1"/>
  <c r="AO993" i="1"/>
  <c r="F101" i="7"/>
  <c r="F170" i="5"/>
  <c r="AS57" i="21"/>
  <c r="AR57" i="21"/>
  <c r="AS55" i="21"/>
  <c r="AR55" i="21"/>
  <c r="G106" i="6"/>
  <c r="AN660" i="1"/>
  <c r="AN662" i="1" s="1"/>
  <c r="F143" i="3"/>
  <c r="AN715" i="1"/>
  <c r="AN717" i="1" s="1"/>
  <c r="AP500" i="1"/>
  <c r="AN500" i="1"/>
  <c r="G101" i="7"/>
  <c r="AO696" i="1"/>
  <c r="AO698" i="1" s="1"/>
  <c r="AN404" i="1"/>
  <c r="AR74" i="21" s="1"/>
  <c r="AR84" i="21" s="1"/>
  <c r="AN382" i="1"/>
  <c r="AN381" i="1"/>
  <c r="AN374" i="1" s="1"/>
  <c r="AN391" i="1"/>
  <c r="AP611" i="1"/>
  <c r="AP118" i="11" s="1"/>
  <c r="AP617" i="1"/>
  <c r="AT77" i="21" s="1"/>
  <c r="AP610" i="1"/>
  <c r="AN20" i="1"/>
  <c r="AN34" i="1"/>
  <c r="AN19" i="1"/>
  <c r="AN96" i="1"/>
  <c r="AN825" i="1" s="1"/>
  <c r="AN828" i="1" s="1"/>
  <c r="AN82" i="1"/>
  <c r="AN83" i="1" s="1"/>
  <c r="AN81" i="1"/>
  <c r="AN146" i="1"/>
  <c r="AN147" i="1"/>
  <c r="AN135" i="11" s="1"/>
  <c r="AQ20" i="1"/>
  <c r="AQ19" i="1"/>
  <c r="AO617" i="1"/>
  <c r="AS77" i="21" s="1"/>
  <c r="AO611" i="1"/>
  <c r="AO118" i="11" s="1"/>
  <c r="AP677" i="1"/>
  <c r="AP679" i="1" s="1"/>
  <c r="AQ443" i="1"/>
  <c r="AQ450" i="1"/>
  <c r="AP280" i="1"/>
  <c r="AP283" i="1"/>
  <c r="AT73" i="21" s="1"/>
  <c r="AT83" i="21" s="1"/>
  <c r="AP279" i="1"/>
  <c r="AQ541" i="1"/>
  <c r="AQ540" i="1"/>
  <c r="AP952" i="1"/>
  <c r="AO140" i="11"/>
  <c r="AO153" i="1"/>
  <c r="AP342" i="1"/>
  <c r="AP341" i="1"/>
  <c r="AO336" i="1"/>
  <c r="AO280" i="1"/>
  <c r="AO283" i="1"/>
  <c r="AS73" i="21" s="1"/>
  <c r="AS83" i="21" s="1"/>
  <c r="AP340" i="1"/>
  <c r="AP339" i="1"/>
  <c r="AO279" i="1"/>
  <c r="AP343" i="1"/>
  <c r="AO147" i="11"/>
  <c r="AP96" i="1"/>
  <c r="AP825" i="1" s="1"/>
  <c r="AP828" i="1" s="1"/>
  <c r="AP81" i="1"/>
  <c r="AP82" i="1"/>
  <c r="AQ279" i="1"/>
  <c r="AQ280" i="1"/>
  <c r="AN189" i="1"/>
  <c r="AN190" i="1" s="1"/>
  <c r="AN188" i="1"/>
  <c r="AO660" i="1"/>
  <c r="AO662" i="1" s="1"/>
  <c r="AN677" i="1"/>
  <c r="AN679" i="1" s="1"/>
  <c r="AO147" i="1"/>
  <c r="AO135" i="11" s="1"/>
  <c r="AO146" i="1"/>
  <c r="AP463" i="1"/>
  <c r="AP485" i="1"/>
  <c r="AT75" i="21" s="1"/>
  <c r="AT85" i="21" s="1"/>
  <c r="AP462" i="1"/>
  <c r="AP472" i="1"/>
  <c r="AQ147" i="11"/>
  <c r="AQ188" i="1"/>
  <c r="AQ189" i="1"/>
  <c r="AO189" i="1"/>
  <c r="AO188" i="1"/>
  <c r="AO715" i="1"/>
  <c r="AO717" i="1" s="1"/>
  <c r="AQ610" i="1"/>
  <c r="AP732" i="1"/>
  <c r="AO82" i="1"/>
  <c r="AO81" i="1"/>
  <c r="AO96" i="1"/>
  <c r="AO825" i="1" s="1"/>
  <c r="AO828" i="1" s="1"/>
  <c r="G170" i="5"/>
  <c r="AQ267" i="1"/>
  <c r="AP146" i="1"/>
  <c r="AP715" i="1"/>
  <c r="AP717" i="1" s="1"/>
  <c r="AP731" i="1"/>
  <c r="AO404" i="1"/>
  <c r="AS74" i="21" s="1"/>
  <c r="AS84" i="21" s="1"/>
  <c r="AO382" i="1"/>
  <c r="AO381" i="1"/>
  <c r="AO374" i="1" s="1"/>
  <c r="AO391" i="1"/>
  <c r="AO419" i="1"/>
  <c r="AP19" i="1"/>
  <c r="AP20" i="1"/>
  <c r="AP34" i="1"/>
  <c r="AQ35" i="1" s="1"/>
  <c r="E143" i="3"/>
  <c r="AQ381" i="1"/>
  <c r="AQ374" i="1" s="1"/>
  <c r="AQ382" i="1"/>
  <c r="AT160" i="1"/>
  <c r="AO500" i="1"/>
  <c r="AP696" i="1"/>
  <c r="AP698" i="1" s="1"/>
  <c r="AP541" i="1"/>
  <c r="AP563" i="1"/>
  <c r="AT76" i="21" s="1"/>
  <c r="AT86" i="21" s="1"/>
  <c r="AP540" i="1"/>
  <c r="AP550" i="1"/>
  <c r="AP730" i="1"/>
  <c r="AQ463" i="1"/>
  <c r="AQ462" i="1"/>
  <c r="AN579" i="1"/>
  <c r="AN485" i="1"/>
  <c r="AR75" i="21" s="1"/>
  <c r="AR85" i="21" s="1"/>
  <c r="AN472" i="1"/>
  <c r="AN462" i="1"/>
  <c r="AN463" i="1"/>
  <c r="AO478" i="1"/>
  <c r="AO476" i="1"/>
  <c r="AO479" i="1"/>
  <c r="AO477" i="1"/>
  <c r="AO475" i="1"/>
  <c r="AP660" i="1"/>
  <c r="AP662" i="1" s="1"/>
  <c r="AP419" i="1"/>
  <c r="G102" i="8"/>
  <c r="AO952" i="1"/>
  <c r="AO563" i="1"/>
  <c r="AS76" i="21" s="1"/>
  <c r="AS86" i="21" s="1"/>
  <c r="AO550" i="1"/>
  <c r="AO540" i="1"/>
  <c r="AP555" i="1"/>
  <c r="AP553" i="1"/>
  <c r="AO541" i="1"/>
  <c r="AP556" i="1"/>
  <c r="AP554" i="1"/>
  <c r="AP557" i="1"/>
  <c r="AO677" i="1"/>
  <c r="AO679" i="1" s="1"/>
  <c r="AQ730" i="1"/>
  <c r="AO556" i="1"/>
  <c r="AO554" i="1"/>
  <c r="AN563" i="1"/>
  <c r="AR76" i="21" s="1"/>
  <c r="AR86" i="21" s="1"/>
  <c r="AN550" i="1"/>
  <c r="AN540" i="1"/>
  <c r="AO555" i="1"/>
  <c r="AO553" i="1"/>
  <c r="AN541" i="1"/>
  <c r="AO557" i="1"/>
  <c r="AO34" i="1"/>
  <c r="AO19" i="1"/>
  <c r="AO20" i="1"/>
  <c r="AQ528" i="1"/>
  <c r="AQ522" i="1"/>
  <c r="AQ153" i="1"/>
  <c r="AQ140" i="11"/>
  <c r="AQ36" i="1"/>
  <c r="AN419" i="1"/>
  <c r="AN852" i="1"/>
  <c r="AN853" i="1" s="1"/>
  <c r="AN147" i="11"/>
  <c r="AP733" i="1"/>
  <c r="AP188" i="1"/>
  <c r="AP189" i="1"/>
  <c r="AN696" i="1"/>
  <c r="AN698" i="1" s="1"/>
  <c r="AO343" i="1"/>
  <c r="AO339" i="1"/>
  <c r="AN279" i="1"/>
  <c r="AO342" i="1"/>
  <c r="AO341" i="1"/>
  <c r="AN280" i="1"/>
  <c r="AN283" i="1"/>
  <c r="AR73" i="21" s="1"/>
  <c r="AO340" i="1"/>
  <c r="AN336" i="1"/>
  <c r="AO579" i="1"/>
  <c r="F102" i="8"/>
  <c r="AP391" i="1"/>
  <c r="AP381" i="1"/>
  <c r="AP374" i="1" s="1"/>
  <c r="AP404" i="1"/>
  <c r="AT74" i="21" s="1"/>
  <c r="AT84" i="21" s="1"/>
  <c r="AP382" i="1"/>
  <c r="AP477" i="1"/>
  <c r="AP475" i="1"/>
  <c r="AP478" i="1"/>
  <c r="AP476" i="1"/>
  <c r="AO485" i="1"/>
  <c r="AS75" i="21" s="1"/>
  <c r="AS85" i="21" s="1"/>
  <c r="AO462" i="1"/>
  <c r="AO463" i="1"/>
  <c r="AP479" i="1"/>
  <c r="AO472" i="1"/>
  <c r="AP579" i="1"/>
  <c r="F106" i="6"/>
  <c r="AP147" i="11"/>
  <c r="AO730" i="1"/>
  <c r="AN952" i="1"/>
  <c r="AN955" i="1" s="1"/>
  <c r="AF957" i="1" l="1"/>
  <c r="AU44" i="21"/>
  <c r="AT47" i="21"/>
  <c r="AT44" i="21"/>
  <c r="AO702" i="1"/>
  <c r="AO586" i="1"/>
  <c r="AP702" i="1"/>
  <c r="AP586" i="1"/>
  <c r="AN702" i="1"/>
  <c r="AN586" i="1"/>
  <c r="AQ702" i="1"/>
  <c r="AQ586" i="1"/>
  <c r="AR586" i="1"/>
  <c r="AQ428" i="1"/>
  <c r="AQ425" i="1"/>
  <c r="AR425" i="1"/>
  <c r="AO428" i="1"/>
  <c r="AO425" i="1"/>
  <c r="AP428" i="1"/>
  <c r="AP425" i="1"/>
  <c r="AN428" i="1"/>
  <c r="AN425" i="1"/>
  <c r="AO683" i="1"/>
  <c r="AO506" i="1"/>
  <c r="AN683" i="1"/>
  <c r="AN506" i="1"/>
  <c r="AP683" i="1"/>
  <c r="AP506" i="1"/>
  <c r="AQ683" i="1"/>
  <c r="AQ506" i="1"/>
  <c r="AR506" i="1"/>
  <c r="AU39" i="1"/>
  <c r="AV39" i="1" s="1"/>
  <c r="AJ816" i="1"/>
  <c r="G8" i="42"/>
  <c r="G14" i="42" s="1"/>
  <c r="AP99" i="1"/>
  <c r="E8" i="42"/>
  <c r="E14" i="42" s="1"/>
  <c r="AN99" i="1"/>
  <c r="F8" i="42"/>
  <c r="F14" i="42" s="1"/>
  <c r="AO99" i="1"/>
  <c r="AT24" i="21"/>
  <c r="AU24" i="21"/>
  <c r="AT151" i="2"/>
  <c r="AT161" i="2" s="1"/>
  <c r="AT176" i="2" s="1"/>
  <c r="AT146" i="2"/>
  <c r="AS38" i="2"/>
  <c r="AS48" i="2" s="1"/>
  <c r="AS13" i="2" s="1"/>
  <c r="AH257" i="1"/>
  <c r="AH254" i="1"/>
  <c r="AH255" i="1"/>
  <c r="AH256" i="1"/>
  <c r="AH258" i="1"/>
  <c r="AH250" i="1" s="1"/>
  <c r="AJ201" i="1"/>
  <c r="AU201" i="1" s="1"/>
  <c r="AT39" i="1"/>
  <c r="AV168" i="1"/>
  <c r="AW30" i="1"/>
  <c r="AX30" i="1" s="1"/>
  <c r="AX168" i="1" s="1"/>
  <c r="AT166" i="1"/>
  <c r="AQ626" i="1"/>
  <c r="AT48" i="21"/>
  <c r="AU16" i="21"/>
  <c r="AT32" i="21"/>
  <c r="AU32" i="21"/>
  <c r="AT58" i="21"/>
  <c r="AT40" i="21"/>
  <c r="AT68" i="21" s="1"/>
  <c r="AT55" i="21"/>
  <c r="AT96" i="21"/>
  <c r="AT87" i="21"/>
  <c r="AS87" i="21"/>
  <c r="AU49" i="21"/>
  <c r="BE49" i="21" s="1"/>
  <c r="AU47" i="21"/>
  <c r="BE47" i="21" s="1"/>
  <c r="AS40" i="21"/>
  <c r="AS51" i="21" s="1"/>
  <c r="AR83" i="21"/>
  <c r="AT78" i="21"/>
  <c r="AS78" i="21"/>
  <c r="AU40" i="21"/>
  <c r="AU66" i="21" s="1"/>
  <c r="AR94" i="21"/>
  <c r="AR93" i="21"/>
  <c r="AT94" i="21"/>
  <c r="AT92" i="21"/>
  <c r="AS94" i="21"/>
  <c r="AR95" i="21"/>
  <c r="AT95" i="21"/>
  <c r="AS92" i="21"/>
  <c r="AT93" i="21"/>
  <c r="AS95" i="21"/>
  <c r="AR92" i="21"/>
  <c r="AS93" i="21"/>
  <c r="AU48" i="21"/>
  <c r="BE48" i="21" s="1"/>
  <c r="AU46" i="21"/>
  <c r="AS47" i="21"/>
  <c r="AR47" i="21"/>
  <c r="AU58" i="21"/>
  <c r="AS56" i="21"/>
  <c r="AT56" i="21"/>
  <c r="AR56" i="21"/>
  <c r="AP643" i="1"/>
  <c r="AP644" i="1" s="1"/>
  <c r="AO643" i="1"/>
  <c r="AO644" i="1" s="1"/>
  <c r="AQ734" i="1"/>
  <c r="AU55" i="21"/>
  <c r="AU56" i="21"/>
  <c r="AU57" i="21"/>
  <c r="AN734" i="1"/>
  <c r="AO734" i="1"/>
  <c r="AO83" i="1"/>
  <c r="AO190" i="1"/>
  <c r="AP190" i="1"/>
  <c r="AN542" i="1"/>
  <c r="AN111" i="11"/>
  <c r="E102" i="7"/>
  <c r="E103" i="7" s="1"/>
  <c r="AN486" i="1"/>
  <c r="BM489" i="1" s="1"/>
  <c r="AN487" i="1"/>
  <c r="AN488" i="1" s="1"/>
  <c r="G103" i="8"/>
  <c r="G104" i="8" s="1"/>
  <c r="AP564" i="1"/>
  <c r="AP565" i="1"/>
  <c r="AO383" i="1"/>
  <c r="AO62" i="11"/>
  <c r="AO98" i="1"/>
  <c r="AO103" i="1"/>
  <c r="AO108" i="1" s="1"/>
  <c r="AO100" i="1"/>
  <c r="AO97" i="1"/>
  <c r="AO631" i="1"/>
  <c r="AQ190" i="1"/>
  <c r="AP83" i="1"/>
  <c r="AO281" i="1"/>
  <c r="AO35" i="11"/>
  <c r="AP281" i="1"/>
  <c r="AP35" i="11"/>
  <c r="AN35" i="1"/>
  <c r="AN43" i="1"/>
  <c r="AN36" i="1"/>
  <c r="AN626" i="1"/>
  <c r="AN383" i="1"/>
  <c r="AN62" i="11"/>
  <c r="AP383" i="1"/>
  <c r="AP62" i="11"/>
  <c r="E171" i="5"/>
  <c r="E172" i="5" s="1"/>
  <c r="AN284" i="1"/>
  <c r="AN285" i="1"/>
  <c r="AN286" i="1" s="1"/>
  <c r="AO464" i="1"/>
  <c r="AO89" i="11"/>
  <c r="G107" i="6"/>
  <c r="G108" i="6" s="1"/>
  <c r="AP405" i="1"/>
  <c r="AP406" i="1"/>
  <c r="AN281" i="1"/>
  <c r="AN35" i="11"/>
  <c r="E103" i="8"/>
  <c r="E104" i="8" s="1"/>
  <c r="AN565" i="1"/>
  <c r="AN566" i="1" s="1"/>
  <c r="AN564" i="1"/>
  <c r="AO542" i="1"/>
  <c r="AO111" i="11"/>
  <c r="AN464" i="1"/>
  <c r="AN89" i="11"/>
  <c r="AP734" i="1"/>
  <c r="AP542" i="1"/>
  <c r="AP111" i="11"/>
  <c r="AQ383" i="1"/>
  <c r="AQ62" i="11"/>
  <c r="F107" i="6"/>
  <c r="F108" i="6" s="1"/>
  <c r="AO405" i="1"/>
  <c r="AO406" i="1"/>
  <c r="E144" i="3"/>
  <c r="E145" i="3" s="1"/>
  <c r="AO987" i="1"/>
  <c r="AO120" i="1"/>
  <c r="AO121" i="1"/>
  <c r="AO126" i="1"/>
  <c r="D144" i="3"/>
  <c r="D145" i="3" s="1"/>
  <c r="AN987" i="1"/>
  <c r="AN120" i="1"/>
  <c r="AN121" i="1"/>
  <c r="AN122" i="1" s="1"/>
  <c r="AN126" i="1"/>
  <c r="AQ542" i="1"/>
  <c r="AQ111" i="11"/>
  <c r="E107" i="6"/>
  <c r="E108" i="6" s="1"/>
  <c r="AN406" i="1"/>
  <c r="AN407" i="1" s="1"/>
  <c r="AN405" i="1"/>
  <c r="AO43" i="1"/>
  <c r="AO913" i="1" s="1"/>
  <c r="AO36" i="1"/>
  <c r="AO35" i="1"/>
  <c r="AO626" i="1"/>
  <c r="F103" i="8"/>
  <c r="F104" i="8" s="1"/>
  <c r="AO564" i="1"/>
  <c r="AO565" i="1"/>
  <c r="AP43" i="1"/>
  <c r="AP913" i="1" s="1"/>
  <c r="AP36" i="1"/>
  <c r="AP35" i="1"/>
  <c r="AP626" i="1"/>
  <c r="G102" i="7"/>
  <c r="G103" i="7" s="1"/>
  <c r="AP486" i="1"/>
  <c r="BO489" i="1" s="1"/>
  <c r="AP487" i="1"/>
  <c r="AQ281" i="1"/>
  <c r="AQ35" i="11"/>
  <c r="AP103" i="1"/>
  <c r="AP108" i="1" s="1"/>
  <c r="AP100" i="1"/>
  <c r="AP97" i="1"/>
  <c r="AP98" i="1"/>
  <c r="AP631" i="1"/>
  <c r="AN98" i="1"/>
  <c r="AN103" i="1"/>
  <c r="AN108" i="1" s="1"/>
  <c r="AN100" i="1"/>
  <c r="AN97" i="1"/>
  <c r="AN631" i="1"/>
  <c r="AN957" i="1"/>
  <c r="AN4" i="1" s="1"/>
  <c r="AO954" i="1"/>
  <c r="AO955" i="1" s="1"/>
  <c r="F102" i="7"/>
  <c r="F103" i="7" s="1"/>
  <c r="AO487" i="1"/>
  <c r="AO486" i="1"/>
  <c r="BN489" i="1" s="1"/>
  <c r="F144" i="3"/>
  <c r="F145" i="3" s="1"/>
  <c r="AP987" i="1"/>
  <c r="AP121" i="1"/>
  <c r="AP120" i="1"/>
  <c r="AP126" i="1"/>
  <c r="AQ464" i="1"/>
  <c r="AQ89" i="11"/>
  <c r="AP464" i="1"/>
  <c r="AP89" i="11"/>
  <c r="F171" i="5"/>
  <c r="F172" i="5" s="1"/>
  <c r="AO284" i="1"/>
  <c r="AO285" i="1"/>
  <c r="G171" i="5"/>
  <c r="G172" i="5" s="1"/>
  <c r="AP285" i="1"/>
  <c r="AP284" i="1"/>
  <c r="AV816" i="1" l="1"/>
  <c r="AV835" i="1"/>
  <c r="AT816" i="1"/>
  <c r="AT835" i="1"/>
  <c r="AU816" i="1"/>
  <c r="AU835" i="1"/>
  <c r="AN44" i="1"/>
  <c r="AN913" i="1"/>
  <c r="AW39" i="1"/>
  <c r="BE46" i="21"/>
  <c r="AV201" i="1"/>
  <c r="AS49" i="2"/>
  <c r="AT37" i="2"/>
  <c r="AS19" i="2"/>
  <c r="AH260" i="1"/>
  <c r="AH251" i="1"/>
  <c r="AH278" i="1"/>
  <c r="AH10" i="21"/>
  <c r="AR201" i="1"/>
  <c r="AS201" i="1"/>
  <c r="AW168" i="1"/>
  <c r="AT67" i="21"/>
  <c r="AT51" i="21"/>
  <c r="AT42" i="21"/>
  <c r="AT64" i="21"/>
  <c r="AT66" i="21"/>
  <c r="AT65" i="21"/>
  <c r="AP44" i="1"/>
  <c r="AO44" i="1"/>
  <c r="AS42" i="21"/>
  <c r="AT60" i="21"/>
  <c r="AS65" i="21"/>
  <c r="AU60" i="21"/>
  <c r="AU68" i="21"/>
  <c r="AU64" i="21"/>
  <c r="AS64" i="21"/>
  <c r="AS67" i="21"/>
  <c r="AS66" i="21"/>
  <c r="AS68" i="21"/>
  <c r="AU65" i="21"/>
  <c r="AU67" i="21"/>
  <c r="AT97" i="21"/>
  <c r="AT79" i="21"/>
  <c r="AT88" i="21"/>
  <c r="AS79" i="21"/>
  <c r="AS88" i="21"/>
  <c r="AU51" i="21"/>
  <c r="AO488" i="1"/>
  <c r="AO566" i="1"/>
  <c r="AO286" i="1"/>
  <c r="AP122" i="1"/>
  <c r="AP286" i="1"/>
  <c r="AN110" i="1"/>
  <c r="AN814" i="1" s="1"/>
  <c r="AN105" i="1"/>
  <c r="AP488" i="1"/>
  <c r="AP50" i="1"/>
  <c r="AP47" i="1"/>
  <c r="AP123" i="11" s="1"/>
  <c r="AO50" i="1"/>
  <c r="AO47" i="1"/>
  <c r="AO123" i="11" s="1"/>
  <c r="AN994" i="1"/>
  <c r="AN990" i="1"/>
  <c r="AN991" i="1"/>
  <c r="AO122" i="1"/>
  <c r="AN50" i="1"/>
  <c r="AN47" i="1"/>
  <c r="AN123" i="11" s="1"/>
  <c r="AP110" i="1"/>
  <c r="AP814" i="1" s="1"/>
  <c r="AP105" i="1"/>
  <c r="AO407" i="1"/>
  <c r="AO957" i="1"/>
  <c r="AO4" i="1" s="1"/>
  <c r="AP954" i="1"/>
  <c r="AP955" i="1" s="1"/>
  <c r="AO994" i="1"/>
  <c r="AO990" i="1"/>
  <c r="AO991" i="1"/>
  <c r="AP407" i="1"/>
  <c r="AP566" i="1"/>
  <c r="AP994" i="1"/>
  <c r="AP990" i="1"/>
  <c r="AP991" i="1"/>
  <c r="AO110" i="1"/>
  <c r="AO814" i="1" s="1"/>
  <c r="AO105" i="1"/>
  <c r="AW816" i="1" l="1"/>
  <c r="AW835" i="1"/>
  <c r="AX39" i="1"/>
  <c r="AW201" i="1"/>
  <c r="AT38" i="2"/>
  <c r="AT48" i="2" s="1"/>
  <c r="AT49" i="2" s="1"/>
  <c r="AH35" i="21"/>
  <c r="AH269" i="1"/>
  <c r="AH19" i="21"/>
  <c r="AT69" i="21"/>
  <c r="AU69" i="21"/>
  <c r="AS69" i="21"/>
  <c r="AP957" i="1"/>
  <c r="AP4" i="1" s="1"/>
  <c r="AQ954" i="1"/>
  <c r="AP52" i="1"/>
  <c r="AP55" i="1"/>
  <c r="AP817" i="1" s="1"/>
  <c r="AP820" i="1" s="1"/>
  <c r="AP830" i="1" s="1"/>
  <c r="AP51" i="1"/>
  <c r="AO112" i="1"/>
  <c r="AO114" i="1"/>
  <c r="AO111" i="1"/>
  <c r="AP114" i="1"/>
  <c r="AP112" i="1"/>
  <c r="AP111" i="1"/>
  <c r="AN55" i="1"/>
  <c r="AN817" i="1" s="1"/>
  <c r="AN820" i="1" s="1"/>
  <c r="AN830" i="1" s="1"/>
  <c r="AN51" i="1"/>
  <c r="AN52" i="1"/>
  <c r="AO51" i="1"/>
  <c r="AO52" i="1"/>
  <c r="AO55" i="1"/>
  <c r="AO817" i="1" s="1"/>
  <c r="AO820" i="1" s="1"/>
  <c r="AO830" i="1" s="1"/>
  <c r="AN112" i="1"/>
  <c r="AN114" i="1"/>
  <c r="AN111" i="1"/>
  <c r="AX816" i="1" l="1"/>
  <c r="AX835" i="1"/>
  <c r="AX201" i="1"/>
  <c r="F7" i="42"/>
  <c r="F13" i="42" s="1"/>
  <c r="AO840" i="1"/>
  <c r="E7" i="42"/>
  <c r="E13" i="42" s="1"/>
  <c r="AN840" i="1"/>
  <c r="G7" i="42"/>
  <c r="G13" i="42" s="1"/>
  <c r="AY820" i="1"/>
  <c r="AP840" i="1"/>
  <c r="AO839" i="1"/>
  <c r="AP839" i="1"/>
  <c r="AN839" i="1"/>
  <c r="AT13" i="2"/>
  <c r="AT19" i="2" s="1"/>
  <c r="AH271" i="1"/>
  <c r="AH46" i="21"/>
  <c r="AO63" i="1"/>
  <c r="AO64" i="1"/>
  <c r="AP63" i="1"/>
  <c r="AP64" i="1"/>
  <c r="AN64" i="1"/>
  <c r="AN63" i="1"/>
  <c r="E19" i="42" l="1"/>
  <c r="E20" i="42" s="1"/>
  <c r="E18" i="42"/>
  <c r="G19" i="42"/>
  <c r="G20" i="42" s="1"/>
  <c r="G18" i="42"/>
  <c r="F19" i="42"/>
  <c r="F20" i="42" s="1"/>
  <c r="F18" i="42"/>
  <c r="AN239" i="1"/>
  <c r="AN245" i="1" s="1"/>
  <c r="AN116" i="1" s="1"/>
  <c r="AN972" i="1"/>
  <c r="AP239" i="1"/>
  <c r="AP245" i="1" s="1"/>
  <c r="AP116" i="1" s="1"/>
  <c r="AP972" i="1"/>
  <c r="AO239" i="1"/>
  <c r="AO245" i="1" s="1"/>
  <c r="AO116" i="1" s="1"/>
  <c r="AO972" i="1"/>
  <c r="AP117" i="1" l="1"/>
  <c r="AO117" i="1"/>
  <c r="AN117" i="1"/>
  <c r="AM97" i="2" l="1"/>
  <c r="AN85" i="2" s="1"/>
  <c r="AN97" i="2" s="1"/>
  <c r="AO85" i="2" s="1"/>
  <c r="AM112" i="2" l="1"/>
  <c r="AN112" i="2"/>
  <c r="AN196" i="2" l="1"/>
  <c r="AN119" i="2"/>
  <c r="AM196" i="2"/>
  <c r="AM119" i="2"/>
  <c r="AO97" i="2"/>
  <c r="AP85" i="2" s="1"/>
  <c r="AP97" i="2" s="1"/>
  <c r="AP112" i="2" s="1"/>
  <c r="AP119" i="2" l="1"/>
  <c r="M34" i="12"/>
  <c r="AP196" i="2"/>
  <c r="AO112" i="2"/>
  <c r="AO196" i="2" l="1"/>
  <c r="AO119" i="2"/>
  <c r="AO82" i="2"/>
  <c r="AO197" i="2"/>
  <c r="AP82" i="2" l="1"/>
  <c r="AH32" i="1"/>
  <c r="AH156" i="1" s="1"/>
  <c r="AH160" i="1" s="1"/>
  <c r="AH95" i="1" s="1"/>
  <c r="AQ85" i="2"/>
  <c r="AQ75" i="2" s="1"/>
  <c r="S192" i="1"/>
  <c r="AG42" i="21" l="1"/>
  <c r="S209" i="1"/>
  <c r="S105" i="1" s="1"/>
  <c r="AQ87" i="2"/>
  <c r="AQ97" i="2" s="1"/>
  <c r="AR85" i="2" s="1"/>
  <c r="S50" i="1"/>
  <c r="W51" i="1" s="1"/>
  <c r="S211" i="1"/>
  <c r="AQ211" i="1" s="1"/>
  <c r="AR75" i="2" l="1"/>
  <c r="S218" i="1"/>
  <c r="S107" i="1" s="1"/>
  <c r="AQ112" i="2"/>
  <c r="AQ196" i="2" s="1"/>
  <c r="AQ76" i="2"/>
  <c r="S55" i="1"/>
  <c r="S52" i="1"/>
  <c r="S51" i="1"/>
  <c r="S63" i="1" l="1"/>
  <c r="S814" i="1"/>
  <c r="S817" i="1" s="1"/>
  <c r="S820" i="1" s="1"/>
  <c r="AR87" i="2"/>
  <c r="AR97" i="2" s="1"/>
  <c r="S108" i="1"/>
  <c r="S110" i="1"/>
  <c r="AQ82" i="2"/>
  <c r="AQ197" i="2"/>
  <c r="AI32" i="1" s="1"/>
  <c r="S220" i="1"/>
  <c r="S64" i="1"/>
  <c r="S239" i="1" l="1"/>
  <c r="S972" i="1"/>
  <c r="AS85" i="2"/>
  <c r="AR112" i="2"/>
  <c r="AR196" i="2" s="1"/>
  <c r="AR76" i="2"/>
  <c r="AI156" i="1"/>
  <c r="S111" i="1"/>
  <c r="S112" i="1"/>
  <c r="S245" i="1"/>
  <c r="S116" i="1" s="1"/>
  <c r="S117" i="1" s="1"/>
  <c r="S777" i="1"/>
  <c r="S780" i="1" s="1"/>
  <c r="S800" i="1" s="1"/>
  <c r="S802" i="1" s="1"/>
  <c r="S807" i="1" s="1"/>
  <c r="S237" i="1"/>
  <c r="S114" i="1" s="1"/>
  <c r="S809" i="1" l="1"/>
  <c r="S811" i="1"/>
  <c r="S984" i="1"/>
  <c r="S992" i="1" s="1"/>
  <c r="AR82" i="2"/>
  <c r="AR197" i="2"/>
  <c r="AS75" i="2"/>
  <c r="AI160" i="1"/>
  <c r="AI95" i="1" s="1"/>
  <c r="AS87" i="2" l="1"/>
  <c r="AS97" i="2" s="1"/>
  <c r="AT85" i="2" s="1"/>
  <c r="AV32" i="1"/>
  <c r="AV156" i="1" s="1"/>
  <c r="AV160" i="1" s="1"/>
  <c r="AV95" i="1" s="1"/>
  <c r="AJ32" i="1"/>
  <c r="S753" i="1"/>
  <c r="AT75" i="2" l="1"/>
  <c r="AJ156" i="1"/>
  <c r="AU32" i="1"/>
  <c r="AS112" i="2"/>
  <c r="AS196" i="2" s="1"/>
  <c r="AS76" i="2"/>
  <c r="S635" i="1"/>
  <c r="S985" i="1"/>
  <c r="S995" i="1" s="1"/>
  <c r="AT87" i="2" l="1"/>
  <c r="AT97" i="2" s="1"/>
  <c r="AS82" i="2"/>
  <c r="AS197" i="2"/>
  <c r="AW32" i="1" s="1"/>
  <c r="AW156" i="1" s="1"/>
  <c r="AW160" i="1" s="1"/>
  <c r="AW95" i="1" s="1"/>
  <c r="AJ160" i="1"/>
  <c r="AJ95" i="1" s="1"/>
  <c r="AU95" i="1" s="1"/>
  <c r="AU156" i="1"/>
  <c r="AU160" i="1" s="1"/>
  <c r="AQ145" i="1"/>
  <c r="AT112" i="2" l="1"/>
  <c r="AT196" i="2" s="1"/>
  <c r="AT76" i="2"/>
  <c r="AQ147" i="1"/>
  <c r="AQ135" i="11" s="1"/>
  <c r="AQ146" i="1"/>
  <c r="AT82" i="2" l="1"/>
  <c r="AT197" i="2"/>
  <c r="AQ87" i="1"/>
  <c r="AQ86" i="1"/>
  <c r="S139" i="1"/>
  <c r="S140" i="1"/>
  <c r="S130" i="11" s="1"/>
  <c r="S631" i="1" l="1"/>
  <c r="AQ119" i="1" l="1"/>
  <c r="AC22" i="17" s="1"/>
  <c r="AQ899" i="1"/>
  <c r="F9" i="12" s="1"/>
  <c r="F14" i="12" s="1"/>
  <c r="S987" i="1"/>
  <c r="F8" i="12" l="1"/>
  <c r="F10" i="12" s="1"/>
  <c r="F12" i="12" s="1"/>
  <c r="F17" i="12" s="1"/>
  <c r="F18" i="12" s="1"/>
  <c r="G144" i="3"/>
  <c r="G145" i="3" s="1"/>
  <c r="AQ638" i="1"/>
  <c r="AQ898" i="1"/>
  <c r="S994" i="1"/>
  <c r="S988" i="1"/>
  <c r="AQ121" i="1"/>
  <c r="AQ120" i="1"/>
  <c r="AQ987" i="1"/>
  <c r="AQ122" i="1" l="1"/>
  <c r="AC23" i="17"/>
  <c r="Q898" i="1"/>
  <c r="Q897" i="1" s="1"/>
  <c r="T898" i="1"/>
  <c r="T897" i="1" s="1"/>
  <c r="S898" i="1"/>
  <c r="R898" i="1"/>
  <c r="R897" i="1" s="1"/>
  <c r="S991" i="1"/>
  <c r="S990" i="1"/>
  <c r="S897" i="1" l="1"/>
  <c r="R876" i="1"/>
  <c r="S875" i="1"/>
  <c r="S172" i="11" s="1"/>
  <c r="S957" i="1"/>
  <c r="S4" i="1" s="1"/>
  <c r="T876" i="1" l="1"/>
  <c r="S876" i="1"/>
  <c r="AQ939" i="1"/>
  <c r="AQ875" i="1"/>
  <c r="AQ172" i="11" s="1"/>
  <c r="S866" i="1"/>
  <c r="S868" i="1" s="1"/>
  <c r="T482" i="1" l="1"/>
  <c r="T401" i="1"/>
  <c r="T346" i="1"/>
  <c r="T614" i="1"/>
  <c r="T560" i="1"/>
  <c r="Q482" i="1"/>
  <c r="S346" i="1"/>
  <c r="R560" i="1"/>
  <c r="Q560" i="1"/>
  <c r="Q401" i="1"/>
  <c r="S401" i="1"/>
  <c r="R401" i="1"/>
  <c r="Q346" i="1"/>
  <c r="S614" i="1"/>
  <c r="S482" i="1"/>
  <c r="R614" i="1"/>
  <c r="R346" i="1"/>
  <c r="Q614" i="1"/>
  <c r="S560" i="1"/>
  <c r="R482" i="1"/>
  <c r="T866" i="1"/>
  <c r="R906" i="1" l="1"/>
  <c r="R617" i="1"/>
  <c r="R77" i="21" s="1"/>
  <c r="R637" i="1"/>
  <c r="R638" i="1" s="1"/>
  <c r="R905" i="1"/>
  <c r="R563" i="1"/>
  <c r="S905" i="1"/>
  <c r="S563" i="1"/>
  <c r="S904" i="1"/>
  <c r="S485" i="1"/>
  <c r="S903" i="1"/>
  <c r="S404" i="1"/>
  <c r="S902" i="1"/>
  <c r="S283" i="1"/>
  <c r="T902" i="1"/>
  <c r="T283" i="1"/>
  <c r="J171" i="5" s="1"/>
  <c r="J172" i="5" s="1"/>
  <c r="T637" i="1"/>
  <c r="T638" i="1" s="1"/>
  <c r="T906" i="1"/>
  <c r="T617" i="1"/>
  <c r="T903" i="1"/>
  <c r="T404" i="1"/>
  <c r="J107" i="6" s="1"/>
  <c r="R904" i="1"/>
  <c r="R485" i="1"/>
  <c r="R903" i="1"/>
  <c r="R404" i="1"/>
  <c r="Q906" i="1"/>
  <c r="Q617" i="1"/>
  <c r="Q77" i="21" s="1"/>
  <c r="Q637" i="1"/>
  <c r="Q638" i="1" s="1"/>
  <c r="S906" i="1"/>
  <c r="S617" i="1"/>
  <c r="S637" i="1"/>
  <c r="S638" i="1" s="1"/>
  <c r="Q903" i="1"/>
  <c r="Q404" i="1"/>
  <c r="Q904" i="1"/>
  <c r="Q485" i="1"/>
  <c r="R902" i="1"/>
  <c r="R283" i="1"/>
  <c r="Q902" i="1"/>
  <c r="Q283" i="1"/>
  <c r="Q905" i="1"/>
  <c r="Q563" i="1"/>
  <c r="T905" i="1"/>
  <c r="T563" i="1"/>
  <c r="T904" i="1"/>
  <c r="T485" i="1"/>
  <c r="T987" i="1"/>
  <c r="T988" i="1" s="1"/>
  <c r="AQ866" i="1"/>
  <c r="AQ748" i="1"/>
  <c r="AQ791" i="1" s="1"/>
  <c r="AQ793" i="1" s="1"/>
  <c r="AQ797" i="1" s="1"/>
  <c r="T868" i="1"/>
  <c r="Q565" i="1" l="1"/>
  <c r="Q566" i="1" s="1"/>
  <c r="Q564" i="1"/>
  <c r="Q76" i="21"/>
  <c r="Q406" i="1"/>
  <c r="Q407" i="1" s="1"/>
  <c r="Q74" i="21"/>
  <c r="Q405" i="1"/>
  <c r="R406" i="1"/>
  <c r="R407" i="1" s="1"/>
  <c r="R405" i="1"/>
  <c r="R74" i="21"/>
  <c r="S907" i="1"/>
  <c r="R907" i="1"/>
  <c r="T285" i="1"/>
  <c r="T286" i="1" s="1"/>
  <c r="T284" i="1"/>
  <c r="T73" i="21"/>
  <c r="J108" i="6"/>
  <c r="S74" i="21"/>
  <c r="S405" i="1"/>
  <c r="S406" i="1"/>
  <c r="S407" i="1" s="1"/>
  <c r="I103" i="8"/>
  <c r="I104" i="8" s="1"/>
  <c r="S565" i="1"/>
  <c r="S566" i="1" s="1"/>
  <c r="S564" i="1"/>
  <c r="S76" i="21"/>
  <c r="R643" i="1"/>
  <c r="R644" i="1" s="1"/>
  <c r="R285" i="1"/>
  <c r="R286" i="1" s="1"/>
  <c r="R73" i="21"/>
  <c r="R284" i="1"/>
  <c r="T405" i="1"/>
  <c r="T74" i="21"/>
  <c r="T406" i="1"/>
  <c r="T407" i="1" s="1"/>
  <c r="T565" i="1"/>
  <c r="T566" i="1" s="1"/>
  <c r="T76" i="21"/>
  <c r="T564" i="1"/>
  <c r="Q643" i="1"/>
  <c r="Q644" i="1" s="1"/>
  <c r="Q73" i="21"/>
  <c r="Q284" i="1"/>
  <c r="Q285" i="1"/>
  <c r="Q286" i="1" s="1"/>
  <c r="Q75" i="21"/>
  <c r="Q487" i="1"/>
  <c r="Q488" i="1" s="1"/>
  <c r="Q486" i="1"/>
  <c r="Q96" i="21"/>
  <c r="Q87" i="21"/>
  <c r="R487" i="1"/>
  <c r="R488" i="1" s="1"/>
  <c r="R75" i="21"/>
  <c r="R486" i="1"/>
  <c r="T77" i="21"/>
  <c r="T643" i="1"/>
  <c r="T644" i="1" s="1"/>
  <c r="T907" i="1"/>
  <c r="R87" i="21"/>
  <c r="R96" i="21"/>
  <c r="T487" i="1"/>
  <c r="T488" i="1" s="1"/>
  <c r="T75" i="21"/>
  <c r="T486" i="1"/>
  <c r="Q907" i="1"/>
  <c r="S643" i="1"/>
  <c r="S644" i="1" s="1"/>
  <c r="S77" i="21"/>
  <c r="S284" i="1"/>
  <c r="S73" i="21"/>
  <c r="S285" i="1"/>
  <c r="S286" i="1" s="1"/>
  <c r="I102" i="7"/>
  <c r="I103" i="7" s="1"/>
  <c r="S75" i="21"/>
  <c r="S486" i="1"/>
  <c r="S487" i="1"/>
  <c r="S488" i="1" s="1"/>
  <c r="R76" i="21"/>
  <c r="R565" i="1"/>
  <c r="R566" i="1" s="1"/>
  <c r="R564" i="1"/>
  <c r="AQ904" i="1"/>
  <c r="AQ485" i="1"/>
  <c r="AQ617" i="1"/>
  <c r="AQ906" i="1"/>
  <c r="AQ903" i="1"/>
  <c r="AQ404" i="1"/>
  <c r="H107" i="6" s="1"/>
  <c r="H108" i="6" s="1"/>
  <c r="AQ563" i="1"/>
  <c r="AQ905" i="1"/>
  <c r="AQ902" i="1"/>
  <c r="AQ283" i="1"/>
  <c r="H171" i="5" s="1"/>
  <c r="H172" i="5" s="1"/>
  <c r="AQ868" i="1"/>
  <c r="X876" i="1" l="1"/>
  <c r="S78" i="21"/>
  <c r="S92" i="21"/>
  <c r="S83" i="21"/>
  <c r="R85" i="21"/>
  <c r="R94" i="21"/>
  <c r="T86" i="21"/>
  <c r="T95" i="21"/>
  <c r="Q86" i="21"/>
  <c r="Q95" i="21"/>
  <c r="T85" i="21"/>
  <c r="T94" i="21"/>
  <c r="T84" i="21"/>
  <c r="T93" i="21"/>
  <c r="S85" i="21"/>
  <c r="S94" i="21"/>
  <c r="Q83" i="21"/>
  <c r="Q92" i="21"/>
  <c r="Q78" i="21"/>
  <c r="S86" i="21"/>
  <c r="S95" i="21"/>
  <c r="T78" i="21"/>
  <c r="T83" i="21"/>
  <c r="T92" i="21"/>
  <c r="S87" i="21"/>
  <c r="S96" i="21"/>
  <c r="S93" i="21"/>
  <c r="S84" i="21"/>
  <c r="R86" i="21"/>
  <c r="R95" i="21"/>
  <c r="T96" i="21"/>
  <c r="T87" i="21"/>
  <c r="Q85" i="21"/>
  <c r="Q94" i="21"/>
  <c r="R83" i="21"/>
  <c r="R78" i="21"/>
  <c r="R92" i="21"/>
  <c r="R84" i="21"/>
  <c r="R93" i="21"/>
  <c r="Q84" i="21"/>
  <c r="Q93" i="21"/>
  <c r="AQ643" i="1"/>
  <c r="AQ644" i="1" s="1"/>
  <c r="AU77" i="21"/>
  <c r="AQ406" i="1"/>
  <c r="AQ407" i="1" s="1"/>
  <c r="AQ405" i="1"/>
  <c r="AU74" i="21"/>
  <c r="AU75" i="21"/>
  <c r="AQ486" i="1"/>
  <c r="BP489" i="1" s="1"/>
  <c r="AQ487" i="1"/>
  <c r="AQ488" i="1" s="1"/>
  <c r="AQ285" i="1"/>
  <c r="AQ286" i="1" s="1"/>
  <c r="AU73" i="21"/>
  <c r="AQ284" i="1"/>
  <c r="AQ907" i="1"/>
  <c r="AU76" i="21"/>
  <c r="AQ565" i="1"/>
  <c r="AQ566" i="1" s="1"/>
  <c r="AQ564" i="1"/>
  <c r="Q97" i="21" l="1"/>
  <c r="Q79" i="21"/>
  <c r="Q88" i="21"/>
  <c r="T79" i="21"/>
  <c r="T88" i="21"/>
  <c r="T97" i="21"/>
  <c r="S79" i="21"/>
  <c r="S97" i="21"/>
  <c r="S88" i="21"/>
  <c r="R97" i="21"/>
  <c r="R88" i="21"/>
  <c r="R79" i="21"/>
  <c r="AU93" i="21"/>
  <c r="AU84" i="21"/>
  <c r="AU87" i="21"/>
  <c r="AU96" i="21"/>
  <c r="AU86" i="21"/>
  <c r="AU95" i="21"/>
  <c r="AU92" i="21"/>
  <c r="AU83" i="21"/>
  <c r="AU78" i="21"/>
  <c r="AU85" i="21"/>
  <c r="AU94" i="21"/>
  <c r="G37" i="13" l="1"/>
  <c r="AU79" i="21"/>
  <c r="AU88" i="21"/>
  <c r="AU97" i="21"/>
  <c r="AR638" i="1" l="1"/>
  <c r="X637" i="1" l="1"/>
  <c r="X638" i="1" s="1"/>
  <c r="J62" i="12" l="1"/>
  <c r="C63" i="12"/>
  <c r="J63" i="12" l="1"/>
  <c r="C64" i="12"/>
  <c r="J64" i="12"/>
  <c r="C65" i="12"/>
  <c r="J65" i="12" l="1"/>
  <c r="C66" i="12"/>
  <c r="J66" i="12" s="1"/>
  <c r="T43" i="1"/>
  <c r="X44" i="1" s="1"/>
  <c r="T983" i="1"/>
  <c r="T993" i="1" s="1"/>
  <c r="T192" i="1" l="1"/>
  <c r="T50" i="1"/>
  <c r="X51" i="1" s="1"/>
  <c r="T47" i="1"/>
  <c r="T123" i="11" s="1"/>
  <c r="AQ43" i="1"/>
  <c r="AQ983" i="1"/>
  <c r="AQ993" i="1" s="1"/>
  <c r="T994" i="1"/>
  <c r="T44" i="1"/>
  <c r="AQ44" i="1" l="1"/>
  <c r="AQ913" i="1"/>
  <c r="T209" i="1"/>
  <c r="T105" i="1" s="1"/>
  <c r="AQ994" i="1"/>
  <c r="T51" i="1"/>
  <c r="T52" i="1"/>
  <c r="T55" i="1"/>
  <c r="T814" i="1" s="1"/>
  <c r="T817" i="1" s="1"/>
  <c r="T820" i="1" s="1"/>
  <c r="AQ218" i="1" l="1"/>
  <c r="T218" i="1"/>
  <c r="T107" i="1" s="1"/>
  <c r="AQ932" i="1"/>
  <c r="AC41" i="17" s="1"/>
  <c r="AF47" i="17" s="1"/>
  <c r="AQ47" i="1"/>
  <c r="AQ123" i="11" s="1"/>
  <c r="AQ50" i="1"/>
  <c r="T64" i="1"/>
  <c r="T63" i="1"/>
  <c r="T220" i="1"/>
  <c r="AQ909" i="1" l="1"/>
  <c r="AQ911" i="1" s="1"/>
  <c r="AC33" i="17"/>
  <c r="T239" i="1"/>
  <c r="T245" i="1" s="1"/>
  <c r="T116" i="1" s="1"/>
  <c r="T972" i="1"/>
  <c r="T108" i="1"/>
  <c r="T110" i="1"/>
  <c r="T117" i="1"/>
  <c r="T777" i="1"/>
  <c r="T780" i="1" s="1"/>
  <c r="T800" i="1" s="1"/>
  <c r="T802" i="1" s="1"/>
  <c r="T807" i="1" s="1"/>
  <c r="AQ777" i="1"/>
  <c r="AQ780" i="1" s="1"/>
  <c r="AQ800" i="1" s="1"/>
  <c r="AQ802" i="1" s="1"/>
  <c r="AQ807" i="1" s="1"/>
  <c r="T237" i="1"/>
  <c r="AQ52" i="1"/>
  <c r="AQ51" i="1"/>
  <c r="AQ55" i="1"/>
  <c r="H11" i="42" l="1"/>
  <c r="H16" i="42" s="1"/>
  <c r="T809" i="1"/>
  <c r="T811" i="1"/>
  <c r="AQ811" i="1"/>
  <c r="AQ809" i="1"/>
  <c r="T114" i="1"/>
  <c r="T111" i="1"/>
  <c r="T112" i="1"/>
  <c r="AQ128" i="1"/>
  <c r="AQ63" i="1"/>
  <c r="AQ64" i="1"/>
  <c r="AQ984" i="1"/>
  <c r="T984" i="1"/>
  <c r="H10" i="42" l="1"/>
  <c r="H15" i="42" s="1"/>
  <c r="AQ239" i="1"/>
  <c r="AQ245" i="1" s="1"/>
  <c r="AQ116" i="1" s="1"/>
  <c r="AQ972" i="1"/>
  <c r="AQ126" i="1"/>
  <c r="AQ125" i="1"/>
  <c r="AQ117" i="1" l="1"/>
  <c r="AQ949" i="1" l="1"/>
  <c r="AQ952" i="1" s="1"/>
  <c r="AQ955" i="1" s="1"/>
  <c r="T957" i="1" l="1"/>
  <c r="T4" i="1" s="1"/>
  <c r="AR954" i="1"/>
  <c r="T992" i="1"/>
  <c r="T996" i="1"/>
  <c r="T990" i="1"/>
  <c r="AQ744" i="1" l="1"/>
  <c r="T753" i="1"/>
  <c r="T635" i="1" s="1"/>
  <c r="T981" i="1"/>
  <c r="T982" i="1" s="1"/>
  <c r="T991" i="1" s="1"/>
  <c r="AQ990" i="1"/>
  <c r="AQ996" i="1"/>
  <c r="AQ992" i="1"/>
  <c r="AQ981" i="1" l="1"/>
  <c r="AQ982" i="1" s="1"/>
  <c r="AQ991" i="1" s="1"/>
  <c r="AQ753" i="1"/>
  <c r="AU109" i="21" s="1"/>
  <c r="AQ957" i="1"/>
  <c r="AQ4" i="1" s="1"/>
  <c r="T985" i="1"/>
  <c r="T995" i="1" s="1"/>
  <c r="AQ985" i="1" l="1"/>
  <c r="AQ995" i="1" s="1"/>
  <c r="AQ78" i="1" l="1"/>
  <c r="AQ80" i="1"/>
  <c r="AQ77" i="1"/>
  <c r="AQ140" i="1"/>
  <c r="AQ130" i="11" s="1"/>
  <c r="AQ139" i="1"/>
  <c r="AQ96" i="1" l="1"/>
  <c r="AQ82" i="1"/>
  <c r="AQ81" i="1"/>
  <c r="AQ99" i="1" l="1"/>
  <c r="AQ825" i="1"/>
  <c r="AQ100" i="1"/>
  <c r="H8" i="42"/>
  <c r="AU42" i="21"/>
  <c r="AQ97" i="1"/>
  <c r="AQ98" i="1"/>
  <c r="AQ631" i="1"/>
  <c r="AQ103" i="1"/>
  <c r="AQ83" i="1"/>
  <c r="H14" i="42" l="1"/>
  <c r="W270" i="1" l="1"/>
  <c r="W271" i="1"/>
  <c r="V279" i="1" l="1"/>
  <c r="V280" i="1"/>
  <c r="V281" i="1" l="1"/>
  <c r="V35" i="11"/>
  <c r="V55" i="21"/>
  <c r="V46" i="21"/>
  <c r="W281" i="1" l="1"/>
  <c r="W46" i="21"/>
  <c r="W55" i="21" l="1"/>
  <c r="X251" i="1" l="1"/>
  <c r="X10" i="21"/>
  <c r="X19" i="21" l="1"/>
  <c r="AB19" i="21"/>
  <c r="AS265" i="1"/>
  <c r="AS266" i="1"/>
  <c r="AS264" i="1"/>
  <c r="AV120" i="21"/>
  <c r="AR251" i="1"/>
  <c r="AS30" i="11" l="1"/>
  <c r="AS20" i="11"/>
  <c r="AS25" i="11"/>
  <c r="AV19" i="21"/>
  <c r="X270" i="1" l="1"/>
  <c r="X271" i="1"/>
  <c r="X278" i="1"/>
  <c r="X35" i="21" l="1"/>
  <c r="X46" i="21" s="1"/>
  <c r="X283" i="1"/>
  <c r="X279" i="1"/>
  <c r="AR270" i="1"/>
  <c r="X280" i="1"/>
  <c r="AR278" i="1"/>
  <c r="AS279" i="1" s="1"/>
  <c r="AR271" i="1"/>
  <c r="X55" i="21" l="1"/>
  <c r="X281" i="1"/>
  <c r="X35" i="11"/>
  <c r="AR280" i="1"/>
  <c r="AR279" i="1"/>
  <c r="AV35" i="21"/>
  <c r="X284" i="1"/>
  <c r="X285" i="1"/>
  <c r="X286" i="1" s="1"/>
  <c r="X73" i="21"/>
  <c r="X92" i="21" l="1"/>
  <c r="X83" i="21"/>
  <c r="AV55" i="21"/>
  <c r="AV46" i="21"/>
  <c r="AR35" i="11"/>
  <c r="AR281" i="1"/>
  <c r="Y278" i="1" l="1"/>
  <c r="Y35" i="21" s="1"/>
  <c r="Y55" i="21" l="1"/>
  <c r="Y46" i="21"/>
  <c r="Y279" i="1"/>
  <c r="Y280" i="1"/>
  <c r="Y281" i="1" l="1"/>
  <c r="Y35" i="11"/>
  <c r="Z251" i="1"/>
  <c r="AH55" i="21" l="1"/>
  <c r="AH279" i="1"/>
  <c r="AH270" i="1" l="1"/>
  <c r="Z264" i="1" l="1"/>
  <c r="Z265" i="1"/>
  <c r="Z266" i="1"/>
  <c r="Z270" i="1"/>
  <c r="Z271" i="1"/>
  <c r="Z278" i="1"/>
  <c r="AD279" i="1" s="1"/>
  <c r="Z30" i="11" l="1"/>
  <c r="Z25" i="11"/>
  <c r="Z20" i="11"/>
  <c r="Z280" i="1"/>
  <c r="Z35" i="21"/>
  <c r="AD55" i="21" s="1"/>
  <c r="Z279" i="1"/>
  <c r="Z281" i="1" l="1"/>
  <c r="AD281" i="1"/>
  <c r="Z35" i="11"/>
  <c r="Z55" i="21"/>
  <c r="Z46" i="21"/>
  <c r="AA251" i="1"/>
  <c r="AI254" i="1" l="1"/>
  <c r="AI257" i="1"/>
  <c r="AI256" i="1"/>
  <c r="AI255" i="1"/>
  <c r="AI258" i="1"/>
  <c r="AI250" i="1" l="1"/>
  <c r="AI260" i="1" s="1"/>
  <c r="AI251" i="1" l="1"/>
  <c r="AI10" i="21"/>
  <c r="AI278" i="1"/>
  <c r="AA264" i="1"/>
  <c r="AA265" i="1"/>
  <c r="AA266" i="1"/>
  <c r="AA270" i="1"/>
  <c r="AA271" i="1"/>
  <c r="AA278" i="1"/>
  <c r="AA35" i="21" l="1"/>
  <c r="AE279" i="1"/>
  <c r="AI19" i="21"/>
  <c r="AI269" i="1"/>
  <c r="AI35" i="21"/>
  <c r="AI279" i="1"/>
  <c r="AA30" i="11"/>
  <c r="AA25" i="11"/>
  <c r="AA20" i="11"/>
  <c r="AA280" i="1"/>
  <c r="AA279" i="1"/>
  <c r="AA46" i="21" l="1"/>
  <c r="AE55" i="21"/>
  <c r="AA55" i="21"/>
  <c r="AA35" i="11"/>
  <c r="AE281" i="1"/>
  <c r="AI46" i="21"/>
  <c r="AI55" i="21"/>
  <c r="AI270" i="1"/>
  <c r="AI271" i="1"/>
  <c r="AA281" i="1"/>
  <c r="AB251" i="1" l="1"/>
  <c r="AW120" i="21" l="1"/>
  <c r="AS251" i="1"/>
  <c r="AW19" i="21" l="1"/>
  <c r="AS270" i="1"/>
  <c r="AS271" i="1"/>
  <c r="AB264" i="1" l="1"/>
  <c r="AB265" i="1"/>
  <c r="AB266" i="1"/>
  <c r="AB270" i="1"/>
  <c r="AB271" i="1"/>
  <c r="AB278" i="1"/>
  <c r="AB279" i="1" l="1"/>
  <c r="AF279" i="1"/>
  <c r="AB25" i="11"/>
  <c r="AB30" i="11"/>
  <c r="AB20" i="11"/>
  <c r="AB280" i="1"/>
  <c r="AB35" i="21"/>
  <c r="AF55" i="21" s="1"/>
  <c r="AB35" i="11" l="1"/>
  <c r="AF281" i="1"/>
  <c r="AB281" i="1"/>
  <c r="AB46" i="21"/>
  <c r="AB55" i="21"/>
  <c r="AC264" i="1"/>
  <c r="AC20" i="11" s="1"/>
  <c r="AC265" i="1"/>
  <c r="AC25" i="11" s="1"/>
  <c r="AC266" i="1"/>
  <c r="AC30" i="11" s="1"/>
  <c r="AC251" i="1"/>
  <c r="U258" i="1" l="1"/>
  <c r="V258" i="1"/>
  <c r="W258" i="1"/>
  <c r="U263" i="1"/>
  <c r="U15" i="11" s="1"/>
  <c r="V263" i="1"/>
  <c r="W263" i="1"/>
  <c r="Y258" i="1"/>
  <c r="Z258" i="1"/>
  <c r="AA258" i="1"/>
  <c r="Y263" i="1"/>
  <c r="Z263" i="1"/>
  <c r="AA263" i="1"/>
  <c r="AB258" i="1"/>
  <c r="AC258" i="1"/>
  <c r="AB263" i="1"/>
  <c r="AC263" i="1"/>
  <c r="AC270" i="1"/>
  <c r="AC271" i="1"/>
  <c r="AC278" i="1"/>
  <c r="AG279" i="1" s="1"/>
  <c r="V353" i="1"/>
  <c r="V11" i="21"/>
  <c r="AC35" i="21" l="1"/>
  <c r="AG55" i="21" s="1"/>
  <c r="AC280" i="1"/>
  <c r="AG281" i="1" s="1"/>
  <c r="V20" i="21"/>
  <c r="Z20" i="21"/>
  <c r="AA267" i="1"/>
  <c r="AA15" i="11"/>
  <c r="Z267" i="1"/>
  <c r="Z15" i="11"/>
  <c r="W267" i="1"/>
  <c r="W15" i="11"/>
  <c r="V267" i="1"/>
  <c r="V15" i="11"/>
  <c r="Y267" i="1"/>
  <c r="Y15" i="11"/>
  <c r="AC267" i="1"/>
  <c r="AC15" i="11"/>
  <c r="AB267" i="1"/>
  <c r="AB15" i="11"/>
  <c r="U267" i="1"/>
  <c r="AC279" i="1"/>
  <c r="V47" i="11"/>
  <c r="V52" i="11"/>
  <c r="V57" i="11"/>
  <c r="V372" i="1"/>
  <c r="V373" i="1"/>
  <c r="V380" i="1"/>
  <c r="V36" i="21" s="1"/>
  <c r="AC46" i="21" l="1"/>
  <c r="AC55" i="21"/>
  <c r="AC35" i="11"/>
  <c r="AC281" i="1"/>
  <c r="V382" i="1"/>
  <c r="V381" i="1"/>
  <c r="V383" i="1" l="1"/>
  <c r="V62" i="11"/>
  <c r="V56" i="21"/>
  <c r="V47" i="21"/>
  <c r="W353" i="1"/>
  <c r="W11" i="21"/>
  <c r="W20" i="21" l="1"/>
  <c r="AA20" i="21"/>
  <c r="W47" i="11"/>
  <c r="W52" i="11"/>
  <c r="W57" i="11"/>
  <c r="W372" i="1"/>
  <c r="W373" i="1"/>
  <c r="W380" i="1"/>
  <c r="W36" i="21" s="1"/>
  <c r="W382" i="1" l="1"/>
  <c r="W381" i="1"/>
  <c r="W383" i="1" l="1"/>
  <c r="W62" i="11"/>
  <c r="W56" i="21"/>
  <c r="W47" i="21"/>
  <c r="AR353" i="1" l="1"/>
  <c r="X353" i="1"/>
  <c r="X11" i="21"/>
  <c r="AB20" i="21" s="1"/>
  <c r="AV11" i="21"/>
  <c r="AV20" i="21" l="1"/>
  <c r="AV121" i="21"/>
  <c r="X20" i="21"/>
  <c r="AR47" i="11"/>
  <c r="AR52" i="11"/>
  <c r="AR57" i="11"/>
  <c r="X47" i="11"/>
  <c r="X52" i="11"/>
  <c r="X57" i="11"/>
  <c r="X372" i="1"/>
  <c r="X373" i="1"/>
  <c r="AR373" i="1"/>
  <c r="X380" i="1"/>
  <c r="X36" i="21" s="1"/>
  <c r="X56" i="21" l="1"/>
  <c r="X381" i="1"/>
  <c r="X47" i="21"/>
  <c r="X382" i="1"/>
  <c r="AR372" i="1"/>
  <c r="X404" i="1"/>
  <c r="AR380" i="1"/>
  <c r="AS381" i="1" s="1"/>
  <c r="X383" i="1" l="1"/>
  <c r="X62" i="11"/>
  <c r="AR382" i="1"/>
  <c r="AR381" i="1"/>
  <c r="AR374" i="1" s="1"/>
  <c r="AV36" i="21"/>
  <c r="X405" i="1"/>
  <c r="X406" i="1"/>
  <c r="X407" i="1" s="1"/>
  <c r="X74" i="21"/>
  <c r="AV47" i="21" l="1"/>
  <c r="AV56" i="21"/>
  <c r="X84" i="21"/>
  <c r="X93" i="21"/>
  <c r="AR62" i="11"/>
  <c r="AR383" i="1"/>
  <c r="Y353" i="1" l="1"/>
  <c r="Y372" i="1" l="1"/>
  <c r="Y373" i="1"/>
  <c r="Y380" i="1"/>
  <c r="Y36" i="21" s="1"/>
  <c r="Y57" i="11" l="1"/>
  <c r="Y52" i="11"/>
  <c r="Y47" i="11"/>
  <c r="Y47" i="21"/>
  <c r="Y56" i="21"/>
  <c r="Y382" i="1"/>
  <c r="Y381" i="1"/>
  <c r="Y383" i="1" l="1"/>
  <c r="Y62" i="11"/>
  <c r="Z353" i="1"/>
  <c r="AH358" i="1" l="1"/>
  <c r="AH357" i="1"/>
  <c r="AH360" i="1"/>
  <c r="AH352" i="1" s="1"/>
  <c r="AH356" i="1"/>
  <c r="AH359" i="1"/>
  <c r="AH11" i="21" l="1"/>
  <c r="AH380" i="1"/>
  <c r="AH353" i="1"/>
  <c r="AH362" i="1"/>
  <c r="AH371" i="1" l="1"/>
  <c r="AH36" i="21"/>
  <c r="AH381" i="1"/>
  <c r="AH20" i="21"/>
  <c r="AH47" i="21" l="1"/>
  <c r="AH56" i="21"/>
  <c r="AH373" i="1"/>
  <c r="AH372" i="1"/>
  <c r="Z372" i="1"/>
  <c r="Z373" i="1"/>
  <c r="Z380" i="1"/>
  <c r="Z36" i="21" l="1"/>
  <c r="AD381" i="1"/>
  <c r="Z57" i="11"/>
  <c r="Z52" i="11"/>
  <c r="Z47" i="11"/>
  <c r="Z382" i="1"/>
  <c r="Z381" i="1"/>
  <c r="Z56" i="21" l="1"/>
  <c r="AD56" i="21"/>
  <c r="Z47" i="21"/>
  <c r="Z62" i="11"/>
  <c r="AD383" i="1"/>
  <c r="Z383" i="1"/>
  <c r="AA353" i="1" l="1"/>
  <c r="AA372" i="1" l="1"/>
  <c r="AA373" i="1"/>
  <c r="AA380" i="1"/>
  <c r="AA36" i="21" l="1"/>
  <c r="AE381" i="1"/>
  <c r="AA57" i="11"/>
  <c r="AA52" i="11"/>
  <c r="AA47" i="11"/>
  <c r="AA382" i="1"/>
  <c r="AA381" i="1"/>
  <c r="AA56" i="21" l="1"/>
  <c r="AE56" i="21"/>
  <c r="AA47" i="21"/>
  <c r="AA62" i="11"/>
  <c r="AE383" i="1"/>
  <c r="AA383" i="1"/>
  <c r="AB360" i="1"/>
  <c r="AB42" i="11"/>
  <c r="AB369" i="1" l="1"/>
  <c r="AB57" i="11"/>
  <c r="AB52" i="11"/>
  <c r="AB47" i="11"/>
  <c r="AB353" i="1"/>
  <c r="AB362" i="1"/>
  <c r="AQ365" i="1" l="1"/>
  <c r="AQ42" i="11" s="1"/>
  <c r="T360" i="1"/>
  <c r="U360" i="1"/>
  <c r="U369" i="1" s="1"/>
  <c r="V360" i="1"/>
  <c r="V369" i="1" s="1"/>
  <c r="W360" i="1"/>
  <c r="W369" i="1" s="1"/>
  <c r="X360" i="1"/>
  <c r="Y360" i="1"/>
  <c r="Z360" i="1"/>
  <c r="Z369" i="1" s="1"/>
  <c r="AA360" i="1"/>
  <c r="AA369" i="1" s="1"/>
  <c r="AQ360" i="1"/>
  <c r="AQ369" i="1" s="1"/>
  <c r="AR360" i="1"/>
  <c r="T365" i="1"/>
  <c r="T42" i="11" s="1"/>
  <c r="V42" i="11"/>
  <c r="W42" i="11"/>
  <c r="X42" i="11"/>
  <c r="Y42" i="11"/>
  <c r="Z42" i="11"/>
  <c r="AA42" i="11"/>
  <c r="AC42" i="11"/>
  <c r="AR42" i="11"/>
  <c r="AA362" i="1" l="1"/>
  <c r="U362" i="1"/>
  <c r="X362" i="1"/>
  <c r="X369" i="1"/>
  <c r="Y362" i="1"/>
  <c r="Y369" i="1"/>
  <c r="W362" i="1"/>
  <c r="V362" i="1"/>
  <c r="Z362" i="1"/>
  <c r="AR362" i="1"/>
  <c r="AR369" i="1"/>
  <c r="AQ362" i="1"/>
  <c r="AT356" i="1"/>
  <c r="T369" i="1"/>
  <c r="T362" i="1"/>
  <c r="AI358" i="1" l="1"/>
  <c r="AI357" i="1"/>
  <c r="AI359" i="1"/>
  <c r="AI356" i="1"/>
  <c r="AI360" i="1"/>
  <c r="AJ359" i="1"/>
  <c r="AJ360" i="1"/>
  <c r="AJ352" i="1" s="1"/>
  <c r="AJ357" i="1"/>
  <c r="AJ358" i="1"/>
  <c r="AJ356" i="1"/>
  <c r="AU356" i="1" l="1"/>
  <c r="AJ362" i="1"/>
  <c r="AJ380" i="1"/>
  <c r="AJ11" i="21"/>
  <c r="AJ353" i="1"/>
  <c r="AT352" i="1"/>
  <c r="AI352" i="1"/>
  <c r="AT360" i="1"/>
  <c r="AI362" i="1" l="1"/>
  <c r="AU352" i="1"/>
  <c r="AT418" i="1"/>
  <c r="AU418" i="1" s="1"/>
  <c r="AV418" i="1" s="1"/>
  <c r="AW418" i="1" s="1"/>
  <c r="AX418" i="1" s="1"/>
  <c r="AT673" i="1"/>
  <c r="AT674" i="1"/>
  <c r="AT675" i="1"/>
  <c r="AT676" i="1"/>
  <c r="AT416" i="1"/>
  <c r="AT417" i="1"/>
  <c r="AU417" i="1" s="1"/>
  <c r="AV417" i="1" s="1"/>
  <c r="AW417" i="1" s="1"/>
  <c r="AX417" i="1" s="1"/>
  <c r="AU365" i="1"/>
  <c r="AU42" i="11" s="1"/>
  <c r="AJ20" i="21"/>
  <c r="AJ371" i="1"/>
  <c r="AJ36" i="21"/>
  <c r="AJ381" i="1"/>
  <c r="AI11" i="21"/>
  <c r="AI380" i="1"/>
  <c r="AI353" i="1"/>
  <c r="AU416" i="1" l="1"/>
  <c r="AZ416" i="1"/>
  <c r="BN358" i="1"/>
  <c r="AX166" i="21"/>
  <c r="AT423" i="1"/>
  <c r="AX163" i="21"/>
  <c r="AT422" i="1"/>
  <c r="AX169" i="21"/>
  <c r="AT424" i="1"/>
  <c r="AZ418" i="1"/>
  <c r="AZ417" i="1"/>
  <c r="AT419" i="1"/>
  <c r="AT425" i="1" s="1"/>
  <c r="AT677" i="1"/>
  <c r="AT679" i="1" s="1"/>
  <c r="AU353" i="1"/>
  <c r="AJ373" i="1"/>
  <c r="AJ372" i="1"/>
  <c r="AT371" i="1"/>
  <c r="AT380" i="1" s="1"/>
  <c r="AI20" i="21"/>
  <c r="AJ56" i="21"/>
  <c r="AJ47" i="21"/>
  <c r="AI36" i="21"/>
  <c r="AI371" i="1"/>
  <c r="AI381" i="1"/>
  <c r="AB372" i="1"/>
  <c r="AB373" i="1"/>
  <c r="AB380" i="1"/>
  <c r="AF381" i="1" s="1"/>
  <c r="AV416" i="1" l="1"/>
  <c r="AU419" i="1"/>
  <c r="BN380" i="1"/>
  <c r="BN379" i="1"/>
  <c r="BO376" i="1"/>
  <c r="AT428" i="1"/>
  <c r="AZ419" i="1"/>
  <c r="AT381" i="1"/>
  <c r="AI372" i="1"/>
  <c r="AI373" i="1"/>
  <c r="AU371" i="1"/>
  <c r="AU380" i="1" s="1"/>
  <c r="AI47" i="21"/>
  <c r="AI56" i="21"/>
  <c r="AB381" i="1"/>
  <c r="AB36" i="21"/>
  <c r="AF56" i="21" s="1"/>
  <c r="AB382" i="1"/>
  <c r="AU425" i="1" l="1"/>
  <c r="AU421" i="1"/>
  <c r="AU420" i="1"/>
  <c r="AW416" i="1"/>
  <c r="AV419" i="1"/>
  <c r="AT382" i="1"/>
  <c r="AB62" i="11"/>
  <c r="AF383" i="1"/>
  <c r="AU381" i="1"/>
  <c r="AU374" i="1" s="1"/>
  <c r="AU372" i="1"/>
  <c r="AU373" i="1"/>
  <c r="AB47" i="21"/>
  <c r="AB56" i="21"/>
  <c r="AB383" i="1"/>
  <c r="AX416" i="1" l="1"/>
  <c r="AX419" i="1" s="1"/>
  <c r="AW419" i="1"/>
  <c r="AV425" i="1"/>
  <c r="AV421" i="1"/>
  <c r="AU382" i="1"/>
  <c r="AU62" i="11" s="1"/>
  <c r="AC353" i="1"/>
  <c r="AW425" i="1" l="1"/>
  <c r="AW421" i="1"/>
  <c r="AX425" i="1"/>
  <c r="AX421" i="1"/>
  <c r="AV383" i="1"/>
  <c r="AU383" i="1"/>
  <c r="AC360" i="1"/>
  <c r="AC47" i="11"/>
  <c r="AC52" i="11"/>
  <c r="AC57" i="11"/>
  <c r="AC372" i="1"/>
  <c r="AC373" i="1"/>
  <c r="AC380" i="1"/>
  <c r="V434" i="1"/>
  <c r="V12" i="21"/>
  <c r="AC36" i="21" l="1"/>
  <c r="AG381" i="1"/>
  <c r="AC47" i="21"/>
  <c r="AC56" i="21"/>
  <c r="AC369" i="1"/>
  <c r="AC362" i="1"/>
  <c r="AC381" i="1"/>
  <c r="AG56" i="21"/>
  <c r="V21" i="21"/>
  <c r="Z21" i="21"/>
  <c r="AC382" i="1"/>
  <c r="AG383" i="1" s="1"/>
  <c r="V454" i="1"/>
  <c r="V453" i="1"/>
  <c r="AC383" i="1" l="1"/>
  <c r="AC62" i="11"/>
  <c r="V448" i="1"/>
  <c r="V79" i="11" s="1"/>
  <c r="V449" i="1"/>
  <c r="V84" i="11" s="1"/>
  <c r="W434" i="1"/>
  <c r="W12" i="21"/>
  <c r="AA21" i="21" s="1"/>
  <c r="W21" i="21" l="1"/>
  <c r="W447" i="1" l="1"/>
  <c r="W74" i="11" s="1"/>
  <c r="W448" i="1"/>
  <c r="W79" i="11" s="1"/>
  <c r="W449" i="1"/>
  <c r="W84" i="11" s="1"/>
  <c r="W453" i="1"/>
  <c r="W454" i="1"/>
  <c r="X434" i="1" l="1"/>
  <c r="X12" i="21"/>
  <c r="X21" i="21" l="1"/>
  <c r="AB21" i="21"/>
  <c r="AV12" i="21"/>
  <c r="AR434" i="1"/>
  <c r="BQ488" i="1" s="1"/>
  <c r="AV21" i="21" l="1"/>
  <c r="AV122" i="21"/>
  <c r="X438" i="1"/>
  <c r="X447" i="1" s="1"/>
  <c r="X74" i="11" s="1"/>
  <c r="X439" i="1"/>
  <c r="X448" i="1" s="1"/>
  <c r="X79" i="11" s="1"/>
  <c r="X440" i="1"/>
  <c r="X449" i="1" s="1"/>
  <c r="X84" i="11" s="1"/>
  <c r="AR74" i="11"/>
  <c r="AR79" i="11"/>
  <c r="AR84" i="11"/>
  <c r="AR441" i="1"/>
  <c r="AR69" i="11"/>
  <c r="AR443" i="1" l="1"/>
  <c r="AR450" i="1"/>
  <c r="Y434" i="1"/>
  <c r="Y447" i="1" l="1"/>
  <c r="Y448" i="1"/>
  <c r="Y449" i="1"/>
  <c r="U441" i="1"/>
  <c r="U443" i="1" s="1"/>
  <c r="U446" i="1"/>
  <c r="U69" i="11" s="1"/>
  <c r="V441" i="1"/>
  <c r="W441" i="1"/>
  <c r="W443" i="1" s="1"/>
  <c r="X441" i="1"/>
  <c r="X450" i="1" s="1"/>
  <c r="V446" i="1"/>
  <c r="V69" i="11" s="1"/>
  <c r="W446" i="1"/>
  <c r="W69" i="11" s="1"/>
  <c r="X446" i="1"/>
  <c r="X69" i="11" s="1"/>
  <c r="Y79" i="11" l="1"/>
  <c r="Y84" i="11"/>
  <c r="Y74" i="11"/>
  <c r="W450" i="1"/>
  <c r="U450" i="1"/>
  <c r="X443" i="1"/>
  <c r="V450" i="1"/>
  <c r="V443" i="1"/>
  <c r="X453" i="1"/>
  <c r="X454" i="1"/>
  <c r="AR461" i="1" l="1"/>
  <c r="AR453" i="1"/>
  <c r="AR454" i="1"/>
  <c r="AR462" i="1" l="1"/>
  <c r="AR463" i="1"/>
  <c r="AV37" i="21"/>
  <c r="AV44" i="21" s="1"/>
  <c r="AV57" i="21" l="1"/>
  <c r="AV48" i="21"/>
  <c r="AR89" i="11"/>
  <c r="AR464" i="1"/>
  <c r="AS464" i="1"/>
  <c r="U462" i="1" l="1"/>
  <c r="V462" i="1"/>
  <c r="W462" i="1"/>
  <c r="X462" i="1"/>
  <c r="U463" i="1"/>
  <c r="U89" i="11" s="1"/>
  <c r="V463" i="1"/>
  <c r="W463" i="1"/>
  <c r="X463" i="1"/>
  <c r="X485" i="1"/>
  <c r="X486" i="1" s="1"/>
  <c r="U48" i="21"/>
  <c r="V48" i="21"/>
  <c r="W57" i="21"/>
  <c r="X48" i="21"/>
  <c r="V464" i="1" l="1"/>
  <c r="V89" i="11"/>
  <c r="X464" i="1"/>
  <c r="X89" i="11"/>
  <c r="U464" i="1"/>
  <c r="W464" i="1"/>
  <c r="W89" i="11"/>
  <c r="X57" i="21"/>
  <c r="V57" i="21"/>
  <c r="X487" i="1"/>
  <c r="X488" i="1" s="1"/>
  <c r="X75" i="21"/>
  <c r="U57" i="21"/>
  <c r="W48" i="21"/>
  <c r="X85" i="21" l="1"/>
  <c r="X94" i="21"/>
  <c r="Y453" i="1"/>
  <c r="Y454" i="1"/>
  <c r="Y461" i="1"/>
  <c r="Y37" i="21" l="1"/>
  <c r="Y462" i="1"/>
  <c r="Y463" i="1"/>
  <c r="Y57" i="21" l="1"/>
  <c r="Y48" i="21"/>
  <c r="Y464" i="1"/>
  <c r="Y89" i="11"/>
  <c r="Z434" i="1"/>
  <c r="AH437" i="1" l="1"/>
  <c r="AH440" i="1"/>
  <c r="AH441" i="1"/>
  <c r="AH433" i="1" s="1"/>
  <c r="AH439" i="1"/>
  <c r="AH438" i="1"/>
  <c r="AH443" i="1" l="1"/>
  <c r="AH461" i="1"/>
  <c r="AH12" i="21"/>
  <c r="AH434" i="1"/>
  <c r="AH21" i="21" l="1"/>
  <c r="AH462" i="1"/>
  <c r="AH37" i="21"/>
  <c r="AH452" i="1"/>
  <c r="Z447" i="1"/>
  <c r="Z448" i="1"/>
  <c r="Z449" i="1"/>
  <c r="Z453" i="1"/>
  <c r="Z454" i="1"/>
  <c r="Z461" i="1"/>
  <c r="AD462" i="1" s="1"/>
  <c r="AH57" i="21" l="1"/>
  <c r="AH48" i="21"/>
  <c r="AH454" i="1"/>
  <c r="AH453" i="1"/>
  <c r="Z37" i="21"/>
  <c r="AD57" i="21" s="1"/>
  <c r="Z79" i="11"/>
  <c r="Z84" i="11"/>
  <c r="Z74" i="11"/>
  <c r="Z463" i="1"/>
  <c r="AD464" i="1" s="1"/>
  <c r="Z462" i="1"/>
  <c r="Z48" i="21" l="1"/>
  <c r="Z57" i="21"/>
  <c r="Z89" i="11"/>
  <c r="Z464" i="1"/>
  <c r="AA434" i="1" l="1"/>
  <c r="AI437" i="1" l="1"/>
  <c r="AI440" i="1"/>
  <c r="AI439" i="1"/>
  <c r="AI438" i="1"/>
  <c r="AI441" i="1"/>
  <c r="AI433" i="1" l="1"/>
  <c r="AI461" i="1" l="1"/>
  <c r="AI434" i="1"/>
  <c r="AI12" i="21"/>
  <c r="AI443" i="1"/>
  <c r="AI21" i="21" l="1"/>
  <c r="AI452" i="1"/>
  <c r="AI37" i="21"/>
  <c r="AI462" i="1"/>
  <c r="AA447" i="1"/>
  <c r="AA448" i="1"/>
  <c r="AA449" i="1"/>
  <c r="AA453" i="1"/>
  <c r="AA454" i="1"/>
  <c r="AA461" i="1"/>
  <c r="AE462" i="1" s="1"/>
  <c r="AI453" i="1" l="1"/>
  <c r="AI454" i="1"/>
  <c r="AI48" i="21"/>
  <c r="AI57" i="21"/>
  <c r="AA37" i="21"/>
  <c r="AE57" i="21" s="1"/>
  <c r="AA84" i="11"/>
  <c r="AA79" i="11"/>
  <c r="AA74" i="11"/>
  <c r="AA463" i="1"/>
  <c r="AE464" i="1" s="1"/>
  <c r="AA462" i="1"/>
  <c r="AA57" i="21" l="1"/>
  <c r="AA48" i="21"/>
  <c r="AA89" i="11"/>
  <c r="AA464" i="1"/>
  <c r="AB453" i="1" l="1"/>
  <c r="AB461" i="1"/>
  <c r="AF462" i="1" s="1"/>
  <c r="AB37" i="21" l="1"/>
  <c r="AB462" i="1"/>
  <c r="AB48" i="21" l="1"/>
  <c r="AF57" i="21"/>
  <c r="AB57" i="21"/>
  <c r="AB434" i="1"/>
  <c r="AB454" i="1"/>
  <c r="AB463" i="1"/>
  <c r="AF464" i="1" s="1"/>
  <c r="AJ439" i="1" l="1"/>
  <c r="AJ437" i="1"/>
  <c r="AJ438" i="1"/>
  <c r="AJ440" i="1"/>
  <c r="AJ441" i="1"/>
  <c r="AJ433" i="1" s="1"/>
  <c r="AT433" i="1"/>
  <c r="AB464" i="1"/>
  <c r="AB89" i="11"/>
  <c r="AT499" i="1" l="1"/>
  <c r="AK499" i="1" s="1"/>
  <c r="AT693" i="1"/>
  <c r="AT694" i="1"/>
  <c r="AT695" i="1"/>
  <c r="AT692" i="1"/>
  <c r="AT497" i="1"/>
  <c r="AK497" i="1" s="1"/>
  <c r="AT498" i="1"/>
  <c r="AK498" i="1" s="1"/>
  <c r="AJ443" i="1"/>
  <c r="AJ12" i="21"/>
  <c r="AJ434" i="1"/>
  <c r="AJ461" i="1"/>
  <c r="AU433" i="1"/>
  <c r="AU501" i="1" s="1"/>
  <c r="AT504" i="1" l="1"/>
  <c r="AU498" i="1"/>
  <c r="AV498" i="1" s="1"/>
  <c r="AW498" i="1" s="1"/>
  <c r="AX498" i="1" s="1"/>
  <c r="AT503" i="1"/>
  <c r="AU497" i="1"/>
  <c r="AT505" i="1"/>
  <c r="AU499" i="1"/>
  <c r="AV499" i="1" s="1"/>
  <c r="AW499" i="1" s="1"/>
  <c r="AX499" i="1" s="1"/>
  <c r="AX162" i="21"/>
  <c r="AX170" i="21"/>
  <c r="AX167" i="21"/>
  <c r="AT696" i="1"/>
  <c r="AT698" i="1" s="1"/>
  <c r="AT500" i="1"/>
  <c r="AK500" i="1" s="1"/>
  <c r="AU434" i="1"/>
  <c r="AJ462" i="1"/>
  <c r="AJ452" i="1"/>
  <c r="AJ37" i="21"/>
  <c r="AJ21" i="21"/>
  <c r="AT506" i="1" l="1"/>
  <c r="AV497" i="1"/>
  <c r="AU500" i="1"/>
  <c r="AU506" i="1" s="1"/>
  <c r="AT683" i="1"/>
  <c r="AJ57" i="21"/>
  <c r="AJ48" i="21"/>
  <c r="AJ454" i="1"/>
  <c r="AJ453" i="1"/>
  <c r="AT452" i="1"/>
  <c r="AU452" i="1"/>
  <c r="AU461" i="1" s="1"/>
  <c r="AB447" i="1"/>
  <c r="AB448" i="1"/>
  <c r="AB449" i="1"/>
  <c r="AC434" i="1"/>
  <c r="AW497" i="1" l="1"/>
  <c r="AV500" i="1"/>
  <c r="AV506" i="1" s="1"/>
  <c r="AT461" i="1"/>
  <c r="AT463" i="1" s="1"/>
  <c r="AU453" i="1"/>
  <c r="AU454" i="1"/>
  <c r="AB79" i="11"/>
  <c r="AB84" i="11"/>
  <c r="AB74" i="11"/>
  <c r="AC447" i="1"/>
  <c r="AC74" i="11" s="1"/>
  <c r="AC448" i="1"/>
  <c r="AC79" i="11" s="1"/>
  <c r="AC449" i="1"/>
  <c r="AC84" i="11" s="1"/>
  <c r="AC453" i="1"/>
  <c r="AC454" i="1"/>
  <c r="AC461" i="1"/>
  <c r="AG462" i="1" s="1"/>
  <c r="AX497" i="1" l="1"/>
  <c r="AX500" i="1" s="1"/>
  <c r="AW500" i="1"/>
  <c r="AW506" i="1" s="1"/>
  <c r="AC37" i="21"/>
  <c r="AG57" i="21" s="1"/>
  <c r="AU463" i="1"/>
  <c r="AU462" i="1"/>
  <c r="AT464" i="1"/>
  <c r="AT89" i="11"/>
  <c r="AC462" i="1"/>
  <c r="AC463" i="1"/>
  <c r="AG464" i="1" s="1"/>
  <c r="AX506" i="1" l="1"/>
  <c r="AC48" i="21"/>
  <c r="AC57" i="21"/>
  <c r="AU464" i="1"/>
  <c r="AU89" i="11"/>
  <c r="AV464" i="1"/>
  <c r="AC464" i="1"/>
  <c r="AC89" i="11"/>
  <c r="X258" i="1" l="1"/>
  <c r="AR258" i="1"/>
  <c r="AS258" i="1"/>
  <c r="AR263" i="1"/>
  <c r="AR15" i="11" s="1"/>
  <c r="AS263" i="1"/>
  <c r="AR267" i="1" l="1"/>
  <c r="AS15" i="11"/>
  <c r="AS267" i="1"/>
  <c r="X263" i="1"/>
  <c r="AJ256" i="1" l="1"/>
  <c r="AJ254" i="1"/>
  <c r="AJ255" i="1"/>
  <c r="AJ257" i="1"/>
  <c r="AJ258" i="1"/>
  <c r="AT250" i="1"/>
  <c r="AT303" i="1" s="1"/>
  <c r="X267" i="1"/>
  <c r="X15" i="11"/>
  <c r="BO256" i="1" l="1"/>
  <c r="BP256" i="1" s="1"/>
  <c r="BQ256" i="1" s="1"/>
  <c r="BR256" i="1" s="1"/>
  <c r="BS256" i="1" s="1"/>
  <c r="BO255" i="1"/>
  <c r="BP255" i="1" s="1"/>
  <c r="BQ255" i="1" s="1"/>
  <c r="BR255" i="1" s="1"/>
  <c r="BS255" i="1" s="1"/>
  <c r="BO254" i="1"/>
  <c r="BP254" i="1" s="1"/>
  <c r="BQ254" i="1" s="1"/>
  <c r="BR254" i="1" s="1"/>
  <c r="BS254" i="1" s="1"/>
  <c r="BO253" i="1"/>
  <c r="BO250" i="1"/>
  <c r="BO252" i="1"/>
  <c r="BP252" i="1" s="1"/>
  <c r="BQ252" i="1" s="1"/>
  <c r="BR252" i="1" s="1"/>
  <c r="BS252" i="1" s="1"/>
  <c r="BO251" i="1"/>
  <c r="BO257" i="1"/>
  <c r="AT657" i="1"/>
  <c r="AT658" i="1"/>
  <c r="AT659" i="1"/>
  <c r="AT656" i="1"/>
  <c r="AT299" i="1"/>
  <c r="AU299" i="1" s="1"/>
  <c r="AT305" i="1"/>
  <c r="AT300" i="1"/>
  <c r="AU300" i="1" s="1"/>
  <c r="AV300" i="1" s="1"/>
  <c r="AW300" i="1" s="1"/>
  <c r="AX300" i="1" s="1"/>
  <c r="AT302" i="1"/>
  <c r="AU302" i="1" s="1"/>
  <c r="AV302" i="1" s="1"/>
  <c r="AW302" i="1" s="1"/>
  <c r="AX302" i="1" s="1"/>
  <c r="AT304" i="1"/>
  <c r="AT301" i="1"/>
  <c r="AU301" i="1" s="1"/>
  <c r="AV301" i="1" s="1"/>
  <c r="AW301" i="1" s="1"/>
  <c r="AX301" i="1" s="1"/>
  <c r="AT306" i="1"/>
  <c r="AJ250" i="1"/>
  <c r="AT251" i="1"/>
  <c r="AX10" i="21"/>
  <c r="AT269" i="1"/>
  <c r="BP250" i="1" l="1"/>
  <c r="BO258" i="1"/>
  <c r="BO288" i="1" s="1"/>
  <c r="BP253" i="1"/>
  <c r="BO273" i="1"/>
  <c r="BP251" i="1"/>
  <c r="BO272" i="1"/>
  <c r="BO287" i="1"/>
  <c r="BP257" i="1"/>
  <c r="BO274" i="1"/>
  <c r="BO271" i="1"/>
  <c r="BO289" i="1"/>
  <c r="AU320" i="1"/>
  <c r="AV299" i="1"/>
  <c r="AU307" i="1"/>
  <c r="AT320" i="1"/>
  <c r="AX172" i="21"/>
  <c r="AT310" i="1"/>
  <c r="AT316" i="1"/>
  <c r="AY299" i="1"/>
  <c r="AX171" i="21"/>
  <c r="AT319" i="1"/>
  <c r="AT313" i="1"/>
  <c r="AY302" i="1"/>
  <c r="AX164" i="21"/>
  <c r="AT317" i="1"/>
  <c r="AT311" i="1"/>
  <c r="AY300" i="1"/>
  <c r="AX165" i="21"/>
  <c r="AT318" i="1"/>
  <c r="AT312" i="1"/>
  <c r="AY301" i="1"/>
  <c r="AT660" i="1"/>
  <c r="AT662" i="1" s="1"/>
  <c r="AT307" i="1"/>
  <c r="AT322" i="1" s="1"/>
  <c r="AX120" i="21"/>
  <c r="BC10" i="21"/>
  <c r="AJ278" i="1"/>
  <c r="AJ10" i="21"/>
  <c r="AJ251" i="1"/>
  <c r="AU250" i="1"/>
  <c r="AU314" i="1" s="1"/>
  <c r="AJ260" i="1"/>
  <c r="AT278" i="1"/>
  <c r="AX19" i="21"/>
  <c r="BO286" i="1" l="1"/>
  <c r="BP274" i="1"/>
  <c r="BP271" i="1"/>
  <c r="BQ257" i="1"/>
  <c r="BQ251" i="1"/>
  <c r="BP272" i="1"/>
  <c r="BP280" i="1" s="1"/>
  <c r="BQ253" i="1"/>
  <c r="BP273" i="1"/>
  <c r="BP281" i="1" s="1"/>
  <c r="BO275" i="1"/>
  <c r="BQ250" i="1"/>
  <c r="BP258" i="1"/>
  <c r="BP289" i="1" s="1"/>
  <c r="AW299" i="1"/>
  <c r="AV307" i="1"/>
  <c r="AV320" i="1"/>
  <c r="AX176" i="21"/>
  <c r="AY172" i="21" s="1"/>
  <c r="AJ19" i="21"/>
  <c r="AJ269" i="1"/>
  <c r="AJ279" i="1"/>
  <c r="AJ35" i="21"/>
  <c r="AU251" i="1"/>
  <c r="AV254" i="1"/>
  <c r="AV256" i="1"/>
  <c r="AV255" i="1"/>
  <c r="AV257" i="1"/>
  <c r="AV258" i="1"/>
  <c r="AT279" i="1"/>
  <c r="AT280" i="1"/>
  <c r="AY10" i="21"/>
  <c r="AT271" i="1"/>
  <c r="AT270" i="1"/>
  <c r="BP287" i="1" l="1"/>
  <c r="BQ272" i="1"/>
  <c r="BQ280" i="1" s="1"/>
  <c r="BR251" i="1"/>
  <c r="BP286" i="1"/>
  <c r="BR253" i="1"/>
  <c r="BQ273" i="1"/>
  <c r="BQ281" i="1" s="1"/>
  <c r="BR250" i="1"/>
  <c r="BQ258" i="1"/>
  <c r="BQ287" i="1" s="1"/>
  <c r="BP288" i="1"/>
  <c r="BP279" i="1"/>
  <c r="BP275" i="1"/>
  <c r="BP283" i="1" s="1"/>
  <c r="BR257" i="1"/>
  <c r="BQ274" i="1"/>
  <c r="BQ271" i="1"/>
  <c r="AY166" i="21"/>
  <c r="AY168" i="21"/>
  <c r="AY174" i="21"/>
  <c r="AY171" i="21"/>
  <c r="AY163" i="21"/>
  <c r="AY173" i="21"/>
  <c r="AY165" i="21"/>
  <c r="AY162" i="21"/>
  <c r="AY169" i="21"/>
  <c r="AY167" i="21"/>
  <c r="AY175" i="21"/>
  <c r="AY164" i="21"/>
  <c r="AY170" i="21"/>
  <c r="AX299" i="1"/>
  <c r="AW320" i="1"/>
  <c r="AW307" i="1"/>
  <c r="AJ270" i="1"/>
  <c r="AJ271" i="1"/>
  <c r="AU269" i="1"/>
  <c r="AJ46" i="21"/>
  <c r="AJ55" i="21"/>
  <c r="AV250" i="1"/>
  <c r="AV314" i="1" s="1"/>
  <c r="AY19" i="21"/>
  <c r="BQ288" i="1" l="1"/>
  <c r="BS257" i="1"/>
  <c r="BR274" i="1"/>
  <c r="BR271" i="1"/>
  <c r="BS253" i="1"/>
  <c r="BR273" i="1"/>
  <c r="BR281" i="1" s="1"/>
  <c r="BQ286" i="1"/>
  <c r="BQ289" i="1"/>
  <c r="BQ279" i="1"/>
  <c r="BQ275" i="1"/>
  <c r="BQ283" i="1" s="1"/>
  <c r="BS251" i="1"/>
  <c r="BR272" i="1"/>
  <c r="BR280" i="1" s="1"/>
  <c r="BS250" i="1"/>
  <c r="BR258" i="1"/>
  <c r="BR288" i="1" s="1"/>
  <c r="AX320" i="1"/>
  <c r="AX307" i="1"/>
  <c r="AV260" i="1"/>
  <c r="AZ10" i="21"/>
  <c r="AU271" i="1"/>
  <c r="AU278" i="1"/>
  <c r="AU270" i="1"/>
  <c r="AW254" i="1"/>
  <c r="AW256" i="1"/>
  <c r="AW257" i="1"/>
  <c r="AW255" i="1"/>
  <c r="AW258" i="1"/>
  <c r="AV251" i="1"/>
  <c r="AV278" i="1"/>
  <c r="AZ35" i="21" s="1"/>
  <c r="U531" i="1"/>
  <c r="U532" i="1"/>
  <c r="U623" i="1"/>
  <c r="BR289" i="1" l="1"/>
  <c r="BR287" i="1"/>
  <c r="BR286" i="1"/>
  <c r="BR279" i="1"/>
  <c r="BR275" i="1"/>
  <c r="BR283" i="1" s="1"/>
  <c r="BS272" i="1"/>
  <c r="BS280" i="1" s="1"/>
  <c r="BS287" i="1"/>
  <c r="BS271" i="1"/>
  <c r="BS274" i="1"/>
  <c r="BS273" i="1"/>
  <c r="BS281" i="1" s="1"/>
  <c r="BS258" i="1"/>
  <c r="BS288" i="1" s="1"/>
  <c r="AZ46" i="21"/>
  <c r="AZ19" i="21"/>
  <c r="U625" i="1"/>
  <c r="AU280" i="1"/>
  <c r="AU35" i="11" s="1"/>
  <c r="AU279" i="1"/>
  <c r="AY35" i="21"/>
  <c r="AV279" i="1"/>
  <c r="AV269" i="1"/>
  <c r="AW250" i="1"/>
  <c r="AW314" i="1" s="1"/>
  <c r="U624" i="1"/>
  <c r="U626" i="1"/>
  <c r="U170" i="1"/>
  <c r="U540" i="1"/>
  <c r="U541" i="1"/>
  <c r="U111" i="11" s="1"/>
  <c r="U628" i="1"/>
  <c r="U49" i="21"/>
  <c r="U51" i="21"/>
  <c r="V514" i="1"/>
  <c r="V619" i="1"/>
  <c r="V13" i="21"/>
  <c r="AY46" i="21" l="1"/>
  <c r="BF35" i="21"/>
  <c r="BS289" i="1"/>
  <c r="BS286" i="1"/>
  <c r="BS279" i="1"/>
  <c r="BS275" i="1"/>
  <c r="BS283" i="1" s="1"/>
  <c r="AW260" i="1"/>
  <c r="BA10" i="21"/>
  <c r="AX254" i="1"/>
  <c r="AX256" i="1"/>
  <c r="AX257" i="1"/>
  <c r="AX255" i="1"/>
  <c r="AX258" i="1"/>
  <c r="AZ55" i="21"/>
  <c r="AV281" i="1"/>
  <c r="AU281" i="1"/>
  <c r="U630" i="1"/>
  <c r="V252" i="1"/>
  <c r="AV270" i="1"/>
  <c r="AV271" i="1"/>
  <c r="AW251" i="1"/>
  <c r="AW278" i="1"/>
  <c r="BA35" i="21" s="1"/>
  <c r="U542" i="1"/>
  <c r="V22" i="21"/>
  <c r="Z22" i="21"/>
  <c r="V15" i="21"/>
  <c r="Z24" i="21" s="1"/>
  <c r="U187" i="1"/>
  <c r="U189" i="1" s="1"/>
  <c r="U190" i="1" s="1"/>
  <c r="V31" i="21"/>
  <c r="V30" i="21"/>
  <c r="V28" i="21"/>
  <c r="V29" i="21"/>
  <c r="V27" i="21"/>
  <c r="U58" i="21"/>
  <c r="V354" i="1"/>
  <c r="V515" i="1"/>
  <c r="U67" i="21"/>
  <c r="U68" i="21"/>
  <c r="V621" i="1"/>
  <c r="V620" i="1"/>
  <c r="U629" i="1"/>
  <c r="U64" i="21"/>
  <c r="U986" i="1"/>
  <c r="U65" i="21"/>
  <c r="U60" i="21"/>
  <c r="U66" i="21"/>
  <c r="U631" i="1"/>
  <c r="V435" i="1"/>
  <c r="BA46" i="21" l="1"/>
  <c r="BA55" i="21"/>
  <c r="AX250" i="1"/>
  <c r="BA19" i="21"/>
  <c r="V16" i="21"/>
  <c r="AW279" i="1"/>
  <c r="AW269" i="1"/>
  <c r="V24" i="21"/>
  <c r="U119" i="1"/>
  <c r="U987" i="1" s="1"/>
  <c r="U988" i="1" s="1"/>
  <c r="U100" i="1"/>
  <c r="U188" i="1"/>
  <c r="V32" i="21"/>
  <c r="U69" i="21"/>
  <c r="AX260" i="1" l="1"/>
  <c r="AX314" i="1"/>
  <c r="BB10" i="21"/>
  <c r="BG10" i="21" s="1"/>
  <c r="AX251" i="1"/>
  <c r="AX278" i="1"/>
  <c r="AW270" i="1"/>
  <c r="AW271" i="1"/>
  <c r="U120" i="1"/>
  <c r="U126" i="1"/>
  <c r="U121" i="1"/>
  <c r="U122" i="1" s="1"/>
  <c r="V520" i="1"/>
  <c r="V528" i="1" s="1"/>
  <c r="V525" i="1"/>
  <c r="V96" i="11" s="1"/>
  <c r="V526" i="1"/>
  <c r="V101" i="11" s="1"/>
  <c r="V527" i="1"/>
  <c r="V106" i="11" s="1"/>
  <c r="V531" i="1"/>
  <c r="V532" i="1"/>
  <c r="V539" i="1"/>
  <c r="V38" i="21" s="1"/>
  <c r="BB35" i="21" l="1"/>
  <c r="AX279" i="1"/>
  <c r="AX269" i="1"/>
  <c r="BB19" i="21"/>
  <c r="V522" i="1"/>
  <c r="V49" i="21"/>
  <c r="V58" i="21"/>
  <c r="V540" i="1"/>
  <c r="V541" i="1"/>
  <c r="AX271" i="1" l="1"/>
  <c r="AX270" i="1"/>
  <c r="BB46" i="21"/>
  <c r="BB55" i="21"/>
  <c r="V542" i="1"/>
  <c r="V111" i="11"/>
  <c r="W514" i="1"/>
  <c r="W619" i="1"/>
  <c r="W13" i="21"/>
  <c r="W620" i="1" l="1"/>
  <c r="W15" i="21"/>
  <c r="AA24" i="21" s="1"/>
  <c r="AA22" i="21"/>
  <c r="W22" i="21"/>
  <c r="W30" i="21"/>
  <c r="W31" i="21"/>
  <c r="W621" i="1"/>
  <c r="W29" i="21"/>
  <c r="W28" i="21"/>
  <c r="W27" i="21"/>
  <c r="W354" i="1"/>
  <c r="W435" i="1"/>
  <c r="W252" i="1"/>
  <c r="W515" i="1"/>
  <c r="W24" i="21" l="1"/>
  <c r="W16" i="21"/>
  <c r="W32" i="21"/>
  <c r="W525" i="1" l="1"/>
  <c r="W96" i="11" s="1"/>
  <c r="W526" i="1"/>
  <c r="W101" i="11" s="1"/>
  <c r="W520" i="1"/>
  <c r="W522" i="1" s="1"/>
  <c r="W527" i="1"/>
  <c r="W106" i="11" s="1"/>
  <c r="W531" i="1"/>
  <c r="W532" i="1"/>
  <c r="W539" i="1"/>
  <c r="W38" i="21" s="1"/>
  <c r="W541" i="1" l="1"/>
  <c r="W58" i="21"/>
  <c r="W540" i="1"/>
  <c r="W49" i="21"/>
  <c r="W528" i="1"/>
  <c r="X531" i="1"/>
  <c r="X539" i="1"/>
  <c r="X38" i="21" l="1"/>
  <c r="W542" i="1"/>
  <c r="W111" i="11"/>
  <c r="X563" i="1"/>
  <c r="AR539" i="1"/>
  <c r="AS540" i="1" s="1"/>
  <c r="AR531" i="1"/>
  <c r="X540" i="1"/>
  <c r="X58" i="21" l="1"/>
  <c r="X564" i="1"/>
  <c r="X76" i="21"/>
  <c r="AR540" i="1"/>
  <c r="AV38" i="21"/>
  <c r="X95" i="21" l="1"/>
  <c r="AV58" i="21"/>
  <c r="F13" i="13" l="1"/>
  <c r="X514" i="1"/>
  <c r="X532" i="1"/>
  <c r="AR532" i="1"/>
  <c r="X541" i="1"/>
  <c r="X111" i="11" s="1"/>
  <c r="AR541" i="1"/>
  <c r="X565" i="1"/>
  <c r="X566" i="1" s="1"/>
  <c r="X619" i="1"/>
  <c r="G38" i="13"/>
  <c r="X13" i="21"/>
  <c r="AV13" i="21"/>
  <c r="AV15" i="21" l="1"/>
  <c r="AV24" i="21" s="1"/>
  <c r="AV123" i="21"/>
  <c r="AR111" i="11"/>
  <c r="AS542" i="1"/>
  <c r="X49" i="21"/>
  <c r="AB22" i="21"/>
  <c r="X542" i="1"/>
  <c r="X31" i="21"/>
  <c r="X29" i="21"/>
  <c r="X22" i="21"/>
  <c r="X30" i="21"/>
  <c r="X28" i="21"/>
  <c r="X27" i="21"/>
  <c r="X15" i="21"/>
  <c r="X86" i="21"/>
  <c r="X621" i="1"/>
  <c r="AR147" i="11"/>
  <c r="AR152" i="1"/>
  <c r="AR154" i="1" s="1"/>
  <c r="AR167" i="11"/>
  <c r="X620" i="1"/>
  <c r="AV28" i="21"/>
  <c r="AV27" i="21"/>
  <c r="AV31" i="21"/>
  <c r="AV49" i="21"/>
  <c r="AV29" i="21"/>
  <c r="AV30" i="21"/>
  <c r="AW13" i="21"/>
  <c r="AR542" i="1"/>
  <c r="AV22" i="21"/>
  <c r="AS514" i="1"/>
  <c r="AS522" i="1"/>
  <c r="X435" i="1"/>
  <c r="X354" i="1"/>
  <c r="X515" i="1"/>
  <c r="X252" i="1"/>
  <c r="AR514" i="1"/>
  <c r="F21" i="13"/>
  <c r="AR12" i="1"/>
  <c r="AV16" i="21" l="1"/>
  <c r="AW22" i="21"/>
  <c r="AW123" i="21"/>
  <c r="AR140" i="11"/>
  <c r="AS153" i="1"/>
  <c r="X24" i="21"/>
  <c r="AB24" i="21"/>
  <c r="X32" i="21"/>
  <c r="AR145" i="1"/>
  <c r="X16" i="21"/>
  <c r="AR172" i="11"/>
  <c r="AR153" i="1"/>
  <c r="AV32" i="21"/>
  <c r="AR748" i="1"/>
  <c r="AR791" i="1" s="1"/>
  <c r="AR793" i="1" s="1"/>
  <c r="AR797" i="1" s="1"/>
  <c r="AR866" i="1"/>
  <c r="AR146" i="1" l="1"/>
  <c r="AS146" i="1"/>
  <c r="AS139" i="1"/>
  <c r="AR147" i="1"/>
  <c r="AR135" i="11" s="1"/>
  <c r="AR939" i="1"/>
  <c r="AR140" i="1"/>
  <c r="AR130" i="11" s="1"/>
  <c r="AR139" i="1"/>
  <c r="AS532" i="1"/>
  <c r="AS531" i="1"/>
  <c r="AR868" i="1"/>
  <c r="AR162" i="11" l="1"/>
  <c r="AR157" i="11"/>
  <c r="AR152" i="11" l="1"/>
  <c r="AR525" i="1" l="1"/>
  <c r="AR96" i="11" s="1"/>
  <c r="AR526" i="1"/>
  <c r="AR101" i="11" s="1"/>
  <c r="AR520" i="1"/>
  <c r="AR522" i="1" s="1"/>
  <c r="AR527" i="1"/>
  <c r="AR106" i="11" s="1"/>
  <c r="AR528" i="1" l="1"/>
  <c r="X522" i="1"/>
  <c r="X525" i="1"/>
  <c r="X96" i="11" s="1"/>
  <c r="X526" i="1"/>
  <c r="X101" i="11" s="1"/>
  <c r="X527" i="1"/>
  <c r="X106" i="11" s="1"/>
  <c r="X528" i="1"/>
  <c r="Y514" i="1"/>
  <c r="Y619" i="1"/>
  <c r="Y620" i="1" l="1"/>
  <c r="Y435" i="1"/>
  <c r="Y354" i="1"/>
  <c r="Y515" i="1"/>
  <c r="Y252" i="1"/>
  <c r="Y621" i="1"/>
  <c r="Y520" i="1" l="1"/>
  <c r="Y525" i="1"/>
  <c r="Y526" i="1"/>
  <c r="Y527" i="1"/>
  <c r="Y101" i="11" l="1"/>
  <c r="Y106" i="11"/>
  <c r="Y96" i="11"/>
  <c r="Y522" i="1"/>
  <c r="Y528" i="1"/>
  <c r="Y531" i="1"/>
  <c r="Y532" i="1"/>
  <c r="Y539" i="1"/>
  <c r="Y540" i="1" l="1"/>
  <c r="Y38" i="21"/>
  <c r="Y541" i="1"/>
  <c r="Z514" i="1"/>
  <c r="Z619" i="1"/>
  <c r="AD620" i="1" s="1"/>
  <c r="AH519" i="1" l="1"/>
  <c r="AH517" i="1"/>
  <c r="AH518" i="1"/>
  <c r="AH520" i="1"/>
  <c r="AH513" i="1" s="1"/>
  <c r="Z354" i="1"/>
  <c r="Y49" i="21"/>
  <c r="Y58" i="21"/>
  <c r="Y542" i="1"/>
  <c r="Y111" i="11"/>
  <c r="Z621" i="1"/>
  <c r="Z620" i="1"/>
  <c r="Z515" i="1"/>
  <c r="Z435" i="1"/>
  <c r="Z252" i="1"/>
  <c r="AH619" i="1" l="1"/>
  <c r="AH515" i="1" s="1"/>
  <c r="AH514" i="1"/>
  <c r="AH13" i="21"/>
  <c r="AH539" i="1"/>
  <c r="AH11" i="1"/>
  <c r="AH522" i="1"/>
  <c r="AD73" i="1"/>
  <c r="AD189" i="1" s="1"/>
  <c r="AH609" i="1" l="1"/>
  <c r="AH73" i="1"/>
  <c r="AH152" i="1"/>
  <c r="AH138" i="1"/>
  <c r="AH132" i="1" s="1"/>
  <c r="AH934" i="1"/>
  <c r="AH910" i="1" s="1"/>
  <c r="AH12" i="1"/>
  <c r="AH145" i="1"/>
  <c r="AH530" i="1"/>
  <c r="AH540" i="1"/>
  <c r="AH38" i="21"/>
  <c r="AH28" i="21"/>
  <c r="AH30" i="21"/>
  <c r="AH22" i="21"/>
  <c r="AH29" i="21"/>
  <c r="AH15" i="21"/>
  <c r="AH31" i="21"/>
  <c r="AH27" i="21"/>
  <c r="AH621" i="1"/>
  <c r="AH620" i="1"/>
  <c r="AH252" i="1"/>
  <c r="AH354" i="1"/>
  <c r="AH435" i="1"/>
  <c r="AD85" i="1"/>
  <c r="AD89" i="1"/>
  <c r="AD74" i="1"/>
  <c r="AD76" i="1"/>
  <c r="AH875" i="1" l="1"/>
  <c r="AH32" i="21"/>
  <c r="AH939" i="1"/>
  <c r="AH16" i="21"/>
  <c r="AH24" i="21"/>
  <c r="AH532" i="1"/>
  <c r="AH531" i="1"/>
  <c r="AH49" i="21"/>
  <c r="AH58" i="21"/>
  <c r="AH39" i="21"/>
  <c r="AH610" i="1"/>
  <c r="AH628" i="1"/>
  <c r="AH596" i="1"/>
  <c r="AH76" i="1"/>
  <c r="AH80" i="1" s="1"/>
  <c r="AH139" i="1"/>
  <c r="AH89" i="1"/>
  <c r="AH153" i="1"/>
  <c r="AH149" i="1"/>
  <c r="AH85" i="1"/>
  <c r="AH142" i="1"/>
  <c r="AH146" i="1"/>
  <c r="AH74" i="1"/>
  <c r="AD77" i="1"/>
  <c r="AD78" i="1"/>
  <c r="AD80" i="1"/>
  <c r="AD87" i="1"/>
  <c r="AD86" i="1"/>
  <c r="AD986" i="1"/>
  <c r="AD90" i="1"/>
  <c r="AD91" i="1"/>
  <c r="AD96" i="1" l="1"/>
  <c r="AH90" i="1"/>
  <c r="AH91" i="1"/>
  <c r="AH22" i="1"/>
  <c r="AH14" i="1"/>
  <c r="AH86" i="1"/>
  <c r="AH87" i="1"/>
  <c r="AH40" i="21"/>
  <c r="AH68" i="21" s="1"/>
  <c r="AH50" i="21"/>
  <c r="AH59" i="21"/>
  <c r="AH77" i="1"/>
  <c r="AH78" i="1"/>
  <c r="AH82" i="1"/>
  <c r="AH81" i="1"/>
  <c r="AH96" i="1"/>
  <c r="AH631" i="1" s="1"/>
  <c r="AH26" i="1"/>
  <c r="AH629" i="1"/>
  <c r="AH630" i="1"/>
  <c r="AH986" i="1"/>
  <c r="AH623" i="1"/>
  <c r="AH624" i="1" s="1"/>
  <c r="AD82" i="1"/>
  <c r="AD83" i="1" s="1"/>
  <c r="AD81" i="1"/>
  <c r="AD631" i="1" l="1"/>
  <c r="AD42" i="21"/>
  <c r="AD98" i="1"/>
  <c r="AH97" i="1"/>
  <c r="AH83" i="1"/>
  <c r="AH16" i="1"/>
  <c r="AH15" i="1"/>
  <c r="AH18" i="1"/>
  <c r="AH24" i="1"/>
  <c r="AH23" i="1"/>
  <c r="AH28" i="1"/>
  <c r="AH27" i="1"/>
  <c r="AH51" i="21"/>
  <c r="AH60" i="21"/>
  <c r="AH42" i="21"/>
  <c r="AH64" i="21"/>
  <c r="AH65" i="21"/>
  <c r="AH66" i="21"/>
  <c r="AH67" i="21"/>
  <c r="AH625" i="1"/>
  <c r="AH98" i="1"/>
  <c r="AH20" i="1" l="1"/>
  <c r="AH19" i="1"/>
  <c r="AH34" i="1"/>
  <c r="AH69" i="21"/>
  <c r="AD100" i="1"/>
  <c r="Z520" i="1"/>
  <c r="Z528" i="1" s="1"/>
  <c r="Z525" i="1"/>
  <c r="Z526" i="1"/>
  <c r="Z527" i="1"/>
  <c r="Z531" i="1"/>
  <c r="Z532" i="1"/>
  <c r="Z539" i="1"/>
  <c r="Z38" i="21" l="1"/>
  <c r="AD540" i="1"/>
  <c r="AH170" i="1"/>
  <c r="AH36" i="1"/>
  <c r="AH35" i="1"/>
  <c r="AH626" i="1"/>
  <c r="Z96" i="11"/>
  <c r="Z522" i="1"/>
  <c r="Z106" i="11"/>
  <c r="Z101" i="11"/>
  <c r="Z541" i="1"/>
  <c r="Z540" i="1"/>
  <c r="AA514" i="1"/>
  <c r="AA619" i="1"/>
  <c r="AE620" i="1" s="1"/>
  <c r="Z49" i="21" l="1"/>
  <c r="AD58" i="21"/>
  <c r="Z58" i="21"/>
  <c r="Z111" i="11"/>
  <c r="AD542" i="1"/>
  <c r="AA354" i="1"/>
  <c r="AH187" i="1"/>
  <c r="Z542" i="1"/>
  <c r="AA621" i="1"/>
  <c r="AA620" i="1"/>
  <c r="AA252" i="1"/>
  <c r="AA515" i="1"/>
  <c r="AA435" i="1"/>
  <c r="AI519" i="1" l="1"/>
  <c r="AI517" i="1"/>
  <c r="AI518" i="1"/>
  <c r="AI520" i="1"/>
  <c r="AI513" i="1" s="1"/>
  <c r="AH189" i="1"/>
  <c r="AH190" i="1" s="1"/>
  <c r="AH100" i="1"/>
  <c r="AH188" i="1"/>
  <c r="AI539" i="1" l="1"/>
  <c r="AI514" i="1"/>
  <c r="AI13" i="21"/>
  <c r="AI619" i="1"/>
  <c r="AI515" i="1" s="1"/>
  <c r="AI11" i="1"/>
  <c r="AI522" i="1"/>
  <c r="AE73" i="1"/>
  <c r="AE189" i="1" s="1"/>
  <c r="AI609" i="1" l="1"/>
  <c r="AI30" i="21"/>
  <c r="AI22" i="21"/>
  <c r="AI27" i="21"/>
  <c r="AI29" i="21"/>
  <c r="AI28" i="21"/>
  <c r="AI15" i="21"/>
  <c r="AI31" i="21"/>
  <c r="AI38" i="21"/>
  <c r="AI530" i="1"/>
  <c r="AI540" i="1"/>
  <c r="AI12" i="1"/>
  <c r="AI73" i="1"/>
  <c r="AI138" i="1"/>
  <c r="AI132" i="1" s="1"/>
  <c r="AI145" i="1"/>
  <c r="AI152" i="1"/>
  <c r="AI934" i="1"/>
  <c r="AI910" i="1" s="1"/>
  <c r="AI621" i="1"/>
  <c r="AI620" i="1"/>
  <c r="AI252" i="1"/>
  <c r="AI354" i="1"/>
  <c r="AI435" i="1"/>
  <c r="AE85" i="1"/>
  <c r="AE89" i="1"/>
  <c r="AE76" i="1"/>
  <c r="AE74" i="1"/>
  <c r="AI875" i="1" l="1"/>
  <c r="AI39" i="21"/>
  <c r="AI40" i="21" s="1"/>
  <c r="AI610" i="1"/>
  <c r="AI628" i="1"/>
  <c r="AI596" i="1"/>
  <c r="AI623" i="1" s="1"/>
  <c r="AI74" i="1"/>
  <c r="AI939" i="1"/>
  <c r="AI89" i="1"/>
  <c r="AI153" i="1"/>
  <c r="AI149" i="1"/>
  <c r="AI32" i="21"/>
  <c r="AI146" i="1"/>
  <c r="AI85" i="1"/>
  <c r="AI142" i="1"/>
  <c r="AI531" i="1"/>
  <c r="AI532" i="1"/>
  <c r="AI16" i="21"/>
  <c r="AI24" i="21"/>
  <c r="AI76" i="1"/>
  <c r="AI80" i="1" s="1"/>
  <c r="AI139" i="1"/>
  <c r="AI58" i="21"/>
  <c r="AI49" i="21"/>
  <c r="AE986" i="1"/>
  <c r="AE90" i="1"/>
  <c r="AE91" i="1"/>
  <c r="AE77" i="1"/>
  <c r="AE78" i="1"/>
  <c r="AE80" i="1"/>
  <c r="AE86" i="1"/>
  <c r="AE87" i="1"/>
  <c r="AE96" i="1" l="1"/>
  <c r="AI64" i="21"/>
  <c r="AI60" i="21"/>
  <c r="AI51" i="21"/>
  <c r="AI65" i="21"/>
  <c r="AI66" i="21"/>
  <c r="AI22" i="1"/>
  <c r="AI86" i="1"/>
  <c r="AI87" i="1"/>
  <c r="AI67" i="21"/>
  <c r="AI629" i="1"/>
  <c r="AI630" i="1"/>
  <c r="AI986" i="1"/>
  <c r="AI14" i="1"/>
  <c r="AI625" i="1"/>
  <c r="AI26" i="1"/>
  <c r="AI81" i="1"/>
  <c r="AI82" i="1"/>
  <c r="AI96" i="1"/>
  <c r="AI90" i="1"/>
  <c r="AI91" i="1"/>
  <c r="AI78" i="1"/>
  <c r="AI77" i="1"/>
  <c r="AI68" i="21"/>
  <c r="AI50" i="21"/>
  <c r="AI59" i="21"/>
  <c r="AI624" i="1"/>
  <c r="AE98" i="1"/>
  <c r="AE81" i="1"/>
  <c r="AE82" i="1"/>
  <c r="AE83" i="1" s="1"/>
  <c r="AE631" i="1" l="1"/>
  <c r="AE42" i="21"/>
  <c r="AI97" i="1"/>
  <c r="AI83" i="1"/>
  <c r="AI98" i="1"/>
  <c r="AI42" i="21"/>
  <c r="AI24" i="1"/>
  <c r="AI23" i="1"/>
  <c r="AI15" i="1"/>
  <c r="AI16" i="1"/>
  <c r="AI18" i="1"/>
  <c r="AI28" i="1"/>
  <c r="AI27" i="1"/>
  <c r="AI631" i="1"/>
  <c r="AI69" i="21"/>
  <c r="AA525" i="1"/>
  <c r="AA526" i="1"/>
  <c r="AA520" i="1"/>
  <c r="AA527" i="1"/>
  <c r="AI19" i="1" l="1"/>
  <c r="AI20" i="1"/>
  <c r="AI34" i="1"/>
  <c r="AE100" i="1"/>
  <c r="AA106" i="11"/>
  <c r="AA96" i="11"/>
  <c r="AA522" i="1"/>
  <c r="AA101" i="11"/>
  <c r="AA528" i="1"/>
  <c r="AA531" i="1"/>
  <c r="AA532" i="1"/>
  <c r="AA539" i="1"/>
  <c r="AA38" i="21" l="1"/>
  <c r="AE540" i="1"/>
  <c r="AI36" i="1"/>
  <c r="AI170" i="1"/>
  <c r="AI626" i="1"/>
  <c r="AI35" i="1"/>
  <c r="AA541" i="1"/>
  <c r="AE542" i="1" s="1"/>
  <c r="AA540" i="1"/>
  <c r="AB531" i="1"/>
  <c r="AB539" i="1"/>
  <c r="AF540" i="1" s="1"/>
  <c r="AA49" i="21" l="1"/>
  <c r="AE58" i="21"/>
  <c r="AA58" i="21"/>
  <c r="AI187" i="1"/>
  <c r="AB540" i="1"/>
  <c r="AB38" i="21"/>
  <c r="AF58" i="21" s="1"/>
  <c r="AA542" i="1"/>
  <c r="AA111" i="11"/>
  <c r="AB514" i="1"/>
  <c r="AB532" i="1"/>
  <c r="AB541" i="1"/>
  <c r="AF542" i="1" s="1"/>
  <c r="AB619" i="1"/>
  <c r="AF620" i="1" s="1"/>
  <c r="AB515" i="1" l="1"/>
  <c r="AJ519" i="1"/>
  <c r="AJ517" i="1"/>
  <c r="AJ518" i="1"/>
  <c r="AJ520" i="1"/>
  <c r="AJ513" i="1" s="1"/>
  <c r="AU513" i="1" s="1"/>
  <c r="AU11" i="1" s="1"/>
  <c r="AI189" i="1"/>
  <c r="AI190" i="1" s="1"/>
  <c r="AI100" i="1"/>
  <c r="AI188" i="1"/>
  <c r="AB49" i="21"/>
  <c r="AB58" i="21"/>
  <c r="AB542" i="1"/>
  <c r="AB111" i="11"/>
  <c r="AB621" i="1"/>
  <c r="AB252" i="1"/>
  <c r="AB435" i="1"/>
  <c r="AB354" i="1"/>
  <c r="AB620" i="1"/>
  <c r="AJ522" i="1" l="1"/>
  <c r="AJ514" i="1"/>
  <c r="AJ13" i="21"/>
  <c r="AJ539" i="1"/>
  <c r="AJ619" i="1"/>
  <c r="AJ11" i="1"/>
  <c r="AU580" i="1"/>
  <c r="AT526" i="1"/>
  <c r="AI739" i="1"/>
  <c r="AI742" i="1"/>
  <c r="AI792" i="1" s="1"/>
  <c r="AH739" i="1"/>
  <c r="AH742" i="1"/>
  <c r="AH792" i="1" s="1"/>
  <c r="AT527" i="1"/>
  <c r="AT142" i="1"/>
  <c r="AF73" i="1"/>
  <c r="AJ609" i="1" l="1"/>
  <c r="AI926" i="1"/>
  <c r="AH926" i="1"/>
  <c r="AF74" i="1"/>
  <c r="AF189" i="1"/>
  <c r="AI931" i="1"/>
  <c r="AF85" i="1"/>
  <c r="AF86" i="1" s="1"/>
  <c r="AF76" i="1"/>
  <c r="AF77" i="1" s="1"/>
  <c r="AH844" i="1"/>
  <c r="AJ934" i="1"/>
  <c r="AJ910" i="1" s="1"/>
  <c r="AJ73" i="1"/>
  <c r="AJ12" i="1"/>
  <c r="AJ138" i="1"/>
  <c r="AJ132" i="1" s="1"/>
  <c r="AJ152" i="1"/>
  <c r="AJ145" i="1"/>
  <c r="AT11" i="1"/>
  <c r="AJ742" i="1"/>
  <c r="AJ792" i="1" s="1"/>
  <c r="AJ739" i="1"/>
  <c r="AJ926" i="1" s="1"/>
  <c r="AJ620" i="1"/>
  <c r="AJ621" i="1"/>
  <c r="AJ354" i="1"/>
  <c r="AJ435" i="1"/>
  <c r="AJ252" i="1"/>
  <c r="AR619" i="1"/>
  <c r="AS619" i="1"/>
  <c r="AU619" i="1"/>
  <c r="AI844" i="1"/>
  <c r="AJ540" i="1"/>
  <c r="AJ530" i="1"/>
  <c r="AJ38" i="21"/>
  <c r="AU514" i="1"/>
  <c r="AJ515" i="1"/>
  <c r="AT520" i="1"/>
  <c r="AT525" i="1"/>
  <c r="AJ22" i="21"/>
  <c r="AJ30" i="21"/>
  <c r="AJ31" i="21"/>
  <c r="AJ29" i="21"/>
  <c r="AJ27" i="21"/>
  <c r="AJ15" i="21"/>
  <c r="AJ28" i="21"/>
  <c r="AH931" i="1"/>
  <c r="AT149" i="1"/>
  <c r="AF89" i="1"/>
  <c r="AF91" i="1" s="1"/>
  <c r="AR74" i="1"/>
  <c r="AR80" i="1"/>
  <c r="AJ875" i="1" l="1"/>
  <c r="BP540" i="1"/>
  <c r="AR96" i="1"/>
  <c r="AR825" i="1" s="1"/>
  <c r="AT681" i="1"/>
  <c r="AT490" i="1"/>
  <c r="F10" i="32"/>
  <c r="F24" i="32" s="1"/>
  <c r="F33" i="32" s="1"/>
  <c r="L9" i="42"/>
  <c r="AT666" i="1"/>
  <c r="K9" i="42"/>
  <c r="J142" i="3"/>
  <c r="J143" i="3" s="1"/>
  <c r="AU742" i="1"/>
  <c r="AU792" i="1" s="1"/>
  <c r="AT727" i="1"/>
  <c r="AF90" i="1"/>
  <c r="AF87" i="1"/>
  <c r="AU515" i="1"/>
  <c r="AF78" i="1"/>
  <c r="AF80" i="1"/>
  <c r="AF82" i="1" s="1"/>
  <c r="AF83" i="1" s="1"/>
  <c r="AJ931" i="1"/>
  <c r="AJ32" i="21"/>
  <c r="AT934" i="1"/>
  <c r="AJ49" i="21"/>
  <c r="AJ58" i="21"/>
  <c r="AU12" i="1"/>
  <c r="AJ844" i="1"/>
  <c r="AU739" i="1"/>
  <c r="AJ74" i="1"/>
  <c r="AT73" i="1"/>
  <c r="AU73" i="1"/>
  <c r="AJ139" i="1"/>
  <c r="AJ76" i="1"/>
  <c r="AJ80" i="1" s="1"/>
  <c r="AJ531" i="1"/>
  <c r="AJ532" i="1"/>
  <c r="AT530" i="1"/>
  <c r="AU530" i="1"/>
  <c r="AU539" i="1" s="1"/>
  <c r="AJ939" i="1"/>
  <c r="AU934" i="1"/>
  <c r="AR621" i="1"/>
  <c r="AR252" i="1"/>
  <c r="AR354" i="1"/>
  <c r="AR435" i="1"/>
  <c r="AR620" i="1"/>
  <c r="AR515" i="1"/>
  <c r="AJ24" i="21"/>
  <c r="AJ16" i="21"/>
  <c r="AJ628" i="1"/>
  <c r="AJ39" i="21"/>
  <c r="AJ40" i="21" s="1"/>
  <c r="AJ596" i="1"/>
  <c r="AJ146" i="1"/>
  <c r="AJ85" i="1"/>
  <c r="AJ142" i="1"/>
  <c r="AI741" i="1"/>
  <c r="AI755" i="1"/>
  <c r="AI757" i="1"/>
  <c r="AH741" i="1"/>
  <c r="AH755" i="1"/>
  <c r="AH757" i="1"/>
  <c r="AU621" i="1"/>
  <c r="AU354" i="1"/>
  <c r="AU435" i="1"/>
  <c r="AU252" i="1"/>
  <c r="AJ153" i="1"/>
  <c r="AJ149" i="1"/>
  <c r="AJ89" i="1"/>
  <c r="AT22" i="1"/>
  <c r="AU23" i="1" s="1"/>
  <c r="AT145" i="1"/>
  <c r="AR81" i="1"/>
  <c r="AR82" i="1"/>
  <c r="AR83" i="1" s="1"/>
  <c r="AR87" i="1"/>
  <c r="AR86" i="1"/>
  <c r="AR78" i="1"/>
  <c r="AR77" i="1"/>
  <c r="AR91" i="1"/>
  <c r="AR90" i="1"/>
  <c r="I8" i="42" l="1"/>
  <c r="I14" i="42" s="1"/>
  <c r="AI762" i="1"/>
  <c r="AH762" i="1"/>
  <c r="AR99" i="1"/>
  <c r="AH928" i="1"/>
  <c r="I16" i="12"/>
  <c r="AI928" i="1"/>
  <c r="F16" i="32"/>
  <c r="F30" i="32" s="1"/>
  <c r="F39" i="32" s="1"/>
  <c r="AI927" i="1"/>
  <c r="AH927" i="1"/>
  <c r="AU856" i="1"/>
  <c r="AT641" i="1"/>
  <c r="AX118" i="21"/>
  <c r="AI790" i="1"/>
  <c r="AH790" i="1"/>
  <c r="AF81" i="1"/>
  <c r="AF96" i="1"/>
  <c r="AF42" i="21" s="1"/>
  <c r="AU910" i="1"/>
  <c r="AT910" i="1"/>
  <c r="AT18" i="1"/>
  <c r="AT20" i="1" s="1"/>
  <c r="AT539" i="1"/>
  <c r="AT540" i="1" s="1"/>
  <c r="AT875" i="1"/>
  <c r="AU844" i="1"/>
  <c r="AT15" i="1"/>
  <c r="AI930" i="1"/>
  <c r="AJ66" i="21"/>
  <c r="AJ51" i="21"/>
  <c r="AJ65" i="21"/>
  <c r="AJ64" i="21"/>
  <c r="AJ67" i="21"/>
  <c r="AJ81" i="1"/>
  <c r="AJ82" i="1"/>
  <c r="AJ83" i="1" s="1"/>
  <c r="AJ96" i="1"/>
  <c r="AU74" i="1"/>
  <c r="AH845" i="1"/>
  <c r="AU596" i="1"/>
  <c r="AT16" i="1"/>
  <c r="AJ91" i="1"/>
  <c r="AJ90" i="1"/>
  <c r="AT89" i="1"/>
  <c r="AU89" i="1"/>
  <c r="AI845" i="1"/>
  <c r="AJ623" i="1"/>
  <c r="AU531" i="1"/>
  <c r="AU532" i="1"/>
  <c r="AI846" i="1"/>
  <c r="AJ26" i="1"/>
  <c r="AJ27" i="1" s="1"/>
  <c r="AU149" i="1"/>
  <c r="AH930" i="1"/>
  <c r="AJ22" i="1"/>
  <c r="AU142" i="1"/>
  <c r="AJ50" i="21"/>
  <c r="AJ68" i="21"/>
  <c r="AH846" i="1"/>
  <c r="AJ87" i="1"/>
  <c r="AJ86" i="1"/>
  <c r="AT85" i="1"/>
  <c r="AU85" i="1"/>
  <c r="AJ986" i="1"/>
  <c r="AJ630" i="1"/>
  <c r="AU628" i="1"/>
  <c r="AU875" i="1"/>
  <c r="AU172" i="11" s="1"/>
  <c r="AU939" i="1"/>
  <c r="AJ14" i="1"/>
  <c r="AT132" i="1"/>
  <c r="AU132" i="1"/>
  <c r="AJ77" i="1"/>
  <c r="AJ78" i="1"/>
  <c r="AT76" i="1"/>
  <c r="AU76" i="1"/>
  <c r="AT26" i="1"/>
  <c r="AU27" i="1" s="1"/>
  <c r="AT152" i="1"/>
  <c r="AT147" i="1"/>
  <c r="AT146" i="1"/>
  <c r="AT23" i="1"/>
  <c r="AT24" i="1"/>
  <c r="AU167" i="11" l="1"/>
  <c r="AV856" i="1"/>
  <c r="AW856" i="1" s="1"/>
  <c r="AX856" i="1" s="1"/>
  <c r="AT19" i="1"/>
  <c r="AT172" i="11"/>
  <c r="AT541" i="1"/>
  <c r="AT542" i="1" s="1"/>
  <c r="AT138" i="1"/>
  <c r="AU609" i="1"/>
  <c r="AU145" i="1"/>
  <c r="AU146" i="1" s="1"/>
  <c r="AU138" i="1"/>
  <c r="AU152" i="1"/>
  <c r="AU848" i="1"/>
  <c r="AU147" i="11" s="1"/>
  <c r="AJ625" i="1"/>
  <c r="AU623" i="1"/>
  <c r="AU541" i="1"/>
  <c r="AU111" i="11" s="1"/>
  <c r="AJ15" i="1"/>
  <c r="AJ16" i="1"/>
  <c r="AJ755" i="1"/>
  <c r="AJ741" i="1"/>
  <c r="AJ927" i="1" s="1"/>
  <c r="AJ757" i="1"/>
  <c r="AU14" i="1"/>
  <c r="AJ18" i="1"/>
  <c r="AJ28" i="1"/>
  <c r="AJ69" i="21"/>
  <c r="AJ98" i="1"/>
  <c r="AT154" i="1"/>
  <c r="AU78" i="1"/>
  <c r="AU77" i="1"/>
  <c r="AU86" i="1"/>
  <c r="AU87" i="1"/>
  <c r="AJ42" i="21"/>
  <c r="AU629" i="1"/>
  <c r="AU986" i="1"/>
  <c r="AU630" i="1"/>
  <c r="AU80" i="1"/>
  <c r="AU91" i="1"/>
  <c r="AU90" i="1"/>
  <c r="AU540" i="1"/>
  <c r="AJ631" i="1"/>
  <c r="AJ24" i="1"/>
  <c r="AJ23" i="1"/>
  <c r="AT34" i="1"/>
  <c r="AT27" i="1"/>
  <c r="AT28" i="1"/>
  <c r="AT153" i="1"/>
  <c r="AB522" i="1"/>
  <c r="AB525" i="1"/>
  <c r="AB526" i="1"/>
  <c r="AB527" i="1"/>
  <c r="AB528" i="1"/>
  <c r="AC514" i="1"/>
  <c r="AC619" i="1"/>
  <c r="AG620" i="1" s="1"/>
  <c r="AJ928" i="1" l="1"/>
  <c r="AJ762" i="1"/>
  <c r="AJ790" i="1"/>
  <c r="AU96" i="1"/>
  <c r="AU825" i="1" s="1"/>
  <c r="AU139" i="1"/>
  <c r="AT139" i="1"/>
  <c r="AT140" i="1"/>
  <c r="AU154" i="1"/>
  <c r="AU140" i="11" s="1"/>
  <c r="AU153" i="1"/>
  <c r="AU140" i="1"/>
  <c r="AU130" i="11" s="1"/>
  <c r="AU147" i="1"/>
  <c r="AU135" i="11" s="1"/>
  <c r="AU611" i="1"/>
  <c r="AU118" i="11" s="1"/>
  <c r="AJ19" i="1"/>
  <c r="AJ20" i="1"/>
  <c r="AJ34" i="1"/>
  <c r="AU34" i="1" s="1"/>
  <c r="AU926" i="1"/>
  <c r="AT739" i="1"/>
  <c r="AU15" i="1"/>
  <c r="AU16" i="1"/>
  <c r="AU18" i="1"/>
  <c r="AV542" i="1"/>
  <c r="AU542" i="1"/>
  <c r="AT742" i="1"/>
  <c r="AT792" i="1" s="1"/>
  <c r="AU931" i="1"/>
  <c r="AC620" i="1"/>
  <c r="AT619" i="1"/>
  <c r="AU624" i="1"/>
  <c r="AU625" i="1"/>
  <c r="AJ845" i="1"/>
  <c r="AU741" i="1"/>
  <c r="AJ846" i="1"/>
  <c r="AU755" i="1"/>
  <c r="AJ930" i="1"/>
  <c r="AU757" i="1"/>
  <c r="AU82" i="1"/>
  <c r="AB106" i="11"/>
  <c r="AB101" i="11"/>
  <c r="AB96" i="11"/>
  <c r="AC621" i="1"/>
  <c r="AC354" i="1"/>
  <c r="AC252" i="1"/>
  <c r="AC515" i="1"/>
  <c r="AC435" i="1"/>
  <c r="AU762" i="1" l="1"/>
  <c r="F12" i="32"/>
  <c r="L8" i="42"/>
  <c r="L14" i="42" s="1"/>
  <c r="AU790" i="1"/>
  <c r="AT844" i="1"/>
  <c r="AT856" i="1"/>
  <c r="AT130" i="11"/>
  <c r="AU855" i="1"/>
  <c r="AU162" i="11" s="1"/>
  <c r="AU845" i="1"/>
  <c r="AJ36" i="1"/>
  <c r="AJ170" i="1"/>
  <c r="AJ626" i="1"/>
  <c r="AU98" i="1"/>
  <c r="AU631" i="1"/>
  <c r="AU20" i="1"/>
  <c r="AU19" i="1"/>
  <c r="AU846" i="1"/>
  <c r="F20" i="32" l="1"/>
  <c r="AT167" i="11"/>
  <c r="AT848" i="1"/>
  <c r="AU849" i="1"/>
  <c r="AU152" i="11" s="1"/>
  <c r="AU850" i="1"/>
  <c r="AU157" i="11" s="1"/>
  <c r="AT931" i="1"/>
  <c r="AJ187" i="1"/>
  <c r="AU170" i="1"/>
  <c r="AT755" i="1"/>
  <c r="AU928" i="1"/>
  <c r="AU36" i="1"/>
  <c r="AU626" i="1"/>
  <c r="AU35" i="1"/>
  <c r="AT926" i="1"/>
  <c r="AT147" i="11"/>
  <c r="AC846" i="1"/>
  <c r="AC850" i="1" s="1"/>
  <c r="AC157" i="11" s="1"/>
  <c r="AC845" i="1"/>
  <c r="AC849" i="1" s="1"/>
  <c r="AC855" i="1"/>
  <c r="AC162" i="11" s="1"/>
  <c r="AC16" i="1"/>
  <c r="AC15" i="1"/>
  <c r="AC18" i="1"/>
  <c r="AG19" i="1" s="1"/>
  <c r="AT846" i="1" l="1"/>
  <c r="AU187" i="1"/>
  <c r="AU100" i="1" s="1"/>
  <c r="AU852" i="1"/>
  <c r="AU927" i="1"/>
  <c r="AT741" i="1"/>
  <c r="AT757" i="1"/>
  <c r="AT762" i="1" s="1"/>
  <c r="AU930" i="1"/>
  <c r="AJ189" i="1"/>
  <c r="AJ100" i="1"/>
  <c r="AC852" i="1"/>
  <c r="AC853" i="1" s="1"/>
  <c r="AC152" i="11"/>
  <c r="AC19" i="1"/>
  <c r="AC20" i="1"/>
  <c r="AC34" i="1"/>
  <c r="AG35" i="1" s="1"/>
  <c r="AT930" i="1"/>
  <c r="AC520" i="1"/>
  <c r="AC525" i="1"/>
  <c r="AC526" i="1"/>
  <c r="AC527" i="1"/>
  <c r="J15" i="12" l="1"/>
  <c r="AT790" i="1"/>
  <c r="AT850" i="1"/>
  <c r="AC101" i="11"/>
  <c r="AC96" i="11"/>
  <c r="AC106" i="11"/>
  <c r="AC528" i="1"/>
  <c r="AT855" i="1"/>
  <c r="AT845" i="1"/>
  <c r="AU189" i="1"/>
  <c r="AU853" i="1"/>
  <c r="AT927" i="1"/>
  <c r="AT928" i="1"/>
  <c r="AC170" i="1"/>
  <c r="AC35" i="1"/>
  <c r="AC36" i="1"/>
  <c r="AC43" i="1"/>
  <c r="AG44" i="1" s="1"/>
  <c r="AC522" i="1"/>
  <c r="AC531" i="1"/>
  <c r="AC532" i="1"/>
  <c r="AC539" i="1"/>
  <c r="AC38" i="21" l="1"/>
  <c r="AG58" i="21" s="1"/>
  <c r="AG540" i="1"/>
  <c r="AT157" i="11"/>
  <c r="AT162" i="11"/>
  <c r="AT849" i="1"/>
  <c r="I15" i="12"/>
  <c r="AC540" i="1"/>
  <c r="AC541" i="1"/>
  <c r="AG542" i="1" s="1"/>
  <c r="AC44" i="1"/>
  <c r="AC50" i="1"/>
  <c r="AG51" i="1" s="1"/>
  <c r="AC47" i="1"/>
  <c r="AC123" i="11" s="1"/>
  <c r="AT746" i="1"/>
  <c r="V609" i="1"/>
  <c r="V39" i="21" s="1"/>
  <c r="V40" i="21" s="1"/>
  <c r="V42" i="21" s="1"/>
  <c r="V623" i="1"/>
  <c r="AC58" i="21" l="1"/>
  <c r="AC49" i="21"/>
  <c r="AT852" i="1"/>
  <c r="AT152" i="11"/>
  <c r="V625" i="1"/>
  <c r="AH872" i="1"/>
  <c r="AH897" i="1" s="1"/>
  <c r="AH864" i="1"/>
  <c r="AC542" i="1"/>
  <c r="AC111" i="11"/>
  <c r="AC51" i="1"/>
  <c r="AC55" i="1"/>
  <c r="AC814" i="1" s="1"/>
  <c r="AC817" i="1" s="1"/>
  <c r="AC820" i="1" s="1"/>
  <c r="AC52" i="1"/>
  <c r="V626" i="1"/>
  <c r="V170" i="1"/>
  <c r="V628" i="1"/>
  <c r="V611" i="1"/>
  <c r="V118" i="11" s="1"/>
  <c r="V610" i="1"/>
  <c r="V624" i="1"/>
  <c r="AT853" i="1" l="1"/>
  <c r="AH746" i="1"/>
  <c r="AI872" i="1"/>
  <c r="AI897" i="1" s="1"/>
  <c r="AI864" i="1"/>
  <c r="V629" i="1"/>
  <c r="V187" i="1"/>
  <c r="V189" i="1" s="1"/>
  <c r="V190" i="1" s="1"/>
  <c r="AC63" i="1"/>
  <c r="AC64" i="1"/>
  <c r="AC972" i="1" s="1"/>
  <c r="V68" i="21"/>
  <c r="V50" i="21"/>
  <c r="V59" i="21"/>
  <c r="V630" i="1"/>
  <c r="V986" i="1"/>
  <c r="V631" i="1"/>
  <c r="AJ864" i="1" l="1"/>
  <c r="AU864" i="1" s="1"/>
  <c r="AJ872" i="1"/>
  <c r="AJ897" i="1" s="1"/>
  <c r="AI746" i="1"/>
  <c r="V188" i="1"/>
  <c r="V119" i="1"/>
  <c r="V100" i="1"/>
  <c r="V64" i="21"/>
  <c r="V65" i="21"/>
  <c r="V66" i="21"/>
  <c r="V67" i="21"/>
  <c r="V60" i="21"/>
  <c r="V51" i="21"/>
  <c r="AJ746" i="1" l="1"/>
  <c r="V126" i="1"/>
  <c r="V121" i="1"/>
  <c r="V120" i="1"/>
  <c r="V987" i="1"/>
  <c r="V988" i="1" s="1"/>
  <c r="V69" i="21"/>
  <c r="W609" i="1"/>
  <c r="W39" i="21" s="1"/>
  <c r="W40" i="21" s="1"/>
  <c r="W42" i="21" s="1"/>
  <c r="W623" i="1"/>
  <c r="W624" i="1" l="1"/>
  <c r="AU746" i="1"/>
  <c r="V122" i="1"/>
  <c r="W610" i="1"/>
  <c r="W51" i="21"/>
  <c r="W625" i="1"/>
  <c r="W626" i="1"/>
  <c r="W170" i="1"/>
  <c r="W628" i="1"/>
  <c r="W611" i="1"/>
  <c r="W118" i="11" s="1"/>
  <c r="W60" i="21" l="1"/>
  <c r="W50" i="21"/>
  <c r="W64" i="21"/>
  <c r="W187" i="1"/>
  <c r="W188" i="1" s="1"/>
  <c r="W66" i="21"/>
  <c r="W65" i="21"/>
  <c r="W68" i="21"/>
  <c r="W59" i="21"/>
  <c r="W67" i="21"/>
  <c r="W630" i="1"/>
  <c r="W631" i="1"/>
  <c r="W629" i="1"/>
  <c r="W986" i="1"/>
  <c r="W189" i="1" l="1"/>
  <c r="W190" i="1" s="1"/>
  <c r="W69" i="21"/>
  <c r="W119" i="1"/>
  <c r="W100" i="1"/>
  <c r="X609" i="1"/>
  <c r="X39" i="21" s="1"/>
  <c r="X623" i="1"/>
  <c r="X624" i="1" l="1"/>
  <c r="AR623" i="1"/>
  <c r="AR626" i="1" s="1"/>
  <c r="X40" i="21"/>
  <c r="W121" i="1"/>
  <c r="W126" i="1"/>
  <c r="W120" i="1"/>
  <c r="W987" i="1"/>
  <c r="W988" i="1" s="1"/>
  <c r="AR36" i="1"/>
  <c r="AR35" i="1"/>
  <c r="X625" i="1"/>
  <c r="X611" i="1"/>
  <c r="X118" i="11" s="1"/>
  <c r="X628" i="1"/>
  <c r="X617" i="1"/>
  <c r="X77" i="21" s="1"/>
  <c r="X170" i="1"/>
  <c r="X626" i="1"/>
  <c r="AR611" i="1"/>
  <c r="AR118" i="11" s="1"/>
  <c r="AV39" i="21"/>
  <c r="AR610" i="1"/>
  <c r="X50" i="21"/>
  <c r="X610" i="1"/>
  <c r="AR97" i="1"/>
  <c r="AR98" i="1"/>
  <c r="AJ59" i="21" l="1"/>
  <c r="AJ610" i="1"/>
  <c r="AR625" i="1"/>
  <c r="AR624" i="1"/>
  <c r="X629" i="1"/>
  <c r="X42" i="21"/>
  <c r="X87" i="21"/>
  <c r="W122" i="1"/>
  <c r="X986" i="1"/>
  <c r="X631" i="1"/>
  <c r="X96" i="21"/>
  <c r="X78" i="21"/>
  <c r="X630" i="1"/>
  <c r="X643" i="1"/>
  <c r="X59" i="21"/>
  <c r="X187" i="1"/>
  <c r="AT596" i="1"/>
  <c r="AF631" i="1"/>
  <c r="AV40" i="21"/>
  <c r="AV50" i="21"/>
  <c r="AV59" i="21"/>
  <c r="AJ60" i="21" l="1"/>
  <c r="AJ97" i="1"/>
  <c r="AJ629" i="1"/>
  <c r="AR628" i="1"/>
  <c r="AJ35" i="1"/>
  <c r="AT609" i="1"/>
  <c r="X88" i="21"/>
  <c r="AF98" i="1"/>
  <c r="X119" i="1"/>
  <c r="X100" i="1"/>
  <c r="X97" i="21"/>
  <c r="X65" i="21"/>
  <c r="X51" i="21"/>
  <c r="X60" i="21"/>
  <c r="X66" i="21"/>
  <c r="X64" i="21"/>
  <c r="X67" i="21"/>
  <c r="X68" i="21"/>
  <c r="X188" i="1"/>
  <c r="X189" i="1"/>
  <c r="X190" i="1" s="1"/>
  <c r="AF986" i="1"/>
  <c r="AV66" i="21"/>
  <c r="AV51" i="21"/>
  <c r="AV42" i="21"/>
  <c r="AV65" i="21"/>
  <c r="AV64" i="21"/>
  <c r="AV60" i="21"/>
  <c r="AV67" i="21"/>
  <c r="AV68" i="21"/>
  <c r="AU610" i="1" l="1"/>
  <c r="AR631" i="1"/>
  <c r="AR986" i="1"/>
  <c r="AR629" i="1"/>
  <c r="AR630" i="1"/>
  <c r="AJ624" i="1"/>
  <c r="AT610" i="1"/>
  <c r="AT611" i="1"/>
  <c r="X120" i="1"/>
  <c r="X121" i="1"/>
  <c r="X126" i="1"/>
  <c r="AJ188" i="1"/>
  <c r="X69" i="21"/>
  <c r="X644" i="1"/>
  <c r="X79" i="21"/>
  <c r="X987" i="1"/>
  <c r="X988" i="1" s="1"/>
  <c r="AV69" i="21"/>
  <c r="AT170" i="1" l="1"/>
  <c r="AR170" i="1"/>
  <c r="AR187" i="1" s="1"/>
  <c r="AJ190" i="1"/>
  <c r="AF100" i="1"/>
  <c r="X122" i="1"/>
  <c r="Y170" i="1"/>
  <c r="Y609" i="1"/>
  <c r="Y39" i="21" s="1"/>
  <c r="Y623" i="1"/>
  <c r="AR100" i="1" l="1"/>
  <c r="AR189" i="1"/>
  <c r="AR190" i="1" s="1"/>
  <c r="AR188" i="1"/>
  <c r="AR119" i="1"/>
  <c r="AD22" i="17" s="1"/>
  <c r="F15" i="13"/>
  <c r="F23" i="13" s="1"/>
  <c r="Y59" i="21"/>
  <c r="Y50" i="21"/>
  <c r="Y40" i="21"/>
  <c r="Y187" i="1"/>
  <c r="Y189" i="1" s="1"/>
  <c r="Y190" i="1" s="1"/>
  <c r="Y610" i="1"/>
  <c r="Y611" i="1"/>
  <c r="Y118" i="11" s="1"/>
  <c r="Y628" i="1"/>
  <c r="Y192" i="1"/>
  <c r="Y625" i="1"/>
  <c r="Y626" i="1"/>
  <c r="Y624" i="1"/>
  <c r="Y68" i="21" l="1"/>
  <c r="G8" i="12"/>
  <c r="G10" i="12" s="1"/>
  <c r="G12" i="12" s="1"/>
  <c r="G17" i="12" s="1"/>
  <c r="G18" i="12" s="1"/>
  <c r="H144" i="3"/>
  <c r="H145" i="3" s="1"/>
  <c r="AR120" i="1"/>
  <c r="AR121" i="1"/>
  <c r="AR987" i="1"/>
  <c r="F14" i="13"/>
  <c r="F22" i="13" s="1"/>
  <c r="Y188" i="1"/>
  <c r="Y66" i="21"/>
  <c r="Y65" i="21"/>
  <c r="Y42" i="21"/>
  <c r="Y51" i="21"/>
  <c r="Y64" i="21"/>
  <c r="Y67" i="21"/>
  <c r="Y60" i="21"/>
  <c r="Y100" i="1"/>
  <c r="Y119" i="1"/>
  <c r="Y209" i="1"/>
  <c r="Y105" i="1" s="1"/>
  <c r="Y630" i="1"/>
  <c r="Y986" i="1"/>
  <c r="Y993" i="1" s="1"/>
  <c r="Y629" i="1"/>
  <c r="Y211" i="1"/>
  <c r="Y631" i="1"/>
  <c r="AR122" i="1" l="1"/>
  <c r="AD23" i="17"/>
  <c r="Y69" i="21"/>
  <c r="Y120" i="1"/>
  <c r="Y121" i="1"/>
  <c r="Y126" i="1"/>
  <c r="Y987" i="1"/>
  <c r="Y218" i="1"/>
  <c r="Y107" i="1" s="1"/>
  <c r="Y108" i="1" l="1"/>
  <c r="Y110" i="1"/>
  <c r="Y112" i="1" s="1"/>
  <c r="Y988" i="1"/>
  <c r="Y994" i="1"/>
  <c r="Y122" i="1"/>
  <c r="Z609" i="1"/>
  <c r="Z623" i="1"/>
  <c r="AD624" i="1" s="1"/>
  <c r="Z624" i="1" l="1"/>
  <c r="Z39" i="21"/>
  <c r="AD610" i="1"/>
  <c r="Y990" i="1"/>
  <c r="Z611" i="1"/>
  <c r="Z118" i="11" s="1"/>
  <c r="Z625" i="1"/>
  <c r="Y239" i="1"/>
  <c r="Y245" i="1" s="1"/>
  <c r="Y116" i="1" s="1"/>
  <c r="Y220" i="1"/>
  <c r="Z626" i="1"/>
  <c r="Z170" i="1"/>
  <c r="AD97" i="1"/>
  <c r="Z610" i="1"/>
  <c r="Z628" i="1"/>
  <c r="AD629" i="1" s="1"/>
  <c r="Z40" i="21" l="1"/>
  <c r="AD60" i="21" s="1"/>
  <c r="AD59" i="21"/>
  <c r="Z59" i="21"/>
  <c r="Z50" i="21"/>
  <c r="Z187" i="1"/>
  <c r="AD188" i="1" s="1"/>
  <c r="Y237" i="1"/>
  <c r="Y114" i="1" s="1"/>
  <c r="Z211" i="1"/>
  <c r="Z192" i="1"/>
  <c r="Z629" i="1"/>
  <c r="Z631" i="1"/>
  <c r="Z986" i="1"/>
  <c r="Z993" i="1" s="1"/>
  <c r="Z630" i="1"/>
  <c r="Z42" i="21" l="1"/>
  <c r="Z65" i="21"/>
  <c r="Z64" i="21"/>
  <c r="Z51" i="21"/>
  <c r="Z60" i="21"/>
  <c r="Z68" i="21"/>
  <c r="Z67" i="21"/>
  <c r="Z66" i="21"/>
  <c r="Z69" i="21" s="1"/>
  <c r="Z188" i="1"/>
  <c r="Z189" i="1"/>
  <c r="AD190" i="1" s="1"/>
  <c r="Z119" i="1"/>
  <c r="Z100" i="1"/>
  <c r="Z209" i="1"/>
  <c r="Z105" i="1" s="1"/>
  <c r="Z218" i="1"/>
  <c r="Z107" i="1" s="1"/>
  <c r="Z220" i="1"/>
  <c r="Z190" i="1" l="1"/>
  <c r="Z110" i="1"/>
  <c r="Z108" i="1"/>
  <c r="Z121" i="1"/>
  <c r="Z122" i="1" s="1"/>
  <c r="Z126" i="1"/>
  <c r="Z120" i="1"/>
  <c r="Z987" i="1"/>
  <c r="Z237" i="1"/>
  <c r="Z239" i="1"/>
  <c r="Z245" i="1" s="1"/>
  <c r="Z116" i="1" s="1"/>
  <c r="AA609" i="1"/>
  <c r="AA623" i="1"/>
  <c r="AE624" i="1" s="1"/>
  <c r="AA39" i="21" l="1"/>
  <c r="AE610" i="1"/>
  <c r="Z994" i="1"/>
  <c r="Z988" i="1"/>
  <c r="Z112" i="1"/>
  <c r="Z114" i="1"/>
  <c r="AA610" i="1"/>
  <c r="AA628" i="1"/>
  <c r="AE629" i="1" s="1"/>
  <c r="AA625" i="1"/>
  <c r="AA624" i="1"/>
  <c r="AA611" i="1"/>
  <c r="AA118" i="11" s="1"/>
  <c r="AA626" i="1"/>
  <c r="AA192" i="1"/>
  <c r="AA209" i="1" s="1"/>
  <c r="AA105" i="1" s="1"/>
  <c r="AA170" i="1"/>
  <c r="AA187" i="1" s="1"/>
  <c r="AE188" i="1" s="1"/>
  <c r="AE97" i="1"/>
  <c r="AA40" i="21" l="1"/>
  <c r="AE60" i="21" s="1"/>
  <c r="AE59" i="21"/>
  <c r="AA50" i="21"/>
  <c r="AA59" i="21"/>
  <c r="AA631" i="1"/>
  <c r="Z990" i="1"/>
  <c r="AA51" i="21"/>
  <c r="AA119" i="1"/>
  <c r="AA100" i="1"/>
  <c r="AA629" i="1"/>
  <c r="AA986" i="1"/>
  <c r="AA993" i="1" s="1"/>
  <c r="AA630" i="1"/>
  <c r="AA189" i="1"/>
  <c r="AA188" i="1"/>
  <c r="AA211" i="1"/>
  <c r="AA42" i="21" l="1"/>
  <c r="AA67" i="21"/>
  <c r="AA60" i="21"/>
  <c r="AA68" i="21"/>
  <c r="AA64" i="21"/>
  <c r="AA66" i="21"/>
  <c r="AA65" i="21"/>
  <c r="AA190" i="1"/>
  <c r="AE190" i="1"/>
  <c r="AA121" i="1"/>
  <c r="AA122" i="1" s="1"/>
  <c r="AA126" i="1"/>
  <c r="AA120" i="1"/>
  <c r="AA218" i="1"/>
  <c r="AA107" i="1" s="1"/>
  <c r="AA987" i="1"/>
  <c r="AA988" i="1" s="1"/>
  <c r="AB609" i="1"/>
  <c r="AB623" i="1"/>
  <c r="AF624" i="1" s="1"/>
  <c r="AA69" i="21" l="1"/>
  <c r="AB39" i="21"/>
  <c r="AF610" i="1"/>
  <c r="AA990" i="1"/>
  <c r="AA108" i="1"/>
  <c r="AA110" i="1"/>
  <c r="AA994" i="1"/>
  <c r="AB628" i="1"/>
  <c r="AF629" i="1" s="1"/>
  <c r="AB192" i="1"/>
  <c r="AB209" i="1" s="1"/>
  <c r="AB105" i="1" s="1"/>
  <c r="AB170" i="1"/>
  <c r="AS170" i="1" s="1"/>
  <c r="AB626" i="1"/>
  <c r="AA239" i="1"/>
  <c r="AA245" i="1" s="1"/>
  <c r="AA116" i="1" s="1"/>
  <c r="AA220" i="1"/>
  <c r="AA237" i="1" s="1"/>
  <c r="AF97" i="1"/>
  <c r="AB624" i="1"/>
  <c r="AB625" i="1"/>
  <c r="AB610" i="1"/>
  <c r="AB611" i="1"/>
  <c r="AB118" i="11" s="1"/>
  <c r="AB211" i="1"/>
  <c r="AB218" i="1" s="1"/>
  <c r="AB107" i="1" s="1"/>
  <c r="AB59" i="21" l="1"/>
  <c r="AF59" i="21"/>
  <c r="AB40" i="21"/>
  <c r="AB50" i="21"/>
  <c r="AB629" i="1"/>
  <c r="AB631" i="1"/>
  <c r="AB110" i="1"/>
  <c r="AB108" i="1"/>
  <c r="AB630" i="1"/>
  <c r="AA112" i="1"/>
  <c r="AA114" i="1"/>
  <c r="AB986" i="1"/>
  <c r="AB993" i="1" s="1"/>
  <c r="AB187" i="1"/>
  <c r="AF188" i="1" s="1"/>
  <c r="AB68" i="21" l="1"/>
  <c r="AF60" i="21"/>
  <c r="AB65" i="21"/>
  <c r="AB64" i="21"/>
  <c r="AB60" i="21"/>
  <c r="AB67" i="21"/>
  <c r="AB51" i="21"/>
  <c r="AB66" i="21"/>
  <c r="AB42" i="21"/>
  <c r="AB119" i="1"/>
  <c r="AB100" i="1"/>
  <c r="AB112" i="1"/>
  <c r="AB188" i="1"/>
  <c r="AB189" i="1"/>
  <c r="AF190" i="1" s="1"/>
  <c r="AB239" i="1"/>
  <c r="AB245" i="1" s="1"/>
  <c r="AB116" i="1" s="1"/>
  <c r="AB220" i="1"/>
  <c r="AB237" i="1" s="1"/>
  <c r="AB114" i="1" s="1"/>
  <c r="AB69" i="21" l="1"/>
  <c r="AB121" i="1"/>
  <c r="AB122" i="1" s="1"/>
  <c r="AB126" i="1"/>
  <c r="AB120" i="1"/>
  <c r="AB987" i="1"/>
  <c r="AB190" i="1"/>
  <c r="AC609" i="1"/>
  <c r="AC623" i="1"/>
  <c r="AG624" i="1" s="1"/>
  <c r="AC39" i="21" l="1"/>
  <c r="AG610" i="1"/>
  <c r="AC50" i="21"/>
  <c r="AC40" i="21"/>
  <c r="AC59" i="21"/>
  <c r="AC624" i="1"/>
  <c r="AT623" i="1"/>
  <c r="AS623" i="1"/>
  <c r="AG59" i="21"/>
  <c r="AB994" i="1"/>
  <c r="AB988" i="1"/>
  <c r="AC625" i="1"/>
  <c r="AC611" i="1"/>
  <c r="AC628" i="1"/>
  <c r="AG629" i="1" s="1"/>
  <c r="AC187" i="1"/>
  <c r="AG188" i="1" s="1"/>
  <c r="AC626" i="1"/>
  <c r="AC610" i="1"/>
  <c r="AC42" i="21" l="1"/>
  <c r="AC51" i="21"/>
  <c r="AC64" i="21"/>
  <c r="AC65" i="21"/>
  <c r="AC66" i="21"/>
  <c r="AC67" i="21"/>
  <c r="AC60" i="21"/>
  <c r="AC68" i="21"/>
  <c r="AC118" i="11"/>
  <c r="AC631" i="1"/>
  <c r="AT628" i="1"/>
  <c r="AS628" i="1"/>
  <c r="AB990" i="1"/>
  <c r="AC119" i="1"/>
  <c r="AG120" i="1" s="1"/>
  <c r="AC100" i="1"/>
  <c r="AC629" i="1"/>
  <c r="AC630" i="1"/>
  <c r="AC986" i="1"/>
  <c r="AC993" i="1" s="1"/>
  <c r="AC188" i="1"/>
  <c r="AC189" i="1"/>
  <c r="AG190" i="1" s="1"/>
  <c r="AC211" i="1"/>
  <c r="AC218" i="1" s="1"/>
  <c r="AC107" i="1" s="1"/>
  <c r="AC192" i="1"/>
  <c r="AC209" i="1" s="1"/>
  <c r="AC105" i="1" s="1"/>
  <c r="AC69" i="21" l="1"/>
  <c r="AG60" i="21"/>
  <c r="AC190" i="1"/>
  <c r="AC987" i="1"/>
  <c r="AC994" i="1" s="1"/>
  <c r="AC108" i="1"/>
  <c r="AC110" i="1"/>
  <c r="AG111" i="1" s="1"/>
  <c r="AC121" i="1"/>
  <c r="AC126" i="1"/>
  <c r="AC120" i="1"/>
  <c r="AC122" i="1" l="1"/>
  <c r="AG122" i="1"/>
  <c r="AC988" i="1"/>
  <c r="AC112" i="1"/>
  <c r="AC111" i="1"/>
  <c r="AC220" i="1"/>
  <c r="AC237" i="1" s="1"/>
  <c r="AC114" i="1" s="1"/>
  <c r="AC239" i="1"/>
  <c r="AC245" i="1" s="1"/>
  <c r="AC116" i="1" s="1"/>
  <c r="T263" i="1"/>
  <c r="Q258" i="1"/>
  <c r="Q263" i="1"/>
  <c r="Q15" i="11" s="1"/>
  <c r="AC117" i="1" l="1"/>
  <c r="AG117" i="1"/>
  <c r="AC990" i="1"/>
  <c r="Q267" i="1"/>
  <c r="T15" i="11"/>
  <c r="T267" i="1"/>
  <c r="T258" i="1"/>
  <c r="AT263" i="1"/>
  <c r="AT264" i="1"/>
  <c r="AT265" i="1"/>
  <c r="AT266" i="1"/>
  <c r="AS353" i="1"/>
  <c r="AS374" i="1" s="1"/>
  <c r="AT353" i="1"/>
  <c r="AT374" i="1" s="1"/>
  <c r="AW11" i="21"/>
  <c r="AX11" i="21"/>
  <c r="AX121" i="21" l="1"/>
  <c r="BC11" i="21"/>
  <c r="AW20" i="21"/>
  <c r="AW121" i="21"/>
  <c r="AV356" i="1"/>
  <c r="AV357" i="1"/>
  <c r="AV359" i="1"/>
  <c r="AV358" i="1"/>
  <c r="AV360" i="1"/>
  <c r="AV352" i="1" s="1"/>
  <c r="AT20" i="11"/>
  <c r="AT267" i="1"/>
  <c r="AT25" i="11"/>
  <c r="AT15" i="11"/>
  <c r="AT30" i="11"/>
  <c r="AY11" i="21"/>
  <c r="AY20" i="21" s="1"/>
  <c r="AX20" i="21"/>
  <c r="AT373" i="1"/>
  <c r="AT372" i="1"/>
  <c r="AS372" i="1"/>
  <c r="AZ11" i="21" l="1"/>
  <c r="AZ20" i="21" s="1"/>
  <c r="AV420" i="1"/>
  <c r="AW357" i="1"/>
  <c r="AW359" i="1"/>
  <c r="AW358" i="1"/>
  <c r="AW360" i="1"/>
  <c r="AW352" i="1" s="1"/>
  <c r="AW420" i="1" s="1"/>
  <c r="AW356" i="1"/>
  <c r="AV353" i="1"/>
  <c r="AV380" i="1"/>
  <c r="AZ36" i="21" s="1"/>
  <c r="AV362" i="1"/>
  <c r="AY36" i="21"/>
  <c r="BF36" i="21" s="1"/>
  <c r="AZ47" i="21" l="1"/>
  <c r="AZ56" i="21"/>
  <c r="BA11" i="21"/>
  <c r="AX359" i="1"/>
  <c r="AX356" i="1"/>
  <c r="AX358" i="1"/>
  <c r="AX357" i="1"/>
  <c r="AX360" i="1"/>
  <c r="AW362" i="1"/>
  <c r="AW380" i="1"/>
  <c r="BA36" i="21" s="1"/>
  <c r="AW353" i="1"/>
  <c r="AV371" i="1"/>
  <c r="AV381" i="1"/>
  <c r="AV374" i="1" s="1"/>
  <c r="AY47" i="21"/>
  <c r="AT365" i="1"/>
  <c r="AT366" i="1"/>
  <c r="AT367" i="1"/>
  <c r="AT368" i="1"/>
  <c r="AT362" i="1"/>
  <c r="AT369" i="1"/>
  <c r="AS360" i="1"/>
  <c r="AS369" i="1" s="1"/>
  <c r="AS365" i="1"/>
  <c r="N13" i="13"/>
  <c r="AS434" i="1"/>
  <c r="BR488" i="1" s="1"/>
  <c r="AT434" i="1"/>
  <c r="BS488" i="1" s="1"/>
  <c r="AT462" i="1"/>
  <c r="AS462" i="1"/>
  <c r="AW12" i="21"/>
  <c r="AX12" i="21"/>
  <c r="AW37" i="21"/>
  <c r="AX37" i="21"/>
  <c r="BC37" i="21" s="1"/>
  <c r="AW57" i="21" l="1"/>
  <c r="AX122" i="21"/>
  <c r="BC12" i="21"/>
  <c r="AW29" i="21"/>
  <c r="AW122" i="21"/>
  <c r="BA20" i="21"/>
  <c r="BA47" i="21"/>
  <c r="BA56" i="21"/>
  <c r="AX352" i="1"/>
  <c r="AX420" i="1" s="1"/>
  <c r="AV439" i="1"/>
  <c r="AV438" i="1"/>
  <c r="AV437" i="1"/>
  <c r="AV440" i="1"/>
  <c r="AV441" i="1"/>
  <c r="AV433" i="1" s="1"/>
  <c r="AV501" i="1" s="1"/>
  <c r="AW371" i="1"/>
  <c r="AW381" i="1"/>
  <c r="AW374" i="1" s="1"/>
  <c r="AV373" i="1"/>
  <c r="AV372" i="1"/>
  <c r="AT47" i="11"/>
  <c r="AT52" i="11"/>
  <c r="AS362" i="1"/>
  <c r="AT42" i="11"/>
  <c r="AS42" i="11"/>
  <c r="AT57" i="11"/>
  <c r="AS515" i="1"/>
  <c r="AY12" i="21"/>
  <c r="AY21" i="21" s="1"/>
  <c r="AX57" i="21"/>
  <c r="AW27" i="21"/>
  <c r="AX48" i="21"/>
  <c r="O10" i="16" s="1"/>
  <c r="AW31" i="21"/>
  <c r="AW30" i="21"/>
  <c r="AW15" i="21"/>
  <c r="AS621" i="1"/>
  <c r="AS620" i="1"/>
  <c r="AS77" i="1"/>
  <c r="AW28" i="21"/>
  <c r="AX21" i="21"/>
  <c r="AW21" i="21"/>
  <c r="AW48" i="21"/>
  <c r="BF48" i="21" s="1"/>
  <c r="AS252" i="1"/>
  <c r="AS435" i="1"/>
  <c r="AS354" i="1"/>
  <c r="N21" i="13"/>
  <c r="AS12" i="1"/>
  <c r="AT12" i="1"/>
  <c r="J13" i="13"/>
  <c r="AZ12" i="21" l="1"/>
  <c r="AZ21" i="21" s="1"/>
  <c r="AV461" i="1"/>
  <c r="AZ37" i="21" s="1"/>
  <c r="BB11" i="21"/>
  <c r="BG11" i="21" s="1"/>
  <c r="AX353" i="1"/>
  <c r="AX380" i="1"/>
  <c r="AX362" i="1"/>
  <c r="AW440" i="1"/>
  <c r="AW437" i="1"/>
  <c r="AW439" i="1"/>
  <c r="AW438" i="1"/>
  <c r="AW441" i="1"/>
  <c r="AW433" i="1" s="1"/>
  <c r="AV434" i="1"/>
  <c r="AV443" i="1"/>
  <c r="AW372" i="1"/>
  <c r="AW373" i="1"/>
  <c r="AW16" i="21"/>
  <c r="AW32" i="21"/>
  <c r="AW24" i="21"/>
  <c r="AS866" i="1"/>
  <c r="AS748" i="1"/>
  <c r="AS791" i="1" s="1"/>
  <c r="AS793" i="1" s="1"/>
  <c r="AS797" i="1" s="1"/>
  <c r="AT87" i="1"/>
  <c r="AT86" i="1"/>
  <c r="AS90" i="1"/>
  <c r="AS939" i="1"/>
  <c r="AT939" i="1"/>
  <c r="AT80" i="1"/>
  <c r="AT96" i="1" s="1"/>
  <c r="AT77" i="1"/>
  <c r="AT78" i="1"/>
  <c r="AS74" i="1"/>
  <c r="AT74" i="1"/>
  <c r="AS80" i="1"/>
  <c r="AS96" i="1" s="1"/>
  <c r="AS825" i="1" s="1"/>
  <c r="AT454" i="1"/>
  <c r="AT453" i="1"/>
  <c r="AY37" i="21"/>
  <c r="AS86" i="1"/>
  <c r="AS87" i="1"/>
  <c r="AS454" i="1"/>
  <c r="AS453" i="1"/>
  <c r="J21" i="13"/>
  <c r="AS78" i="1"/>
  <c r="AY44" i="21" l="1"/>
  <c r="BF37" i="21"/>
  <c r="AZ44" i="21"/>
  <c r="AW461" i="1"/>
  <c r="BA37" i="21" s="1"/>
  <c r="AW501" i="1"/>
  <c r="AT99" i="1"/>
  <c r="AT825" i="1"/>
  <c r="J8" i="42"/>
  <c r="J14" i="42" s="1"/>
  <c r="AS99" i="1"/>
  <c r="K8" i="42"/>
  <c r="K14" i="42" s="1"/>
  <c r="AU81" i="1"/>
  <c r="BB20" i="21"/>
  <c r="AZ48" i="21"/>
  <c r="AZ57" i="21"/>
  <c r="AX440" i="1"/>
  <c r="BA12" i="21"/>
  <c r="AX438" i="1"/>
  <c r="AX441" i="1"/>
  <c r="AX433" i="1" s="1"/>
  <c r="AX437" i="1"/>
  <c r="AX439" i="1"/>
  <c r="BB36" i="21"/>
  <c r="AX371" i="1"/>
  <c r="AX381" i="1"/>
  <c r="AX374" i="1" s="1"/>
  <c r="AV462" i="1"/>
  <c r="AV452" i="1"/>
  <c r="AW443" i="1"/>
  <c r="AW434" i="1"/>
  <c r="AT876" i="1"/>
  <c r="AS868" i="1"/>
  <c r="AS91" i="1"/>
  <c r="AT91" i="1"/>
  <c r="AT90" i="1"/>
  <c r="AS81" i="1"/>
  <c r="AS82" i="1"/>
  <c r="AT81" i="1"/>
  <c r="AT82" i="1"/>
  <c r="AY48" i="21"/>
  <c r="AY57" i="21"/>
  <c r="AT187" i="1"/>
  <c r="AS187" i="1"/>
  <c r="BA44" i="21" l="1"/>
  <c r="AX461" i="1"/>
  <c r="AX501" i="1"/>
  <c r="AU188" i="1"/>
  <c r="AU83" i="1"/>
  <c r="BA57" i="21"/>
  <c r="BB12" i="21"/>
  <c r="BG12" i="21" s="1"/>
  <c r="AX434" i="1"/>
  <c r="AX443" i="1"/>
  <c r="BA48" i="21"/>
  <c r="BA21" i="21"/>
  <c r="AX373" i="1"/>
  <c r="AX372" i="1"/>
  <c r="BB56" i="21"/>
  <c r="BB47" i="21"/>
  <c r="AW462" i="1"/>
  <c r="AW452" i="1"/>
  <c r="AV453" i="1"/>
  <c r="AV454" i="1"/>
  <c r="AS83" i="1"/>
  <c r="AT177" i="11"/>
  <c r="AT83" i="1"/>
  <c r="J15" i="13"/>
  <c r="AS188" i="1"/>
  <c r="AS189" i="1"/>
  <c r="AT189" i="1"/>
  <c r="N15" i="13"/>
  <c r="AT188" i="1"/>
  <c r="AU190" i="1" l="1"/>
  <c r="BB37" i="21"/>
  <c r="BB44" i="21" s="1"/>
  <c r="AX462" i="1"/>
  <c r="AX452" i="1"/>
  <c r="BB21" i="21"/>
  <c r="AW454" i="1"/>
  <c r="AW453" i="1"/>
  <c r="AS190" i="1"/>
  <c r="AD748" i="1"/>
  <c r="AD791" i="1" s="1"/>
  <c r="AD793" i="1" s="1"/>
  <c r="AD797" i="1" s="1"/>
  <c r="AF119" i="1"/>
  <c r="AT917" i="1"/>
  <c r="AT190" i="1"/>
  <c r="J23" i="13"/>
  <c r="N23" i="13"/>
  <c r="AT899" i="1" l="1"/>
  <c r="AX453" i="1"/>
  <c r="AX454" i="1"/>
  <c r="BB57" i="21"/>
  <c r="BB48" i="21"/>
  <c r="AD873" i="1"/>
  <c r="AD868" i="1"/>
  <c r="AF121" i="1"/>
  <c r="AF987" i="1"/>
  <c r="AF120" i="1"/>
  <c r="AD119" i="1"/>
  <c r="AE119" i="1"/>
  <c r="AT898" i="1" l="1"/>
  <c r="AT902" i="1"/>
  <c r="AT903" i="1"/>
  <c r="AT904" i="1"/>
  <c r="AT905" i="1"/>
  <c r="I9" i="12"/>
  <c r="I14" i="12" s="1"/>
  <c r="AF122" i="1"/>
  <c r="AT119" i="1"/>
  <c r="AF22" i="17" s="1"/>
  <c r="AE121" i="1"/>
  <c r="AE987" i="1"/>
  <c r="AE120" i="1"/>
  <c r="AD987" i="1"/>
  <c r="AG988" i="1" s="1"/>
  <c r="AD121" i="1"/>
  <c r="AD120" i="1"/>
  <c r="AT747" i="1"/>
  <c r="AG990" i="1" l="1"/>
  <c r="AG991" i="1"/>
  <c r="J144" i="3"/>
  <c r="J145" i="3" s="1"/>
  <c r="I8" i="12"/>
  <c r="I10" i="12" s="1"/>
  <c r="AE122" i="1"/>
  <c r="AH870" i="1"/>
  <c r="AH873" i="1" s="1"/>
  <c r="AI870" i="1" s="1"/>
  <c r="AI873" i="1" s="1"/>
  <c r="AJ870" i="1" s="1"/>
  <c r="AJ873" i="1" s="1"/>
  <c r="AU873" i="1" s="1"/>
  <c r="N14" i="13"/>
  <c r="N22" i="13" s="1"/>
  <c r="AT121" i="1"/>
  <c r="AF23" i="17" s="1"/>
  <c r="AT987" i="1"/>
  <c r="AD122" i="1"/>
  <c r="AF988" i="1"/>
  <c r="AE988" i="1"/>
  <c r="AD988" i="1"/>
  <c r="AT748" i="1"/>
  <c r="AT791" i="1" s="1"/>
  <c r="AT793" i="1" s="1"/>
  <c r="AT447" i="1"/>
  <c r="AT448" i="1"/>
  <c r="AT449" i="1"/>
  <c r="AS443" i="1"/>
  <c r="AS450" i="1"/>
  <c r="AR43" i="1"/>
  <c r="AR913" i="1" s="1"/>
  <c r="U192" i="1"/>
  <c r="V192" i="1"/>
  <c r="W192" i="1"/>
  <c r="W209" i="1" s="1"/>
  <c r="W105" i="1" s="1"/>
  <c r="X192" i="1"/>
  <c r="X209" i="1" s="1"/>
  <c r="X105" i="1" s="1"/>
  <c r="U211" i="1"/>
  <c r="V211" i="1"/>
  <c r="V218" i="1" s="1"/>
  <c r="V107" i="1" s="1"/>
  <c r="W211" i="1"/>
  <c r="W218" i="1" s="1"/>
  <c r="W107" i="1" s="1"/>
  <c r="X211" i="1"/>
  <c r="X218" i="1" s="1"/>
  <c r="X107" i="1" s="1"/>
  <c r="U220" i="1"/>
  <c r="V220" i="1"/>
  <c r="W220" i="1"/>
  <c r="W237" i="1" s="1"/>
  <c r="X220" i="1"/>
  <c r="X237" i="1" s="1"/>
  <c r="U239" i="1"/>
  <c r="U245" i="1" s="1"/>
  <c r="U116" i="1" s="1"/>
  <c r="V239" i="1"/>
  <c r="V245" i="1" s="1"/>
  <c r="V116" i="1" s="1"/>
  <c r="W239" i="1"/>
  <c r="W245" i="1" s="1"/>
  <c r="W116" i="1" s="1"/>
  <c r="X239" i="1"/>
  <c r="X245" i="1" s="1"/>
  <c r="X116" i="1" s="1"/>
  <c r="AR932" i="1"/>
  <c r="U983" i="1"/>
  <c r="U994" i="1" s="1"/>
  <c r="V983" i="1"/>
  <c r="V993" i="1" s="1"/>
  <c r="W983" i="1"/>
  <c r="W993" i="1" s="1"/>
  <c r="X983" i="1"/>
  <c r="X993" i="1" s="1"/>
  <c r="AR909" i="1" l="1"/>
  <c r="AR911" i="1" s="1"/>
  <c r="AD33" i="17"/>
  <c r="AR220" i="1"/>
  <c r="AR237" i="1" s="1"/>
  <c r="F16" i="13" s="1"/>
  <c r="F24" i="13" s="1"/>
  <c r="AR192" i="1"/>
  <c r="AR209" i="1" s="1"/>
  <c r="AT868" i="1"/>
  <c r="AR211" i="1"/>
  <c r="AR218" i="1" s="1"/>
  <c r="AT84" i="11"/>
  <c r="AT79" i="11"/>
  <c r="AT74" i="11"/>
  <c r="W108" i="1"/>
  <c r="W110" i="1"/>
  <c r="X108" i="1"/>
  <c r="X110" i="1"/>
  <c r="V108" i="1"/>
  <c r="V110" i="1"/>
  <c r="AB117" i="1"/>
  <c r="X117" i="1"/>
  <c r="W117" i="1"/>
  <c r="AA117" i="1"/>
  <c r="V117" i="1"/>
  <c r="Z117" i="1"/>
  <c r="U117" i="1"/>
  <c r="Y117" i="1"/>
  <c r="AR103" i="1"/>
  <c r="U237" i="1"/>
  <c r="U209" i="1"/>
  <c r="U105" i="1" s="1"/>
  <c r="U993" i="1"/>
  <c r="W994" i="1"/>
  <c r="V994" i="1"/>
  <c r="X994" i="1"/>
  <c r="V209" i="1"/>
  <c r="V105" i="1" s="1"/>
  <c r="V237" i="1"/>
  <c r="U218" i="1"/>
  <c r="G35" i="13"/>
  <c r="AR983" i="1"/>
  <c r="U984" i="1"/>
  <c r="AR50" i="1"/>
  <c r="AR44" i="1"/>
  <c r="AR47" i="1"/>
  <c r="AR123" i="11" s="1"/>
  <c r="X111" i="1" l="1"/>
  <c r="X112" i="1"/>
  <c r="AB111" i="1"/>
  <c r="V114" i="1"/>
  <c r="W111" i="1"/>
  <c r="W112" i="1"/>
  <c r="AA111" i="1"/>
  <c r="X114" i="1"/>
  <c r="V111" i="1"/>
  <c r="V112" i="1"/>
  <c r="Z111" i="1"/>
  <c r="U107" i="1"/>
  <c r="AR107" i="1" s="1"/>
  <c r="W114" i="1"/>
  <c r="AR126" i="1"/>
  <c r="AR994" i="1"/>
  <c r="AR993" i="1"/>
  <c r="V984" i="1"/>
  <c r="AR105" i="1"/>
  <c r="AR52" i="1"/>
  <c r="AR51" i="1"/>
  <c r="AR55" i="1"/>
  <c r="AR110" i="1" l="1"/>
  <c r="AR814" i="1" s="1"/>
  <c r="AR817" i="1" s="1"/>
  <c r="AR820" i="1" s="1"/>
  <c r="AR833" i="1"/>
  <c r="AR836" i="1" s="1"/>
  <c r="AR826" i="1" s="1"/>
  <c r="AR828" i="1" s="1"/>
  <c r="AR108" i="1"/>
  <c r="G36" i="13" s="1"/>
  <c r="U108" i="1"/>
  <c r="U110" i="1"/>
  <c r="AR125" i="1"/>
  <c r="G34" i="13"/>
  <c r="AR128" i="1"/>
  <c r="F18" i="13"/>
  <c r="F26" i="13" s="1"/>
  <c r="AR64" i="1"/>
  <c r="AR63" i="1"/>
  <c r="W984" i="1"/>
  <c r="AR114" i="1" l="1"/>
  <c r="AR112" i="1"/>
  <c r="AR830" i="1"/>
  <c r="I7" i="42"/>
  <c r="I13" i="42" s="1"/>
  <c r="AR239" i="1"/>
  <c r="AR245" i="1" s="1"/>
  <c r="F17" i="13" s="1"/>
  <c r="AR972" i="1"/>
  <c r="Y111" i="1"/>
  <c r="U111" i="1"/>
  <c r="U112" i="1"/>
  <c r="U114" i="1"/>
  <c r="AR777" i="1"/>
  <c r="AR780" i="1" s="1"/>
  <c r="AR800" i="1" s="1"/>
  <c r="AR802" i="1" s="1"/>
  <c r="AR807" i="1" s="1"/>
  <c r="X984" i="1"/>
  <c r="I11" i="42" l="1"/>
  <c r="I16" i="42" s="1"/>
  <c r="I18" i="42" s="1"/>
  <c r="AR116" i="1"/>
  <c r="AR117" i="1" s="1"/>
  <c r="AR809" i="1"/>
  <c r="AR984" i="1"/>
  <c r="F25" i="13"/>
  <c r="Y984" i="1"/>
  <c r="Y992" i="1" s="1"/>
  <c r="AR840" i="1" l="1"/>
  <c r="I10" i="42"/>
  <c r="I15" i="42" s="1"/>
  <c r="I19" i="42" s="1"/>
  <c r="G33" i="13"/>
  <c r="AR839" i="1"/>
  <c r="AR811" i="1"/>
  <c r="Z984" i="1"/>
  <c r="Z992" i="1" s="1"/>
  <c r="I20" i="42" l="1"/>
  <c r="AA984" i="1"/>
  <c r="AA992" i="1" s="1"/>
  <c r="AB984" i="1" l="1"/>
  <c r="AB992" i="1" s="1"/>
  <c r="U996" i="1"/>
  <c r="Y996" i="1"/>
  <c r="U990" i="1"/>
  <c r="U992" i="1"/>
  <c r="AC984" i="1" l="1"/>
  <c r="AC992" i="1" s="1"/>
  <c r="U981" i="1"/>
  <c r="U982" i="1" s="1"/>
  <c r="U991" i="1" s="1"/>
  <c r="U985" i="1" l="1"/>
  <c r="U995" i="1" s="1"/>
  <c r="V992" i="1" l="1"/>
  <c r="V996" i="1"/>
  <c r="Z996" i="1"/>
  <c r="V990" i="1"/>
  <c r="V981" i="1" l="1"/>
  <c r="V982" i="1" s="1"/>
  <c r="V991" i="1" s="1"/>
  <c r="V985" i="1" l="1"/>
  <c r="V995" i="1" s="1"/>
  <c r="W990" i="1" l="1"/>
  <c r="W992" i="1"/>
  <c r="W996" i="1"/>
  <c r="AA996" i="1"/>
  <c r="W981" i="1" l="1"/>
  <c r="W982" i="1" s="1"/>
  <c r="W991" i="1" s="1"/>
  <c r="W985" i="1" l="1"/>
  <c r="W995" i="1" s="1"/>
  <c r="AB996" i="1" l="1"/>
  <c r="X990" i="1"/>
  <c r="X992" i="1"/>
  <c r="X996" i="1"/>
  <c r="AR949" i="1"/>
  <c r="AR952" i="1" s="1"/>
  <c r="AR955" i="1" s="1"/>
  <c r="AS954" i="1" l="1"/>
  <c r="AR996" i="1"/>
  <c r="AR990" i="1"/>
  <c r="AR992" i="1"/>
  <c r="X981" i="1" l="1"/>
  <c r="X982" i="1" s="1"/>
  <c r="X991" i="1" s="1"/>
  <c r="AR744" i="1"/>
  <c r="AR981" i="1" l="1"/>
  <c r="AR982" i="1" s="1"/>
  <c r="AR991" i="1" s="1"/>
  <c r="AR753" i="1"/>
  <c r="AV109" i="21" s="1"/>
  <c r="AR957" i="1"/>
  <c r="AR4" i="1" s="1"/>
  <c r="X985" i="1"/>
  <c r="X995" i="1" s="1"/>
  <c r="Y981" i="1"/>
  <c r="Y982" i="1" s="1"/>
  <c r="Y991" i="1" s="1"/>
  <c r="Z981" i="1" l="1"/>
  <c r="Z982" i="1" s="1"/>
  <c r="Z991" i="1" s="1"/>
  <c r="AR985" i="1"/>
  <c r="AR995" i="1" s="1"/>
  <c r="Y985" i="1"/>
  <c r="Y995" i="1" s="1"/>
  <c r="Z985" i="1" l="1"/>
  <c r="Z995" i="1" s="1"/>
  <c r="AA981" i="1"/>
  <c r="AA982" i="1" s="1"/>
  <c r="AA991" i="1" s="1"/>
  <c r="AB981" i="1" l="1"/>
  <c r="AB982" i="1" s="1"/>
  <c r="AB991" i="1" s="1"/>
  <c r="AA985" i="1"/>
  <c r="AA995" i="1" s="1"/>
  <c r="AB985" i="1" l="1"/>
  <c r="AB995" i="1" s="1"/>
  <c r="AC981" i="1"/>
  <c r="AC982" i="1" s="1"/>
  <c r="AC991" i="1" s="1"/>
  <c r="AC985" i="1" l="1"/>
  <c r="AC995" i="1" s="1"/>
  <c r="AS983" i="1" l="1"/>
  <c r="AS777" i="1" l="1"/>
  <c r="AS780" i="1" l="1"/>
  <c r="AS800" i="1" s="1"/>
  <c r="AS802" i="1" s="1"/>
  <c r="AS807" i="1" s="1"/>
  <c r="J11" i="42" l="1"/>
  <c r="J16" i="42" s="1"/>
  <c r="AS984" i="1"/>
  <c r="AS949" i="1"/>
  <c r="AS811" i="1" l="1"/>
  <c r="AS809" i="1"/>
  <c r="J10" i="42" l="1"/>
  <c r="J15" i="42" s="1"/>
  <c r="AS996" i="1"/>
  <c r="AS992" i="1"/>
  <c r="AS744" i="1"/>
  <c r="AS981" i="1"/>
  <c r="AS753" i="1" l="1"/>
  <c r="AS982" i="1"/>
  <c r="AS985" i="1" l="1"/>
  <c r="AS995" i="1" s="1"/>
  <c r="AW109" i="21"/>
  <c r="AR283" i="1"/>
  <c r="AV73" i="21" s="1"/>
  <c r="AV83" i="21" s="1"/>
  <c r="U283" i="1"/>
  <c r="V283" i="1"/>
  <c r="V284" i="1" s="1"/>
  <c r="W283" i="1"/>
  <c r="W284" i="1" s="1"/>
  <c r="Y283" i="1"/>
  <c r="Y73" i="21" s="1"/>
  <c r="Z283" i="1"/>
  <c r="Z73" i="21" s="1"/>
  <c r="AA283" i="1"/>
  <c r="AA73" i="21" s="1"/>
  <c r="AB283" i="1"/>
  <c r="U404" i="1"/>
  <c r="U74" i="21" s="1"/>
  <c r="V404" i="1"/>
  <c r="W404" i="1"/>
  <c r="Y404" i="1"/>
  <c r="Y74" i="21" s="1"/>
  <c r="Z404" i="1"/>
  <c r="AA404" i="1"/>
  <c r="AA74" i="21" s="1"/>
  <c r="AB404" i="1"/>
  <c r="AB74" i="21" s="1"/>
  <c r="U485" i="1"/>
  <c r="U75" i="21" s="1"/>
  <c r="W485" i="1"/>
  <c r="Y485" i="1"/>
  <c r="Y75" i="21" s="1"/>
  <c r="Z485" i="1"/>
  <c r="AB485" i="1"/>
  <c r="AB75" i="21" s="1"/>
  <c r="V485" i="1"/>
  <c r="V487" i="1" s="1"/>
  <c r="V488" i="1" s="1"/>
  <c r="AA485" i="1"/>
  <c r="AR563" i="1"/>
  <c r="V563" i="1"/>
  <c r="V76" i="21" s="1"/>
  <c r="W637" i="1"/>
  <c r="W638" i="1" s="1"/>
  <c r="Y563" i="1"/>
  <c r="Y76" i="21" s="1"/>
  <c r="Z563" i="1"/>
  <c r="AA563" i="1"/>
  <c r="AB563" i="1"/>
  <c r="AB76" i="21" s="1"/>
  <c r="U617" i="1"/>
  <c r="U77" i="21" s="1"/>
  <c r="V617" i="1"/>
  <c r="V77" i="21" s="1"/>
  <c r="AA637" i="1"/>
  <c r="AA638" i="1" s="1"/>
  <c r="AB637" i="1"/>
  <c r="AB638" i="1" s="1"/>
  <c r="W617" i="1"/>
  <c r="W77" i="21" s="1"/>
  <c r="Y617" i="1"/>
  <c r="Y77" i="21" s="1"/>
  <c r="U897" i="1"/>
  <c r="V897" i="1"/>
  <c r="W897" i="1"/>
  <c r="W876" i="1" s="1"/>
  <c r="U285" i="1" l="1"/>
  <c r="U286" i="1" s="1"/>
  <c r="U73" i="21"/>
  <c r="AB86" i="21"/>
  <c r="AB95" i="21"/>
  <c r="Y86" i="21"/>
  <c r="AA76" i="21"/>
  <c r="Z565" i="1"/>
  <c r="Z76" i="21"/>
  <c r="AA75" i="21"/>
  <c r="AB85" i="21"/>
  <c r="AB94" i="21"/>
  <c r="Z75" i="21"/>
  <c r="AA84" i="21"/>
  <c r="Z74" i="21"/>
  <c r="AB84" i="21"/>
  <c r="AB93" i="21"/>
  <c r="Y84" i="21"/>
  <c r="W285" i="1"/>
  <c r="W286" i="1" s="1"/>
  <c r="Z83" i="21"/>
  <c r="AB284" i="1"/>
  <c r="AB73" i="21"/>
  <c r="AB285" i="1"/>
  <c r="AB286" i="1" s="1"/>
  <c r="AA83" i="21"/>
  <c r="Y83" i="21"/>
  <c r="Y285" i="1"/>
  <c r="Y286" i="1" s="1"/>
  <c r="V285" i="1"/>
  <c r="V286" i="1" s="1"/>
  <c r="V73" i="21"/>
  <c r="V83" i="21" s="1"/>
  <c r="AA284" i="1"/>
  <c r="W73" i="21"/>
  <c r="W83" i="21" s="1"/>
  <c r="Z284" i="1"/>
  <c r="U83" i="21"/>
  <c r="U284" i="1"/>
  <c r="Y284" i="1"/>
  <c r="U84" i="21"/>
  <c r="Y93" i="21"/>
  <c r="Y87" i="21"/>
  <c r="Y96" i="21"/>
  <c r="Y85" i="21"/>
  <c r="Y78" i="21"/>
  <c r="U87" i="21"/>
  <c r="U96" i="21"/>
  <c r="W486" i="1"/>
  <c r="W75" i="21"/>
  <c r="W94" i="21" s="1"/>
  <c r="W487" i="1"/>
  <c r="W488" i="1" s="1"/>
  <c r="U486" i="1"/>
  <c r="U94" i="21"/>
  <c r="W87" i="21"/>
  <c r="W96" i="21"/>
  <c r="V96" i="21"/>
  <c r="V87" i="21"/>
  <c r="Y406" i="1"/>
  <c r="AR485" i="1"/>
  <c r="AR486" i="1" s="1"/>
  <c r="BQ489" i="1" s="1"/>
  <c r="U93" i="21"/>
  <c r="W563" i="1"/>
  <c r="W564" i="1" s="1"/>
  <c r="AR905" i="1"/>
  <c r="Y637" i="1"/>
  <c r="AA487" i="1"/>
  <c r="AR902" i="1"/>
  <c r="Z637" i="1"/>
  <c r="Z638" i="1" s="1"/>
  <c r="AR617" i="1"/>
  <c r="V637" i="1"/>
  <c r="V638" i="1" s="1"/>
  <c r="AA486" i="1"/>
  <c r="U637" i="1"/>
  <c r="U638" i="1" s="1"/>
  <c r="V95" i="21"/>
  <c r="V86" i="21"/>
  <c r="V405" i="1"/>
  <c r="V74" i="21"/>
  <c r="V406" i="1"/>
  <c r="V407" i="1" s="1"/>
  <c r="AB564" i="1"/>
  <c r="AB565" i="1"/>
  <c r="AB487" i="1"/>
  <c r="AB488" i="1" s="1"/>
  <c r="AB486" i="1"/>
  <c r="AB406" i="1"/>
  <c r="AB405" i="1"/>
  <c r="AR904" i="1"/>
  <c r="W406" i="1"/>
  <c r="W407" i="1" s="1"/>
  <c r="W405" i="1"/>
  <c r="W74" i="21"/>
  <c r="AA93" i="21" s="1"/>
  <c r="Y565" i="1"/>
  <c r="AA405" i="1"/>
  <c r="V75" i="21"/>
  <c r="AB617" i="1"/>
  <c r="V564" i="1"/>
  <c r="AA617" i="1"/>
  <c r="V486" i="1"/>
  <c r="AA285" i="1"/>
  <c r="Z617" i="1"/>
  <c r="V643" i="1"/>
  <c r="V644" i="1" s="1"/>
  <c r="V565" i="1"/>
  <c r="V566" i="1" s="1"/>
  <c r="AV76" i="21"/>
  <c r="AV92" i="21"/>
  <c r="Y643" i="1"/>
  <c r="Y644" i="1" s="1"/>
  <c r="Y487" i="1"/>
  <c r="Y486" i="1"/>
  <c r="AR564" i="1"/>
  <c r="AR565" i="1"/>
  <c r="AR566" i="1" s="1"/>
  <c r="AR285" i="1"/>
  <c r="AR286" i="1" s="1"/>
  <c r="AR284" i="1"/>
  <c r="U406" i="1"/>
  <c r="U407" i="1" s="1"/>
  <c r="U405" i="1"/>
  <c r="Y405" i="1"/>
  <c r="V876" i="1"/>
  <c r="U487" i="1"/>
  <c r="U488" i="1" s="1"/>
  <c r="AA406" i="1"/>
  <c r="Z405" i="1"/>
  <c r="Z285" i="1"/>
  <c r="U876" i="1"/>
  <c r="Z406" i="1"/>
  <c r="U563" i="1"/>
  <c r="Z486" i="1"/>
  <c r="AA565" i="1"/>
  <c r="Z564" i="1"/>
  <c r="Z487" i="1"/>
  <c r="U643" i="1" l="1"/>
  <c r="U644" i="1" s="1"/>
  <c r="U76" i="21"/>
  <c r="Y95" i="21" s="1"/>
  <c r="U92" i="21"/>
  <c r="Z93" i="21"/>
  <c r="Y92" i="21"/>
  <c r="Y638" i="1"/>
  <c r="AA488" i="1"/>
  <c r="AA92" i="21"/>
  <c r="AA643" i="1"/>
  <c r="AA644" i="1" s="1"/>
  <c r="AA77" i="21"/>
  <c r="AB643" i="1"/>
  <c r="AB644" i="1" s="1"/>
  <c r="AB77" i="21"/>
  <c r="Z643" i="1"/>
  <c r="Z644" i="1" s="1"/>
  <c r="Z77" i="21"/>
  <c r="AA86" i="21"/>
  <c r="Z86" i="21"/>
  <c r="Z95" i="21"/>
  <c r="Z85" i="21"/>
  <c r="Z94" i="21"/>
  <c r="AA85" i="21"/>
  <c r="W92" i="21"/>
  <c r="Z84" i="21"/>
  <c r="Z92" i="21"/>
  <c r="V92" i="21"/>
  <c r="AB83" i="21"/>
  <c r="AB92" i="21"/>
  <c r="AA286" i="1"/>
  <c r="Y94" i="21"/>
  <c r="W85" i="21"/>
  <c r="AA94" i="21"/>
  <c r="Y88" i="21"/>
  <c r="Y79" i="21"/>
  <c r="AR906" i="1"/>
  <c r="W565" i="1"/>
  <c r="W566" i="1" s="1"/>
  <c r="W76" i="21"/>
  <c r="AA95" i="21" s="1"/>
  <c r="AV77" i="21"/>
  <c r="AV96" i="21" s="1"/>
  <c r="AA564" i="1"/>
  <c r="W643" i="1"/>
  <c r="W644" i="1" s="1"/>
  <c r="U85" i="21"/>
  <c r="AR487" i="1"/>
  <c r="AR488" i="1" s="1"/>
  <c r="V94" i="21"/>
  <c r="V85" i="21"/>
  <c r="AB566" i="1"/>
  <c r="AV75" i="21"/>
  <c r="V78" i="21"/>
  <c r="AB407" i="1"/>
  <c r="V84" i="21"/>
  <c r="V93" i="21"/>
  <c r="W84" i="21"/>
  <c r="W93" i="21"/>
  <c r="Z566" i="1"/>
  <c r="AV86" i="21"/>
  <c r="AV95" i="21"/>
  <c r="Y488" i="1"/>
  <c r="Z286" i="1"/>
  <c r="AA407" i="1"/>
  <c r="Y407" i="1"/>
  <c r="AR404" i="1"/>
  <c r="AR903" i="1"/>
  <c r="Z407" i="1"/>
  <c r="Z488" i="1"/>
  <c r="Y564" i="1"/>
  <c r="U565" i="1"/>
  <c r="U564" i="1"/>
  <c r="AA78" i="21" l="1"/>
  <c r="Z78" i="21"/>
  <c r="Z97" i="21" s="1"/>
  <c r="AB78" i="21"/>
  <c r="AB79" i="21" s="1"/>
  <c r="AA566" i="1"/>
  <c r="AA79" i="21"/>
  <c r="Z87" i="21"/>
  <c r="Z96" i="21"/>
  <c r="AB87" i="21"/>
  <c r="AB96" i="21"/>
  <c r="AA87" i="21"/>
  <c r="AA96" i="21"/>
  <c r="V97" i="21"/>
  <c r="V79" i="21"/>
  <c r="V88" i="21"/>
  <c r="AV87" i="21"/>
  <c r="W86" i="21"/>
  <c r="W95" i="21"/>
  <c r="W78" i="21"/>
  <c r="AA97" i="21" s="1"/>
  <c r="AV85" i="21"/>
  <c r="AV94" i="21"/>
  <c r="AR406" i="1"/>
  <c r="AR407" i="1" s="1"/>
  <c r="AR405" i="1"/>
  <c r="AV74" i="21"/>
  <c r="AR643" i="1"/>
  <c r="AR644" i="1" s="1"/>
  <c r="AR907" i="1"/>
  <c r="U566" i="1"/>
  <c r="Y566" i="1"/>
  <c r="U95" i="21"/>
  <c r="U86" i="21"/>
  <c r="U78" i="21"/>
  <c r="U79" i="21" s="1"/>
  <c r="Y97" i="21" l="1"/>
  <c r="Z88" i="21"/>
  <c r="AB97" i="21"/>
  <c r="AB88" i="21"/>
  <c r="Z79" i="21"/>
  <c r="AA88" i="21"/>
  <c r="W79" i="21"/>
  <c r="W88" i="21"/>
  <c r="W97" i="21"/>
  <c r="AV84" i="21"/>
  <c r="AV93" i="21"/>
  <c r="AV78" i="21"/>
  <c r="U88" i="21"/>
  <c r="U97" i="21"/>
  <c r="AV97" i="21" l="1"/>
  <c r="AV79" i="21"/>
  <c r="AV88" i="21"/>
  <c r="Y888" i="1" l="1"/>
  <c r="Z888" i="1"/>
  <c r="AA888" i="1"/>
  <c r="AB888" i="1"/>
  <c r="AC888" i="1"/>
  <c r="Y895" i="1"/>
  <c r="Z895" i="1"/>
  <c r="AA895" i="1"/>
  <c r="AB895" i="1"/>
  <c r="AC895" i="1"/>
  <c r="AD888" i="1" l="1"/>
  <c r="AE888" i="1" l="1"/>
  <c r="AF888" i="1" l="1"/>
  <c r="AT751" i="1" l="1"/>
  <c r="AT796" i="1" s="1"/>
  <c r="AU887" i="1"/>
  <c r="AT895" i="1" l="1"/>
  <c r="AU888" i="1"/>
  <c r="AV887" i="1"/>
  <c r="AS895" i="1"/>
  <c r="AW887" i="1" l="1"/>
  <c r="AV888" i="1"/>
  <c r="AW888" i="1" l="1"/>
  <c r="AX887" i="1"/>
  <c r="AX888" i="1" s="1"/>
  <c r="AS119" i="1"/>
  <c r="AE22" i="17" s="1"/>
  <c r="AS899" i="1"/>
  <c r="H9" i="12" s="1"/>
  <c r="AS932" i="1"/>
  <c r="AS909" i="1" l="1"/>
  <c r="AS911" i="1" s="1"/>
  <c r="AE33" i="17"/>
  <c r="H8" i="12"/>
  <c r="H10" i="12" s="1"/>
  <c r="H12" i="12" s="1"/>
  <c r="I144" i="3"/>
  <c r="I145" i="3" s="1"/>
  <c r="H14" i="12"/>
  <c r="AS952" i="1"/>
  <c r="AT120" i="1"/>
  <c r="AS902" i="1"/>
  <c r="AS903" i="1"/>
  <c r="AS904" i="1"/>
  <c r="AS905" i="1"/>
  <c r="AS906" i="1"/>
  <c r="AS120" i="1"/>
  <c r="AS987" i="1"/>
  <c r="AS638" i="1"/>
  <c r="J14" i="13"/>
  <c r="AS485" i="1"/>
  <c r="AS898" i="1"/>
  <c r="AG898" i="1" s="1"/>
  <c r="AG897" i="1" s="1"/>
  <c r="AS121" i="1"/>
  <c r="AE23" i="17" s="1"/>
  <c r="AG876" i="1" l="1"/>
  <c r="AU897" i="1"/>
  <c r="H17" i="12"/>
  <c r="AC898" i="1"/>
  <c r="AD898" i="1"/>
  <c r="AD897" i="1" s="1"/>
  <c r="AD876" i="1" s="1"/>
  <c r="AE898" i="1"/>
  <c r="AE897" i="1" s="1"/>
  <c r="AE876" i="1" s="1"/>
  <c r="AF898" i="1"/>
  <c r="AF897" i="1" s="1"/>
  <c r="AF876" i="1" s="1"/>
  <c r="AS994" i="1"/>
  <c r="AS991" i="1"/>
  <c r="AS990" i="1"/>
  <c r="AS955" i="1"/>
  <c r="AS907" i="1"/>
  <c r="AS122" i="1"/>
  <c r="AT122" i="1"/>
  <c r="AS487" i="1"/>
  <c r="AS486" i="1"/>
  <c r="BR489" i="1" s="1"/>
  <c r="AW75" i="21"/>
  <c r="Z898" i="1"/>
  <c r="Z897" i="1" s="1"/>
  <c r="AA898" i="1"/>
  <c r="AA897" i="1" s="1"/>
  <c r="AB898" i="1"/>
  <c r="AB897" i="1" s="1"/>
  <c r="Y898" i="1"/>
  <c r="J22" i="13"/>
  <c r="AU876" i="1" l="1"/>
  <c r="AU177" i="11" s="1"/>
  <c r="AU899" i="1"/>
  <c r="J9" i="12" s="1"/>
  <c r="J14" i="12" s="1"/>
  <c r="H18" i="12"/>
  <c r="AC897" i="1"/>
  <c r="AI892" i="1"/>
  <c r="AH892" i="1"/>
  <c r="AJ892" i="1"/>
  <c r="AT954" i="1"/>
  <c r="AS957" i="1"/>
  <c r="AS4" i="1" s="1"/>
  <c r="Y897" i="1"/>
  <c r="AB876" i="1"/>
  <c r="AW85" i="21"/>
  <c r="AW94" i="21"/>
  <c r="Z876" i="1"/>
  <c r="AS488" i="1"/>
  <c r="AA876" i="1"/>
  <c r="AC876" i="1" l="1"/>
  <c r="AI899" i="1"/>
  <c r="AI917" i="1" s="1"/>
  <c r="AI119" i="1" s="1"/>
  <c r="AJ899" i="1"/>
  <c r="AJ917" i="1" s="1"/>
  <c r="AJ119" i="1" s="1"/>
  <c r="AH899" i="1"/>
  <c r="AH917" i="1" s="1"/>
  <c r="AH119" i="1" s="1"/>
  <c r="Y876" i="1"/>
  <c r="V25" i="9"/>
  <c r="AS373" i="1"/>
  <c r="AI987" i="1" l="1"/>
  <c r="AI121" i="1"/>
  <c r="AI122" i="1" s="1"/>
  <c r="AI120" i="1"/>
  <c r="AH120" i="1"/>
  <c r="AH121" i="1"/>
  <c r="AH122" i="1" s="1"/>
  <c r="AH987" i="1"/>
  <c r="AJ121" i="1"/>
  <c r="AJ122" i="1" s="1"/>
  <c r="AJ987" i="1"/>
  <c r="AJ120" i="1"/>
  <c r="AS126" i="1"/>
  <c r="AS125" i="1"/>
  <c r="J18" i="13"/>
  <c r="AH865" i="1" l="1"/>
  <c r="AH891" i="1"/>
  <c r="J26" i="13"/>
  <c r="AU917" i="1" l="1"/>
  <c r="AU119" i="1" s="1"/>
  <c r="F11" i="32" s="1"/>
  <c r="F19" i="32" s="1"/>
  <c r="AH747" i="1"/>
  <c r="AH748" i="1" s="1"/>
  <c r="AH791" i="1" s="1"/>
  <c r="AH793" i="1" s="1"/>
  <c r="AI865" i="1"/>
  <c r="AH866" i="1"/>
  <c r="AH893" i="1"/>
  <c r="V182" i="11"/>
  <c r="W182" i="11"/>
  <c r="X182" i="11"/>
  <c r="AR182" i="11"/>
  <c r="AH868" i="1" l="1"/>
  <c r="J8" i="12"/>
  <c r="J10" i="12" s="1"/>
  <c r="AU121" i="1"/>
  <c r="AU122" i="1" s="1"/>
  <c r="AU987" i="1"/>
  <c r="AU120" i="1"/>
  <c r="AI866" i="1"/>
  <c r="AI747" i="1"/>
  <c r="AI748" i="1" s="1"/>
  <c r="AI791" i="1" s="1"/>
  <c r="AI793" i="1" s="1"/>
  <c r="AJ865" i="1"/>
  <c r="AU865" i="1" s="1"/>
  <c r="AU866" i="1" s="1"/>
  <c r="AI891" i="1"/>
  <c r="AH888" i="1"/>
  <c r="AT944" i="1"/>
  <c r="AT129" i="1" s="1"/>
  <c r="AS35" i="1"/>
  <c r="AT35" i="1"/>
  <c r="AS36" i="1"/>
  <c r="AT36" i="1"/>
  <c r="AS43" i="1"/>
  <c r="AS47" i="1" l="1"/>
  <c r="AS913" i="1"/>
  <c r="AH751" i="1"/>
  <c r="AH796" i="1" s="1"/>
  <c r="AI893" i="1"/>
  <c r="AJ747" i="1"/>
  <c r="AJ866" i="1"/>
  <c r="AJ988" i="1"/>
  <c r="AH988" i="1"/>
  <c r="AI988" i="1"/>
  <c r="AI868" i="1"/>
  <c r="AS50" i="1"/>
  <c r="AS44" i="1"/>
  <c r="AJ891" i="1" l="1"/>
  <c r="AI888" i="1"/>
  <c r="AH895" i="1"/>
  <c r="AU747" i="1"/>
  <c r="AU748" i="1" s="1"/>
  <c r="AU791" i="1" s="1"/>
  <c r="AU793" i="1" s="1"/>
  <c r="AJ748" i="1"/>
  <c r="AJ791" i="1" s="1"/>
  <c r="AJ793" i="1" s="1"/>
  <c r="AS55" i="1"/>
  <c r="AS52" i="1"/>
  <c r="AS51" i="1"/>
  <c r="AU868" i="1" l="1"/>
  <c r="AU97" i="1"/>
  <c r="AI751" i="1"/>
  <c r="AI796" i="1" s="1"/>
  <c r="AJ893" i="1"/>
  <c r="AJ868" i="1"/>
  <c r="AT100" i="1"/>
  <c r="AT98" i="1"/>
  <c r="AS103" i="1"/>
  <c r="AS100" i="1"/>
  <c r="AS98" i="1"/>
  <c r="AS97" i="1"/>
  <c r="AT97" i="1"/>
  <c r="AI895" i="1" l="1"/>
  <c r="AU893" i="1"/>
  <c r="AJ888" i="1"/>
  <c r="AJ751" i="1" l="1"/>
  <c r="AJ796" i="1" s="1"/>
  <c r="AV891" i="1"/>
  <c r="AV893" i="1" s="1"/>
  <c r="AV751" i="1" l="1"/>
  <c r="AV796" i="1" s="1"/>
  <c r="AW891" i="1"/>
  <c r="AW893" i="1" s="1"/>
  <c r="AU751" i="1"/>
  <c r="AU796" i="1" s="1"/>
  <c r="AJ895" i="1"/>
  <c r="AS140" i="11"/>
  <c r="AT140" i="11"/>
  <c r="AS135" i="11"/>
  <c r="AT135" i="11"/>
  <c r="AS35" i="11"/>
  <c r="AT35" i="11"/>
  <c r="AS281" i="1"/>
  <c r="AT281" i="1"/>
  <c r="AS283" i="1"/>
  <c r="AW35" i="21"/>
  <c r="AX35" i="21"/>
  <c r="AW55" i="21" l="1"/>
  <c r="AX46" i="21"/>
  <c r="O8" i="16" s="1"/>
  <c r="BC35" i="21"/>
  <c r="AU895" i="1"/>
  <c r="AV895" i="1"/>
  <c r="AW751" i="1"/>
  <c r="AW796" i="1" s="1"/>
  <c r="AX891" i="1"/>
  <c r="AX893" i="1" s="1"/>
  <c r="AW46" i="21"/>
  <c r="BF46" i="21" s="1"/>
  <c r="AX55" i="21"/>
  <c r="AS285" i="1"/>
  <c r="AS286" i="1" s="1"/>
  <c r="AW73" i="21"/>
  <c r="AS284" i="1"/>
  <c r="AY55" i="21"/>
  <c r="AS62" i="11"/>
  <c r="AT62" i="11"/>
  <c r="AS383" i="1"/>
  <c r="AT383" i="1"/>
  <c r="AS404" i="1"/>
  <c r="AS406" i="1" s="1"/>
  <c r="AW36" i="21"/>
  <c r="AX36" i="21"/>
  <c r="AX44" i="21" s="1"/>
  <c r="AW56" i="21" l="1"/>
  <c r="AW44" i="21"/>
  <c r="BF44" i="21" s="1"/>
  <c r="AX47" i="21"/>
  <c r="O9" i="16" s="1"/>
  <c r="BC36" i="21"/>
  <c r="AW895" i="1"/>
  <c r="AX751" i="1"/>
  <c r="AX796" i="1" s="1"/>
  <c r="AX56" i="21"/>
  <c r="AS405" i="1"/>
  <c r="AW47" i="21"/>
  <c r="BF47" i="21" s="1"/>
  <c r="AW74" i="21"/>
  <c r="AW84" i="21" s="1"/>
  <c r="AY56" i="21"/>
  <c r="AW92" i="21"/>
  <c r="AW83" i="21"/>
  <c r="AS407" i="1"/>
  <c r="AT514" i="1"/>
  <c r="AY13" i="21"/>
  <c r="AX13" i="21"/>
  <c r="BC13" i="21" l="1"/>
  <c r="AX15" i="21"/>
  <c r="AX24" i="21" s="1"/>
  <c r="AX123" i="21"/>
  <c r="AX895" i="1"/>
  <c r="AT252" i="1"/>
  <c r="AU620" i="1"/>
  <c r="AY22" i="21"/>
  <c r="AY15" i="21"/>
  <c r="AY31" i="21"/>
  <c r="AV519" i="1"/>
  <c r="AV518" i="1"/>
  <c r="AV517" i="1"/>
  <c r="AV520" i="1"/>
  <c r="AW93" i="21"/>
  <c r="AY30" i="21"/>
  <c r="AY29" i="21"/>
  <c r="AY27" i="21"/>
  <c r="AX30" i="21"/>
  <c r="AY28" i="21"/>
  <c r="AT621" i="1"/>
  <c r="AT620" i="1"/>
  <c r="AX29" i="21"/>
  <c r="AX22" i="21"/>
  <c r="AX28" i="21"/>
  <c r="AX31" i="21"/>
  <c r="AX27" i="21"/>
  <c r="AT515" i="1"/>
  <c r="AT435" i="1"/>
  <c r="AT354" i="1"/>
  <c r="AY24" i="21" l="1"/>
  <c r="AX16" i="21"/>
  <c r="BJ351" i="1"/>
  <c r="BJ432" i="1"/>
  <c r="BC15" i="21"/>
  <c r="BJ249" i="1"/>
  <c r="AV513" i="1"/>
  <c r="AY16" i="21"/>
  <c r="AY32" i="21"/>
  <c r="AX32" i="21"/>
  <c r="AY38" i="21"/>
  <c r="BF38" i="21" s="1"/>
  <c r="AZ13" i="21" l="1"/>
  <c r="AZ22" i="21" s="1"/>
  <c r="AV580" i="1"/>
  <c r="AW518" i="1"/>
  <c r="AW517" i="1"/>
  <c r="AW519" i="1"/>
  <c r="AW520" i="1"/>
  <c r="AV514" i="1"/>
  <c r="BQ540" i="1" s="1"/>
  <c r="AV539" i="1"/>
  <c r="AZ38" i="21" s="1"/>
  <c r="AV11" i="1"/>
  <c r="AV619" i="1"/>
  <c r="AV515" i="1" s="1"/>
  <c r="AV522" i="1"/>
  <c r="AV870" i="1"/>
  <c r="AY49" i="21"/>
  <c r="AY39" i="21"/>
  <c r="AY40" i="21" s="1"/>
  <c r="AY42" i="21" s="1"/>
  <c r="AZ15" i="21" l="1"/>
  <c r="AZ24" i="21" s="1"/>
  <c r="AZ27" i="21"/>
  <c r="AZ28" i="21"/>
  <c r="AZ29" i="21"/>
  <c r="AZ30" i="21"/>
  <c r="AZ31" i="21"/>
  <c r="J10" i="32"/>
  <c r="J24" i="32" s="1"/>
  <c r="J33" i="32" s="1"/>
  <c r="M9" i="42"/>
  <c r="AZ16" i="21"/>
  <c r="AZ49" i="21"/>
  <c r="AZ58" i="21"/>
  <c r="AV540" i="1"/>
  <c r="AV530" i="1"/>
  <c r="AV252" i="1"/>
  <c r="AV354" i="1"/>
  <c r="AV621" i="1"/>
  <c r="AV435" i="1"/>
  <c r="AV620" i="1"/>
  <c r="AV73" i="1"/>
  <c r="AV152" i="1"/>
  <c r="AV742" i="1"/>
  <c r="AV792" i="1" s="1"/>
  <c r="AV138" i="1"/>
  <c r="AV132" i="1" s="1"/>
  <c r="AV609" i="1"/>
  <c r="AZ39" i="21" s="1"/>
  <c r="AZ40" i="21" s="1"/>
  <c r="AV739" i="1"/>
  <c r="AV145" i="1"/>
  <c r="AV934" i="1"/>
  <c r="AV12" i="1"/>
  <c r="AW513" i="1"/>
  <c r="AW580" i="1" s="1"/>
  <c r="AV872" i="1"/>
  <c r="AV897" i="1" s="1"/>
  <c r="AY65" i="21"/>
  <c r="AY51" i="21"/>
  <c r="AY66" i="21"/>
  <c r="AY64" i="21"/>
  <c r="AY68" i="21"/>
  <c r="AY50" i="21"/>
  <c r="AY67" i="21"/>
  <c r="AV875" i="1" l="1"/>
  <c r="AZ32" i="21"/>
  <c r="AV910" i="1"/>
  <c r="J16" i="32"/>
  <c r="J30" i="32" s="1"/>
  <c r="J39" i="32" s="1"/>
  <c r="AV931" i="1"/>
  <c r="AV926" i="1"/>
  <c r="AZ51" i="21"/>
  <c r="AZ60" i="21"/>
  <c r="AZ64" i="21"/>
  <c r="AZ65" i="21"/>
  <c r="AZ66" i="21"/>
  <c r="AW522" i="1"/>
  <c r="AX519" i="1"/>
  <c r="BA13" i="21"/>
  <c r="AX518" i="1"/>
  <c r="AX520" i="1"/>
  <c r="AX513" i="1" s="1"/>
  <c r="AX580" i="1" s="1"/>
  <c r="AX517" i="1"/>
  <c r="AZ67" i="21"/>
  <c r="AZ50" i="21"/>
  <c r="AZ59" i="21"/>
  <c r="AZ68" i="21"/>
  <c r="AV939" i="1"/>
  <c r="AV873" i="1"/>
  <c r="AW870" i="1" s="1"/>
  <c r="AV864" i="1"/>
  <c r="AW872" i="1" s="1"/>
  <c r="AW897" i="1" s="1"/>
  <c r="AW899" i="1" s="1"/>
  <c r="L9" i="12" s="1"/>
  <c r="L14" i="12" s="1"/>
  <c r="AV628" i="1"/>
  <c r="AV596" i="1"/>
  <c r="AV623" i="1" s="1"/>
  <c r="AV610" i="1"/>
  <c r="AV76" i="1"/>
  <c r="AV80" i="1" s="1"/>
  <c r="AV82" i="1" s="1"/>
  <c r="AV14" i="1"/>
  <c r="AV139" i="1"/>
  <c r="AV149" i="1"/>
  <c r="AV26" i="1" s="1"/>
  <c r="AV89" i="1"/>
  <c r="AV153" i="1"/>
  <c r="AV531" i="1"/>
  <c r="AV532" i="1"/>
  <c r="AV844" i="1"/>
  <c r="AV74" i="1"/>
  <c r="AW514" i="1"/>
  <c r="BR540" i="1" s="1"/>
  <c r="AW539" i="1"/>
  <c r="BA38" i="21" s="1"/>
  <c r="AW11" i="1"/>
  <c r="AW619" i="1"/>
  <c r="AW515" i="1" s="1"/>
  <c r="AV142" i="1"/>
  <c r="AV22" i="1" s="1"/>
  <c r="AV85" i="1"/>
  <c r="AV146" i="1"/>
  <c r="AV899" i="1"/>
  <c r="K9" i="12" s="1"/>
  <c r="K14" i="12" s="1"/>
  <c r="AV865" i="1"/>
  <c r="AY69" i="21"/>
  <c r="N10" i="32" l="1"/>
  <c r="N24" i="32" s="1"/>
  <c r="N33" i="32" s="1"/>
  <c r="N9" i="42"/>
  <c r="BB13" i="21"/>
  <c r="BG13" i="21" s="1"/>
  <c r="AX539" i="1"/>
  <c r="AX514" i="1"/>
  <c r="BS540" i="1" s="1"/>
  <c r="AX11" i="1"/>
  <c r="AX619" i="1"/>
  <c r="AZ69" i="21"/>
  <c r="AV746" i="1"/>
  <c r="AX522" i="1"/>
  <c r="BA49" i="21"/>
  <c r="BA58" i="21"/>
  <c r="BA22" i="21"/>
  <c r="BA30" i="21"/>
  <c r="BA27" i="21"/>
  <c r="BA15" i="21"/>
  <c r="BA29" i="21"/>
  <c r="BA28" i="21"/>
  <c r="BA31" i="21"/>
  <c r="AV96" i="1"/>
  <c r="AV24" i="1"/>
  <c r="AV23" i="1"/>
  <c r="AV28" i="1"/>
  <c r="AV27" i="1"/>
  <c r="AW540" i="1"/>
  <c r="AW530" i="1"/>
  <c r="AV741" i="1"/>
  <c r="AV755" i="1"/>
  <c r="AV16" i="1"/>
  <c r="AV757" i="1"/>
  <c r="AV930" i="1" s="1"/>
  <c r="AV18" i="1"/>
  <c r="AV34" i="1" s="1"/>
  <c r="AV15" i="1"/>
  <c r="AV81" i="1"/>
  <c r="AV78" i="1"/>
  <c r="AV77" i="1"/>
  <c r="AV87" i="1"/>
  <c r="AV86" i="1"/>
  <c r="AW12" i="1"/>
  <c r="AW739" i="1"/>
  <c r="AW742" i="1"/>
  <c r="AW792" i="1" s="1"/>
  <c r="AW609" i="1"/>
  <c r="BA39" i="21" s="1"/>
  <c r="BA40" i="21" s="1"/>
  <c r="AW145" i="1"/>
  <c r="AW152" i="1"/>
  <c r="AW73" i="1"/>
  <c r="AW138" i="1"/>
  <c r="AW132" i="1" s="1"/>
  <c r="AW873" i="1"/>
  <c r="AX870" i="1" s="1"/>
  <c r="AV91" i="1"/>
  <c r="AV90" i="1"/>
  <c r="AV624" i="1"/>
  <c r="AV625" i="1"/>
  <c r="AW354" i="1"/>
  <c r="AW621" i="1"/>
  <c r="AW620" i="1"/>
  <c r="AW252" i="1"/>
  <c r="AW435" i="1"/>
  <c r="AV986" i="1"/>
  <c r="AV630" i="1"/>
  <c r="AV629" i="1"/>
  <c r="AV747" i="1"/>
  <c r="AW865" i="1"/>
  <c r="AV866" i="1"/>
  <c r="AW917" i="1"/>
  <c r="AV83" i="1"/>
  <c r="AV917" i="1"/>
  <c r="AV846" i="1" l="1"/>
  <c r="AV762" i="1"/>
  <c r="M8" i="42"/>
  <c r="M14" i="42" s="1"/>
  <c r="AV825" i="1"/>
  <c r="AV170" i="1"/>
  <c r="AV187" i="1" s="1"/>
  <c r="AV188" i="1" s="1"/>
  <c r="R10" i="32"/>
  <c r="R24" i="32" s="1"/>
  <c r="R33" i="32" s="1"/>
  <c r="O9" i="42"/>
  <c r="AV631" i="1"/>
  <c r="J12" i="32"/>
  <c r="AV790" i="1"/>
  <c r="AW931" i="1"/>
  <c r="AW926" i="1"/>
  <c r="AV927" i="1"/>
  <c r="AV97" i="1"/>
  <c r="BA32" i="21"/>
  <c r="BA64" i="21"/>
  <c r="BA60" i="21"/>
  <c r="BA51" i="21"/>
  <c r="BA65" i="21"/>
  <c r="BA66" i="21"/>
  <c r="BA67" i="21"/>
  <c r="AW747" i="1"/>
  <c r="AX435" i="1"/>
  <c r="AX620" i="1"/>
  <c r="AX621" i="1"/>
  <c r="AX252" i="1"/>
  <c r="AX354" i="1"/>
  <c r="AV98" i="1"/>
  <c r="AZ42" i="21"/>
  <c r="AX739" i="1"/>
  <c r="AX152" i="1"/>
  <c r="AX609" i="1"/>
  <c r="AX12" i="1"/>
  <c r="AX73" i="1"/>
  <c r="AX934" i="1"/>
  <c r="AX145" i="1"/>
  <c r="AX138" i="1"/>
  <c r="AX132" i="1" s="1"/>
  <c r="AX742" i="1"/>
  <c r="AX792" i="1" s="1"/>
  <c r="AX515" i="1"/>
  <c r="AV748" i="1"/>
  <c r="AV791" i="1" s="1"/>
  <c r="BA50" i="21"/>
  <c r="BA68" i="21"/>
  <c r="BA59" i="21"/>
  <c r="BB38" i="21"/>
  <c r="AX530" i="1"/>
  <c r="AX540" i="1"/>
  <c r="BA16" i="21"/>
  <c r="BA24" i="21"/>
  <c r="BB22" i="21"/>
  <c r="BB30" i="21"/>
  <c r="BB15" i="21"/>
  <c r="BG15" i="21" s="1"/>
  <c r="BB31" i="21"/>
  <c r="BB29" i="21"/>
  <c r="BB28" i="21"/>
  <c r="BB27" i="21"/>
  <c r="AV626" i="1"/>
  <c r="AV35" i="1"/>
  <c r="AW844" i="1"/>
  <c r="AV36" i="1"/>
  <c r="AW153" i="1"/>
  <c r="AW89" i="1"/>
  <c r="AW149" i="1"/>
  <c r="AW26" i="1" s="1"/>
  <c r="AW146" i="1"/>
  <c r="AW85" i="1"/>
  <c r="AW142" i="1"/>
  <c r="AW22" i="1" s="1"/>
  <c r="AW628" i="1"/>
  <c r="AW596" i="1"/>
  <c r="AW623" i="1" s="1"/>
  <c r="AW610" i="1"/>
  <c r="AV928" i="1"/>
  <c r="AW934" i="1"/>
  <c r="AW864" i="1"/>
  <c r="AW139" i="1"/>
  <c r="AW76" i="1"/>
  <c r="AW80" i="1" s="1"/>
  <c r="AW14" i="1"/>
  <c r="AV20" i="1"/>
  <c r="AV19" i="1"/>
  <c r="AW531" i="1"/>
  <c r="AW532" i="1"/>
  <c r="AW74" i="1"/>
  <c r="AV845" i="1"/>
  <c r="AV637" i="1"/>
  <c r="AV638" i="1" s="1"/>
  <c r="AW637" i="1"/>
  <c r="AW638" i="1" s="1"/>
  <c r="AW875" i="1" l="1"/>
  <c r="AX875" i="1"/>
  <c r="AV189" i="1"/>
  <c r="AV190" i="1" s="1"/>
  <c r="AV100" i="1"/>
  <c r="AV119" i="1"/>
  <c r="J11" i="32" s="1"/>
  <c r="J19" i="32" s="1"/>
  <c r="J20" i="32"/>
  <c r="AX910" i="1"/>
  <c r="R16" i="32"/>
  <c r="R30" i="32" s="1"/>
  <c r="R39" i="32" s="1"/>
  <c r="AW910" i="1"/>
  <c r="N16" i="32"/>
  <c r="N30" i="32" s="1"/>
  <c r="N39" i="32" s="1"/>
  <c r="K15" i="12"/>
  <c r="AV793" i="1"/>
  <c r="AV868" i="1"/>
  <c r="AX931" i="1"/>
  <c r="AX926" i="1"/>
  <c r="AX844" i="1"/>
  <c r="BA69" i="21"/>
  <c r="AX531" i="1"/>
  <c r="AX532" i="1"/>
  <c r="BB32" i="21"/>
  <c r="BB49" i="21"/>
  <c r="BB58" i="21"/>
  <c r="BB39" i="21"/>
  <c r="AX596" i="1"/>
  <c r="AX623" i="1" s="1"/>
  <c r="AX610" i="1"/>
  <c r="AX628" i="1"/>
  <c r="AX74" i="1"/>
  <c r="AW96" i="1"/>
  <c r="AX89" i="1"/>
  <c r="AX153" i="1"/>
  <c r="AX149" i="1"/>
  <c r="AX26" i="1" s="1"/>
  <c r="AX14" i="1"/>
  <c r="AX76" i="1"/>
  <c r="AX80" i="1" s="1"/>
  <c r="AX139" i="1"/>
  <c r="AX872" i="1"/>
  <c r="AX864" i="1"/>
  <c r="AX142" i="1"/>
  <c r="AX22" i="1" s="1"/>
  <c r="AX85" i="1"/>
  <c r="AX146" i="1"/>
  <c r="AW939" i="1"/>
  <c r="BB24" i="21"/>
  <c r="BB16" i="21"/>
  <c r="AX939" i="1"/>
  <c r="AW28" i="1"/>
  <c r="AW27" i="1"/>
  <c r="AW24" i="1"/>
  <c r="AW23" i="1"/>
  <c r="AW625" i="1"/>
  <c r="AW630" i="1"/>
  <c r="AW986" i="1"/>
  <c r="AW87" i="1"/>
  <c r="AW86" i="1"/>
  <c r="AW755" i="1"/>
  <c r="AW757" i="1"/>
  <c r="AW930" i="1" s="1"/>
  <c r="AW15" i="1"/>
  <c r="AW16" i="1"/>
  <c r="AW741" i="1"/>
  <c r="AW18" i="1"/>
  <c r="AW34" i="1" s="1"/>
  <c r="AW82" i="1"/>
  <c r="AW83" i="1" s="1"/>
  <c r="AW81" i="1"/>
  <c r="AW78" i="1"/>
  <c r="AW77" i="1"/>
  <c r="AW91" i="1"/>
  <c r="AW90" i="1"/>
  <c r="AW746" i="1"/>
  <c r="AW748" i="1" s="1"/>
  <c r="AW791" i="1" s="1"/>
  <c r="AW866" i="1"/>
  <c r="AV120" i="1" l="1"/>
  <c r="AV121" i="1"/>
  <c r="AV987" i="1"/>
  <c r="K8" i="12"/>
  <c r="K10" i="12" s="1"/>
  <c r="AW762" i="1"/>
  <c r="N8" i="42"/>
  <c r="N14" i="42" s="1"/>
  <c r="AW825" i="1"/>
  <c r="BA42" i="21"/>
  <c r="N12" i="32"/>
  <c r="AW790" i="1"/>
  <c r="AW793" i="1" s="1"/>
  <c r="AW927" i="1"/>
  <c r="AW98" i="1"/>
  <c r="AW97" i="1"/>
  <c r="AW631" i="1"/>
  <c r="AX96" i="1"/>
  <c r="AX82" i="1"/>
  <c r="AX83" i="1" s="1"/>
  <c r="AX81" i="1"/>
  <c r="AX86" i="1"/>
  <c r="AX87" i="1"/>
  <c r="AX24" i="1"/>
  <c r="AX23" i="1"/>
  <c r="AX78" i="1"/>
  <c r="AX77" i="1"/>
  <c r="AX630" i="1"/>
  <c r="AX629" i="1"/>
  <c r="AX986" i="1"/>
  <c r="AX746" i="1"/>
  <c r="AX757" i="1"/>
  <c r="AX930" i="1" s="1"/>
  <c r="AX16" i="1"/>
  <c r="AX15" i="1"/>
  <c r="AX755" i="1"/>
  <c r="AX741" i="1"/>
  <c r="AX18" i="1"/>
  <c r="AX897" i="1"/>
  <c r="AX873" i="1"/>
  <c r="AX27" i="1"/>
  <c r="AX28" i="1"/>
  <c r="AX625" i="1"/>
  <c r="AX624" i="1"/>
  <c r="AX91" i="1"/>
  <c r="AX90" i="1"/>
  <c r="BB50" i="21"/>
  <c r="BB59" i="21"/>
  <c r="BB40" i="21"/>
  <c r="AW845" i="1"/>
  <c r="AW868" i="1"/>
  <c r="AW19" i="1"/>
  <c r="AW20" i="1"/>
  <c r="AW35" i="1"/>
  <c r="AW36" i="1"/>
  <c r="AW170" i="1"/>
  <c r="AW187" i="1" s="1"/>
  <c r="AW626" i="1"/>
  <c r="AW846" i="1"/>
  <c r="AW928" i="1"/>
  <c r="AV122" i="1"/>
  <c r="AX762" i="1" l="1"/>
  <c r="N20" i="32"/>
  <c r="O8" i="42"/>
  <c r="O14" i="42" s="1"/>
  <c r="AX825" i="1"/>
  <c r="AX790" i="1"/>
  <c r="AX631" i="1"/>
  <c r="R12" i="32"/>
  <c r="L15" i="12"/>
  <c r="AX927" i="1"/>
  <c r="AX845" i="1"/>
  <c r="AX19" i="1"/>
  <c r="AX20" i="1"/>
  <c r="AX34" i="1"/>
  <c r="AX928" i="1"/>
  <c r="BB42" i="21"/>
  <c r="BB60" i="21"/>
  <c r="BB51" i="21"/>
  <c r="BB64" i="21"/>
  <c r="BB65" i="21"/>
  <c r="BB66" i="21"/>
  <c r="BB67" i="21"/>
  <c r="BB68" i="21"/>
  <c r="AX846" i="1"/>
  <c r="AX899" i="1"/>
  <c r="AX865" i="1"/>
  <c r="AX97" i="1"/>
  <c r="AX98" i="1"/>
  <c r="AW188" i="1"/>
  <c r="AW189" i="1"/>
  <c r="AW190" i="1" s="1"/>
  <c r="AW119" i="1"/>
  <c r="AW100" i="1"/>
  <c r="R26" i="32" l="1"/>
  <c r="R35" i="32" s="1"/>
  <c r="R23" i="32"/>
  <c r="L8" i="12"/>
  <c r="L10" i="12" s="1"/>
  <c r="N11" i="32"/>
  <c r="N19" i="32" s="1"/>
  <c r="M15" i="12"/>
  <c r="AX747" i="1"/>
  <c r="AX748" i="1" s="1"/>
  <c r="AX791" i="1" s="1"/>
  <c r="AX793" i="1" s="1"/>
  <c r="AX866" i="1"/>
  <c r="M9" i="12"/>
  <c r="M14" i="12" s="1"/>
  <c r="AX917" i="1"/>
  <c r="AX637" i="1" s="1"/>
  <c r="AX638" i="1" s="1"/>
  <c r="AX36" i="1"/>
  <c r="AX170" i="1"/>
  <c r="AX187" i="1" s="1"/>
  <c r="AX35" i="1"/>
  <c r="AX626" i="1"/>
  <c r="BB69" i="21"/>
  <c r="AW987" i="1"/>
  <c r="AW121" i="1"/>
  <c r="AW122" i="1" s="1"/>
  <c r="AW120" i="1"/>
  <c r="AT96" i="11"/>
  <c r="AT101" i="11"/>
  <c r="AT106" i="11"/>
  <c r="AT522" i="1"/>
  <c r="AT528" i="1"/>
  <c r="AT531" i="1"/>
  <c r="AT532" i="1"/>
  <c r="AS111" i="11"/>
  <c r="AT111" i="11"/>
  <c r="AS563" i="1"/>
  <c r="AS565" i="1" s="1"/>
  <c r="AW38" i="21"/>
  <c r="AX38" i="21"/>
  <c r="AW49" i="21" l="1"/>
  <c r="BF49" i="21" s="1"/>
  <c r="AX49" i="21"/>
  <c r="O11" i="16" s="1"/>
  <c r="BC38" i="21"/>
  <c r="AX868" i="1"/>
  <c r="AX188" i="1"/>
  <c r="AX189" i="1"/>
  <c r="AX190" i="1" s="1"/>
  <c r="AX119" i="1"/>
  <c r="R11" i="32" s="1"/>
  <c r="R25" i="32" s="1"/>
  <c r="R34" i="32" s="1"/>
  <c r="AX100" i="1"/>
  <c r="AY58" i="21"/>
  <c r="AW76" i="21"/>
  <c r="AW86" i="21" s="1"/>
  <c r="AX58" i="21"/>
  <c r="AW58" i="21"/>
  <c r="AS566" i="1"/>
  <c r="AS564" i="1"/>
  <c r="AN609" i="1"/>
  <c r="AN611" i="1" s="1"/>
  <c r="AN118" i="11" s="1"/>
  <c r="M8" i="12" l="1"/>
  <c r="E42" i="12" s="1"/>
  <c r="E44" i="12" s="1"/>
  <c r="AX987" i="1"/>
  <c r="AX120" i="1"/>
  <c r="AX121" i="1"/>
  <c r="AX122" i="1" s="1"/>
  <c r="AW95" i="21"/>
  <c r="AN617" i="1"/>
  <c r="AR39" i="21"/>
  <c r="AR50" i="21" s="1"/>
  <c r="AO610" i="1"/>
  <c r="AN610" i="1"/>
  <c r="M10" i="12" l="1"/>
  <c r="AL21" i="10"/>
  <c r="AR59" i="21"/>
  <c r="AR40" i="21"/>
  <c r="AS59" i="21"/>
  <c r="AN643" i="1"/>
  <c r="AN644" i="1" s="1"/>
  <c r="AR77" i="21"/>
  <c r="AR78" i="21" l="1"/>
  <c r="AR87" i="21"/>
  <c r="AS96" i="21"/>
  <c r="AR96" i="21"/>
  <c r="AR42" i="21"/>
  <c r="AS60" i="21"/>
  <c r="AR60" i="21"/>
  <c r="AR67" i="21"/>
  <c r="AR51" i="21"/>
  <c r="AR66" i="21"/>
  <c r="AR64" i="21"/>
  <c r="AR65" i="21"/>
  <c r="AR68" i="21"/>
  <c r="AR69" i="21" l="1"/>
  <c r="AR97" i="21"/>
  <c r="AR79" i="21"/>
  <c r="AS97" i="21"/>
  <c r="AR88" i="21"/>
  <c r="AT624" i="1"/>
  <c r="AT625" i="1" l="1"/>
  <c r="AS624" i="1"/>
  <c r="AW624" i="1"/>
  <c r="AS625" i="1"/>
  <c r="AT626" i="1"/>
  <c r="AS626" i="1"/>
  <c r="AS118" i="11"/>
  <c r="AT118" i="11"/>
  <c r="AS617" i="1"/>
  <c r="AS643" i="1" s="1"/>
  <c r="AS629" i="1"/>
  <c r="AT629" i="1"/>
  <c r="AW39" i="21"/>
  <c r="AX39" i="21"/>
  <c r="AW40" i="21" l="1"/>
  <c r="AW42" i="21" s="1"/>
  <c r="AX40" i="21"/>
  <c r="BC40" i="21" s="1"/>
  <c r="BC39" i="21"/>
  <c r="AT986" i="1"/>
  <c r="AS986" i="1"/>
  <c r="AS993" i="1" s="1"/>
  <c r="AS631" i="1"/>
  <c r="AW629" i="1"/>
  <c r="AS644" i="1"/>
  <c r="AY59" i="21"/>
  <c r="AT630" i="1"/>
  <c r="AW77" i="21"/>
  <c r="AS630" i="1"/>
  <c r="AX50" i="21"/>
  <c r="O12" i="16" s="1"/>
  <c r="AW50" i="21"/>
  <c r="AX59" i="21"/>
  <c r="AW59" i="21"/>
  <c r="AT631" i="1"/>
  <c r="AX68" i="21" l="1"/>
  <c r="AW65" i="21"/>
  <c r="AW68" i="21"/>
  <c r="AW66" i="21"/>
  <c r="AW67" i="21"/>
  <c r="AW64" i="21"/>
  <c r="AW51" i="21"/>
  <c r="BF51" i="21" s="1"/>
  <c r="AW60" i="21"/>
  <c r="AY60" i="21"/>
  <c r="AX67" i="21"/>
  <c r="AX51" i="21"/>
  <c r="O13" i="16" s="1"/>
  <c r="AX65" i="21"/>
  <c r="AX66" i="21"/>
  <c r="AX60" i="21"/>
  <c r="AX42" i="21"/>
  <c r="AX64" i="21"/>
  <c r="AW87" i="21"/>
  <c r="AW78" i="21"/>
  <c r="AW96" i="21"/>
  <c r="AW69" i="21" l="1"/>
  <c r="AX69" i="21"/>
  <c r="AW97" i="21"/>
  <c r="AW79" i="21"/>
  <c r="AW88" i="21"/>
  <c r="AS182" i="11"/>
  <c r="AS66" i="1"/>
  <c r="F25" i="32" l="1"/>
  <c r="F34" i="32" s="1"/>
  <c r="J25" i="32"/>
  <c r="J34" i="32" s="1"/>
  <c r="N25" i="32"/>
  <c r="N34" i="32" s="1"/>
  <c r="J26" i="32"/>
  <c r="F26" i="32" l="1"/>
  <c r="J35" i="32"/>
  <c r="F35" i="32" l="1"/>
  <c r="N26" i="32"/>
  <c r="N35" i="32" l="1"/>
  <c r="AS220" i="1"/>
  <c r="AS237" i="1" s="1"/>
  <c r="J16" i="13" s="1"/>
  <c r="J24" i="13" s="1"/>
  <c r="AS107" i="1"/>
  <c r="AS192" i="1"/>
  <c r="AS209" i="1" s="1"/>
  <c r="AS105" i="1" s="1"/>
  <c r="AQ107" i="1"/>
  <c r="AQ220" i="1"/>
  <c r="AQ237" i="1" s="1"/>
  <c r="AS211" i="1"/>
  <c r="AS218" i="1" s="1"/>
  <c r="AQ192" i="1"/>
  <c r="AQ209" i="1" s="1"/>
  <c r="AQ105" i="1" s="1"/>
  <c r="AD124" i="1"/>
  <c r="AQ110" i="1" l="1"/>
  <c r="AQ114" i="1" s="1"/>
  <c r="AQ833" i="1"/>
  <c r="AQ836" i="1" s="1"/>
  <c r="AQ826" i="1" s="1"/>
  <c r="AQ828" i="1" s="1"/>
  <c r="AS110" i="1"/>
  <c r="AS114" i="1" s="1"/>
  <c r="AS833" i="1"/>
  <c r="AS836" i="1" s="1"/>
  <c r="AS826" i="1" s="1"/>
  <c r="AS828" i="1" s="1"/>
  <c r="AS108" i="1"/>
  <c r="AQ108" i="1"/>
  <c r="AD128" i="1"/>
  <c r="AD125" i="1"/>
  <c r="AD126" i="1"/>
  <c r="AT914" i="1"/>
  <c r="AE124" i="1"/>
  <c r="AF124" i="1"/>
  <c r="AF128" i="1" s="1"/>
  <c r="AQ111" i="1" l="1"/>
  <c r="AQ814" i="1"/>
  <c r="AQ817" i="1" s="1"/>
  <c r="AQ820" i="1" s="1"/>
  <c r="H7" i="42" s="1"/>
  <c r="H13" i="42" s="1"/>
  <c r="AR111" i="1"/>
  <c r="AQ112" i="1"/>
  <c r="AS814" i="1"/>
  <c r="AS817" i="1" s="1"/>
  <c r="AS820" i="1" s="1"/>
  <c r="J7" i="42" s="1"/>
  <c r="J13" i="42" s="1"/>
  <c r="AS112" i="1"/>
  <c r="AS111" i="1"/>
  <c r="AT932" i="1"/>
  <c r="AF33" i="17" s="1"/>
  <c r="AF126" i="1"/>
  <c r="AF125" i="1"/>
  <c r="AT124" i="1"/>
  <c r="AE128" i="1"/>
  <c r="AE125" i="1"/>
  <c r="AE126" i="1"/>
  <c r="AQ830" i="1" l="1"/>
  <c r="AQ840" i="1"/>
  <c r="AQ839" i="1"/>
  <c r="AS830" i="1"/>
  <c r="AS840" i="1"/>
  <c r="AS839" i="1"/>
  <c r="J19" i="42"/>
  <c r="J18" i="42"/>
  <c r="H19" i="42"/>
  <c r="H18" i="42"/>
  <c r="AT909" i="1"/>
  <c r="AT911" i="1" s="1"/>
  <c r="N18" i="13"/>
  <c r="AT125" i="1"/>
  <c r="AT126" i="1"/>
  <c r="J20" i="42" l="1"/>
  <c r="H20" i="42"/>
  <c r="N26" i="13"/>
  <c r="AD102" i="1" l="1"/>
  <c r="AD103" i="1" s="1"/>
  <c r="AD107" i="1"/>
  <c r="AD116" i="1"/>
  <c r="AD117" i="1" s="1"/>
  <c r="AD983" i="1"/>
  <c r="AD993" i="1" l="1"/>
  <c r="AD994" i="1"/>
  <c r="AD108" i="1"/>
  <c r="AD777" i="1"/>
  <c r="AD780" i="1" s="1"/>
  <c r="AD800" i="1" s="1"/>
  <c r="AD802" i="1" s="1"/>
  <c r="AD807" i="1" s="1"/>
  <c r="AD110" i="1"/>
  <c r="AD105" i="1"/>
  <c r="AD809" i="1" l="1"/>
  <c r="AD811" i="1"/>
  <c r="AD112" i="1"/>
  <c r="AD114" i="1"/>
  <c r="AD111" i="1"/>
  <c r="AD984" i="1"/>
  <c r="AD744" i="1"/>
  <c r="AD753" i="1" s="1"/>
  <c r="AD635" i="1" s="1"/>
  <c r="AD981" i="1"/>
  <c r="AT738" i="1"/>
  <c r="AE981" i="1"/>
  <c r="AF981" i="1"/>
  <c r="AE985" i="1"/>
  <c r="AF985" i="1"/>
  <c r="AT795" i="1" l="1"/>
  <c r="AT797" i="1" s="1"/>
  <c r="AY797" i="1" s="1"/>
  <c r="AT744" i="1"/>
  <c r="AD985" i="1"/>
  <c r="AT981" i="1"/>
  <c r="AT764" i="1"/>
  <c r="AT766" i="1" s="1"/>
  <c r="AD982" i="1"/>
  <c r="AD991" i="1" s="1"/>
  <c r="AE982" i="1"/>
  <c r="AE991" i="1" s="1"/>
  <c r="AF990" i="1"/>
  <c r="AT774" i="1"/>
  <c r="AE777" i="1"/>
  <c r="AE780" i="1" s="1"/>
  <c r="AE800" i="1" s="1"/>
  <c r="AE802" i="1" s="1"/>
  <c r="AE807" i="1" s="1"/>
  <c r="AF777" i="1"/>
  <c r="AF780" i="1" s="1"/>
  <c r="AF800" i="1" s="1"/>
  <c r="AF802" i="1" s="1"/>
  <c r="AF807" i="1" s="1"/>
  <c r="AT785" i="1" l="1"/>
  <c r="AT770" i="1"/>
  <c r="AT980" i="1"/>
  <c r="AT804" i="1"/>
  <c r="AF809" i="1"/>
  <c r="AF811" i="1"/>
  <c r="AE809" i="1"/>
  <c r="AE811" i="1"/>
  <c r="AT777" i="1"/>
  <c r="AT753" i="1"/>
  <c r="AX109" i="21" s="1"/>
  <c r="AD996" i="1"/>
  <c r="AD992" i="1"/>
  <c r="AF995" i="1"/>
  <c r="AF982" i="1"/>
  <c r="AF991" i="1" s="1"/>
  <c r="AE995" i="1"/>
  <c r="AE990" i="1"/>
  <c r="AD990" i="1"/>
  <c r="AD995" i="1"/>
  <c r="AF984" i="1"/>
  <c r="AF992" i="1" s="1"/>
  <c r="AE984" i="1"/>
  <c r="AE992" i="1" s="1"/>
  <c r="AT40" i="1"/>
  <c r="AT41" i="1" s="1"/>
  <c r="AT46" i="1"/>
  <c r="AE102" i="1"/>
  <c r="AE103" i="1" s="1"/>
  <c r="AF102" i="1"/>
  <c r="AF103" i="1" s="1"/>
  <c r="AE107" i="1"/>
  <c r="AF107" i="1"/>
  <c r="AT220" i="1"/>
  <c r="AE116" i="1"/>
  <c r="AE117" i="1" s="1"/>
  <c r="AF116" i="1"/>
  <c r="AF117" i="1" s="1"/>
  <c r="AE983" i="1"/>
  <c r="AF983" i="1"/>
  <c r="AF993" i="1" s="1"/>
  <c r="AE994" i="1" l="1"/>
  <c r="AG996" i="1"/>
  <c r="AT819" i="1"/>
  <c r="AT834" i="1"/>
  <c r="I11" i="12"/>
  <c r="I12" i="12" s="1"/>
  <c r="I17" i="12" s="1"/>
  <c r="I18" i="12" s="1"/>
  <c r="AT102" i="1"/>
  <c r="AT103" i="1" s="1"/>
  <c r="AT990" i="1"/>
  <c r="AT982" i="1"/>
  <c r="AT991" i="1" s="1"/>
  <c r="AT985" i="1"/>
  <c r="AT237" i="1"/>
  <c r="AT780" i="1"/>
  <c r="AT800" i="1" s="1"/>
  <c r="AT802" i="1" s="1"/>
  <c r="AT807" i="1" s="1"/>
  <c r="AE996" i="1"/>
  <c r="AF994" i="1"/>
  <c r="AE993" i="1"/>
  <c r="AF996" i="1"/>
  <c r="AT43" i="1"/>
  <c r="AT47" i="1" s="1"/>
  <c r="AT983" i="1"/>
  <c r="AF105" i="1"/>
  <c r="AE105" i="1"/>
  <c r="AT192" i="1"/>
  <c r="AF108" i="1"/>
  <c r="AF110" i="1"/>
  <c r="AT107" i="1"/>
  <c r="AT833" i="1" s="1"/>
  <c r="AT836" i="1" s="1"/>
  <c r="AT826" i="1" s="1"/>
  <c r="AT828" i="1" s="1"/>
  <c r="AE108" i="1"/>
  <c r="AE110" i="1"/>
  <c r="AT211" i="1"/>
  <c r="D99" i="12" l="1"/>
  <c r="F116" i="12" s="1"/>
  <c r="K11" i="42"/>
  <c r="K16" i="42" s="1"/>
  <c r="AT913" i="1"/>
  <c r="AT811" i="1"/>
  <c r="AT809" i="1"/>
  <c r="AT218" i="1"/>
  <c r="AT984" i="1"/>
  <c r="AT209" i="1"/>
  <c r="AT108" i="1"/>
  <c r="AT50" i="1"/>
  <c r="AT55" i="1" s="1"/>
  <c r="N16" i="13"/>
  <c r="N24" i="13" s="1"/>
  <c r="AT995" i="1"/>
  <c r="AT44" i="1"/>
  <c r="AT993" i="1"/>
  <c r="AT996" i="1"/>
  <c r="AT994" i="1"/>
  <c r="AT110" i="1"/>
  <c r="AT814" i="1" s="1"/>
  <c r="AE111" i="1"/>
  <c r="AE112" i="1"/>
  <c r="AE114" i="1"/>
  <c r="AF112" i="1"/>
  <c r="AF114" i="1"/>
  <c r="AF111" i="1"/>
  <c r="AY809" i="1" l="1"/>
  <c r="K10" i="42"/>
  <c r="K15" i="42" s="1"/>
  <c r="AT817" i="1"/>
  <c r="AT820" i="1" s="1"/>
  <c r="AT830" i="1" s="1"/>
  <c r="AT105" i="1"/>
  <c r="AT992" i="1"/>
  <c r="AT52" i="1"/>
  <c r="AT51" i="1"/>
  <c r="AT112" i="1"/>
  <c r="AT114" i="1"/>
  <c r="AT111" i="1"/>
  <c r="AT839" i="1" l="1"/>
  <c r="AT840" i="1"/>
  <c r="K7" i="42"/>
  <c r="K13" i="42" s="1"/>
  <c r="AD4" i="1"/>
  <c r="AE4" i="1"/>
  <c r="AF4" i="1"/>
  <c r="AT942" i="1"/>
  <c r="AT943" i="1"/>
  <c r="K19" i="42" l="1"/>
  <c r="K20" i="42" s="1"/>
  <c r="K18" i="42"/>
  <c r="AT949" i="1"/>
  <c r="AK101" i="9"/>
  <c r="AT952" i="1" l="1"/>
  <c r="AK48" i="9"/>
  <c r="AK49" i="9"/>
  <c r="AK69" i="9"/>
  <c r="AK70" i="9"/>
  <c r="AK88" i="9"/>
  <c r="AK89" i="9"/>
  <c r="AK111" i="9"/>
  <c r="AK90" i="9" l="1"/>
  <c r="AK71" i="9"/>
  <c r="AT955" i="1"/>
  <c r="AK50" i="9"/>
  <c r="V24" i="9"/>
  <c r="V26" i="9" s="1"/>
  <c r="V29" i="9" s="1"/>
  <c r="W24" i="9"/>
  <c r="W26" i="9" s="1"/>
  <c r="W29" i="9" s="1"/>
  <c r="X24" i="9"/>
  <c r="X26" i="9" s="1"/>
  <c r="X29" i="9" s="1"/>
  <c r="AT957" i="1" l="1"/>
  <c r="AU954" i="1"/>
  <c r="AT4" i="1" l="1"/>
  <c r="AS60" i="1"/>
  <c r="AS64" i="1" s="1"/>
  <c r="AS63" i="1"/>
  <c r="AS975" i="1"/>
  <c r="AS239" i="1" l="1"/>
  <c r="AS245" i="1" s="1"/>
  <c r="J17" i="13" s="1"/>
  <c r="J25" i="13" s="1"/>
  <c r="AS972" i="1"/>
  <c r="AS976" i="1"/>
  <c r="AS128" i="1"/>
  <c r="AS116" i="1" l="1"/>
  <c r="AS117" i="1" s="1"/>
  <c r="AT60" i="1"/>
  <c r="AT63" i="1"/>
  <c r="AT976" i="1" l="1"/>
  <c r="AT128" i="1"/>
  <c r="AT64" i="1"/>
  <c r="AT239" i="1" s="1"/>
  <c r="AT245" i="1" s="1"/>
  <c r="AI60" i="1" l="1"/>
  <c r="AI976" i="1" s="1"/>
  <c r="AI968" i="1" s="1"/>
  <c r="AI944" i="1" s="1"/>
  <c r="AB97" i="9" s="1"/>
  <c r="AJ60" i="1"/>
  <c r="AJ976" i="1" s="1"/>
  <c r="AJ968" i="1" s="1"/>
  <c r="AJ944" i="1" s="1"/>
  <c r="AC97" i="9" s="1"/>
  <c r="AH60" i="1" l="1"/>
  <c r="AU58" i="1"/>
  <c r="AH976" i="1" l="1"/>
  <c r="AH968" i="1" s="1"/>
  <c r="AH944" i="1" s="1"/>
  <c r="AA97" i="9" s="1"/>
  <c r="AU60" i="1"/>
  <c r="AU976" i="1" s="1"/>
  <c r="AV976" i="1" s="1"/>
  <c r="AW976" i="1" s="1"/>
  <c r="AU975" i="1"/>
  <c r="AV975" i="1" s="1"/>
  <c r="AU944" i="1" l="1"/>
  <c r="AU968" i="1"/>
  <c r="AX976" i="1"/>
  <c r="AX968" i="1" s="1"/>
  <c r="AX944" i="1" s="1"/>
  <c r="AO97" i="9" s="1"/>
  <c r="AW968" i="1"/>
  <c r="AW944" i="1" s="1"/>
  <c r="AN97" i="9" s="1"/>
  <c r="AV58" i="1"/>
  <c r="AV60" i="1" s="1"/>
  <c r="AW975" i="1"/>
  <c r="AV968" i="1"/>
  <c r="AV944" i="1" s="1"/>
  <c r="AM97" i="9" s="1"/>
  <c r="AW58" i="1" l="1"/>
  <c r="AW60" i="1" s="1"/>
  <c r="AX975" i="1"/>
  <c r="AX58" i="1" s="1"/>
  <c r="AX60" i="1" s="1"/>
  <c r="AS123" i="11" l="1"/>
  <c r="AT123" i="11"/>
  <c r="AD182" i="11" l="1"/>
  <c r="AE182" i="11"/>
  <c r="AF182" i="11"/>
  <c r="AT969" i="1"/>
  <c r="AT972" i="1" l="1"/>
  <c r="AT970" i="1"/>
  <c r="AU970" i="1"/>
  <c r="AT182" i="11"/>
  <c r="AT66" i="1"/>
  <c r="N17" i="13" l="1"/>
  <c r="N25" i="13" s="1"/>
  <c r="AT116" i="1"/>
  <c r="AT117" i="1" s="1"/>
  <c r="AC560" i="1"/>
  <c r="AC563" i="1" s="1"/>
  <c r="AD560" i="1"/>
  <c r="AD563" i="1" s="1"/>
  <c r="AD76" i="21" s="1"/>
  <c r="AE560" i="1"/>
  <c r="AE563" i="1" s="1"/>
  <c r="AE76" i="21" s="1"/>
  <c r="AF560" i="1"/>
  <c r="AF563" i="1" s="1"/>
  <c r="AF76" i="21" s="1"/>
  <c r="AT563" i="1"/>
  <c r="AT564" i="1" s="1"/>
  <c r="AC76" i="21" l="1"/>
  <c r="AC86" i="21" s="1"/>
  <c r="AG564" i="1"/>
  <c r="AX76" i="21"/>
  <c r="AX86" i="21" s="1"/>
  <c r="AF86" i="21"/>
  <c r="AF95" i="21"/>
  <c r="AD86" i="21"/>
  <c r="AD95" i="21"/>
  <c r="AE86" i="21"/>
  <c r="AE95" i="21"/>
  <c r="AD905" i="1"/>
  <c r="AF905" i="1"/>
  <c r="AC905" i="1"/>
  <c r="AT565" i="1"/>
  <c r="AT566" i="1" s="1"/>
  <c r="AE905" i="1"/>
  <c r="AE565" i="1"/>
  <c r="AE566" i="1" s="1"/>
  <c r="AE564" i="1"/>
  <c r="AD565" i="1"/>
  <c r="AD566" i="1" s="1"/>
  <c r="AD564" i="1"/>
  <c r="AC565" i="1"/>
  <c r="AC564" i="1"/>
  <c r="AF564" i="1"/>
  <c r="AF565" i="1"/>
  <c r="AF566" i="1" s="1"/>
  <c r="AC95" i="21" l="1"/>
  <c r="AC566" i="1"/>
  <c r="AG566" i="1"/>
  <c r="AX95" i="21"/>
  <c r="AH905" i="1"/>
  <c r="AG76" i="21"/>
  <c r="AH560" i="1"/>
  <c r="AI905" i="1"/>
  <c r="AG95" i="21" l="1"/>
  <c r="AG86" i="21"/>
  <c r="AI560" i="1"/>
  <c r="AI563" i="1" s="1"/>
  <c r="AJ905" i="1"/>
  <c r="AJ560" i="1" s="1"/>
  <c r="AJ563" i="1" s="1"/>
  <c r="AH563" i="1"/>
  <c r="AU560" i="1" l="1"/>
  <c r="AU905" i="1" s="1"/>
  <c r="AV905" i="1" s="1"/>
  <c r="AI565" i="1"/>
  <c r="AI566" i="1" s="1"/>
  <c r="AI564" i="1"/>
  <c r="AI76" i="21"/>
  <c r="AH564" i="1"/>
  <c r="AH565" i="1"/>
  <c r="AH566" i="1" s="1"/>
  <c r="AH76" i="21"/>
  <c r="AJ565" i="1"/>
  <c r="AJ566" i="1" s="1"/>
  <c r="AJ564" i="1"/>
  <c r="AJ76" i="21"/>
  <c r="AU563" i="1" l="1"/>
  <c r="AU565" i="1" s="1"/>
  <c r="AU566" i="1" s="1"/>
  <c r="AI95" i="21"/>
  <c r="AI86" i="21"/>
  <c r="AH95" i="21"/>
  <c r="AH86" i="21"/>
  <c r="AV560" i="1"/>
  <c r="AV563" i="1" s="1"/>
  <c r="AW905" i="1"/>
  <c r="AJ95" i="21"/>
  <c r="AJ86" i="21"/>
  <c r="AY76" i="21" l="1"/>
  <c r="AY95" i="21" s="1"/>
  <c r="E7" i="20"/>
  <c r="G7" i="20" s="1"/>
  <c r="AU564" i="1"/>
  <c r="AX905" i="1"/>
  <c r="AX560" i="1" s="1"/>
  <c r="AX563" i="1" s="1"/>
  <c r="AW560" i="1"/>
  <c r="AW563" i="1" s="1"/>
  <c r="AV565" i="1"/>
  <c r="AV566" i="1" s="1"/>
  <c r="AV564" i="1"/>
  <c r="AZ76" i="21"/>
  <c r="AY86" i="21" l="1"/>
  <c r="AZ86" i="21"/>
  <c r="AZ95" i="21"/>
  <c r="AX564" i="1"/>
  <c r="AX565" i="1"/>
  <c r="BB76" i="21"/>
  <c r="AW564" i="1"/>
  <c r="AW565" i="1"/>
  <c r="AW566" i="1" s="1"/>
  <c r="BA76" i="21"/>
  <c r="BA95" i="21" l="1"/>
  <c r="BA86" i="21"/>
  <c r="AX566" i="1"/>
  <c r="BB95" i="21"/>
  <c r="BB86" i="21"/>
  <c r="AC485" i="1"/>
  <c r="AG486" i="1" s="1"/>
  <c r="AD485" i="1"/>
  <c r="AD75" i="21" s="1"/>
  <c r="AE485" i="1"/>
  <c r="AF485" i="1"/>
  <c r="AC904" i="1"/>
  <c r="AD904" i="1"/>
  <c r="AE904" i="1"/>
  <c r="AF904" i="1"/>
  <c r="AD85" i="21" l="1"/>
  <c r="AD94" i="21"/>
  <c r="AE486" i="1"/>
  <c r="AE75" i="21"/>
  <c r="AC486" i="1"/>
  <c r="AC75" i="21"/>
  <c r="AF486" i="1"/>
  <c r="AF75" i="21"/>
  <c r="AF487" i="1"/>
  <c r="AF488" i="1" s="1"/>
  <c r="AE487" i="1"/>
  <c r="AE488" i="1" s="1"/>
  <c r="AD487" i="1"/>
  <c r="AD488" i="1" s="1"/>
  <c r="AD486" i="1"/>
  <c r="AC487" i="1"/>
  <c r="AH904" i="1"/>
  <c r="AC488" i="1" l="1"/>
  <c r="AG488" i="1"/>
  <c r="AF85" i="21"/>
  <c r="AF94" i="21"/>
  <c r="AC85" i="21"/>
  <c r="AC94" i="21"/>
  <c r="AE85" i="21"/>
  <c r="AE94" i="21"/>
  <c r="AH482" i="1"/>
  <c r="AH485" i="1" s="1"/>
  <c r="AI904" i="1"/>
  <c r="AG75" i="21" l="1"/>
  <c r="AG85" i="21" s="1"/>
  <c r="AI482" i="1"/>
  <c r="AJ904" i="1"/>
  <c r="AJ482" i="1" s="1"/>
  <c r="AJ485" i="1" s="1"/>
  <c r="AH487" i="1"/>
  <c r="AH488" i="1" s="1"/>
  <c r="AH486" i="1"/>
  <c r="AH75" i="21"/>
  <c r="AG94" i="21" l="1"/>
  <c r="AI485" i="1"/>
  <c r="AI487" i="1" s="1"/>
  <c r="AI488" i="1" s="1"/>
  <c r="AU482" i="1"/>
  <c r="AU904" i="1" s="1"/>
  <c r="AH85" i="21"/>
  <c r="AH94" i="21"/>
  <c r="AJ487" i="1"/>
  <c r="AJ488" i="1" s="1"/>
  <c r="AJ486" i="1"/>
  <c r="AJ75" i="21"/>
  <c r="AI75" i="21" l="1"/>
  <c r="AI94" i="21" s="1"/>
  <c r="AI486" i="1"/>
  <c r="AJ85" i="21"/>
  <c r="AJ94" i="21"/>
  <c r="AT485" i="1"/>
  <c r="AX75" i="21" s="1"/>
  <c r="AX94" i="21" s="1"/>
  <c r="AI85" i="21" l="1"/>
  <c r="AX85" i="21"/>
  <c r="AT487" i="1"/>
  <c r="AT488" i="1" s="1"/>
  <c r="AT486" i="1"/>
  <c r="BS489" i="1" s="1"/>
  <c r="AC401" i="1"/>
  <c r="AC404" i="1" s="1"/>
  <c r="AG405" i="1" s="1"/>
  <c r="AD401" i="1"/>
  <c r="AE401" i="1"/>
  <c r="AE404" i="1" s="1"/>
  <c r="AE74" i="21" s="1"/>
  <c r="AF401" i="1"/>
  <c r="AF404" i="1" s="1"/>
  <c r="AT404" i="1"/>
  <c r="AX74" i="21" s="1"/>
  <c r="AF405" i="1" l="1"/>
  <c r="AF74" i="21"/>
  <c r="AE84" i="21"/>
  <c r="AE93" i="21"/>
  <c r="AC406" i="1"/>
  <c r="AC74" i="21"/>
  <c r="AE903" i="1"/>
  <c r="AC903" i="1"/>
  <c r="AT405" i="1"/>
  <c r="AX93" i="21"/>
  <c r="AX84" i="21"/>
  <c r="AF903" i="1"/>
  <c r="AT406" i="1"/>
  <c r="AT407" i="1" s="1"/>
  <c r="AF406" i="1"/>
  <c r="AF407" i="1" s="1"/>
  <c r="AE405" i="1"/>
  <c r="AE406" i="1"/>
  <c r="AE407" i="1" s="1"/>
  <c r="AD404" i="1"/>
  <c r="AD74" i="21" s="1"/>
  <c r="AD903" i="1"/>
  <c r="AC405" i="1"/>
  <c r="AC407" i="1" l="1"/>
  <c r="AG407" i="1"/>
  <c r="AH903" i="1"/>
  <c r="AH401" i="1" s="1"/>
  <c r="AH404" i="1" s="1"/>
  <c r="AF84" i="21"/>
  <c r="AF93" i="21"/>
  <c r="AC84" i="21"/>
  <c r="AC93" i="21"/>
  <c r="AD84" i="21"/>
  <c r="AD93" i="21"/>
  <c r="AD405" i="1"/>
  <c r="AD406" i="1"/>
  <c r="AD407" i="1" s="1"/>
  <c r="AI903" i="1" l="1"/>
  <c r="AG74" i="21"/>
  <c r="AG84" i="21" s="1"/>
  <c r="AI401" i="1"/>
  <c r="AJ903" i="1"/>
  <c r="AJ401" i="1" s="1"/>
  <c r="AJ404" i="1" s="1"/>
  <c r="AH406" i="1"/>
  <c r="AH407" i="1" s="1"/>
  <c r="AH405" i="1"/>
  <c r="AH74" i="21"/>
  <c r="AG93" i="21" l="1"/>
  <c r="AI404" i="1"/>
  <c r="AI406" i="1" s="1"/>
  <c r="AI407" i="1" s="1"/>
  <c r="AU401" i="1"/>
  <c r="AU903" i="1" s="1"/>
  <c r="AH84" i="21"/>
  <c r="AH93" i="21"/>
  <c r="AJ406" i="1"/>
  <c r="AJ407" i="1" s="1"/>
  <c r="AJ405" i="1"/>
  <c r="AJ74" i="21"/>
  <c r="AI74" i="21" l="1"/>
  <c r="AI405" i="1"/>
  <c r="AI84" i="21"/>
  <c r="AI93" i="21"/>
  <c r="AJ84" i="21"/>
  <c r="AJ93" i="21"/>
  <c r="AC346" i="1"/>
  <c r="AD346" i="1"/>
  <c r="AD283" i="1" s="1"/>
  <c r="AD73" i="21" s="1"/>
  <c r="AE346" i="1"/>
  <c r="AE283" i="1" s="1"/>
  <c r="AF346" i="1"/>
  <c r="AF283" i="1" s="1"/>
  <c r="AF73" i="21" s="1"/>
  <c r="AT283" i="1"/>
  <c r="AT284" i="1" s="1"/>
  <c r="AX73" i="21" l="1"/>
  <c r="AX83" i="21" s="1"/>
  <c r="AF83" i="21"/>
  <c r="AF92" i="21"/>
  <c r="AD83" i="21"/>
  <c r="AD92" i="21"/>
  <c r="AF902" i="1"/>
  <c r="AH902" i="1" s="1"/>
  <c r="AE902" i="1"/>
  <c r="AE284" i="1"/>
  <c r="AE73" i="21"/>
  <c r="AD902" i="1"/>
  <c r="AF285" i="1"/>
  <c r="AF286" i="1" s="1"/>
  <c r="AF284" i="1"/>
  <c r="AE285" i="1"/>
  <c r="AE286" i="1" s="1"/>
  <c r="AD284" i="1"/>
  <c r="AD285" i="1"/>
  <c r="AD286" i="1" s="1"/>
  <c r="AC283" i="1"/>
  <c r="AC902" i="1"/>
  <c r="AT285" i="1"/>
  <c r="AT286" i="1" s="1"/>
  <c r="AC73" i="21" l="1"/>
  <c r="AC92" i="21" s="1"/>
  <c r="AG284" i="1"/>
  <c r="AX92" i="21"/>
  <c r="AE83" i="21"/>
  <c r="AE92" i="21"/>
  <c r="AC284" i="1"/>
  <c r="AC285" i="1"/>
  <c r="AI902" i="1"/>
  <c r="AH346" i="1"/>
  <c r="AH283" i="1" s="1"/>
  <c r="AC83" i="21" l="1"/>
  <c r="AC286" i="1"/>
  <c r="AG286" i="1"/>
  <c r="AJ902" i="1"/>
  <c r="AI346" i="1"/>
  <c r="AI283" i="1" s="1"/>
  <c r="AH285" i="1"/>
  <c r="AH286" i="1" s="1"/>
  <c r="AH284" i="1"/>
  <c r="AH73" i="21"/>
  <c r="AG73" i="21" l="1"/>
  <c r="AH92" i="21"/>
  <c r="AH83" i="21"/>
  <c r="AI285" i="1"/>
  <c r="AI286" i="1" s="1"/>
  <c r="AI284" i="1"/>
  <c r="AI73" i="21"/>
  <c r="AJ346" i="1"/>
  <c r="AG83" i="21" l="1"/>
  <c r="AG92" i="21"/>
  <c r="AJ283" i="1"/>
  <c r="AJ285" i="1" s="1"/>
  <c r="AJ286" i="1" s="1"/>
  <c r="AU346" i="1"/>
  <c r="AU902" i="1" s="1"/>
  <c r="AI92" i="21"/>
  <c r="AI83" i="21"/>
  <c r="AJ73" i="21" l="1"/>
  <c r="AJ92" i="21" s="1"/>
  <c r="AJ284" i="1"/>
  <c r="AU283" i="1"/>
  <c r="E5" i="20" s="1"/>
  <c r="G5" i="20" s="1"/>
  <c r="AV902" i="1"/>
  <c r="AJ83" i="21" l="1"/>
  <c r="AY73" i="21"/>
  <c r="AY83" i="21" s="1"/>
  <c r="AU285" i="1"/>
  <c r="AU286" i="1" s="1"/>
  <c r="AU284" i="1"/>
  <c r="AW902" i="1"/>
  <c r="AV346" i="1"/>
  <c r="AV283" i="1" s="1"/>
  <c r="AY92" i="21" l="1"/>
  <c r="AX902" i="1"/>
  <c r="AW346" i="1"/>
  <c r="AW283" i="1" s="1"/>
  <c r="AV285" i="1"/>
  <c r="AV286" i="1" s="1"/>
  <c r="AV284" i="1"/>
  <c r="AZ73" i="21"/>
  <c r="AZ83" i="21" l="1"/>
  <c r="AZ92" i="21"/>
  <c r="AW285" i="1"/>
  <c r="AW286" i="1" s="1"/>
  <c r="AW284" i="1"/>
  <c r="BA73" i="21"/>
  <c r="AX346" i="1"/>
  <c r="AX283" i="1" s="1"/>
  <c r="BA83" i="21" l="1"/>
  <c r="BA92" i="21"/>
  <c r="AX285" i="1"/>
  <c r="AX286" i="1" s="1"/>
  <c r="AX284" i="1"/>
  <c r="BB73" i="21"/>
  <c r="BB92" i="21" l="1"/>
  <c r="BB83" i="21"/>
  <c r="AU404" i="1"/>
  <c r="AU405" i="1" s="1"/>
  <c r="AV903" i="1"/>
  <c r="E6" i="20" l="1"/>
  <c r="G6" i="20" s="1"/>
  <c r="AY74" i="21"/>
  <c r="AY84" i="21" s="1"/>
  <c r="AU406" i="1"/>
  <c r="AU407" i="1" s="1"/>
  <c r="AW903" i="1"/>
  <c r="AV401" i="1"/>
  <c r="AV404" i="1" s="1"/>
  <c r="AY93" i="21" l="1"/>
  <c r="AX903" i="1"/>
  <c r="AW401" i="1"/>
  <c r="AW404" i="1" s="1"/>
  <c r="AV406" i="1"/>
  <c r="AV407" i="1" s="1"/>
  <c r="AV405" i="1"/>
  <c r="AZ74" i="21"/>
  <c r="AW406" i="1" l="1"/>
  <c r="AW407" i="1" s="1"/>
  <c r="AW405" i="1"/>
  <c r="BA74" i="21"/>
  <c r="AZ84" i="21"/>
  <c r="AZ93" i="21"/>
  <c r="AX401" i="1"/>
  <c r="AX404" i="1" s="1"/>
  <c r="AX406" i="1" l="1"/>
  <c r="AX407" i="1" s="1"/>
  <c r="AX405" i="1"/>
  <c r="BB74" i="21"/>
  <c r="BA84" i="21"/>
  <c r="BA93" i="21"/>
  <c r="BB84" i="21" l="1"/>
  <c r="BB93" i="21"/>
  <c r="AU485" i="1"/>
  <c r="AU486" i="1" s="1"/>
  <c r="AV904" i="1"/>
  <c r="E8" i="20" l="1"/>
  <c r="G8" i="20" s="1"/>
  <c r="AY75" i="21"/>
  <c r="AY85" i="21" s="1"/>
  <c r="AU487" i="1"/>
  <c r="AW904" i="1"/>
  <c r="AV482" i="1"/>
  <c r="AV485" i="1" s="1"/>
  <c r="AU488" i="1" l="1"/>
  <c r="AY94" i="21"/>
  <c r="AV487" i="1"/>
  <c r="AV486" i="1"/>
  <c r="AZ75" i="21"/>
  <c r="AX904" i="1"/>
  <c r="AW482" i="1"/>
  <c r="AW485" i="1" s="1"/>
  <c r="AV488" i="1" l="1"/>
  <c r="AX482" i="1"/>
  <c r="AX485" i="1" s="1"/>
  <c r="AW487" i="1"/>
  <c r="AW486" i="1"/>
  <c r="BA75" i="21"/>
  <c r="AZ94" i="21"/>
  <c r="AZ85" i="21"/>
  <c r="AW488" i="1" l="1"/>
  <c r="BA85" i="21"/>
  <c r="BA94" i="21"/>
  <c r="AX487" i="1"/>
  <c r="AX486" i="1"/>
  <c r="BB75" i="21"/>
  <c r="AX488" i="1" l="1"/>
  <c r="BB85" i="21"/>
  <c r="BB94" i="21"/>
  <c r="AT617" i="1"/>
  <c r="AX77" i="21" s="1"/>
  <c r="AT637" i="1"/>
  <c r="AT638" i="1" s="1"/>
  <c r="AT906" i="1"/>
  <c r="AT907" i="1" s="1"/>
  <c r="AC617" i="1"/>
  <c r="AC637" i="1"/>
  <c r="AC638" i="1" s="1"/>
  <c r="AC906" i="1"/>
  <c r="AC907" i="1" s="1"/>
  <c r="AT643" i="1" l="1"/>
  <c r="AT644" i="1" s="1"/>
  <c r="AC643" i="1"/>
  <c r="AC644" i="1" s="1"/>
  <c r="AC77" i="21"/>
  <c r="AX87" i="21"/>
  <c r="AX78" i="21"/>
  <c r="AX88" i="21" s="1"/>
  <c r="AX96" i="21"/>
  <c r="AX79" i="21" l="1"/>
  <c r="AX97" i="21"/>
  <c r="AC87" i="21"/>
  <c r="AC96" i="21"/>
  <c r="AC78" i="21"/>
  <c r="AD617" i="1"/>
  <c r="AD77" i="21" s="1"/>
  <c r="AE617" i="1"/>
  <c r="AE77" i="21" s="1"/>
  <c r="AF617" i="1"/>
  <c r="AD637" i="1"/>
  <c r="AD638" i="1" s="1"/>
  <c r="AE637" i="1"/>
  <c r="AE638" i="1" s="1"/>
  <c r="AF637" i="1"/>
  <c r="AF638" i="1" s="1"/>
  <c r="AD906" i="1"/>
  <c r="AD907" i="1" s="1"/>
  <c r="AE906" i="1"/>
  <c r="AE907" i="1" s="1"/>
  <c r="AF906" i="1"/>
  <c r="AF907" i="1" s="1"/>
  <c r="AH906" i="1" l="1"/>
  <c r="AD643" i="1"/>
  <c r="AD644" i="1" s="1"/>
  <c r="AE87" i="21"/>
  <c r="AE96" i="21"/>
  <c r="AE78" i="21"/>
  <c r="AC79" i="21"/>
  <c r="AC88" i="21"/>
  <c r="AC97" i="21"/>
  <c r="AE643" i="1"/>
  <c r="AE644" i="1" s="1"/>
  <c r="AD87" i="21"/>
  <c r="AD96" i="21"/>
  <c r="AD78" i="21"/>
  <c r="AF643" i="1"/>
  <c r="AF644" i="1" s="1"/>
  <c r="AF77" i="21"/>
  <c r="AI906" i="1"/>
  <c r="AH614" i="1"/>
  <c r="AH907" i="1"/>
  <c r="AF87" i="21" l="1"/>
  <c r="AF96" i="21"/>
  <c r="AF78" i="21"/>
  <c r="AE79" i="21"/>
  <c r="AE88" i="21"/>
  <c r="AE97" i="21"/>
  <c r="AD79" i="21"/>
  <c r="AD88" i="21"/>
  <c r="AD97" i="21"/>
  <c r="AJ906" i="1"/>
  <c r="AI614" i="1"/>
  <c r="AI907" i="1"/>
  <c r="AH617" i="1"/>
  <c r="AH637" i="1"/>
  <c r="AH638" i="1" s="1"/>
  <c r="AF79" i="21" l="1"/>
  <c r="AF88" i="21"/>
  <c r="AF97" i="21"/>
  <c r="AH643" i="1"/>
  <c r="AH644" i="1" s="1"/>
  <c r="AH77" i="21"/>
  <c r="AG77" i="21"/>
  <c r="AI617" i="1"/>
  <c r="AI637" i="1"/>
  <c r="AI638" i="1" s="1"/>
  <c r="AJ614" i="1"/>
  <c r="AU614" i="1" s="1"/>
  <c r="AJ907" i="1"/>
  <c r="AJ617" i="1" l="1"/>
  <c r="AJ637" i="1"/>
  <c r="AJ638" i="1" s="1"/>
  <c r="AI643" i="1"/>
  <c r="AI644" i="1" s="1"/>
  <c r="AI77" i="21"/>
  <c r="AG78" i="21"/>
  <c r="AG96" i="21"/>
  <c r="AG87" i="21"/>
  <c r="AH78" i="21"/>
  <c r="AH96" i="21"/>
  <c r="AH87" i="21"/>
  <c r="AG88" i="21" l="1"/>
  <c r="AG79" i="21"/>
  <c r="AG97" i="21"/>
  <c r="AH97" i="21"/>
  <c r="AH88" i="21"/>
  <c r="AH79" i="21"/>
  <c r="AI87" i="21"/>
  <c r="AI78" i="21"/>
  <c r="AI96" i="21"/>
  <c r="AJ643" i="1"/>
  <c r="AJ644" i="1" s="1"/>
  <c r="AJ77" i="21"/>
  <c r="AJ87" i="21" l="1"/>
  <c r="AJ78" i="21"/>
  <c r="AJ96" i="21"/>
  <c r="AI97" i="21"/>
  <c r="AI88" i="21"/>
  <c r="AI79" i="21"/>
  <c r="AJ97" i="21" l="1"/>
  <c r="AJ88" i="21"/>
  <c r="AJ79" i="21"/>
  <c r="AU617" i="1"/>
  <c r="E9" i="20" s="1"/>
  <c r="AU637" i="1"/>
  <c r="AU638" i="1" s="1"/>
  <c r="AU906" i="1"/>
  <c r="AY77" i="21" l="1"/>
  <c r="AY78" i="21" s="1"/>
  <c r="AY97" i="21" s="1"/>
  <c r="AU643" i="1"/>
  <c r="AU644" i="1" s="1"/>
  <c r="E10" i="20"/>
  <c r="G9" i="20"/>
  <c r="G10" i="20" s="1"/>
  <c r="AV906" i="1"/>
  <c r="AU907" i="1"/>
  <c r="AY87" i="21" l="1"/>
  <c r="AY96" i="21"/>
  <c r="AY88" i="21"/>
  <c r="AY79" i="21"/>
  <c r="F10" i="20"/>
  <c r="AW906" i="1"/>
  <c r="AV907" i="1"/>
  <c r="AV614" i="1"/>
  <c r="AV617" i="1" s="1"/>
  <c r="AV643" i="1" l="1"/>
  <c r="AV644" i="1" s="1"/>
  <c r="AZ77" i="21"/>
  <c r="AX906" i="1"/>
  <c r="AW907" i="1"/>
  <c r="AW614" i="1"/>
  <c r="AW617" i="1" s="1"/>
  <c r="AX907" i="1" l="1"/>
  <c r="AX614" i="1"/>
  <c r="AX617" i="1" s="1"/>
  <c r="AZ78" i="21"/>
  <c r="AZ87" i="21"/>
  <c r="AZ96" i="21"/>
  <c r="AW643" i="1"/>
  <c r="AW644" i="1" s="1"/>
  <c r="BA77" i="21"/>
  <c r="BA78" i="21" l="1"/>
  <c r="BA87" i="21"/>
  <c r="BA96" i="21"/>
  <c r="AX643" i="1"/>
  <c r="AX644" i="1" s="1"/>
  <c r="BB77" i="21"/>
  <c r="AZ79" i="21"/>
  <c r="AZ88" i="21"/>
  <c r="AZ97" i="21"/>
  <c r="BB78" i="21" l="1"/>
  <c r="BB87" i="21"/>
  <c r="BB96" i="21"/>
  <c r="BA79" i="21"/>
  <c r="BA88" i="21"/>
  <c r="BA97" i="21"/>
  <c r="BB79" i="21" l="1"/>
  <c r="BB88" i="21"/>
  <c r="BB97" i="21"/>
  <c r="H30" i="12" l="1"/>
  <c r="O200" i="44" l="1"/>
  <c r="P200" i="44"/>
  <c r="Q200" i="44"/>
  <c r="R200" i="44"/>
  <c r="S200" i="44"/>
  <c r="T200" i="44"/>
  <c r="U200" i="44"/>
  <c r="V200" i="44"/>
  <c r="W200" i="44"/>
  <c r="O243" i="44"/>
  <c r="P243" i="44"/>
  <c r="Q243" i="44"/>
  <c r="R243" i="44"/>
  <c r="S243" i="44"/>
  <c r="T243" i="44"/>
  <c r="U243" i="44"/>
  <c r="U246" i="44" s="1"/>
  <c r="V243" i="44"/>
  <c r="W243" i="44"/>
  <c r="O244" i="44"/>
  <c r="P244" i="44"/>
  <c r="P246" i="44" s="1"/>
  <c r="Q244" i="44"/>
  <c r="R244" i="44"/>
  <c r="S244" i="44"/>
  <c r="S246" i="44" s="1"/>
  <c r="T244" i="44"/>
  <c r="T246" i="44" s="1"/>
  <c r="U244" i="44"/>
  <c r="V244" i="44"/>
  <c r="V246" i="44" s="1"/>
  <c r="W244" i="44"/>
  <c r="Q246" i="44"/>
  <c r="R246" i="44"/>
  <c r="W246" i="44" l="1"/>
  <c r="O246" i="44"/>
  <c r="E781" i="1" l="1"/>
  <c r="E783" i="1" s="1"/>
  <c r="E5" i="1" s="1"/>
  <c r="F781" i="1"/>
  <c r="F783" i="1" s="1"/>
  <c r="F5" i="1" s="1"/>
  <c r="H781" i="1"/>
  <c r="H783" i="1" s="1"/>
  <c r="H5" i="1" s="1"/>
  <c r="M781" i="1"/>
  <c r="M783" i="1" s="1"/>
  <c r="M5" i="1" s="1"/>
  <c r="N781" i="1"/>
  <c r="N783" i="1" s="1"/>
  <c r="N5" i="1" s="1"/>
  <c r="P781" i="1"/>
  <c r="P783" i="1" s="1"/>
  <c r="P5" i="1" s="1"/>
  <c r="V781" i="1"/>
  <c r="V783" i="1" s="1"/>
  <c r="V5" i="1" s="1"/>
  <c r="X781" i="1"/>
  <c r="X783" i="1" s="1"/>
  <c r="X5" i="1" s="1"/>
  <c r="AD781" i="1"/>
  <c r="AD783" i="1" s="1"/>
  <c r="AD5" i="1" s="1"/>
  <c r="AF781" i="1"/>
  <c r="AF783" i="1" s="1"/>
  <c r="AF5" i="1" s="1"/>
  <c r="G781" i="1"/>
  <c r="I781" i="1"/>
  <c r="I783" i="1" s="1"/>
  <c r="I5" i="1" s="1"/>
  <c r="J781" i="1"/>
  <c r="J783" i="1" s="1"/>
  <c r="J5" i="1" s="1"/>
  <c r="K781" i="1"/>
  <c r="K783" i="1" s="1"/>
  <c r="K5" i="1" s="1"/>
  <c r="L781" i="1"/>
  <c r="L783" i="1" s="1"/>
  <c r="L5" i="1" s="1"/>
  <c r="O781" i="1"/>
  <c r="O783" i="1" s="1"/>
  <c r="O5" i="1" s="1"/>
  <c r="Q781" i="1"/>
  <c r="Q783" i="1" s="1"/>
  <c r="Q5" i="1" s="1"/>
  <c r="R781" i="1"/>
  <c r="R783" i="1" s="1"/>
  <c r="R5" i="1" s="1"/>
  <c r="S781" i="1"/>
  <c r="S783" i="1" s="1"/>
  <c r="S5" i="1" s="1"/>
  <c r="T781" i="1"/>
  <c r="T783" i="1" s="1"/>
  <c r="T5" i="1" s="1"/>
  <c r="U781" i="1"/>
  <c r="U783" i="1" s="1"/>
  <c r="U5" i="1" s="1"/>
  <c r="W781" i="1"/>
  <c r="W783" i="1" s="1"/>
  <c r="W5" i="1" s="1"/>
  <c r="Y781" i="1"/>
  <c r="Y783" i="1" s="1"/>
  <c r="Y5" i="1" s="1"/>
  <c r="Z781" i="1"/>
  <c r="Z783" i="1" s="1"/>
  <c r="Z5" i="1" s="1"/>
  <c r="AA781" i="1"/>
  <c r="AB781" i="1"/>
  <c r="AB783" i="1" s="1"/>
  <c r="AB5" i="1" s="1"/>
  <c r="AC781" i="1"/>
  <c r="AC783" i="1" s="1"/>
  <c r="AC5" i="1" s="1"/>
  <c r="AE781" i="1"/>
  <c r="AE783" i="1" s="1"/>
  <c r="AE5" i="1" s="1"/>
  <c r="G783" i="1"/>
  <c r="G5" i="1" s="1"/>
  <c r="AA783" i="1"/>
  <c r="AA5" i="1" s="1"/>
  <c r="AO781" i="1"/>
  <c r="AO783" i="1" s="1"/>
  <c r="AO5" i="1" s="1"/>
  <c r="AL781" i="1"/>
  <c r="AL783" i="1" s="1"/>
  <c r="AL5" i="1" s="1"/>
  <c r="AM781" i="1"/>
  <c r="AM783" i="1" s="1"/>
  <c r="AM5" i="1" s="1"/>
  <c r="AN781" i="1"/>
  <c r="AN783" i="1" s="1"/>
  <c r="AN5" i="1" s="1"/>
  <c r="AP781" i="1"/>
  <c r="AP783" i="1" s="1"/>
  <c r="AP5" i="1" s="1"/>
  <c r="AQ781" i="1"/>
  <c r="AQ783" i="1" s="1"/>
  <c r="AQ5" i="1" s="1"/>
  <c r="AR781" i="1"/>
  <c r="AR783" i="1" s="1"/>
  <c r="AR5" i="1" s="1"/>
  <c r="AS781" i="1"/>
  <c r="AS783" i="1" s="1"/>
  <c r="AS5" i="1" s="1"/>
  <c r="AT781" i="1"/>
  <c r="AT783" i="1" s="1"/>
  <c r="AT5" i="1" s="1"/>
  <c r="AG4" i="1" l="1"/>
  <c r="AG5" i="1"/>
  <c r="AH954" i="1"/>
  <c r="AA95" i="9" s="1"/>
  <c r="AU255" i="1"/>
  <c r="AU264" i="1" s="1"/>
  <c r="AU20" i="11" s="1"/>
  <c r="AU256" i="1"/>
  <c r="AU265" i="1" s="1"/>
  <c r="AU25" i="11" s="1"/>
  <c r="AU257" i="1"/>
  <c r="AU266" i="1" s="1"/>
  <c r="AU30" i="11" s="1"/>
  <c r="AG264" i="1"/>
  <c r="AG265" i="1"/>
  <c r="AG266" i="1"/>
  <c r="AU357" i="1"/>
  <c r="AU358" i="1"/>
  <c r="AU367" i="1" s="1"/>
  <c r="AU52" i="11" s="1"/>
  <c r="AU359" i="1"/>
  <c r="AU368" i="1" s="1"/>
  <c r="AU57" i="11" s="1"/>
  <c r="AG360" i="1"/>
  <c r="AG369" i="1" s="1"/>
  <c r="AG366" i="1"/>
  <c r="AG367" i="1"/>
  <c r="AG368" i="1"/>
  <c r="AU360" i="1" l="1"/>
  <c r="AG362" i="1"/>
  <c r="AU366" i="1"/>
  <c r="AU47" i="11" s="1"/>
  <c r="AU362" i="1"/>
  <c r="AU369" i="1"/>
  <c r="AU438" i="1"/>
  <c r="AU447" i="1" s="1"/>
  <c r="AU74" i="11" s="1"/>
  <c r="AU439" i="1"/>
  <c r="AU448" i="1" s="1"/>
  <c r="AU79" i="11" s="1"/>
  <c r="AU440" i="1"/>
  <c r="AU449" i="1" s="1"/>
  <c r="AU84" i="11" s="1"/>
  <c r="AG447" i="1"/>
  <c r="AG448" i="1"/>
  <c r="AG449" i="1"/>
  <c r="AU517" i="1"/>
  <c r="AU518" i="1"/>
  <c r="AU526" i="1" s="1"/>
  <c r="AU101" i="11" s="1"/>
  <c r="AU519" i="1"/>
  <c r="AU527" i="1" s="1"/>
  <c r="AU106" i="11" s="1"/>
  <c r="AG520" i="1"/>
  <c r="AG522" i="1" s="1"/>
  <c r="AG525" i="1"/>
  <c r="AG526" i="1"/>
  <c r="AG527" i="1"/>
  <c r="AU520" i="1" l="1"/>
  <c r="AU522" i="1" s="1"/>
  <c r="AU525" i="1"/>
  <c r="AU96" i="11" s="1"/>
  <c r="AG528" i="1"/>
  <c r="AA109" i="9"/>
  <c r="AU528" i="1" l="1"/>
  <c r="E45" i="12" l="1"/>
  <c r="D14" i="20"/>
  <c r="G12" i="20" s="1"/>
  <c r="J61" i="12"/>
  <c r="AG15" i="11"/>
  <c r="AU15" i="11"/>
  <c r="Y69" i="11"/>
  <c r="Z69" i="11"/>
  <c r="AA69" i="11"/>
  <c r="AB69" i="11"/>
  <c r="AC69" i="11"/>
  <c r="AD69" i="11"/>
  <c r="AE69" i="11"/>
  <c r="AF69" i="11"/>
  <c r="AG69" i="11"/>
  <c r="AT69" i="11"/>
  <c r="AU69" i="11"/>
  <c r="AU123" i="11"/>
  <c r="L7" i="42"/>
  <c r="M7" i="42"/>
  <c r="N7" i="42"/>
  <c r="O7" i="42"/>
  <c r="L10" i="42"/>
  <c r="M10" i="42"/>
  <c r="N10" i="42"/>
  <c r="O10" i="42"/>
  <c r="L11" i="42"/>
  <c r="M11" i="42"/>
  <c r="N11" i="42"/>
  <c r="O11" i="42"/>
  <c r="L13" i="42"/>
  <c r="M13" i="42"/>
  <c r="N13" i="42"/>
  <c r="O13" i="42"/>
  <c r="L15" i="42"/>
  <c r="M15" i="42"/>
  <c r="N15" i="42"/>
  <c r="O15" i="42"/>
  <c r="L16" i="42"/>
  <c r="M16" i="42"/>
  <c r="N16" i="42"/>
  <c r="O16" i="42"/>
  <c r="L18" i="42"/>
  <c r="M18" i="42"/>
  <c r="N18" i="42"/>
  <c r="O18" i="42"/>
  <c r="L19" i="42"/>
  <c r="M19" i="42"/>
  <c r="N19" i="42"/>
  <c r="O19" i="42"/>
  <c r="L20" i="42"/>
  <c r="M20" i="42"/>
  <c r="N20" i="42"/>
  <c r="O20" i="42"/>
  <c r="D22" i="42"/>
  <c r="E22" i="42"/>
  <c r="F22" i="42"/>
  <c r="G22" i="42"/>
  <c r="H22" i="42"/>
  <c r="I22" i="42"/>
  <c r="J22" i="42"/>
  <c r="K22" i="42"/>
  <c r="D24" i="42"/>
  <c r="E24" i="42"/>
  <c r="F24" i="42"/>
  <c r="G24" i="42"/>
  <c r="H24" i="42"/>
  <c r="I24" i="42"/>
  <c r="J24" i="42"/>
  <c r="K24" i="42"/>
  <c r="D25" i="42"/>
  <c r="E25" i="42"/>
  <c r="F25" i="42"/>
  <c r="G25" i="42"/>
  <c r="H25" i="42"/>
  <c r="I25" i="42"/>
  <c r="J25" i="42"/>
  <c r="K25" i="42"/>
  <c r="D26" i="42"/>
  <c r="E26" i="42"/>
  <c r="F26" i="42"/>
  <c r="G26" i="42"/>
  <c r="H26" i="42"/>
  <c r="I26" i="42"/>
  <c r="J26" i="42"/>
  <c r="K26" i="42"/>
  <c r="D27" i="42"/>
  <c r="E27" i="42"/>
  <c r="F27" i="42"/>
  <c r="G27" i="42"/>
  <c r="H27" i="42"/>
  <c r="I27" i="42"/>
  <c r="J27" i="42"/>
  <c r="K27" i="42"/>
  <c r="D28" i="42"/>
  <c r="E28" i="42"/>
  <c r="F28" i="42"/>
  <c r="G28" i="42"/>
  <c r="H28" i="42"/>
  <c r="I28" i="42"/>
  <c r="J28" i="42"/>
  <c r="K28" i="42"/>
  <c r="E13" i="13"/>
  <c r="G13" i="13"/>
  <c r="H13" i="13"/>
  <c r="I13" i="13"/>
  <c r="K13" i="13"/>
  <c r="L13" i="13"/>
  <c r="M13" i="13"/>
  <c r="O13" i="13"/>
  <c r="P13" i="13"/>
  <c r="E14" i="13"/>
  <c r="G14" i="13"/>
  <c r="H14" i="13"/>
  <c r="I14" i="13"/>
  <c r="K14" i="13"/>
  <c r="L14" i="13"/>
  <c r="M14" i="13"/>
  <c r="O14" i="13"/>
  <c r="P14" i="13"/>
  <c r="E15" i="13"/>
  <c r="G15" i="13"/>
  <c r="H15" i="13"/>
  <c r="I15" i="13"/>
  <c r="K15" i="13"/>
  <c r="L15" i="13"/>
  <c r="M15" i="13"/>
  <c r="O15" i="13"/>
  <c r="P15" i="13"/>
  <c r="E16" i="13"/>
  <c r="G16" i="13"/>
  <c r="H16" i="13"/>
  <c r="I16" i="13"/>
  <c r="K16" i="13"/>
  <c r="L16" i="13"/>
  <c r="M16" i="13"/>
  <c r="O16" i="13"/>
  <c r="P16" i="13"/>
  <c r="E17" i="13"/>
  <c r="G17" i="13"/>
  <c r="H17" i="13"/>
  <c r="I17" i="13"/>
  <c r="K17" i="13"/>
  <c r="L17" i="13"/>
  <c r="M17" i="13"/>
  <c r="O17" i="13"/>
  <c r="P17" i="13"/>
  <c r="E18" i="13"/>
  <c r="G18" i="13"/>
  <c r="H18" i="13"/>
  <c r="I18" i="13"/>
  <c r="K18" i="13"/>
  <c r="L18" i="13"/>
  <c r="M18" i="13"/>
  <c r="O18" i="13"/>
  <c r="P18" i="13"/>
  <c r="E21" i="13"/>
  <c r="G21" i="13"/>
  <c r="H21" i="13"/>
  <c r="I21" i="13"/>
  <c r="K21" i="13"/>
  <c r="L21" i="13"/>
  <c r="M21" i="13"/>
  <c r="O21" i="13"/>
  <c r="P21" i="13"/>
  <c r="E22" i="13"/>
  <c r="G22" i="13"/>
  <c r="H22" i="13"/>
  <c r="I22" i="13"/>
  <c r="K22" i="13"/>
  <c r="L22" i="13"/>
  <c r="M22" i="13"/>
  <c r="O22" i="13"/>
  <c r="P22" i="13"/>
  <c r="E23" i="13"/>
  <c r="G23" i="13"/>
  <c r="H23" i="13"/>
  <c r="I23" i="13"/>
  <c r="K23" i="13"/>
  <c r="L23" i="13"/>
  <c r="M23" i="13"/>
  <c r="O23" i="13"/>
  <c r="P23" i="13"/>
  <c r="E24" i="13"/>
  <c r="G24" i="13"/>
  <c r="H24" i="13"/>
  <c r="I24" i="13"/>
  <c r="K24" i="13"/>
  <c r="L24" i="13"/>
  <c r="M24" i="13"/>
  <c r="O24" i="13"/>
  <c r="P24" i="13"/>
  <c r="E25" i="13"/>
  <c r="G25" i="13"/>
  <c r="H25" i="13"/>
  <c r="I25" i="13"/>
  <c r="K25" i="13"/>
  <c r="L25" i="13"/>
  <c r="M25" i="13"/>
  <c r="O25" i="13"/>
  <c r="P25" i="13"/>
  <c r="E26" i="13"/>
  <c r="G26" i="13"/>
  <c r="H26" i="13"/>
  <c r="I26" i="13"/>
  <c r="K26" i="13"/>
  <c r="L26" i="13"/>
  <c r="M26" i="13"/>
  <c r="O26" i="13"/>
  <c r="P26" i="13"/>
  <c r="E10" i="32" a="1"/>
  <c r="E10" i="32"/>
  <c r="G10" i="32"/>
  <c r="H10" i="32"/>
  <c r="I10" i="32" a="1"/>
  <c r="I10" i="32"/>
  <c r="K10" i="32"/>
  <c r="L10" i="32"/>
  <c r="M10" i="32" a="1"/>
  <c r="M10" i="32"/>
  <c r="O10" i="32"/>
  <c r="P10" i="32"/>
  <c r="Q10" i="32" a="1"/>
  <c r="Q10" i="32"/>
  <c r="S10" i="32"/>
  <c r="T10" i="32"/>
  <c r="U10" i="32" a="1"/>
  <c r="U10" i="32"/>
  <c r="W10" i="32"/>
  <c r="X10" i="32"/>
  <c r="E11" i="32" a="1"/>
  <c r="E11" i="32"/>
  <c r="G11" i="32"/>
  <c r="H11" i="32"/>
  <c r="I11" i="32" a="1"/>
  <c r="I11" i="32"/>
  <c r="K11" i="32"/>
  <c r="L11" i="32"/>
  <c r="M11" i="32" a="1"/>
  <c r="M11" i="32"/>
  <c r="O11" i="32"/>
  <c r="P11" i="32"/>
  <c r="Q11" i="32" a="1"/>
  <c r="Q11" i="32"/>
  <c r="S11" i="32"/>
  <c r="T11" i="32"/>
  <c r="U11" i="32" a="1"/>
  <c r="U11" i="32"/>
  <c r="W11" i="32"/>
  <c r="X11" i="32"/>
  <c r="E12" i="32" a="1"/>
  <c r="E12" i="32"/>
  <c r="G12" i="32"/>
  <c r="H12" i="32"/>
  <c r="I12" i="32" a="1"/>
  <c r="I12" i="32"/>
  <c r="K12" i="32"/>
  <c r="L12" i="32"/>
  <c r="M12" i="32" a="1"/>
  <c r="M12" i="32"/>
  <c r="O12" i="32"/>
  <c r="P12" i="32"/>
  <c r="Q12" i="32" a="1"/>
  <c r="Q12" i="32"/>
  <c r="S12" i="32"/>
  <c r="T12" i="32"/>
  <c r="U12" i="32" a="1"/>
  <c r="U12" i="32"/>
  <c r="W12" i="32"/>
  <c r="X12" i="32"/>
  <c r="E13" i="32" a="1"/>
  <c r="E13" i="32"/>
  <c r="F13" i="32"/>
  <c r="G13" i="32"/>
  <c r="H13" i="32"/>
  <c r="I13" i="32" a="1"/>
  <c r="I13" i="32"/>
  <c r="J13" i="32"/>
  <c r="K13" i="32"/>
  <c r="L13" i="32"/>
  <c r="M13" i="32" a="1"/>
  <c r="M13" i="32"/>
  <c r="N13" i="32"/>
  <c r="O13" i="32"/>
  <c r="P13" i="32"/>
  <c r="Q13" i="32" a="1"/>
  <c r="Q13" i="32"/>
  <c r="R13" i="32"/>
  <c r="S13" i="32"/>
  <c r="T13" i="32"/>
  <c r="U13" i="32" a="1"/>
  <c r="U13" i="32"/>
  <c r="W13" i="32"/>
  <c r="X13" i="32"/>
  <c r="E14" i="32" a="1"/>
  <c r="E14" i="32"/>
  <c r="F14" i="32"/>
  <c r="G14" i="32"/>
  <c r="H14" i="32"/>
  <c r="I14" i="32" a="1"/>
  <c r="I14" i="32"/>
  <c r="J14" i="32"/>
  <c r="K14" i="32"/>
  <c r="L14" i="32"/>
  <c r="M14" i="32" a="1"/>
  <c r="M14" i="32"/>
  <c r="N14" i="32"/>
  <c r="O14" i="32"/>
  <c r="P14" i="32"/>
  <c r="Q14" i="32" a="1"/>
  <c r="Q14" i="32"/>
  <c r="R14" i="32"/>
  <c r="S14" i="32"/>
  <c r="T14" i="32"/>
  <c r="U14" i="32" a="1"/>
  <c r="U14" i="32"/>
  <c r="W14" i="32"/>
  <c r="X14" i="32"/>
  <c r="E15" i="32" a="1"/>
  <c r="E15" i="32"/>
  <c r="F15" i="32"/>
  <c r="G15" i="32"/>
  <c r="H15" i="32"/>
  <c r="I15" i="32" a="1"/>
  <c r="I15" i="32"/>
  <c r="J15" i="32"/>
  <c r="K15" i="32"/>
  <c r="L15" i="32"/>
  <c r="M15" i="32" a="1"/>
  <c r="M15" i="32"/>
  <c r="N15" i="32"/>
  <c r="O15" i="32"/>
  <c r="P15" i="32"/>
  <c r="Q15" i="32" a="1"/>
  <c r="Q15" i="32"/>
  <c r="R15" i="32"/>
  <c r="S15" i="32"/>
  <c r="T15" i="32"/>
  <c r="U15" i="32" a="1"/>
  <c r="U15" i="32"/>
  <c r="W15" i="32"/>
  <c r="X15" i="32"/>
  <c r="E16" i="32" a="1"/>
  <c r="E16" i="32"/>
  <c r="G16" i="32"/>
  <c r="H16" i="32"/>
  <c r="I16" i="32" a="1"/>
  <c r="I16" i="32"/>
  <c r="K16" i="32"/>
  <c r="L16" i="32"/>
  <c r="M16" i="32" a="1"/>
  <c r="M16" i="32"/>
  <c r="O16" i="32"/>
  <c r="P16" i="32"/>
  <c r="Q16" i="32" a="1"/>
  <c r="Q16" i="32"/>
  <c r="S16" i="32"/>
  <c r="T16" i="32"/>
  <c r="U16" i="32" a="1"/>
  <c r="U16" i="32"/>
  <c r="W16" i="32"/>
  <c r="X16" i="32"/>
  <c r="E19" i="32"/>
  <c r="I19" i="32"/>
  <c r="M19" i="32"/>
  <c r="E20" i="32"/>
  <c r="I20" i="32"/>
  <c r="M20" i="32"/>
  <c r="E21" i="32"/>
  <c r="F21" i="32"/>
  <c r="I21" i="32"/>
  <c r="J21" i="32"/>
  <c r="M21" i="32"/>
  <c r="N21" i="32"/>
  <c r="Q23" i="32"/>
  <c r="E24" i="32" a="1"/>
  <c r="E24" i="32"/>
  <c r="G24" i="32"/>
  <c r="H24" i="32"/>
  <c r="I24" i="32" a="1"/>
  <c r="I24" i="32"/>
  <c r="K24" i="32"/>
  <c r="L24" i="32"/>
  <c r="M24" i="32" a="1"/>
  <c r="M24" i="32"/>
  <c r="O24" i="32"/>
  <c r="P24" i="32"/>
  <c r="Q24" i="32" a="1"/>
  <c r="Q24" i="32"/>
  <c r="S24" i="32"/>
  <c r="T24" i="32"/>
  <c r="U24" i="32" a="1"/>
  <c r="U24" i="32"/>
  <c r="W24" i="32"/>
  <c r="X24" i="32"/>
  <c r="E25" i="32" a="1"/>
  <c r="E25" i="32"/>
  <c r="G25" i="32"/>
  <c r="H25" i="32"/>
  <c r="I25" i="32" a="1"/>
  <c r="I25" i="32"/>
  <c r="K25" i="32"/>
  <c r="L25" i="32"/>
  <c r="M25" i="32" a="1"/>
  <c r="M25" i="32"/>
  <c r="O25" i="32"/>
  <c r="P25" i="32"/>
  <c r="Q25" i="32" a="1"/>
  <c r="Q25" i="32"/>
  <c r="S25" i="32"/>
  <c r="T25" i="32"/>
  <c r="U25" i="32" a="1"/>
  <c r="U25" i="32"/>
  <c r="W25" i="32"/>
  <c r="X25" i="32"/>
  <c r="E26" i="32" a="1"/>
  <c r="E26" i="32"/>
  <c r="G26" i="32"/>
  <c r="H26" i="32"/>
  <c r="I26" i="32" a="1"/>
  <c r="I26" i="32"/>
  <c r="K26" i="32"/>
  <c r="L26" i="32"/>
  <c r="M26" i="32" a="1"/>
  <c r="M26" i="32"/>
  <c r="O26" i="32"/>
  <c r="P26" i="32"/>
  <c r="Q26" i="32" a="1"/>
  <c r="Q26" i="32"/>
  <c r="S26" i="32"/>
  <c r="T26" i="32"/>
  <c r="U26" i="32" a="1"/>
  <c r="U26" i="32"/>
  <c r="W26" i="32"/>
  <c r="X26" i="32"/>
  <c r="E27" i="32" a="1"/>
  <c r="E27" i="32"/>
  <c r="F27" i="32"/>
  <c r="G27" i="32"/>
  <c r="H27" i="32"/>
  <c r="I27" i="32" a="1"/>
  <c r="I27" i="32"/>
  <c r="J27" i="32"/>
  <c r="K27" i="32"/>
  <c r="L27" i="32"/>
  <c r="M27" i="32" a="1"/>
  <c r="M27" i="32"/>
  <c r="N27" i="32"/>
  <c r="O27" i="32"/>
  <c r="P27" i="32"/>
  <c r="Q27" i="32" a="1"/>
  <c r="Q27" i="32"/>
  <c r="R27" i="32"/>
  <c r="S27" i="32"/>
  <c r="T27" i="32"/>
  <c r="U27" i="32" a="1"/>
  <c r="U27" i="32"/>
  <c r="W27" i="32"/>
  <c r="X27" i="32"/>
  <c r="E28" i="32" a="1"/>
  <c r="E28" i="32"/>
  <c r="F28" i="32"/>
  <c r="G28" i="32"/>
  <c r="H28" i="32"/>
  <c r="I28" i="32" a="1"/>
  <c r="I28" i="32"/>
  <c r="J28" i="32"/>
  <c r="K28" i="32"/>
  <c r="L28" i="32"/>
  <c r="M28" i="32" a="1"/>
  <c r="M28" i="32"/>
  <c r="N28" i="32"/>
  <c r="O28" i="32"/>
  <c r="P28" i="32"/>
  <c r="Q28" i="32" a="1"/>
  <c r="Q28" i="32"/>
  <c r="R28" i="32"/>
  <c r="S28" i="32"/>
  <c r="T28" i="32"/>
  <c r="U28" i="32" a="1"/>
  <c r="U28" i="32"/>
  <c r="W28" i="32"/>
  <c r="X28" i="32"/>
  <c r="E29" i="32" a="1"/>
  <c r="E29" i="32"/>
  <c r="F29" i="32"/>
  <c r="G29" i="32"/>
  <c r="H29" i="32"/>
  <c r="I29" i="32" a="1"/>
  <c r="I29" i="32"/>
  <c r="J29" i="32"/>
  <c r="K29" i="32"/>
  <c r="L29" i="32"/>
  <c r="M29" i="32" a="1"/>
  <c r="M29" i="32"/>
  <c r="N29" i="32"/>
  <c r="O29" i="32"/>
  <c r="P29" i="32"/>
  <c r="Q29" i="32" a="1"/>
  <c r="Q29" i="32"/>
  <c r="R29" i="32"/>
  <c r="S29" i="32"/>
  <c r="T29" i="32"/>
  <c r="U29" i="32" a="1"/>
  <c r="U29" i="32"/>
  <c r="W29" i="32"/>
  <c r="X29" i="32"/>
  <c r="E30" i="32" a="1"/>
  <c r="E30" i="32"/>
  <c r="G30" i="32"/>
  <c r="H30" i="32"/>
  <c r="I30" i="32" a="1"/>
  <c r="I30" i="32"/>
  <c r="K30" i="32"/>
  <c r="L30" i="32"/>
  <c r="M30" i="32" a="1"/>
  <c r="M30" i="32"/>
  <c r="O30" i="32"/>
  <c r="P30" i="32"/>
  <c r="Q30" i="32" a="1"/>
  <c r="Q30" i="32"/>
  <c r="S30" i="32"/>
  <c r="T30" i="32"/>
  <c r="U30" i="32" a="1"/>
  <c r="U30" i="32"/>
  <c r="W30" i="32"/>
  <c r="X30" i="32"/>
  <c r="E33" i="32" a="1"/>
  <c r="E33" i="32"/>
  <c r="G33" i="32"/>
  <c r="H33" i="32"/>
  <c r="I33" i="32" a="1"/>
  <c r="I33" i="32"/>
  <c r="K33" i="32"/>
  <c r="L33" i="32"/>
  <c r="M33" i="32" a="1"/>
  <c r="M33" i="32"/>
  <c r="O33" i="32"/>
  <c r="P33" i="32"/>
  <c r="Q33" i="32" a="1"/>
  <c r="Q33" i="32"/>
  <c r="S33" i="32"/>
  <c r="T33" i="32"/>
  <c r="U33" i="32" a="1"/>
  <c r="U33" i="32"/>
  <c r="W33" i="32"/>
  <c r="X33" i="32"/>
  <c r="E34" i="32" a="1"/>
  <c r="E34" i="32"/>
  <c r="G34" i="32"/>
  <c r="H34" i="32"/>
  <c r="I34" i="32" a="1"/>
  <c r="I34" i="32"/>
  <c r="K34" i="32"/>
  <c r="L34" i="32"/>
  <c r="M34" i="32" a="1"/>
  <c r="M34" i="32"/>
  <c r="O34" i="32"/>
  <c r="P34" i="32"/>
  <c r="Q34" i="32" a="1"/>
  <c r="Q34" i="32"/>
  <c r="S34" i="32"/>
  <c r="T34" i="32"/>
  <c r="U34" i="32" a="1"/>
  <c r="U34" i="32"/>
  <c r="W34" i="32"/>
  <c r="X34" i="32"/>
  <c r="E35" i="32" a="1"/>
  <c r="E35" i="32"/>
  <c r="G35" i="32"/>
  <c r="H35" i="32"/>
  <c r="I35" i="32" a="1"/>
  <c r="I35" i="32"/>
  <c r="K35" i="32"/>
  <c r="L35" i="32"/>
  <c r="M35" i="32" a="1"/>
  <c r="M35" i="32"/>
  <c r="O35" i="32"/>
  <c r="P35" i="32"/>
  <c r="Q35" i="32" a="1"/>
  <c r="Q35" i="32"/>
  <c r="S35" i="32"/>
  <c r="T35" i="32"/>
  <c r="U35" i="32" a="1"/>
  <c r="U35" i="32"/>
  <c r="W35" i="32"/>
  <c r="X35" i="32"/>
  <c r="E36" i="32" a="1"/>
  <c r="E36" i="32"/>
  <c r="F36" i="32"/>
  <c r="G36" i="32"/>
  <c r="H36" i="32"/>
  <c r="I36" i="32" a="1"/>
  <c r="I36" i="32"/>
  <c r="J36" i="32"/>
  <c r="K36" i="32"/>
  <c r="L36" i="32"/>
  <c r="M36" i="32" a="1"/>
  <c r="M36" i="32"/>
  <c r="N36" i="32"/>
  <c r="O36" i="32"/>
  <c r="P36" i="32"/>
  <c r="Q36" i="32" a="1"/>
  <c r="Q36" i="32"/>
  <c r="R36" i="32"/>
  <c r="S36" i="32"/>
  <c r="T36" i="32"/>
  <c r="U36" i="32" a="1"/>
  <c r="U36" i="32"/>
  <c r="W36" i="32"/>
  <c r="X36" i="32"/>
  <c r="E37" i="32" a="1"/>
  <c r="E37" i="32"/>
  <c r="F37" i="32"/>
  <c r="G37" i="32"/>
  <c r="H37" i="32"/>
  <c r="I37" i="32" a="1"/>
  <c r="I37" i="32"/>
  <c r="J37" i="32"/>
  <c r="K37" i="32"/>
  <c r="L37" i="32"/>
  <c r="M37" i="32" a="1"/>
  <c r="M37" i="32"/>
  <c r="N37" i="32"/>
  <c r="O37" i="32"/>
  <c r="P37" i="32"/>
  <c r="Q37" i="32" a="1"/>
  <c r="Q37" i="32"/>
  <c r="R37" i="32"/>
  <c r="S37" i="32"/>
  <c r="T37" i="32"/>
  <c r="U37" i="32" a="1"/>
  <c r="U37" i="32"/>
  <c r="W37" i="32"/>
  <c r="X37" i="32"/>
  <c r="E38" i="32" a="1"/>
  <c r="E38" i="32"/>
  <c r="F38" i="32"/>
  <c r="G38" i="32"/>
  <c r="H38" i="32"/>
  <c r="I38" i="32" a="1"/>
  <c r="I38" i="32"/>
  <c r="J38" i="32"/>
  <c r="K38" i="32"/>
  <c r="L38" i="32"/>
  <c r="M38" i="32" a="1"/>
  <c r="M38" i="32"/>
  <c r="N38" i="32"/>
  <c r="O38" i="32"/>
  <c r="P38" i="32"/>
  <c r="Q38" i="32" a="1"/>
  <c r="Q38" i="32"/>
  <c r="R38" i="32"/>
  <c r="S38" i="32"/>
  <c r="T38" i="32"/>
  <c r="U38" i="32" a="1"/>
  <c r="U38" i="32"/>
  <c r="W38" i="32"/>
  <c r="X38" i="32"/>
  <c r="E39" i="32" a="1"/>
  <c r="E39" i="32"/>
  <c r="G39" i="32"/>
  <c r="H39" i="32"/>
  <c r="I39" i="32" a="1"/>
  <c r="I39" i="32"/>
  <c r="K39" i="32"/>
  <c r="L39" i="32"/>
  <c r="M39" i="32" a="1"/>
  <c r="M39" i="32"/>
  <c r="O39" i="32"/>
  <c r="P39" i="32"/>
  <c r="Q39" i="32" a="1"/>
  <c r="Q39" i="32"/>
  <c r="S39" i="32"/>
  <c r="T39" i="32"/>
  <c r="U39" i="32" a="1"/>
  <c r="U39" i="32"/>
  <c r="W39" i="32"/>
  <c r="X39" i="32"/>
  <c r="J11" i="12"/>
  <c r="K11" i="12"/>
  <c r="L11" i="12"/>
  <c r="M11" i="12"/>
  <c r="J12" i="12"/>
  <c r="K12" i="12"/>
  <c r="L12" i="12"/>
  <c r="M12" i="12"/>
  <c r="J17" i="12"/>
  <c r="K17" i="12"/>
  <c r="L17" i="12"/>
  <c r="M17" i="12"/>
  <c r="J18" i="12"/>
  <c r="K18" i="12"/>
  <c r="L18" i="12"/>
  <c r="M18" i="12"/>
  <c r="J21" i="12"/>
  <c r="K21" i="12"/>
  <c r="L21" i="12"/>
  <c r="M21" i="12"/>
  <c r="J22" i="12"/>
  <c r="K22" i="12"/>
  <c r="L22" i="12"/>
  <c r="M22" i="12"/>
  <c r="E26" i="12" a="1"/>
  <c r="E26" i="12"/>
  <c r="E27" i="12" a="1"/>
  <c r="E27" i="12"/>
  <c r="K27" i="12"/>
  <c r="L27" i="12"/>
  <c r="M27" i="12"/>
  <c r="E28" i="12"/>
  <c r="L28" i="12"/>
  <c r="M28" i="12"/>
  <c r="E29" i="12" a="1"/>
  <c r="E29" i="12"/>
  <c r="K29" i="12"/>
  <c r="E30" i="12"/>
  <c r="E31" i="12" a="1"/>
  <c r="E31" i="12"/>
  <c r="H31" i="12" a="1"/>
  <c r="H31" i="12"/>
  <c r="M31" i="12"/>
  <c r="M33" i="12"/>
  <c r="E36" i="12"/>
  <c r="M40" i="12"/>
  <c r="E46" i="12"/>
  <c r="E47" i="12"/>
  <c r="E48" i="12"/>
  <c r="E49" i="12"/>
  <c r="L50" i="12"/>
  <c r="M50" i="12"/>
  <c r="E51" i="12"/>
  <c r="E52" i="12"/>
  <c r="E55" i="12"/>
  <c r="C61" i="12"/>
  <c r="D72" i="12"/>
  <c r="D73" i="12" a="1"/>
  <c r="D73" i="12"/>
  <c r="D78" i="12"/>
  <c r="E78" i="12"/>
  <c r="F78" i="12"/>
  <c r="G78" i="12"/>
  <c r="H78" i="12"/>
  <c r="J78" i="12"/>
  <c r="K78" i="12"/>
  <c r="L78" i="12"/>
  <c r="M78" i="12"/>
  <c r="N78" i="12"/>
  <c r="D79" i="12"/>
  <c r="E79" i="12"/>
  <c r="F79" i="12"/>
  <c r="G79" i="12"/>
  <c r="H79" i="12"/>
  <c r="J79" i="12"/>
  <c r="K79" i="12"/>
  <c r="L79" i="12"/>
  <c r="M79" i="12"/>
  <c r="N79" i="12"/>
  <c r="E80" i="12"/>
  <c r="F80" i="12"/>
  <c r="G80" i="12"/>
  <c r="K80" i="12"/>
  <c r="L80" i="12"/>
  <c r="M80" i="12"/>
  <c r="D85" i="12"/>
  <c r="E85" i="12"/>
  <c r="F85" i="12"/>
  <c r="G85" i="12"/>
  <c r="H85" i="12"/>
  <c r="J85" i="12"/>
  <c r="K85" i="12"/>
  <c r="L85" i="12"/>
  <c r="M85" i="12"/>
  <c r="N85" i="12"/>
  <c r="E86" i="12"/>
  <c r="F86" i="12"/>
  <c r="G86" i="12"/>
  <c r="J86" i="12"/>
  <c r="K86" i="12"/>
  <c r="L86" i="12"/>
  <c r="M86" i="12"/>
  <c r="N86" i="12"/>
  <c r="K87" i="12"/>
  <c r="L87" i="12"/>
  <c r="M87" i="12"/>
  <c r="D101" i="12"/>
  <c r="E101" i="12"/>
  <c r="F101" i="12"/>
  <c r="G101" i="12"/>
  <c r="D103" i="12"/>
  <c r="E103" i="12"/>
  <c r="F103" i="12"/>
  <c r="G103" i="12"/>
  <c r="F106" i="12"/>
  <c r="L106" i="12"/>
  <c r="M106" i="12"/>
  <c r="AE106" i="12"/>
  <c r="F107" i="12"/>
  <c r="AE107" i="12"/>
  <c r="F108" i="12"/>
  <c r="AE108" i="12"/>
  <c r="F110" i="12"/>
  <c r="AE110" i="12"/>
  <c r="F113" i="12"/>
  <c r="AE113" i="12"/>
  <c r="F118" i="12"/>
  <c r="F120" i="12"/>
  <c r="F121" i="12"/>
  <c r="Y24" i="9"/>
  <c r="Z24" i="9"/>
  <c r="AA24" i="9"/>
  <c r="AB24" i="9"/>
  <c r="AC24" i="9"/>
  <c r="AK24" i="9"/>
  <c r="AL24" i="9"/>
  <c r="AM24" i="9"/>
  <c r="AN24" i="9"/>
  <c r="AO24" i="9"/>
  <c r="AA25" i="9"/>
  <c r="AB25" i="9"/>
  <c r="AC25" i="9"/>
  <c r="AL25" i="9"/>
  <c r="AM25" i="9"/>
  <c r="AN25" i="9"/>
  <c r="AO25" i="9"/>
  <c r="Y26" i="9"/>
  <c r="Z26" i="9"/>
  <c r="AA26" i="9"/>
  <c r="AB26" i="9"/>
  <c r="AC26" i="9"/>
  <c r="AK26" i="9"/>
  <c r="AL26" i="9"/>
  <c r="AM26" i="9"/>
  <c r="AN26" i="9"/>
  <c r="AO26" i="9"/>
  <c r="Y29" i="9"/>
  <c r="Z29" i="9"/>
  <c r="AA29" i="9"/>
  <c r="AB29" i="9"/>
  <c r="AC29" i="9"/>
  <c r="AK29" i="9"/>
  <c r="AL29" i="9"/>
  <c r="AM29" i="9"/>
  <c r="AN29" i="9"/>
  <c r="AO29" i="9"/>
  <c r="AA48" i="9"/>
  <c r="AB48" i="9"/>
  <c r="AC48" i="9"/>
  <c r="AL48" i="9"/>
  <c r="AM48" i="9"/>
  <c r="AN48" i="9"/>
  <c r="AO48" i="9"/>
  <c r="AA49" i="9"/>
  <c r="AB49" i="9"/>
  <c r="AC49" i="9"/>
  <c r="AL49" i="9"/>
  <c r="AM49" i="9"/>
  <c r="AN49" i="9"/>
  <c r="AO49" i="9"/>
  <c r="AA50" i="9"/>
  <c r="AB50" i="9"/>
  <c r="AC50" i="9"/>
  <c r="AL50" i="9"/>
  <c r="AM50" i="9"/>
  <c r="AN50" i="9"/>
  <c r="AO50" i="9"/>
  <c r="AA52" i="9"/>
  <c r="AB52" i="9"/>
  <c r="AC52" i="9"/>
  <c r="AA69" i="9"/>
  <c r="AB69" i="9"/>
  <c r="AC69" i="9"/>
  <c r="AL69" i="9"/>
  <c r="AM69" i="9"/>
  <c r="AN69" i="9"/>
  <c r="AO69" i="9"/>
  <c r="AA70" i="9"/>
  <c r="AB70" i="9"/>
  <c r="AC70" i="9"/>
  <c r="AL70" i="9"/>
  <c r="AM70" i="9"/>
  <c r="AN70" i="9"/>
  <c r="AO70" i="9"/>
  <c r="AA71" i="9"/>
  <c r="AB71" i="9"/>
  <c r="AC71" i="9"/>
  <c r="AL71" i="9"/>
  <c r="AM71" i="9"/>
  <c r="AN71" i="9"/>
  <c r="AO71" i="9"/>
  <c r="AA88" i="9"/>
  <c r="AB88" i="9"/>
  <c r="AC88" i="9"/>
  <c r="AL88" i="9"/>
  <c r="AM88" i="9"/>
  <c r="AN88" i="9"/>
  <c r="AO88" i="9"/>
  <c r="AA89" i="9"/>
  <c r="AB89" i="9"/>
  <c r="AC89" i="9"/>
  <c r="AL89" i="9"/>
  <c r="AM89" i="9"/>
  <c r="AN89" i="9"/>
  <c r="AO89" i="9"/>
  <c r="AA90" i="9"/>
  <c r="AB90" i="9"/>
  <c r="AC90" i="9"/>
  <c r="AL90" i="9"/>
  <c r="AM90" i="9"/>
  <c r="AN90" i="9"/>
  <c r="AO90" i="9"/>
  <c r="AA94" i="9"/>
  <c r="AB94" i="9"/>
  <c r="AC94" i="9"/>
  <c r="AM94" i="9"/>
  <c r="AN94" i="9"/>
  <c r="AO94" i="9"/>
  <c r="AB95" i="9"/>
  <c r="AC95" i="9"/>
  <c r="AM95" i="9"/>
  <c r="AN95" i="9"/>
  <c r="AO95" i="9"/>
  <c r="AA99" i="9"/>
  <c r="AB99" i="9"/>
  <c r="AC99" i="9"/>
  <c r="AM99" i="9"/>
  <c r="AN99" i="9"/>
  <c r="AO99" i="9"/>
  <c r="AA101" i="9"/>
  <c r="AB101" i="9"/>
  <c r="AC101" i="9"/>
  <c r="AL101" i="9"/>
  <c r="AM101" i="9"/>
  <c r="AN101" i="9"/>
  <c r="AO101" i="9"/>
  <c r="AA104" i="9"/>
  <c r="AB104" i="9"/>
  <c r="AC104" i="9"/>
  <c r="AM104" i="9"/>
  <c r="AN104" i="9"/>
  <c r="AO104" i="9"/>
  <c r="AA105" i="9"/>
  <c r="AB105" i="9"/>
  <c r="AC105" i="9"/>
  <c r="AM105" i="9"/>
  <c r="AN105" i="9"/>
  <c r="AO105" i="9"/>
  <c r="Y106" i="9"/>
  <c r="Z106" i="9"/>
  <c r="AA106" i="9"/>
  <c r="AB106" i="9"/>
  <c r="AC106" i="9"/>
  <c r="AK106" i="9"/>
  <c r="AL106" i="9"/>
  <c r="AM106" i="9"/>
  <c r="AN106" i="9"/>
  <c r="AO106" i="9"/>
  <c r="AB109" i="9"/>
  <c r="AC109" i="9"/>
  <c r="AM109" i="9"/>
  <c r="AN109" i="9"/>
  <c r="AO109" i="9"/>
  <c r="AA110" i="9"/>
  <c r="AB110" i="9"/>
  <c r="AC110" i="9"/>
  <c r="AM110" i="9"/>
  <c r="AN110" i="9"/>
  <c r="AO110" i="9"/>
  <c r="AA111" i="9"/>
  <c r="AB111" i="9"/>
  <c r="AC111" i="9"/>
  <c r="AL111" i="9"/>
  <c r="AM111" i="9"/>
  <c r="AN111" i="9"/>
  <c r="AO111" i="9"/>
  <c r="AH4" i="1"/>
  <c r="AI4" i="1"/>
  <c r="AJ4" i="1"/>
  <c r="AU4" i="1"/>
  <c r="AV4" i="1"/>
  <c r="AW4" i="1"/>
  <c r="AX4" i="1"/>
  <c r="AH5" i="1"/>
  <c r="AI5" i="1"/>
  <c r="AJ5" i="1"/>
  <c r="AU5" i="1"/>
  <c r="AV5" i="1"/>
  <c r="AW5" i="1"/>
  <c r="AX5" i="1"/>
  <c r="AH40" i="1"/>
  <c r="AI40" i="1"/>
  <c r="AJ40" i="1"/>
  <c r="AU40" i="1"/>
  <c r="AV40" i="1"/>
  <c r="AW40" i="1"/>
  <c r="AX40" i="1"/>
  <c r="AH41" i="1"/>
  <c r="AI41" i="1"/>
  <c r="AJ41" i="1"/>
  <c r="AU41" i="1"/>
  <c r="AV41" i="1"/>
  <c r="AW41" i="1"/>
  <c r="AX41" i="1"/>
  <c r="AH43" i="1"/>
  <c r="AI43" i="1"/>
  <c r="AJ43" i="1"/>
  <c r="AU43" i="1"/>
  <c r="AV43" i="1"/>
  <c r="AW43" i="1"/>
  <c r="AX43" i="1"/>
  <c r="AH44" i="1"/>
  <c r="AI44" i="1"/>
  <c r="AJ44" i="1"/>
  <c r="AU44" i="1"/>
  <c r="AV44" i="1"/>
  <c r="AW44" i="1"/>
  <c r="AX44" i="1"/>
  <c r="AH46" i="1"/>
  <c r="AI46" i="1"/>
  <c r="AJ46" i="1"/>
  <c r="AU46" i="1"/>
  <c r="AV46" i="1"/>
  <c r="AW46" i="1"/>
  <c r="AX46" i="1"/>
  <c r="AU47" i="1"/>
  <c r="AH50" i="1"/>
  <c r="AI50" i="1"/>
  <c r="AJ50" i="1"/>
  <c r="AU50" i="1"/>
  <c r="AV50" i="1"/>
  <c r="AW50" i="1"/>
  <c r="AX50" i="1"/>
  <c r="AH51" i="1"/>
  <c r="AI51" i="1"/>
  <c r="AJ51" i="1"/>
  <c r="AU51" i="1"/>
  <c r="AV51" i="1"/>
  <c r="AW51" i="1"/>
  <c r="AX51" i="1"/>
  <c r="AH52" i="1"/>
  <c r="AI52" i="1"/>
  <c r="AJ52" i="1"/>
  <c r="AU52" i="1"/>
  <c r="AV52" i="1"/>
  <c r="AW52" i="1"/>
  <c r="AX52" i="1"/>
  <c r="AH55" i="1"/>
  <c r="AI55" i="1"/>
  <c r="AJ55" i="1"/>
  <c r="AU55" i="1"/>
  <c r="AV55" i="1"/>
  <c r="AW55" i="1"/>
  <c r="AX55" i="1"/>
  <c r="AH63" i="1"/>
  <c r="AI63" i="1"/>
  <c r="AJ63" i="1"/>
  <c r="AU63" i="1"/>
  <c r="AV63" i="1"/>
  <c r="AW63" i="1"/>
  <c r="AX63" i="1"/>
  <c r="AH64" i="1"/>
  <c r="AI64" i="1"/>
  <c r="AJ64" i="1"/>
  <c r="AU64" i="1"/>
  <c r="AV64" i="1"/>
  <c r="AW64" i="1"/>
  <c r="AX64"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L68" i="1"/>
  <c r="AM68" i="1"/>
  <c r="AN68" i="1"/>
  <c r="AO68" i="1"/>
  <c r="AP68" i="1"/>
  <c r="H69" i="1"/>
  <c r="I69" i="1"/>
  <c r="J69" i="1"/>
  <c r="K69" i="1"/>
  <c r="L69" i="1"/>
  <c r="M69" i="1"/>
  <c r="N69" i="1"/>
  <c r="O69" i="1"/>
  <c r="P69" i="1"/>
  <c r="Q69" i="1"/>
  <c r="R69" i="1"/>
  <c r="S69" i="1"/>
  <c r="T69" i="1"/>
  <c r="U69" i="1"/>
  <c r="V69" i="1"/>
  <c r="W69" i="1"/>
  <c r="X69" i="1"/>
  <c r="Y69" i="1"/>
  <c r="Z69" i="1"/>
  <c r="AA69" i="1"/>
  <c r="AB69" i="1"/>
  <c r="AC69" i="1"/>
  <c r="AD69" i="1"/>
  <c r="AE69" i="1"/>
  <c r="AF69" i="1"/>
  <c r="AG69" i="1"/>
  <c r="AL69" i="1"/>
  <c r="AM69" i="1"/>
  <c r="AN69" i="1"/>
  <c r="AO69" i="1"/>
  <c r="AP69" i="1"/>
  <c r="AH102" i="1"/>
  <c r="AI102" i="1"/>
  <c r="AJ102" i="1"/>
  <c r="AU102" i="1"/>
  <c r="AV102" i="1"/>
  <c r="AW102" i="1"/>
  <c r="AX102" i="1"/>
  <c r="AH103" i="1"/>
  <c r="AI103" i="1"/>
  <c r="AJ103" i="1"/>
  <c r="AU103" i="1"/>
  <c r="AV103" i="1"/>
  <c r="AW103" i="1"/>
  <c r="AX103" i="1"/>
  <c r="AH105" i="1"/>
  <c r="AI105" i="1"/>
  <c r="AJ105" i="1"/>
  <c r="AU105" i="1"/>
  <c r="AV105" i="1"/>
  <c r="AW105" i="1"/>
  <c r="AX105" i="1"/>
  <c r="AH107" i="1"/>
  <c r="AI107" i="1"/>
  <c r="AJ107" i="1"/>
  <c r="AU107" i="1"/>
  <c r="AV107" i="1"/>
  <c r="AW107" i="1"/>
  <c r="AX107" i="1"/>
  <c r="AH108" i="1"/>
  <c r="AI108" i="1"/>
  <c r="AJ108" i="1"/>
  <c r="AU108" i="1"/>
  <c r="AV108" i="1"/>
  <c r="AW108" i="1"/>
  <c r="AX108" i="1"/>
  <c r="AH110" i="1"/>
  <c r="AI110" i="1"/>
  <c r="AJ110" i="1"/>
  <c r="AU110" i="1"/>
  <c r="AV110" i="1"/>
  <c r="AW110" i="1"/>
  <c r="AX110" i="1"/>
  <c r="AH111" i="1"/>
  <c r="AI111" i="1"/>
  <c r="AJ111" i="1"/>
  <c r="AU111" i="1"/>
  <c r="AV111" i="1"/>
  <c r="AW111" i="1"/>
  <c r="AX111" i="1"/>
  <c r="AH112" i="1"/>
  <c r="AI112" i="1"/>
  <c r="AJ112" i="1"/>
  <c r="AU112" i="1"/>
  <c r="AV112" i="1"/>
  <c r="AW112" i="1"/>
  <c r="AX112" i="1"/>
  <c r="AH114" i="1"/>
  <c r="AI114" i="1"/>
  <c r="AJ114" i="1"/>
  <c r="AU114" i="1"/>
  <c r="AV114" i="1"/>
  <c r="AW114" i="1"/>
  <c r="AX114" i="1"/>
  <c r="AH116" i="1"/>
  <c r="AI116" i="1"/>
  <c r="AJ116" i="1"/>
  <c r="AU116" i="1"/>
  <c r="AV116" i="1"/>
  <c r="AW116" i="1"/>
  <c r="AX116" i="1"/>
  <c r="AH117" i="1"/>
  <c r="AI117" i="1"/>
  <c r="AJ117" i="1"/>
  <c r="AU117" i="1"/>
  <c r="AV117" i="1"/>
  <c r="AW117" i="1"/>
  <c r="AX117" i="1"/>
  <c r="AH124" i="1"/>
  <c r="AI124" i="1"/>
  <c r="AJ124" i="1"/>
  <c r="AU124" i="1"/>
  <c r="AV124" i="1"/>
  <c r="AW124" i="1"/>
  <c r="AX124" i="1"/>
  <c r="AH125" i="1"/>
  <c r="AI125" i="1"/>
  <c r="AJ125" i="1"/>
  <c r="AU125" i="1"/>
  <c r="AV125" i="1"/>
  <c r="AW125" i="1"/>
  <c r="AX125" i="1"/>
  <c r="AH126" i="1"/>
  <c r="AI126" i="1"/>
  <c r="AJ126" i="1"/>
  <c r="AU126" i="1"/>
  <c r="AV126" i="1"/>
  <c r="AW126" i="1"/>
  <c r="AX126" i="1"/>
  <c r="AH128" i="1"/>
  <c r="AI128" i="1"/>
  <c r="AJ128" i="1"/>
  <c r="AU128" i="1"/>
  <c r="AV128" i="1"/>
  <c r="AW128" i="1"/>
  <c r="AX128" i="1"/>
  <c r="AH192" i="1"/>
  <c r="AI192" i="1"/>
  <c r="AJ192" i="1"/>
  <c r="AU192" i="1"/>
  <c r="AV192" i="1"/>
  <c r="AW192" i="1"/>
  <c r="AX192" i="1"/>
  <c r="AH209" i="1"/>
  <c r="AI209" i="1"/>
  <c r="AJ209" i="1"/>
  <c r="AU209" i="1"/>
  <c r="AV209" i="1"/>
  <c r="AW209" i="1"/>
  <c r="AX209" i="1"/>
  <c r="AH211" i="1"/>
  <c r="AI211" i="1"/>
  <c r="AJ211" i="1"/>
  <c r="AU211" i="1"/>
  <c r="AV211" i="1"/>
  <c r="AW211" i="1"/>
  <c r="AX211" i="1"/>
  <c r="AH218" i="1"/>
  <c r="AI218" i="1"/>
  <c r="AJ218" i="1"/>
  <c r="AU218" i="1"/>
  <c r="AV218" i="1"/>
  <c r="AW218" i="1"/>
  <c r="AX218" i="1"/>
  <c r="AH220" i="1"/>
  <c r="AI220" i="1"/>
  <c r="AJ220" i="1"/>
  <c r="AU220" i="1"/>
  <c r="AV220" i="1"/>
  <c r="AW220" i="1"/>
  <c r="AX220" i="1"/>
  <c r="AH237" i="1"/>
  <c r="AI237" i="1"/>
  <c r="AJ237" i="1"/>
  <c r="AU237" i="1"/>
  <c r="AV237" i="1"/>
  <c r="AW237" i="1"/>
  <c r="AX237" i="1"/>
  <c r="AH239" i="1"/>
  <c r="AI239" i="1"/>
  <c r="AJ239" i="1"/>
  <c r="AU239" i="1"/>
  <c r="AV239" i="1"/>
  <c r="AW239" i="1"/>
  <c r="AX239" i="1"/>
  <c r="AH245" i="1"/>
  <c r="AI245" i="1"/>
  <c r="AJ245" i="1"/>
  <c r="AU245" i="1"/>
  <c r="AV245" i="1"/>
  <c r="AW245" i="1"/>
  <c r="AX245" i="1"/>
  <c r="AG254" i="1"/>
  <c r="AU254" i="1"/>
  <c r="AG258" i="1"/>
  <c r="AU258" i="1"/>
  <c r="AG260" i="1"/>
  <c r="AU260" i="1"/>
  <c r="AG263" i="1"/>
  <c r="AU263" i="1"/>
  <c r="AG267" i="1"/>
  <c r="AU267" i="1"/>
  <c r="Y437" i="1"/>
  <c r="Z437" i="1"/>
  <c r="AA437" i="1"/>
  <c r="AB437" i="1"/>
  <c r="AC437" i="1"/>
  <c r="AD437" i="1"/>
  <c r="AE437" i="1"/>
  <c r="AF437" i="1"/>
  <c r="AG437" i="1"/>
  <c r="AT437" i="1"/>
  <c r="AU437" i="1"/>
  <c r="Y441" i="1"/>
  <c r="Z441" i="1"/>
  <c r="AA441" i="1"/>
  <c r="AB441" i="1"/>
  <c r="AC441" i="1"/>
  <c r="AD441" i="1"/>
  <c r="AE441" i="1"/>
  <c r="AF441" i="1"/>
  <c r="AG441" i="1"/>
  <c r="AT441" i="1"/>
  <c r="AU441" i="1"/>
  <c r="Y443" i="1"/>
  <c r="Z443" i="1"/>
  <c r="AA443" i="1"/>
  <c r="AB443" i="1"/>
  <c r="AC443" i="1"/>
  <c r="AD443" i="1"/>
  <c r="AE443" i="1"/>
  <c r="AF443" i="1"/>
  <c r="AG443" i="1"/>
  <c r="AT443" i="1"/>
  <c r="AU443" i="1"/>
  <c r="Y446" i="1"/>
  <c r="Z446" i="1"/>
  <c r="AA446" i="1"/>
  <c r="AB446" i="1"/>
  <c r="AC446" i="1"/>
  <c r="AD446" i="1"/>
  <c r="AE446" i="1"/>
  <c r="AF446" i="1"/>
  <c r="AG446" i="1"/>
  <c r="AT446" i="1"/>
  <c r="AU446" i="1"/>
  <c r="Y450" i="1"/>
  <c r="Z450" i="1"/>
  <c r="AA450" i="1"/>
  <c r="AB450" i="1"/>
  <c r="AC450" i="1"/>
  <c r="AD450" i="1"/>
  <c r="AE450" i="1"/>
  <c r="AF450" i="1"/>
  <c r="AG450" i="1"/>
  <c r="AT450" i="1"/>
  <c r="AU450" i="1"/>
  <c r="AH738" i="1"/>
  <c r="AI738" i="1"/>
  <c r="AJ738" i="1"/>
  <c r="AU738" i="1"/>
  <c r="AV738" i="1"/>
  <c r="AW738" i="1"/>
  <c r="AX738" i="1"/>
  <c r="AH744" i="1"/>
  <c r="AI744" i="1"/>
  <c r="AJ744" i="1"/>
  <c r="AU744" i="1"/>
  <c r="AV744" i="1"/>
  <c r="AW744" i="1"/>
  <c r="AX744" i="1"/>
  <c r="AH753" i="1"/>
  <c r="AI753" i="1"/>
  <c r="AJ753" i="1"/>
  <c r="AU753" i="1"/>
  <c r="AV753" i="1"/>
  <c r="AW753" i="1"/>
  <c r="AX753" i="1"/>
  <c r="AH764" i="1"/>
  <c r="AI764" i="1"/>
  <c r="AJ764" i="1"/>
  <c r="AU764" i="1"/>
  <c r="AV764" i="1"/>
  <c r="AW764" i="1"/>
  <c r="AX764" i="1"/>
  <c r="AH766" i="1"/>
  <c r="AI766" i="1"/>
  <c r="AJ766" i="1"/>
  <c r="AU766" i="1"/>
  <c r="AV766" i="1"/>
  <c r="AW766" i="1"/>
  <c r="AX766" i="1"/>
  <c r="AH770" i="1"/>
  <c r="AI770" i="1"/>
  <c r="AJ770" i="1"/>
  <c r="AU770" i="1"/>
  <c r="AV770" i="1"/>
  <c r="AW770" i="1"/>
  <c r="AX770" i="1"/>
  <c r="AH774" i="1"/>
  <c r="AI774" i="1"/>
  <c r="AJ774" i="1"/>
  <c r="AU774" i="1"/>
  <c r="AV774" i="1"/>
  <c r="AW774" i="1"/>
  <c r="AX774" i="1"/>
  <c r="AH777" i="1"/>
  <c r="AI777" i="1"/>
  <c r="AJ777" i="1"/>
  <c r="AU777" i="1"/>
  <c r="AV777" i="1"/>
  <c r="AW777" i="1"/>
  <c r="AX777" i="1"/>
  <c r="AH780" i="1"/>
  <c r="AI780" i="1"/>
  <c r="AJ780" i="1"/>
  <c r="AU780" i="1"/>
  <c r="AV780" i="1"/>
  <c r="AW780" i="1"/>
  <c r="AX780" i="1"/>
  <c r="AH781" i="1"/>
  <c r="AI781" i="1"/>
  <c r="AJ781" i="1"/>
  <c r="AU781" i="1"/>
  <c r="AV781" i="1"/>
  <c r="AW781" i="1"/>
  <c r="AX781" i="1"/>
  <c r="AH783" i="1"/>
  <c r="AI783" i="1"/>
  <c r="AJ783" i="1"/>
  <c r="AU783" i="1"/>
  <c r="AV783" i="1"/>
  <c r="AW783" i="1"/>
  <c r="AX783" i="1"/>
  <c r="AU785" i="1"/>
  <c r="AV785" i="1"/>
  <c r="AW785" i="1"/>
  <c r="AX785" i="1"/>
  <c r="AL787" i="1"/>
  <c r="AM787" i="1"/>
  <c r="AN787" i="1"/>
  <c r="AO787" i="1"/>
  <c r="AP787" i="1"/>
  <c r="AQ787" i="1"/>
  <c r="AR787" i="1"/>
  <c r="AS787" i="1"/>
  <c r="AT787" i="1"/>
  <c r="AH795" i="1"/>
  <c r="AI795" i="1"/>
  <c r="AJ795" i="1"/>
  <c r="AU795" i="1"/>
  <c r="AV795" i="1"/>
  <c r="AW795" i="1"/>
  <c r="AX795" i="1"/>
  <c r="AH797" i="1"/>
  <c r="AI797" i="1"/>
  <c r="AJ797" i="1"/>
  <c r="AU797" i="1"/>
  <c r="AV797" i="1"/>
  <c r="AW797" i="1"/>
  <c r="AX797" i="1"/>
  <c r="AH800" i="1"/>
  <c r="AI800" i="1"/>
  <c r="AJ800" i="1"/>
  <c r="AU800" i="1"/>
  <c r="AV800" i="1"/>
  <c r="AW800" i="1"/>
  <c r="AX800" i="1"/>
  <c r="AH802" i="1"/>
  <c r="AI802" i="1"/>
  <c r="AJ802" i="1"/>
  <c r="AU802" i="1"/>
  <c r="AV802" i="1"/>
  <c r="AW802" i="1"/>
  <c r="AX802" i="1"/>
  <c r="AH804" i="1"/>
  <c r="AI804" i="1"/>
  <c r="AJ804" i="1"/>
  <c r="AU804" i="1"/>
  <c r="AV804" i="1"/>
  <c r="AW804" i="1"/>
  <c r="AX804" i="1"/>
  <c r="AH807" i="1"/>
  <c r="AI807" i="1"/>
  <c r="AJ807" i="1"/>
  <c r="AU807" i="1"/>
  <c r="AV807" i="1"/>
  <c r="AW807" i="1"/>
  <c r="AX807" i="1"/>
  <c r="AH809" i="1"/>
  <c r="AI809" i="1"/>
  <c r="AJ809" i="1"/>
  <c r="AU809" i="1"/>
  <c r="AV809" i="1"/>
  <c r="AW809" i="1"/>
  <c r="AX809" i="1"/>
  <c r="AH811" i="1"/>
  <c r="AI811" i="1"/>
  <c r="AJ811" i="1"/>
  <c r="AU811" i="1"/>
  <c r="AV811" i="1"/>
  <c r="AW811" i="1"/>
  <c r="AX811" i="1"/>
  <c r="AH814" i="1"/>
  <c r="AI814" i="1"/>
  <c r="AJ814" i="1"/>
  <c r="AU814" i="1"/>
  <c r="AV814" i="1"/>
  <c r="AW814" i="1"/>
  <c r="AX814" i="1"/>
  <c r="AH817" i="1"/>
  <c r="AI817" i="1"/>
  <c r="AJ817" i="1"/>
  <c r="AU817" i="1"/>
  <c r="AV817" i="1"/>
  <c r="AW817" i="1"/>
  <c r="AX817" i="1"/>
  <c r="AH819" i="1"/>
  <c r="AI819" i="1"/>
  <c r="AJ819" i="1"/>
  <c r="AU819" i="1"/>
  <c r="AV819" i="1"/>
  <c r="AW819" i="1"/>
  <c r="AX819" i="1"/>
  <c r="AH820" i="1"/>
  <c r="AI820" i="1"/>
  <c r="AJ820" i="1"/>
  <c r="AU820" i="1"/>
  <c r="AV820" i="1"/>
  <c r="AW820" i="1"/>
  <c r="AX820" i="1"/>
  <c r="AU826" i="1"/>
  <c r="AV826" i="1"/>
  <c r="AW826" i="1"/>
  <c r="AX826" i="1"/>
  <c r="AU828" i="1"/>
  <c r="AV828" i="1"/>
  <c r="AW828" i="1"/>
  <c r="AX828" i="1"/>
  <c r="AU830" i="1"/>
  <c r="AV830" i="1"/>
  <c r="AW830" i="1"/>
  <c r="AX830" i="1"/>
  <c r="AU833" i="1"/>
  <c r="AV833" i="1"/>
  <c r="AW833" i="1"/>
  <c r="AX833" i="1"/>
  <c r="AU834" i="1"/>
  <c r="AV834" i="1"/>
  <c r="AW834" i="1"/>
  <c r="AX834" i="1"/>
  <c r="AU836" i="1"/>
  <c r="AV836" i="1"/>
  <c r="AW836" i="1"/>
  <c r="AX836" i="1"/>
  <c r="AU839" i="1"/>
  <c r="AV839" i="1"/>
  <c r="AW839" i="1"/>
  <c r="AX839" i="1"/>
  <c r="AU840" i="1"/>
  <c r="AV840" i="1"/>
  <c r="AW840" i="1"/>
  <c r="AX840" i="1"/>
  <c r="AH909" i="1"/>
  <c r="AI909" i="1"/>
  <c r="AJ909" i="1"/>
  <c r="AU909" i="1"/>
  <c r="AV909" i="1"/>
  <c r="AW909" i="1"/>
  <c r="AX909" i="1"/>
  <c r="AH911" i="1"/>
  <c r="AI911" i="1"/>
  <c r="AJ911" i="1"/>
  <c r="AU911" i="1"/>
  <c r="AV911" i="1"/>
  <c r="AW911" i="1"/>
  <c r="AX911" i="1"/>
  <c r="AU913" i="1"/>
  <c r="AV913" i="1"/>
  <c r="AW913" i="1"/>
  <c r="AX913" i="1"/>
  <c r="AH914" i="1"/>
  <c r="AI914" i="1"/>
  <c r="AJ914" i="1"/>
  <c r="AU914" i="1"/>
  <c r="AV914" i="1"/>
  <c r="AW914" i="1"/>
  <c r="AX914" i="1"/>
  <c r="AY920" i="1"/>
  <c r="AH932" i="1"/>
  <c r="AI932" i="1"/>
  <c r="AJ932" i="1"/>
  <c r="AU932" i="1"/>
  <c r="AV932" i="1"/>
  <c r="AW932" i="1"/>
  <c r="AX932" i="1"/>
  <c r="AH942" i="1"/>
  <c r="AI942" i="1"/>
  <c r="AJ942" i="1"/>
  <c r="AU942" i="1"/>
  <c r="AV942" i="1"/>
  <c r="AW942" i="1"/>
  <c r="AX942" i="1"/>
  <c r="AH943" i="1"/>
  <c r="AI943" i="1"/>
  <c r="AJ943" i="1"/>
  <c r="AU943" i="1"/>
  <c r="AV943" i="1"/>
  <c r="AW943" i="1"/>
  <c r="AX943" i="1"/>
  <c r="AH949" i="1"/>
  <c r="AI949" i="1"/>
  <c r="AJ949" i="1"/>
  <c r="AU949" i="1"/>
  <c r="AV949" i="1"/>
  <c r="AW949" i="1"/>
  <c r="AX949" i="1"/>
  <c r="AH952" i="1"/>
  <c r="AI952" i="1"/>
  <c r="AJ952" i="1"/>
  <c r="AU952" i="1"/>
  <c r="AV952" i="1"/>
  <c r="AW952" i="1"/>
  <c r="AX952" i="1"/>
  <c r="AI954" i="1"/>
  <c r="AJ954" i="1"/>
  <c r="AV954" i="1"/>
  <c r="AW954" i="1"/>
  <c r="AX954" i="1"/>
  <c r="AH955" i="1"/>
  <c r="AI955" i="1"/>
  <c r="AJ955" i="1"/>
  <c r="AU955" i="1"/>
  <c r="AV955" i="1"/>
  <c r="AW955" i="1"/>
  <c r="AX955" i="1"/>
  <c r="AH957" i="1"/>
  <c r="AI957" i="1"/>
  <c r="AJ957" i="1"/>
  <c r="AU957" i="1"/>
  <c r="AV957" i="1"/>
  <c r="AW957" i="1"/>
  <c r="AX957" i="1"/>
  <c r="AH972" i="1"/>
  <c r="AI972" i="1"/>
  <c r="AJ972" i="1"/>
  <c r="AU972" i="1"/>
  <c r="AV972" i="1"/>
  <c r="AW972" i="1"/>
  <c r="AX972" i="1"/>
  <c r="AH980" i="1"/>
  <c r="AI980" i="1"/>
  <c r="AJ980" i="1"/>
  <c r="AU980" i="1"/>
  <c r="AV980" i="1"/>
  <c r="AW980" i="1"/>
  <c r="AX980" i="1"/>
  <c r="AH981" i="1"/>
  <c r="AI981" i="1"/>
  <c r="AJ981" i="1"/>
  <c r="AU981" i="1"/>
  <c r="AV981" i="1"/>
  <c r="AW981" i="1"/>
  <c r="AX981" i="1"/>
  <c r="AH982" i="1"/>
  <c r="AI982" i="1"/>
  <c r="AJ982" i="1"/>
  <c r="AU982" i="1"/>
  <c r="AV982" i="1"/>
  <c r="AW982" i="1"/>
  <c r="AX982" i="1"/>
  <c r="AH983" i="1"/>
  <c r="AI983" i="1"/>
  <c r="AJ983" i="1"/>
  <c r="AU983" i="1"/>
  <c r="AV983" i="1"/>
  <c r="AW983" i="1"/>
  <c r="AX983" i="1"/>
  <c r="AH984" i="1"/>
  <c r="AI984" i="1"/>
  <c r="AJ984" i="1"/>
  <c r="AU984" i="1"/>
  <c r="AV984" i="1"/>
  <c r="AW984" i="1"/>
  <c r="AX984" i="1"/>
  <c r="AH985" i="1"/>
  <c r="AI985" i="1"/>
  <c r="AJ985" i="1"/>
  <c r="AU985" i="1"/>
  <c r="AV985" i="1"/>
  <c r="AW985" i="1"/>
  <c r="AX985" i="1"/>
  <c r="AH990" i="1"/>
  <c r="AI990" i="1"/>
  <c r="AJ990" i="1"/>
  <c r="AU990" i="1"/>
  <c r="AV990" i="1"/>
  <c r="AW990" i="1"/>
  <c r="AX990" i="1"/>
  <c r="AH991" i="1"/>
  <c r="AI991" i="1"/>
  <c r="AJ991" i="1"/>
  <c r="AU991" i="1"/>
  <c r="AV991" i="1"/>
  <c r="AW991" i="1"/>
  <c r="AX991" i="1"/>
  <c r="AH992" i="1"/>
  <c r="AI992" i="1"/>
  <c r="AJ992" i="1"/>
  <c r="AU992" i="1"/>
  <c r="AV992" i="1"/>
  <c r="AW992" i="1"/>
  <c r="AX992" i="1"/>
  <c r="AH993" i="1"/>
  <c r="AI993" i="1"/>
  <c r="AJ993" i="1"/>
  <c r="AU993" i="1"/>
  <c r="AV993" i="1"/>
  <c r="AW993" i="1"/>
  <c r="AX993" i="1"/>
  <c r="AH994" i="1"/>
  <c r="AI994" i="1"/>
  <c r="AJ994" i="1"/>
  <c r="AU994" i="1"/>
  <c r="AV994" i="1"/>
  <c r="AW994" i="1"/>
  <c r="AX994" i="1"/>
  <c r="AH995" i="1"/>
  <c r="AI995" i="1"/>
  <c r="AJ995" i="1"/>
  <c r="AU995" i="1"/>
  <c r="AV995" i="1"/>
  <c r="AW995" i="1"/>
  <c r="AX995" i="1"/>
  <c r="AH996" i="1"/>
  <c r="AI996" i="1"/>
  <c r="AJ996" i="1"/>
  <c r="AU996" i="1"/>
  <c r="AV996" i="1"/>
  <c r="AW996" i="1"/>
  <c r="AX996" i="1"/>
  <c r="E11" i="37" a="1"/>
  <c r="E11" i="37"/>
  <c r="F11" i="37" a="1"/>
  <c r="F11" i="37"/>
  <c r="G11" i="37" a="1"/>
  <c r="G11" i="37"/>
  <c r="H11" i="37" a="1"/>
  <c r="H11" i="37"/>
  <c r="I11" i="37" a="1"/>
  <c r="I11" i="37"/>
  <c r="J11" i="37" a="1"/>
  <c r="J11" i="37"/>
  <c r="K11" i="37" a="1"/>
  <c r="K11" i="37"/>
  <c r="L11" i="37" a="1"/>
  <c r="L11" i="37"/>
  <c r="M11" i="37" a="1"/>
  <c r="M11" i="37"/>
  <c r="N11" i="37" a="1"/>
  <c r="N11" i="37"/>
  <c r="O11" i="37" a="1"/>
  <c r="O11" i="37"/>
  <c r="P11" i="37" a="1"/>
  <c r="P11" i="37"/>
  <c r="Q11" i="37" a="1"/>
  <c r="Q11" i="37"/>
  <c r="E16" i="37"/>
  <c r="F16" i="37"/>
  <c r="G16" i="37"/>
  <c r="H16" i="37"/>
  <c r="I16" i="37"/>
  <c r="J16" i="37"/>
  <c r="K16" i="37"/>
  <c r="L16" i="37"/>
  <c r="M16" i="37"/>
  <c r="N16" i="37"/>
  <c r="O16" i="37"/>
  <c r="P16" i="37"/>
  <c r="Q16" i="37"/>
  <c r="E17" i="37" a="1"/>
  <c r="E17" i="37"/>
  <c r="F17" i="37" a="1"/>
  <c r="F17" i="37"/>
  <c r="G17" i="37" a="1"/>
  <c r="G17" i="37"/>
  <c r="H17" i="37" a="1"/>
  <c r="H17" i="37"/>
  <c r="I17" i="37" a="1"/>
  <c r="I17" i="37"/>
  <c r="J17" i="37" a="1"/>
  <c r="J17" i="37"/>
  <c r="K17" i="37" a="1"/>
  <c r="K17" i="37"/>
  <c r="L17" i="37" a="1"/>
  <c r="L17" i="37"/>
  <c r="M17" i="37" a="1"/>
  <c r="M17" i="37"/>
  <c r="N17" i="37" a="1"/>
  <c r="N17" i="37"/>
  <c r="O17" i="37" a="1"/>
  <c r="O17" i="37"/>
  <c r="P17" i="37" a="1"/>
  <c r="P17" i="37"/>
  <c r="Q17" i="37" a="1"/>
  <c r="Q17" i="37"/>
  <c r="E18" i="37" a="1"/>
  <c r="E18" i="37"/>
  <c r="F18" i="37" a="1"/>
  <c r="F18" i="37"/>
  <c r="G18" i="37" a="1"/>
  <c r="G18" i="37"/>
  <c r="H18" i="37" a="1"/>
  <c r="H18" i="37"/>
  <c r="I18" i="37" a="1"/>
  <c r="I18" i="37"/>
  <c r="J18" i="37" a="1"/>
  <c r="J18" i="37"/>
  <c r="K18" i="37" a="1"/>
  <c r="K18" i="37"/>
  <c r="L18" i="37" a="1"/>
  <c r="L18" i="37"/>
  <c r="M18" i="37" a="1"/>
  <c r="M18" i="37"/>
  <c r="N18" i="37" a="1"/>
  <c r="N18" i="37"/>
  <c r="O18" i="37" a="1"/>
  <c r="O18" i="37"/>
  <c r="P18" i="37" a="1"/>
  <c r="P18" i="37"/>
  <c r="Q18" i="37" a="1"/>
  <c r="Q18" i="37"/>
  <c r="E20" i="37" a="1"/>
  <c r="E20" i="37"/>
  <c r="F20" i="37" a="1"/>
  <c r="F20" i="37"/>
  <c r="G20" i="37" a="1"/>
  <c r="G20" i="37"/>
  <c r="H20" i="37" a="1"/>
  <c r="H20" i="37"/>
  <c r="I20" i="37" a="1"/>
  <c r="I20" i="37"/>
  <c r="J20" i="37" a="1"/>
  <c r="J20" i="37"/>
  <c r="K20" i="37" a="1"/>
  <c r="K20" i="37"/>
  <c r="L20" i="37" a="1"/>
  <c r="L20" i="37"/>
  <c r="M20" i="37" a="1"/>
  <c r="M20" i="37"/>
  <c r="N20" i="37" a="1"/>
  <c r="N20" i="37"/>
  <c r="O20" i="37" a="1"/>
  <c r="O20" i="37"/>
  <c r="P20" i="37" a="1"/>
  <c r="P20" i="37"/>
  <c r="Q20" i="37" a="1"/>
  <c r="Q20" i="37"/>
  <c r="E21" i="37" a="1"/>
  <c r="E21" i="37"/>
  <c r="F21" i="37" a="1"/>
  <c r="F21" i="37"/>
  <c r="G21" i="37" a="1"/>
  <c r="G21" i="37"/>
  <c r="H21" i="37" a="1"/>
  <c r="H21" i="37"/>
  <c r="I21" i="37" a="1"/>
  <c r="I21" i="37"/>
  <c r="J21" i="37" a="1"/>
  <c r="J21" i="37"/>
  <c r="K21" i="37" a="1"/>
  <c r="K21" i="37"/>
  <c r="L21" i="37" a="1"/>
  <c r="L21" i="37"/>
  <c r="M21" i="37" a="1"/>
  <c r="M21" i="37"/>
  <c r="N21" i="37" a="1"/>
  <c r="N21" i="37"/>
  <c r="O21" i="37" a="1"/>
  <c r="O21" i="37"/>
  <c r="P21" i="37" a="1"/>
  <c r="P21" i="37"/>
  <c r="Q21" i="37" a="1"/>
  <c r="Q21" i="37"/>
  <c r="E22" i="37" a="1"/>
  <c r="E22" i="37"/>
  <c r="F22" i="37" a="1"/>
  <c r="F22" i="37"/>
  <c r="G22" i="37" a="1"/>
  <c r="G22" i="37"/>
  <c r="H22" i="37" a="1"/>
  <c r="H22" i="37"/>
  <c r="I22" i="37" a="1"/>
  <c r="I22" i="37"/>
  <c r="J22" i="37" a="1"/>
  <c r="J22" i="37"/>
  <c r="K22" i="37" a="1"/>
  <c r="K22" i="37"/>
  <c r="L22" i="37" a="1"/>
  <c r="L22" i="37"/>
  <c r="M22" i="37" a="1"/>
  <c r="M22" i="37"/>
  <c r="N22" i="37" a="1"/>
  <c r="N22" i="37"/>
  <c r="O22" i="37" a="1"/>
  <c r="O22" i="37"/>
  <c r="P22" i="37" a="1"/>
  <c r="P22" i="37"/>
  <c r="Q22" i="37" a="1"/>
  <c r="Q22" i="37"/>
  <c r="E23" i="37" a="1"/>
  <c r="E23" i="37"/>
  <c r="F23" i="37" a="1"/>
  <c r="F23" i="37"/>
  <c r="G23" i="37" a="1"/>
  <c r="G23" i="37"/>
  <c r="H23" i="37" a="1"/>
  <c r="H23" i="37"/>
  <c r="I23" i="37" a="1"/>
  <c r="I23" i="37"/>
  <c r="J23" i="37" a="1"/>
  <c r="J23" i="37"/>
  <c r="K23" i="37" a="1"/>
  <c r="K23" i="37"/>
  <c r="L23" i="37" a="1"/>
  <c r="L23" i="37"/>
  <c r="M23" i="37" a="1"/>
  <c r="M23" i="37"/>
  <c r="N23" i="37" a="1"/>
  <c r="N23" i="37"/>
  <c r="O23" i="37" a="1"/>
  <c r="O23" i="37"/>
  <c r="P23" i="37" a="1"/>
  <c r="P23" i="37"/>
  <c r="Q23" i="37" a="1"/>
  <c r="Q23" i="37"/>
  <c r="E24" i="37" a="1"/>
  <c r="E24" i="37"/>
  <c r="F24" i="37" a="1"/>
  <c r="F24" i="37"/>
  <c r="G24" i="37" a="1"/>
  <c r="G24" i="37"/>
  <c r="H24" i="37" a="1"/>
  <c r="H24" i="37"/>
  <c r="I24" i="37" a="1"/>
  <c r="I24" i="37"/>
  <c r="J24" i="37" a="1"/>
  <c r="J24" i="37"/>
  <c r="K24" i="37" a="1"/>
  <c r="K24" i="37"/>
  <c r="L24" i="37" a="1"/>
  <c r="L24" i="37"/>
  <c r="M24" i="37" a="1"/>
  <c r="M24" i="37"/>
  <c r="N24" i="37" a="1"/>
  <c r="N24" i="37"/>
  <c r="O24" i="37" a="1"/>
  <c r="O24" i="37"/>
  <c r="P24" i="37" a="1"/>
  <c r="P24" i="37"/>
  <c r="Q24" i="37" a="1"/>
  <c r="Q24" i="37"/>
  <c r="E25" i="37" a="1"/>
  <c r="E25" i="37"/>
  <c r="F25" i="37" a="1"/>
  <c r="F25" i="37"/>
  <c r="G25" i="37" a="1"/>
  <c r="G25" i="37"/>
  <c r="H25" i="37" a="1"/>
  <c r="H25" i="37"/>
  <c r="I25" i="37" a="1"/>
  <c r="I25" i="37"/>
  <c r="J25" i="37" a="1"/>
  <c r="J25" i="37"/>
  <c r="K25" i="37" a="1"/>
  <c r="K25" i="37"/>
  <c r="L25" i="37" a="1"/>
  <c r="L25" i="37"/>
  <c r="M25" i="37" a="1"/>
  <c r="M25" i="37"/>
  <c r="N25" i="37" a="1"/>
  <c r="N25" i="37"/>
  <c r="O25" i="37" a="1"/>
  <c r="O25" i="37"/>
  <c r="P25" i="37" a="1"/>
  <c r="P25" i="37"/>
  <c r="Q25" i="37" a="1"/>
  <c r="Q25" i="37"/>
  <c r="E26" i="37" a="1"/>
  <c r="E26" i="37"/>
  <c r="F26" i="37" a="1"/>
  <c r="F26" i="37"/>
  <c r="G26" i="37" a="1"/>
  <c r="G26" i="37"/>
  <c r="H26" i="37" a="1"/>
  <c r="H26" i="37"/>
  <c r="I26" i="37" a="1"/>
  <c r="I26" i="37"/>
  <c r="J26" i="37" a="1"/>
  <c r="J26" i="37"/>
  <c r="K26" i="37" a="1"/>
  <c r="K26" i="37"/>
  <c r="L26" i="37" a="1"/>
  <c r="L26" i="37"/>
  <c r="M26" i="37" a="1"/>
  <c r="M26" i="37"/>
  <c r="N26" i="37" a="1"/>
  <c r="N26" i="37"/>
  <c r="O26" i="37" a="1"/>
  <c r="O26" i="37"/>
  <c r="P26" i="37" a="1"/>
  <c r="P26" i="37"/>
  <c r="Q26" i="37" a="1"/>
  <c r="Q26" i="37"/>
  <c r="E27" i="37" a="1"/>
  <c r="E27" i="37"/>
  <c r="F27" i="37" a="1"/>
  <c r="F27" i="37"/>
  <c r="G27" i="37" a="1"/>
  <c r="G27" i="37"/>
  <c r="H27" i="37" a="1"/>
  <c r="H27" i="37"/>
  <c r="I27" i="37" a="1"/>
  <c r="I27" i="37"/>
  <c r="J27" i="37" a="1"/>
  <c r="J27" i="37"/>
  <c r="K27" i="37" a="1"/>
  <c r="K27" i="37"/>
  <c r="L27" i="37" a="1"/>
  <c r="L27" i="37"/>
  <c r="M27" i="37" a="1"/>
  <c r="M27" i="37"/>
  <c r="N27" i="37" a="1"/>
  <c r="N27" i="37"/>
  <c r="O27" i="37" a="1"/>
  <c r="O27" i="37"/>
  <c r="P27" i="37" a="1"/>
  <c r="P27" i="37"/>
  <c r="Q27" i="37" a="1"/>
  <c r="Q27" i="37"/>
  <c r="E28" i="37" a="1"/>
  <c r="E28" i="37"/>
  <c r="F28" i="37" a="1"/>
  <c r="F28" i="37"/>
  <c r="G28" i="37" a="1"/>
  <c r="G28" i="37"/>
  <c r="H28" i="37" a="1"/>
  <c r="H28" i="37"/>
  <c r="I28" i="37" a="1"/>
  <c r="I28" i="37"/>
  <c r="J28" i="37" a="1"/>
  <c r="J28" i="37"/>
  <c r="K28" i="37" a="1"/>
  <c r="K28" i="37"/>
  <c r="L28" i="37" a="1"/>
  <c r="L28" i="37"/>
  <c r="M28" i="37" a="1"/>
  <c r="M28" i="37"/>
  <c r="N28" i="37" a="1"/>
  <c r="N28" i="37"/>
  <c r="O28" i="37" a="1"/>
  <c r="O28" i="37"/>
  <c r="P28" i="37" a="1"/>
  <c r="P28" i="37"/>
  <c r="Q28" i="37" a="1"/>
  <c r="Q28" i="37"/>
  <c r="E29" i="37" a="1"/>
  <c r="E29" i="37"/>
  <c r="F29" i="37" a="1"/>
  <c r="F29" i="37"/>
  <c r="G29" i="37" a="1"/>
  <c r="G29" i="37"/>
  <c r="H29" i="37" a="1"/>
  <c r="H29" i="37"/>
  <c r="I29" i="37" a="1"/>
  <c r="I29" i="37"/>
  <c r="J29" i="37" a="1"/>
  <c r="J29" i="37"/>
  <c r="K29" i="37" a="1"/>
  <c r="K29" i="37"/>
  <c r="L29" i="37" a="1"/>
  <c r="L29" i="37"/>
  <c r="M29" i="37" a="1"/>
  <c r="M29" i="37"/>
  <c r="N29" i="37" a="1"/>
  <c r="N29" i="37"/>
  <c r="O29" i="37" a="1"/>
  <c r="O29" i="37"/>
  <c r="P29" i="37" a="1"/>
  <c r="P29" i="37"/>
  <c r="Q29" i="37" a="1"/>
  <c r="Q29" i="37"/>
  <c r="E30" i="37" a="1"/>
  <c r="E30" i="37"/>
  <c r="F30" i="37" a="1"/>
  <c r="F30" i="37"/>
  <c r="G30" i="37" a="1"/>
  <c r="G30" i="37"/>
  <c r="H30" i="37" a="1"/>
  <c r="H30" i="37"/>
  <c r="I30" i="37" a="1"/>
  <c r="I30" i="37"/>
  <c r="J30" i="37" a="1"/>
  <c r="J30" i="37"/>
  <c r="K30" i="37" a="1"/>
  <c r="K30" i="37"/>
  <c r="L30" i="37" a="1"/>
  <c r="L30" i="37"/>
  <c r="M30" i="37" a="1"/>
  <c r="M30" i="37"/>
  <c r="N30" i="37" a="1"/>
  <c r="N30" i="37"/>
  <c r="O30" i="37" a="1"/>
  <c r="O30" i="37"/>
  <c r="P30" i="37" a="1"/>
  <c r="P30" i="37"/>
  <c r="Q30" i="37" a="1"/>
  <c r="Q30" i="37"/>
  <c r="E31" i="37" a="1"/>
  <c r="E31" i="37"/>
  <c r="F31" i="37" a="1"/>
  <c r="F31" i="37"/>
  <c r="G31" i="37" a="1"/>
  <c r="G31" i="37"/>
  <c r="H31" i="37" a="1"/>
  <c r="H31" i="37"/>
  <c r="I31" i="37" a="1"/>
  <c r="I31" i="37"/>
  <c r="J31" i="37" a="1"/>
  <c r="J31" i="37"/>
  <c r="K31" i="37" a="1"/>
  <c r="K31" i="37"/>
  <c r="L31" i="37" a="1"/>
  <c r="L31" i="37"/>
  <c r="M31" i="37" a="1"/>
  <c r="M31" i="37"/>
  <c r="N31" i="37" a="1"/>
  <c r="N31" i="37"/>
  <c r="O31" i="37" a="1"/>
  <c r="O31" i="37"/>
  <c r="P31" i="37" a="1"/>
  <c r="P31" i="37"/>
  <c r="Q31" i="37" a="1"/>
  <c r="Q31" i="37"/>
  <c r="E32" i="37" a="1"/>
  <c r="E32" i="37"/>
  <c r="F32" i="37" a="1"/>
  <c r="F32" i="37"/>
  <c r="G32" i="37" a="1"/>
  <c r="G32" i="37"/>
  <c r="H32" i="37" a="1"/>
  <c r="H32" i="37"/>
  <c r="I32" i="37" a="1"/>
  <c r="I32" i="37"/>
  <c r="J32" i="37" a="1"/>
  <c r="J32" i="37"/>
  <c r="K32" i="37" a="1"/>
  <c r="K32" i="37"/>
  <c r="L32" i="37" a="1"/>
  <c r="L32" i="37"/>
  <c r="M32" i="37" a="1"/>
  <c r="M32" i="37"/>
  <c r="N32" i="37" a="1"/>
  <c r="N32" i="37"/>
  <c r="O32" i="37" a="1"/>
  <c r="O32" i="37"/>
  <c r="P32" i="37" a="1"/>
  <c r="P32" i="37"/>
  <c r="Q32" i="37" a="1"/>
  <c r="Q32" i="37"/>
  <c r="E33" i="37" a="1"/>
  <c r="E33" i="37"/>
  <c r="F33" i="37" a="1"/>
  <c r="F33" i="37"/>
  <c r="G33" i="37" a="1"/>
  <c r="G33" i="37"/>
  <c r="H33" i="37" a="1"/>
  <c r="H33" i="37"/>
  <c r="I33" i="37" a="1"/>
  <c r="I33" i="37"/>
  <c r="J33" i="37" a="1"/>
  <c r="J33" i="37"/>
  <c r="K33" i="37" a="1"/>
  <c r="K33" i="37"/>
  <c r="L33" i="37" a="1"/>
  <c r="L33" i="37"/>
  <c r="M33" i="37" a="1"/>
  <c r="M33" i="37"/>
  <c r="N33" i="37" a="1"/>
  <c r="N33" i="37"/>
  <c r="O33" i="37" a="1"/>
  <c r="O33" i="37"/>
  <c r="P33" i="37" a="1"/>
  <c r="P33" i="37"/>
  <c r="Q33" i="37" a="1"/>
  <c r="Q33" i="37"/>
  <c r="E34" i="37" a="1"/>
  <c r="E34" i="37"/>
  <c r="F34" i="37" a="1"/>
  <c r="F34" i="37"/>
  <c r="G34" i="37" a="1"/>
  <c r="G34" i="37"/>
  <c r="H34" i="37" a="1"/>
  <c r="H34" i="37"/>
  <c r="I34" i="37" a="1"/>
  <c r="I34" i="37"/>
  <c r="J34" i="37" a="1"/>
  <c r="J34" i="37"/>
  <c r="K34" i="37" a="1"/>
  <c r="K34" i="37"/>
  <c r="L34" i="37" a="1"/>
  <c r="L34" i="37"/>
  <c r="M34" i="37" a="1"/>
  <c r="M34" i="37"/>
  <c r="N34" i="37" a="1"/>
  <c r="N34" i="37"/>
  <c r="O34" i="37" a="1"/>
  <c r="O34" i="37"/>
  <c r="P34" i="37" a="1"/>
  <c r="P34" i="37"/>
  <c r="Q34" i="37" a="1"/>
  <c r="Q34" i="37"/>
  <c r="E35" i="37" a="1"/>
  <c r="E35" i="37"/>
  <c r="F35" i="37" a="1"/>
  <c r="F35" i="37"/>
  <c r="G35" i="37" a="1"/>
  <c r="G35" i="37"/>
  <c r="H35" i="37" a="1"/>
  <c r="H35" i="37"/>
  <c r="I35" i="37" a="1"/>
  <c r="I35" i="37"/>
  <c r="J35" i="37" a="1"/>
  <c r="J35" i="37"/>
  <c r="K35" i="37" a="1"/>
  <c r="K35" i="37"/>
  <c r="L35" i="37" a="1"/>
  <c r="L35" i="37"/>
  <c r="M35" i="37" a="1"/>
  <c r="M35" i="37"/>
  <c r="N35" i="37" a="1"/>
  <c r="N35" i="37"/>
  <c r="O35" i="37" a="1"/>
  <c r="O35" i="37"/>
  <c r="P35" i="37" a="1"/>
  <c r="P35" i="37"/>
  <c r="Q35" i="37" a="1"/>
  <c r="Q35" i="37"/>
  <c r="E36" i="37" a="1"/>
  <c r="E36" i="37"/>
  <c r="F36" i="37" a="1"/>
  <c r="F36" i="37"/>
  <c r="G36" i="37" a="1"/>
  <c r="G36" i="37"/>
  <c r="H36" i="37" a="1"/>
  <c r="H36" i="37"/>
  <c r="I36" i="37" a="1"/>
  <c r="I36" i="37"/>
  <c r="J36" i="37" a="1"/>
  <c r="J36" i="37"/>
  <c r="K36" i="37" a="1"/>
  <c r="K36" i="37"/>
  <c r="L36" i="37" a="1"/>
  <c r="L36" i="37"/>
  <c r="M36" i="37" a="1"/>
  <c r="M36" i="37"/>
  <c r="N36" i="37" a="1"/>
  <c r="N36" i="37"/>
  <c r="O36" i="37" a="1"/>
  <c r="O36" i="37"/>
  <c r="P36" i="37" a="1"/>
  <c r="P36" i="37"/>
  <c r="Q36" i="37" a="1"/>
  <c r="Q36" i="37"/>
  <c r="E37" i="37" a="1"/>
  <c r="E37" i="37"/>
  <c r="F37" i="37" a="1"/>
  <c r="F37" i="37"/>
  <c r="G37" i="37" a="1"/>
  <c r="G37" i="37"/>
  <c r="H37" i="37" a="1"/>
  <c r="H37" i="37"/>
  <c r="I37" i="37" a="1"/>
  <c r="I37" i="37"/>
  <c r="J37" i="37" a="1"/>
  <c r="J37" i="37"/>
  <c r="K37" i="37" a="1"/>
  <c r="K37" i="37"/>
  <c r="L37" i="37" a="1"/>
  <c r="L37" i="37"/>
  <c r="M37" i="37" a="1"/>
  <c r="M37" i="37"/>
  <c r="N37" i="37" a="1"/>
  <c r="N37" i="37"/>
  <c r="O37" i="37" a="1"/>
  <c r="O37" i="37"/>
  <c r="P37" i="37" a="1"/>
  <c r="P37" i="37"/>
  <c r="Q37" i="37" a="1"/>
  <c r="Q37" i="37"/>
  <c r="E38" i="37" a="1"/>
  <c r="E38" i="37"/>
  <c r="F38" i="37" a="1"/>
  <c r="F38" i="37"/>
  <c r="G38" i="37" a="1"/>
  <c r="G38" i="37"/>
  <c r="H38" i="37" a="1"/>
  <c r="H38" i="37"/>
  <c r="I38" i="37" a="1"/>
  <c r="I38" i="37"/>
  <c r="J38" i="37" a="1"/>
  <c r="J38" i="37"/>
  <c r="K38" i="37" a="1"/>
  <c r="K38" i="37"/>
  <c r="L38" i="37" a="1"/>
  <c r="L38" i="37"/>
  <c r="M38" i="37" a="1"/>
  <c r="M38" i="37"/>
  <c r="N38" i="37" a="1"/>
  <c r="N38" i="37"/>
  <c r="O38" i="37" a="1"/>
  <c r="O38" i="37"/>
  <c r="P38" i="37" a="1"/>
  <c r="P38" i="37"/>
  <c r="Q38" i="37" a="1"/>
  <c r="Q38" i="37"/>
  <c r="E39" i="37" a="1"/>
  <c r="E39" i="37"/>
  <c r="F39" i="37" a="1"/>
  <c r="F39" i="37"/>
  <c r="G39" i="37" a="1"/>
  <c r="G39" i="37"/>
  <c r="H39" i="37" a="1"/>
  <c r="H39" i="37"/>
  <c r="I39" i="37" a="1"/>
  <c r="I39" i="37"/>
  <c r="J39" i="37" a="1"/>
  <c r="J39" i="37"/>
  <c r="K39" i="37" a="1"/>
  <c r="K39" i="37"/>
  <c r="L39" i="37" a="1"/>
  <c r="L39" i="37"/>
  <c r="M39" i="37" a="1"/>
  <c r="M39" i="37"/>
  <c r="N39" i="37" a="1"/>
  <c r="N39" i="37"/>
  <c r="O39" i="37" a="1"/>
  <c r="O39" i="37"/>
  <c r="P39" i="37" a="1"/>
  <c r="P39" i="37"/>
  <c r="Q39" i="37" a="1"/>
  <c r="Q39" i="37"/>
  <c r="E40" i="37" a="1"/>
  <c r="E40" i="37"/>
  <c r="F40" i="37" a="1"/>
  <c r="F40" i="37"/>
  <c r="G40" i="37" a="1"/>
  <c r="G40" i="37"/>
  <c r="H40" i="37" a="1"/>
  <c r="H40" i="37"/>
  <c r="I40" i="37" a="1"/>
  <c r="I40" i="37"/>
  <c r="J40" i="37" a="1"/>
  <c r="J40" i="37"/>
  <c r="K40" i="37" a="1"/>
  <c r="K40" i="37"/>
  <c r="L40" i="37" a="1"/>
  <c r="L40" i="37"/>
  <c r="M40" i="37" a="1"/>
  <c r="M40" i="37"/>
  <c r="N40" i="37" a="1"/>
  <c r="N40" i="37"/>
  <c r="O40" i="37" a="1"/>
  <c r="O40" i="37"/>
  <c r="P40" i="37" a="1"/>
  <c r="P40" i="37"/>
  <c r="Q40" i="37" a="1"/>
  <c r="Q40" i="37"/>
  <c r="E41" i="37" a="1"/>
  <c r="E41" i="37"/>
  <c r="F41" i="37" a="1"/>
  <c r="F41" i="37"/>
  <c r="G41" i="37" a="1"/>
  <c r="G41" i="37"/>
  <c r="H41" i="37" a="1"/>
  <c r="H41" i="37"/>
  <c r="I41" i="37" a="1"/>
  <c r="I41" i="37"/>
  <c r="J41" i="37" a="1"/>
  <c r="J41" i="37"/>
  <c r="K41" i="37" a="1"/>
  <c r="K41" i="37"/>
  <c r="L41" i="37" a="1"/>
  <c r="L41" i="37"/>
  <c r="M41" i="37" a="1"/>
  <c r="M41" i="37"/>
  <c r="N41" i="37" a="1"/>
  <c r="N41" i="37"/>
  <c r="O41" i="37" a="1"/>
  <c r="O41" i="37"/>
  <c r="P41" i="37" a="1"/>
  <c r="P41" i="37"/>
  <c r="Q41" i="37" a="1"/>
  <c r="Q41" i="37"/>
  <c r="E42" i="37" a="1"/>
  <c r="E42" i="37"/>
  <c r="F42" i="37" a="1"/>
  <c r="F42" i="37"/>
  <c r="G42" i="37" a="1"/>
  <c r="G42" i="37"/>
  <c r="H42" i="37" a="1"/>
  <c r="H42" i="37"/>
  <c r="I42" i="37" a="1"/>
  <c r="I42" i="37"/>
  <c r="J42" i="37" a="1"/>
  <c r="J42" i="37"/>
  <c r="K42" i="37" a="1"/>
  <c r="K42" i="37"/>
  <c r="L42" i="37" a="1"/>
  <c r="L42" i="37"/>
  <c r="M42" i="37" a="1"/>
  <c r="M42" i="37"/>
  <c r="N42" i="37" a="1"/>
  <c r="N42" i="37"/>
  <c r="O42" i="37" a="1"/>
  <c r="O42" i="37"/>
  <c r="P42" i="37" a="1"/>
  <c r="P42" i="37"/>
  <c r="Q42" i="37" a="1"/>
  <c r="Q42" i="37"/>
  <c r="E43" i="37" a="1"/>
  <c r="E43" i="37"/>
  <c r="F43" i="37" a="1"/>
  <c r="F43" i="37"/>
  <c r="G43" i="37" a="1"/>
  <c r="G43" i="37"/>
  <c r="H43" i="37" a="1"/>
  <c r="H43" i="37"/>
  <c r="I43" i="37" a="1"/>
  <c r="I43" i="37"/>
  <c r="J43" i="37" a="1"/>
  <c r="J43" i="37"/>
  <c r="K43" i="37" a="1"/>
  <c r="K43" i="37"/>
  <c r="L43" i="37" a="1"/>
  <c r="L43" i="37"/>
  <c r="M43" i="37" a="1"/>
  <c r="M43" i="37"/>
  <c r="N43" i="37" a="1"/>
  <c r="N43" i="37"/>
  <c r="O43" i="37" a="1"/>
  <c r="O43" i="37"/>
  <c r="P43" i="37" a="1"/>
  <c r="P43" i="37"/>
  <c r="Q43" i="37" a="1"/>
  <c r="Q43" i="37"/>
  <c r="E44" i="37" a="1"/>
  <c r="E44" i="37"/>
  <c r="F44" i="37" a="1"/>
  <c r="F44" i="37"/>
  <c r="G44" i="37" a="1"/>
  <c r="G44" i="37"/>
  <c r="H44" i="37" a="1"/>
  <c r="H44" i="37"/>
  <c r="I44" i="37" a="1"/>
  <c r="I44" i="37"/>
  <c r="J44" i="37" a="1"/>
  <c r="J44" i="37"/>
  <c r="K44" i="37" a="1"/>
  <c r="K44" i="37"/>
  <c r="L44" i="37" a="1"/>
  <c r="L44" i="37"/>
  <c r="M44" i="37" a="1"/>
  <c r="M44" i="37"/>
  <c r="N44" i="37" a="1"/>
  <c r="N44" i="37"/>
  <c r="O44" i="37" a="1"/>
  <c r="O44" i="37"/>
  <c r="P44" i="37" a="1"/>
  <c r="P44" i="37"/>
  <c r="Q44" i="37" a="1"/>
  <c r="Q44" i="37"/>
  <c r="E45" i="37" a="1"/>
  <c r="E45" i="37"/>
  <c r="F45" i="37" a="1"/>
  <c r="F45" i="37"/>
  <c r="G45" i="37" a="1"/>
  <c r="G45" i="37"/>
  <c r="H45" i="37" a="1"/>
  <c r="H45" i="37"/>
  <c r="I45" i="37" a="1"/>
  <c r="I45" i="37"/>
  <c r="J45" i="37" a="1"/>
  <c r="J45" i="37"/>
  <c r="K45" i="37" a="1"/>
  <c r="K45" i="37"/>
  <c r="L45" i="37" a="1"/>
  <c r="L45" i="37"/>
  <c r="M45" i="37" a="1"/>
  <c r="M45" i="37"/>
  <c r="N45" i="37" a="1"/>
  <c r="N45" i="37"/>
  <c r="O45" i="37" a="1"/>
  <c r="O45" i="37"/>
  <c r="P45" i="37" a="1"/>
  <c r="P45" i="37"/>
  <c r="Q45" i="37" a="1"/>
  <c r="Q45" i="37"/>
  <c r="E46" i="37" a="1"/>
  <c r="E46" i="37"/>
  <c r="F46" i="37" a="1"/>
  <c r="F46" i="37"/>
  <c r="G46" i="37" a="1"/>
  <c r="G46" i="37"/>
  <c r="H46" i="37" a="1"/>
  <c r="H46" i="37"/>
  <c r="I46" i="37" a="1"/>
  <c r="I46" i="37"/>
  <c r="J46" i="37" a="1"/>
  <c r="J46" i="37"/>
  <c r="K46" i="37" a="1"/>
  <c r="K46" i="37"/>
  <c r="L46" i="37" a="1"/>
  <c r="L46" i="37"/>
  <c r="M46" i="37" a="1"/>
  <c r="M46" i="37"/>
  <c r="N46" i="37" a="1"/>
  <c r="N46" i="37"/>
  <c r="O46" i="37" a="1"/>
  <c r="O46" i="37"/>
  <c r="P46" i="37" a="1"/>
  <c r="P46" i="37"/>
  <c r="Q46" i="37" a="1"/>
  <c r="Q46" i="37"/>
  <c r="E47" i="37" a="1"/>
  <c r="E47" i="37"/>
  <c r="F47" i="37" a="1"/>
  <c r="F47" i="37"/>
  <c r="G47" i="37" a="1"/>
  <c r="G47" i="37"/>
  <c r="H47" i="37" a="1"/>
  <c r="H47" i="37"/>
  <c r="I47" i="37" a="1"/>
  <c r="I47" i="37"/>
  <c r="J47" i="37" a="1"/>
  <c r="J47" i="37"/>
  <c r="K47" i="37" a="1"/>
  <c r="K47" i="37"/>
  <c r="L47" i="37" a="1"/>
  <c r="L47" i="37"/>
  <c r="M47" i="37" a="1"/>
  <c r="M47" i="37"/>
  <c r="N47" i="37" a="1"/>
  <c r="N47" i="37"/>
  <c r="O47" i="37" a="1"/>
  <c r="O47" i="37"/>
  <c r="P47" i="37" a="1"/>
  <c r="P47" i="37"/>
  <c r="Q47" i="37" a="1"/>
  <c r="Q47" i="37"/>
  <c r="E48" i="37" a="1"/>
  <c r="E48" i="37"/>
  <c r="F48" i="37" a="1"/>
  <c r="F48" i="37"/>
  <c r="G48" i="37" a="1"/>
  <c r="G48" i="37"/>
  <c r="H48" i="37" a="1"/>
  <c r="H48" i="37"/>
  <c r="I48" i="37" a="1"/>
  <c r="I48" i="37"/>
  <c r="J48" i="37" a="1"/>
  <c r="J48" i="37"/>
  <c r="K48" i="37" a="1"/>
  <c r="K48" i="37"/>
  <c r="L48" i="37" a="1"/>
  <c r="L48" i="37"/>
  <c r="M48" i="37" a="1"/>
  <c r="M48" i="37"/>
  <c r="N48" i="37" a="1"/>
  <c r="N48" i="37"/>
  <c r="O48" i="37" a="1"/>
  <c r="O48" i="37"/>
  <c r="P48" i="37" a="1"/>
  <c r="P48" i="37"/>
  <c r="Q48" i="37" a="1"/>
  <c r="Q48" i="37"/>
  <c r="E49" i="37" a="1"/>
  <c r="E49" i="37"/>
  <c r="F49" i="37" a="1"/>
  <c r="F49" i="37"/>
  <c r="G49" i="37" a="1"/>
  <c r="G49" i="37"/>
  <c r="H49" i="37" a="1"/>
  <c r="H49" i="37"/>
  <c r="I49" i="37" a="1"/>
  <c r="I49" i="37"/>
  <c r="J49" i="37" a="1"/>
  <c r="J49" i="37"/>
  <c r="K49" i="37" a="1"/>
  <c r="K49" i="37"/>
  <c r="L49" i="37" a="1"/>
  <c r="L49" i="37"/>
  <c r="M49" i="37" a="1"/>
  <c r="M49" i="37"/>
  <c r="N49" i="37" a="1"/>
  <c r="N49" i="37"/>
  <c r="O49" i="37" a="1"/>
  <c r="O49" i="37"/>
  <c r="P49" i="37" a="1"/>
  <c r="P49" i="37"/>
  <c r="Q49" i="37" a="1"/>
  <c r="Q49" i="37"/>
  <c r="E50" i="37" a="1"/>
  <c r="E50" i="37"/>
  <c r="F50" i="37" a="1"/>
  <c r="F50" i="37"/>
  <c r="G50" i="37" a="1"/>
  <c r="G50" i="37"/>
  <c r="H50" i="37" a="1"/>
  <c r="H50" i="37"/>
  <c r="I50" i="37" a="1"/>
  <c r="I50" i="37"/>
  <c r="J50" i="37" a="1"/>
  <c r="J50" i="37"/>
  <c r="K50" i="37" a="1"/>
  <c r="K50" i="37"/>
  <c r="L50" i="37" a="1"/>
  <c r="L50" i="37"/>
  <c r="M50" i="37" a="1"/>
  <c r="M50" i="37"/>
  <c r="N50" i="37" a="1"/>
  <c r="N50" i="37"/>
  <c r="O50" i="37" a="1"/>
  <c r="O50" i="37"/>
  <c r="P50" i="37" a="1"/>
  <c r="P50" i="37"/>
  <c r="Q50" i="37" a="1"/>
  <c r="Q50" i="37"/>
  <c r="E51" i="37" a="1"/>
  <c r="E51" i="37"/>
  <c r="F51" i="37" a="1"/>
  <c r="F51" i="37"/>
  <c r="G51" i="37" a="1"/>
  <c r="G51" i="37"/>
  <c r="H51" i="37" a="1"/>
  <c r="H51" i="37"/>
  <c r="I51" i="37" a="1"/>
  <c r="I51" i="37"/>
  <c r="J51" i="37" a="1"/>
  <c r="J51" i="37"/>
  <c r="K51" i="37" a="1"/>
  <c r="K51" i="37"/>
  <c r="L51" i="37" a="1"/>
  <c r="L51" i="37"/>
  <c r="M51" i="37" a="1"/>
  <c r="M51" i="37"/>
  <c r="N51" i="37" a="1"/>
  <c r="N51" i="37"/>
  <c r="O51" i="37" a="1"/>
  <c r="O51" i="37"/>
  <c r="P51" i="37" a="1"/>
  <c r="P51" i="37"/>
  <c r="Q51" i="37" a="1"/>
  <c r="Q51" i="37"/>
  <c r="E52" i="37" a="1"/>
  <c r="E52" i="37"/>
  <c r="F52" i="37" a="1"/>
  <c r="F52" i="37"/>
  <c r="G52" i="37" a="1"/>
  <c r="G52" i="37"/>
  <c r="H52" i="37" a="1"/>
  <c r="H52" i="37"/>
  <c r="I52" i="37" a="1"/>
  <c r="I52" i="37"/>
  <c r="J52" i="37" a="1"/>
  <c r="J52" i="37"/>
  <c r="K52" i="37" a="1"/>
  <c r="K52" i="37"/>
  <c r="L52" i="37" a="1"/>
  <c r="L52" i="37"/>
  <c r="M52" i="37" a="1"/>
  <c r="M52" i="37"/>
  <c r="N52" i="37" a="1"/>
  <c r="N52" i="37"/>
  <c r="O52" i="37" a="1"/>
  <c r="O52" i="37"/>
  <c r="P52" i="37" a="1"/>
  <c r="P52" i="37"/>
  <c r="Q52" i="37" a="1"/>
  <c r="Q52" i="37"/>
  <c r="E53" i="37" a="1"/>
  <c r="E53" i="37"/>
  <c r="F53" i="37" a="1"/>
  <c r="F53" i="37"/>
  <c r="G53" i="37" a="1"/>
  <c r="G53" i="37"/>
  <c r="H53" i="37" a="1"/>
  <c r="H53" i="37"/>
  <c r="I53" i="37" a="1"/>
  <c r="I53" i="37"/>
  <c r="J53" i="37" a="1"/>
  <c r="J53" i="37"/>
  <c r="K53" i="37" a="1"/>
  <c r="K53" i="37"/>
  <c r="L53" i="37" a="1"/>
  <c r="L53" i="37"/>
  <c r="M53" i="37" a="1"/>
  <c r="M53" i="37"/>
  <c r="N53" i="37" a="1"/>
  <c r="N53" i="37"/>
  <c r="O53" i="37" a="1"/>
  <c r="O53" i="37"/>
  <c r="P53" i="37" a="1"/>
  <c r="P53" i="37"/>
  <c r="Q53" i="37" a="1"/>
  <c r="Q53" i="37"/>
  <c r="E54" i="37" a="1"/>
  <c r="E54" i="37"/>
  <c r="F54" i="37" a="1"/>
  <c r="F54" i="37"/>
  <c r="G54" i="37" a="1"/>
  <c r="G54" i="37"/>
  <c r="H54" i="37" a="1"/>
  <c r="H54" i="37"/>
  <c r="I54" i="37" a="1"/>
  <c r="I54" i="37"/>
  <c r="J54" i="37" a="1"/>
  <c r="J54" i="37"/>
  <c r="K54" i="37" a="1"/>
  <c r="K54" i="37"/>
  <c r="L54" i="37" a="1"/>
  <c r="L54" i="37"/>
  <c r="M54" i="37" a="1"/>
  <c r="M54" i="37"/>
  <c r="N54" i="37" a="1"/>
  <c r="N54" i="37"/>
  <c r="O54" i="37" a="1"/>
  <c r="O54" i="37"/>
  <c r="P54" i="37" a="1"/>
  <c r="P54" i="37"/>
  <c r="Q54" i="37" a="1"/>
  <c r="Q54" i="37"/>
  <c r="E55" i="37" a="1"/>
  <c r="E55" i="37"/>
  <c r="F55" i="37" a="1"/>
  <c r="F55" i="37"/>
  <c r="G55" i="37" a="1"/>
  <c r="G55" i="37"/>
  <c r="H55" i="37" a="1"/>
  <c r="H55" i="37"/>
  <c r="I55" i="37" a="1"/>
  <c r="I55" i="37"/>
  <c r="J55" i="37" a="1"/>
  <c r="J55" i="37"/>
  <c r="K55" i="37" a="1"/>
  <c r="K55" i="37"/>
  <c r="L55" i="37" a="1"/>
  <c r="L55" i="37"/>
  <c r="M55" i="37" a="1"/>
  <c r="M55" i="37"/>
  <c r="N55" i="37" a="1"/>
  <c r="N55" i="37"/>
  <c r="O55" i="37" a="1"/>
  <c r="O55" i="37"/>
  <c r="P55" i="37" a="1"/>
  <c r="P55" i="37"/>
  <c r="Q55" i="37" a="1"/>
  <c r="Q55" i="37"/>
  <c r="E56" i="37" a="1"/>
  <c r="E56" i="37"/>
  <c r="F56" i="37" a="1"/>
  <c r="F56" i="37"/>
  <c r="G56" i="37" a="1"/>
  <c r="G56" i="37"/>
  <c r="H56" i="37" a="1"/>
  <c r="H56" i="37"/>
  <c r="I56" i="37" a="1"/>
  <c r="I56" i="37"/>
  <c r="J56" i="37" a="1"/>
  <c r="J56" i="37"/>
  <c r="K56" i="37" a="1"/>
  <c r="K56" i="37"/>
  <c r="L56" i="37" a="1"/>
  <c r="L56" i="37"/>
  <c r="M56" i="37" a="1"/>
  <c r="M56" i="37"/>
  <c r="N56" i="37" a="1"/>
  <c r="N56" i="37"/>
  <c r="O56" i="37" a="1"/>
  <c r="O56" i="37"/>
  <c r="P56" i="37" a="1"/>
  <c r="P56" i="37"/>
  <c r="Q56" i="37" a="1"/>
  <c r="Q56" i="37"/>
  <c r="E57" i="37" a="1"/>
  <c r="E57" i="37"/>
  <c r="F57" i="37" a="1"/>
  <c r="F57" i="37"/>
  <c r="G57" i="37" a="1"/>
  <c r="G57" i="37"/>
  <c r="H57" i="37" a="1"/>
  <c r="H57" i="37"/>
  <c r="I57" i="37" a="1"/>
  <c r="I57" i="37"/>
  <c r="J57" i="37" a="1"/>
  <c r="J57" i="37"/>
  <c r="K57" i="37" a="1"/>
  <c r="K57" i="37"/>
  <c r="L57" i="37" a="1"/>
  <c r="L57" i="37"/>
  <c r="M57" i="37" a="1"/>
  <c r="M57" i="37"/>
  <c r="N57" i="37" a="1"/>
  <c r="N57" i="37"/>
  <c r="O57" i="37" a="1"/>
  <c r="O57" i="37"/>
  <c r="P57" i="37" a="1"/>
  <c r="P57" i="37"/>
  <c r="Q57" i="37" a="1"/>
  <c r="Q57" i="37"/>
  <c r="E58" i="37" a="1"/>
  <c r="E58" i="37"/>
  <c r="F58" i="37" a="1"/>
  <c r="F58" i="37"/>
  <c r="G58" i="37" a="1"/>
  <c r="G58" i="37"/>
  <c r="H58" i="37" a="1"/>
  <c r="H58" i="37"/>
  <c r="I58" i="37" a="1"/>
  <c r="I58" i="37"/>
  <c r="J58" i="37" a="1"/>
  <c r="J58" i="37"/>
  <c r="K58" i="37" a="1"/>
  <c r="K58" i="37"/>
  <c r="L58" i="37" a="1"/>
  <c r="L58" i="37"/>
  <c r="M58" i="37" a="1"/>
  <c r="M58" i="37"/>
  <c r="N58" i="37" a="1"/>
  <c r="N58" i="37"/>
  <c r="O58" i="37" a="1"/>
  <c r="O58" i="37"/>
  <c r="P58" i="37" a="1"/>
  <c r="P58" i="37"/>
  <c r="Q58" i="37" a="1"/>
  <c r="Q58" i="37"/>
  <c r="E59" i="37" a="1"/>
  <c r="E59" i="37"/>
  <c r="F59" i="37" a="1"/>
  <c r="F59" i="37"/>
  <c r="G59" i="37" a="1"/>
  <c r="G59" i="37"/>
  <c r="H59" i="37" a="1"/>
  <c r="H59" i="37"/>
  <c r="I59" i="37" a="1"/>
  <c r="I59" i="37"/>
  <c r="J59" i="37" a="1"/>
  <c r="J59" i="37"/>
  <c r="K59" i="37" a="1"/>
  <c r="K59" i="37"/>
  <c r="L59" i="37" a="1"/>
  <c r="L59" i="37"/>
  <c r="M59" i="37" a="1"/>
  <c r="M59" i="37"/>
  <c r="N59" i="37" a="1"/>
  <c r="N59" i="37"/>
  <c r="O59" i="37" a="1"/>
  <c r="O59" i="37"/>
  <c r="P59" i="37" a="1"/>
  <c r="P59" i="37"/>
  <c r="Q59" i="37" a="1"/>
  <c r="Q59" i="37"/>
  <c r="E60" i="37" a="1"/>
  <c r="E60" i="37"/>
  <c r="F60" i="37" a="1"/>
  <c r="F60" i="37"/>
  <c r="G60" i="37" a="1"/>
  <c r="G60" i="37"/>
  <c r="H60" i="37" a="1"/>
  <c r="H60" i="37"/>
  <c r="I60" i="37" a="1"/>
  <c r="I60" i="37"/>
  <c r="J60" i="37" a="1"/>
  <c r="J60" i="37"/>
  <c r="K60" i="37" a="1"/>
  <c r="K60" i="37"/>
  <c r="L60" i="37" a="1"/>
  <c r="L60" i="37"/>
  <c r="M60" i="37" a="1"/>
  <c r="M60" i="37"/>
  <c r="N60" i="37" a="1"/>
  <c r="N60" i="37"/>
  <c r="O60" i="37" a="1"/>
  <c r="O60" i="37"/>
  <c r="P60" i="37" a="1"/>
  <c r="P60" i="37"/>
  <c r="Q60" i="37" a="1"/>
  <c r="Q60" i="37"/>
  <c r="E11" i="30" a="1"/>
  <c r="E11" i="30"/>
  <c r="F11" i="30" a="1"/>
  <c r="F11" i="30"/>
  <c r="G11" i="30" a="1"/>
  <c r="G11" i="30"/>
  <c r="H11" i="30" a="1"/>
  <c r="H11" i="30"/>
  <c r="I11" i="30" a="1"/>
  <c r="I11" i="30"/>
  <c r="J11" i="30" a="1"/>
  <c r="J11" i="30"/>
  <c r="K11" i="30" a="1"/>
  <c r="K11" i="30"/>
  <c r="L11" i="30" a="1"/>
  <c r="L11" i="30"/>
  <c r="M11" i="30" a="1"/>
  <c r="M11" i="30"/>
  <c r="U13" i="30"/>
  <c r="V13" i="30"/>
  <c r="W13" i="30"/>
  <c r="AL13" i="30"/>
  <c r="AM13" i="30"/>
  <c r="AN13" i="30"/>
  <c r="AO13" i="30"/>
  <c r="AQ13" i="30"/>
  <c r="AR13" i="30"/>
  <c r="U14" i="30"/>
  <c r="V14" i="30"/>
  <c r="W14" i="30"/>
  <c r="AL14" i="30"/>
  <c r="AM14" i="30"/>
  <c r="AN14" i="30"/>
  <c r="AO14" i="30"/>
  <c r="AQ14" i="30"/>
  <c r="AR14" i="30"/>
  <c r="E15" i="30"/>
  <c r="F15" i="30"/>
  <c r="G15" i="30"/>
  <c r="H15" i="30"/>
  <c r="I15" i="30"/>
  <c r="J15" i="30"/>
  <c r="K15" i="30"/>
  <c r="L15" i="30"/>
  <c r="M15" i="30"/>
  <c r="E16" i="30"/>
  <c r="F16" i="30"/>
  <c r="G16" i="30"/>
  <c r="H16" i="30"/>
  <c r="I16" i="30"/>
  <c r="J16" i="30"/>
  <c r="K16" i="30"/>
  <c r="L16" i="30"/>
  <c r="M16" i="30"/>
  <c r="U16" i="30"/>
  <c r="V16" i="30"/>
  <c r="W16" i="30"/>
  <c r="AL16" i="30"/>
  <c r="AM16" i="30"/>
  <c r="AN16" i="30"/>
  <c r="AO16" i="30"/>
  <c r="AQ16" i="30"/>
  <c r="AR16" i="30"/>
  <c r="E17" i="30" a="1"/>
  <c r="E17" i="30"/>
  <c r="F17" i="30" a="1"/>
  <c r="F17" i="30"/>
  <c r="G17" i="30" a="1"/>
  <c r="G17" i="30"/>
  <c r="H17" i="30" a="1"/>
  <c r="H17" i="30"/>
  <c r="I17" i="30" a="1"/>
  <c r="I17" i="30"/>
  <c r="J17" i="30" a="1"/>
  <c r="J17" i="30"/>
  <c r="K17" i="30" a="1"/>
  <c r="K17" i="30"/>
  <c r="L17" i="30" a="1"/>
  <c r="L17" i="30"/>
  <c r="M17" i="30" a="1"/>
  <c r="M17" i="30"/>
  <c r="U17" i="30" a="1"/>
  <c r="U17" i="30"/>
  <c r="V17" i="30" a="1"/>
  <c r="V17" i="30"/>
  <c r="W17" i="30" a="1"/>
  <c r="W17" i="30"/>
  <c r="AL17" i="30" a="1"/>
  <c r="AL17" i="30"/>
  <c r="AM17" i="30" a="1"/>
  <c r="AM17" i="30"/>
  <c r="AN17" i="30" a="1"/>
  <c r="AN17" i="30"/>
  <c r="AO17" i="30" a="1"/>
  <c r="AO17" i="30"/>
  <c r="AQ17" i="30" a="1"/>
  <c r="AQ17" i="30"/>
  <c r="AR17" i="30" a="1"/>
  <c r="AR17" i="30"/>
  <c r="E18" i="30" a="1"/>
  <c r="E18" i="30"/>
  <c r="F18" i="30" a="1"/>
  <c r="F18" i="30"/>
  <c r="G18" i="30" a="1"/>
  <c r="G18" i="30"/>
  <c r="H18" i="30" a="1"/>
  <c r="H18" i="30"/>
  <c r="I18" i="30" a="1"/>
  <c r="I18" i="30"/>
  <c r="J18" i="30" a="1"/>
  <c r="J18" i="30"/>
  <c r="K18" i="30" a="1"/>
  <c r="K18" i="30"/>
  <c r="L18" i="30" a="1"/>
  <c r="L18" i="30"/>
  <c r="M18" i="30" a="1"/>
  <c r="M18" i="30"/>
  <c r="U18" i="30" a="1"/>
  <c r="U18" i="30"/>
  <c r="V18" i="30" a="1"/>
  <c r="V18" i="30"/>
  <c r="W18" i="30" a="1"/>
  <c r="W18" i="30"/>
  <c r="AL18" i="30" a="1"/>
  <c r="AL18" i="30"/>
  <c r="AM18" i="30" a="1"/>
  <c r="AM18" i="30"/>
  <c r="AN18" i="30" a="1"/>
  <c r="AN18" i="30"/>
  <c r="AO18" i="30" a="1"/>
  <c r="AO18" i="30"/>
  <c r="AQ18" i="30" a="1"/>
  <c r="AQ18" i="30"/>
  <c r="AR18" i="30" a="1"/>
  <c r="AR18" i="30"/>
  <c r="E20" i="30" a="1"/>
  <c r="E20" i="30"/>
  <c r="F20" i="30" a="1"/>
  <c r="F20" i="30"/>
  <c r="G20" i="30" a="1"/>
  <c r="G20" i="30"/>
  <c r="H20" i="30" a="1"/>
  <c r="H20" i="30"/>
  <c r="I20" i="30" a="1"/>
  <c r="I20" i="30"/>
  <c r="J20" i="30" a="1"/>
  <c r="J20" i="30"/>
  <c r="K20" i="30" a="1"/>
  <c r="K20" i="30"/>
  <c r="L20" i="30" a="1"/>
  <c r="L20" i="30"/>
  <c r="M20" i="30" a="1"/>
  <c r="M20" i="30"/>
  <c r="P20" i="30"/>
  <c r="Q20" i="30"/>
  <c r="R20" i="30"/>
  <c r="S20" i="30"/>
  <c r="T20" i="30"/>
  <c r="U20" i="30"/>
  <c r="V20" i="30"/>
  <c r="W20" i="30"/>
  <c r="E21" i="30" a="1"/>
  <c r="E21" i="30"/>
  <c r="F21" i="30" a="1"/>
  <c r="F21" i="30"/>
  <c r="G21" i="30" a="1"/>
  <c r="G21" i="30"/>
  <c r="H21" i="30" a="1"/>
  <c r="H21" i="30"/>
  <c r="I21" i="30" a="1"/>
  <c r="I21" i="30"/>
  <c r="J21" i="30" a="1"/>
  <c r="J21" i="30"/>
  <c r="K21" i="30" a="1"/>
  <c r="K21" i="30"/>
  <c r="L21" i="30" a="1"/>
  <c r="L21" i="30"/>
  <c r="M21" i="30" a="1"/>
  <c r="M21" i="30"/>
  <c r="P21" i="30"/>
  <c r="Q21" i="30"/>
  <c r="R21" i="30"/>
  <c r="S21" i="30"/>
  <c r="T21" i="30"/>
  <c r="U21" i="30"/>
  <c r="V21" i="30"/>
  <c r="W21" i="30"/>
  <c r="AL21" i="30"/>
  <c r="AM21" i="30"/>
  <c r="AO21" i="30"/>
  <c r="AQ21" i="30"/>
  <c r="AR21" i="30"/>
  <c r="E22" i="30" a="1"/>
  <c r="E22" i="30"/>
  <c r="F22" i="30" a="1"/>
  <c r="F22" i="30"/>
  <c r="G22" i="30" a="1"/>
  <c r="G22" i="30"/>
  <c r="H22" i="30" a="1"/>
  <c r="H22" i="30"/>
  <c r="I22" i="30" a="1"/>
  <c r="I22" i="30"/>
  <c r="J22" i="30" a="1"/>
  <c r="J22" i="30"/>
  <c r="K22" i="30" a="1"/>
  <c r="K22" i="30"/>
  <c r="L22" i="30" a="1"/>
  <c r="L22" i="30"/>
  <c r="M22" i="30" a="1"/>
  <c r="M22" i="30"/>
  <c r="P22" i="30"/>
  <c r="Q22" i="30"/>
  <c r="R22" i="30"/>
  <c r="S22" i="30"/>
  <c r="T22" i="30"/>
  <c r="U22" i="30"/>
  <c r="V22" i="30"/>
  <c r="W22" i="30"/>
  <c r="Y22" i="30"/>
  <c r="Z22" i="30"/>
  <c r="AL22" i="30"/>
  <c r="AM22" i="30"/>
  <c r="AO22" i="30"/>
  <c r="AQ22" i="30"/>
  <c r="AR22" i="30"/>
  <c r="E23" i="30" a="1"/>
  <c r="E23" i="30"/>
  <c r="F23" i="30" a="1"/>
  <c r="F23" i="30"/>
  <c r="G23" i="30" a="1"/>
  <c r="G23" i="30"/>
  <c r="H23" i="30" a="1"/>
  <c r="H23" i="30"/>
  <c r="I23" i="30" a="1"/>
  <c r="I23" i="30"/>
  <c r="J23" i="30" a="1"/>
  <c r="J23" i="30"/>
  <c r="K23" i="30" a="1"/>
  <c r="K23" i="30"/>
  <c r="L23" i="30" a="1"/>
  <c r="L23" i="30"/>
  <c r="M23" i="30" a="1"/>
  <c r="M23" i="30"/>
  <c r="P23" i="30"/>
  <c r="Q23" i="30"/>
  <c r="R23" i="30"/>
  <c r="S23" i="30"/>
  <c r="T23" i="30"/>
  <c r="U23" i="30"/>
  <c r="V23" i="30"/>
  <c r="W23" i="30"/>
  <c r="Y23" i="30"/>
  <c r="Z23" i="30"/>
  <c r="AL23" i="30"/>
  <c r="AM23" i="30"/>
  <c r="AO23" i="30"/>
  <c r="AQ23" i="30"/>
  <c r="AR23" i="30"/>
  <c r="E24" i="30" a="1"/>
  <c r="E24" i="30"/>
  <c r="F24" i="30" a="1"/>
  <c r="F24" i="30"/>
  <c r="G24" i="30" a="1"/>
  <c r="G24" i="30"/>
  <c r="H24" i="30" a="1"/>
  <c r="H24" i="30"/>
  <c r="I24" i="30" a="1"/>
  <c r="I24" i="30"/>
  <c r="J24" i="30" a="1"/>
  <c r="J24" i="30"/>
  <c r="K24" i="30" a="1"/>
  <c r="K24" i="30"/>
  <c r="L24" i="30" a="1"/>
  <c r="L24" i="30"/>
  <c r="M24" i="30" a="1"/>
  <c r="M24" i="30"/>
  <c r="P24" i="30"/>
  <c r="Q24" i="30"/>
  <c r="R24" i="30"/>
  <c r="S24" i="30"/>
  <c r="T24" i="30"/>
  <c r="U24" i="30"/>
  <c r="V24" i="30"/>
  <c r="W24" i="30"/>
  <c r="Y24" i="30"/>
  <c r="Z24" i="30"/>
  <c r="AL24" i="30"/>
  <c r="AM24" i="30"/>
  <c r="AO24" i="30"/>
  <c r="AQ24" i="30"/>
  <c r="AR24" i="30"/>
  <c r="E25" i="30" a="1"/>
  <c r="E25" i="30"/>
  <c r="F25" i="30" a="1"/>
  <c r="F25" i="30"/>
  <c r="G25" i="30" a="1"/>
  <c r="G25" i="30"/>
  <c r="H25" i="30" a="1"/>
  <c r="H25" i="30"/>
  <c r="I25" i="30" a="1"/>
  <c r="I25" i="30"/>
  <c r="J25" i="30" a="1"/>
  <c r="J25" i="30"/>
  <c r="K25" i="30" a="1"/>
  <c r="K25" i="30"/>
  <c r="L25" i="30" a="1"/>
  <c r="L25" i="30"/>
  <c r="M25" i="30" a="1"/>
  <c r="M25" i="30"/>
  <c r="P25" i="30"/>
  <c r="Q25" i="30"/>
  <c r="R25" i="30"/>
  <c r="S25" i="30"/>
  <c r="T25" i="30"/>
  <c r="U25" i="30"/>
  <c r="V25" i="30"/>
  <c r="W25" i="30"/>
  <c r="Y25" i="30"/>
  <c r="Z25" i="30"/>
  <c r="AL25" i="30"/>
  <c r="AM25" i="30"/>
  <c r="AO25" i="30"/>
  <c r="AQ25" i="30"/>
  <c r="AR25" i="30"/>
  <c r="E26" i="30" a="1"/>
  <c r="E26" i="30"/>
  <c r="F26" i="30" a="1"/>
  <c r="F26" i="30"/>
  <c r="G26" i="30" a="1"/>
  <c r="G26" i="30"/>
  <c r="H26" i="30" a="1"/>
  <c r="H26" i="30"/>
  <c r="I26" i="30" a="1"/>
  <c r="I26" i="30"/>
  <c r="J26" i="30" a="1"/>
  <c r="J26" i="30"/>
  <c r="K26" i="30" a="1"/>
  <c r="K26" i="30"/>
  <c r="L26" i="30" a="1"/>
  <c r="L26" i="30"/>
  <c r="M26" i="30" a="1"/>
  <c r="M26" i="30"/>
  <c r="P26" i="30"/>
  <c r="Q26" i="30"/>
  <c r="R26" i="30"/>
  <c r="S26" i="30"/>
  <c r="T26" i="30"/>
  <c r="U26" i="30"/>
  <c r="V26" i="30"/>
  <c r="W26" i="30"/>
  <c r="Y26" i="30"/>
  <c r="Z26" i="30"/>
  <c r="AL26" i="30"/>
  <c r="AM26" i="30"/>
  <c r="AO26" i="30"/>
  <c r="AQ26" i="30"/>
  <c r="AR26" i="30"/>
  <c r="E27" i="30" a="1"/>
  <c r="E27" i="30"/>
  <c r="F27" i="30" a="1"/>
  <c r="F27" i="30"/>
  <c r="G27" i="30" a="1"/>
  <c r="G27" i="30"/>
  <c r="H27" i="30" a="1"/>
  <c r="H27" i="30"/>
  <c r="I27" i="30" a="1"/>
  <c r="I27" i="30"/>
  <c r="J27" i="30" a="1"/>
  <c r="J27" i="30"/>
  <c r="K27" i="30" a="1"/>
  <c r="K27" i="30"/>
  <c r="L27" i="30" a="1"/>
  <c r="L27" i="30"/>
  <c r="M27" i="30" a="1"/>
  <c r="M27" i="30"/>
  <c r="P27" i="30"/>
  <c r="Q27" i="30"/>
  <c r="R27" i="30"/>
  <c r="S27" i="30"/>
  <c r="T27" i="30"/>
  <c r="U27" i="30"/>
  <c r="V27" i="30"/>
  <c r="W27" i="30"/>
  <c r="Y27" i="30"/>
  <c r="Z27" i="30"/>
  <c r="AL27" i="30"/>
  <c r="AM27" i="30"/>
  <c r="AO27" i="30"/>
  <c r="AQ27" i="30"/>
  <c r="AR27" i="30"/>
  <c r="E28" i="30" a="1"/>
  <c r="E28" i="30"/>
  <c r="F28" i="30" a="1"/>
  <c r="F28" i="30"/>
  <c r="G28" i="30" a="1"/>
  <c r="G28" i="30"/>
  <c r="H28" i="30" a="1"/>
  <c r="H28" i="30"/>
  <c r="I28" i="30" a="1"/>
  <c r="I28" i="30"/>
  <c r="J28" i="30" a="1"/>
  <c r="J28" i="30"/>
  <c r="K28" i="30" a="1"/>
  <c r="K28" i="30"/>
  <c r="L28" i="30" a="1"/>
  <c r="L28" i="30"/>
  <c r="M28" i="30" a="1"/>
  <c r="M28" i="30"/>
  <c r="P28" i="30"/>
  <c r="Q28" i="30"/>
  <c r="R28" i="30"/>
  <c r="S28" i="30"/>
  <c r="T28" i="30"/>
  <c r="U28" i="30"/>
  <c r="V28" i="30"/>
  <c r="W28" i="30"/>
  <c r="Y28" i="30"/>
  <c r="Z28" i="30"/>
  <c r="AL28" i="30"/>
  <c r="AM28" i="30"/>
  <c r="AO28" i="30"/>
  <c r="AQ28" i="30"/>
  <c r="AR28" i="30"/>
  <c r="E29" i="30" a="1"/>
  <c r="E29" i="30"/>
  <c r="F29" i="30" a="1"/>
  <c r="F29" i="30"/>
  <c r="G29" i="30" a="1"/>
  <c r="G29" i="30"/>
  <c r="H29" i="30" a="1"/>
  <c r="H29" i="30"/>
  <c r="I29" i="30" a="1"/>
  <c r="I29" i="30"/>
  <c r="J29" i="30" a="1"/>
  <c r="J29" i="30"/>
  <c r="K29" i="30" a="1"/>
  <c r="K29" i="30"/>
  <c r="L29" i="30" a="1"/>
  <c r="L29" i="30"/>
  <c r="M29" i="30" a="1"/>
  <c r="M29" i="30"/>
  <c r="P29" i="30"/>
  <c r="Q29" i="30"/>
  <c r="R29" i="30"/>
  <c r="S29" i="30"/>
  <c r="T29" i="30"/>
  <c r="U29" i="30"/>
  <c r="V29" i="30"/>
  <c r="W29" i="30"/>
  <c r="Y29" i="30"/>
  <c r="Z29" i="30"/>
  <c r="AL29" i="30"/>
  <c r="AM29" i="30"/>
  <c r="AO29" i="30"/>
  <c r="AQ29" i="30"/>
  <c r="AR29" i="30"/>
  <c r="E30" i="30" a="1"/>
  <c r="E30" i="30"/>
  <c r="F30" i="30" a="1"/>
  <c r="F30" i="30"/>
  <c r="G30" i="30" a="1"/>
  <c r="G30" i="30"/>
  <c r="H30" i="30" a="1"/>
  <c r="H30" i="30"/>
  <c r="I30" i="30" a="1"/>
  <c r="I30" i="30"/>
  <c r="J30" i="30" a="1"/>
  <c r="J30" i="30"/>
  <c r="K30" i="30" a="1"/>
  <c r="K30" i="30"/>
  <c r="L30" i="30" a="1"/>
  <c r="L30" i="30"/>
  <c r="M30" i="30" a="1"/>
  <c r="M30" i="30"/>
  <c r="P30" i="30"/>
  <c r="Q30" i="30"/>
  <c r="R30" i="30"/>
  <c r="S30" i="30"/>
  <c r="T30" i="30"/>
  <c r="U30" i="30"/>
  <c r="V30" i="30"/>
  <c r="W30" i="30"/>
  <c r="Y30" i="30"/>
  <c r="Z30" i="30"/>
  <c r="AL30" i="30"/>
  <c r="AM30" i="30"/>
  <c r="AO30" i="30"/>
  <c r="AQ30" i="30"/>
  <c r="AR30" i="30"/>
  <c r="E31" i="30" a="1"/>
  <c r="E31" i="30"/>
  <c r="F31" i="30" a="1"/>
  <c r="F31" i="30"/>
  <c r="G31" i="30" a="1"/>
  <c r="G31" i="30"/>
  <c r="H31" i="30" a="1"/>
  <c r="H31" i="30"/>
  <c r="I31" i="30" a="1"/>
  <c r="I31" i="30"/>
  <c r="J31" i="30" a="1"/>
  <c r="J31" i="30"/>
  <c r="K31" i="30" a="1"/>
  <c r="K31" i="30"/>
  <c r="L31" i="30" a="1"/>
  <c r="L31" i="30"/>
  <c r="M31" i="30" a="1"/>
  <c r="M31" i="30"/>
  <c r="P31" i="30"/>
  <c r="Q31" i="30"/>
  <c r="R31" i="30"/>
  <c r="S31" i="30"/>
  <c r="T31" i="30"/>
  <c r="U31" i="30"/>
  <c r="V31" i="30"/>
  <c r="W31" i="30"/>
  <c r="Y31" i="30"/>
  <c r="Z31" i="30"/>
  <c r="AL31" i="30"/>
  <c r="AM31" i="30"/>
  <c r="AO31" i="30"/>
  <c r="AQ31" i="30"/>
  <c r="AR31" i="30"/>
  <c r="E32" i="30" a="1"/>
  <c r="E32" i="30"/>
  <c r="F32" i="30" a="1"/>
  <c r="F32" i="30"/>
  <c r="G32" i="30" a="1"/>
  <c r="G32" i="30"/>
  <c r="H32" i="30" a="1"/>
  <c r="H32" i="30"/>
  <c r="I32" i="30" a="1"/>
  <c r="I32" i="30"/>
  <c r="J32" i="30" a="1"/>
  <c r="J32" i="30"/>
  <c r="K32" i="30" a="1"/>
  <c r="K32" i="30"/>
  <c r="L32" i="30" a="1"/>
  <c r="L32" i="30"/>
  <c r="M32" i="30" a="1"/>
  <c r="M32" i="30"/>
  <c r="P32" i="30"/>
  <c r="Q32" i="30"/>
  <c r="R32" i="30"/>
  <c r="S32" i="30"/>
  <c r="T32" i="30"/>
  <c r="U32" i="30"/>
  <c r="V32" i="30"/>
  <c r="W32" i="30"/>
  <c r="Y32" i="30"/>
  <c r="Z32" i="30"/>
  <c r="AL32" i="30"/>
  <c r="AM32" i="30"/>
  <c r="AO32" i="30"/>
  <c r="AQ32" i="30"/>
  <c r="AR32" i="30"/>
  <c r="E33" i="30" a="1"/>
  <c r="E33" i="30"/>
  <c r="F33" i="30" a="1"/>
  <c r="F33" i="30"/>
  <c r="G33" i="30" a="1"/>
  <c r="G33" i="30"/>
  <c r="H33" i="30" a="1"/>
  <c r="H33" i="30"/>
  <c r="I33" i="30" a="1"/>
  <c r="I33" i="30"/>
  <c r="J33" i="30" a="1"/>
  <c r="J33" i="30"/>
  <c r="K33" i="30" a="1"/>
  <c r="K33" i="30"/>
  <c r="L33" i="30" a="1"/>
  <c r="L33" i="30"/>
  <c r="M33" i="30" a="1"/>
  <c r="M33" i="30"/>
  <c r="P33" i="30"/>
  <c r="Q33" i="30"/>
  <c r="R33" i="30"/>
  <c r="S33" i="30"/>
  <c r="T33" i="30"/>
  <c r="U33" i="30"/>
  <c r="V33" i="30"/>
  <c r="W33" i="30"/>
  <c r="Y33" i="30"/>
  <c r="Z33" i="30"/>
  <c r="AL33" i="30"/>
  <c r="AM33" i="30"/>
  <c r="AO33" i="30"/>
  <c r="AQ33" i="30"/>
  <c r="AR33" i="30"/>
  <c r="E34" i="30" a="1"/>
  <c r="E34" i="30"/>
  <c r="F34" i="30" a="1"/>
  <c r="F34" i="30"/>
  <c r="G34" i="30" a="1"/>
  <c r="G34" i="30"/>
  <c r="H34" i="30" a="1"/>
  <c r="H34" i="30"/>
  <c r="I34" i="30" a="1"/>
  <c r="I34" i="30"/>
  <c r="J34" i="30" a="1"/>
  <c r="J34" i="30"/>
  <c r="K34" i="30" a="1"/>
  <c r="K34" i="30"/>
  <c r="L34" i="30" a="1"/>
  <c r="L34" i="30"/>
  <c r="M34" i="30" a="1"/>
  <c r="M34" i="30"/>
  <c r="P34" i="30"/>
  <c r="Q34" i="30"/>
  <c r="R34" i="30"/>
  <c r="S34" i="30"/>
  <c r="T34" i="30"/>
  <c r="U34" i="30"/>
  <c r="V34" i="30"/>
  <c r="W34" i="30"/>
  <c r="Y34" i="30"/>
  <c r="Z34" i="30"/>
  <c r="AL34" i="30"/>
  <c r="AM34" i="30"/>
  <c r="AO34" i="30"/>
  <c r="AQ34" i="30"/>
  <c r="AR34" i="30"/>
  <c r="E35" i="30" a="1"/>
  <c r="E35" i="30"/>
  <c r="F35" i="30" a="1"/>
  <c r="F35" i="30"/>
  <c r="G35" i="30" a="1"/>
  <c r="G35" i="30"/>
  <c r="H35" i="30" a="1"/>
  <c r="H35" i="30"/>
  <c r="I35" i="30" a="1"/>
  <c r="I35" i="30"/>
  <c r="J35" i="30" a="1"/>
  <c r="J35" i="30"/>
  <c r="K35" i="30" a="1"/>
  <c r="K35" i="30"/>
  <c r="L35" i="30" a="1"/>
  <c r="L35" i="30"/>
  <c r="M35" i="30" a="1"/>
  <c r="M35" i="30"/>
  <c r="P35" i="30"/>
  <c r="Q35" i="30"/>
  <c r="R35" i="30"/>
  <c r="S35" i="30"/>
  <c r="T35" i="30"/>
  <c r="U35" i="30"/>
  <c r="V35" i="30"/>
  <c r="W35" i="30"/>
  <c r="Y35" i="30"/>
  <c r="Z35" i="30"/>
  <c r="AL35" i="30"/>
  <c r="AM35" i="30"/>
  <c r="AO35" i="30"/>
  <c r="AQ35" i="30"/>
  <c r="AR35" i="30"/>
  <c r="E36" i="30" a="1"/>
  <c r="E36" i="30"/>
  <c r="F36" i="30" a="1"/>
  <c r="F36" i="30"/>
  <c r="G36" i="30" a="1"/>
  <c r="G36" i="30"/>
  <c r="H36" i="30" a="1"/>
  <c r="H36" i="30"/>
  <c r="I36" i="30" a="1"/>
  <c r="I36" i="30"/>
  <c r="J36" i="30" a="1"/>
  <c r="J36" i="30"/>
  <c r="K36" i="30" a="1"/>
  <c r="K36" i="30"/>
  <c r="L36" i="30" a="1"/>
  <c r="L36" i="30"/>
  <c r="M36" i="30" a="1"/>
  <c r="M36" i="30"/>
  <c r="P36" i="30"/>
  <c r="Q36" i="30"/>
  <c r="R36" i="30"/>
  <c r="S36" i="30"/>
  <c r="T36" i="30"/>
  <c r="U36" i="30"/>
  <c r="V36" i="30"/>
  <c r="W36" i="30"/>
  <c r="Y36" i="30"/>
  <c r="Z36" i="30"/>
  <c r="AL36" i="30"/>
  <c r="AM36" i="30"/>
  <c r="AO36" i="30"/>
  <c r="AQ36" i="30"/>
  <c r="AR36" i="30"/>
  <c r="E37" i="30" a="1"/>
  <c r="E37" i="30"/>
  <c r="F37" i="30" a="1"/>
  <c r="F37" i="30"/>
  <c r="G37" i="30" a="1"/>
  <c r="G37" i="30"/>
  <c r="H37" i="30" a="1"/>
  <c r="H37" i="30"/>
  <c r="I37" i="30" a="1"/>
  <c r="I37" i="30"/>
  <c r="J37" i="30" a="1"/>
  <c r="J37" i="30"/>
  <c r="K37" i="30" a="1"/>
  <c r="K37" i="30"/>
  <c r="L37" i="30" a="1"/>
  <c r="L37" i="30"/>
  <c r="M37" i="30" a="1"/>
  <c r="M37" i="30"/>
  <c r="P37" i="30"/>
  <c r="Q37" i="30"/>
  <c r="R37" i="30"/>
  <c r="S37" i="30"/>
  <c r="T37" i="30"/>
  <c r="U37" i="30"/>
  <c r="V37" i="30"/>
  <c r="W37" i="30"/>
  <c r="Y37" i="30"/>
  <c r="Z37" i="30"/>
  <c r="AL37" i="30"/>
  <c r="AM37" i="30"/>
  <c r="AO37" i="30"/>
  <c r="AQ37" i="30"/>
  <c r="AR37" i="30"/>
  <c r="E38" i="30" a="1"/>
  <c r="E38" i="30"/>
  <c r="F38" i="30" a="1"/>
  <c r="F38" i="30"/>
  <c r="G38" i="30" a="1"/>
  <c r="G38" i="30"/>
  <c r="H38" i="30" a="1"/>
  <c r="H38" i="30"/>
  <c r="I38" i="30" a="1"/>
  <c r="I38" i="30"/>
  <c r="J38" i="30" a="1"/>
  <c r="J38" i="30"/>
  <c r="K38" i="30" a="1"/>
  <c r="K38" i="30"/>
  <c r="L38" i="30" a="1"/>
  <c r="L38" i="30"/>
  <c r="M38" i="30" a="1"/>
  <c r="M38" i="30"/>
  <c r="P38" i="30"/>
  <c r="Q38" i="30"/>
  <c r="R38" i="30"/>
  <c r="S38" i="30"/>
  <c r="T38" i="30"/>
  <c r="U38" i="30"/>
  <c r="V38" i="30"/>
  <c r="W38" i="30"/>
  <c r="Y38" i="30"/>
  <c r="Z38" i="30"/>
  <c r="AL38" i="30"/>
  <c r="AM38" i="30"/>
  <c r="AO38" i="30"/>
  <c r="AQ38" i="30"/>
  <c r="AR38" i="30"/>
  <c r="E39" i="30" a="1"/>
  <c r="E39" i="30"/>
  <c r="F39" i="30" a="1"/>
  <c r="F39" i="30"/>
  <c r="G39" i="30" a="1"/>
  <c r="G39" i="30"/>
  <c r="H39" i="30" a="1"/>
  <c r="H39" i="30"/>
  <c r="I39" i="30" a="1"/>
  <c r="I39" i="30"/>
  <c r="J39" i="30" a="1"/>
  <c r="J39" i="30"/>
  <c r="K39" i="30" a="1"/>
  <c r="K39" i="30"/>
  <c r="L39" i="30" a="1"/>
  <c r="L39" i="30"/>
  <c r="M39" i="30" a="1"/>
  <c r="M39" i="30"/>
  <c r="P39" i="30"/>
  <c r="Q39" i="30"/>
  <c r="R39" i="30"/>
  <c r="S39" i="30"/>
  <c r="T39" i="30"/>
  <c r="U39" i="30"/>
  <c r="V39" i="30"/>
  <c r="W39" i="30"/>
  <c r="Y39" i="30"/>
  <c r="Z39" i="30"/>
  <c r="AL39" i="30"/>
  <c r="AM39" i="30"/>
  <c r="AO39" i="30"/>
  <c r="AQ39" i="30"/>
  <c r="AR39" i="30"/>
  <c r="E40" i="30" a="1"/>
  <c r="E40" i="30"/>
  <c r="F40" i="30" a="1"/>
  <c r="F40" i="30"/>
  <c r="G40" i="30" a="1"/>
  <c r="G40" i="30"/>
  <c r="H40" i="30" a="1"/>
  <c r="H40" i="30"/>
  <c r="I40" i="30" a="1"/>
  <c r="I40" i="30"/>
  <c r="J40" i="30" a="1"/>
  <c r="J40" i="30"/>
  <c r="K40" i="30" a="1"/>
  <c r="K40" i="30"/>
  <c r="L40" i="30" a="1"/>
  <c r="L40" i="30"/>
  <c r="M40" i="30" a="1"/>
  <c r="M40" i="30"/>
  <c r="P40" i="30"/>
  <c r="Q40" i="30"/>
  <c r="R40" i="30"/>
  <c r="S40" i="30"/>
  <c r="T40" i="30"/>
  <c r="U40" i="30"/>
  <c r="V40" i="30"/>
  <c r="W40" i="30"/>
  <c r="Y40" i="30"/>
  <c r="Z40" i="30"/>
  <c r="AL40" i="30"/>
  <c r="AM40" i="30"/>
  <c r="AO40" i="30"/>
  <c r="AQ40" i="30"/>
  <c r="AR40" i="30"/>
  <c r="E41" i="30" a="1"/>
  <c r="E41" i="30"/>
  <c r="F41" i="30" a="1"/>
  <c r="F41" i="30"/>
  <c r="G41" i="30" a="1"/>
  <c r="G41" i="30"/>
  <c r="H41" i="30" a="1"/>
  <c r="H41" i="30"/>
  <c r="I41" i="30" a="1"/>
  <c r="I41" i="30"/>
  <c r="J41" i="30" a="1"/>
  <c r="J41" i="30"/>
  <c r="K41" i="30" a="1"/>
  <c r="K41" i="30"/>
  <c r="L41" i="30" a="1"/>
  <c r="L41" i="30"/>
  <c r="M41" i="30" a="1"/>
  <c r="M41" i="30"/>
  <c r="P41" i="30"/>
  <c r="Q41" i="30"/>
  <c r="R41" i="30"/>
  <c r="S41" i="30"/>
  <c r="T41" i="30"/>
  <c r="U41" i="30"/>
  <c r="V41" i="30"/>
  <c r="W41" i="30"/>
  <c r="Y41" i="30"/>
  <c r="Z41" i="30"/>
  <c r="AL41" i="30"/>
  <c r="AM41" i="30"/>
  <c r="AO41" i="30"/>
  <c r="AQ41" i="30"/>
  <c r="AR41" i="30"/>
  <c r="E42" i="30" a="1"/>
  <c r="E42" i="30"/>
  <c r="F42" i="30" a="1"/>
  <c r="F42" i="30"/>
  <c r="G42" i="30" a="1"/>
  <c r="G42" i="30"/>
  <c r="H42" i="30" a="1"/>
  <c r="H42" i="30"/>
  <c r="I42" i="30" a="1"/>
  <c r="I42" i="30"/>
  <c r="J42" i="30" a="1"/>
  <c r="J42" i="30"/>
  <c r="K42" i="30" a="1"/>
  <c r="K42" i="30"/>
  <c r="L42" i="30" a="1"/>
  <c r="L42" i="30"/>
  <c r="M42" i="30" a="1"/>
  <c r="M42" i="30"/>
  <c r="P42" i="30"/>
  <c r="Q42" i="30"/>
  <c r="R42" i="30"/>
  <c r="S42" i="30"/>
  <c r="T42" i="30"/>
  <c r="U42" i="30"/>
  <c r="V42" i="30"/>
  <c r="W42" i="30"/>
  <c r="Y42" i="30"/>
  <c r="Z42" i="30"/>
  <c r="AL42" i="30"/>
  <c r="AM42" i="30"/>
  <c r="AO42" i="30"/>
  <c r="AQ42" i="30"/>
  <c r="AR42" i="30"/>
  <c r="E43" i="30" a="1"/>
  <c r="E43" i="30"/>
  <c r="F43" i="30" a="1"/>
  <c r="F43" i="30"/>
  <c r="G43" i="30" a="1"/>
  <c r="G43" i="30"/>
  <c r="H43" i="30" a="1"/>
  <c r="H43" i="30"/>
  <c r="I43" i="30" a="1"/>
  <c r="I43" i="30"/>
  <c r="J43" i="30" a="1"/>
  <c r="J43" i="30"/>
  <c r="K43" i="30" a="1"/>
  <c r="K43" i="30"/>
  <c r="L43" i="30" a="1"/>
  <c r="L43" i="30"/>
  <c r="M43" i="30" a="1"/>
  <c r="M43" i="30"/>
  <c r="P43" i="30"/>
  <c r="Q43" i="30"/>
  <c r="R43" i="30"/>
  <c r="S43" i="30"/>
  <c r="T43" i="30"/>
  <c r="U43" i="30"/>
  <c r="V43" i="30"/>
  <c r="W43" i="30"/>
  <c r="Y43" i="30"/>
  <c r="Z43" i="30"/>
  <c r="AL43" i="30"/>
  <c r="AM43" i="30"/>
  <c r="AO43" i="30"/>
  <c r="AQ43" i="30"/>
  <c r="AR43" i="30"/>
  <c r="E44" i="30" a="1"/>
  <c r="E44" i="30"/>
  <c r="F44" i="30" a="1"/>
  <c r="F44" i="30"/>
  <c r="G44" i="30" a="1"/>
  <c r="G44" i="30"/>
  <c r="H44" i="30" a="1"/>
  <c r="H44" i="30"/>
  <c r="I44" i="30" a="1"/>
  <c r="I44" i="30"/>
  <c r="J44" i="30" a="1"/>
  <c r="J44" i="30"/>
  <c r="K44" i="30" a="1"/>
  <c r="K44" i="30"/>
  <c r="L44" i="30" a="1"/>
  <c r="L44" i="30"/>
  <c r="M44" i="30" a="1"/>
  <c r="M44" i="30"/>
  <c r="P44" i="30"/>
  <c r="Q44" i="30"/>
  <c r="R44" i="30"/>
  <c r="S44" i="30"/>
  <c r="T44" i="30"/>
  <c r="U44" i="30"/>
  <c r="V44" i="30"/>
  <c r="W44" i="30"/>
  <c r="Y44" i="30"/>
  <c r="Z44" i="30"/>
  <c r="AL44" i="30"/>
  <c r="AM44" i="30"/>
  <c r="AO44" i="30"/>
  <c r="AQ44" i="30"/>
  <c r="AR44" i="30"/>
  <c r="E45" i="30" a="1"/>
  <c r="E45" i="30"/>
  <c r="F45" i="30" a="1"/>
  <c r="F45" i="30"/>
  <c r="G45" i="30" a="1"/>
  <c r="G45" i="30"/>
  <c r="H45" i="30" a="1"/>
  <c r="H45" i="30"/>
  <c r="I45" i="30" a="1"/>
  <c r="I45" i="30"/>
  <c r="J45" i="30" a="1"/>
  <c r="J45" i="30"/>
  <c r="K45" i="30" a="1"/>
  <c r="K45" i="30"/>
  <c r="L45" i="30" a="1"/>
  <c r="L45" i="30"/>
  <c r="M45" i="30" a="1"/>
  <c r="M45" i="30"/>
  <c r="P45" i="30"/>
  <c r="Q45" i="30"/>
  <c r="R45" i="30"/>
  <c r="S45" i="30"/>
  <c r="T45" i="30"/>
  <c r="U45" i="30"/>
  <c r="V45" i="30"/>
  <c r="W45" i="30"/>
  <c r="Y45" i="30"/>
  <c r="Z45" i="30"/>
  <c r="AL45" i="30"/>
  <c r="AM45" i="30"/>
  <c r="AN45" i="30"/>
  <c r="AO45" i="30"/>
  <c r="AQ45" i="30"/>
  <c r="AR45" i="30"/>
  <c r="E46" i="30" a="1"/>
  <c r="E46" i="30"/>
  <c r="F46" i="30" a="1"/>
  <c r="F46" i="30"/>
  <c r="G46" i="30" a="1"/>
  <c r="G46" i="30"/>
  <c r="H46" i="30" a="1"/>
  <c r="H46" i="30"/>
  <c r="I46" i="30" a="1"/>
  <c r="I46" i="30"/>
  <c r="J46" i="30" a="1"/>
  <c r="J46" i="30"/>
  <c r="K46" i="30" a="1"/>
  <c r="K46" i="30"/>
  <c r="L46" i="30" a="1"/>
  <c r="L46" i="30"/>
  <c r="M46" i="30" a="1"/>
  <c r="M46" i="30"/>
  <c r="P46" i="30"/>
  <c r="Q46" i="30"/>
  <c r="R46" i="30"/>
  <c r="S46" i="30"/>
  <c r="T46" i="30"/>
  <c r="U46" i="30"/>
  <c r="V46" i="30"/>
  <c r="W46" i="30"/>
  <c r="Y46" i="30"/>
  <c r="Z46" i="30"/>
  <c r="AL46" i="30"/>
  <c r="AM46" i="30"/>
  <c r="AN46" i="30"/>
  <c r="AO46" i="30"/>
  <c r="AQ46" i="30"/>
  <c r="AR46" i="30"/>
  <c r="E47" i="30" a="1"/>
  <c r="E47" i="30"/>
  <c r="F47" i="30" a="1"/>
  <c r="F47" i="30"/>
  <c r="G47" i="30" a="1"/>
  <c r="G47" i="30"/>
  <c r="H47" i="30" a="1"/>
  <c r="H47" i="30"/>
  <c r="I47" i="30" a="1"/>
  <c r="I47" i="30"/>
  <c r="J47" i="30" a="1"/>
  <c r="J47" i="30"/>
  <c r="K47" i="30" a="1"/>
  <c r="K47" i="30"/>
  <c r="L47" i="30" a="1"/>
  <c r="L47" i="30"/>
  <c r="M47" i="30" a="1"/>
  <c r="M47" i="30"/>
  <c r="P47" i="30"/>
  <c r="Q47" i="30"/>
  <c r="R47" i="30"/>
  <c r="S47" i="30"/>
  <c r="T47" i="30"/>
  <c r="U47" i="30"/>
  <c r="V47" i="30"/>
  <c r="W47" i="30"/>
  <c r="Y47" i="30"/>
  <c r="Z47" i="30"/>
  <c r="AL47" i="30"/>
  <c r="AM47" i="30"/>
  <c r="AN47" i="30"/>
  <c r="AO47" i="30"/>
  <c r="AQ47" i="30"/>
  <c r="AR47" i="30"/>
  <c r="E48" i="30" a="1"/>
  <c r="E48" i="30"/>
  <c r="F48" i="30" a="1"/>
  <c r="F48" i="30"/>
  <c r="G48" i="30" a="1"/>
  <c r="G48" i="30"/>
  <c r="H48" i="30" a="1"/>
  <c r="H48" i="30"/>
  <c r="I48" i="30" a="1"/>
  <c r="I48" i="30"/>
  <c r="J48" i="30" a="1"/>
  <c r="J48" i="30"/>
  <c r="K48" i="30" a="1"/>
  <c r="K48" i="30"/>
  <c r="L48" i="30" a="1"/>
  <c r="L48" i="30"/>
  <c r="M48" i="30" a="1"/>
  <c r="M48" i="30"/>
  <c r="P48" i="30"/>
  <c r="Q48" i="30"/>
  <c r="R48" i="30"/>
  <c r="S48" i="30"/>
  <c r="T48" i="30"/>
  <c r="U48" i="30"/>
  <c r="V48" i="30"/>
  <c r="W48" i="30"/>
  <c r="Y48" i="30"/>
  <c r="Z48" i="30"/>
  <c r="AL48" i="30"/>
  <c r="AM48" i="30"/>
  <c r="AN48" i="30"/>
  <c r="AO48" i="30"/>
  <c r="AQ48" i="30"/>
  <c r="AR48" i="30"/>
  <c r="E49" i="30" a="1"/>
  <c r="E49" i="30"/>
  <c r="F49" i="30" a="1"/>
  <c r="F49" i="30"/>
  <c r="G49" i="30" a="1"/>
  <c r="G49" i="30"/>
  <c r="H49" i="30" a="1"/>
  <c r="H49" i="30"/>
  <c r="I49" i="30" a="1"/>
  <c r="I49" i="30"/>
  <c r="J49" i="30" a="1"/>
  <c r="J49" i="30"/>
  <c r="K49" i="30" a="1"/>
  <c r="K49" i="30"/>
  <c r="L49" i="30" a="1"/>
  <c r="L49" i="30"/>
  <c r="M49" i="30" a="1"/>
  <c r="M49" i="30"/>
  <c r="P49" i="30"/>
  <c r="Q49" i="30"/>
  <c r="R49" i="30"/>
  <c r="S49" i="30"/>
  <c r="T49" i="30"/>
  <c r="U49" i="30"/>
  <c r="V49" i="30"/>
  <c r="W49" i="30"/>
  <c r="Y49" i="30"/>
  <c r="Z49" i="30"/>
  <c r="AL49" i="30"/>
  <c r="AM49" i="30"/>
  <c r="AN49" i="30"/>
  <c r="AO49" i="30"/>
  <c r="AQ49" i="30"/>
  <c r="AR49" i="30"/>
  <c r="E50" i="30" a="1"/>
  <c r="E50" i="30"/>
  <c r="F50" i="30" a="1"/>
  <c r="F50" i="30"/>
  <c r="G50" i="30" a="1"/>
  <c r="G50" i="30"/>
  <c r="H50" i="30" a="1"/>
  <c r="H50" i="30"/>
  <c r="I50" i="30" a="1"/>
  <c r="I50" i="30"/>
  <c r="J50" i="30" a="1"/>
  <c r="J50" i="30"/>
  <c r="K50" i="30" a="1"/>
  <c r="K50" i="30"/>
  <c r="L50" i="30" a="1"/>
  <c r="L50" i="30"/>
  <c r="M50" i="30" a="1"/>
  <c r="M50" i="30"/>
  <c r="P50" i="30"/>
  <c r="Q50" i="30"/>
  <c r="R50" i="30"/>
  <c r="S50" i="30"/>
  <c r="T50" i="30"/>
  <c r="U50" i="30"/>
  <c r="V50" i="30"/>
  <c r="W50" i="30"/>
  <c r="Y50" i="30"/>
  <c r="Z50" i="30"/>
  <c r="AL50" i="30"/>
  <c r="AM50" i="30"/>
  <c r="AN50" i="30"/>
  <c r="AO50" i="30"/>
  <c r="AQ50" i="30"/>
  <c r="AR50" i="30"/>
  <c r="E51" i="30" a="1"/>
  <c r="E51" i="30"/>
  <c r="F51" i="30" a="1"/>
  <c r="F51" i="30"/>
  <c r="G51" i="30" a="1"/>
  <c r="G51" i="30"/>
  <c r="H51" i="30" a="1"/>
  <c r="H51" i="30"/>
  <c r="I51" i="30" a="1"/>
  <c r="I51" i="30"/>
  <c r="J51" i="30" a="1"/>
  <c r="J51" i="30"/>
  <c r="K51" i="30" a="1"/>
  <c r="K51" i="30"/>
  <c r="L51" i="30" a="1"/>
  <c r="L51" i="30"/>
  <c r="M51" i="30" a="1"/>
  <c r="M51" i="30"/>
  <c r="P51" i="30"/>
  <c r="Q51" i="30"/>
  <c r="R51" i="30"/>
  <c r="S51" i="30"/>
  <c r="T51" i="30"/>
  <c r="U51" i="30"/>
  <c r="V51" i="30"/>
  <c r="W51" i="30"/>
  <c r="Y51" i="30"/>
  <c r="Z51" i="30"/>
  <c r="AL51" i="30"/>
  <c r="AM51" i="30"/>
  <c r="AN51" i="30"/>
  <c r="AO51" i="30"/>
  <c r="AQ51" i="30"/>
  <c r="AR51" i="30"/>
  <c r="E52" i="30" a="1"/>
  <c r="E52" i="30"/>
  <c r="F52" i="30" a="1"/>
  <c r="F52" i="30"/>
  <c r="G52" i="30" a="1"/>
  <c r="G52" i="30"/>
  <c r="H52" i="30" a="1"/>
  <c r="H52" i="30"/>
  <c r="I52" i="30" a="1"/>
  <c r="I52" i="30"/>
  <c r="J52" i="30" a="1"/>
  <c r="J52" i="30"/>
  <c r="K52" i="30" a="1"/>
  <c r="K52" i="30"/>
  <c r="L52" i="30" a="1"/>
  <c r="L52" i="30"/>
  <c r="M52" i="30" a="1"/>
  <c r="M52" i="30"/>
  <c r="P52" i="30"/>
  <c r="Q52" i="30"/>
  <c r="R52" i="30"/>
  <c r="S52" i="30"/>
  <c r="T52" i="30"/>
  <c r="U52" i="30"/>
  <c r="V52" i="30"/>
  <c r="W52" i="30"/>
  <c r="Y52" i="30"/>
  <c r="Z52" i="30"/>
  <c r="AL52" i="30"/>
  <c r="AM52" i="30"/>
  <c r="AN52" i="30"/>
  <c r="AO52" i="30"/>
  <c r="AQ52" i="30"/>
  <c r="AR52" i="30"/>
  <c r="E53" i="30" a="1"/>
  <c r="E53" i="30"/>
  <c r="F53" i="30" a="1"/>
  <c r="F53" i="30"/>
  <c r="G53" i="30" a="1"/>
  <c r="G53" i="30"/>
  <c r="H53" i="30" a="1"/>
  <c r="H53" i="30"/>
  <c r="I53" i="30" a="1"/>
  <c r="I53" i="30"/>
  <c r="J53" i="30" a="1"/>
  <c r="J53" i="30"/>
  <c r="K53" i="30" a="1"/>
  <c r="K53" i="30"/>
  <c r="L53" i="30" a="1"/>
  <c r="L53" i="30"/>
  <c r="M53" i="30" a="1"/>
  <c r="M53" i="30"/>
  <c r="P53" i="30"/>
  <c r="Q53" i="30"/>
  <c r="R53" i="30"/>
  <c r="S53" i="30"/>
  <c r="T53" i="30"/>
  <c r="U53" i="30"/>
  <c r="V53" i="30"/>
  <c r="W53" i="30"/>
  <c r="Y53" i="30"/>
  <c r="Z53" i="30"/>
  <c r="AL53" i="30"/>
  <c r="AM53" i="30"/>
  <c r="AN53" i="30"/>
  <c r="AO53" i="30"/>
  <c r="AQ53" i="30"/>
  <c r="AR53" i="30"/>
  <c r="E54" i="30" a="1"/>
  <c r="E54" i="30"/>
  <c r="F54" i="30" a="1"/>
  <c r="F54" i="30"/>
  <c r="G54" i="30" a="1"/>
  <c r="G54" i="30"/>
  <c r="H54" i="30" a="1"/>
  <c r="H54" i="30"/>
  <c r="I54" i="30" a="1"/>
  <c r="I54" i="30"/>
  <c r="J54" i="30" a="1"/>
  <c r="J54" i="30"/>
  <c r="K54" i="30" a="1"/>
  <c r="K54" i="30"/>
  <c r="L54" i="30" a="1"/>
  <c r="L54" i="30"/>
  <c r="M54" i="30" a="1"/>
  <c r="M54" i="30"/>
  <c r="P54" i="30"/>
  <c r="Q54" i="30"/>
  <c r="R54" i="30"/>
  <c r="S54" i="30"/>
  <c r="T54" i="30"/>
  <c r="U54" i="30"/>
  <c r="V54" i="30"/>
  <c r="W54" i="30"/>
  <c r="Y54" i="30"/>
  <c r="Z54" i="30"/>
  <c r="AL54" i="30"/>
  <c r="AM54" i="30"/>
  <c r="AN54" i="30"/>
  <c r="AO54" i="30"/>
  <c r="AQ54" i="30"/>
  <c r="AR54" i="30"/>
  <c r="E55" i="30" a="1"/>
  <c r="E55" i="30"/>
  <c r="F55" i="30" a="1"/>
  <c r="F55" i="30"/>
  <c r="G55" i="30" a="1"/>
  <c r="G55" i="30"/>
  <c r="H55" i="30" a="1"/>
  <c r="H55" i="30"/>
  <c r="I55" i="30" a="1"/>
  <c r="I55" i="30"/>
  <c r="J55" i="30" a="1"/>
  <c r="J55" i="30"/>
  <c r="K55" i="30" a="1"/>
  <c r="K55" i="30"/>
  <c r="L55" i="30" a="1"/>
  <c r="L55" i="30"/>
  <c r="M55" i="30" a="1"/>
  <c r="M55" i="30"/>
  <c r="P55" i="30"/>
  <c r="Q55" i="30"/>
  <c r="R55" i="30"/>
  <c r="S55" i="30"/>
  <c r="T55" i="30"/>
  <c r="U55" i="30"/>
  <c r="V55" i="30"/>
  <c r="W55" i="30"/>
  <c r="Y55" i="30"/>
  <c r="Z55" i="30"/>
  <c r="AL55" i="30"/>
  <c r="AM55" i="30"/>
  <c r="AN55" i="30"/>
  <c r="AO55" i="30"/>
  <c r="AQ55" i="30"/>
  <c r="AR55" i="30"/>
  <c r="E56" i="30" a="1"/>
  <c r="E56" i="30"/>
  <c r="F56" i="30" a="1"/>
  <c r="F56" i="30"/>
  <c r="G56" i="30" a="1"/>
  <c r="G56" i="30"/>
  <c r="H56" i="30" a="1"/>
  <c r="H56" i="30"/>
  <c r="I56" i="30" a="1"/>
  <c r="I56" i="30"/>
  <c r="J56" i="30" a="1"/>
  <c r="J56" i="30"/>
  <c r="K56" i="30" a="1"/>
  <c r="K56" i="30"/>
  <c r="L56" i="30" a="1"/>
  <c r="L56" i="30"/>
  <c r="M56" i="30" a="1"/>
  <c r="M56" i="30"/>
  <c r="P56" i="30"/>
  <c r="Q56" i="30"/>
  <c r="R56" i="30"/>
  <c r="S56" i="30"/>
  <c r="T56" i="30"/>
  <c r="U56" i="30"/>
  <c r="V56" i="30"/>
  <c r="W56" i="30"/>
  <c r="Y56" i="30"/>
  <c r="Z56" i="30"/>
  <c r="AL56" i="30"/>
  <c r="AM56" i="30"/>
  <c r="AN56" i="30"/>
  <c r="AO56" i="30"/>
  <c r="AQ56" i="30"/>
  <c r="AR56" i="30"/>
  <c r="E57" i="30" a="1"/>
  <c r="E57" i="30"/>
  <c r="F57" i="30" a="1"/>
  <c r="F57" i="30"/>
  <c r="G57" i="30" a="1"/>
  <c r="G57" i="30"/>
  <c r="H57" i="30" a="1"/>
  <c r="H57" i="30"/>
  <c r="I57" i="30" a="1"/>
  <c r="I57" i="30"/>
  <c r="J57" i="30" a="1"/>
  <c r="J57" i="30"/>
  <c r="K57" i="30" a="1"/>
  <c r="K57" i="30"/>
  <c r="L57" i="30" a="1"/>
  <c r="L57" i="30"/>
  <c r="M57" i="30" a="1"/>
  <c r="M57" i="30"/>
  <c r="P57" i="30"/>
  <c r="Q57" i="30"/>
  <c r="R57" i="30"/>
  <c r="S57" i="30"/>
  <c r="T57" i="30"/>
  <c r="U57" i="30"/>
  <c r="V57" i="30"/>
  <c r="W57" i="30"/>
  <c r="Y57" i="30"/>
  <c r="Z57" i="30"/>
  <c r="AL57" i="30"/>
  <c r="AM57" i="30"/>
  <c r="AN57" i="30"/>
  <c r="AO57" i="30"/>
  <c r="AQ57" i="30"/>
  <c r="AR57" i="30"/>
  <c r="E58" i="30" a="1"/>
  <c r="E58" i="30"/>
  <c r="F58" i="30" a="1"/>
  <c r="F58" i="30"/>
  <c r="G58" i="30" a="1"/>
  <c r="G58" i="30"/>
  <c r="H58" i="30" a="1"/>
  <c r="H58" i="30"/>
  <c r="I58" i="30" a="1"/>
  <c r="I58" i="30"/>
  <c r="J58" i="30" a="1"/>
  <c r="J58" i="30"/>
  <c r="K58" i="30" a="1"/>
  <c r="K58" i="30"/>
  <c r="L58" i="30" a="1"/>
  <c r="L58" i="30"/>
  <c r="M58" i="30" a="1"/>
  <c r="M58" i="30"/>
  <c r="P58" i="30"/>
  <c r="Q58" i="30"/>
  <c r="R58" i="30"/>
  <c r="S58" i="30"/>
  <c r="T58" i="30"/>
  <c r="U58" i="30"/>
  <c r="V58" i="30"/>
  <c r="W58" i="30"/>
  <c r="Y58" i="30"/>
  <c r="Z58" i="30"/>
  <c r="AL58" i="30"/>
  <c r="AM58" i="30"/>
  <c r="AN58" i="30"/>
  <c r="AO58" i="30"/>
  <c r="AQ58" i="30"/>
  <c r="AR58" i="30"/>
  <c r="E59" i="30" a="1"/>
  <c r="E59" i="30"/>
  <c r="F59" i="30" a="1"/>
  <c r="F59" i="30"/>
  <c r="G59" i="30" a="1"/>
  <c r="G59" i="30"/>
  <c r="H59" i="30" a="1"/>
  <c r="H59" i="30"/>
  <c r="I59" i="30" a="1"/>
  <c r="I59" i="30"/>
  <c r="J59" i="30" a="1"/>
  <c r="J59" i="30"/>
  <c r="K59" i="30" a="1"/>
  <c r="K59" i="30"/>
  <c r="L59" i="30" a="1"/>
  <c r="L59" i="30"/>
  <c r="M59" i="30" a="1"/>
  <c r="M59" i="30"/>
  <c r="P59" i="30"/>
  <c r="Q59" i="30"/>
  <c r="R59" i="30"/>
  <c r="S59" i="30"/>
  <c r="T59" i="30"/>
  <c r="U59" i="30"/>
  <c r="V59" i="30"/>
  <c r="W59" i="30"/>
  <c r="Y59" i="30"/>
  <c r="Z59" i="30"/>
  <c r="AL59" i="30"/>
  <c r="AM59" i="30"/>
  <c r="AN59" i="30"/>
  <c r="AO59" i="30"/>
  <c r="AQ59" i="30"/>
  <c r="AR59" i="30"/>
  <c r="E60" i="30" a="1"/>
  <c r="E60" i="30"/>
  <c r="F60" i="30" a="1"/>
  <c r="F60" i="30"/>
  <c r="G60" i="30" a="1"/>
  <c r="G60" i="30"/>
  <c r="H60" i="30" a="1"/>
  <c r="H60" i="30"/>
  <c r="I60" i="30" a="1"/>
  <c r="I60" i="30"/>
  <c r="J60" i="30" a="1"/>
  <c r="J60" i="30"/>
  <c r="K60" i="30" a="1"/>
  <c r="K60" i="30"/>
  <c r="L60" i="30" a="1"/>
  <c r="L60" i="30"/>
  <c r="M60" i="30" a="1"/>
  <c r="M60" i="30"/>
  <c r="P60" i="30"/>
  <c r="Q60" i="30"/>
  <c r="R60" i="30"/>
  <c r="S60" i="30"/>
  <c r="T60" i="30"/>
  <c r="U60" i="30"/>
  <c r="V60" i="30"/>
  <c r="W60" i="30"/>
  <c r="Y60" i="30"/>
  <c r="Z60" i="30"/>
  <c r="AL60" i="30"/>
  <c r="AM60" i="30"/>
  <c r="AN60" i="30"/>
  <c r="AO60" i="30"/>
  <c r="AQ60" i="30"/>
  <c r="AR60" i="30"/>
  <c r="E11" i="39" a="1"/>
  <c r="E11" i="39"/>
  <c r="F11" i="39" a="1"/>
  <c r="F11" i="39"/>
  <c r="G11" i="39" a="1"/>
  <c r="G11" i="39"/>
  <c r="H11" i="39" a="1"/>
  <c r="H11" i="39"/>
  <c r="I11" i="39" a="1"/>
  <c r="I11" i="39"/>
  <c r="J11" i="39" a="1"/>
  <c r="J11" i="39"/>
  <c r="K11" i="39" a="1"/>
  <c r="K11" i="39"/>
  <c r="L11" i="39" a="1"/>
  <c r="L11" i="39"/>
  <c r="M11" i="39" a="1"/>
  <c r="M11" i="39"/>
  <c r="N11" i="39" a="1"/>
  <c r="N11" i="39"/>
  <c r="O11" i="39" a="1"/>
  <c r="O11" i="39"/>
  <c r="E16" i="39"/>
  <c r="F16" i="39"/>
  <c r="G16" i="39"/>
  <c r="H16" i="39"/>
  <c r="I16" i="39"/>
  <c r="J16" i="39"/>
  <c r="K16" i="39"/>
  <c r="L16" i="39"/>
  <c r="M16" i="39"/>
  <c r="N16" i="39"/>
  <c r="O16" i="39"/>
  <c r="E17" i="39" a="1"/>
  <c r="E17" i="39"/>
  <c r="F17" i="39" a="1"/>
  <c r="F17" i="39"/>
  <c r="G17" i="39" a="1"/>
  <c r="G17" i="39"/>
  <c r="H17" i="39" a="1"/>
  <c r="H17" i="39"/>
  <c r="I17" i="39" a="1"/>
  <c r="I17" i="39"/>
  <c r="J17" i="39" a="1"/>
  <c r="J17" i="39"/>
  <c r="K17" i="39" a="1"/>
  <c r="K17" i="39"/>
  <c r="L17" i="39" a="1"/>
  <c r="L17" i="39"/>
  <c r="M17" i="39" a="1"/>
  <c r="M17" i="39"/>
  <c r="N17" i="39" a="1"/>
  <c r="N17" i="39"/>
  <c r="O17" i="39" a="1"/>
  <c r="O17" i="39"/>
  <c r="E18" i="39" a="1"/>
  <c r="E18" i="39"/>
  <c r="F18" i="39" a="1"/>
  <c r="F18" i="39"/>
  <c r="G18" i="39" a="1"/>
  <c r="G18" i="39"/>
  <c r="H18" i="39" a="1"/>
  <c r="H18" i="39"/>
  <c r="I18" i="39" a="1"/>
  <c r="I18" i="39"/>
  <c r="J18" i="39" a="1"/>
  <c r="J18" i="39"/>
  <c r="K18" i="39" a="1"/>
  <c r="K18" i="39"/>
  <c r="L18" i="39" a="1"/>
  <c r="L18" i="39"/>
  <c r="M18" i="39" a="1"/>
  <c r="M18" i="39"/>
  <c r="N18" i="39" a="1"/>
  <c r="N18" i="39"/>
  <c r="O18" i="39" a="1"/>
  <c r="O18" i="39"/>
  <c r="E20" i="39" a="1"/>
  <c r="E20" i="39"/>
  <c r="F20" i="39" a="1"/>
  <c r="F20" i="39"/>
  <c r="G20" i="39" a="1"/>
  <c r="G20" i="39"/>
  <c r="H20" i="39" a="1"/>
  <c r="H20" i="39"/>
  <c r="I20" i="39" a="1"/>
  <c r="I20" i="39"/>
  <c r="J20" i="39" a="1"/>
  <c r="J20" i="39"/>
  <c r="K20" i="39" a="1"/>
  <c r="K20" i="39"/>
  <c r="L20" i="39" a="1"/>
  <c r="L20" i="39"/>
  <c r="M20" i="39" a="1"/>
  <c r="M20" i="39"/>
  <c r="N20" i="39" a="1"/>
  <c r="N20" i="39"/>
  <c r="O20" i="39" a="1"/>
  <c r="O20" i="39"/>
  <c r="E21" i="39" a="1"/>
  <c r="E21" i="39"/>
  <c r="F21" i="39" a="1"/>
  <c r="F21" i="39"/>
  <c r="G21" i="39" a="1"/>
  <c r="G21" i="39"/>
  <c r="H21" i="39" a="1"/>
  <c r="H21" i="39"/>
  <c r="I21" i="39" a="1"/>
  <c r="I21" i="39"/>
  <c r="J21" i="39" a="1"/>
  <c r="J21" i="39"/>
  <c r="K21" i="39" a="1"/>
  <c r="K21" i="39"/>
  <c r="L21" i="39" a="1"/>
  <c r="L21" i="39"/>
  <c r="M21" i="39" a="1"/>
  <c r="M21" i="39"/>
  <c r="N21" i="39" a="1"/>
  <c r="N21" i="39"/>
  <c r="O21" i="39" a="1"/>
  <c r="O21" i="39"/>
  <c r="E22" i="39" a="1"/>
  <c r="E22" i="39"/>
  <c r="F22" i="39" a="1"/>
  <c r="F22" i="39"/>
  <c r="G22" i="39" a="1"/>
  <c r="G22" i="39"/>
  <c r="H22" i="39" a="1"/>
  <c r="H22" i="39"/>
  <c r="I22" i="39" a="1"/>
  <c r="I22" i="39"/>
  <c r="J22" i="39" a="1"/>
  <c r="J22" i="39"/>
  <c r="K22" i="39" a="1"/>
  <c r="K22" i="39"/>
  <c r="L22" i="39" a="1"/>
  <c r="L22" i="39"/>
  <c r="M22" i="39" a="1"/>
  <c r="M22" i="39"/>
  <c r="N22" i="39" a="1"/>
  <c r="N22" i="39"/>
  <c r="O22" i="39" a="1"/>
  <c r="O22" i="39"/>
  <c r="E23" i="39" a="1"/>
  <c r="E23" i="39"/>
  <c r="F23" i="39" a="1"/>
  <c r="F23" i="39"/>
  <c r="G23" i="39" a="1"/>
  <c r="G23" i="39"/>
  <c r="H23" i="39" a="1"/>
  <c r="H23" i="39"/>
  <c r="I23" i="39" a="1"/>
  <c r="I23" i="39"/>
  <c r="J23" i="39" a="1"/>
  <c r="J23" i="39"/>
  <c r="K23" i="39" a="1"/>
  <c r="K23" i="39"/>
  <c r="L23" i="39" a="1"/>
  <c r="L23" i="39"/>
  <c r="M23" i="39" a="1"/>
  <c r="M23" i="39"/>
  <c r="N23" i="39" a="1"/>
  <c r="N23" i="39"/>
  <c r="O23" i="39" a="1"/>
  <c r="O23" i="39"/>
  <c r="E24" i="39" a="1"/>
  <c r="E24" i="39"/>
  <c r="F24" i="39" a="1"/>
  <c r="F24" i="39"/>
  <c r="G24" i="39" a="1"/>
  <c r="G24" i="39"/>
  <c r="H24" i="39" a="1"/>
  <c r="H24" i="39"/>
  <c r="I24" i="39" a="1"/>
  <c r="I24" i="39"/>
  <c r="J24" i="39" a="1"/>
  <c r="J24" i="39"/>
  <c r="K24" i="39" a="1"/>
  <c r="K24" i="39"/>
  <c r="L24" i="39" a="1"/>
  <c r="L24" i="39"/>
  <c r="M24" i="39" a="1"/>
  <c r="M24" i="39"/>
  <c r="N24" i="39" a="1"/>
  <c r="N24" i="39"/>
  <c r="O24" i="39" a="1"/>
  <c r="O24" i="39"/>
  <c r="E25" i="39" a="1"/>
  <c r="E25" i="39"/>
  <c r="F25" i="39" a="1"/>
  <c r="F25" i="39"/>
  <c r="G25" i="39" a="1"/>
  <c r="G25" i="39"/>
  <c r="H25" i="39" a="1"/>
  <c r="H25" i="39"/>
  <c r="I25" i="39" a="1"/>
  <c r="I25" i="39"/>
  <c r="J25" i="39" a="1"/>
  <c r="J25" i="39"/>
  <c r="K25" i="39" a="1"/>
  <c r="K25" i="39"/>
  <c r="L25" i="39" a="1"/>
  <c r="L25" i="39"/>
  <c r="M25" i="39" a="1"/>
  <c r="M25" i="39"/>
  <c r="N25" i="39" a="1"/>
  <c r="N25" i="39"/>
  <c r="O25" i="39" a="1"/>
  <c r="O25" i="39"/>
  <c r="E26" i="39" a="1"/>
  <c r="E26" i="39"/>
  <c r="F26" i="39" a="1"/>
  <c r="F26" i="39"/>
  <c r="G26" i="39" a="1"/>
  <c r="G26" i="39"/>
  <c r="H26" i="39" a="1"/>
  <c r="H26" i="39"/>
  <c r="I26" i="39" a="1"/>
  <c r="I26" i="39"/>
  <c r="J26" i="39" a="1"/>
  <c r="J26" i="39"/>
  <c r="K26" i="39" a="1"/>
  <c r="K26" i="39"/>
  <c r="L26" i="39" a="1"/>
  <c r="L26" i="39"/>
  <c r="M26" i="39" a="1"/>
  <c r="M26" i="39"/>
  <c r="N26" i="39" a="1"/>
  <c r="N26" i="39"/>
  <c r="O26" i="39" a="1"/>
  <c r="O26" i="39"/>
  <c r="E27" i="39" a="1"/>
  <c r="E27" i="39"/>
  <c r="F27" i="39" a="1"/>
  <c r="F27" i="39"/>
  <c r="G27" i="39" a="1"/>
  <c r="G27" i="39"/>
  <c r="H27" i="39" a="1"/>
  <c r="H27" i="39"/>
  <c r="I27" i="39" a="1"/>
  <c r="I27" i="39"/>
  <c r="J27" i="39" a="1"/>
  <c r="J27" i="39"/>
  <c r="K27" i="39" a="1"/>
  <c r="K27" i="39"/>
  <c r="L27" i="39" a="1"/>
  <c r="L27" i="39"/>
  <c r="M27" i="39" a="1"/>
  <c r="M27" i="39"/>
  <c r="N27" i="39" a="1"/>
  <c r="N27" i="39"/>
  <c r="O27" i="39" a="1"/>
  <c r="O27" i="39"/>
  <c r="E28" i="39" a="1"/>
  <c r="E28" i="39"/>
  <c r="F28" i="39" a="1"/>
  <c r="F28" i="39"/>
  <c r="G28" i="39" a="1"/>
  <c r="G28" i="39"/>
  <c r="H28" i="39" a="1"/>
  <c r="H28" i="39"/>
  <c r="I28" i="39" a="1"/>
  <c r="I28" i="39"/>
  <c r="J28" i="39" a="1"/>
  <c r="J28" i="39"/>
  <c r="K28" i="39" a="1"/>
  <c r="K28" i="39"/>
  <c r="L28" i="39" a="1"/>
  <c r="L28" i="39"/>
  <c r="M28" i="39" a="1"/>
  <c r="M28" i="39"/>
  <c r="N28" i="39" a="1"/>
  <c r="N28" i="39"/>
  <c r="O28" i="39" a="1"/>
  <c r="O28" i="39"/>
  <c r="E29" i="39" a="1"/>
  <c r="E29" i="39"/>
  <c r="F29" i="39" a="1"/>
  <c r="F29" i="39"/>
  <c r="G29" i="39" a="1"/>
  <c r="G29" i="39"/>
  <c r="H29" i="39" a="1"/>
  <c r="H29" i="39"/>
  <c r="I29" i="39" a="1"/>
  <c r="I29" i="39"/>
  <c r="J29" i="39" a="1"/>
  <c r="J29" i="39"/>
  <c r="K29" i="39" a="1"/>
  <c r="K29" i="39"/>
  <c r="L29" i="39" a="1"/>
  <c r="L29" i="39"/>
  <c r="M29" i="39" a="1"/>
  <c r="M29" i="39"/>
  <c r="N29" i="39" a="1"/>
  <c r="N29" i="39"/>
  <c r="O29" i="39" a="1"/>
  <c r="O29" i="39"/>
  <c r="E30" i="39" a="1"/>
  <c r="E30" i="39"/>
  <c r="F30" i="39" a="1"/>
  <c r="F30" i="39"/>
  <c r="G30" i="39" a="1"/>
  <c r="G30" i="39"/>
  <c r="H30" i="39" a="1"/>
  <c r="H30" i="39"/>
  <c r="I30" i="39" a="1"/>
  <c r="I30" i="39"/>
  <c r="J30" i="39" a="1"/>
  <c r="J30" i="39"/>
  <c r="K30" i="39" a="1"/>
  <c r="K30" i="39"/>
  <c r="L30" i="39" a="1"/>
  <c r="L30" i="39"/>
  <c r="M30" i="39" a="1"/>
  <c r="M30" i="39"/>
  <c r="N30" i="39" a="1"/>
  <c r="N30" i="39"/>
  <c r="O30" i="39" a="1"/>
  <c r="O30" i="39"/>
  <c r="E31" i="39" a="1"/>
  <c r="E31" i="39"/>
  <c r="F31" i="39" a="1"/>
  <c r="F31" i="39"/>
  <c r="G31" i="39" a="1"/>
  <c r="G31" i="39"/>
  <c r="H31" i="39" a="1"/>
  <c r="H31" i="39"/>
  <c r="I31" i="39" a="1"/>
  <c r="I31" i="39"/>
  <c r="J31" i="39" a="1"/>
  <c r="J31" i="39"/>
  <c r="K31" i="39" a="1"/>
  <c r="K31" i="39"/>
  <c r="L31" i="39" a="1"/>
  <c r="L31" i="39"/>
  <c r="M31" i="39" a="1"/>
  <c r="M31" i="39"/>
  <c r="N31" i="39" a="1"/>
  <c r="N31" i="39"/>
  <c r="O31" i="39" a="1"/>
  <c r="O31" i="39"/>
  <c r="E32" i="39" a="1"/>
  <c r="E32" i="39"/>
  <c r="F32" i="39" a="1"/>
  <c r="F32" i="39"/>
  <c r="G32" i="39" a="1"/>
  <c r="G32" i="39"/>
  <c r="H32" i="39" a="1"/>
  <c r="H32" i="39"/>
  <c r="I32" i="39" a="1"/>
  <c r="I32" i="39"/>
  <c r="J32" i="39" a="1"/>
  <c r="J32" i="39"/>
  <c r="K32" i="39" a="1"/>
  <c r="K32" i="39"/>
  <c r="L32" i="39" a="1"/>
  <c r="L32" i="39"/>
  <c r="M32" i="39" a="1"/>
  <c r="M32" i="39"/>
  <c r="N32" i="39" a="1"/>
  <c r="N32" i="39"/>
  <c r="O32" i="39" a="1"/>
  <c r="O32" i="39"/>
  <c r="E33" i="39" a="1"/>
  <c r="E33" i="39"/>
  <c r="F33" i="39" a="1"/>
  <c r="F33" i="39"/>
  <c r="G33" i="39" a="1"/>
  <c r="G33" i="39"/>
  <c r="H33" i="39" a="1"/>
  <c r="H33" i="39"/>
  <c r="I33" i="39" a="1"/>
  <c r="I33" i="39"/>
  <c r="J33" i="39" a="1"/>
  <c r="J33" i="39"/>
  <c r="K33" i="39" a="1"/>
  <c r="K33" i="39"/>
  <c r="L33" i="39" a="1"/>
  <c r="L33" i="39"/>
  <c r="M33" i="39" a="1"/>
  <c r="M33" i="39"/>
  <c r="N33" i="39" a="1"/>
  <c r="N33" i="39"/>
  <c r="O33" i="39" a="1"/>
  <c r="O33" i="39"/>
  <c r="E34" i="39" a="1"/>
  <c r="E34" i="39"/>
  <c r="F34" i="39" a="1"/>
  <c r="F34" i="39"/>
  <c r="G34" i="39" a="1"/>
  <c r="G34" i="39"/>
  <c r="H34" i="39" a="1"/>
  <c r="H34" i="39"/>
  <c r="I34" i="39" a="1"/>
  <c r="I34" i="39"/>
  <c r="J34" i="39" a="1"/>
  <c r="J34" i="39"/>
  <c r="K34" i="39" a="1"/>
  <c r="K34" i="39"/>
  <c r="L34" i="39" a="1"/>
  <c r="L34" i="39"/>
  <c r="M34" i="39" a="1"/>
  <c r="M34" i="39"/>
  <c r="N34" i="39" a="1"/>
  <c r="N34" i="39"/>
  <c r="O34" i="39" a="1"/>
  <c r="O34" i="39"/>
  <c r="E35" i="39" a="1"/>
  <c r="E35" i="39"/>
  <c r="F35" i="39" a="1"/>
  <c r="F35" i="39"/>
  <c r="G35" i="39" a="1"/>
  <c r="G35" i="39"/>
  <c r="H35" i="39" a="1"/>
  <c r="H35" i="39"/>
  <c r="I35" i="39" a="1"/>
  <c r="I35" i="39"/>
  <c r="J35" i="39" a="1"/>
  <c r="J35" i="39"/>
  <c r="K35" i="39" a="1"/>
  <c r="K35" i="39"/>
  <c r="L35" i="39" a="1"/>
  <c r="L35" i="39"/>
  <c r="M35" i="39" a="1"/>
  <c r="M35" i="39"/>
  <c r="N35" i="39" a="1"/>
  <c r="N35" i="39"/>
  <c r="O35" i="39" a="1"/>
  <c r="O35" i="39"/>
  <c r="E36" i="39" a="1"/>
  <c r="E36" i="39"/>
  <c r="F36" i="39" a="1"/>
  <c r="F36" i="39"/>
  <c r="G36" i="39" a="1"/>
  <c r="G36" i="39"/>
  <c r="H36" i="39" a="1"/>
  <c r="H36" i="39"/>
  <c r="I36" i="39" a="1"/>
  <c r="I36" i="39"/>
  <c r="J36" i="39" a="1"/>
  <c r="J36" i="39"/>
  <c r="K36" i="39" a="1"/>
  <c r="K36" i="39"/>
  <c r="L36" i="39" a="1"/>
  <c r="L36" i="39"/>
  <c r="M36" i="39" a="1"/>
  <c r="M36" i="39"/>
  <c r="N36" i="39" a="1"/>
  <c r="N36" i="39"/>
  <c r="O36" i="39" a="1"/>
  <c r="O36" i="39"/>
  <c r="E37" i="39" a="1"/>
  <c r="E37" i="39"/>
  <c r="F37" i="39" a="1"/>
  <c r="F37" i="39"/>
  <c r="G37" i="39" a="1"/>
  <c r="G37" i="39"/>
  <c r="H37" i="39" a="1"/>
  <c r="H37" i="39"/>
  <c r="I37" i="39" a="1"/>
  <c r="I37" i="39"/>
  <c r="J37" i="39" a="1"/>
  <c r="J37" i="39"/>
  <c r="K37" i="39" a="1"/>
  <c r="K37" i="39"/>
  <c r="L37" i="39" a="1"/>
  <c r="L37" i="39"/>
  <c r="M37" i="39" a="1"/>
  <c r="M37" i="39"/>
  <c r="N37" i="39" a="1"/>
  <c r="N37" i="39"/>
  <c r="O37" i="39" a="1"/>
  <c r="O37" i="39"/>
  <c r="E38" i="39" a="1"/>
  <c r="E38" i="39"/>
  <c r="F38" i="39" a="1"/>
  <c r="F38" i="39"/>
  <c r="G38" i="39" a="1"/>
  <c r="G38" i="39"/>
  <c r="H38" i="39" a="1"/>
  <c r="H38" i="39"/>
  <c r="I38" i="39" a="1"/>
  <c r="I38" i="39"/>
  <c r="J38" i="39" a="1"/>
  <c r="J38" i="39"/>
  <c r="K38" i="39" a="1"/>
  <c r="K38" i="39"/>
  <c r="L38" i="39" a="1"/>
  <c r="L38" i="39"/>
  <c r="M38" i="39" a="1"/>
  <c r="M38" i="39"/>
  <c r="N38" i="39" a="1"/>
  <c r="N38" i="39"/>
  <c r="O38" i="39" a="1"/>
  <c r="O38" i="39"/>
  <c r="E39" i="39" a="1"/>
  <c r="E39" i="39"/>
  <c r="F39" i="39" a="1"/>
  <c r="F39" i="39"/>
  <c r="G39" i="39" a="1"/>
  <c r="G39" i="39"/>
  <c r="H39" i="39" a="1"/>
  <c r="H39" i="39"/>
  <c r="I39" i="39" a="1"/>
  <c r="I39" i="39"/>
  <c r="J39" i="39" a="1"/>
  <c r="J39" i="39"/>
  <c r="K39" i="39" a="1"/>
  <c r="K39" i="39"/>
  <c r="L39" i="39" a="1"/>
  <c r="L39" i="39"/>
  <c r="M39" i="39" a="1"/>
  <c r="M39" i="39"/>
  <c r="N39" i="39" a="1"/>
  <c r="N39" i="39"/>
  <c r="O39" i="39" a="1"/>
  <c r="O39" i="39"/>
  <c r="E40" i="39" a="1"/>
  <c r="E40" i="39"/>
  <c r="F40" i="39" a="1"/>
  <c r="F40" i="39"/>
  <c r="G40" i="39" a="1"/>
  <c r="G40" i="39"/>
  <c r="H40" i="39" a="1"/>
  <c r="H40" i="39"/>
  <c r="I40" i="39" a="1"/>
  <c r="I40" i="39"/>
  <c r="J40" i="39" a="1"/>
  <c r="J40" i="39"/>
  <c r="K40" i="39" a="1"/>
  <c r="K40" i="39"/>
  <c r="L40" i="39" a="1"/>
  <c r="L40" i="39"/>
  <c r="M40" i="39" a="1"/>
  <c r="M40" i="39"/>
  <c r="N40" i="39" a="1"/>
  <c r="N40" i="39"/>
  <c r="O40" i="39" a="1"/>
  <c r="O40" i="39"/>
  <c r="E41" i="39" a="1"/>
  <c r="E41" i="39"/>
  <c r="F41" i="39" a="1"/>
  <c r="F41" i="39"/>
  <c r="G41" i="39" a="1"/>
  <c r="G41" i="39"/>
  <c r="H41" i="39" a="1"/>
  <c r="H41" i="39"/>
  <c r="I41" i="39" a="1"/>
  <c r="I41" i="39"/>
  <c r="J41" i="39" a="1"/>
  <c r="J41" i="39"/>
  <c r="K41" i="39" a="1"/>
  <c r="K41" i="39"/>
  <c r="L41" i="39" a="1"/>
  <c r="L41" i="39"/>
  <c r="M41" i="39" a="1"/>
  <c r="M41" i="39"/>
  <c r="N41" i="39" a="1"/>
  <c r="N41" i="39"/>
  <c r="O41" i="39" a="1"/>
  <c r="O41" i="39"/>
  <c r="E42" i="39" a="1"/>
  <c r="E42" i="39"/>
  <c r="F42" i="39" a="1"/>
  <c r="F42" i="39"/>
  <c r="G42" i="39" a="1"/>
  <c r="G42" i="39"/>
  <c r="H42" i="39" a="1"/>
  <c r="H42" i="39"/>
  <c r="I42" i="39" a="1"/>
  <c r="I42" i="39"/>
  <c r="J42" i="39" a="1"/>
  <c r="J42" i="39"/>
  <c r="K42" i="39" a="1"/>
  <c r="K42" i="39"/>
  <c r="L42" i="39" a="1"/>
  <c r="L42" i="39"/>
  <c r="M42" i="39" a="1"/>
  <c r="M42" i="39"/>
  <c r="N42" i="39" a="1"/>
  <c r="N42" i="39"/>
  <c r="O42" i="39" a="1"/>
  <c r="O42" i="39"/>
  <c r="E43" i="39" a="1"/>
  <c r="E43" i="39"/>
  <c r="F43" i="39" a="1"/>
  <c r="F43" i="39"/>
  <c r="G43" i="39" a="1"/>
  <c r="G43" i="39"/>
  <c r="H43" i="39" a="1"/>
  <c r="H43" i="39"/>
  <c r="I43" i="39" a="1"/>
  <c r="I43" i="39"/>
  <c r="J43" i="39" a="1"/>
  <c r="J43" i="39"/>
  <c r="K43" i="39" a="1"/>
  <c r="K43" i="39"/>
  <c r="L43" i="39" a="1"/>
  <c r="L43" i="39"/>
  <c r="M43" i="39" a="1"/>
  <c r="M43" i="39"/>
  <c r="N43" i="39" a="1"/>
  <c r="N43" i="39"/>
  <c r="O43" i="39" a="1"/>
  <c r="O43" i="39"/>
  <c r="E44" i="39" a="1"/>
  <c r="E44" i="39"/>
  <c r="F44" i="39" a="1"/>
  <c r="F44" i="39"/>
  <c r="G44" i="39" a="1"/>
  <c r="G44" i="39"/>
  <c r="H44" i="39" a="1"/>
  <c r="H44" i="39"/>
  <c r="I44" i="39" a="1"/>
  <c r="I44" i="39"/>
  <c r="J44" i="39" a="1"/>
  <c r="J44" i="39"/>
  <c r="K44" i="39" a="1"/>
  <c r="K44" i="39"/>
  <c r="L44" i="39" a="1"/>
  <c r="L44" i="39"/>
  <c r="M44" i="39" a="1"/>
  <c r="M44" i="39"/>
  <c r="N44" i="39" a="1"/>
  <c r="N44" i="39"/>
  <c r="O44" i="39" a="1"/>
  <c r="O44" i="39"/>
  <c r="E45" i="39" a="1"/>
  <c r="E45" i="39"/>
  <c r="F45" i="39" a="1"/>
  <c r="F45" i="39"/>
  <c r="G45" i="39" a="1"/>
  <c r="G45" i="39"/>
  <c r="H45" i="39" a="1"/>
  <c r="H45" i="39"/>
  <c r="I45" i="39" a="1"/>
  <c r="I45" i="39"/>
  <c r="J45" i="39" a="1"/>
  <c r="J45" i="39"/>
  <c r="K45" i="39" a="1"/>
  <c r="K45" i="39"/>
  <c r="L45" i="39" a="1"/>
  <c r="L45" i="39"/>
  <c r="M45" i="39" a="1"/>
  <c r="M45" i="39"/>
  <c r="N45" i="39" a="1"/>
  <c r="N45" i="39"/>
  <c r="O45" i="39" a="1"/>
  <c r="O45" i="39"/>
  <c r="E46" i="39" a="1"/>
  <c r="E46" i="39"/>
  <c r="F46" i="39" a="1"/>
  <c r="F46" i="39"/>
  <c r="G46" i="39" a="1"/>
  <c r="G46" i="39"/>
  <c r="H46" i="39" a="1"/>
  <c r="H46" i="39"/>
  <c r="I46" i="39" a="1"/>
  <c r="I46" i="39"/>
  <c r="J46" i="39" a="1"/>
  <c r="J46" i="39"/>
  <c r="K46" i="39" a="1"/>
  <c r="K46" i="39"/>
  <c r="L46" i="39" a="1"/>
  <c r="L46" i="39"/>
  <c r="M46" i="39" a="1"/>
  <c r="M46" i="39"/>
  <c r="N46" i="39" a="1"/>
  <c r="N46" i="39"/>
  <c r="O46" i="39" a="1"/>
  <c r="O46" i="39"/>
  <c r="E47" i="39" a="1"/>
  <c r="E47" i="39"/>
  <c r="F47" i="39" a="1"/>
  <c r="F47" i="39"/>
  <c r="G47" i="39" a="1"/>
  <c r="G47" i="39"/>
  <c r="H47" i="39" a="1"/>
  <c r="H47" i="39"/>
  <c r="I47" i="39" a="1"/>
  <c r="I47" i="39"/>
  <c r="J47" i="39" a="1"/>
  <c r="J47" i="39"/>
  <c r="K47" i="39" a="1"/>
  <c r="K47" i="39"/>
  <c r="L47" i="39" a="1"/>
  <c r="L47" i="39"/>
  <c r="M47" i="39" a="1"/>
  <c r="M47" i="39"/>
  <c r="N47" i="39" a="1"/>
  <c r="N47" i="39"/>
  <c r="O47" i="39" a="1"/>
  <c r="O47" i="39"/>
  <c r="E48" i="39" a="1"/>
  <c r="E48" i="39"/>
  <c r="F48" i="39" a="1"/>
  <c r="F48" i="39"/>
  <c r="G48" i="39" a="1"/>
  <c r="G48" i="39"/>
  <c r="H48" i="39" a="1"/>
  <c r="H48" i="39"/>
  <c r="I48" i="39" a="1"/>
  <c r="I48" i="39"/>
  <c r="J48" i="39" a="1"/>
  <c r="J48" i="39"/>
  <c r="K48" i="39" a="1"/>
  <c r="K48" i="39"/>
  <c r="L48" i="39" a="1"/>
  <c r="L48" i="39"/>
  <c r="M48" i="39" a="1"/>
  <c r="M48" i="39"/>
  <c r="N48" i="39" a="1"/>
  <c r="N48" i="39"/>
  <c r="O48" i="39" a="1"/>
  <c r="O48" i="39"/>
  <c r="E49" i="39" a="1"/>
  <c r="E49" i="39"/>
  <c r="F49" i="39" a="1"/>
  <c r="F49" i="39"/>
  <c r="G49" i="39" a="1"/>
  <c r="G49" i="39"/>
  <c r="H49" i="39" a="1"/>
  <c r="H49" i="39"/>
  <c r="I49" i="39" a="1"/>
  <c r="I49" i="39"/>
  <c r="J49" i="39" a="1"/>
  <c r="J49" i="39"/>
  <c r="K49" i="39" a="1"/>
  <c r="K49" i="39"/>
  <c r="L49" i="39" a="1"/>
  <c r="L49" i="39"/>
  <c r="M49" i="39" a="1"/>
  <c r="M49" i="39"/>
  <c r="N49" i="39" a="1"/>
  <c r="N49" i="39"/>
  <c r="O49" i="39" a="1"/>
  <c r="O49" i="39"/>
  <c r="E50" i="39" a="1"/>
  <c r="E50" i="39"/>
  <c r="F50" i="39" a="1"/>
  <c r="F50" i="39"/>
  <c r="G50" i="39" a="1"/>
  <c r="G50" i="39"/>
  <c r="H50" i="39" a="1"/>
  <c r="H50" i="39"/>
  <c r="I50" i="39" a="1"/>
  <c r="I50" i="39"/>
  <c r="J50" i="39" a="1"/>
  <c r="J50" i="39"/>
  <c r="K50" i="39" a="1"/>
  <c r="K50" i="39"/>
  <c r="L50" i="39" a="1"/>
  <c r="L50" i="39"/>
  <c r="M50" i="39" a="1"/>
  <c r="M50" i="39"/>
  <c r="N50" i="39" a="1"/>
  <c r="N50" i="39"/>
  <c r="O50" i="39" a="1"/>
  <c r="O50" i="39"/>
  <c r="E51" i="39" a="1"/>
  <c r="E51" i="39"/>
  <c r="F51" i="39" a="1"/>
  <c r="F51" i="39"/>
  <c r="G51" i="39" a="1"/>
  <c r="G51" i="39"/>
  <c r="H51" i="39" a="1"/>
  <c r="H51" i="39"/>
  <c r="I51" i="39" a="1"/>
  <c r="I51" i="39"/>
  <c r="J51" i="39" a="1"/>
  <c r="J51" i="39"/>
  <c r="K51" i="39" a="1"/>
  <c r="K51" i="39"/>
  <c r="L51" i="39" a="1"/>
  <c r="L51" i="39"/>
  <c r="M51" i="39" a="1"/>
  <c r="M51" i="39"/>
  <c r="N51" i="39" a="1"/>
  <c r="N51" i="39"/>
  <c r="O51" i="39" a="1"/>
  <c r="O51" i="39"/>
  <c r="E52" i="39" a="1"/>
  <c r="E52" i="39"/>
  <c r="F52" i="39" a="1"/>
  <c r="F52" i="39"/>
  <c r="G52" i="39" a="1"/>
  <c r="G52" i="39"/>
  <c r="H52" i="39" a="1"/>
  <c r="H52" i="39"/>
  <c r="I52" i="39" a="1"/>
  <c r="I52" i="39"/>
  <c r="J52" i="39" a="1"/>
  <c r="J52" i="39"/>
  <c r="K52" i="39" a="1"/>
  <c r="K52" i="39"/>
  <c r="L52" i="39" a="1"/>
  <c r="L52" i="39"/>
  <c r="M52" i="39" a="1"/>
  <c r="M52" i="39"/>
  <c r="N52" i="39" a="1"/>
  <c r="N52" i="39"/>
  <c r="O52" i="39" a="1"/>
  <c r="O52" i="39"/>
  <c r="E53" i="39" a="1"/>
  <c r="E53" i="39"/>
  <c r="F53" i="39" a="1"/>
  <c r="F53" i="39"/>
  <c r="G53" i="39" a="1"/>
  <c r="G53" i="39"/>
  <c r="H53" i="39" a="1"/>
  <c r="H53" i="39"/>
  <c r="I53" i="39" a="1"/>
  <c r="I53" i="39"/>
  <c r="J53" i="39" a="1"/>
  <c r="J53" i="39"/>
  <c r="K53" i="39" a="1"/>
  <c r="K53" i="39"/>
  <c r="L53" i="39" a="1"/>
  <c r="L53" i="39"/>
  <c r="M53" i="39" a="1"/>
  <c r="M53" i="39"/>
  <c r="N53" i="39" a="1"/>
  <c r="N53" i="39"/>
  <c r="O53" i="39" a="1"/>
  <c r="O53" i="39"/>
  <c r="E54" i="39" a="1"/>
  <c r="E54" i="39"/>
  <c r="F54" i="39" a="1"/>
  <c r="F54" i="39"/>
  <c r="G54" i="39" a="1"/>
  <c r="G54" i="39"/>
  <c r="H54" i="39" a="1"/>
  <c r="H54" i="39"/>
  <c r="I54" i="39" a="1"/>
  <c r="I54" i="39"/>
  <c r="J54" i="39" a="1"/>
  <c r="J54" i="39"/>
  <c r="K54" i="39" a="1"/>
  <c r="K54" i="39"/>
  <c r="L54" i="39" a="1"/>
  <c r="L54" i="39"/>
  <c r="M54" i="39" a="1"/>
  <c r="M54" i="39"/>
  <c r="N54" i="39" a="1"/>
  <c r="N54" i="39"/>
  <c r="O54" i="39" a="1"/>
  <c r="O54" i="39"/>
  <c r="E55" i="39" a="1"/>
  <c r="E55" i="39"/>
  <c r="F55" i="39" a="1"/>
  <c r="F55" i="39"/>
  <c r="G55" i="39" a="1"/>
  <c r="G55" i="39"/>
  <c r="H55" i="39" a="1"/>
  <c r="H55" i="39"/>
  <c r="I55" i="39" a="1"/>
  <c r="I55" i="39"/>
  <c r="J55" i="39" a="1"/>
  <c r="J55" i="39"/>
  <c r="K55" i="39" a="1"/>
  <c r="K55" i="39"/>
  <c r="L55" i="39" a="1"/>
  <c r="L55" i="39"/>
  <c r="M55" i="39" a="1"/>
  <c r="M55" i="39"/>
  <c r="N55" i="39" a="1"/>
  <c r="N55" i="39"/>
  <c r="O55" i="39" a="1"/>
  <c r="O55" i="39"/>
  <c r="E56" i="39" a="1"/>
  <c r="E56" i="39"/>
  <c r="F56" i="39" a="1"/>
  <c r="F56" i="39"/>
  <c r="G56" i="39" a="1"/>
  <c r="G56" i="39"/>
  <c r="H56" i="39" a="1"/>
  <c r="H56" i="39"/>
  <c r="I56" i="39" a="1"/>
  <c r="I56" i="39"/>
  <c r="J56" i="39" a="1"/>
  <c r="J56" i="39"/>
  <c r="K56" i="39" a="1"/>
  <c r="K56" i="39"/>
  <c r="L56" i="39" a="1"/>
  <c r="L56" i="39"/>
  <c r="M56" i="39" a="1"/>
  <c r="M56" i="39"/>
  <c r="N56" i="39" a="1"/>
  <c r="N56" i="39"/>
  <c r="O56" i="39" a="1"/>
  <c r="O56" i="39"/>
  <c r="E57" i="39" a="1"/>
  <c r="E57" i="39"/>
  <c r="F57" i="39" a="1"/>
  <c r="F57" i="39"/>
  <c r="G57" i="39" a="1"/>
  <c r="G57" i="39"/>
  <c r="H57" i="39" a="1"/>
  <c r="H57" i="39"/>
  <c r="I57" i="39" a="1"/>
  <c r="I57" i="39"/>
  <c r="J57" i="39" a="1"/>
  <c r="J57" i="39"/>
  <c r="K57" i="39" a="1"/>
  <c r="K57" i="39"/>
  <c r="L57" i="39" a="1"/>
  <c r="L57" i="39"/>
  <c r="M57" i="39" a="1"/>
  <c r="M57" i="39"/>
  <c r="N57" i="39" a="1"/>
  <c r="N57" i="39"/>
  <c r="O57" i="39" a="1"/>
  <c r="O57" i="39"/>
  <c r="E58" i="39" a="1"/>
  <c r="E58" i="39"/>
  <c r="F58" i="39" a="1"/>
  <c r="F58" i="39"/>
  <c r="G58" i="39" a="1"/>
  <c r="G58" i="39"/>
  <c r="H58" i="39" a="1"/>
  <c r="H58" i="39"/>
  <c r="I58" i="39" a="1"/>
  <c r="I58" i="39"/>
  <c r="J58" i="39" a="1"/>
  <c r="J58" i="39"/>
  <c r="K58" i="39" a="1"/>
  <c r="K58" i="39"/>
  <c r="L58" i="39" a="1"/>
  <c r="L58" i="39"/>
  <c r="M58" i="39" a="1"/>
  <c r="M58" i="39"/>
  <c r="N58" i="39" a="1"/>
  <c r="N58" i="39"/>
  <c r="O58" i="39" a="1"/>
  <c r="O58" i="39"/>
  <c r="E59" i="39" a="1"/>
  <c r="E59" i="39"/>
  <c r="F59" i="39" a="1"/>
  <c r="F59" i="39"/>
  <c r="G59" i="39" a="1"/>
  <c r="G59" i="39"/>
  <c r="H59" i="39" a="1"/>
  <c r="H59" i="39"/>
  <c r="I59" i="39" a="1"/>
  <c r="I59" i="39"/>
  <c r="J59" i="39" a="1"/>
  <c r="J59" i="39"/>
  <c r="K59" i="39" a="1"/>
  <c r="K59" i="39"/>
  <c r="L59" i="39" a="1"/>
  <c r="L59" i="39"/>
  <c r="M59" i="39" a="1"/>
  <c r="M59" i="39"/>
  <c r="N59" i="39" a="1"/>
  <c r="N59" i="39"/>
  <c r="O59" i="39" a="1"/>
  <c r="O59" i="39"/>
  <c r="E60" i="39" a="1"/>
  <c r="E60" i="39"/>
  <c r="F60" i="39" a="1"/>
  <c r="F60" i="39"/>
  <c r="G60" i="39" a="1"/>
  <c r="G60" i="39"/>
  <c r="H60" i="39" a="1"/>
  <c r="H60" i="39"/>
  <c r="I60" i="39" a="1"/>
  <c r="I60" i="39"/>
  <c r="J60" i="39" a="1"/>
  <c r="J60" i="39"/>
  <c r="K60" i="39" a="1"/>
  <c r="K60" i="39"/>
  <c r="L60" i="39" a="1"/>
  <c r="L60" i="39"/>
  <c r="M60" i="39" a="1"/>
  <c r="M60" i="39"/>
  <c r="N60" i="39" a="1"/>
  <c r="N60" i="39"/>
  <c r="O60" i="39" a="1"/>
  <c r="O60" i="39"/>
  <c r="D38" i="17"/>
  <c r="E38" i="17"/>
  <c r="F38" i="17"/>
  <c r="G38" i="17"/>
  <c r="H38" i="17"/>
  <c r="I38" i="17"/>
  <c r="J38" i="17"/>
  <c r="K38" i="17"/>
  <c r="L38" i="17"/>
  <c r="M38" i="17"/>
  <c r="N38" i="17"/>
  <c r="O38" i="17"/>
  <c r="P38" i="17"/>
  <c r="Q38" i="17"/>
  <c r="R38" i="17"/>
  <c r="S38" i="17"/>
  <c r="T38" i="17"/>
  <c r="U38" i="17"/>
  <c r="V38" i="17"/>
  <c r="W38" i="17"/>
  <c r="X38" i="17"/>
  <c r="Y38" i="17"/>
  <c r="Z38" i="17"/>
  <c r="AA38" i="17"/>
  <c r="AB38" i="17"/>
  <c r="E11" i="83" a="1"/>
  <c r="E11" i="83"/>
  <c r="F11" i="83" a="1"/>
  <c r="F11" i="83"/>
  <c r="G11" i="83" a="1"/>
  <c r="G11" i="83"/>
  <c r="H11" i="83" a="1"/>
  <c r="H11" i="83"/>
  <c r="I11" i="83" a="1"/>
  <c r="I11" i="83"/>
  <c r="J11" i="83" a="1"/>
  <c r="J11" i="83"/>
  <c r="K11" i="83" a="1"/>
  <c r="K11" i="83"/>
  <c r="L11" i="83" a="1"/>
  <c r="L11" i="83"/>
  <c r="M11" i="83" a="1"/>
  <c r="M11" i="83"/>
  <c r="N11" i="83" a="1"/>
  <c r="N11" i="83"/>
  <c r="O11" i="83" a="1"/>
  <c r="O11" i="83"/>
  <c r="P11" i="83" a="1"/>
  <c r="P11" i="83"/>
  <c r="Q11" i="83" a="1"/>
  <c r="Q11" i="83"/>
  <c r="R11" i="83" a="1"/>
  <c r="R11" i="83"/>
  <c r="S11" i="83" a="1"/>
  <c r="S11" i="83"/>
  <c r="T11" i="83" a="1"/>
  <c r="T11" i="83"/>
  <c r="U11" i="83" a="1"/>
  <c r="U11" i="83"/>
  <c r="V11" i="83" a="1"/>
  <c r="V11" i="83"/>
  <c r="X11" i="83"/>
  <c r="Y11" i="83"/>
  <c r="Z11" i="83"/>
  <c r="AA11" i="83"/>
  <c r="AB11" i="83"/>
  <c r="AC11" i="83"/>
  <c r="AD11" i="83"/>
  <c r="AE11" i="83"/>
  <c r="AF11" i="83"/>
  <c r="AG11" i="83"/>
  <c r="AH11" i="83"/>
  <c r="AI11" i="83"/>
  <c r="AJ11" i="83"/>
  <c r="AK11" i="83"/>
  <c r="AL11" i="83"/>
  <c r="AM11" i="83"/>
  <c r="AN11" i="83"/>
  <c r="AO11" i="83"/>
  <c r="AQ11" i="83"/>
  <c r="AR11" i="83"/>
  <c r="AS11" i="83"/>
  <c r="AT11" i="83"/>
  <c r="AU11" i="83"/>
  <c r="AV11" i="83"/>
  <c r="AW11" i="83"/>
  <c r="AX11" i="83"/>
  <c r="AY11" i="83"/>
  <c r="AZ11" i="83"/>
  <c r="BA11" i="83"/>
  <c r="BB11" i="83"/>
  <c r="BC11" i="83"/>
  <c r="BD11" i="83"/>
  <c r="BE11" i="83"/>
  <c r="BF11" i="83"/>
  <c r="BG11" i="83"/>
  <c r="BH11" i="83"/>
  <c r="BJ11" i="83"/>
  <c r="BK11" i="83"/>
  <c r="BL11" i="83"/>
  <c r="BM11" i="83"/>
  <c r="BN11" i="83"/>
  <c r="BO11" i="83"/>
  <c r="BP11" i="83"/>
  <c r="BQ11" i="83"/>
  <c r="BR11" i="83"/>
  <c r="BS11" i="83"/>
  <c r="BT11" i="83"/>
  <c r="BU11" i="83"/>
  <c r="BV11" i="83"/>
  <c r="BW11" i="83"/>
  <c r="BX11" i="83"/>
  <c r="BY11" i="83"/>
  <c r="BZ11" i="83"/>
  <c r="CA11" i="83"/>
  <c r="CC11" i="83"/>
  <c r="CD11" i="83"/>
  <c r="CE11" i="83"/>
  <c r="CF11" i="83"/>
  <c r="CG11" i="83"/>
  <c r="CH11" i="83"/>
  <c r="CI11" i="83"/>
  <c r="CJ11" i="83"/>
  <c r="CK11" i="83"/>
  <c r="CL11" i="83"/>
  <c r="CM11" i="83"/>
  <c r="CN11" i="83"/>
  <c r="CO11" i="83"/>
  <c r="CP11" i="83"/>
  <c r="CQ11" i="83"/>
  <c r="CR11" i="83"/>
  <c r="CS11" i="83"/>
  <c r="CT11" i="83"/>
  <c r="CV11" i="83"/>
  <c r="CW11" i="83"/>
  <c r="CX11" i="83"/>
  <c r="CY11" i="83"/>
  <c r="CZ11" i="83"/>
  <c r="DA11" i="83"/>
  <c r="DB11" i="83"/>
  <c r="DC11" i="83"/>
  <c r="DD11" i="83"/>
  <c r="DE11" i="83"/>
  <c r="DF11" i="83"/>
  <c r="DG11" i="83"/>
  <c r="DH11" i="83"/>
  <c r="DI11" i="83"/>
  <c r="DJ11" i="83"/>
  <c r="DK11" i="83"/>
  <c r="DL11" i="83"/>
  <c r="DM11" i="83"/>
  <c r="DO11" i="83"/>
  <c r="DP11" i="83"/>
  <c r="DQ11" i="83"/>
  <c r="DR11" i="83"/>
  <c r="DS11" i="83"/>
  <c r="DT11" i="83"/>
  <c r="DU11" i="83"/>
  <c r="DV11" i="83"/>
  <c r="DW11" i="83"/>
  <c r="DX11" i="83"/>
  <c r="DY11" i="83"/>
  <c r="DZ11" i="83"/>
  <c r="EA11" i="83"/>
  <c r="EB11" i="83"/>
  <c r="EC11" i="83"/>
  <c r="ED11" i="83"/>
  <c r="EE11" i="83"/>
  <c r="EF11" i="83"/>
  <c r="EH11" i="83"/>
  <c r="EI11" i="83"/>
  <c r="EJ11" i="83"/>
  <c r="EK11" i="83"/>
  <c r="EL11" i="83"/>
  <c r="EM11" i="83"/>
  <c r="EN11" i="83"/>
  <c r="EO11" i="83"/>
  <c r="EP11" i="83"/>
  <c r="EQ11" i="83"/>
  <c r="ER11" i="83"/>
  <c r="ES11" i="83"/>
  <c r="ET11" i="83"/>
  <c r="EU11" i="83"/>
  <c r="EV11" i="83"/>
  <c r="EW11" i="83"/>
  <c r="EX11" i="83"/>
  <c r="EY11" i="83"/>
  <c r="FA11" i="83"/>
  <c r="FB11" i="83"/>
  <c r="FC11" i="83"/>
  <c r="FD11" i="83"/>
  <c r="FE11" i="83"/>
  <c r="FF11" i="83"/>
  <c r="FG11" i="83"/>
  <c r="FH11" i="83"/>
  <c r="FI11" i="83"/>
  <c r="FJ11" i="83"/>
  <c r="FK11" i="83"/>
  <c r="FL11" i="83"/>
  <c r="FM11" i="83"/>
  <c r="FN11" i="83"/>
  <c r="FO11" i="83"/>
  <c r="FP11" i="83"/>
  <c r="FQ11" i="83"/>
  <c r="FS11" i="83"/>
  <c r="FT11" i="83"/>
  <c r="FU11" i="83"/>
  <c r="FV11" i="83"/>
  <c r="FW11" i="83"/>
  <c r="FX11" i="83"/>
  <c r="FY11" i="83"/>
  <c r="FZ11" i="83"/>
  <c r="GA11" i="83"/>
  <c r="GB11" i="83"/>
  <c r="GC11" i="83"/>
  <c r="GD11" i="83"/>
  <c r="GE11" i="83"/>
  <c r="GF11" i="83"/>
  <c r="GG11" i="83"/>
  <c r="GH11" i="83"/>
  <c r="GI11" i="83"/>
  <c r="GK11" i="83"/>
  <c r="GL11" i="83"/>
  <c r="GM11" i="83"/>
  <c r="GN11" i="83"/>
  <c r="GO11" i="83"/>
  <c r="GP11" i="83"/>
  <c r="GQ11" i="83"/>
  <c r="GR11" i="83"/>
  <c r="GS11" i="83"/>
  <c r="GT11" i="83"/>
  <c r="GU11" i="83"/>
  <c r="GV11" i="83"/>
  <c r="GW11" i="83"/>
  <c r="GX11" i="83"/>
  <c r="GY11" i="83"/>
  <c r="GZ11" i="83"/>
  <c r="HA11" i="83"/>
  <c r="AQ13" i="83"/>
  <c r="AR13" i="83"/>
  <c r="AS13" i="83"/>
  <c r="AT13" i="83"/>
  <c r="AU13" i="83"/>
  <c r="AV13" i="83"/>
  <c r="AW13" i="83"/>
  <c r="AX13" i="83"/>
  <c r="AY13" i="83"/>
  <c r="AZ13" i="83"/>
  <c r="BA13" i="83"/>
  <c r="BB13" i="83"/>
  <c r="BC13" i="83"/>
  <c r="BD13" i="83"/>
  <c r="BE13" i="83"/>
  <c r="BF13" i="83"/>
  <c r="BG13" i="83"/>
  <c r="BH13" i="83"/>
  <c r="CC13" i="83"/>
  <c r="CD13" i="83"/>
  <c r="CE13" i="83"/>
  <c r="CF13" i="83"/>
  <c r="CG13" i="83"/>
  <c r="CH13" i="83"/>
  <c r="CI13" i="83"/>
  <c r="CJ13" i="83"/>
  <c r="CK13" i="83"/>
  <c r="CL13" i="83"/>
  <c r="CM13" i="83"/>
  <c r="CN13" i="83"/>
  <c r="CO13" i="83"/>
  <c r="CP13" i="83"/>
  <c r="CQ13" i="83"/>
  <c r="CR13" i="83"/>
  <c r="CS13" i="83"/>
  <c r="CT13" i="83"/>
  <c r="CV13" i="83"/>
  <c r="CW13" i="83"/>
  <c r="CX13" i="83"/>
  <c r="CY13" i="83"/>
  <c r="CZ13" i="83"/>
  <c r="DA13" i="83"/>
  <c r="DB13" i="83"/>
  <c r="DC13" i="83"/>
  <c r="DD13" i="83"/>
  <c r="DE13" i="83"/>
  <c r="DF13" i="83"/>
  <c r="DG13" i="83"/>
  <c r="DH13" i="83"/>
  <c r="DI13" i="83"/>
  <c r="DJ13" i="83"/>
  <c r="DK13" i="83"/>
  <c r="DL13" i="83"/>
  <c r="DM13" i="83"/>
  <c r="FS13" i="83"/>
  <c r="FT13" i="83"/>
  <c r="FU13" i="83"/>
  <c r="FV13" i="83"/>
  <c r="FW13" i="83"/>
  <c r="FX13" i="83"/>
  <c r="FY13" i="83"/>
  <c r="FZ13" i="83"/>
  <c r="GA13" i="83"/>
  <c r="GB13" i="83"/>
  <c r="GC13" i="83"/>
  <c r="GD13" i="83"/>
  <c r="GE13" i="83"/>
  <c r="GF13" i="83"/>
  <c r="GG13" i="83"/>
  <c r="GH13" i="83"/>
  <c r="GI13" i="83"/>
  <c r="GK13" i="83"/>
  <c r="GL13" i="83"/>
  <c r="GM13" i="83"/>
  <c r="GN13" i="83"/>
  <c r="GO13" i="83"/>
  <c r="GP13" i="83"/>
  <c r="GQ13" i="83"/>
  <c r="GR13" i="83"/>
  <c r="GS13" i="83"/>
  <c r="GT13" i="83"/>
  <c r="GU13" i="83"/>
  <c r="GV13" i="83"/>
  <c r="GW13" i="83"/>
  <c r="GX13" i="83"/>
  <c r="GY13" i="83"/>
  <c r="GZ13" i="83"/>
  <c r="HA13" i="83"/>
  <c r="AQ14" i="83"/>
  <c r="AR14" i="83"/>
  <c r="AS14" i="83"/>
  <c r="AT14" i="83"/>
  <c r="AU14" i="83"/>
  <c r="AV14" i="83"/>
  <c r="AW14" i="83"/>
  <c r="AX14" i="83"/>
  <c r="AY14" i="83"/>
  <c r="AZ14" i="83"/>
  <c r="BA14" i="83"/>
  <c r="BB14" i="83"/>
  <c r="BC14" i="83"/>
  <c r="BD14" i="83"/>
  <c r="BE14" i="83"/>
  <c r="BF14" i="83"/>
  <c r="BG14" i="83"/>
  <c r="BH14" i="83"/>
  <c r="CC14" i="83"/>
  <c r="CD14" i="83"/>
  <c r="CE14" i="83"/>
  <c r="CF14" i="83"/>
  <c r="CG14" i="83"/>
  <c r="CH14" i="83"/>
  <c r="CI14" i="83"/>
  <c r="CJ14" i="83"/>
  <c r="CK14" i="83"/>
  <c r="CL14" i="83"/>
  <c r="CM14" i="83"/>
  <c r="CN14" i="83"/>
  <c r="CO14" i="83"/>
  <c r="CP14" i="83"/>
  <c r="CQ14" i="83"/>
  <c r="CR14" i="83"/>
  <c r="CS14" i="83"/>
  <c r="CT14" i="83"/>
  <c r="CV14" i="83"/>
  <c r="CW14" i="83"/>
  <c r="CX14" i="83"/>
  <c r="CY14" i="83"/>
  <c r="CZ14" i="83"/>
  <c r="DA14" i="83"/>
  <c r="DB14" i="83"/>
  <c r="DC14" i="83"/>
  <c r="DD14" i="83"/>
  <c r="DE14" i="83"/>
  <c r="DF14" i="83"/>
  <c r="DG14" i="83"/>
  <c r="DH14" i="83"/>
  <c r="DI14" i="83"/>
  <c r="DJ14" i="83"/>
  <c r="DK14" i="83"/>
  <c r="DL14" i="83"/>
  <c r="DM14" i="83"/>
  <c r="FS14" i="83"/>
  <c r="FT14" i="83"/>
  <c r="FU14" i="83"/>
  <c r="FV14" i="83"/>
  <c r="FW14" i="83"/>
  <c r="FX14" i="83"/>
  <c r="FY14" i="83"/>
  <c r="FZ14" i="83"/>
  <c r="GA14" i="83"/>
  <c r="GB14" i="83"/>
  <c r="GC14" i="83"/>
  <c r="GD14" i="83"/>
  <c r="GE14" i="83"/>
  <c r="GF14" i="83"/>
  <c r="GG14" i="83"/>
  <c r="GH14" i="83"/>
  <c r="GI14" i="83"/>
  <c r="GK14" i="83"/>
  <c r="GL14" i="83"/>
  <c r="GM14" i="83"/>
  <c r="GN14" i="83"/>
  <c r="GO14" i="83"/>
  <c r="GP14" i="83"/>
  <c r="GQ14" i="83"/>
  <c r="GR14" i="83"/>
  <c r="GS14" i="83"/>
  <c r="GT14" i="83"/>
  <c r="GU14" i="83"/>
  <c r="GV14" i="83"/>
  <c r="GW14" i="83"/>
  <c r="GX14" i="83"/>
  <c r="GY14" i="83"/>
  <c r="GZ14" i="83"/>
  <c r="HA14" i="83"/>
  <c r="E15" i="83"/>
  <c r="F15" i="83"/>
  <c r="G15" i="83"/>
  <c r="H15" i="83"/>
  <c r="I15" i="83"/>
  <c r="J15" i="83"/>
  <c r="K15" i="83"/>
  <c r="L15" i="83"/>
  <c r="M15" i="83"/>
  <c r="N15" i="83"/>
  <c r="O15" i="83"/>
  <c r="P15" i="83"/>
  <c r="Q15" i="83"/>
  <c r="R15" i="83"/>
  <c r="S15" i="83"/>
  <c r="T15" i="83"/>
  <c r="U15" i="83"/>
  <c r="V15" i="83"/>
  <c r="X15" i="83"/>
  <c r="Y15" i="83"/>
  <c r="Z15" i="83"/>
  <c r="AA15" i="83"/>
  <c r="AB15" i="83"/>
  <c r="AC15" i="83"/>
  <c r="AD15" i="83"/>
  <c r="AE15" i="83"/>
  <c r="AF15" i="83"/>
  <c r="AG15" i="83"/>
  <c r="AH15" i="83"/>
  <c r="AI15" i="83"/>
  <c r="AJ15" i="83"/>
  <c r="AK15" i="83"/>
  <c r="AL15" i="83"/>
  <c r="AM15" i="83"/>
  <c r="AN15" i="83"/>
  <c r="AO15" i="83"/>
  <c r="BJ15" i="83"/>
  <c r="BK15" i="83"/>
  <c r="BL15" i="83"/>
  <c r="BM15" i="83"/>
  <c r="BN15" i="83"/>
  <c r="BO15" i="83"/>
  <c r="BP15" i="83"/>
  <c r="BQ15" i="83"/>
  <c r="BR15" i="83"/>
  <c r="BS15" i="83"/>
  <c r="BT15" i="83"/>
  <c r="BU15" i="83"/>
  <c r="BV15" i="83"/>
  <c r="BW15" i="83"/>
  <c r="BX15" i="83"/>
  <c r="BY15" i="83"/>
  <c r="BZ15" i="83"/>
  <c r="CA15" i="83"/>
  <c r="DO15" i="83"/>
  <c r="DP15" i="83"/>
  <c r="DQ15" i="83"/>
  <c r="DR15" i="83"/>
  <c r="DS15" i="83"/>
  <c r="DT15" i="83"/>
  <c r="DU15" i="83"/>
  <c r="DV15" i="83"/>
  <c r="DW15" i="83"/>
  <c r="DX15" i="83"/>
  <c r="DY15" i="83"/>
  <c r="DZ15" i="83"/>
  <c r="EA15" i="83"/>
  <c r="EB15" i="83"/>
  <c r="EC15" i="83"/>
  <c r="ED15" i="83"/>
  <c r="EE15" i="83"/>
  <c r="EF15" i="83"/>
  <c r="EH15" i="83"/>
  <c r="EI15" i="83"/>
  <c r="EJ15" i="83"/>
  <c r="EK15" i="83"/>
  <c r="EL15" i="83"/>
  <c r="EM15" i="83"/>
  <c r="EN15" i="83"/>
  <c r="EO15" i="83"/>
  <c r="EP15" i="83"/>
  <c r="EQ15" i="83"/>
  <c r="ER15" i="83"/>
  <c r="ES15" i="83"/>
  <c r="ET15" i="83"/>
  <c r="EU15" i="83"/>
  <c r="EV15" i="83"/>
  <c r="EW15" i="83"/>
  <c r="EX15" i="83"/>
  <c r="EY15" i="83"/>
  <c r="FA15" i="83"/>
  <c r="FB15" i="83"/>
  <c r="FC15" i="83"/>
  <c r="FD15" i="83"/>
  <c r="FE15" i="83"/>
  <c r="FF15" i="83"/>
  <c r="FG15" i="83"/>
  <c r="FH15" i="83"/>
  <c r="FI15" i="83"/>
  <c r="FJ15" i="83"/>
  <c r="FK15" i="83"/>
  <c r="FL15" i="83"/>
  <c r="FM15" i="83"/>
  <c r="FN15" i="83"/>
  <c r="FO15" i="83"/>
  <c r="FP15" i="83"/>
  <c r="FQ15" i="83"/>
  <c r="E16" i="83"/>
  <c r="F16" i="83"/>
  <c r="G16" i="83"/>
  <c r="H16" i="83"/>
  <c r="I16" i="83"/>
  <c r="J16" i="83"/>
  <c r="K16" i="83"/>
  <c r="L16" i="83"/>
  <c r="M16" i="83"/>
  <c r="N16" i="83"/>
  <c r="O16" i="83"/>
  <c r="P16" i="83"/>
  <c r="Q16" i="83"/>
  <c r="R16" i="83"/>
  <c r="S16" i="83"/>
  <c r="T16" i="83"/>
  <c r="U16" i="83"/>
  <c r="V16" i="83"/>
  <c r="X16" i="83"/>
  <c r="Y16" i="83"/>
  <c r="Z16" i="83"/>
  <c r="AA16" i="83"/>
  <c r="AB16" i="83"/>
  <c r="AC16" i="83"/>
  <c r="AD16" i="83"/>
  <c r="AE16" i="83"/>
  <c r="AF16" i="83"/>
  <c r="AG16" i="83"/>
  <c r="AH16" i="83"/>
  <c r="AI16" i="83"/>
  <c r="AJ16" i="83"/>
  <c r="AK16" i="83"/>
  <c r="AL16" i="83"/>
  <c r="AM16" i="83"/>
  <c r="AN16" i="83"/>
  <c r="AO16" i="83"/>
  <c r="AQ16" i="83"/>
  <c r="AR16" i="83"/>
  <c r="AS16" i="83"/>
  <c r="AT16" i="83"/>
  <c r="AU16" i="83"/>
  <c r="AV16" i="83"/>
  <c r="AW16" i="83"/>
  <c r="AX16" i="83"/>
  <c r="AY16" i="83"/>
  <c r="AZ16" i="83"/>
  <c r="BA16" i="83"/>
  <c r="BB16" i="83"/>
  <c r="BC16" i="83"/>
  <c r="BD16" i="83"/>
  <c r="BE16" i="83"/>
  <c r="BF16" i="83"/>
  <c r="BG16" i="83"/>
  <c r="BH16" i="83"/>
  <c r="BJ16" i="83"/>
  <c r="BK16" i="83"/>
  <c r="BL16" i="83"/>
  <c r="BM16" i="83"/>
  <c r="BN16" i="83"/>
  <c r="BO16" i="83"/>
  <c r="BP16" i="83"/>
  <c r="BQ16" i="83"/>
  <c r="BR16" i="83"/>
  <c r="BS16" i="83"/>
  <c r="BT16" i="83"/>
  <c r="BU16" i="83"/>
  <c r="BV16" i="83"/>
  <c r="BW16" i="83"/>
  <c r="BX16" i="83"/>
  <c r="BY16" i="83"/>
  <c r="BZ16" i="83"/>
  <c r="CA16" i="83"/>
  <c r="CC16" i="83"/>
  <c r="CD16" i="83"/>
  <c r="CE16" i="83"/>
  <c r="CF16" i="83"/>
  <c r="CG16" i="83"/>
  <c r="CH16" i="83"/>
  <c r="CI16" i="83"/>
  <c r="CJ16" i="83"/>
  <c r="CK16" i="83"/>
  <c r="CL16" i="83"/>
  <c r="CM16" i="83"/>
  <c r="CN16" i="83"/>
  <c r="CO16" i="83"/>
  <c r="CP16" i="83"/>
  <c r="CQ16" i="83"/>
  <c r="CR16" i="83"/>
  <c r="CS16" i="83"/>
  <c r="CT16" i="83"/>
  <c r="CV16" i="83"/>
  <c r="CW16" i="83"/>
  <c r="CX16" i="83"/>
  <c r="CY16" i="83"/>
  <c r="CZ16" i="83"/>
  <c r="DA16" i="83"/>
  <c r="DB16" i="83"/>
  <c r="DC16" i="83"/>
  <c r="DD16" i="83"/>
  <c r="DE16" i="83"/>
  <c r="DF16" i="83"/>
  <c r="DG16" i="83"/>
  <c r="DH16" i="83"/>
  <c r="DI16" i="83"/>
  <c r="DJ16" i="83"/>
  <c r="DK16" i="83"/>
  <c r="DL16" i="83"/>
  <c r="DM16" i="83"/>
  <c r="DO16" i="83"/>
  <c r="DP16" i="83"/>
  <c r="DQ16" i="83"/>
  <c r="DR16" i="83"/>
  <c r="DS16" i="83"/>
  <c r="DT16" i="83"/>
  <c r="DU16" i="83"/>
  <c r="DV16" i="83"/>
  <c r="DW16" i="83"/>
  <c r="DX16" i="83"/>
  <c r="DY16" i="83"/>
  <c r="DZ16" i="83"/>
  <c r="EA16" i="83"/>
  <c r="EB16" i="83"/>
  <c r="EC16" i="83"/>
  <c r="ED16" i="83"/>
  <c r="EE16" i="83"/>
  <c r="EF16" i="83"/>
  <c r="EH16" i="83"/>
  <c r="EI16" i="83"/>
  <c r="EJ16" i="83"/>
  <c r="EK16" i="83"/>
  <c r="EL16" i="83"/>
  <c r="EM16" i="83"/>
  <c r="EN16" i="83"/>
  <c r="EO16" i="83"/>
  <c r="EP16" i="83"/>
  <c r="EQ16" i="83"/>
  <c r="ER16" i="83"/>
  <c r="ES16" i="83"/>
  <c r="ET16" i="83"/>
  <c r="EU16" i="83"/>
  <c r="EV16" i="83"/>
  <c r="EW16" i="83"/>
  <c r="EX16" i="83"/>
  <c r="EY16" i="83"/>
  <c r="FA16" i="83"/>
  <c r="FB16" i="83"/>
  <c r="FC16" i="83"/>
  <c r="FD16" i="83"/>
  <c r="FE16" i="83"/>
  <c r="FF16" i="83"/>
  <c r="FG16" i="83"/>
  <c r="FH16" i="83"/>
  <c r="FI16" i="83"/>
  <c r="FJ16" i="83"/>
  <c r="FK16" i="83"/>
  <c r="FL16" i="83"/>
  <c r="FM16" i="83"/>
  <c r="FN16" i="83"/>
  <c r="FO16" i="83"/>
  <c r="FP16" i="83"/>
  <c r="FQ16" i="83"/>
  <c r="FS16" i="83"/>
  <c r="FT16" i="83"/>
  <c r="FU16" i="83"/>
  <c r="FV16" i="83"/>
  <c r="FW16" i="83"/>
  <c r="FX16" i="83"/>
  <c r="FY16" i="83"/>
  <c r="FZ16" i="83"/>
  <c r="GA16" i="83"/>
  <c r="GB16" i="83"/>
  <c r="GC16" i="83"/>
  <c r="GD16" i="83"/>
  <c r="GE16" i="83"/>
  <c r="GF16" i="83"/>
  <c r="GG16" i="83"/>
  <c r="GH16" i="83"/>
  <c r="GI16" i="83"/>
  <c r="GK16" i="83"/>
  <c r="GL16" i="83"/>
  <c r="GM16" i="83"/>
  <c r="GN16" i="83"/>
  <c r="GO16" i="83"/>
  <c r="GP16" i="83"/>
  <c r="GQ16" i="83"/>
  <c r="GR16" i="83"/>
  <c r="GS16" i="83"/>
  <c r="GT16" i="83"/>
  <c r="GU16" i="83"/>
  <c r="GV16" i="83"/>
  <c r="GW16" i="83"/>
  <c r="GX16" i="83"/>
  <c r="GY16" i="83"/>
  <c r="GZ16" i="83"/>
  <c r="HA16" i="83"/>
  <c r="E17" i="83" a="1"/>
  <c r="E17" i="83"/>
  <c r="F17" i="83" a="1"/>
  <c r="F17" i="83"/>
  <c r="G17" i="83" a="1"/>
  <c r="G17" i="83"/>
  <c r="H17" i="83" a="1"/>
  <c r="H17" i="83"/>
  <c r="I17" i="83" a="1"/>
  <c r="I17" i="83"/>
  <c r="J17" i="83" a="1"/>
  <c r="J17" i="83"/>
  <c r="K17" i="83" a="1"/>
  <c r="K17" i="83"/>
  <c r="L17" i="83" a="1"/>
  <c r="L17" i="83"/>
  <c r="M17" i="83" a="1"/>
  <c r="M17" i="83"/>
  <c r="N17" i="83" a="1"/>
  <c r="N17" i="83"/>
  <c r="O17" i="83" a="1"/>
  <c r="O17" i="83"/>
  <c r="P17" i="83" a="1"/>
  <c r="P17" i="83"/>
  <c r="Q17" i="83" a="1"/>
  <c r="Q17" i="83"/>
  <c r="R17" i="83" a="1"/>
  <c r="R17" i="83"/>
  <c r="S17" i="83" a="1"/>
  <c r="S17" i="83"/>
  <c r="T17" i="83" a="1"/>
  <c r="T17" i="83"/>
  <c r="U17" i="83" a="1"/>
  <c r="U17" i="83"/>
  <c r="V17" i="83" a="1"/>
  <c r="V17" i="83"/>
  <c r="X17" i="83" a="1"/>
  <c r="X17" i="83"/>
  <c r="Y17" i="83" a="1"/>
  <c r="Y17" i="83"/>
  <c r="Z17" i="83" a="1"/>
  <c r="Z17" i="83"/>
  <c r="AA17" i="83" a="1"/>
  <c r="AA17" i="83"/>
  <c r="AB17" i="83" a="1"/>
  <c r="AB17" i="83"/>
  <c r="AC17" i="83" a="1"/>
  <c r="AC17" i="83"/>
  <c r="AD17" i="83" a="1"/>
  <c r="AD17" i="83"/>
  <c r="AE17" i="83" a="1"/>
  <c r="AE17" i="83"/>
  <c r="AF17" i="83" a="1"/>
  <c r="AF17" i="83"/>
  <c r="AG17" i="83" a="1"/>
  <c r="AG17" i="83"/>
  <c r="AH17" i="83" a="1"/>
  <c r="AH17" i="83"/>
  <c r="AI17" i="83" a="1"/>
  <c r="AI17" i="83"/>
  <c r="AJ17" i="83" a="1"/>
  <c r="AJ17" i="83"/>
  <c r="AK17" i="83" a="1"/>
  <c r="AK17" i="83"/>
  <c r="AL17" i="83" a="1"/>
  <c r="AL17" i="83"/>
  <c r="AM17" i="83" a="1"/>
  <c r="AM17" i="83"/>
  <c r="AN17" i="83" a="1"/>
  <c r="AN17" i="83"/>
  <c r="AO17" i="83" a="1"/>
  <c r="AO17" i="83"/>
  <c r="AQ17" i="83" a="1"/>
  <c r="AQ17" i="83"/>
  <c r="AR17" i="83" a="1"/>
  <c r="AR17" i="83"/>
  <c r="AS17" i="83" a="1"/>
  <c r="AS17" i="83"/>
  <c r="AT17" i="83" a="1"/>
  <c r="AT17" i="83"/>
  <c r="AU17" i="83" a="1"/>
  <c r="AU17" i="83"/>
  <c r="AV17" i="83" a="1"/>
  <c r="AV17" i="83"/>
  <c r="AW17" i="83" a="1"/>
  <c r="AW17" i="83"/>
  <c r="AX17" i="83" a="1"/>
  <c r="AX17" i="83"/>
  <c r="AY17" i="83" a="1"/>
  <c r="AY17" i="83"/>
  <c r="AZ17" i="83" a="1"/>
  <c r="AZ17" i="83"/>
  <c r="BA17" i="83" a="1"/>
  <c r="BA17" i="83"/>
  <c r="BB17" i="83" a="1"/>
  <c r="BB17" i="83"/>
  <c r="BC17" i="83" a="1"/>
  <c r="BC17" i="83"/>
  <c r="BD17" i="83" a="1"/>
  <c r="BD17" i="83"/>
  <c r="BE17" i="83" a="1"/>
  <c r="BE17" i="83"/>
  <c r="BF17" i="83" a="1"/>
  <c r="BF17" i="83"/>
  <c r="BG17" i="83" a="1"/>
  <c r="BG17" i="83"/>
  <c r="BH17" i="83" a="1"/>
  <c r="BH17" i="83"/>
  <c r="BJ17" i="83" a="1"/>
  <c r="BJ17" i="83"/>
  <c r="BK17" i="83" a="1"/>
  <c r="BK17" i="83"/>
  <c r="BL17" i="83" a="1"/>
  <c r="BL17" i="83"/>
  <c r="BM17" i="83" a="1"/>
  <c r="BM17" i="83"/>
  <c r="BN17" i="83" a="1"/>
  <c r="BN17" i="83"/>
  <c r="BO17" i="83" a="1"/>
  <c r="BO17" i="83"/>
  <c r="BP17" i="83" a="1"/>
  <c r="BP17" i="83"/>
  <c r="BQ17" i="83" a="1"/>
  <c r="BQ17" i="83"/>
  <c r="BR17" i="83" a="1"/>
  <c r="BR17" i="83"/>
  <c r="BS17" i="83" a="1"/>
  <c r="BS17" i="83"/>
  <c r="BT17" i="83" a="1"/>
  <c r="BT17" i="83"/>
  <c r="BU17" i="83" a="1"/>
  <c r="BU17" i="83"/>
  <c r="BV17" i="83" a="1"/>
  <c r="BV17" i="83"/>
  <c r="BW17" i="83" a="1"/>
  <c r="BW17" i="83"/>
  <c r="BX17" i="83" a="1"/>
  <c r="BX17" i="83"/>
  <c r="BY17" i="83" a="1"/>
  <c r="BY17" i="83"/>
  <c r="BZ17" i="83" a="1"/>
  <c r="BZ17" i="83"/>
  <c r="CA17" i="83" a="1"/>
  <c r="CA17" i="83"/>
  <c r="CC17" i="83" a="1"/>
  <c r="CC17" i="83"/>
  <c r="CD17" i="83" a="1"/>
  <c r="CD17" i="83"/>
  <c r="CE17" i="83" a="1"/>
  <c r="CE17" i="83"/>
  <c r="CF17" i="83" a="1"/>
  <c r="CF17" i="83"/>
  <c r="CG17" i="83" a="1"/>
  <c r="CG17" i="83"/>
  <c r="CH17" i="83" a="1"/>
  <c r="CH17" i="83"/>
  <c r="CI17" i="83" a="1"/>
  <c r="CI17" i="83"/>
  <c r="CJ17" i="83" a="1"/>
  <c r="CJ17" i="83"/>
  <c r="CK17" i="83" a="1"/>
  <c r="CK17" i="83"/>
  <c r="CL17" i="83" a="1"/>
  <c r="CL17" i="83"/>
  <c r="CM17" i="83" a="1"/>
  <c r="CM17" i="83"/>
  <c r="CN17" i="83" a="1"/>
  <c r="CN17" i="83"/>
  <c r="CO17" i="83" a="1"/>
  <c r="CO17" i="83"/>
  <c r="CP17" i="83" a="1"/>
  <c r="CP17" i="83"/>
  <c r="CQ17" i="83" a="1"/>
  <c r="CQ17" i="83"/>
  <c r="CR17" i="83" a="1"/>
  <c r="CR17" i="83"/>
  <c r="CS17" i="83" a="1"/>
  <c r="CS17" i="83"/>
  <c r="CT17" i="83" a="1"/>
  <c r="CT17" i="83"/>
  <c r="CV17" i="83" a="1"/>
  <c r="CV17" i="83"/>
  <c r="CW17" i="83" a="1"/>
  <c r="CW17" i="83"/>
  <c r="CX17" i="83" a="1"/>
  <c r="CX17" i="83"/>
  <c r="CY17" i="83" a="1"/>
  <c r="CY17" i="83"/>
  <c r="CZ17" i="83" a="1"/>
  <c r="CZ17" i="83"/>
  <c r="DA17" i="83" a="1"/>
  <c r="DA17" i="83"/>
  <c r="DB17" i="83" a="1"/>
  <c r="DB17" i="83"/>
  <c r="DC17" i="83" a="1"/>
  <c r="DC17" i="83"/>
  <c r="DD17" i="83" a="1"/>
  <c r="DD17" i="83"/>
  <c r="DE17" i="83" a="1"/>
  <c r="DE17" i="83"/>
  <c r="DF17" i="83" a="1"/>
  <c r="DF17" i="83"/>
  <c r="DG17" i="83" a="1"/>
  <c r="DG17" i="83"/>
  <c r="DH17" i="83" a="1"/>
  <c r="DH17" i="83"/>
  <c r="DI17" i="83" a="1"/>
  <c r="DI17" i="83"/>
  <c r="DJ17" i="83" a="1"/>
  <c r="DJ17" i="83"/>
  <c r="DK17" i="83" a="1"/>
  <c r="DK17" i="83"/>
  <c r="DL17" i="83" a="1"/>
  <c r="DL17" i="83"/>
  <c r="DM17" i="83" a="1"/>
  <c r="DM17" i="83"/>
  <c r="DO17" i="83" a="1"/>
  <c r="DO17" i="83"/>
  <c r="DP17" i="83" a="1"/>
  <c r="DP17" i="83"/>
  <c r="DQ17" i="83" a="1"/>
  <c r="DQ17" i="83"/>
  <c r="DR17" i="83" a="1"/>
  <c r="DR17" i="83"/>
  <c r="DS17" i="83" a="1"/>
  <c r="DS17" i="83"/>
  <c r="DT17" i="83" a="1"/>
  <c r="DT17" i="83"/>
  <c r="DU17" i="83" a="1"/>
  <c r="DU17" i="83"/>
  <c r="DV17" i="83" a="1"/>
  <c r="DV17" i="83"/>
  <c r="DW17" i="83" a="1"/>
  <c r="DW17" i="83"/>
  <c r="DX17" i="83" a="1"/>
  <c r="DX17" i="83"/>
  <c r="DY17" i="83" a="1"/>
  <c r="DY17" i="83"/>
  <c r="DZ17" i="83" a="1"/>
  <c r="DZ17" i="83"/>
  <c r="EA17" i="83" a="1"/>
  <c r="EA17" i="83"/>
  <c r="EB17" i="83" a="1"/>
  <c r="EB17" i="83"/>
  <c r="EC17" i="83" a="1"/>
  <c r="EC17" i="83"/>
  <c r="ED17" i="83" a="1"/>
  <c r="ED17" i="83"/>
  <c r="EE17" i="83" a="1"/>
  <c r="EE17" i="83"/>
  <c r="EF17" i="83" a="1"/>
  <c r="EF17" i="83"/>
  <c r="EH17" i="83" a="1"/>
  <c r="EH17" i="83"/>
  <c r="EI17" i="83" a="1"/>
  <c r="EI17" i="83"/>
  <c r="EJ17" i="83" a="1"/>
  <c r="EJ17" i="83"/>
  <c r="EK17" i="83" a="1"/>
  <c r="EK17" i="83"/>
  <c r="EL17" i="83" a="1"/>
  <c r="EL17" i="83"/>
  <c r="EM17" i="83" a="1"/>
  <c r="EM17" i="83"/>
  <c r="EN17" i="83" a="1"/>
  <c r="EN17" i="83"/>
  <c r="EO17" i="83" a="1"/>
  <c r="EO17" i="83"/>
  <c r="EP17" i="83" a="1"/>
  <c r="EP17" i="83"/>
  <c r="EQ17" i="83" a="1"/>
  <c r="EQ17" i="83"/>
  <c r="ER17" i="83" a="1"/>
  <c r="ER17" i="83"/>
  <c r="ES17" i="83" a="1"/>
  <c r="ES17" i="83"/>
  <c r="ET17" i="83" a="1"/>
  <c r="ET17" i="83"/>
  <c r="EU17" i="83" a="1"/>
  <c r="EU17" i="83"/>
  <c r="EV17" i="83" a="1"/>
  <c r="EV17" i="83"/>
  <c r="EW17" i="83" a="1"/>
  <c r="EW17" i="83"/>
  <c r="EX17" i="83" a="1"/>
  <c r="EX17" i="83"/>
  <c r="EY17" i="83" a="1"/>
  <c r="EY17" i="83"/>
  <c r="FA17" i="83" a="1"/>
  <c r="FA17" i="83"/>
  <c r="FB17" i="83" a="1"/>
  <c r="FB17" i="83"/>
  <c r="FC17" i="83" a="1"/>
  <c r="FC17" i="83"/>
  <c r="FD17" i="83" a="1"/>
  <c r="FD17" i="83"/>
  <c r="FE17" i="83" a="1"/>
  <c r="FE17" i="83"/>
  <c r="FF17" i="83" a="1"/>
  <c r="FF17" i="83"/>
  <c r="FG17" i="83" a="1"/>
  <c r="FG17" i="83"/>
  <c r="FH17" i="83" a="1"/>
  <c r="FH17" i="83"/>
  <c r="FI17" i="83" a="1"/>
  <c r="FI17" i="83"/>
  <c r="FJ17" i="83" a="1"/>
  <c r="FJ17" i="83"/>
  <c r="FK17" i="83" a="1"/>
  <c r="FK17" i="83"/>
  <c r="FL17" i="83" a="1"/>
  <c r="FL17" i="83"/>
  <c r="FM17" i="83" a="1"/>
  <c r="FM17" i="83"/>
  <c r="FN17" i="83" a="1"/>
  <c r="FN17" i="83"/>
  <c r="FO17" i="83" a="1"/>
  <c r="FO17" i="83"/>
  <c r="FP17" i="83" a="1"/>
  <c r="FP17" i="83"/>
  <c r="FQ17" i="83" a="1"/>
  <c r="FQ17" i="83"/>
  <c r="FS17" i="83" a="1"/>
  <c r="FS17" i="83"/>
  <c r="FT17" i="83" a="1"/>
  <c r="FT17" i="83"/>
  <c r="FU17" i="83" a="1"/>
  <c r="FU17" i="83"/>
  <c r="FV17" i="83" a="1"/>
  <c r="FV17" i="83"/>
  <c r="FW17" i="83" a="1"/>
  <c r="FW17" i="83"/>
  <c r="FX17" i="83" a="1"/>
  <c r="FX17" i="83"/>
  <c r="FY17" i="83" a="1"/>
  <c r="FY17" i="83"/>
  <c r="FZ17" i="83" a="1"/>
  <c r="FZ17" i="83"/>
  <c r="GA17" i="83" a="1"/>
  <c r="GA17" i="83"/>
  <c r="GB17" i="83" a="1"/>
  <c r="GB17" i="83"/>
  <c r="GC17" i="83" a="1"/>
  <c r="GC17" i="83"/>
  <c r="GD17" i="83" a="1"/>
  <c r="GD17" i="83"/>
  <c r="GE17" i="83" a="1"/>
  <c r="GE17" i="83"/>
  <c r="GF17" i="83" a="1"/>
  <c r="GF17" i="83"/>
  <c r="GG17" i="83" a="1"/>
  <c r="GG17" i="83"/>
  <c r="GH17" i="83" a="1"/>
  <c r="GH17" i="83"/>
  <c r="GI17" i="83" a="1"/>
  <c r="GI17" i="83"/>
  <c r="GK17" i="83" a="1"/>
  <c r="GK17" i="83"/>
  <c r="GL17" i="83" a="1"/>
  <c r="GL17" i="83"/>
  <c r="GM17" i="83" a="1"/>
  <c r="GM17" i="83"/>
  <c r="GN17" i="83" a="1"/>
  <c r="GN17" i="83"/>
  <c r="GO17" i="83" a="1"/>
  <c r="GO17" i="83"/>
  <c r="GP17" i="83" a="1"/>
  <c r="GP17" i="83"/>
  <c r="GQ17" i="83" a="1"/>
  <c r="GQ17" i="83"/>
  <c r="GR17" i="83" a="1"/>
  <c r="GR17" i="83"/>
  <c r="GS17" i="83" a="1"/>
  <c r="GS17" i="83"/>
  <c r="GT17" i="83" a="1"/>
  <c r="GT17" i="83"/>
  <c r="GU17" i="83" a="1"/>
  <c r="GU17" i="83"/>
  <c r="GV17" i="83" a="1"/>
  <c r="GV17" i="83"/>
  <c r="GW17" i="83" a="1"/>
  <c r="GW17" i="83"/>
  <c r="GX17" i="83" a="1"/>
  <c r="GX17" i="83"/>
  <c r="GY17" i="83" a="1"/>
  <c r="GY17" i="83"/>
  <c r="GZ17" i="83" a="1"/>
  <c r="GZ17" i="83"/>
  <c r="HA17" i="83" a="1"/>
  <c r="HA17" i="83"/>
  <c r="E18" i="83" a="1"/>
  <c r="E18" i="83"/>
  <c r="F18" i="83" a="1"/>
  <c r="F18" i="83"/>
  <c r="G18" i="83" a="1"/>
  <c r="G18" i="83"/>
  <c r="H18" i="83" a="1"/>
  <c r="H18" i="83"/>
  <c r="I18" i="83" a="1"/>
  <c r="I18" i="83"/>
  <c r="J18" i="83" a="1"/>
  <c r="J18" i="83"/>
  <c r="K18" i="83" a="1"/>
  <c r="K18" i="83"/>
  <c r="L18" i="83" a="1"/>
  <c r="L18" i="83"/>
  <c r="M18" i="83" a="1"/>
  <c r="M18" i="83"/>
  <c r="N18" i="83" a="1"/>
  <c r="N18" i="83"/>
  <c r="O18" i="83" a="1"/>
  <c r="O18" i="83"/>
  <c r="P18" i="83" a="1"/>
  <c r="P18" i="83"/>
  <c r="Q18" i="83" a="1"/>
  <c r="Q18" i="83"/>
  <c r="R18" i="83" a="1"/>
  <c r="R18" i="83"/>
  <c r="S18" i="83" a="1"/>
  <c r="S18" i="83"/>
  <c r="T18" i="83" a="1"/>
  <c r="T18" i="83"/>
  <c r="U18" i="83" a="1"/>
  <c r="U18" i="83"/>
  <c r="V18" i="83" a="1"/>
  <c r="V18" i="83"/>
  <c r="X18" i="83" a="1"/>
  <c r="X18" i="83"/>
  <c r="Y18" i="83" a="1"/>
  <c r="Y18" i="83"/>
  <c r="Z18" i="83" a="1"/>
  <c r="Z18" i="83"/>
  <c r="AA18" i="83" a="1"/>
  <c r="AA18" i="83"/>
  <c r="AB18" i="83" a="1"/>
  <c r="AB18" i="83"/>
  <c r="AC18" i="83" a="1"/>
  <c r="AC18" i="83"/>
  <c r="AD18" i="83" a="1"/>
  <c r="AD18" i="83"/>
  <c r="AE18" i="83" a="1"/>
  <c r="AE18" i="83"/>
  <c r="AF18" i="83" a="1"/>
  <c r="AF18" i="83"/>
  <c r="AG18" i="83" a="1"/>
  <c r="AG18" i="83"/>
  <c r="AH18" i="83" a="1"/>
  <c r="AH18" i="83"/>
  <c r="AI18" i="83" a="1"/>
  <c r="AI18" i="83"/>
  <c r="AJ18" i="83" a="1"/>
  <c r="AJ18" i="83"/>
  <c r="AK18" i="83" a="1"/>
  <c r="AK18" i="83"/>
  <c r="AL18" i="83" a="1"/>
  <c r="AL18" i="83"/>
  <c r="AM18" i="83" a="1"/>
  <c r="AM18" i="83"/>
  <c r="AN18" i="83" a="1"/>
  <c r="AN18" i="83"/>
  <c r="AO18" i="83" a="1"/>
  <c r="AO18" i="83"/>
  <c r="AQ18" i="83" a="1"/>
  <c r="AQ18" i="83"/>
  <c r="AR18" i="83" a="1"/>
  <c r="AR18" i="83"/>
  <c r="AS18" i="83" a="1"/>
  <c r="AS18" i="83"/>
  <c r="AT18" i="83" a="1"/>
  <c r="AT18" i="83"/>
  <c r="AU18" i="83" a="1"/>
  <c r="AU18" i="83"/>
  <c r="AV18" i="83" a="1"/>
  <c r="AV18" i="83"/>
  <c r="AW18" i="83" a="1"/>
  <c r="AW18" i="83"/>
  <c r="AX18" i="83" a="1"/>
  <c r="AX18" i="83"/>
  <c r="AY18" i="83" a="1"/>
  <c r="AY18" i="83"/>
  <c r="AZ18" i="83" a="1"/>
  <c r="AZ18" i="83"/>
  <c r="BA18" i="83" a="1"/>
  <c r="BA18" i="83"/>
  <c r="BB18" i="83" a="1"/>
  <c r="BB18" i="83"/>
  <c r="BC18" i="83" a="1"/>
  <c r="BC18" i="83"/>
  <c r="BD18" i="83" a="1"/>
  <c r="BD18" i="83"/>
  <c r="BE18" i="83" a="1"/>
  <c r="BE18" i="83"/>
  <c r="BF18" i="83" a="1"/>
  <c r="BF18" i="83"/>
  <c r="BG18" i="83" a="1"/>
  <c r="BG18" i="83"/>
  <c r="BH18" i="83" a="1"/>
  <c r="BH18" i="83"/>
  <c r="BJ18" i="83" a="1"/>
  <c r="BJ18" i="83"/>
  <c r="BK18" i="83" a="1"/>
  <c r="BK18" i="83"/>
  <c r="BL18" i="83" a="1"/>
  <c r="BL18" i="83"/>
  <c r="BM18" i="83" a="1"/>
  <c r="BM18" i="83"/>
  <c r="BN18" i="83" a="1"/>
  <c r="BN18" i="83"/>
  <c r="BO18" i="83" a="1"/>
  <c r="BO18" i="83"/>
  <c r="BP18" i="83" a="1"/>
  <c r="BP18" i="83"/>
  <c r="BQ18" i="83" a="1"/>
  <c r="BQ18" i="83"/>
  <c r="BR18" i="83" a="1"/>
  <c r="BR18" i="83"/>
  <c r="BS18" i="83" a="1"/>
  <c r="BS18" i="83"/>
  <c r="BT18" i="83" a="1"/>
  <c r="BT18" i="83"/>
  <c r="BU18" i="83" a="1"/>
  <c r="BU18" i="83"/>
  <c r="BV18" i="83" a="1"/>
  <c r="BV18" i="83"/>
  <c r="BW18" i="83" a="1"/>
  <c r="BW18" i="83"/>
  <c r="BX18" i="83" a="1"/>
  <c r="BX18" i="83"/>
  <c r="BY18" i="83" a="1"/>
  <c r="BY18" i="83"/>
  <c r="BZ18" i="83" a="1"/>
  <c r="BZ18" i="83"/>
  <c r="CA18" i="83" a="1"/>
  <c r="CA18" i="83"/>
  <c r="CC18" i="83" a="1"/>
  <c r="CC18" i="83"/>
  <c r="CD18" i="83" a="1"/>
  <c r="CD18" i="83"/>
  <c r="CE18" i="83" a="1"/>
  <c r="CE18" i="83"/>
  <c r="CF18" i="83" a="1"/>
  <c r="CF18" i="83"/>
  <c r="CG18" i="83" a="1"/>
  <c r="CG18" i="83"/>
  <c r="CH18" i="83" a="1"/>
  <c r="CH18" i="83"/>
  <c r="CI18" i="83" a="1"/>
  <c r="CI18" i="83"/>
  <c r="CJ18" i="83" a="1"/>
  <c r="CJ18" i="83"/>
  <c r="CK18" i="83" a="1"/>
  <c r="CK18" i="83"/>
  <c r="CL18" i="83" a="1"/>
  <c r="CL18" i="83"/>
  <c r="CM18" i="83" a="1"/>
  <c r="CM18" i="83"/>
  <c r="CN18" i="83" a="1"/>
  <c r="CN18" i="83"/>
  <c r="CO18" i="83" a="1"/>
  <c r="CO18" i="83"/>
  <c r="CP18" i="83" a="1"/>
  <c r="CP18" i="83"/>
  <c r="CQ18" i="83" a="1"/>
  <c r="CQ18" i="83"/>
  <c r="CR18" i="83" a="1"/>
  <c r="CR18" i="83"/>
  <c r="CS18" i="83" a="1"/>
  <c r="CS18" i="83"/>
  <c r="CT18" i="83" a="1"/>
  <c r="CT18" i="83"/>
  <c r="CV18" i="83" a="1"/>
  <c r="CV18" i="83"/>
  <c r="CW18" i="83" a="1"/>
  <c r="CW18" i="83"/>
  <c r="CX18" i="83" a="1"/>
  <c r="CX18" i="83"/>
  <c r="CY18" i="83" a="1"/>
  <c r="CY18" i="83"/>
  <c r="CZ18" i="83" a="1"/>
  <c r="CZ18" i="83"/>
  <c r="DA18" i="83" a="1"/>
  <c r="DA18" i="83"/>
  <c r="DB18" i="83" a="1"/>
  <c r="DB18" i="83"/>
  <c r="DC18" i="83" a="1"/>
  <c r="DC18" i="83"/>
  <c r="DD18" i="83" a="1"/>
  <c r="DD18" i="83"/>
  <c r="DE18" i="83" a="1"/>
  <c r="DE18" i="83"/>
  <c r="DF18" i="83" a="1"/>
  <c r="DF18" i="83"/>
  <c r="DG18" i="83" a="1"/>
  <c r="DG18" i="83"/>
  <c r="DH18" i="83" a="1"/>
  <c r="DH18" i="83"/>
  <c r="DI18" i="83" a="1"/>
  <c r="DI18" i="83"/>
  <c r="DJ18" i="83" a="1"/>
  <c r="DJ18" i="83"/>
  <c r="DK18" i="83" a="1"/>
  <c r="DK18" i="83"/>
  <c r="DL18" i="83" a="1"/>
  <c r="DL18" i="83"/>
  <c r="DM18" i="83" a="1"/>
  <c r="DM18" i="83"/>
  <c r="DO18" i="83" a="1"/>
  <c r="DO18" i="83"/>
  <c r="DQ18" i="83" a="1"/>
  <c r="DQ18" i="83"/>
  <c r="DR18" i="83" a="1"/>
  <c r="DR18" i="83"/>
  <c r="DS18" i="83" a="1"/>
  <c r="DS18" i="83"/>
  <c r="DT18" i="83" a="1"/>
  <c r="DT18" i="83"/>
  <c r="DU18" i="83" a="1"/>
  <c r="DU18" i="83"/>
  <c r="DV18" i="83" a="1"/>
  <c r="DV18" i="83"/>
  <c r="DW18" i="83" a="1"/>
  <c r="DW18" i="83"/>
  <c r="DX18" i="83" a="1"/>
  <c r="DX18" i="83"/>
  <c r="DY18" i="83" a="1"/>
  <c r="DY18" i="83"/>
  <c r="DZ18" i="83" a="1"/>
  <c r="DZ18" i="83"/>
  <c r="EA18" i="83" a="1"/>
  <c r="EA18" i="83"/>
  <c r="EB18" i="83" a="1"/>
  <c r="EB18" i="83"/>
  <c r="EC18" i="83" a="1"/>
  <c r="EC18" i="83"/>
  <c r="ED18" i="83" a="1"/>
  <c r="ED18" i="83"/>
  <c r="EE18" i="83" a="1"/>
  <c r="EE18" i="83"/>
  <c r="EF18" i="83" a="1"/>
  <c r="EF18" i="83"/>
  <c r="EH18" i="83" a="1"/>
  <c r="EH18" i="83"/>
  <c r="EJ18" i="83" a="1"/>
  <c r="EJ18" i="83"/>
  <c r="EK18" i="83" a="1"/>
  <c r="EK18" i="83"/>
  <c r="EL18" i="83" a="1"/>
  <c r="EL18" i="83"/>
  <c r="EM18" i="83" a="1"/>
  <c r="EM18" i="83"/>
  <c r="EN18" i="83" a="1"/>
  <c r="EN18" i="83"/>
  <c r="EO18" i="83" a="1"/>
  <c r="EO18" i="83"/>
  <c r="EP18" i="83" a="1"/>
  <c r="EP18" i="83"/>
  <c r="EQ18" i="83" a="1"/>
  <c r="EQ18" i="83"/>
  <c r="ER18" i="83" a="1"/>
  <c r="ER18" i="83"/>
  <c r="ES18" i="83" a="1"/>
  <c r="ES18" i="83"/>
  <c r="ET18" i="83" a="1"/>
  <c r="ET18" i="83"/>
  <c r="EU18" i="83" a="1"/>
  <c r="EU18" i="83"/>
  <c r="EV18" i="83" a="1"/>
  <c r="EV18" i="83"/>
  <c r="EW18" i="83" a="1"/>
  <c r="EW18" i="83"/>
  <c r="EX18" i="83" a="1"/>
  <c r="EX18" i="83"/>
  <c r="EY18" i="83" a="1"/>
  <c r="EY18" i="83"/>
  <c r="FA18" i="83" a="1"/>
  <c r="FA18" i="83"/>
  <c r="FC18" i="83" a="1"/>
  <c r="FC18" i="83"/>
  <c r="FD18" i="83" a="1"/>
  <c r="FD18" i="83"/>
  <c r="FE18" i="83" a="1"/>
  <c r="FE18" i="83"/>
  <c r="FF18" i="83" a="1"/>
  <c r="FF18" i="83"/>
  <c r="FG18" i="83" a="1"/>
  <c r="FG18" i="83"/>
  <c r="FH18" i="83" a="1"/>
  <c r="FH18" i="83"/>
  <c r="FI18" i="83" a="1"/>
  <c r="FI18" i="83"/>
  <c r="FJ18" i="83" a="1"/>
  <c r="FJ18" i="83"/>
  <c r="FK18" i="83" a="1"/>
  <c r="FK18" i="83"/>
  <c r="FL18" i="83" a="1"/>
  <c r="FL18" i="83"/>
  <c r="FM18" i="83" a="1"/>
  <c r="FM18" i="83"/>
  <c r="FN18" i="83" a="1"/>
  <c r="FN18" i="83"/>
  <c r="FO18" i="83" a="1"/>
  <c r="FO18" i="83"/>
  <c r="FP18" i="83" a="1"/>
  <c r="FP18" i="83"/>
  <c r="FQ18" i="83" a="1"/>
  <c r="FQ18" i="83"/>
  <c r="FS18" i="83" a="1"/>
  <c r="FS18" i="83"/>
  <c r="FT18" i="83" a="1"/>
  <c r="FT18" i="83"/>
  <c r="FU18" i="83" a="1"/>
  <c r="FU18" i="83"/>
  <c r="FV18" i="83" a="1"/>
  <c r="FV18" i="83"/>
  <c r="FW18" i="83" a="1"/>
  <c r="FW18" i="83"/>
  <c r="FX18" i="83" a="1"/>
  <c r="FX18" i="83"/>
  <c r="FY18" i="83" a="1"/>
  <c r="FY18" i="83"/>
  <c r="FZ18" i="83" a="1"/>
  <c r="FZ18" i="83"/>
  <c r="GA18" i="83" a="1"/>
  <c r="GA18" i="83"/>
  <c r="GB18" i="83" a="1"/>
  <c r="GB18" i="83"/>
  <c r="GC18" i="83" a="1"/>
  <c r="GC18" i="83"/>
  <c r="GD18" i="83" a="1"/>
  <c r="GD18" i="83"/>
  <c r="GE18" i="83" a="1"/>
  <c r="GE18" i="83"/>
  <c r="GF18" i="83" a="1"/>
  <c r="GF18" i="83"/>
  <c r="GG18" i="83" a="1"/>
  <c r="GG18" i="83"/>
  <c r="GH18" i="83" a="1"/>
  <c r="GH18" i="83"/>
  <c r="GI18" i="83" a="1"/>
  <c r="GI18" i="83"/>
  <c r="GK18" i="83" a="1"/>
  <c r="GK18" i="83"/>
  <c r="GL18" i="83" a="1"/>
  <c r="GL18" i="83"/>
  <c r="GM18" i="83" a="1"/>
  <c r="GM18" i="83"/>
  <c r="GN18" i="83" a="1"/>
  <c r="GN18" i="83"/>
  <c r="GO18" i="83" a="1"/>
  <c r="GO18" i="83"/>
  <c r="GP18" i="83" a="1"/>
  <c r="GP18" i="83"/>
  <c r="GQ18" i="83" a="1"/>
  <c r="GQ18" i="83"/>
  <c r="GR18" i="83" a="1"/>
  <c r="GR18" i="83"/>
  <c r="GS18" i="83" a="1"/>
  <c r="GS18" i="83"/>
  <c r="GT18" i="83" a="1"/>
  <c r="GT18" i="83"/>
  <c r="GU18" i="83" a="1"/>
  <c r="GU18" i="83"/>
  <c r="GV18" i="83" a="1"/>
  <c r="GV18" i="83"/>
  <c r="GW18" i="83" a="1"/>
  <c r="GW18" i="83"/>
  <c r="GX18" i="83" a="1"/>
  <c r="GX18" i="83"/>
  <c r="GY18" i="83" a="1"/>
  <c r="GY18" i="83"/>
  <c r="GZ18" i="83" a="1"/>
  <c r="GZ18" i="83"/>
  <c r="HA18" i="83" a="1"/>
  <c r="HA18" i="83"/>
  <c r="E20" i="83" a="1"/>
  <c r="E20" i="83"/>
  <c r="F20" i="83" a="1"/>
  <c r="F20" i="83"/>
  <c r="G20" i="83" a="1"/>
  <c r="G20" i="83"/>
  <c r="H20" i="83" a="1"/>
  <c r="H20" i="83"/>
  <c r="I20" i="83" a="1"/>
  <c r="I20" i="83"/>
  <c r="J20" i="83" a="1"/>
  <c r="J20" i="83"/>
  <c r="K20" i="83" a="1"/>
  <c r="K20" i="83"/>
  <c r="L20" i="83" a="1"/>
  <c r="L20" i="83"/>
  <c r="M20" i="83" a="1"/>
  <c r="M20" i="83"/>
  <c r="N20" i="83" a="1"/>
  <c r="N20" i="83"/>
  <c r="O20" i="83" a="1"/>
  <c r="O20" i="83"/>
  <c r="P20" i="83" a="1"/>
  <c r="P20" i="83"/>
  <c r="Q20" i="83" a="1"/>
  <c r="Q20" i="83"/>
  <c r="R20" i="83" a="1"/>
  <c r="R20" i="83"/>
  <c r="S20" i="83" a="1"/>
  <c r="S20" i="83"/>
  <c r="T20" i="83" a="1"/>
  <c r="T20" i="83"/>
  <c r="U20" i="83" a="1"/>
  <c r="U20" i="83"/>
  <c r="V20" i="83" a="1"/>
  <c r="V20" i="83"/>
  <c r="X20" i="83" a="1"/>
  <c r="X20" i="83"/>
  <c r="Y20" i="83" a="1"/>
  <c r="Y20" i="83"/>
  <c r="Z20" i="83" a="1"/>
  <c r="Z20" i="83"/>
  <c r="AA20" i="83" a="1"/>
  <c r="AA20" i="83"/>
  <c r="AB20" i="83" a="1"/>
  <c r="AB20" i="83"/>
  <c r="AC20" i="83" a="1"/>
  <c r="AC20" i="83"/>
  <c r="AD20" i="83" a="1"/>
  <c r="AD20" i="83"/>
  <c r="AE20" i="83" a="1"/>
  <c r="AE20" i="83"/>
  <c r="AF20" i="83" a="1"/>
  <c r="AF20" i="83"/>
  <c r="AG20" i="83" a="1"/>
  <c r="AG20" i="83"/>
  <c r="AH20" i="83" a="1"/>
  <c r="AH20" i="83"/>
  <c r="AI20" i="83" a="1"/>
  <c r="AI20" i="83"/>
  <c r="AJ20" i="83" a="1"/>
  <c r="AJ20" i="83"/>
  <c r="AK20" i="83" a="1"/>
  <c r="AK20" i="83"/>
  <c r="AL20" i="83" a="1"/>
  <c r="AL20" i="83"/>
  <c r="AM20" i="83" a="1"/>
  <c r="AM20" i="83"/>
  <c r="AN20" i="83" a="1"/>
  <c r="AN20" i="83"/>
  <c r="AO20" i="83" a="1"/>
  <c r="AO20" i="83"/>
  <c r="AQ20" i="83" a="1"/>
  <c r="AQ20" i="83"/>
  <c r="AR20" i="83" a="1"/>
  <c r="AR20" i="83"/>
  <c r="AS20" i="83" a="1"/>
  <c r="AS20" i="83"/>
  <c r="AT20" i="83" a="1"/>
  <c r="AT20" i="83"/>
  <c r="AU20" i="83" a="1"/>
  <c r="AU20" i="83"/>
  <c r="AV20" i="83" a="1"/>
  <c r="AV20" i="83"/>
  <c r="AW20" i="83" a="1"/>
  <c r="AW20" i="83"/>
  <c r="AX20" i="83" a="1"/>
  <c r="AX20" i="83"/>
  <c r="AY20" i="83" a="1"/>
  <c r="AY20" i="83"/>
  <c r="AZ20" i="83" a="1"/>
  <c r="AZ20" i="83"/>
  <c r="BA20" i="83" a="1"/>
  <c r="BA20" i="83"/>
  <c r="BB20" i="83" a="1"/>
  <c r="BB20" i="83"/>
  <c r="BC20" i="83" a="1"/>
  <c r="BC20" i="83"/>
  <c r="BD20" i="83" a="1"/>
  <c r="BD20" i="83"/>
  <c r="BE20" i="83" a="1"/>
  <c r="BE20" i="83"/>
  <c r="BF20" i="83" a="1"/>
  <c r="BF20" i="83"/>
  <c r="BG20" i="83" a="1"/>
  <c r="BG20" i="83"/>
  <c r="BH20" i="83" a="1"/>
  <c r="BH20" i="83"/>
  <c r="BJ20" i="83" a="1"/>
  <c r="BJ20" i="83"/>
  <c r="BK20" i="83" a="1"/>
  <c r="BK20" i="83"/>
  <c r="BL20" i="83" a="1"/>
  <c r="BL20" i="83"/>
  <c r="BM20" i="83" a="1"/>
  <c r="BM20" i="83"/>
  <c r="BN20" i="83" a="1"/>
  <c r="BN20" i="83"/>
  <c r="BO20" i="83" a="1"/>
  <c r="BO20" i="83"/>
  <c r="BP20" i="83" a="1"/>
  <c r="BP20" i="83"/>
  <c r="BQ20" i="83" a="1"/>
  <c r="BQ20" i="83"/>
  <c r="BR20" i="83" a="1"/>
  <c r="BR20" i="83"/>
  <c r="BS20" i="83" a="1"/>
  <c r="BS20" i="83"/>
  <c r="BT20" i="83" a="1"/>
  <c r="BT20" i="83"/>
  <c r="BU20" i="83" a="1"/>
  <c r="BU20" i="83"/>
  <c r="BV20" i="83" a="1"/>
  <c r="BV20" i="83"/>
  <c r="BW20" i="83" a="1"/>
  <c r="BW20" i="83"/>
  <c r="BX20" i="83" a="1"/>
  <c r="BX20" i="83"/>
  <c r="BY20" i="83" a="1"/>
  <c r="BY20" i="83"/>
  <c r="BZ20" i="83" a="1"/>
  <c r="BZ20" i="83"/>
  <c r="CA20" i="83" a="1"/>
  <c r="CA20" i="83"/>
  <c r="CC20" i="83" a="1"/>
  <c r="CC20" i="83"/>
  <c r="CD20" i="83" a="1"/>
  <c r="CD20" i="83"/>
  <c r="CE20" i="83" a="1"/>
  <c r="CE20" i="83"/>
  <c r="CF20" i="83" a="1"/>
  <c r="CF20" i="83"/>
  <c r="CG20" i="83" a="1"/>
  <c r="CG20" i="83"/>
  <c r="CH20" i="83" a="1"/>
  <c r="CH20" i="83"/>
  <c r="CI20" i="83" a="1"/>
  <c r="CI20" i="83"/>
  <c r="CJ20" i="83" a="1"/>
  <c r="CJ20" i="83"/>
  <c r="CK20" i="83" a="1"/>
  <c r="CK20" i="83"/>
  <c r="CL20" i="83" a="1"/>
  <c r="CL20" i="83"/>
  <c r="CM20" i="83" a="1"/>
  <c r="CM20" i="83"/>
  <c r="CN20" i="83" a="1"/>
  <c r="CN20" i="83"/>
  <c r="CO20" i="83" a="1"/>
  <c r="CO20" i="83"/>
  <c r="CP20" i="83" a="1"/>
  <c r="CP20" i="83"/>
  <c r="CQ20" i="83" a="1"/>
  <c r="CQ20" i="83"/>
  <c r="CR20" i="83" a="1"/>
  <c r="CR20" i="83"/>
  <c r="CS20" i="83" a="1"/>
  <c r="CS20" i="83"/>
  <c r="CT20" i="83" a="1"/>
  <c r="CT20" i="83"/>
  <c r="CV20" i="83" a="1"/>
  <c r="CV20" i="83"/>
  <c r="CW20" i="83" a="1"/>
  <c r="CW20" i="83"/>
  <c r="CX20" i="83" a="1"/>
  <c r="CX20" i="83"/>
  <c r="CY20" i="83" a="1"/>
  <c r="CY20" i="83"/>
  <c r="CZ20" i="83" a="1"/>
  <c r="CZ20" i="83"/>
  <c r="DA20" i="83" a="1"/>
  <c r="DA20" i="83"/>
  <c r="DB20" i="83" a="1"/>
  <c r="DB20" i="83"/>
  <c r="DC20" i="83" a="1"/>
  <c r="DC20" i="83"/>
  <c r="DD20" i="83" a="1"/>
  <c r="DD20" i="83"/>
  <c r="DE20" i="83" a="1"/>
  <c r="DE20" i="83"/>
  <c r="DF20" i="83" a="1"/>
  <c r="DF20" i="83"/>
  <c r="DG20" i="83" a="1"/>
  <c r="DG20" i="83"/>
  <c r="DH20" i="83" a="1"/>
  <c r="DH20" i="83"/>
  <c r="DI20" i="83" a="1"/>
  <c r="DI20" i="83"/>
  <c r="DJ20" i="83" a="1"/>
  <c r="DJ20" i="83"/>
  <c r="DK20" i="83" a="1"/>
  <c r="DK20" i="83"/>
  <c r="DL20" i="83" a="1"/>
  <c r="DL20" i="83"/>
  <c r="DM20" i="83" a="1"/>
  <c r="DM20" i="83"/>
  <c r="DO20" i="83" a="1"/>
  <c r="DO20" i="83"/>
  <c r="DP20" i="83" a="1"/>
  <c r="DP20" i="83"/>
  <c r="DQ20" i="83" a="1"/>
  <c r="DQ20" i="83"/>
  <c r="DR20" i="83" a="1"/>
  <c r="DR20" i="83"/>
  <c r="DS20" i="83" a="1"/>
  <c r="DS20" i="83"/>
  <c r="DT20" i="83" a="1"/>
  <c r="DT20" i="83"/>
  <c r="DU20" i="83" a="1"/>
  <c r="DU20" i="83"/>
  <c r="DV20" i="83" a="1"/>
  <c r="DV20" i="83"/>
  <c r="DW20" i="83" a="1"/>
  <c r="DW20" i="83"/>
  <c r="DX20" i="83" a="1"/>
  <c r="DX20" i="83"/>
  <c r="DY20" i="83" a="1"/>
  <c r="DY20" i="83"/>
  <c r="DZ20" i="83" a="1"/>
  <c r="DZ20" i="83"/>
  <c r="EA20" i="83" a="1"/>
  <c r="EA20" i="83"/>
  <c r="EB20" i="83" a="1"/>
  <c r="EB20" i="83"/>
  <c r="EC20" i="83" a="1"/>
  <c r="EC20" i="83"/>
  <c r="ED20" i="83" a="1"/>
  <c r="ED20" i="83"/>
  <c r="EE20" i="83" a="1"/>
  <c r="EE20" i="83"/>
  <c r="EF20" i="83" a="1"/>
  <c r="EF20" i="83"/>
  <c r="EH20" i="83" a="1"/>
  <c r="EH20" i="83"/>
  <c r="EI20" i="83" a="1"/>
  <c r="EI20" i="83"/>
  <c r="EJ20" i="83" a="1"/>
  <c r="EJ20" i="83"/>
  <c r="EK20" i="83" a="1"/>
  <c r="EK20" i="83"/>
  <c r="EL20" i="83" a="1"/>
  <c r="EL20" i="83"/>
  <c r="EM20" i="83" a="1"/>
  <c r="EM20" i="83"/>
  <c r="EN20" i="83" a="1"/>
  <c r="EN20" i="83"/>
  <c r="EO20" i="83" a="1"/>
  <c r="EO20" i="83"/>
  <c r="EP20" i="83" a="1"/>
  <c r="EP20" i="83"/>
  <c r="EQ20" i="83" a="1"/>
  <c r="EQ20" i="83"/>
  <c r="ER20" i="83" a="1"/>
  <c r="ER20" i="83"/>
  <c r="ES20" i="83" a="1"/>
  <c r="ES20" i="83"/>
  <c r="ET20" i="83" a="1"/>
  <c r="ET20" i="83"/>
  <c r="EU20" i="83" a="1"/>
  <c r="EU20" i="83"/>
  <c r="EV20" i="83" a="1"/>
  <c r="EV20" i="83"/>
  <c r="EW20" i="83" a="1"/>
  <c r="EW20" i="83"/>
  <c r="EX20" i="83" a="1"/>
  <c r="EX20" i="83"/>
  <c r="EY20" i="83" a="1"/>
  <c r="EY20" i="83"/>
  <c r="FA20" i="83" a="1"/>
  <c r="FA20" i="83"/>
  <c r="FB20" i="83" a="1"/>
  <c r="FB20" i="83"/>
  <c r="FC20" i="83" a="1"/>
  <c r="FC20" i="83"/>
  <c r="FD20" i="83" a="1"/>
  <c r="FD20" i="83"/>
  <c r="FE20" i="83" a="1"/>
  <c r="FE20" i="83"/>
  <c r="FF20" i="83" a="1"/>
  <c r="FF20" i="83"/>
  <c r="FG20" i="83" a="1"/>
  <c r="FG20" i="83"/>
  <c r="FH20" i="83" a="1"/>
  <c r="FH20" i="83"/>
  <c r="FI20" i="83" a="1"/>
  <c r="FI20" i="83"/>
  <c r="FJ20" i="83" a="1"/>
  <c r="FJ20" i="83"/>
  <c r="FK20" i="83" a="1"/>
  <c r="FK20" i="83"/>
  <c r="FL20" i="83" a="1"/>
  <c r="FL20" i="83"/>
  <c r="FM20" i="83" a="1"/>
  <c r="FM20" i="83"/>
  <c r="FN20" i="83" a="1"/>
  <c r="FN20" i="83"/>
  <c r="FO20" i="83" a="1"/>
  <c r="FO20" i="83"/>
  <c r="FP20" i="83" a="1"/>
  <c r="FP20" i="83"/>
  <c r="FQ20" i="83" a="1"/>
  <c r="FQ20" i="83"/>
  <c r="FS20" i="83" a="1"/>
  <c r="FS20" i="83"/>
  <c r="FT20" i="83" a="1"/>
  <c r="FT20" i="83"/>
  <c r="FU20" i="83" a="1"/>
  <c r="FU20" i="83"/>
  <c r="FV20" i="83" a="1"/>
  <c r="FV20" i="83"/>
  <c r="FW20" i="83" a="1"/>
  <c r="FW20" i="83"/>
  <c r="FX20" i="83" a="1"/>
  <c r="FX20" i="83"/>
  <c r="FY20" i="83" a="1"/>
  <c r="FY20" i="83"/>
  <c r="FZ20" i="83" a="1"/>
  <c r="FZ20" i="83"/>
  <c r="GA20" i="83" a="1"/>
  <c r="GA20" i="83"/>
  <c r="GB20" i="83" a="1"/>
  <c r="GB20" i="83"/>
  <c r="GC20" i="83" a="1"/>
  <c r="GC20" i="83"/>
  <c r="GD20" i="83" a="1"/>
  <c r="GD20" i="83"/>
  <c r="GE20" i="83" a="1"/>
  <c r="GE20" i="83"/>
  <c r="GF20" i="83" a="1"/>
  <c r="GF20" i="83"/>
  <c r="GG20" i="83" a="1"/>
  <c r="GG20" i="83"/>
  <c r="GH20" i="83" a="1"/>
  <c r="GH20" i="83"/>
  <c r="GI20" i="83" a="1"/>
  <c r="GI20" i="83"/>
  <c r="GK20" i="83" a="1"/>
  <c r="GK20" i="83"/>
  <c r="GL20" i="83" a="1"/>
  <c r="GL20" i="83"/>
  <c r="GM20" i="83" a="1"/>
  <c r="GM20" i="83"/>
  <c r="GN20" i="83" a="1"/>
  <c r="GN20" i="83"/>
  <c r="GO20" i="83" a="1"/>
  <c r="GO20" i="83"/>
  <c r="GP20" i="83" a="1"/>
  <c r="GP20" i="83"/>
  <c r="GQ20" i="83" a="1"/>
  <c r="GQ20" i="83"/>
  <c r="GR20" i="83" a="1"/>
  <c r="GR20" i="83"/>
  <c r="GS20" i="83" a="1"/>
  <c r="GS20" i="83"/>
  <c r="GT20" i="83" a="1"/>
  <c r="GT20" i="83"/>
  <c r="GU20" i="83" a="1"/>
  <c r="GU20" i="83"/>
  <c r="GV20" i="83" a="1"/>
  <c r="GV20" i="83"/>
  <c r="GW20" i="83" a="1"/>
  <c r="GW20" i="83"/>
  <c r="GX20" i="83" a="1"/>
  <c r="GX20" i="83"/>
  <c r="GY20" i="83" a="1"/>
  <c r="GY20" i="83"/>
  <c r="GZ20" i="83" a="1"/>
  <c r="GZ20" i="83"/>
  <c r="HA20" i="83" a="1"/>
  <c r="HA20" i="83"/>
  <c r="E21" i="83" a="1"/>
  <c r="E21" i="83"/>
  <c r="F21" i="83" a="1"/>
  <c r="F21" i="83"/>
  <c r="G21" i="83" a="1"/>
  <c r="G21" i="83"/>
  <c r="H21" i="83" a="1"/>
  <c r="H21" i="83"/>
  <c r="I21" i="83" a="1"/>
  <c r="I21" i="83"/>
  <c r="J21" i="83" a="1"/>
  <c r="J21" i="83"/>
  <c r="K21" i="83" a="1"/>
  <c r="K21" i="83"/>
  <c r="L21" i="83" a="1"/>
  <c r="L21" i="83"/>
  <c r="M21" i="83" a="1"/>
  <c r="M21" i="83"/>
  <c r="N21" i="83" a="1"/>
  <c r="N21" i="83"/>
  <c r="O21" i="83" a="1"/>
  <c r="O21" i="83"/>
  <c r="P21" i="83" a="1"/>
  <c r="P21" i="83"/>
  <c r="Q21" i="83" a="1"/>
  <c r="Q21" i="83"/>
  <c r="R21" i="83" a="1"/>
  <c r="R21" i="83"/>
  <c r="S21" i="83" a="1"/>
  <c r="S21" i="83"/>
  <c r="T21" i="83" a="1"/>
  <c r="T21" i="83"/>
  <c r="U21" i="83" a="1"/>
  <c r="U21" i="83"/>
  <c r="V21" i="83" a="1"/>
  <c r="V21" i="83"/>
  <c r="X21" i="83" a="1"/>
  <c r="X21" i="83"/>
  <c r="Y21" i="83" a="1"/>
  <c r="Y21" i="83"/>
  <c r="Z21" i="83" a="1"/>
  <c r="Z21" i="83"/>
  <c r="AA21" i="83" a="1"/>
  <c r="AA21" i="83"/>
  <c r="AB21" i="83" a="1"/>
  <c r="AB21" i="83"/>
  <c r="AC21" i="83" a="1"/>
  <c r="AC21" i="83"/>
  <c r="AD21" i="83" a="1"/>
  <c r="AD21" i="83"/>
  <c r="AE21" i="83" a="1"/>
  <c r="AE21" i="83"/>
  <c r="AF21" i="83" a="1"/>
  <c r="AF21" i="83"/>
  <c r="AG21" i="83" a="1"/>
  <c r="AG21" i="83"/>
  <c r="AH21" i="83" a="1"/>
  <c r="AH21" i="83"/>
  <c r="AI21" i="83" a="1"/>
  <c r="AI21" i="83"/>
  <c r="AJ21" i="83" a="1"/>
  <c r="AJ21" i="83"/>
  <c r="AK21" i="83" a="1"/>
  <c r="AK21" i="83"/>
  <c r="AL21" i="83" a="1"/>
  <c r="AL21" i="83"/>
  <c r="AM21" i="83" a="1"/>
  <c r="AM21" i="83"/>
  <c r="AN21" i="83" a="1"/>
  <c r="AN21" i="83"/>
  <c r="AO21" i="83" a="1"/>
  <c r="AO21" i="83"/>
  <c r="AQ21" i="83" a="1"/>
  <c r="AQ21" i="83"/>
  <c r="AR21" i="83" a="1"/>
  <c r="AR21" i="83"/>
  <c r="AS21" i="83" a="1"/>
  <c r="AS21" i="83"/>
  <c r="AT21" i="83" a="1"/>
  <c r="AT21" i="83"/>
  <c r="AU21" i="83" a="1"/>
  <c r="AU21" i="83"/>
  <c r="AV21" i="83" a="1"/>
  <c r="AV21" i="83"/>
  <c r="AW21" i="83" a="1"/>
  <c r="AW21" i="83"/>
  <c r="AX21" i="83" a="1"/>
  <c r="AX21" i="83"/>
  <c r="AY21" i="83" a="1"/>
  <c r="AY21" i="83"/>
  <c r="AZ21" i="83" a="1"/>
  <c r="AZ21" i="83"/>
  <c r="BA21" i="83" a="1"/>
  <c r="BA21" i="83"/>
  <c r="BB21" i="83" a="1"/>
  <c r="BB21" i="83"/>
  <c r="BC21" i="83" a="1"/>
  <c r="BC21" i="83"/>
  <c r="BD21" i="83" a="1"/>
  <c r="BD21" i="83"/>
  <c r="BE21" i="83" a="1"/>
  <c r="BE21" i="83"/>
  <c r="BF21" i="83" a="1"/>
  <c r="BF21" i="83"/>
  <c r="BG21" i="83" a="1"/>
  <c r="BG21" i="83"/>
  <c r="BH21" i="83" a="1"/>
  <c r="BH21" i="83"/>
  <c r="BJ21" i="83" a="1"/>
  <c r="BJ21" i="83"/>
  <c r="BK21" i="83" a="1"/>
  <c r="BK21" i="83"/>
  <c r="BL21" i="83" a="1"/>
  <c r="BL21" i="83"/>
  <c r="BM21" i="83" a="1"/>
  <c r="BM21" i="83"/>
  <c r="BN21" i="83" a="1"/>
  <c r="BN21" i="83"/>
  <c r="BO21" i="83" a="1"/>
  <c r="BO21" i="83"/>
  <c r="BP21" i="83" a="1"/>
  <c r="BP21" i="83"/>
  <c r="BQ21" i="83" a="1"/>
  <c r="BQ21" i="83"/>
  <c r="BR21" i="83" a="1"/>
  <c r="BR21" i="83"/>
  <c r="BS21" i="83" a="1"/>
  <c r="BS21" i="83"/>
  <c r="BT21" i="83" a="1"/>
  <c r="BT21" i="83"/>
  <c r="BU21" i="83" a="1"/>
  <c r="BU21" i="83"/>
  <c r="BV21" i="83" a="1"/>
  <c r="BV21" i="83"/>
  <c r="BW21" i="83" a="1"/>
  <c r="BW21" i="83"/>
  <c r="BX21" i="83" a="1"/>
  <c r="BX21" i="83"/>
  <c r="BY21" i="83" a="1"/>
  <c r="BY21" i="83"/>
  <c r="BZ21" i="83" a="1"/>
  <c r="BZ21" i="83"/>
  <c r="CA21" i="83" a="1"/>
  <c r="CA21" i="83"/>
  <c r="CC21" i="83" a="1"/>
  <c r="CC21" i="83"/>
  <c r="CD21" i="83" a="1"/>
  <c r="CD21" i="83"/>
  <c r="CE21" i="83" a="1"/>
  <c r="CE21" i="83"/>
  <c r="CF21" i="83" a="1"/>
  <c r="CF21" i="83"/>
  <c r="CG21" i="83" a="1"/>
  <c r="CG21" i="83"/>
  <c r="CH21" i="83" a="1"/>
  <c r="CH21" i="83"/>
  <c r="CI21" i="83" a="1"/>
  <c r="CI21" i="83"/>
  <c r="CJ21" i="83" a="1"/>
  <c r="CJ21" i="83"/>
  <c r="CK21" i="83" a="1"/>
  <c r="CK21" i="83"/>
  <c r="CL21" i="83" a="1"/>
  <c r="CL21" i="83"/>
  <c r="CM21" i="83" a="1"/>
  <c r="CM21" i="83"/>
  <c r="CN21" i="83" a="1"/>
  <c r="CN21" i="83"/>
  <c r="CO21" i="83" a="1"/>
  <c r="CO21" i="83"/>
  <c r="CP21" i="83" a="1"/>
  <c r="CP21" i="83"/>
  <c r="CQ21" i="83" a="1"/>
  <c r="CQ21" i="83"/>
  <c r="CR21" i="83" a="1"/>
  <c r="CR21" i="83"/>
  <c r="CS21" i="83" a="1"/>
  <c r="CS21" i="83"/>
  <c r="CT21" i="83" a="1"/>
  <c r="CT21" i="83"/>
  <c r="CV21" i="83" a="1"/>
  <c r="CV21" i="83"/>
  <c r="CW21" i="83" a="1"/>
  <c r="CW21" i="83"/>
  <c r="CX21" i="83" a="1"/>
  <c r="CX21" i="83"/>
  <c r="CY21" i="83" a="1"/>
  <c r="CY21" i="83"/>
  <c r="CZ21" i="83" a="1"/>
  <c r="CZ21" i="83"/>
  <c r="DA21" i="83" a="1"/>
  <c r="DA21" i="83"/>
  <c r="DB21" i="83" a="1"/>
  <c r="DB21" i="83"/>
  <c r="DC21" i="83" a="1"/>
  <c r="DC21" i="83"/>
  <c r="DD21" i="83" a="1"/>
  <c r="DD21" i="83"/>
  <c r="DE21" i="83" a="1"/>
  <c r="DE21" i="83"/>
  <c r="DF21" i="83" a="1"/>
  <c r="DF21" i="83"/>
  <c r="DG21" i="83" a="1"/>
  <c r="DG21" i="83"/>
  <c r="DH21" i="83" a="1"/>
  <c r="DH21" i="83"/>
  <c r="DI21" i="83" a="1"/>
  <c r="DI21" i="83"/>
  <c r="DJ21" i="83" a="1"/>
  <c r="DJ21" i="83"/>
  <c r="DK21" i="83" a="1"/>
  <c r="DK21" i="83"/>
  <c r="DL21" i="83" a="1"/>
  <c r="DL21" i="83"/>
  <c r="DM21" i="83" a="1"/>
  <c r="DM21" i="83"/>
  <c r="DO21" i="83" a="1"/>
  <c r="DO21" i="83"/>
  <c r="DP21" i="83" a="1"/>
  <c r="DP21" i="83"/>
  <c r="DQ21" i="83" a="1"/>
  <c r="DQ21" i="83"/>
  <c r="DR21" i="83" a="1"/>
  <c r="DR21" i="83"/>
  <c r="DS21" i="83" a="1"/>
  <c r="DS21" i="83"/>
  <c r="DT21" i="83" a="1"/>
  <c r="DT21" i="83"/>
  <c r="DU21" i="83" a="1"/>
  <c r="DU21" i="83"/>
  <c r="DV21" i="83" a="1"/>
  <c r="DV21" i="83"/>
  <c r="DW21" i="83" a="1"/>
  <c r="DW21" i="83"/>
  <c r="DX21" i="83" a="1"/>
  <c r="DX21" i="83"/>
  <c r="DY21" i="83" a="1"/>
  <c r="DY21" i="83"/>
  <c r="DZ21" i="83" a="1"/>
  <c r="DZ21" i="83"/>
  <c r="EA21" i="83" a="1"/>
  <c r="EA21" i="83"/>
  <c r="EB21" i="83" a="1"/>
  <c r="EB21" i="83"/>
  <c r="EC21" i="83" a="1"/>
  <c r="EC21" i="83"/>
  <c r="ED21" i="83" a="1"/>
  <c r="ED21" i="83"/>
  <c r="EE21" i="83" a="1"/>
  <c r="EE21" i="83"/>
  <c r="EF21" i="83" a="1"/>
  <c r="EF21" i="83"/>
  <c r="EH21" i="83" a="1"/>
  <c r="EH21" i="83"/>
  <c r="EI21" i="83" a="1"/>
  <c r="EI21" i="83"/>
  <c r="EJ21" i="83" a="1"/>
  <c r="EJ21" i="83"/>
  <c r="EK21" i="83" a="1"/>
  <c r="EK21" i="83"/>
  <c r="EL21" i="83" a="1"/>
  <c r="EL21" i="83"/>
  <c r="EM21" i="83" a="1"/>
  <c r="EM21" i="83"/>
  <c r="EN21" i="83" a="1"/>
  <c r="EN21" i="83"/>
  <c r="EO21" i="83" a="1"/>
  <c r="EO21" i="83"/>
  <c r="EP21" i="83" a="1"/>
  <c r="EP21" i="83"/>
  <c r="EQ21" i="83" a="1"/>
  <c r="EQ21" i="83"/>
  <c r="ER21" i="83" a="1"/>
  <c r="ER21" i="83"/>
  <c r="ES21" i="83" a="1"/>
  <c r="ES21" i="83"/>
  <c r="ET21" i="83" a="1"/>
  <c r="ET21" i="83"/>
  <c r="EU21" i="83" a="1"/>
  <c r="EU21" i="83"/>
  <c r="EV21" i="83" a="1"/>
  <c r="EV21" i="83"/>
  <c r="EW21" i="83" a="1"/>
  <c r="EW21" i="83"/>
  <c r="EX21" i="83" a="1"/>
  <c r="EX21" i="83"/>
  <c r="EY21" i="83" a="1"/>
  <c r="EY21" i="83"/>
  <c r="FA21" i="83" a="1"/>
  <c r="FA21" i="83"/>
  <c r="FB21" i="83" a="1"/>
  <c r="FB21" i="83"/>
  <c r="FC21" i="83" a="1"/>
  <c r="FC21" i="83"/>
  <c r="FD21" i="83" a="1"/>
  <c r="FD21" i="83"/>
  <c r="FE21" i="83" a="1"/>
  <c r="FE21" i="83"/>
  <c r="FF21" i="83" a="1"/>
  <c r="FF21" i="83"/>
  <c r="FG21" i="83" a="1"/>
  <c r="FG21" i="83"/>
  <c r="FH21" i="83" a="1"/>
  <c r="FH21" i="83"/>
  <c r="FI21" i="83" a="1"/>
  <c r="FI21" i="83"/>
  <c r="FJ21" i="83" a="1"/>
  <c r="FJ21" i="83"/>
  <c r="FK21" i="83" a="1"/>
  <c r="FK21" i="83"/>
  <c r="FL21" i="83" a="1"/>
  <c r="FL21" i="83"/>
  <c r="FM21" i="83" a="1"/>
  <c r="FM21" i="83"/>
  <c r="FN21" i="83" a="1"/>
  <c r="FN21" i="83"/>
  <c r="FO21" i="83" a="1"/>
  <c r="FO21" i="83"/>
  <c r="FP21" i="83" a="1"/>
  <c r="FP21" i="83"/>
  <c r="FQ21" i="83" a="1"/>
  <c r="FQ21" i="83"/>
  <c r="FS21" i="83" a="1"/>
  <c r="FS21" i="83"/>
  <c r="FT21" i="83" a="1"/>
  <c r="FT21" i="83"/>
  <c r="FU21" i="83" a="1"/>
  <c r="FU21" i="83"/>
  <c r="FV21" i="83" a="1"/>
  <c r="FV21" i="83"/>
  <c r="FW21" i="83" a="1"/>
  <c r="FW21" i="83"/>
  <c r="FX21" i="83" a="1"/>
  <c r="FX21" i="83"/>
  <c r="FY21" i="83" a="1"/>
  <c r="FY21" i="83"/>
  <c r="FZ21" i="83" a="1"/>
  <c r="FZ21" i="83"/>
  <c r="GA21" i="83" a="1"/>
  <c r="GA21" i="83"/>
  <c r="GB21" i="83" a="1"/>
  <c r="GB21" i="83"/>
  <c r="GC21" i="83" a="1"/>
  <c r="GC21" i="83"/>
  <c r="GD21" i="83" a="1"/>
  <c r="GD21" i="83"/>
  <c r="GE21" i="83" a="1"/>
  <c r="GE21" i="83"/>
  <c r="GF21" i="83" a="1"/>
  <c r="GF21" i="83"/>
  <c r="GG21" i="83" a="1"/>
  <c r="GG21" i="83"/>
  <c r="GH21" i="83" a="1"/>
  <c r="GH21" i="83"/>
  <c r="GI21" i="83" a="1"/>
  <c r="GI21" i="83"/>
  <c r="GK21" i="83" a="1"/>
  <c r="GK21" i="83"/>
  <c r="GL21" i="83" a="1"/>
  <c r="GL21" i="83"/>
  <c r="GM21" i="83" a="1"/>
  <c r="GM21" i="83"/>
  <c r="GN21" i="83" a="1"/>
  <c r="GN21" i="83"/>
  <c r="GO21" i="83" a="1"/>
  <c r="GO21" i="83"/>
  <c r="GP21" i="83" a="1"/>
  <c r="GP21" i="83"/>
  <c r="GQ21" i="83" a="1"/>
  <c r="GQ21" i="83"/>
  <c r="GR21" i="83" a="1"/>
  <c r="GR21" i="83"/>
  <c r="GS21" i="83" a="1"/>
  <c r="GS21" i="83"/>
  <c r="GT21" i="83" a="1"/>
  <c r="GT21" i="83"/>
  <c r="GU21" i="83" a="1"/>
  <c r="GU21" i="83"/>
  <c r="GV21" i="83" a="1"/>
  <c r="GV21" i="83"/>
  <c r="GW21" i="83" a="1"/>
  <c r="GW21" i="83"/>
  <c r="GX21" i="83" a="1"/>
  <c r="GX21" i="83"/>
  <c r="GY21" i="83" a="1"/>
  <c r="GY21" i="83"/>
  <c r="GZ21" i="83" a="1"/>
  <c r="GZ21" i="83"/>
  <c r="HA21" i="83" a="1"/>
  <c r="HA21" i="83"/>
  <c r="E22" i="83" a="1"/>
  <c r="E22" i="83"/>
  <c r="F22" i="83" a="1"/>
  <c r="F22" i="83"/>
  <c r="G22" i="83" a="1"/>
  <c r="G22" i="83"/>
  <c r="H22" i="83" a="1"/>
  <c r="H22" i="83"/>
  <c r="I22" i="83" a="1"/>
  <c r="I22" i="83"/>
  <c r="J22" i="83" a="1"/>
  <c r="J22" i="83"/>
  <c r="K22" i="83" a="1"/>
  <c r="K22" i="83"/>
  <c r="L22" i="83" a="1"/>
  <c r="L22" i="83"/>
  <c r="M22" i="83" a="1"/>
  <c r="M22" i="83"/>
  <c r="N22" i="83" a="1"/>
  <c r="N22" i="83"/>
  <c r="O22" i="83" a="1"/>
  <c r="O22" i="83"/>
  <c r="P22" i="83" a="1"/>
  <c r="P22" i="83"/>
  <c r="Q22" i="83" a="1"/>
  <c r="Q22" i="83"/>
  <c r="R22" i="83" a="1"/>
  <c r="R22" i="83"/>
  <c r="S22" i="83" a="1"/>
  <c r="S22" i="83"/>
  <c r="T22" i="83" a="1"/>
  <c r="T22" i="83"/>
  <c r="U22" i="83" a="1"/>
  <c r="U22" i="83"/>
  <c r="V22" i="83" a="1"/>
  <c r="V22" i="83"/>
  <c r="X22" i="83" a="1"/>
  <c r="X22" i="83"/>
  <c r="Y22" i="83" a="1"/>
  <c r="Y22" i="83"/>
  <c r="Z22" i="83" a="1"/>
  <c r="Z22" i="83"/>
  <c r="AA22" i="83" a="1"/>
  <c r="AA22" i="83"/>
  <c r="AB22" i="83" a="1"/>
  <c r="AB22" i="83"/>
  <c r="AC22" i="83" a="1"/>
  <c r="AC22" i="83"/>
  <c r="AD22" i="83" a="1"/>
  <c r="AD22" i="83"/>
  <c r="AE22" i="83" a="1"/>
  <c r="AE22" i="83"/>
  <c r="AF22" i="83" a="1"/>
  <c r="AF22" i="83"/>
  <c r="AG22" i="83" a="1"/>
  <c r="AG22" i="83"/>
  <c r="AH22" i="83" a="1"/>
  <c r="AH22" i="83"/>
  <c r="AI22" i="83" a="1"/>
  <c r="AI22" i="83"/>
  <c r="AJ22" i="83" a="1"/>
  <c r="AJ22" i="83"/>
  <c r="AK22" i="83" a="1"/>
  <c r="AK22" i="83"/>
  <c r="AL22" i="83" a="1"/>
  <c r="AL22" i="83"/>
  <c r="AM22" i="83" a="1"/>
  <c r="AM22" i="83"/>
  <c r="AN22" i="83" a="1"/>
  <c r="AN22" i="83"/>
  <c r="AO22" i="83" a="1"/>
  <c r="AO22" i="83"/>
  <c r="AQ22" i="83" a="1"/>
  <c r="AQ22" i="83"/>
  <c r="AR22" i="83" a="1"/>
  <c r="AR22" i="83"/>
  <c r="AS22" i="83" a="1"/>
  <c r="AS22" i="83"/>
  <c r="AT22" i="83" a="1"/>
  <c r="AT22" i="83"/>
  <c r="AU22" i="83" a="1"/>
  <c r="AU22" i="83"/>
  <c r="AV22" i="83" a="1"/>
  <c r="AV22" i="83"/>
  <c r="AW22" i="83" a="1"/>
  <c r="AW22" i="83"/>
  <c r="AX22" i="83" a="1"/>
  <c r="AX22" i="83"/>
  <c r="AY22" i="83" a="1"/>
  <c r="AY22" i="83"/>
  <c r="AZ22" i="83" a="1"/>
  <c r="AZ22" i="83"/>
  <c r="BA22" i="83" a="1"/>
  <c r="BA22" i="83"/>
  <c r="BB22" i="83" a="1"/>
  <c r="BB22" i="83"/>
  <c r="BC22" i="83" a="1"/>
  <c r="BC22" i="83"/>
  <c r="BD22" i="83" a="1"/>
  <c r="BD22" i="83"/>
  <c r="BE22" i="83" a="1"/>
  <c r="BE22" i="83"/>
  <c r="BF22" i="83" a="1"/>
  <c r="BF22" i="83"/>
  <c r="BG22" i="83" a="1"/>
  <c r="BG22" i="83"/>
  <c r="BH22" i="83" a="1"/>
  <c r="BH22" i="83"/>
  <c r="BJ22" i="83" a="1"/>
  <c r="BJ22" i="83"/>
  <c r="BK22" i="83" a="1"/>
  <c r="BK22" i="83"/>
  <c r="BL22" i="83" a="1"/>
  <c r="BL22" i="83"/>
  <c r="BM22" i="83" a="1"/>
  <c r="BM22" i="83"/>
  <c r="BN22" i="83" a="1"/>
  <c r="BN22" i="83"/>
  <c r="BO22" i="83" a="1"/>
  <c r="BO22" i="83"/>
  <c r="BP22" i="83" a="1"/>
  <c r="BP22" i="83"/>
  <c r="BQ22" i="83" a="1"/>
  <c r="BQ22" i="83"/>
  <c r="BR22" i="83" a="1"/>
  <c r="BR22" i="83"/>
  <c r="BS22" i="83" a="1"/>
  <c r="BS22" i="83"/>
  <c r="BT22" i="83" a="1"/>
  <c r="BT22" i="83"/>
  <c r="BU22" i="83" a="1"/>
  <c r="BU22" i="83"/>
  <c r="BV22" i="83" a="1"/>
  <c r="BV22" i="83"/>
  <c r="BW22" i="83" a="1"/>
  <c r="BW22" i="83"/>
  <c r="BX22" i="83" a="1"/>
  <c r="BX22" i="83"/>
  <c r="BY22" i="83" a="1"/>
  <c r="BY22" i="83"/>
  <c r="BZ22" i="83" a="1"/>
  <c r="BZ22" i="83"/>
  <c r="CA22" i="83" a="1"/>
  <c r="CA22" i="83"/>
  <c r="CC22" i="83" a="1"/>
  <c r="CC22" i="83"/>
  <c r="CD22" i="83" a="1"/>
  <c r="CD22" i="83"/>
  <c r="CE22" i="83" a="1"/>
  <c r="CE22" i="83"/>
  <c r="CF22" i="83" a="1"/>
  <c r="CF22" i="83"/>
  <c r="CG22" i="83" a="1"/>
  <c r="CG22" i="83"/>
  <c r="CH22" i="83" a="1"/>
  <c r="CH22" i="83"/>
  <c r="CI22" i="83" a="1"/>
  <c r="CI22" i="83"/>
  <c r="CJ22" i="83" a="1"/>
  <c r="CJ22" i="83"/>
  <c r="CK22" i="83" a="1"/>
  <c r="CK22" i="83"/>
  <c r="CL22" i="83" a="1"/>
  <c r="CL22" i="83"/>
  <c r="CM22" i="83" a="1"/>
  <c r="CM22" i="83"/>
  <c r="CN22" i="83" a="1"/>
  <c r="CN22" i="83"/>
  <c r="CO22" i="83" a="1"/>
  <c r="CO22" i="83"/>
  <c r="CP22" i="83" a="1"/>
  <c r="CP22" i="83"/>
  <c r="CQ22" i="83" a="1"/>
  <c r="CQ22" i="83"/>
  <c r="CR22" i="83" a="1"/>
  <c r="CR22" i="83"/>
  <c r="CS22" i="83" a="1"/>
  <c r="CS22" i="83"/>
  <c r="CT22" i="83" a="1"/>
  <c r="CT22" i="83"/>
  <c r="CV22" i="83" a="1"/>
  <c r="CV22" i="83"/>
  <c r="CW22" i="83" a="1"/>
  <c r="CW22" i="83"/>
  <c r="CX22" i="83" a="1"/>
  <c r="CX22" i="83"/>
  <c r="CY22" i="83" a="1"/>
  <c r="CY22" i="83"/>
  <c r="CZ22" i="83" a="1"/>
  <c r="CZ22" i="83"/>
  <c r="DA22" i="83" a="1"/>
  <c r="DA22" i="83"/>
  <c r="DB22" i="83" a="1"/>
  <c r="DB22" i="83"/>
  <c r="DC22" i="83" a="1"/>
  <c r="DC22" i="83"/>
  <c r="DD22" i="83" a="1"/>
  <c r="DD22" i="83"/>
  <c r="DE22" i="83" a="1"/>
  <c r="DE22" i="83"/>
  <c r="DF22" i="83" a="1"/>
  <c r="DF22" i="83"/>
  <c r="DG22" i="83" a="1"/>
  <c r="DG22" i="83"/>
  <c r="DH22" i="83" a="1"/>
  <c r="DH22" i="83"/>
  <c r="DI22" i="83" a="1"/>
  <c r="DI22" i="83"/>
  <c r="DJ22" i="83" a="1"/>
  <c r="DJ22" i="83"/>
  <c r="DK22" i="83" a="1"/>
  <c r="DK22" i="83"/>
  <c r="DL22" i="83" a="1"/>
  <c r="DL22" i="83"/>
  <c r="DM22" i="83" a="1"/>
  <c r="DM22" i="83"/>
  <c r="DO22" i="83" a="1"/>
  <c r="DO22" i="83"/>
  <c r="DP22" i="83" a="1"/>
  <c r="DP22" i="83"/>
  <c r="DQ22" i="83" a="1"/>
  <c r="DQ22" i="83"/>
  <c r="DR22" i="83" a="1"/>
  <c r="DR22" i="83"/>
  <c r="DS22" i="83" a="1"/>
  <c r="DS22" i="83"/>
  <c r="DT22" i="83" a="1"/>
  <c r="DT22" i="83"/>
  <c r="DU22" i="83" a="1"/>
  <c r="DU22" i="83"/>
  <c r="DV22" i="83" a="1"/>
  <c r="DV22" i="83"/>
  <c r="DW22" i="83" a="1"/>
  <c r="DW22" i="83"/>
  <c r="DX22" i="83" a="1"/>
  <c r="DX22" i="83"/>
  <c r="DY22" i="83" a="1"/>
  <c r="DY22" i="83"/>
  <c r="DZ22" i="83" a="1"/>
  <c r="DZ22" i="83"/>
  <c r="EA22" i="83" a="1"/>
  <c r="EA22" i="83"/>
  <c r="EB22" i="83" a="1"/>
  <c r="EB22" i="83"/>
  <c r="EC22" i="83" a="1"/>
  <c r="EC22" i="83"/>
  <c r="ED22" i="83" a="1"/>
  <c r="ED22" i="83"/>
  <c r="EE22" i="83" a="1"/>
  <c r="EE22" i="83"/>
  <c r="EF22" i="83" a="1"/>
  <c r="EF22" i="83"/>
  <c r="EH22" i="83" a="1"/>
  <c r="EH22" i="83"/>
  <c r="EI22" i="83" a="1"/>
  <c r="EI22" i="83"/>
  <c r="EJ22" i="83" a="1"/>
  <c r="EJ22" i="83"/>
  <c r="EK22" i="83" a="1"/>
  <c r="EK22" i="83"/>
  <c r="EL22" i="83" a="1"/>
  <c r="EL22" i="83"/>
  <c r="EM22" i="83" a="1"/>
  <c r="EM22" i="83"/>
  <c r="EN22" i="83" a="1"/>
  <c r="EN22" i="83"/>
  <c r="EO22" i="83" a="1"/>
  <c r="EO22" i="83"/>
  <c r="EP22" i="83" a="1"/>
  <c r="EP22" i="83"/>
  <c r="EQ22" i="83" a="1"/>
  <c r="EQ22" i="83"/>
  <c r="ER22" i="83" a="1"/>
  <c r="ER22" i="83"/>
  <c r="ES22" i="83" a="1"/>
  <c r="ES22" i="83"/>
  <c r="ET22" i="83" a="1"/>
  <c r="ET22" i="83"/>
  <c r="EU22" i="83" a="1"/>
  <c r="EU22" i="83"/>
  <c r="EV22" i="83" a="1"/>
  <c r="EV22" i="83"/>
  <c r="EW22" i="83" a="1"/>
  <c r="EW22" i="83"/>
  <c r="EX22" i="83" a="1"/>
  <c r="EX22" i="83"/>
  <c r="EY22" i="83" a="1"/>
  <c r="EY22" i="83"/>
  <c r="FA22" i="83" a="1"/>
  <c r="FA22" i="83"/>
  <c r="FB22" i="83" a="1"/>
  <c r="FB22" i="83"/>
  <c r="FC22" i="83" a="1"/>
  <c r="FC22" i="83"/>
  <c r="FD22" i="83" a="1"/>
  <c r="FD22" i="83"/>
  <c r="FE22" i="83" a="1"/>
  <c r="FE22" i="83"/>
  <c r="FF22" i="83" a="1"/>
  <c r="FF22" i="83"/>
  <c r="FG22" i="83" a="1"/>
  <c r="FG22" i="83"/>
  <c r="FH22" i="83" a="1"/>
  <c r="FH22" i="83"/>
  <c r="FI22" i="83" a="1"/>
  <c r="FI22" i="83"/>
  <c r="FJ22" i="83" a="1"/>
  <c r="FJ22" i="83"/>
  <c r="FK22" i="83" a="1"/>
  <c r="FK22" i="83"/>
  <c r="FL22" i="83" a="1"/>
  <c r="FL22" i="83"/>
  <c r="FM22" i="83" a="1"/>
  <c r="FM22" i="83"/>
  <c r="FN22" i="83" a="1"/>
  <c r="FN22" i="83"/>
  <c r="FO22" i="83" a="1"/>
  <c r="FO22" i="83"/>
  <c r="FP22" i="83" a="1"/>
  <c r="FP22" i="83"/>
  <c r="FQ22" i="83" a="1"/>
  <c r="FQ22" i="83"/>
  <c r="FS22" i="83" a="1"/>
  <c r="FS22" i="83"/>
  <c r="FT22" i="83" a="1"/>
  <c r="FT22" i="83"/>
  <c r="FU22" i="83" a="1"/>
  <c r="FU22" i="83"/>
  <c r="FV22" i="83" a="1"/>
  <c r="FV22" i="83"/>
  <c r="FW22" i="83" a="1"/>
  <c r="FW22" i="83"/>
  <c r="FX22" i="83" a="1"/>
  <c r="FX22" i="83"/>
  <c r="FY22" i="83" a="1"/>
  <c r="FY22" i="83"/>
  <c r="FZ22" i="83" a="1"/>
  <c r="FZ22" i="83"/>
  <c r="GA22" i="83" a="1"/>
  <c r="GA22" i="83"/>
  <c r="GB22" i="83" a="1"/>
  <c r="GB22" i="83"/>
  <c r="GC22" i="83" a="1"/>
  <c r="GC22" i="83"/>
  <c r="GD22" i="83" a="1"/>
  <c r="GD22" i="83"/>
  <c r="GE22" i="83" a="1"/>
  <c r="GE22" i="83"/>
  <c r="GF22" i="83" a="1"/>
  <c r="GF22" i="83"/>
  <c r="GG22" i="83" a="1"/>
  <c r="GG22" i="83"/>
  <c r="GH22" i="83" a="1"/>
  <c r="GH22" i="83"/>
  <c r="GI22" i="83" a="1"/>
  <c r="GI22" i="83"/>
  <c r="GK22" i="83" a="1"/>
  <c r="GK22" i="83"/>
  <c r="GL22" i="83" a="1"/>
  <c r="GL22" i="83"/>
  <c r="GM22" i="83" a="1"/>
  <c r="GM22" i="83"/>
  <c r="GN22" i="83" a="1"/>
  <c r="GN22" i="83"/>
  <c r="GO22" i="83" a="1"/>
  <c r="GO22" i="83"/>
  <c r="GP22" i="83" a="1"/>
  <c r="GP22" i="83"/>
  <c r="GQ22" i="83" a="1"/>
  <c r="GQ22" i="83"/>
  <c r="GR22" i="83" a="1"/>
  <c r="GR22" i="83"/>
  <c r="GS22" i="83" a="1"/>
  <c r="GS22" i="83"/>
  <c r="GT22" i="83" a="1"/>
  <c r="GT22" i="83"/>
  <c r="GU22" i="83" a="1"/>
  <c r="GU22" i="83"/>
  <c r="GV22" i="83" a="1"/>
  <c r="GV22" i="83"/>
  <c r="GW22" i="83" a="1"/>
  <c r="GW22" i="83"/>
  <c r="GX22" i="83" a="1"/>
  <c r="GX22" i="83"/>
  <c r="GY22" i="83" a="1"/>
  <c r="GY22" i="83"/>
  <c r="GZ22" i="83" a="1"/>
  <c r="GZ22" i="83"/>
  <c r="HA22" i="83" a="1"/>
  <c r="HA22" i="83"/>
  <c r="E23" i="83" a="1"/>
  <c r="E23" i="83"/>
  <c r="F23" i="83" a="1"/>
  <c r="F23" i="83"/>
  <c r="G23" i="83" a="1"/>
  <c r="G23" i="83"/>
  <c r="H23" i="83" a="1"/>
  <c r="H23" i="83"/>
  <c r="I23" i="83" a="1"/>
  <c r="I23" i="83"/>
  <c r="J23" i="83" a="1"/>
  <c r="J23" i="83"/>
  <c r="K23" i="83" a="1"/>
  <c r="K23" i="83"/>
  <c r="L23" i="83" a="1"/>
  <c r="L23" i="83"/>
  <c r="M23" i="83" a="1"/>
  <c r="M23" i="83"/>
  <c r="N23" i="83" a="1"/>
  <c r="N23" i="83"/>
  <c r="O23" i="83" a="1"/>
  <c r="O23" i="83"/>
  <c r="P23" i="83" a="1"/>
  <c r="P23" i="83"/>
  <c r="Q23" i="83" a="1"/>
  <c r="Q23" i="83"/>
  <c r="R23" i="83" a="1"/>
  <c r="R23" i="83"/>
  <c r="S23" i="83" a="1"/>
  <c r="S23" i="83"/>
  <c r="T23" i="83" a="1"/>
  <c r="T23" i="83"/>
  <c r="U23" i="83" a="1"/>
  <c r="U23" i="83"/>
  <c r="V23" i="83" a="1"/>
  <c r="V23" i="83"/>
  <c r="X23" i="83" a="1"/>
  <c r="X23" i="83"/>
  <c r="Y23" i="83" a="1"/>
  <c r="Y23" i="83"/>
  <c r="Z23" i="83" a="1"/>
  <c r="Z23" i="83"/>
  <c r="AA23" i="83" a="1"/>
  <c r="AA23" i="83"/>
  <c r="AB23" i="83" a="1"/>
  <c r="AB23" i="83"/>
  <c r="AC23" i="83" a="1"/>
  <c r="AC23" i="83"/>
  <c r="AD23" i="83" a="1"/>
  <c r="AD23" i="83"/>
  <c r="AE23" i="83" a="1"/>
  <c r="AE23" i="83"/>
  <c r="AF23" i="83" a="1"/>
  <c r="AF23" i="83"/>
  <c r="AG23" i="83" a="1"/>
  <c r="AG23" i="83"/>
  <c r="AH23" i="83" a="1"/>
  <c r="AH23" i="83"/>
  <c r="AI23" i="83" a="1"/>
  <c r="AI23" i="83"/>
  <c r="AJ23" i="83" a="1"/>
  <c r="AJ23" i="83"/>
  <c r="AK23" i="83" a="1"/>
  <c r="AK23" i="83"/>
  <c r="AL23" i="83" a="1"/>
  <c r="AL23" i="83"/>
  <c r="AM23" i="83" a="1"/>
  <c r="AM23" i="83"/>
  <c r="AN23" i="83" a="1"/>
  <c r="AN23" i="83"/>
  <c r="AO23" i="83" a="1"/>
  <c r="AO23" i="83"/>
  <c r="AQ23" i="83" a="1"/>
  <c r="AQ23" i="83"/>
  <c r="AR23" i="83" a="1"/>
  <c r="AR23" i="83"/>
  <c r="AS23" i="83" a="1"/>
  <c r="AS23" i="83"/>
  <c r="AT23" i="83" a="1"/>
  <c r="AT23" i="83"/>
  <c r="AU23" i="83" a="1"/>
  <c r="AU23" i="83"/>
  <c r="AV23" i="83" a="1"/>
  <c r="AV23" i="83"/>
  <c r="AW23" i="83" a="1"/>
  <c r="AW23" i="83"/>
  <c r="AX23" i="83" a="1"/>
  <c r="AX23" i="83"/>
  <c r="AY23" i="83" a="1"/>
  <c r="AY23" i="83"/>
  <c r="AZ23" i="83" a="1"/>
  <c r="AZ23" i="83"/>
  <c r="BA23" i="83" a="1"/>
  <c r="BA23" i="83"/>
  <c r="BB23" i="83" a="1"/>
  <c r="BB23" i="83"/>
  <c r="BC23" i="83" a="1"/>
  <c r="BC23" i="83"/>
  <c r="BD23" i="83" a="1"/>
  <c r="BD23" i="83"/>
  <c r="BE23" i="83" a="1"/>
  <c r="BE23" i="83"/>
  <c r="BF23" i="83" a="1"/>
  <c r="BF23" i="83"/>
  <c r="BG23" i="83" a="1"/>
  <c r="BG23" i="83"/>
  <c r="BH23" i="83" a="1"/>
  <c r="BH23" i="83"/>
  <c r="BJ23" i="83" a="1"/>
  <c r="BJ23" i="83"/>
  <c r="BK23" i="83" a="1"/>
  <c r="BK23" i="83"/>
  <c r="BL23" i="83" a="1"/>
  <c r="BL23" i="83"/>
  <c r="BM23" i="83" a="1"/>
  <c r="BM23" i="83"/>
  <c r="BN23" i="83" a="1"/>
  <c r="BN23" i="83"/>
  <c r="BO23" i="83" a="1"/>
  <c r="BO23" i="83"/>
  <c r="BP23" i="83" a="1"/>
  <c r="BP23" i="83"/>
  <c r="BQ23" i="83" a="1"/>
  <c r="BQ23" i="83"/>
  <c r="BR23" i="83" a="1"/>
  <c r="BR23" i="83"/>
  <c r="BS23" i="83" a="1"/>
  <c r="BS23" i="83"/>
  <c r="BT23" i="83" a="1"/>
  <c r="BT23" i="83"/>
  <c r="BU23" i="83" a="1"/>
  <c r="BU23" i="83"/>
  <c r="BV23" i="83" a="1"/>
  <c r="BV23" i="83"/>
  <c r="BW23" i="83" a="1"/>
  <c r="BW23" i="83"/>
  <c r="BX23" i="83" a="1"/>
  <c r="BX23" i="83"/>
  <c r="BY23" i="83" a="1"/>
  <c r="BY23" i="83"/>
  <c r="BZ23" i="83" a="1"/>
  <c r="BZ23" i="83"/>
  <c r="CA23" i="83" a="1"/>
  <c r="CA23" i="83"/>
  <c r="CC23" i="83" a="1"/>
  <c r="CC23" i="83"/>
  <c r="CD23" i="83" a="1"/>
  <c r="CD23" i="83"/>
  <c r="CE23" i="83" a="1"/>
  <c r="CE23" i="83"/>
  <c r="CF23" i="83" a="1"/>
  <c r="CF23" i="83"/>
  <c r="CG23" i="83" a="1"/>
  <c r="CG23" i="83"/>
  <c r="CH23" i="83" a="1"/>
  <c r="CH23" i="83"/>
  <c r="CI23" i="83" a="1"/>
  <c r="CI23" i="83"/>
  <c r="CJ23" i="83" a="1"/>
  <c r="CJ23" i="83"/>
  <c r="CK23" i="83" a="1"/>
  <c r="CK23" i="83"/>
  <c r="CL23" i="83" a="1"/>
  <c r="CL23" i="83"/>
  <c r="CM23" i="83" a="1"/>
  <c r="CM23" i="83"/>
  <c r="CN23" i="83" a="1"/>
  <c r="CN23" i="83"/>
  <c r="CO23" i="83" a="1"/>
  <c r="CO23" i="83"/>
  <c r="CP23" i="83" a="1"/>
  <c r="CP23" i="83"/>
  <c r="CQ23" i="83" a="1"/>
  <c r="CQ23" i="83"/>
  <c r="CR23" i="83" a="1"/>
  <c r="CR23" i="83"/>
  <c r="CS23" i="83" a="1"/>
  <c r="CS23" i="83"/>
  <c r="CT23" i="83" a="1"/>
  <c r="CT23" i="83"/>
  <c r="CV23" i="83" a="1"/>
  <c r="CV23" i="83"/>
  <c r="CW23" i="83" a="1"/>
  <c r="CW23" i="83"/>
  <c r="CX23" i="83" a="1"/>
  <c r="CX23" i="83"/>
  <c r="CY23" i="83" a="1"/>
  <c r="CY23" i="83"/>
  <c r="CZ23" i="83" a="1"/>
  <c r="CZ23" i="83"/>
  <c r="DA23" i="83" a="1"/>
  <c r="DA23" i="83"/>
  <c r="DB23" i="83" a="1"/>
  <c r="DB23" i="83"/>
  <c r="DC23" i="83" a="1"/>
  <c r="DC23" i="83"/>
  <c r="DD23" i="83" a="1"/>
  <c r="DD23" i="83"/>
  <c r="DE23" i="83" a="1"/>
  <c r="DE23" i="83"/>
  <c r="DF23" i="83" a="1"/>
  <c r="DF23" i="83"/>
  <c r="DG23" i="83" a="1"/>
  <c r="DG23" i="83"/>
  <c r="DH23" i="83" a="1"/>
  <c r="DH23" i="83"/>
  <c r="DI23" i="83" a="1"/>
  <c r="DI23" i="83"/>
  <c r="DJ23" i="83" a="1"/>
  <c r="DJ23" i="83"/>
  <c r="DK23" i="83" a="1"/>
  <c r="DK23" i="83"/>
  <c r="DL23" i="83" a="1"/>
  <c r="DL23" i="83"/>
  <c r="DM23" i="83" a="1"/>
  <c r="DM23" i="83"/>
  <c r="DO23" i="83" a="1"/>
  <c r="DO23" i="83"/>
  <c r="DP23" i="83" a="1"/>
  <c r="DP23" i="83"/>
  <c r="DQ23" i="83" a="1"/>
  <c r="DQ23" i="83"/>
  <c r="DR23" i="83" a="1"/>
  <c r="DR23" i="83"/>
  <c r="DS23" i="83" a="1"/>
  <c r="DS23" i="83"/>
  <c r="DT23" i="83" a="1"/>
  <c r="DT23" i="83"/>
  <c r="DU23" i="83" a="1"/>
  <c r="DU23" i="83"/>
  <c r="DV23" i="83" a="1"/>
  <c r="DV23" i="83"/>
  <c r="DW23" i="83" a="1"/>
  <c r="DW23" i="83"/>
  <c r="DX23" i="83" a="1"/>
  <c r="DX23" i="83"/>
  <c r="DY23" i="83" a="1"/>
  <c r="DY23" i="83"/>
  <c r="DZ23" i="83" a="1"/>
  <c r="DZ23" i="83"/>
  <c r="EA23" i="83" a="1"/>
  <c r="EA23" i="83"/>
  <c r="EB23" i="83" a="1"/>
  <c r="EB23" i="83"/>
  <c r="EC23" i="83" a="1"/>
  <c r="EC23" i="83"/>
  <c r="ED23" i="83" a="1"/>
  <c r="ED23" i="83"/>
  <c r="EE23" i="83" a="1"/>
  <c r="EE23" i="83"/>
  <c r="EF23" i="83" a="1"/>
  <c r="EF23" i="83"/>
  <c r="EH23" i="83" a="1"/>
  <c r="EH23" i="83"/>
  <c r="EI23" i="83" a="1"/>
  <c r="EI23" i="83"/>
  <c r="EJ23" i="83" a="1"/>
  <c r="EJ23" i="83"/>
  <c r="EK23" i="83" a="1"/>
  <c r="EK23" i="83"/>
  <c r="EL23" i="83" a="1"/>
  <c r="EL23" i="83"/>
  <c r="EM23" i="83" a="1"/>
  <c r="EM23" i="83"/>
  <c r="EN23" i="83" a="1"/>
  <c r="EN23" i="83"/>
  <c r="EO23" i="83" a="1"/>
  <c r="EO23" i="83"/>
  <c r="EP23" i="83" a="1"/>
  <c r="EP23" i="83"/>
  <c r="EQ23" i="83" a="1"/>
  <c r="EQ23" i="83"/>
  <c r="ER23" i="83" a="1"/>
  <c r="ER23" i="83"/>
  <c r="ES23" i="83" a="1"/>
  <c r="ES23" i="83"/>
  <c r="ET23" i="83" a="1"/>
  <c r="ET23" i="83"/>
  <c r="EU23" i="83" a="1"/>
  <c r="EU23" i="83"/>
  <c r="EV23" i="83" a="1"/>
  <c r="EV23" i="83"/>
  <c r="EW23" i="83" a="1"/>
  <c r="EW23" i="83"/>
  <c r="EX23" i="83" a="1"/>
  <c r="EX23" i="83"/>
  <c r="EY23" i="83" a="1"/>
  <c r="EY23" i="83"/>
  <c r="FA23" i="83" a="1"/>
  <c r="FA23" i="83"/>
  <c r="FB23" i="83" a="1"/>
  <c r="FB23" i="83"/>
  <c r="FC23" i="83" a="1"/>
  <c r="FC23" i="83"/>
  <c r="FD23" i="83" a="1"/>
  <c r="FD23" i="83"/>
  <c r="FE23" i="83" a="1"/>
  <c r="FE23" i="83"/>
  <c r="FF23" i="83" a="1"/>
  <c r="FF23" i="83"/>
  <c r="FG23" i="83" a="1"/>
  <c r="FG23" i="83"/>
  <c r="FH23" i="83" a="1"/>
  <c r="FH23" i="83"/>
  <c r="FI23" i="83" a="1"/>
  <c r="FI23" i="83"/>
  <c r="FJ23" i="83" a="1"/>
  <c r="FJ23" i="83"/>
  <c r="FK23" i="83" a="1"/>
  <c r="FK23" i="83"/>
  <c r="FL23" i="83" a="1"/>
  <c r="FL23" i="83"/>
  <c r="FM23" i="83" a="1"/>
  <c r="FM23" i="83"/>
  <c r="FN23" i="83" a="1"/>
  <c r="FN23" i="83"/>
  <c r="FO23" i="83" a="1"/>
  <c r="FO23" i="83"/>
  <c r="FP23" i="83" a="1"/>
  <c r="FP23" i="83"/>
  <c r="FQ23" i="83" a="1"/>
  <c r="FQ23" i="83"/>
  <c r="FS23" i="83" a="1"/>
  <c r="FS23" i="83"/>
  <c r="FT23" i="83" a="1"/>
  <c r="FT23" i="83"/>
  <c r="FU23" i="83" a="1"/>
  <c r="FU23" i="83"/>
  <c r="FV23" i="83" a="1"/>
  <c r="FV23" i="83"/>
  <c r="FW23" i="83" a="1"/>
  <c r="FW23" i="83"/>
  <c r="FX23" i="83" a="1"/>
  <c r="FX23" i="83"/>
  <c r="FY23" i="83" a="1"/>
  <c r="FY23" i="83"/>
  <c r="FZ23" i="83" a="1"/>
  <c r="FZ23" i="83"/>
  <c r="GA23" i="83" a="1"/>
  <c r="GA23" i="83"/>
  <c r="GB23" i="83" a="1"/>
  <c r="GB23" i="83"/>
  <c r="GC23" i="83" a="1"/>
  <c r="GC23" i="83"/>
  <c r="GD23" i="83" a="1"/>
  <c r="GD23" i="83"/>
  <c r="GE23" i="83" a="1"/>
  <c r="GE23" i="83"/>
  <c r="GF23" i="83" a="1"/>
  <c r="GF23" i="83"/>
  <c r="GG23" i="83" a="1"/>
  <c r="GG23" i="83"/>
  <c r="GH23" i="83" a="1"/>
  <c r="GH23" i="83"/>
  <c r="GI23" i="83" a="1"/>
  <c r="GI23" i="83"/>
  <c r="GK23" i="83" a="1"/>
  <c r="GK23" i="83"/>
  <c r="GL23" i="83" a="1"/>
  <c r="GL23" i="83"/>
  <c r="GM23" i="83" a="1"/>
  <c r="GM23" i="83"/>
  <c r="GN23" i="83" a="1"/>
  <c r="GN23" i="83"/>
  <c r="GO23" i="83" a="1"/>
  <c r="GO23" i="83"/>
  <c r="GP23" i="83" a="1"/>
  <c r="GP23" i="83"/>
  <c r="GQ23" i="83" a="1"/>
  <c r="GQ23" i="83"/>
  <c r="GR23" i="83" a="1"/>
  <c r="GR23" i="83"/>
  <c r="GS23" i="83" a="1"/>
  <c r="GS23" i="83"/>
  <c r="GT23" i="83" a="1"/>
  <c r="GT23" i="83"/>
  <c r="GU23" i="83" a="1"/>
  <c r="GU23" i="83"/>
  <c r="GV23" i="83" a="1"/>
  <c r="GV23" i="83"/>
  <c r="GW23" i="83" a="1"/>
  <c r="GW23" i="83"/>
  <c r="GX23" i="83" a="1"/>
  <c r="GX23" i="83"/>
  <c r="GY23" i="83" a="1"/>
  <c r="GY23" i="83"/>
  <c r="GZ23" i="83" a="1"/>
  <c r="GZ23" i="83"/>
  <c r="HA23" i="83" a="1"/>
  <c r="HA23" i="83"/>
  <c r="E24" i="83" a="1"/>
  <c r="E24" i="83"/>
  <c r="F24" i="83" a="1"/>
  <c r="F24" i="83"/>
  <c r="G24" i="83" a="1"/>
  <c r="G24" i="83"/>
  <c r="H24" i="83" a="1"/>
  <c r="H24" i="83"/>
  <c r="I24" i="83" a="1"/>
  <c r="I24" i="83"/>
  <c r="J24" i="83" a="1"/>
  <c r="J24" i="83"/>
  <c r="K24" i="83" a="1"/>
  <c r="K24" i="83"/>
  <c r="L24" i="83" a="1"/>
  <c r="L24" i="83"/>
  <c r="M24" i="83" a="1"/>
  <c r="M24" i="83"/>
  <c r="N24" i="83" a="1"/>
  <c r="N24" i="83"/>
  <c r="O24" i="83" a="1"/>
  <c r="O24" i="83"/>
  <c r="P24" i="83" a="1"/>
  <c r="P24" i="83"/>
  <c r="Q24" i="83" a="1"/>
  <c r="Q24" i="83"/>
  <c r="R24" i="83" a="1"/>
  <c r="R24" i="83"/>
  <c r="S24" i="83" a="1"/>
  <c r="S24" i="83"/>
  <c r="T24" i="83" a="1"/>
  <c r="T24" i="83"/>
  <c r="U24" i="83" a="1"/>
  <c r="U24" i="83"/>
  <c r="V24" i="83" a="1"/>
  <c r="V24" i="83"/>
  <c r="W24" i="83"/>
  <c r="X24" i="83" a="1"/>
  <c r="X24" i="83"/>
  <c r="Y24" i="83" a="1"/>
  <c r="Y24" i="83"/>
  <c r="Z24" i="83" a="1"/>
  <c r="Z24" i="83"/>
  <c r="AA24" i="83" a="1"/>
  <c r="AA24" i="83"/>
  <c r="AB24" i="83" a="1"/>
  <c r="AB24" i="83"/>
  <c r="AC24" i="83" a="1"/>
  <c r="AC24" i="83"/>
  <c r="AD24" i="83" a="1"/>
  <c r="AD24" i="83"/>
  <c r="AE24" i="83" a="1"/>
  <c r="AE24" i="83"/>
  <c r="AF24" i="83" a="1"/>
  <c r="AF24" i="83"/>
  <c r="AG24" i="83" a="1"/>
  <c r="AG24" i="83"/>
  <c r="AH24" i="83" a="1"/>
  <c r="AH24" i="83"/>
  <c r="AI24" i="83" a="1"/>
  <c r="AI24" i="83"/>
  <c r="AJ24" i="83" a="1"/>
  <c r="AJ24" i="83"/>
  <c r="AK24" i="83" a="1"/>
  <c r="AK24" i="83"/>
  <c r="AL24" i="83" a="1"/>
  <c r="AL24" i="83"/>
  <c r="AM24" i="83" a="1"/>
  <c r="AM24" i="83"/>
  <c r="AN24" i="83" a="1"/>
  <c r="AN24" i="83"/>
  <c r="AO24" i="83" a="1"/>
  <c r="AO24" i="83"/>
  <c r="AQ24" i="83" a="1"/>
  <c r="AQ24" i="83"/>
  <c r="AR24" i="83" a="1"/>
  <c r="AR24" i="83"/>
  <c r="AS24" i="83" a="1"/>
  <c r="AS24" i="83"/>
  <c r="AT24" i="83" a="1"/>
  <c r="AT24" i="83"/>
  <c r="AU24" i="83" a="1"/>
  <c r="AU24" i="83"/>
  <c r="AV24" i="83" a="1"/>
  <c r="AV24" i="83"/>
  <c r="AW24" i="83" a="1"/>
  <c r="AW24" i="83"/>
  <c r="AX24" i="83" a="1"/>
  <c r="AX24" i="83"/>
  <c r="AY24" i="83" a="1"/>
  <c r="AY24" i="83"/>
  <c r="AZ24" i="83" a="1"/>
  <c r="AZ24" i="83"/>
  <c r="BA24" i="83" a="1"/>
  <c r="BA24" i="83"/>
  <c r="BB24" i="83" a="1"/>
  <c r="BB24" i="83"/>
  <c r="BC24" i="83" a="1"/>
  <c r="BC24" i="83"/>
  <c r="BD24" i="83" a="1"/>
  <c r="BD24" i="83"/>
  <c r="BE24" i="83" a="1"/>
  <c r="BE24" i="83"/>
  <c r="BF24" i="83" a="1"/>
  <c r="BF24" i="83"/>
  <c r="BG24" i="83" a="1"/>
  <c r="BG24" i="83"/>
  <c r="BH24" i="83" a="1"/>
  <c r="BH24" i="83"/>
  <c r="BJ24" i="83" a="1"/>
  <c r="BJ24" i="83"/>
  <c r="BK24" i="83" a="1"/>
  <c r="BK24" i="83"/>
  <c r="BL24" i="83" a="1"/>
  <c r="BL24" i="83"/>
  <c r="BM24" i="83" a="1"/>
  <c r="BM24" i="83"/>
  <c r="BN24" i="83" a="1"/>
  <c r="BN24" i="83"/>
  <c r="BO24" i="83" a="1"/>
  <c r="BO24" i="83"/>
  <c r="BP24" i="83" a="1"/>
  <c r="BP24" i="83"/>
  <c r="BQ24" i="83" a="1"/>
  <c r="BQ24" i="83"/>
  <c r="BR24" i="83" a="1"/>
  <c r="BR24" i="83"/>
  <c r="BS24" i="83" a="1"/>
  <c r="BS24" i="83"/>
  <c r="BT24" i="83" a="1"/>
  <c r="BT24" i="83"/>
  <c r="BU24" i="83" a="1"/>
  <c r="BU24" i="83"/>
  <c r="BV24" i="83" a="1"/>
  <c r="BV24" i="83"/>
  <c r="BW24" i="83" a="1"/>
  <c r="BW24" i="83"/>
  <c r="BX24" i="83" a="1"/>
  <c r="BX24" i="83"/>
  <c r="BY24" i="83" a="1"/>
  <c r="BY24" i="83"/>
  <c r="BZ24" i="83" a="1"/>
  <c r="BZ24" i="83"/>
  <c r="CA24" i="83" a="1"/>
  <c r="CA24" i="83"/>
  <c r="CC24" i="83" a="1"/>
  <c r="CC24" i="83"/>
  <c r="CD24" i="83" a="1"/>
  <c r="CD24" i="83"/>
  <c r="CE24" i="83" a="1"/>
  <c r="CE24" i="83"/>
  <c r="CF24" i="83" a="1"/>
  <c r="CF24" i="83"/>
  <c r="CG24" i="83" a="1"/>
  <c r="CG24" i="83"/>
  <c r="CH24" i="83" a="1"/>
  <c r="CH24" i="83"/>
  <c r="CI24" i="83" a="1"/>
  <c r="CI24" i="83"/>
  <c r="CJ24" i="83" a="1"/>
  <c r="CJ24" i="83"/>
  <c r="CK24" i="83" a="1"/>
  <c r="CK24" i="83"/>
  <c r="CL24" i="83" a="1"/>
  <c r="CL24" i="83"/>
  <c r="CM24" i="83" a="1"/>
  <c r="CM24" i="83"/>
  <c r="CN24" i="83" a="1"/>
  <c r="CN24" i="83"/>
  <c r="CO24" i="83" a="1"/>
  <c r="CO24" i="83"/>
  <c r="CP24" i="83" a="1"/>
  <c r="CP24" i="83"/>
  <c r="CQ24" i="83" a="1"/>
  <c r="CQ24" i="83"/>
  <c r="CR24" i="83" a="1"/>
  <c r="CR24" i="83"/>
  <c r="CS24" i="83" a="1"/>
  <c r="CS24" i="83"/>
  <c r="CT24" i="83" a="1"/>
  <c r="CT24" i="83"/>
  <c r="CV24" i="83" a="1"/>
  <c r="CV24" i="83"/>
  <c r="CW24" i="83" a="1"/>
  <c r="CW24" i="83"/>
  <c r="CX24" i="83" a="1"/>
  <c r="CX24" i="83"/>
  <c r="CY24" i="83" a="1"/>
  <c r="CY24" i="83"/>
  <c r="CZ24" i="83" a="1"/>
  <c r="CZ24" i="83"/>
  <c r="DA24" i="83" a="1"/>
  <c r="DA24" i="83"/>
  <c r="DB24" i="83" a="1"/>
  <c r="DB24" i="83"/>
  <c r="DC24" i="83" a="1"/>
  <c r="DC24" i="83"/>
  <c r="DD24" i="83" a="1"/>
  <c r="DD24" i="83"/>
  <c r="DE24" i="83" a="1"/>
  <c r="DE24" i="83"/>
  <c r="DF24" i="83" a="1"/>
  <c r="DF24" i="83"/>
  <c r="DG24" i="83" a="1"/>
  <c r="DG24" i="83"/>
  <c r="DH24" i="83" a="1"/>
  <c r="DH24" i="83"/>
  <c r="DI24" i="83" a="1"/>
  <c r="DI24" i="83"/>
  <c r="DJ24" i="83" a="1"/>
  <c r="DJ24" i="83"/>
  <c r="DK24" i="83" a="1"/>
  <c r="DK24" i="83"/>
  <c r="DL24" i="83" a="1"/>
  <c r="DL24" i="83"/>
  <c r="DM24" i="83" a="1"/>
  <c r="DM24" i="83"/>
  <c r="DO24" i="83" a="1"/>
  <c r="DO24" i="83"/>
  <c r="DP24" i="83" a="1"/>
  <c r="DP24" i="83"/>
  <c r="DQ24" i="83" a="1"/>
  <c r="DQ24" i="83"/>
  <c r="DR24" i="83" a="1"/>
  <c r="DR24" i="83"/>
  <c r="DS24" i="83" a="1"/>
  <c r="DS24" i="83"/>
  <c r="DT24" i="83" a="1"/>
  <c r="DT24" i="83"/>
  <c r="DU24" i="83" a="1"/>
  <c r="DU24" i="83"/>
  <c r="DV24" i="83" a="1"/>
  <c r="DV24" i="83"/>
  <c r="DW24" i="83" a="1"/>
  <c r="DW24" i="83"/>
  <c r="DX24" i="83" a="1"/>
  <c r="DX24" i="83"/>
  <c r="DY24" i="83" a="1"/>
  <c r="DY24" i="83"/>
  <c r="DZ24" i="83" a="1"/>
  <c r="DZ24" i="83"/>
  <c r="EA24" i="83" a="1"/>
  <c r="EA24" i="83"/>
  <c r="EB24" i="83" a="1"/>
  <c r="EB24" i="83"/>
  <c r="EC24" i="83" a="1"/>
  <c r="EC24" i="83"/>
  <c r="ED24" i="83" a="1"/>
  <c r="ED24" i="83"/>
  <c r="EE24" i="83" a="1"/>
  <c r="EE24" i="83"/>
  <c r="EF24" i="83" a="1"/>
  <c r="EF24" i="83"/>
  <c r="EH24" i="83" a="1"/>
  <c r="EH24" i="83"/>
  <c r="EI24" i="83" a="1"/>
  <c r="EI24" i="83"/>
  <c r="EJ24" i="83" a="1"/>
  <c r="EJ24" i="83"/>
  <c r="EK24" i="83" a="1"/>
  <c r="EK24" i="83"/>
  <c r="EL24" i="83" a="1"/>
  <c r="EL24" i="83"/>
  <c r="EM24" i="83" a="1"/>
  <c r="EM24" i="83"/>
  <c r="EN24" i="83" a="1"/>
  <c r="EN24" i="83"/>
  <c r="EO24" i="83" a="1"/>
  <c r="EO24" i="83"/>
  <c r="EP24" i="83" a="1"/>
  <c r="EP24" i="83"/>
  <c r="EQ24" i="83" a="1"/>
  <c r="EQ24" i="83"/>
  <c r="ER24" i="83" a="1"/>
  <c r="ER24" i="83"/>
  <c r="ES24" i="83" a="1"/>
  <c r="ES24" i="83"/>
  <c r="ET24" i="83" a="1"/>
  <c r="ET24" i="83"/>
  <c r="EU24" i="83" a="1"/>
  <c r="EU24" i="83"/>
  <c r="EV24" i="83" a="1"/>
  <c r="EV24" i="83"/>
  <c r="EW24" i="83" a="1"/>
  <c r="EW24" i="83"/>
  <c r="EX24" i="83" a="1"/>
  <c r="EX24" i="83"/>
  <c r="EY24" i="83" a="1"/>
  <c r="EY24" i="83"/>
  <c r="FA24" i="83" a="1"/>
  <c r="FA24" i="83"/>
  <c r="FB24" i="83" a="1"/>
  <c r="FB24" i="83"/>
  <c r="FC24" i="83" a="1"/>
  <c r="FC24" i="83"/>
  <c r="FD24" i="83" a="1"/>
  <c r="FD24" i="83"/>
  <c r="FE24" i="83" a="1"/>
  <c r="FE24" i="83"/>
  <c r="FF24" i="83" a="1"/>
  <c r="FF24" i="83"/>
  <c r="FG24" i="83" a="1"/>
  <c r="FG24" i="83"/>
  <c r="FH24" i="83" a="1"/>
  <c r="FH24" i="83"/>
  <c r="FI24" i="83" a="1"/>
  <c r="FI24" i="83"/>
  <c r="FJ24" i="83" a="1"/>
  <c r="FJ24" i="83"/>
  <c r="FK24" i="83" a="1"/>
  <c r="FK24" i="83"/>
  <c r="FL24" i="83" a="1"/>
  <c r="FL24" i="83"/>
  <c r="FM24" i="83" a="1"/>
  <c r="FM24" i="83"/>
  <c r="FN24" i="83" a="1"/>
  <c r="FN24" i="83"/>
  <c r="FO24" i="83" a="1"/>
  <c r="FO24" i="83"/>
  <c r="FP24" i="83" a="1"/>
  <c r="FP24" i="83"/>
  <c r="FQ24" i="83" a="1"/>
  <c r="FQ24" i="83"/>
  <c r="FS24" i="83" a="1"/>
  <c r="FS24" i="83"/>
  <c r="FT24" i="83" a="1"/>
  <c r="FT24" i="83"/>
  <c r="FU24" i="83" a="1"/>
  <c r="FU24" i="83"/>
  <c r="FV24" i="83" a="1"/>
  <c r="FV24" i="83"/>
  <c r="FW24" i="83" a="1"/>
  <c r="FW24" i="83"/>
  <c r="FX24" i="83" a="1"/>
  <c r="FX24" i="83"/>
  <c r="FY24" i="83" a="1"/>
  <c r="FY24" i="83"/>
  <c r="FZ24" i="83" a="1"/>
  <c r="FZ24" i="83"/>
  <c r="GA24" i="83" a="1"/>
  <c r="GA24" i="83"/>
  <c r="GB24" i="83" a="1"/>
  <c r="GB24" i="83"/>
  <c r="GC24" i="83" a="1"/>
  <c r="GC24" i="83"/>
  <c r="GD24" i="83" a="1"/>
  <c r="GD24" i="83"/>
  <c r="GE24" i="83" a="1"/>
  <c r="GE24" i="83"/>
  <c r="GF24" i="83" a="1"/>
  <c r="GF24" i="83"/>
  <c r="GG24" i="83" a="1"/>
  <c r="GG24" i="83"/>
  <c r="GH24" i="83" a="1"/>
  <c r="GH24" i="83"/>
  <c r="GI24" i="83" a="1"/>
  <c r="GI24" i="83"/>
  <c r="GK24" i="83" a="1"/>
  <c r="GK24" i="83"/>
  <c r="GL24" i="83" a="1"/>
  <c r="GL24" i="83"/>
  <c r="GM24" i="83" a="1"/>
  <c r="GM24" i="83"/>
  <c r="GN24" i="83" a="1"/>
  <c r="GN24" i="83"/>
  <c r="GO24" i="83" a="1"/>
  <c r="GO24" i="83"/>
  <c r="GP24" i="83" a="1"/>
  <c r="GP24" i="83"/>
  <c r="GQ24" i="83" a="1"/>
  <c r="GQ24" i="83"/>
  <c r="GR24" i="83" a="1"/>
  <c r="GR24" i="83"/>
  <c r="GS24" i="83" a="1"/>
  <c r="GS24" i="83"/>
  <c r="GT24" i="83" a="1"/>
  <c r="GT24" i="83"/>
  <c r="GU24" i="83" a="1"/>
  <c r="GU24" i="83"/>
  <c r="GV24" i="83" a="1"/>
  <c r="GV24" i="83"/>
  <c r="GW24" i="83" a="1"/>
  <c r="GW24" i="83"/>
  <c r="GX24" i="83" a="1"/>
  <c r="GX24" i="83"/>
  <c r="GY24" i="83" a="1"/>
  <c r="GY24" i="83"/>
  <c r="GZ24" i="83" a="1"/>
  <c r="GZ24" i="83"/>
  <c r="HA24" i="83" a="1"/>
  <c r="HA24" i="83"/>
  <c r="E25" i="83" a="1"/>
  <c r="E25" i="83"/>
  <c r="F25" i="83" a="1"/>
  <c r="F25" i="83"/>
  <c r="G25" i="83" a="1"/>
  <c r="G25" i="83"/>
  <c r="H25" i="83" a="1"/>
  <c r="H25" i="83"/>
  <c r="I25" i="83" a="1"/>
  <c r="I25" i="83"/>
  <c r="J25" i="83" a="1"/>
  <c r="J25" i="83"/>
  <c r="K25" i="83" a="1"/>
  <c r="K25" i="83"/>
  <c r="L25" i="83" a="1"/>
  <c r="L25" i="83"/>
  <c r="M25" i="83" a="1"/>
  <c r="M25" i="83"/>
  <c r="N25" i="83" a="1"/>
  <c r="N25" i="83"/>
  <c r="O25" i="83" a="1"/>
  <c r="O25" i="83"/>
  <c r="P25" i="83" a="1"/>
  <c r="P25" i="83"/>
  <c r="Q25" i="83" a="1"/>
  <c r="Q25" i="83"/>
  <c r="R25" i="83" a="1"/>
  <c r="R25" i="83"/>
  <c r="S25" i="83" a="1"/>
  <c r="S25" i="83"/>
  <c r="T25" i="83" a="1"/>
  <c r="T25" i="83"/>
  <c r="U25" i="83" a="1"/>
  <c r="U25" i="83"/>
  <c r="V25" i="83" a="1"/>
  <c r="V25" i="83"/>
  <c r="W25" i="83"/>
  <c r="X25" i="83" a="1"/>
  <c r="X25" i="83"/>
  <c r="Y25" i="83" a="1"/>
  <c r="Y25" i="83"/>
  <c r="Z25" i="83" a="1"/>
  <c r="Z25" i="83"/>
  <c r="AA25" i="83" a="1"/>
  <c r="AA25" i="83"/>
  <c r="AB25" i="83" a="1"/>
  <c r="AB25" i="83"/>
  <c r="AC25" i="83" a="1"/>
  <c r="AC25" i="83"/>
  <c r="AD25" i="83" a="1"/>
  <c r="AD25" i="83"/>
  <c r="AE25" i="83" a="1"/>
  <c r="AE25" i="83"/>
  <c r="AF25" i="83" a="1"/>
  <c r="AF25" i="83"/>
  <c r="AG25" i="83" a="1"/>
  <c r="AG25" i="83"/>
  <c r="AH25" i="83" a="1"/>
  <c r="AH25" i="83"/>
  <c r="AI25" i="83" a="1"/>
  <c r="AI25" i="83"/>
  <c r="AJ25" i="83" a="1"/>
  <c r="AJ25" i="83"/>
  <c r="AK25" i="83" a="1"/>
  <c r="AK25" i="83"/>
  <c r="AL25" i="83" a="1"/>
  <c r="AL25" i="83"/>
  <c r="AM25" i="83" a="1"/>
  <c r="AM25" i="83"/>
  <c r="AN25" i="83" a="1"/>
  <c r="AN25" i="83"/>
  <c r="AO25" i="83" a="1"/>
  <c r="AO25" i="83"/>
  <c r="AQ25" i="83" a="1"/>
  <c r="AQ25" i="83"/>
  <c r="AR25" i="83" a="1"/>
  <c r="AR25" i="83"/>
  <c r="AS25" i="83" a="1"/>
  <c r="AS25" i="83"/>
  <c r="AT25" i="83" a="1"/>
  <c r="AT25" i="83"/>
  <c r="AU25" i="83" a="1"/>
  <c r="AU25" i="83"/>
  <c r="AV25" i="83" a="1"/>
  <c r="AV25" i="83"/>
  <c r="AW25" i="83" a="1"/>
  <c r="AW25" i="83"/>
  <c r="AX25" i="83" a="1"/>
  <c r="AX25" i="83"/>
  <c r="AY25" i="83" a="1"/>
  <c r="AY25" i="83"/>
  <c r="AZ25" i="83" a="1"/>
  <c r="AZ25" i="83"/>
  <c r="BA25" i="83" a="1"/>
  <c r="BA25" i="83"/>
  <c r="BB25" i="83" a="1"/>
  <c r="BB25" i="83"/>
  <c r="BC25" i="83" a="1"/>
  <c r="BC25" i="83"/>
  <c r="BD25" i="83" a="1"/>
  <c r="BD25" i="83"/>
  <c r="BE25" i="83" a="1"/>
  <c r="BE25" i="83"/>
  <c r="BF25" i="83" a="1"/>
  <c r="BF25" i="83"/>
  <c r="BG25" i="83" a="1"/>
  <c r="BG25" i="83"/>
  <c r="BH25" i="83" a="1"/>
  <c r="BH25" i="83"/>
  <c r="BJ25" i="83" a="1"/>
  <c r="BJ25" i="83"/>
  <c r="BK25" i="83" a="1"/>
  <c r="BK25" i="83"/>
  <c r="BL25" i="83" a="1"/>
  <c r="BL25" i="83"/>
  <c r="BM25" i="83" a="1"/>
  <c r="BM25" i="83"/>
  <c r="BN25" i="83" a="1"/>
  <c r="BN25" i="83"/>
  <c r="BO25" i="83" a="1"/>
  <c r="BO25" i="83"/>
  <c r="BP25" i="83" a="1"/>
  <c r="BP25" i="83"/>
  <c r="BQ25" i="83" a="1"/>
  <c r="BQ25" i="83"/>
  <c r="BR25" i="83" a="1"/>
  <c r="BR25" i="83"/>
  <c r="BS25" i="83" a="1"/>
  <c r="BS25" i="83"/>
  <c r="BT25" i="83" a="1"/>
  <c r="BT25" i="83"/>
  <c r="BU25" i="83" a="1"/>
  <c r="BU25" i="83"/>
  <c r="BV25" i="83" a="1"/>
  <c r="BV25" i="83"/>
  <c r="BW25" i="83" a="1"/>
  <c r="BW25" i="83"/>
  <c r="BX25" i="83" a="1"/>
  <c r="BX25" i="83"/>
  <c r="BY25" i="83" a="1"/>
  <c r="BY25" i="83"/>
  <c r="BZ25" i="83" a="1"/>
  <c r="BZ25" i="83"/>
  <c r="CA25" i="83" a="1"/>
  <c r="CA25" i="83"/>
  <c r="CC25" i="83" a="1"/>
  <c r="CC25" i="83"/>
  <c r="CD25" i="83" a="1"/>
  <c r="CD25" i="83"/>
  <c r="CE25" i="83" a="1"/>
  <c r="CE25" i="83"/>
  <c r="CF25" i="83" a="1"/>
  <c r="CF25" i="83"/>
  <c r="CG25" i="83" a="1"/>
  <c r="CG25" i="83"/>
  <c r="CH25" i="83" a="1"/>
  <c r="CH25" i="83"/>
  <c r="CI25" i="83" a="1"/>
  <c r="CI25" i="83"/>
  <c r="CJ25" i="83" a="1"/>
  <c r="CJ25" i="83"/>
  <c r="CK25" i="83" a="1"/>
  <c r="CK25" i="83"/>
  <c r="CL25" i="83" a="1"/>
  <c r="CL25" i="83"/>
  <c r="CM25" i="83" a="1"/>
  <c r="CM25" i="83"/>
  <c r="CN25" i="83" a="1"/>
  <c r="CN25" i="83"/>
  <c r="CO25" i="83" a="1"/>
  <c r="CO25" i="83"/>
  <c r="CP25" i="83" a="1"/>
  <c r="CP25" i="83"/>
  <c r="CQ25" i="83" a="1"/>
  <c r="CQ25" i="83"/>
  <c r="CR25" i="83" a="1"/>
  <c r="CR25" i="83"/>
  <c r="CS25" i="83" a="1"/>
  <c r="CS25" i="83"/>
  <c r="CT25" i="83" a="1"/>
  <c r="CT25" i="83"/>
  <c r="CV25" i="83" a="1"/>
  <c r="CV25" i="83"/>
  <c r="CW25" i="83" a="1"/>
  <c r="CW25" i="83"/>
  <c r="CX25" i="83" a="1"/>
  <c r="CX25" i="83"/>
  <c r="CY25" i="83" a="1"/>
  <c r="CY25" i="83"/>
  <c r="CZ25" i="83" a="1"/>
  <c r="CZ25" i="83"/>
  <c r="DA25" i="83" a="1"/>
  <c r="DA25" i="83"/>
  <c r="DB25" i="83" a="1"/>
  <c r="DB25" i="83"/>
  <c r="DC25" i="83" a="1"/>
  <c r="DC25" i="83"/>
  <c r="DD25" i="83" a="1"/>
  <c r="DD25" i="83"/>
  <c r="DE25" i="83" a="1"/>
  <c r="DE25" i="83"/>
  <c r="DF25" i="83" a="1"/>
  <c r="DF25" i="83"/>
  <c r="DG25" i="83" a="1"/>
  <c r="DG25" i="83"/>
  <c r="DH25" i="83" a="1"/>
  <c r="DH25" i="83"/>
  <c r="DI25" i="83" a="1"/>
  <c r="DI25" i="83"/>
  <c r="DJ25" i="83" a="1"/>
  <c r="DJ25" i="83"/>
  <c r="DK25" i="83" a="1"/>
  <c r="DK25" i="83"/>
  <c r="DL25" i="83" a="1"/>
  <c r="DL25" i="83"/>
  <c r="DM25" i="83" a="1"/>
  <c r="DM25" i="83"/>
  <c r="DO25" i="83" a="1"/>
  <c r="DO25" i="83"/>
  <c r="DP25" i="83" a="1"/>
  <c r="DP25" i="83"/>
  <c r="DQ25" i="83" a="1"/>
  <c r="DQ25" i="83"/>
  <c r="DR25" i="83" a="1"/>
  <c r="DR25" i="83"/>
  <c r="DS25" i="83" a="1"/>
  <c r="DS25" i="83"/>
  <c r="DT25" i="83" a="1"/>
  <c r="DT25" i="83"/>
  <c r="DU25" i="83" a="1"/>
  <c r="DU25" i="83"/>
  <c r="DV25" i="83" a="1"/>
  <c r="DV25" i="83"/>
  <c r="DW25" i="83" a="1"/>
  <c r="DW25" i="83"/>
  <c r="DX25" i="83" a="1"/>
  <c r="DX25" i="83"/>
  <c r="DY25" i="83" a="1"/>
  <c r="DY25" i="83"/>
  <c r="DZ25" i="83" a="1"/>
  <c r="DZ25" i="83"/>
  <c r="EA25" i="83" a="1"/>
  <c r="EA25" i="83"/>
  <c r="EB25" i="83" a="1"/>
  <c r="EB25" i="83"/>
  <c r="EC25" i="83" a="1"/>
  <c r="EC25" i="83"/>
  <c r="ED25" i="83" a="1"/>
  <c r="ED25" i="83"/>
  <c r="EE25" i="83" a="1"/>
  <c r="EE25" i="83"/>
  <c r="EF25" i="83" a="1"/>
  <c r="EF25" i="83"/>
  <c r="EH25" i="83" a="1"/>
  <c r="EH25" i="83"/>
  <c r="EI25" i="83" a="1"/>
  <c r="EI25" i="83"/>
  <c r="EJ25" i="83" a="1"/>
  <c r="EJ25" i="83"/>
  <c r="EK25" i="83" a="1"/>
  <c r="EK25" i="83"/>
  <c r="EL25" i="83" a="1"/>
  <c r="EL25" i="83"/>
  <c r="EM25" i="83" a="1"/>
  <c r="EM25" i="83"/>
  <c r="EN25" i="83" a="1"/>
  <c r="EN25" i="83"/>
  <c r="EO25" i="83" a="1"/>
  <c r="EO25" i="83"/>
  <c r="EP25" i="83" a="1"/>
  <c r="EP25" i="83"/>
  <c r="EQ25" i="83" a="1"/>
  <c r="EQ25" i="83"/>
  <c r="ER25" i="83" a="1"/>
  <c r="ER25" i="83"/>
  <c r="ES25" i="83" a="1"/>
  <c r="ES25" i="83"/>
  <c r="ET25" i="83" a="1"/>
  <c r="ET25" i="83"/>
  <c r="EU25" i="83" a="1"/>
  <c r="EU25" i="83"/>
  <c r="EV25" i="83" a="1"/>
  <c r="EV25" i="83"/>
  <c r="EW25" i="83" a="1"/>
  <c r="EW25" i="83"/>
  <c r="EX25" i="83" a="1"/>
  <c r="EX25" i="83"/>
  <c r="EY25" i="83" a="1"/>
  <c r="EY25" i="83"/>
  <c r="FA25" i="83" a="1"/>
  <c r="FA25" i="83"/>
  <c r="FB25" i="83" a="1"/>
  <c r="FB25" i="83"/>
  <c r="FC25" i="83" a="1"/>
  <c r="FC25" i="83"/>
  <c r="FD25" i="83" a="1"/>
  <c r="FD25" i="83"/>
  <c r="FE25" i="83" a="1"/>
  <c r="FE25" i="83"/>
  <c r="FF25" i="83" a="1"/>
  <c r="FF25" i="83"/>
  <c r="FG25" i="83" a="1"/>
  <c r="FG25" i="83"/>
  <c r="FH25" i="83" a="1"/>
  <c r="FH25" i="83"/>
  <c r="FI25" i="83" a="1"/>
  <c r="FI25" i="83"/>
  <c r="FJ25" i="83" a="1"/>
  <c r="FJ25" i="83"/>
  <c r="FK25" i="83" a="1"/>
  <c r="FK25" i="83"/>
  <c r="FL25" i="83" a="1"/>
  <c r="FL25" i="83"/>
  <c r="FM25" i="83" a="1"/>
  <c r="FM25" i="83"/>
  <c r="FN25" i="83" a="1"/>
  <c r="FN25" i="83"/>
  <c r="FO25" i="83" a="1"/>
  <c r="FO25" i="83"/>
  <c r="FP25" i="83" a="1"/>
  <c r="FP25" i="83"/>
  <c r="FQ25" i="83" a="1"/>
  <c r="FQ25" i="83"/>
  <c r="FS25" i="83" a="1"/>
  <c r="FS25" i="83"/>
  <c r="FT25" i="83" a="1"/>
  <c r="FT25" i="83"/>
  <c r="FU25" i="83" a="1"/>
  <c r="FU25" i="83"/>
  <c r="FV25" i="83" a="1"/>
  <c r="FV25" i="83"/>
  <c r="FW25" i="83" a="1"/>
  <c r="FW25" i="83"/>
  <c r="FX25" i="83" a="1"/>
  <c r="FX25" i="83"/>
  <c r="FY25" i="83" a="1"/>
  <c r="FY25" i="83"/>
  <c r="FZ25" i="83" a="1"/>
  <c r="FZ25" i="83"/>
  <c r="GA25" i="83" a="1"/>
  <c r="GA25" i="83"/>
  <c r="GB25" i="83" a="1"/>
  <c r="GB25" i="83"/>
  <c r="GC25" i="83" a="1"/>
  <c r="GC25" i="83"/>
  <c r="GD25" i="83" a="1"/>
  <c r="GD25" i="83"/>
  <c r="GE25" i="83" a="1"/>
  <c r="GE25" i="83"/>
  <c r="GF25" i="83" a="1"/>
  <c r="GF25" i="83"/>
  <c r="GG25" i="83" a="1"/>
  <c r="GG25" i="83"/>
  <c r="GH25" i="83" a="1"/>
  <c r="GH25" i="83"/>
  <c r="GI25" i="83" a="1"/>
  <c r="GI25" i="83"/>
  <c r="GK25" i="83" a="1"/>
  <c r="GK25" i="83"/>
  <c r="GL25" i="83" a="1"/>
  <c r="GL25" i="83"/>
  <c r="GM25" i="83" a="1"/>
  <c r="GM25" i="83"/>
  <c r="GN25" i="83" a="1"/>
  <c r="GN25" i="83"/>
  <c r="GO25" i="83" a="1"/>
  <c r="GO25" i="83"/>
  <c r="GP25" i="83" a="1"/>
  <c r="GP25" i="83"/>
  <c r="GQ25" i="83" a="1"/>
  <c r="GQ25" i="83"/>
  <c r="GR25" i="83" a="1"/>
  <c r="GR25" i="83"/>
  <c r="GS25" i="83" a="1"/>
  <c r="GS25" i="83"/>
  <c r="GT25" i="83" a="1"/>
  <c r="GT25" i="83"/>
  <c r="GU25" i="83" a="1"/>
  <c r="GU25" i="83"/>
  <c r="GV25" i="83" a="1"/>
  <c r="GV25" i="83"/>
  <c r="GW25" i="83" a="1"/>
  <c r="GW25" i="83"/>
  <c r="GX25" i="83" a="1"/>
  <c r="GX25" i="83"/>
  <c r="GY25" i="83" a="1"/>
  <c r="GY25" i="83"/>
  <c r="GZ25" i="83" a="1"/>
  <c r="GZ25" i="83"/>
  <c r="HA25" i="83" a="1"/>
  <c r="HA25" i="83"/>
  <c r="E26" i="83" a="1"/>
  <c r="E26" i="83"/>
  <c r="F26" i="83" a="1"/>
  <c r="F26" i="83"/>
  <c r="G26" i="83" a="1"/>
  <c r="G26" i="83"/>
  <c r="H26" i="83" a="1"/>
  <c r="H26" i="83"/>
  <c r="I26" i="83" a="1"/>
  <c r="I26" i="83"/>
  <c r="J26" i="83" a="1"/>
  <c r="J26" i="83"/>
  <c r="K26" i="83" a="1"/>
  <c r="K26" i="83"/>
  <c r="L26" i="83" a="1"/>
  <c r="L26" i="83"/>
  <c r="M26" i="83" a="1"/>
  <c r="M26" i="83"/>
  <c r="N26" i="83" a="1"/>
  <c r="N26" i="83"/>
  <c r="O26" i="83" a="1"/>
  <c r="O26" i="83"/>
  <c r="P26" i="83" a="1"/>
  <c r="P26" i="83"/>
  <c r="Q26" i="83" a="1"/>
  <c r="Q26" i="83"/>
  <c r="R26" i="83" a="1"/>
  <c r="R26" i="83"/>
  <c r="S26" i="83" a="1"/>
  <c r="S26" i="83"/>
  <c r="T26" i="83" a="1"/>
  <c r="T26" i="83"/>
  <c r="U26" i="83" a="1"/>
  <c r="U26" i="83"/>
  <c r="V26" i="83" a="1"/>
  <c r="V26" i="83"/>
  <c r="W26" i="83"/>
  <c r="X26" i="83" a="1"/>
  <c r="X26" i="83"/>
  <c r="Y26" i="83" a="1"/>
  <c r="Y26" i="83"/>
  <c r="Z26" i="83" a="1"/>
  <c r="Z26" i="83"/>
  <c r="AA26" i="83" a="1"/>
  <c r="AA26" i="83"/>
  <c r="AB26" i="83" a="1"/>
  <c r="AB26" i="83"/>
  <c r="AC26" i="83" a="1"/>
  <c r="AC26" i="83"/>
  <c r="AD26" i="83" a="1"/>
  <c r="AD26" i="83"/>
  <c r="AE26" i="83" a="1"/>
  <c r="AE26" i="83"/>
  <c r="AF26" i="83" a="1"/>
  <c r="AF26" i="83"/>
  <c r="AG26" i="83" a="1"/>
  <c r="AG26" i="83"/>
  <c r="AH26" i="83" a="1"/>
  <c r="AH26" i="83"/>
  <c r="AI26" i="83" a="1"/>
  <c r="AI26" i="83"/>
  <c r="AJ26" i="83" a="1"/>
  <c r="AJ26" i="83"/>
  <c r="AK26" i="83" a="1"/>
  <c r="AK26" i="83"/>
  <c r="AL26" i="83" a="1"/>
  <c r="AL26" i="83"/>
  <c r="AM26" i="83" a="1"/>
  <c r="AM26" i="83"/>
  <c r="AN26" i="83" a="1"/>
  <c r="AN26" i="83"/>
  <c r="AO26" i="83" a="1"/>
  <c r="AO26" i="83"/>
  <c r="AQ26" i="83" a="1"/>
  <c r="AQ26" i="83"/>
  <c r="AR26" i="83" a="1"/>
  <c r="AR26" i="83"/>
  <c r="AS26" i="83" a="1"/>
  <c r="AS26" i="83"/>
  <c r="AT26" i="83" a="1"/>
  <c r="AT26" i="83"/>
  <c r="AU26" i="83" a="1"/>
  <c r="AU26" i="83"/>
  <c r="AV26" i="83" a="1"/>
  <c r="AV26" i="83"/>
  <c r="AW26" i="83" a="1"/>
  <c r="AW26" i="83"/>
  <c r="AX26" i="83" a="1"/>
  <c r="AX26" i="83"/>
  <c r="AY26" i="83" a="1"/>
  <c r="AY26" i="83"/>
  <c r="AZ26" i="83" a="1"/>
  <c r="AZ26" i="83"/>
  <c r="BA26" i="83" a="1"/>
  <c r="BA26" i="83"/>
  <c r="BB26" i="83" a="1"/>
  <c r="BB26" i="83"/>
  <c r="BC26" i="83" a="1"/>
  <c r="BC26" i="83"/>
  <c r="BD26" i="83" a="1"/>
  <c r="BD26" i="83"/>
  <c r="BE26" i="83" a="1"/>
  <c r="BE26" i="83"/>
  <c r="BF26" i="83" a="1"/>
  <c r="BF26" i="83"/>
  <c r="BG26" i="83" a="1"/>
  <c r="BG26" i="83"/>
  <c r="BH26" i="83" a="1"/>
  <c r="BH26" i="83"/>
  <c r="BJ26" i="83" a="1"/>
  <c r="BJ26" i="83"/>
  <c r="BK26" i="83" a="1"/>
  <c r="BK26" i="83"/>
  <c r="BL26" i="83" a="1"/>
  <c r="BL26" i="83"/>
  <c r="BM26" i="83" a="1"/>
  <c r="BM26" i="83"/>
  <c r="BN26" i="83" a="1"/>
  <c r="BN26" i="83"/>
  <c r="BO26" i="83" a="1"/>
  <c r="BO26" i="83"/>
  <c r="BP26" i="83" a="1"/>
  <c r="BP26" i="83"/>
  <c r="BQ26" i="83" a="1"/>
  <c r="BQ26" i="83"/>
  <c r="BR26" i="83" a="1"/>
  <c r="BR26" i="83"/>
  <c r="BS26" i="83" a="1"/>
  <c r="BS26" i="83"/>
  <c r="BT26" i="83" a="1"/>
  <c r="BT26" i="83"/>
  <c r="BU26" i="83" a="1"/>
  <c r="BU26" i="83"/>
  <c r="BV26" i="83" a="1"/>
  <c r="BV26" i="83"/>
  <c r="BW26" i="83" a="1"/>
  <c r="BW26" i="83"/>
  <c r="BX26" i="83" a="1"/>
  <c r="BX26" i="83"/>
  <c r="BY26" i="83" a="1"/>
  <c r="BY26" i="83"/>
  <c r="BZ26" i="83" a="1"/>
  <c r="BZ26" i="83"/>
  <c r="CA26" i="83" a="1"/>
  <c r="CA26" i="83"/>
  <c r="CC26" i="83" a="1"/>
  <c r="CC26" i="83"/>
  <c r="CD26" i="83" a="1"/>
  <c r="CD26" i="83"/>
  <c r="CE26" i="83" a="1"/>
  <c r="CE26" i="83"/>
  <c r="CF26" i="83" a="1"/>
  <c r="CF26" i="83"/>
  <c r="CG26" i="83" a="1"/>
  <c r="CG26" i="83"/>
  <c r="CH26" i="83" a="1"/>
  <c r="CH26" i="83"/>
  <c r="CI26" i="83" a="1"/>
  <c r="CI26" i="83"/>
  <c r="CJ26" i="83" a="1"/>
  <c r="CJ26" i="83"/>
  <c r="CK26" i="83" a="1"/>
  <c r="CK26" i="83"/>
  <c r="CL26" i="83" a="1"/>
  <c r="CL26" i="83"/>
  <c r="CM26" i="83" a="1"/>
  <c r="CM26" i="83"/>
  <c r="CN26" i="83" a="1"/>
  <c r="CN26" i="83"/>
  <c r="CO26" i="83" a="1"/>
  <c r="CO26" i="83"/>
  <c r="CP26" i="83" a="1"/>
  <c r="CP26" i="83"/>
  <c r="CQ26" i="83" a="1"/>
  <c r="CQ26" i="83"/>
  <c r="CR26" i="83" a="1"/>
  <c r="CR26" i="83"/>
  <c r="CS26" i="83" a="1"/>
  <c r="CS26" i="83"/>
  <c r="CT26" i="83" a="1"/>
  <c r="CT26" i="83"/>
  <c r="CV26" i="83" a="1"/>
  <c r="CV26" i="83"/>
  <c r="CW26" i="83" a="1"/>
  <c r="CW26" i="83"/>
  <c r="CX26" i="83" a="1"/>
  <c r="CX26" i="83"/>
  <c r="CY26" i="83" a="1"/>
  <c r="CY26" i="83"/>
  <c r="CZ26" i="83" a="1"/>
  <c r="CZ26" i="83"/>
  <c r="DA26" i="83" a="1"/>
  <c r="DA26" i="83"/>
  <c r="DB26" i="83" a="1"/>
  <c r="DB26" i="83"/>
  <c r="DC26" i="83" a="1"/>
  <c r="DC26" i="83"/>
  <c r="DD26" i="83" a="1"/>
  <c r="DD26" i="83"/>
  <c r="DE26" i="83" a="1"/>
  <c r="DE26" i="83"/>
  <c r="DF26" i="83" a="1"/>
  <c r="DF26" i="83"/>
  <c r="DG26" i="83" a="1"/>
  <c r="DG26" i="83"/>
  <c r="DH26" i="83" a="1"/>
  <c r="DH26" i="83"/>
  <c r="DI26" i="83" a="1"/>
  <c r="DI26" i="83"/>
  <c r="DJ26" i="83" a="1"/>
  <c r="DJ26" i="83"/>
  <c r="DK26" i="83" a="1"/>
  <c r="DK26" i="83"/>
  <c r="DL26" i="83" a="1"/>
  <c r="DL26" i="83"/>
  <c r="DM26" i="83" a="1"/>
  <c r="DM26" i="83"/>
  <c r="DO26" i="83" a="1"/>
  <c r="DO26" i="83"/>
  <c r="DP26" i="83" a="1"/>
  <c r="DP26" i="83"/>
  <c r="DQ26" i="83" a="1"/>
  <c r="DQ26" i="83"/>
  <c r="DR26" i="83" a="1"/>
  <c r="DR26" i="83"/>
  <c r="DS26" i="83" a="1"/>
  <c r="DS26" i="83"/>
  <c r="DT26" i="83" a="1"/>
  <c r="DT26" i="83"/>
  <c r="DU26" i="83" a="1"/>
  <c r="DU26" i="83"/>
  <c r="DV26" i="83" a="1"/>
  <c r="DV26" i="83"/>
  <c r="DW26" i="83" a="1"/>
  <c r="DW26" i="83"/>
  <c r="DX26" i="83" a="1"/>
  <c r="DX26" i="83"/>
  <c r="DY26" i="83" a="1"/>
  <c r="DY26" i="83"/>
  <c r="DZ26" i="83" a="1"/>
  <c r="DZ26" i="83"/>
  <c r="EA26" i="83" a="1"/>
  <c r="EA26" i="83"/>
  <c r="EB26" i="83" a="1"/>
  <c r="EB26" i="83"/>
  <c r="EC26" i="83" a="1"/>
  <c r="EC26" i="83"/>
  <c r="ED26" i="83" a="1"/>
  <c r="ED26" i="83"/>
  <c r="EE26" i="83" a="1"/>
  <c r="EE26" i="83"/>
  <c r="EF26" i="83" a="1"/>
  <c r="EF26" i="83"/>
  <c r="EH26" i="83" a="1"/>
  <c r="EH26" i="83"/>
  <c r="EI26" i="83" a="1"/>
  <c r="EI26" i="83"/>
  <c r="EJ26" i="83" a="1"/>
  <c r="EJ26" i="83"/>
  <c r="EK26" i="83" a="1"/>
  <c r="EK26" i="83"/>
  <c r="EL26" i="83" a="1"/>
  <c r="EL26" i="83"/>
  <c r="EM26" i="83" a="1"/>
  <c r="EM26" i="83"/>
  <c r="EN26" i="83" a="1"/>
  <c r="EN26" i="83"/>
  <c r="EO26" i="83" a="1"/>
  <c r="EO26" i="83"/>
  <c r="EP26" i="83" a="1"/>
  <c r="EP26" i="83"/>
  <c r="EQ26" i="83" a="1"/>
  <c r="EQ26" i="83"/>
  <c r="ER26" i="83" a="1"/>
  <c r="ER26" i="83"/>
  <c r="ES26" i="83" a="1"/>
  <c r="ES26" i="83"/>
  <c r="ET26" i="83" a="1"/>
  <c r="ET26" i="83"/>
  <c r="EU26" i="83" a="1"/>
  <c r="EU26" i="83"/>
  <c r="EV26" i="83" a="1"/>
  <c r="EV26" i="83"/>
  <c r="EW26" i="83" a="1"/>
  <c r="EW26" i="83"/>
  <c r="EX26" i="83" a="1"/>
  <c r="EX26" i="83"/>
  <c r="EY26" i="83" a="1"/>
  <c r="EY26" i="83"/>
  <c r="FA26" i="83" a="1"/>
  <c r="FA26" i="83"/>
  <c r="FB26" i="83" a="1"/>
  <c r="FB26" i="83"/>
  <c r="FC26" i="83" a="1"/>
  <c r="FC26" i="83"/>
  <c r="FD26" i="83" a="1"/>
  <c r="FD26" i="83"/>
  <c r="FE26" i="83" a="1"/>
  <c r="FE26" i="83"/>
  <c r="FF26" i="83" a="1"/>
  <c r="FF26" i="83"/>
  <c r="FG26" i="83" a="1"/>
  <c r="FG26" i="83"/>
  <c r="FH26" i="83" a="1"/>
  <c r="FH26" i="83"/>
  <c r="FI26" i="83" a="1"/>
  <c r="FI26" i="83"/>
  <c r="FJ26" i="83" a="1"/>
  <c r="FJ26" i="83"/>
  <c r="FK26" i="83" a="1"/>
  <c r="FK26" i="83"/>
  <c r="FL26" i="83" a="1"/>
  <c r="FL26" i="83"/>
  <c r="FM26" i="83" a="1"/>
  <c r="FM26" i="83"/>
  <c r="FN26" i="83" a="1"/>
  <c r="FN26" i="83"/>
  <c r="FO26" i="83" a="1"/>
  <c r="FO26" i="83"/>
  <c r="FP26" i="83" a="1"/>
  <c r="FP26" i="83"/>
  <c r="FQ26" i="83" a="1"/>
  <c r="FQ26" i="83"/>
  <c r="FS26" i="83" a="1"/>
  <c r="FS26" i="83"/>
  <c r="FT26" i="83" a="1"/>
  <c r="FT26" i="83"/>
  <c r="FU26" i="83" a="1"/>
  <c r="FU26" i="83"/>
  <c r="FV26" i="83" a="1"/>
  <c r="FV26" i="83"/>
  <c r="FW26" i="83" a="1"/>
  <c r="FW26" i="83"/>
  <c r="FX26" i="83" a="1"/>
  <c r="FX26" i="83"/>
  <c r="FY26" i="83" a="1"/>
  <c r="FY26" i="83"/>
  <c r="FZ26" i="83" a="1"/>
  <c r="FZ26" i="83"/>
  <c r="GA26" i="83" a="1"/>
  <c r="GA26" i="83"/>
  <c r="GB26" i="83" a="1"/>
  <c r="GB26" i="83"/>
  <c r="GC26" i="83" a="1"/>
  <c r="GC26" i="83"/>
  <c r="GD26" i="83" a="1"/>
  <c r="GD26" i="83"/>
  <c r="GE26" i="83" a="1"/>
  <c r="GE26" i="83"/>
  <c r="GF26" i="83" a="1"/>
  <c r="GF26" i="83"/>
  <c r="GG26" i="83" a="1"/>
  <c r="GG26" i="83"/>
  <c r="GH26" i="83" a="1"/>
  <c r="GH26" i="83"/>
  <c r="GI26" i="83" a="1"/>
  <c r="GI26" i="83"/>
  <c r="GK26" i="83" a="1"/>
  <c r="GK26" i="83"/>
  <c r="GL26" i="83" a="1"/>
  <c r="GL26" i="83"/>
  <c r="GM26" i="83" a="1"/>
  <c r="GM26" i="83"/>
  <c r="GN26" i="83" a="1"/>
  <c r="GN26" i="83"/>
  <c r="GO26" i="83" a="1"/>
  <c r="GO26" i="83"/>
  <c r="GP26" i="83" a="1"/>
  <c r="GP26" i="83"/>
  <c r="GQ26" i="83" a="1"/>
  <c r="GQ26" i="83"/>
  <c r="GR26" i="83" a="1"/>
  <c r="GR26" i="83"/>
  <c r="GS26" i="83" a="1"/>
  <c r="GS26" i="83"/>
  <c r="GT26" i="83" a="1"/>
  <c r="GT26" i="83"/>
  <c r="GU26" i="83" a="1"/>
  <c r="GU26" i="83"/>
  <c r="GV26" i="83" a="1"/>
  <c r="GV26" i="83"/>
  <c r="GW26" i="83" a="1"/>
  <c r="GW26" i="83"/>
  <c r="GX26" i="83" a="1"/>
  <c r="GX26" i="83"/>
  <c r="GY26" i="83" a="1"/>
  <c r="GY26" i="83"/>
  <c r="GZ26" i="83" a="1"/>
  <c r="GZ26" i="83"/>
  <c r="HA26" i="83" a="1"/>
  <c r="HA26" i="83"/>
  <c r="E27" i="83" a="1"/>
  <c r="E27" i="83"/>
  <c r="F27" i="83" a="1"/>
  <c r="F27" i="83"/>
  <c r="G27" i="83" a="1"/>
  <c r="G27" i="83"/>
  <c r="H27" i="83" a="1"/>
  <c r="H27" i="83"/>
  <c r="I27" i="83" a="1"/>
  <c r="I27" i="83"/>
  <c r="J27" i="83" a="1"/>
  <c r="J27" i="83"/>
  <c r="K27" i="83" a="1"/>
  <c r="K27" i="83"/>
  <c r="L27" i="83" a="1"/>
  <c r="L27" i="83"/>
  <c r="M27" i="83" a="1"/>
  <c r="M27" i="83"/>
  <c r="N27" i="83" a="1"/>
  <c r="N27" i="83"/>
  <c r="O27" i="83" a="1"/>
  <c r="O27" i="83"/>
  <c r="P27" i="83" a="1"/>
  <c r="P27" i="83"/>
  <c r="Q27" i="83" a="1"/>
  <c r="Q27" i="83"/>
  <c r="R27" i="83" a="1"/>
  <c r="R27" i="83"/>
  <c r="S27" i="83" a="1"/>
  <c r="S27" i="83"/>
  <c r="T27" i="83" a="1"/>
  <c r="T27" i="83"/>
  <c r="U27" i="83" a="1"/>
  <c r="U27" i="83"/>
  <c r="V27" i="83" a="1"/>
  <c r="V27" i="83"/>
  <c r="W27" i="83"/>
  <c r="X27" i="83" a="1"/>
  <c r="X27" i="83"/>
  <c r="Y27" i="83" a="1"/>
  <c r="Y27" i="83"/>
  <c r="Z27" i="83" a="1"/>
  <c r="Z27" i="83"/>
  <c r="AA27" i="83" a="1"/>
  <c r="AA27" i="83"/>
  <c r="AB27" i="83" a="1"/>
  <c r="AB27" i="83"/>
  <c r="AC27" i="83" a="1"/>
  <c r="AC27" i="83"/>
  <c r="AD27" i="83" a="1"/>
  <c r="AD27" i="83"/>
  <c r="AE27" i="83" a="1"/>
  <c r="AE27" i="83"/>
  <c r="AF27" i="83" a="1"/>
  <c r="AF27" i="83"/>
  <c r="AG27" i="83" a="1"/>
  <c r="AG27" i="83"/>
  <c r="AH27" i="83" a="1"/>
  <c r="AH27" i="83"/>
  <c r="AI27" i="83" a="1"/>
  <c r="AI27" i="83"/>
  <c r="AJ27" i="83" a="1"/>
  <c r="AJ27" i="83"/>
  <c r="AK27" i="83" a="1"/>
  <c r="AK27" i="83"/>
  <c r="AL27" i="83" a="1"/>
  <c r="AL27" i="83"/>
  <c r="AM27" i="83" a="1"/>
  <c r="AM27" i="83"/>
  <c r="AN27" i="83" a="1"/>
  <c r="AN27" i="83"/>
  <c r="AO27" i="83" a="1"/>
  <c r="AO27" i="83"/>
  <c r="AQ27" i="83" a="1"/>
  <c r="AQ27" i="83"/>
  <c r="AR27" i="83" a="1"/>
  <c r="AR27" i="83"/>
  <c r="AS27" i="83" a="1"/>
  <c r="AS27" i="83"/>
  <c r="AT27" i="83" a="1"/>
  <c r="AT27" i="83"/>
  <c r="AU27" i="83" a="1"/>
  <c r="AU27" i="83"/>
  <c r="AV27" i="83" a="1"/>
  <c r="AV27" i="83"/>
  <c r="AW27" i="83" a="1"/>
  <c r="AW27" i="83"/>
  <c r="AX27" i="83" a="1"/>
  <c r="AX27" i="83"/>
  <c r="AY27" i="83" a="1"/>
  <c r="AY27" i="83"/>
  <c r="AZ27" i="83" a="1"/>
  <c r="AZ27" i="83"/>
  <c r="BA27" i="83" a="1"/>
  <c r="BA27" i="83"/>
  <c r="BB27" i="83" a="1"/>
  <c r="BB27" i="83"/>
  <c r="BC27" i="83" a="1"/>
  <c r="BC27" i="83"/>
  <c r="BD27" i="83" a="1"/>
  <c r="BD27" i="83"/>
  <c r="BE27" i="83" a="1"/>
  <c r="BE27" i="83"/>
  <c r="BF27" i="83" a="1"/>
  <c r="BF27" i="83"/>
  <c r="BG27" i="83" a="1"/>
  <c r="BG27" i="83"/>
  <c r="BH27" i="83" a="1"/>
  <c r="BH27" i="83"/>
  <c r="BJ27" i="83" a="1"/>
  <c r="BJ27" i="83"/>
  <c r="BK27" i="83" a="1"/>
  <c r="BK27" i="83"/>
  <c r="BL27" i="83" a="1"/>
  <c r="BL27" i="83"/>
  <c r="BM27" i="83" a="1"/>
  <c r="BM27" i="83"/>
  <c r="BN27" i="83" a="1"/>
  <c r="BN27" i="83"/>
  <c r="BO27" i="83" a="1"/>
  <c r="BO27" i="83"/>
  <c r="BP27" i="83" a="1"/>
  <c r="BP27" i="83"/>
  <c r="BQ27" i="83" a="1"/>
  <c r="BQ27" i="83"/>
  <c r="BR27" i="83" a="1"/>
  <c r="BR27" i="83"/>
  <c r="BS27" i="83" a="1"/>
  <c r="BS27" i="83"/>
  <c r="BT27" i="83" a="1"/>
  <c r="BT27" i="83"/>
  <c r="BU27" i="83" a="1"/>
  <c r="BU27" i="83"/>
  <c r="BV27" i="83" a="1"/>
  <c r="BV27" i="83"/>
  <c r="BW27" i="83" a="1"/>
  <c r="BW27" i="83"/>
  <c r="BX27" i="83" a="1"/>
  <c r="BX27" i="83"/>
  <c r="BY27" i="83" a="1"/>
  <c r="BY27" i="83"/>
  <c r="BZ27" i="83" a="1"/>
  <c r="BZ27" i="83"/>
  <c r="CA27" i="83" a="1"/>
  <c r="CA27" i="83"/>
  <c r="CC27" i="83" a="1"/>
  <c r="CC27" i="83"/>
  <c r="CD27" i="83" a="1"/>
  <c r="CD27" i="83"/>
  <c r="CE27" i="83" a="1"/>
  <c r="CE27" i="83"/>
  <c r="CF27" i="83" a="1"/>
  <c r="CF27" i="83"/>
  <c r="CG27" i="83" a="1"/>
  <c r="CG27" i="83"/>
  <c r="CH27" i="83" a="1"/>
  <c r="CH27" i="83"/>
  <c r="CI27" i="83" a="1"/>
  <c r="CI27" i="83"/>
  <c r="CJ27" i="83" a="1"/>
  <c r="CJ27" i="83"/>
  <c r="CK27" i="83" a="1"/>
  <c r="CK27" i="83"/>
  <c r="CL27" i="83" a="1"/>
  <c r="CL27" i="83"/>
  <c r="CM27" i="83" a="1"/>
  <c r="CM27" i="83"/>
  <c r="CN27" i="83" a="1"/>
  <c r="CN27" i="83"/>
  <c r="CO27" i="83" a="1"/>
  <c r="CO27" i="83"/>
  <c r="CP27" i="83" a="1"/>
  <c r="CP27" i="83"/>
  <c r="CQ27" i="83" a="1"/>
  <c r="CQ27" i="83"/>
  <c r="CR27" i="83" a="1"/>
  <c r="CR27" i="83"/>
  <c r="CS27" i="83" a="1"/>
  <c r="CS27" i="83"/>
  <c r="CT27" i="83" a="1"/>
  <c r="CT27" i="83"/>
  <c r="CV27" i="83" a="1"/>
  <c r="CV27" i="83"/>
  <c r="CW27" i="83" a="1"/>
  <c r="CW27" i="83"/>
  <c r="CX27" i="83" a="1"/>
  <c r="CX27" i="83"/>
  <c r="CY27" i="83" a="1"/>
  <c r="CY27" i="83"/>
  <c r="CZ27" i="83" a="1"/>
  <c r="CZ27" i="83"/>
  <c r="DA27" i="83" a="1"/>
  <c r="DA27" i="83"/>
  <c r="DB27" i="83" a="1"/>
  <c r="DB27" i="83"/>
  <c r="DC27" i="83" a="1"/>
  <c r="DC27" i="83"/>
  <c r="DD27" i="83" a="1"/>
  <c r="DD27" i="83"/>
  <c r="DE27" i="83" a="1"/>
  <c r="DE27" i="83"/>
  <c r="DF27" i="83" a="1"/>
  <c r="DF27" i="83"/>
  <c r="DG27" i="83" a="1"/>
  <c r="DG27" i="83"/>
  <c r="DH27" i="83" a="1"/>
  <c r="DH27" i="83"/>
  <c r="DI27" i="83" a="1"/>
  <c r="DI27" i="83"/>
  <c r="DJ27" i="83" a="1"/>
  <c r="DJ27" i="83"/>
  <c r="DK27" i="83" a="1"/>
  <c r="DK27" i="83"/>
  <c r="DL27" i="83" a="1"/>
  <c r="DL27" i="83"/>
  <c r="DM27" i="83" a="1"/>
  <c r="DM27" i="83"/>
  <c r="DO27" i="83" a="1"/>
  <c r="DO27" i="83"/>
  <c r="DP27" i="83" a="1"/>
  <c r="DP27" i="83"/>
  <c r="DQ27" i="83" a="1"/>
  <c r="DQ27" i="83"/>
  <c r="DR27" i="83" a="1"/>
  <c r="DR27" i="83"/>
  <c r="DS27" i="83" a="1"/>
  <c r="DS27" i="83"/>
  <c r="DT27" i="83" a="1"/>
  <c r="DT27" i="83"/>
  <c r="DU27" i="83" a="1"/>
  <c r="DU27" i="83"/>
  <c r="DV27" i="83" a="1"/>
  <c r="DV27" i="83"/>
  <c r="DW27" i="83" a="1"/>
  <c r="DW27" i="83"/>
  <c r="DX27" i="83" a="1"/>
  <c r="DX27" i="83"/>
  <c r="DY27" i="83" a="1"/>
  <c r="DY27" i="83"/>
  <c r="DZ27" i="83" a="1"/>
  <c r="DZ27" i="83"/>
  <c r="EA27" i="83" a="1"/>
  <c r="EA27" i="83"/>
  <c r="EB27" i="83" a="1"/>
  <c r="EB27" i="83"/>
  <c r="EC27" i="83" a="1"/>
  <c r="EC27" i="83"/>
  <c r="ED27" i="83" a="1"/>
  <c r="ED27" i="83"/>
  <c r="EE27" i="83" a="1"/>
  <c r="EE27" i="83"/>
  <c r="EF27" i="83" a="1"/>
  <c r="EF27" i="83"/>
  <c r="EH27" i="83" a="1"/>
  <c r="EH27" i="83"/>
  <c r="EI27" i="83" a="1"/>
  <c r="EI27" i="83"/>
  <c r="EJ27" i="83" a="1"/>
  <c r="EJ27" i="83"/>
  <c r="EK27" i="83" a="1"/>
  <c r="EK27" i="83"/>
  <c r="EL27" i="83" a="1"/>
  <c r="EL27" i="83"/>
  <c r="EM27" i="83" a="1"/>
  <c r="EM27" i="83"/>
  <c r="EN27" i="83" a="1"/>
  <c r="EN27" i="83"/>
  <c r="EO27" i="83" a="1"/>
  <c r="EO27" i="83"/>
  <c r="EP27" i="83" a="1"/>
  <c r="EP27" i="83"/>
  <c r="EQ27" i="83" a="1"/>
  <c r="EQ27" i="83"/>
  <c r="ER27" i="83" a="1"/>
  <c r="ER27" i="83"/>
  <c r="ES27" i="83" a="1"/>
  <c r="ES27" i="83"/>
  <c r="ET27" i="83" a="1"/>
  <c r="ET27" i="83"/>
  <c r="EU27" i="83" a="1"/>
  <c r="EU27" i="83"/>
  <c r="EV27" i="83" a="1"/>
  <c r="EV27" i="83"/>
  <c r="EW27" i="83" a="1"/>
  <c r="EW27" i="83"/>
  <c r="EX27" i="83" a="1"/>
  <c r="EX27" i="83"/>
  <c r="EY27" i="83" a="1"/>
  <c r="EY27" i="83"/>
  <c r="FA27" i="83" a="1"/>
  <c r="FA27" i="83"/>
  <c r="FB27" i="83" a="1"/>
  <c r="FB27" i="83"/>
  <c r="FC27" i="83" a="1"/>
  <c r="FC27" i="83"/>
  <c r="FD27" i="83" a="1"/>
  <c r="FD27" i="83"/>
  <c r="FE27" i="83" a="1"/>
  <c r="FE27" i="83"/>
  <c r="FF27" i="83" a="1"/>
  <c r="FF27" i="83"/>
  <c r="FG27" i="83" a="1"/>
  <c r="FG27" i="83"/>
  <c r="FH27" i="83" a="1"/>
  <c r="FH27" i="83"/>
  <c r="FI27" i="83" a="1"/>
  <c r="FI27" i="83"/>
  <c r="FJ27" i="83" a="1"/>
  <c r="FJ27" i="83"/>
  <c r="FK27" i="83" a="1"/>
  <c r="FK27" i="83"/>
  <c r="FL27" i="83" a="1"/>
  <c r="FL27" i="83"/>
  <c r="FM27" i="83" a="1"/>
  <c r="FM27" i="83"/>
  <c r="FN27" i="83" a="1"/>
  <c r="FN27" i="83"/>
  <c r="FO27" i="83" a="1"/>
  <c r="FO27" i="83"/>
  <c r="FP27" i="83" a="1"/>
  <c r="FP27" i="83"/>
  <c r="FQ27" i="83" a="1"/>
  <c r="FQ27" i="83"/>
  <c r="FS27" i="83" a="1"/>
  <c r="FS27" i="83"/>
  <c r="FT27" i="83" a="1"/>
  <c r="FT27" i="83"/>
  <c r="FU27" i="83" a="1"/>
  <c r="FU27" i="83"/>
  <c r="FV27" i="83" a="1"/>
  <c r="FV27" i="83"/>
  <c r="FW27" i="83" a="1"/>
  <c r="FW27" i="83"/>
  <c r="FX27" i="83" a="1"/>
  <c r="FX27" i="83"/>
  <c r="FY27" i="83" a="1"/>
  <c r="FY27" i="83"/>
  <c r="FZ27" i="83" a="1"/>
  <c r="FZ27" i="83"/>
  <c r="GA27" i="83" a="1"/>
  <c r="GA27" i="83"/>
  <c r="GB27" i="83" a="1"/>
  <c r="GB27" i="83"/>
  <c r="GC27" i="83" a="1"/>
  <c r="GC27" i="83"/>
  <c r="GD27" i="83" a="1"/>
  <c r="GD27" i="83"/>
  <c r="GE27" i="83" a="1"/>
  <c r="GE27" i="83"/>
  <c r="GF27" i="83" a="1"/>
  <c r="GF27" i="83"/>
  <c r="GG27" i="83" a="1"/>
  <c r="GG27" i="83"/>
  <c r="GH27" i="83" a="1"/>
  <c r="GH27" i="83"/>
  <c r="GI27" i="83" a="1"/>
  <c r="GI27" i="83"/>
  <c r="GK27" i="83" a="1"/>
  <c r="GK27" i="83"/>
  <c r="GL27" i="83" a="1"/>
  <c r="GL27" i="83"/>
  <c r="GM27" i="83" a="1"/>
  <c r="GM27" i="83"/>
  <c r="GN27" i="83" a="1"/>
  <c r="GN27" i="83"/>
  <c r="GO27" i="83" a="1"/>
  <c r="GO27" i="83"/>
  <c r="GP27" i="83" a="1"/>
  <c r="GP27" i="83"/>
  <c r="GQ27" i="83" a="1"/>
  <c r="GQ27" i="83"/>
  <c r="GR27" i="83" a="1"/>
  <c r="GR27" i="83"/>
  <c r="GS27" i="83" a="1"/>
  <c r="GS27" i="83"/>
  <c r="GT27" i="83" a="1"/>
  <c r="GT27" i="83"/>
  <c r="GU27" i="83" a="1"/>
  <c r="GU27" i="83"/>
  <c r="GV27" i="83" a="1"/>
  <c r="GV27" i="83"/>
  <c r="GW27" i="83" a="1"/>
  <c r="GW27" i="83"/>
  <c r="GX27" i="83" a="1"/>
  <c r="GX27" i="83"/>
  <c r="GY27" i="83" a="1"/>
  <c r="GY27" i="83"/>
  <c r="GZ27" i="83" a="1"/>
  <c r="GZ27" i="83"/>
  <c r="HA27" i="83" a="1"/>
  <c r="HA27" i="83"/>
  <c r="E28" i="83" a="1"/>
  <c r="E28" i="83"/>
  <c r="F28" i="83" a="1"/>
  <c r="F28" i="83"/>
  <c r="G28" i="83" a="1"/>
  <c r="G28" i="83"/>
  <c r="H28" i="83" a="1"/>
  <c r="H28" i="83"/>
  <c r="I28" i="83" a="1"/>
  <c r="I28" i="83"/>
  <c r="J28" i="83" a="1"/>
  <c r="J28" i="83"/>
  <c r="K28" i="83" a="1"/>
  <c r="K28" i="83"/>
  <c r="L28" i="83" a="1"/>
  <c r="L28" i="83"/>
  <c r="M28" i="83" a="1"/>
  <c r="M28" i="83"/>
  <c r="N28" i="83" a="1"/>
  <c r="N28" i="83"/>
  <c r="O28" i="83" a="1"/>
  <c r="O28" i="83"/>
  <c r="P28" i="83" a="1"/>
  <c r="P28" i="83"/>
  <c r="Q28" i="83" a="1"/>
  <c r="Q28" i="83"/>
  <c r="R28" i="83" a="1"/>
  <c r="R28" i="83"/>
  <c r="S28" i="83" a="1"/>
  <c r="S28" i="83"/>
  <c r="T28" i="83" a="1"/>
  <c r="T28" i="83"/>
  <c r="U28" i="83" a="1"/>
  <c r="U28" i="83"/>
  <c r="V28" i="83" a="1"/>
  <c r="V28" i="83"/>
  <c r="W28" i="83"/>
  <c r="X28" i="83" a="1"/>
  <c r="X28" i="83"/>
  <c r="Y28" i="83" a="1"/>
  <c r="Y28" i="83"/>
  <c r="Z28" i="83" a="1"/>
  <c r="Z28" i="83"/>
  <c r="AA28" i="83" a="1"/>
  <c r="AA28" i="83"/>
  <c r="AB28" i="83" a="1"/>
  <c r="AB28" i="83"/>
  <c r="AC28" i="83" a="1"/>
  <c r="AC28" i="83"/>
  <c r="AD28" i="83" a="1"/>
  <c r="AD28" i="83"/>
  <c r="AE28" i="83" a="1"/>
  <c r="AE28" i="83"/>
  <c r="AF28" i="83" a="1"/>
  <c r="AF28" i="83"/>
  <c r="AG28" i="83" a="1"/>
  <c r="AG28" i="83"/>
  <c r="AH28" i="83" a="1"/>
  <c r="AH28" i="83"/>
  <c r="AI28" i="83" a="1"/>
  <c r="AI28" i="83"/>
  <c r="AJ28" i="83" a="1"/>
  <c r="AJ28" i="83"/>
  <c r="AK28" i="83" a="1"/>
  <c r="AK28" i="83"/>
  <c r="AL28" i="83" a="1"/>
  <c r="AL28" i="83"/>
  <c r="AM28" i="83" a="1"/>
  <c r="AM28" i="83"/>
  <c r="AN28" i="83" a="1"/>
  <c r="AN28" i="83"/>
  <c r="AO28" i="83" a="1"/>
  <c r="AO28" i="83"/>
  <c r="AQ28" i="83" a="1"/>
  <c r="AQ28" i="83"/>
  <c r="AR28" i="83" a="1"/>
  <c r="AR28" i="83"/>
  <c r="AS28" i="83" a="1"/>
  <c r="AS28" i="83"/>
  <c r="AT28" i="83" a="1"/>
  <c r="AT28" i="83"/>
  <c r="AU28" i="83" a="1"/>
  <c r="AU28" i="83"/>
  <c r="AV28" i="83" a="1"/>
  <c r="AV28" i="83"/>
  <c r="AW28" i="83" a="1"/>
  <c r="AW28" i="83"/>
  <c r="AX28" i="83" a="1"/>
  <c r="AX28" i="83"/>
  <c r="AY28" i="83" a="1"/>
  <c r="AY28" i="83"/>
  <c r="AZ28" i="83" a="1"/>
  <c r="AZ28" i="83"/>
  <c r="BA28" i="83" a="1"/>
  <c r="BA28" i="83"/>
  <c r="BB28" i="83" a="1"/>
  <c r="BB28" i="83"/>
  <c r="BC28" i="83" a="1"/>
  <c r="BC28" i="83"/>
  <c r="BD28" i="83" a="1"/>
  <c r="BD28" i="83"/>
  <c r="BE28" i="83" a="1"/>
  <c r="BE28" i="83"/>
  <c r="BF28" i="83" a="1"/>
  <c r="BF28" i="83"/>
  <c r="BG28" i="83" a="1"/>
  <c r="BG28" i="83"/>
  <c r="BH28" i="83" a="1"/>
  <c r="BH28" i="83"/>
  <c r="BJ28" i="83" a="1"/>
  <c r="BJ28" i="83"/>
  <c r="BK28" i="83" a="1"/>
  <c r="BK28" i="83"/>
  <c r="BL28" i="83" a="1"/>
  <c r="BL28" i="83"/>
  <c r="BM28" i="83" a="1"/>
  <c r="BM28" i="83"/>
  <c r="BN28" i="83" a="1"/>
  <c r="BN28" i="83"/>
  <c r="BO28" i="83" a="1"/>
  <c r="BO28" i="83"/>
  <c r="BP28" i="83" a="1"/>
  <c r="BP28" i="83"/>
  <c r="BQ28" i="83" a="1"/>
  <c r="BQ28" i="83"/>
  <c r="BR28" i="83" a="1"/>
  <c r="BR28" i="83"/>
  <c r="BS28" i="83" a="1"/>
  <c r="BS28" i="83"/>
  <c r="BT28" i="83" a="1"/>
  <c r="BT28" i="83"/>
  <c r="BU28" i="83" a="1"/>
  <c r="BU28" i="83"/>
  <c r="BV28" i="83" a="1"/>
  <c r="BV28" i="83"/>
  <c r="BW28" i="83" a="1"/>
  <c r="BW28" i="83"/>
  <c r="BX28" i="83" a="1"/>
  <c r="BX28" i="83"/>
  <c r="BY28" i="83" a="1"/>
  <c r="BY28" i="83"/>
  <c r="BZ28" i="83" a="1"/>
  <c r="BZ28" i="83"/>
  <c r="CA28" i="83" a="1"/>
  <c r="CA28" i="83"/>
  <c r="CC28" i="83" a="1"/>
  <c r="CC28" i="83"/>
  <c r="CD28" i="83" a="1"/>
  <c r="CD28" i="83"/>
  <c r="CE28" i="83" a="1"/>
  <c r="CE28" i="83"/>
  <c r="CF28" i="83" a="1"/>
  <c r="CF28" i="83"/>
  <c r="CG28" i="83" a="1"/>
  <c r="CG28" i="83"/>
  <c r="CH28" i="83" a="1"/>
  <c r="CH28" i="83"/>
  <c r="CI28" i="83" a="1"/>
  <c r="CI28" i="83"/>
  <c r="CJ28" i="83" a="1"/>
  <c r="CJ28" i="83"/>
  <c r="CK28" i="83" a="1"/>
  <c r="CK28" i="83"/>
  <c r="CL28" i="83" a="1"/>
  <c r="CL28" i="83"/>
  <c r="CM28" i="83" a="1"/>
  <c r="CM28" i="83"/>
  <c r="CN28" i="83" a="1"/>
  <c r="CN28" i="83"/>
  <c r="CO28" i="83" a="1"/>
  <c r="CO28" i="83"/>
  <c r="CP28" i="83" a="1"/>
  <c r="CP28" i="83"/>
  <c r="CQ28" i="83" a="1"/>
  <c r="CQ28" i="83"/>
  <c r="CR28" i="83" a="1"/>
  <c r="CR28" i="83"/>
  <c r="CS28" i="83" a="1"/>
  <c r="CS28" i="83"/>
  <c r="CT28" i="83" a="1"/>
  <c r="CT28" i="83"/>
  <c r="CV28" i="83" a="1"/>
  <c r="CV28" i="83"/>
  <c r="CW28" i="83" a="1"/>
  <c r="CW28" i="83"/>
  <c r="CX28" i="83" a="1"/>
  <c r="CX28" i="83"/>
  <c r="CY28" i="83" a="1"/>
  <c r="CY28" i="83"/>
  <c r="CZ28" i="83" a="1"/>
  <c r="CZ28" i="83"/>
  <c r="DA28" i="83" a="1"/>
  <c r="DA28" i="83"/>
  <c r="DB28" i="83" a="1"/>
  <c r="DB28" i="83"/>
  <c r="DC28" i="83" a="1"/>
  <c r="DC28" i="83"/>
  <c r="DD28" i="83" a="1"/>
  <c r="DD28" i="83"/>
  <c r="DE28" i="83" a="1"/>
  <c r="DE28" i="83"/>
  <c r="DF28" i="83" a="1"/>
  <c r="DF28" i="83"/>
  <c r="DG28" i="83" a="1"/>
  <c r="DG28" i="83"/>
  <c r="DH28" i="83" a="1"/>
  <c r="DH28" i="83"/>
  <c r="DI28" i="83" a="1"/>
  <c r="DI28" i="83"/>
  <c r="DJ28" i="83" a="1"/>
  <c r="DJ28" i="83"/>
  <c r="DK28" i="83" a="1"/>
  <c r="DK28" i="83"/>
  <c r="DL28" i="83" a="1"/>
  <c r="DL28" i="83"/>
  <c r="DM28" i="83" a="1"/>
  <c r="DM28" i="83"/>
  <c r="DO28" i="83" a="1"/>
  <c r="DO28" i="83"/>
  <c r="DP28" i="83" a="1"/>
  <c r="DP28" i="83"/>
  <c r="DQ28" i="83" a="1"/>
  <c r="DQ28" i="83"/>
  <c r="DR28" i="83" a="1"/>
  <c r="DR28" i="83"/>
  <c r="DS28" i="83" a="1"/>
  <c r="DS28" i="83"/>
  <c r="DT28" i="83" a="1"/>
  <c r="DT28" i="83"/>
  <c r="DU28" i="83" a="1"/>
  <c r="DU28" i="83"/>
  <c r="DV28" i="83" a="1"/>
  <c r="DV28" i="83"/>
  <c r="DW28" i="83" a="1"/>
  <c r="DW28" i="83"/>
  <c r="DX28" i="83" a="1"/>
  <c r="DX28" i="83"/>
  <c r="DY28" i="83" a="1"/>
  <c r="DY28" i="83"/>
  <c r="DZ28" i="83" a="1"/>
  <c r="DZ28" i="83"/>
  <c r="EA28" i="83" a="1"/>
  <c r="EA28" i="83"/>
  <c r="EB28" i="83" a="1"/>
  <c r="EB28" i="83"/>
  <c r="EC28" i="83" a="1"/>
  <c r="EC28" i="83"/>
  <c r="ED28" i="83" a="1"/>
  <c r="ED28" i="83"/>
  <c r="EE28" i="83" a="1"/>
  <c r="EE28" i="83"/>
  <c r="EF28" i="83" a="1"/>
  <c r="EF28" i="83"/>
  <c r="EH28" i="83" a="1"/>
  <c r="EH28" i="83"/>
  <c r="EI28" i="83" a="1"/>
  <c r="EI28" i="83"/>
  <c r="EJ28" i="83" a="1"/>
  <c r="EJ28" i="83"/>
  <c r="EK28" i="83" a="1"/>
  <c r="EK28" i="83"/>
  <c r="EL28" i="83" a="1"/>
  <c r="EL28" i="83"/>
  <c r="EM28" i="83" a="1"/>
  <c r="EM28" i="83"/>
  <c r="EN28" i="83" a="1"/>
  <c r="EN28" i="83"/>
  <c r="EO28" i="83" a="1"/>
  <c r="EO28" i="83"/>
  <c r="EP28" i="83" a="1"/>
  <c r="EP28" i="83"/>
  <c r="EQ28" i="83" a="1"/>
  <c r="EQ28" i="83"/>
  <c r="ER28" i="83" a="1"/>
  <c r="ER28" i="83"/>
  <c r="ES28" i="83" a="1"/>
  <c r="ES28" i="83"/>
  <c r="ET28" i="83" a="1"/>
  <c r="ET28" i="83"/>
  <c r="EU28" i="83" a="1"/>
  <c r="EU28" i="83"/>
  <c r="EV28" i="83" a="1"/>
  <c r="EV28" i="83"/>
  <c r="EW28" i="83" a="1"/>
  <c r="EW28" i="83"/>
  <c r="EX28" i="83" a="1"/>
  <c r="EX28" i="83"/>
  <c r="EY28" i="83" a="1"/>
  <c r="EY28" i="83"/>
  <c r="FA28" i="83" a="1"/>
  <c r="FA28" i="83"/>
  <c r="FB28" i="83" a="1"/>
  <c r="FB28" i="83"/>
  <c r="FC28" i="83" a="1"/>
  <c r="FC28" i="83"/>
  <c r="FD28" i="83" a="1"/>
  <c r="FD28" i="83"/>
  <c r="FE28" i="83" a="1"/>
  <c r="FE28" i="83"/>
  <c r="FF28" i="83" a="1"/>
  <c r="FF28" i="83"/>
  <c r="FG28" i="83" a="1"/>
  <c r="FG28" i="83"/>
  <c r="FH28" i="83" a="1"/>
  <c r="FH28" i="83"/>
  <c r="FI28" i="83" a="1"/>
  <c r="FI28" i="83"/>
  <c r="FJ28" i="83" a="1"/>
  <c r="FJ28" i="83"/>
  <c r="FK28" i="83" a="1"/>
  <c r="FK28" i="83"/>
  <c r="FL28" i="83" a="1"/>
  <c r="FL28" i="83"/>
  <c r="FM28" i="83" a="1"/>
  <c r="FM28" i="83"/>
  <c r="FN28" i="83" a="1"/>
  <c r="FN28" i="83"/>
  <c r="FO28" i="83" a="1"/>
  <c r="FO28" i="83"/>
  <c r="FP28" i="83" a="1"/>
  <c r="FP28" i="83"/>
  <c r="FQ28" i="83" a="1"/>
  <c r="FQ28" i="83"/>
  <c r="FS28" i="83" a="1"/>
  <c r="FS28" i="83"/>
  <c r="FT28" i="83" a="1"/>
  <c r="FT28" i="83"/>
  <c r="FU28" i="83" a="1"/>
  <c r="FU28" i="83"/>
  <c r="FV28" i="83" a="1"/>
  <c r="FV28" i="83"/>
  <c r="FW28" i="83" a="1"/>
  <c r="FW28" i="83"/>
  <c r="FX28" i="83" a="1"/>
  <c r="FX28" i="83"/>
  <c r="FY28" i="83" a="1"/>
  <c r="FY28" i="83"/>
  <c r="FZ28" i="83" a="1"/>
  <c r="FZ28" i="83"/>
  <c r="GA28" i="83" a="1"/>
  <c r="GA28" i="83"/>
  <c r="GB28" i="83" a="1"/>
  <c r="GB28" i="83"/>
  <c r="GC28" i="83" a="1"/>
  <c r="GC28" i="83"/>
  <c r="GD28" i="83" a="1"/>
  <c r="GD28" i="83"/>
  <c r="GE28" i="83" a="1"/>
  <c r="GE28" i="83"/>
  <c r="GF28" i="83" a="1"/>
  <c r="GF28" i="83"/>
  <c r="GG28" i="83" a="1"/>
  <c r="GG28" i="83"/>
  <c r="GH28" i="83" a="1"/>
  <c r="GH28" i="83"/>
  <c r="GI28" i="83" a="1"/>
  <c r="GI28" i="83"/>
  <c r="GK28" i="83" a="1"/>
  <c r="GK28" i="83"/>
  <c r="GL28" i="83" a="1"/>
  <c r="GL28" i="83"/>
  <c r="GM28" i="83" a="1"/>
  <c r="GM28" i="83"/>
  <c r="GN28" i="83" a="1"/>
  <c r="GN28" i="83"/>
  <c r="GO28" i="83" a="1"/>
  <c r="GO28" i="83"/>
  <c r="GP28" i="83" a="1"/>
  <c r="GP28" i="83"/>
  <c r="GQ28" i="83" a="1"/>
  <c r="GQ28" i="83"/>
  <c r="GR28" i="83" a="1"/>
  <c r="GR28" i="83"/>
  <c r="GS28" i="83" a="1"/>
  <c r="GS28" i="83"/>
  <c r="GT28" i="83" a="1"/>
  <c r="GT28" i="83"/>
  <c r="GU28" i="83" a="1"/>
  <c r="GU28" i="83"/>
  <c r="GV28" i="83" a="1"/>
  <c r="GV28" i="83"/>
  <c r="GW28" i="83" a="1"/>
  <c r="GW28" i="83"/>
  <c r="GX28" i="83" a="1"/>
  <c r="GX28" i="83"/>
  <c r="GY28" i="83" a="1"/>
  <c r="GY28" i="83"/>
  <c r="GZ28" i="83" a="1"/>
  <c r="GZ28" i="83"/>
  <c r="HA28" i="83" a="1"/>
  <c r="HA28" i="83"/>
  <c r="E29" i="83" a="1"/>
  <c r="E29" i="83"/>
  <c r="F29" i="83" a="1"/>
  <c r="F29" i="83"/>
  <c r="G29" i="83" a="1"/>
  <c r="G29" i="83"/>
  <c r="H29" i="83" a="1"/>
  <c r="H29" i="83"/>
  <c r="I29" i="83" a="1"/>
  <c r="I29" i="83"/>
  <c r="J29" i="83" a="1"/>
  <c r="J29" i="83"/>
  <c r="K29" i="83" a="1"/>
  <c r="K29" i="83"/>
  <c r="L29" i="83" a="1"/>
  <c r="L29" i="83"/>
  <c r="M29" i="83" a="1"/>
  <c r="M29" i="83"/>
  <c r="N29" i="83" a="1"/>
  <c r="N29" i="83"/>
  <c r="O29" i="83" a="1"/>
  <c r="O29" i="83"/>
  <c r="P29" i="83" a="1"/>
  <c r="P29" i="83"/>
  <c r="Q29" i="83" a="1"/>
  <c r="Q29" i="83"/>
  <c r="R29" i="83" a="1"/>
  <c r="R29" i="83"/>
  <c r="S29" i="83" a="1"/>
  <c r="S29" i="83"/>
  <c r="T29" i="83" a="1"/>
  <c r="T29" i="83"/>
  <c r="U29" i="83" a="1"/>
  <c r="U29" i="83"/>
  <c r="V29" i="83" a="1"/>
  <c r="V29" i="83"/>
  <c r="W29" i="83"/>
  <c r="X29" i="83" a="1"/>
  <c r="X29" i="83"/>
  <c r="Y29" i="83" a="1"/>
  <c r="Y29" i="83"/>
  <c r="Z29" i="83" a="1"/>
  <c r="Z29" i="83"/>
  <c r="AA29" i="83" a="1"/>
  <c r="AA29" i="83"/>
  <c r="AB29" i="83" a="1"/>
  <c r="AB29" i="83"/>
  <c r="AC29" i="83" a="1"/>
  <c r="AC29" i="83"/>
  <c r="AD29" i="83" a="1"/>
  <c r="AD29" i="83"/>
  <c r="AE29" i="83" a="1"/>
  <c r="AE29" i="83"/>
  <c r="AF29" i="83" a="1"/>
  <c r="AF29" i="83"/>
  <c r="AG29" i="83" a="1"/>
  <c r="AG29" i="83"/>
  <c r="AH29" i="83" a="1"/>
  <c r="AH29" i="83"/>
  <c r="AI29" i="83" a="1"/>
  <c r="AI29" i="83"/>
  <c r="AJ29" i="83" a="1"/>
  <c r="AJ29" i="83"/>
  <c r="AK29" i="83" a="1"/>
  <c r="AK29" i="83"/>
  <c r="AL29" i="83" a="1"/>
  <c r="AL29" i="83"/>
  <c r="AM29" i="83" a="1"/>
  <c r="AM29" i="83"/>
  <c r="AN29" i="83" a="1"/>
  <c r="AN29" i="83"/>
  <c r="AO29" i="83" a="1"/>
  <c r="AO29" i="83"/>
  <c r="AQ29" i="83" a="1"/>
  <c r="AQ29" i="83"/>
  <c r="AR29" i="83" a="1"/>
  <c r="AR29" i="83"/>
  <c r="AS29" i="83" a="1"/>
  <c r="AS29" i="83"/>
  <c r="AT29" i="83" a="1"/>
  <c r="AT29" i="83"/>
  <c r="AU29" i="83" a="1"/>
  <c r="AU29" i="83"/>
  <c r="AV29" i="83" a="1"/>
  <c r="AV29" i="83"/>
  <c r="AW29" i="83" a="1"/>
  <c r="AW29" i="83"/>
  <c r="AX29" i="83" a="1"/>
  <c r="AX29" i="83"/>
  <c r="AY29" i="83" a="1"/>
  <c r="AY29" i="83"/>
  <c r="AZ29" i="83" a="1"/>
  <c r="AZ29" i="83"/>
  <c r="BA29" i="83" a="1"/>
  <c r="BA29" i="83"/>
  <c r="BB29" i="83" a="1"/>
  <c r="BB29" i="83"/>
  <c r="BC29" i="83" a="1"/>
  <c r="BC29" i="83"/>
  <c r="BD29" i="83" a="1"/>
  <c r="BD29" i="83"/>
  <c r="BE29" i="83" a="1"/>
  <c r="BE29" i="83"/>
  <c r="BF29" i="83" a="1"/>
  <c r="BF29" i="83"/>
  <c r="BG29" i="83" a="1"/>
  <c r="BG29" i="83"/>
  <c r="BH29" i="83" a="1"/>
  <c r="BH29" i="83"/>
  <c r="BJ29" i="83" a="1"/>
  <c r="BJ29" i="83"/>
  <c r="BK29" i="83" a="1"/>
  <c r="BK29" i="83"/>
  <c r="BL29" i="83" a="1"/>
  <c r="BL29" i="83"/>
  <c r="BM29" i="83" a="1"/>
  <c r="BM29" i="83"/>
  <c r="BN29" i="83" a="1"/>
  <c r="BN29" i="83"/>
  <c r="BO29" i="83" a="1"/>
  <c r="BO29" i="83"/>
  <c r="BP29" i="83" a="1"/>
  <c r="BP29" i="83"/>
  <c r="BQ29" i="83" a="1"/>
  <c r="BQ29" i="83"/>
  <c r="BR29" i="83" a="1"/>
  <c r="BR29" i="83"/>
  <c r="BS29" i="83" a="1"/>
  <c r="BS29" i="83"/>
  <c r="BT29" i="83" a="1"/>
  <c r="BT29" i="83"/>
  <c r="BU29" i="83" a="1"/>
  <c r="BU29" i="83"/>
  <c r="BV29" i="83" a="1"/>
  <c r="BV29" i="83"/>
  <c r="BW29" i="83" a="1"/>
  <c r="BW29" i="83"/>
  <c r="BX29" i="83" a="1"/>
  <c r="BX29" i="83"/>
  <c r="BY29" i="83" a="1"/>
  <c r="BY29" i="83"/>
  <c r="BZ29" i="83" a="1"/>
  <c r="BZ29" i="83"/>
  <c r="CA29" i="83" a="1"/>
  <c r="CA29" i="83"/>
  <c r="CC29" i="83" a="1"/>
  <c r="CC29" i="83"/>
  <c r="CD29" i="83" a="1"/>
  <c r="CD29" i="83"/>
  <c r="CE29" i="83" a="1"/>
  <c r="CE29" i="83"/>
  <c r="CF29" i="83" a="1"/>
  <c r="CF29" i="83"/>
  <c r="CG29" i="83" a="1"/>
  <c r="CG29" i="83"/>
  <c r="CH29" i="83" a="1"/>
  <c r="CH29" i="83"/>
  <c r="CI29" i="83" a="1"/>
  <c r="CI29" i="83"/>
  <c r="CJ29" i="83" a="1"/>
  <c r="CJ29" i="83"/>
  <c r="CK29" i="83" a="1"/>
  <c r="CK29" i="83"/>
  <c r="CL29" i="83" a="1"/>
  <c r="CL29" i="83"/>
  <c r="CM29" i="83" a="1"/>
  <c r="CM29" i="83"/>
  <c r="CN29" i="83" a="1"/>
  <c r="CN29" i="83"/>
  <c r="CO29" i="83" a="1"/>
  <c r="CO29" i="83"/>
  <c r="CP29" i="83" a="1"/>
  <c r="CP29" i="83"/>
  <c r="CQ29" i="83" a="1"/>
  <c r="CQ29" i="83"/>
  <c r="CR29" i="83" a="1"/>
  <c r="CR29" i="83"/>
  <c r="CS29" i="83" a="1"/>
  <c r="CS29" i="83"/>
  <c r="CT29" i="83" a="1"/>
  <c r="CT29" i="83"/>
  <c r="CV29" i="83" a="1"/>
  <c r="CV29" i="83"/>
  <c r="CW29" i="83" a="1"/>
  <c r="CW29" i="83"/>
  <c r="CX29" i="83" a="1"/>
  <c r="CX29" i="83"/>
  <c r="CY29" i="83" a="1"/>
  <c r="CY29" i="83"/>
  <c r="CZ29" i="83" a="1"/>
  <c r="CZ29" i="83"/>
  <c r="DA29" i="83" a="1"/>
  <c r="DA29" i="83"/>
  <c r="DB29" i="83" a="1"/>
  <c r="DB29" i="83"/>
  <c r="DC29" i="83" a="1"/>
  <c r="DC29" i="83"/>
  <c r="DD29" i="83" a="1"/>
  <c r="DD29" i="83"/>
  <c r="DE29" i="83" a="1"/>
  <c r="DE29" i="83"/>
  <c r="DF29" i="83" a="1"/>
  <c r="DF29" i="83"/>
  <c r="DG29" i="83" a="1"/>
  <c r="DG29" i="83"/>
  <c r="DH29" i="83" a="1"/>
  <c r="DH29" i="83"/>
  <c r="DI29" i="83" a="1"/>
  <c r="DI29" i="83"/>
  <c r="DJ29" i="83" a="1"/>
  <c r="DJ29" i="83"/>
  <c r="DK29" i="83" a="1"/>
  <c r="DK29" i="83"/>
  <c r="DL29" i="83" a="1"/>
  <c r="DL29" i="83"/>
  <c r="DM29" i="83" a="1"/>
  <c r="DM29" i="83"/>
  <c r="DO29" i="83" a="1"/>
  <c r="DO29" i="83"/>
  <c r="DP29" i="83" a="1"/>
  <c r="DP29" i="83"/>
  <c r="DQ29" i="83" a="1"/>
  <c r="DQ29" i="83"/>
  <c r="DR29" i="83" a="1"/>
  <c r="DR29" i="83"/>
  <c r="DS29" i="83" a="1"/>
  <c r="DS29" i="83"/>
  <c r="DT29" i="83" a="1"/>
  <c r="DT29" i="83"/>
  <c r="DU29" i="83" a="1"/>
  <c r="DU29" i="83"/>
  <c r="DV29" i="83" a="1"/>
  <c r="DV29" i="83"/>
  <c r="DW29" i="83" a="1"/>
  <c r="DW29" i="83"/>
  <c r="DX29" i="83" a="1"/>
  <c r="DX29" i="83"/>
  <c r="DY29" i="83" a="1"/>
  <c r="DY29" i="83"/>
  <c r="DZ29" i="83" a="1"/>
  <c r="DZ29" i="83"/>
  <c r="EA29" i="83" a="1"/>
  <c r="EA29" i="83"/>
  <c r="EB29" i="83" a="1"/>
  <c r="EB29" i="83"/>
  <c r="EC29" i="83" a="1"/>
  <c r="EC29" i="83"/>
  <c r="ED29" i="83" a="1"/>
  <c r="ED29" i="83"/>
  <c r="EE29" i="83" a="1"/>
  <c r="EE29" i="83"/>
  <c r="EF29" i="83" a="1"/>
  <c r="EF29" i="83"/>
  <c r="EH29" i="83" a="1"/>
  <c r="EH29" i="83"/>
  <c r="EI29" i="83" a="1"/>
  <c r="EI29" i="83"/>
  <c r="EJ29" i="83" a="1"/>
  <c r="EJ29" i="83"/>
  <c r="EK29" i="83" a="1"/>
  <c r="EK29" i="83"/>
  <c r="EL29" i="83" a="1"/>
  <c r="EL29" i="83"/>
  <c r="EM29" i="83" a="1"/>
  <c r="EM29" i="83"/>
  <c r="EN29" i="83" a="1"/>
  <c r="EN29" i="83"/>
  <c r="EO29" i="83" a="1"/>
  <c r="EO29" i="83"/>
  <c r="EP29" i="83" a="1"/>
  <c r="EP29" i="83"/>
  <c r="EQ29" i="83" a="1"/>
  <c r="EQ29" i="83"/>
  <c r="ER29" i="83" a="1"/>
  <c r="ER29" i="83"/>
  <c r="ES29" i="83" a="1"/>
  <c r="ES29" i="83"/>
  <c r="ET29" i="83" a="1"/>
  <c r="ET29" i="83"/>
  <c r="EU29" i="83" a="1"/>
  <c r="EU29" i="83"/>
  <c r="EV29" i="83" a="1"/>
  <c r="EV29" i="83"/>
  <c r="EW29" i="83" a="1"/>
  <c r="EW29" i="83"/>
  <c r="EX29" i="83" a="1"/>
  <c r="EX29" i="83"/>
  <c r="EY29" i="83" a="1"/>
  <c r="EY29" i="83"/>
  <c r="FA29" i="83" a="1"/>
  <c r="FA29" i="83"/>
  <c r="FB29" i="83" a="1"/>
  <c r="FB29" i="83"/>
  <c r="FC29" i="83" a="1"/>
  <c r="FC29" i="83"/>
  <c r="FD29" i="83" a="1"/>
  <c r="FD29" i="83"/>
  <c r="FE29" i="83" a="1"/>
  <c r="FE29" i="83"/>
  <c r="FF29" i="83" a="1"/>
  <c r="FF29" i="83"/>
  <c r="FG29" i="83" a="1"/>
  <c r="FG29" i="83"/>
  <c r="FH29" i="83" a="1"/>
  <c r="FH29" i="83"/>
  <c r="FI29" i="83" a="1"/>
  <c r="FI29" i="83"/>
  <c r="FJ29" i="83" a="1"/>
  <c r="FJ29" i="83"/>
  <c r="FK29" i="83" a="1"/>
  <c r="FK29" i="83"/>
  <c r="FL29" i="83" a="1"/>
  <c r="FL29" i="83"/>
  <c r="FM29" i="83" a="1"/>
  <c r="FM29" i="83"/>
  <c r="FN29" i="83" a="1"/>
  <c r="FN29" i="83"/>
  <c r="FO29" i="83" a="1"/>
  <c r="FO29" i="83"/>
  <c r="FP29" i="83" a="1"/>
  <c r="FP29" i="83"/>
  <c r="FQ29" i="83" a="1"/>
  <c r="FQ29" i="83"/>
  <c r="FS29" i="83" a="1"/>
  <c r="FS29" i="83"/>
  <c r="FT29" i="83" a="1"/>
  <c r="FT29" i="83"/>
  <c r="FU29" i="83" a="1"/>
  <c r="FU29" i="83"/>
  <c r="FV29" i="83" a="1"/>
  <c r="FV29" i="83"/>
  <c r="FW29" i="83" a="1"/>
  <c r="FW29" i="83"/>
  <c r="FX29" i="83" a="1"/>
  <c r="FX29" i="83"/>
  <c r="FY29" i="83" a="1"/>
  <c r="FY29" i="83"/>
  <c r="FZ29" i="83" a="1"/>
  <c r="FZ29" i="83"/>
  <c r="GA29" i="83" a="1"/>
  <c r="GA29" i="83"/>
  <c r="GB29" i="83" a="1"/>
  <c r="GB29" i="83"/>
  <c r="GC29" i="83" a="1"/>
  <c r="GC29" i="83"/>
  <c r="GD29" i="83" a="1"/>
  <c r="GD29" i="83"/>
  <c r="GE29" i="83" a="1"/>
  <c r="GE29" i="83"/>
  <c r="GF29" i="83" a="1"/>
  <c r="GF29" i="83"/>
  <c r="GG29" i="83" a="1"/>
  <c r="GG29" i="83"/>
  <c r="GH29" i="83" a="1"/>
  <c r="GH29" i="83"/>
  <c r="GI29" i="83" a="1"/>
  <c r="GI29" i="83"/>
  <c r="GK29" i="83" a="1"/>
  <c r="GK29" i="83"/>
  <c r="GL29" i="83" a="1"/>
  <c r="GL29" i="83"/>
  <c r="GM29" i="83" a="1"/>
  <c r="GM29" i="83"/>
  <c r="GN29" i="83" a="1"/>
  <c r="GN29" i="83"/>
  <c r="GO29" i="83" a="1"/>
  <c r="GO29" i="83"/>
  <c r="GP29" i="83" a="1"/>
  <c r="GP29" i="83"/>
  <c r="GQ29" i="83" a="1"/>
  <c r="GQ29" i="83"/>
  <c r="GR29" i="83" a="1"/>
  <c r="GR29" i="83"/>
  <c r="GS29" i="83" a="1"/>
  <c r="GS29" i="83"/>
  <c r="GT29" i="83" a="1"/>
  <c r="GT29" i="83"/>
  <c r="GU29" i="83" a="1"/>
  <c r="GU29" i="83"/>
  <c r="GV29" i="83" a="1"/>
  <c r="GV29" i="83"/>
  <c r="GW29" i="83" a="1"/>
  <c r="GW29" i="83"/>
  <c r="GX29" i="83" a="1"/>
  <c r="GX29" i="83"/>
  <c r="GY29" i="83" a="1"/>
  <c r="GY29" i="83"/>
  <c r="GZ29" i="83" a="1"/>
  <c r="GZ29" i="83"/>
  <c r="HA29" i="83" a="1"/>
  <c r="HA29" i="83"/>
  <c r="E30" i="83" a="1"/>
  <c r="E30" i="83"/>
  <c r="F30" i="83" a="1"/>
  <c r="F30" i="83"/>
  <c r="G30" i="83" a="1"/>
  <c r="G30" i="83"/>
  <c r="H30" i="83" a="1"/>
  <c r="H30" i="83"/>
  <c r="I30" i="83" a="1"/>
  <c r="I30" i="83"/>
  <c r="J30" i="83" a="1"/>
  <c r="J30" i="83"/>
  <c r="K30" i="83" a="1"/>
  <c r="K30" i="83"/>
  <c r="L30" i="83" a="1"/>
  <c r="L30" i="83"/>
  <c r="M30" i="83" a="1"/>
  <c r="M30" i="83"/>
  <c r="N30" i="83" a="1"/>
  <c r="N30" i="83"/>
  <c r="O30" i="83" a="1"/>
  <c r="O30" i="83"/>
  <c r="P30" i="83" a="1"/>
  <c r="P30" i="83"/>
  <c r="Q30" i="83" a="1"/>
  <c r="Q30" i="83"/>
  <c r="R30" i="83" a="1"/>
  <c r="R30" i="83"/>
  <c r="S30" i="83" a="1"/>
  <c r="S30" i="83"/>
  <c r="T30" i="83" a="1"/>
  <c r="T30" i="83"/>
  <c r="U30" i="83" a="1"/>
  <c r="U30" i="83"/>
  <c r="V30" i="83" a="1"/>
  <c r="V30" i="83"/>
  <c r="W30" i="83"/>
  <c r="X30" i="83" a="1"/>
  <c r="X30" i="83"/>
  <c r="Y30" i="83" a="1"/>
  <c r="Y30" i="83"/>
  <c r="Z30" i="83" a="1"/>
  <c r="Z30" i="83"/>
  <c r="AA30" i="83" a="1"/>
  <c r="AA30" i="83"/>
  <c r="AB30" i="83" a="1"/>
  <c r="AB30" i="83"/>
  <c r="AC30" i="83" a="1"/>
  <c r="AC30" i="83"/>
  <c r="AD30" i="83" a="1"/>
  <c r="AD30" i="83"/>
  <c r="AE30" i="83" a="1"/>
  <c r="AE30" i="83"/>
  <c r="AF30" i="83" a="1"/>
  <c r="AF30" i="83"/>
  <c r="AG30" i="83" a="1"/>
  <c r="AG30" i="83"/>
  <c r="AH30" i="83" a="1"/>
  <c r="AH30" i="83"/>
  <c r="AI30" i="83" a="1"/>
  <c r="AI30" i="83"/>
  <c r="AJ30" i="83" a="1"/>
  <c r="AJ30" i="83"/>
  <c r="AK30" i="83" a="1"/>
  <c r="AK30" i="83"/>
  <c r="AL30" i="83" a="1"/>
  <c r="AL30" i="83"/>
  <c r="AM30" i="83" a="1"/>
  <c r="AM30" i="83"/>
  <c r="AN30" i="83" a="1"/>
  <c r="AN30" i="83"/>
  <c r="AO30" i="83" a="1"/>
  <c r="AO30" i="83"/>
  <c r="AQ30" i="83" a="1"/>
  <c r="AQ30" i="83"/>
  <c r="AR30" i="83" a="1"/>
  <c r="AR30" i="83"/>
  <c r="AS30" i="83" a="1"/>
  <c r="AS30" i="83"/>
  <c r="AT30" i="83" a="1"/>
  <c r="AT30" i="83"/>
  <c r="AU30" i="83" a="1"/>
  <c r="AU30" i="83"/>
  <c r="AV30" i="83" a="1"/>
  <c r="AV30" i="83"/>
  <c r="AW30" i="83" a="1"/>
  <c r="AW30" i="83"/>
  <c r="AX30" i="83" a="1"/>
  <c r="AX30" i="83"/>
  <c r="AY30" i="83" a="1"/>
  <c r="AY30" i="83"/>
  <c r="AZ30" i="83" a="1"/>
  <c r="AZ30" i="83"/>
  <c r="BA30" i="83" a="1"/>
  <c r="BA30" i="83"/>
  <c r="BB30" i="83" a="1"/>
  <c r="BB30" i="83"/>
  <c r="BC30" i="83" a="1"/>
  <c r="BC30" i="83"/>
  <c r="BD30" i="83" a="1"/>
  <c r="BD30" i="83"/>
  <c r="BE30" i="83" a="1"/>
  <c r="BE30" i="83"/>
  <c r="BF30" i="83" a="1"/>
  <c r="BF30" i="83"/>
  <c r="BG30" i="83" a="1"/>
  <c r="BG30" i="83"/>
  <c r="BH30" i="83" a="1"/>
  <c r="BH30" i="83"/>
  <c r="BJ30" i="83" a="1"/>
  <c r="BJ30" i="83"/>
  <c r="BK30" i="83" a="1"/>
  <c r="BK30" i="83"/>
  <c r="BL30" i="83" a="1"/>
  <c r="BL30" i="83"/>
  <c r="BM30" i="83" a="1"/>
  <c r="BM30" i="83"/>
  <c r="BN30" i="83" a="1"/>
  <c r="BN30" i="83"/>
  <c r="BO30" i="83" a="1"/>
  <c r="BO30" i="83"/>
  <c r="BP30" i="83" a="1"/>
  <c r="BP30" i="83"/>
  <c r="BQ30" i="83" a="1"/>
  <c r="BQ30" i="83"/>
  <c r="BR30" i="83" a="1"/>
  <c r="BR30" i="83"/>
  <c r="BS30" i="83" a="1"/>
  <c r="BS30" i="83"/>
  <c r="BT30" i="83" a="1"/>
  <c r="BT30" i="83"/>
  <c r="BU30" i="83" a="1"/>
  <c r="BU30" i="83"/>
  <c r="BV30" i="83" a="1"/>
  <c r="BV30" i="83"/>
  <c r="BW30" i="83" a="1"/>
  <c r="BW30" i="83"/>
  <c r="BX30" i="83" a="1"/>
  <c r="BX30" i="83"/>
  <c r="BY30" i="83" a="1"/>
  <c r="BY30" i="83"/>
  <c r="BZ30" i="83" a="1"/>
  <c r="BZ30" i="83"/>
  <c r="CA30" i="83" a="1"/>
  <c r="CA30" i="83"/>
  <c r="CC30" i="83" a="1"/>
  <c r="CC30" i="83"/>
  <c r="CD30" i="83" a="1"/>
  <c r="CD30" i="83"/>
  <c r="CE30" i="83" a="1"/>
  <c r="CE30" i="83"/>
  <c r="CF30" i="83" a="1"/>
  <c r="CF30" i="83"/>
  <c r="CG30" i="83" a="1"/>
  <c r="CG30" i="83"/>
  <c r="CH30" i="83" a="1"/>
  <c r="CH30" i="83"/>
  <c r="CI30" i="83" a="1"/>
  <c r="CI30" i="83"/>
  <c r="CJ30" i="83" a="1"/>
  <c r="CJ30" i="83"/>
  <c r="CK30" i="83" a="1"/>
  <c r="CK30" i="83"/>
  <c r="CL30" i="83" a="1"/>
  <c r="CL30" i="83"/>
  <c r="CM30" i="83" a="1"/>
  <c r="CM30" i="83"/>
  <c r="CN30" i="83" a="1"/>
  <c r="CN30" i="83"/>
  <c r="CO30" i="83" a="1"/>
  <c r="CO30" i="83"/>
  <c r="CP30" i="83" a="1"/>
  <c r="CP30" i="83"/>
  <c r="CQ30" i="83" a="1"/>
  <c r="CQ30" i="83"/>
  <c r="CR30" i="83" a="1"/>
  <c r="CR30" i="83"/>
  <c r="CS30" i="83" a="1"/>
  <c r="CS30" i="83"/>
  <c r="CT30" i="83" a="1"/>
  <c r="CT30" i="83"/>
  <c r="CV30" i="83" a="1"/>
  <c r="CV30" i="83"/>
  <c r="CW30" i="83" a="1"/>
  <c r="CW30" i="83"/>
  <c r="CX30" i="83" a="1"/>
  <c r="CX30" i="83"/>
  <c r="CY30" i="83" a="1"/>
  <c r="CY30" i="83"/>
  <c r="CZ30" i="83" a="1"/>
  <c r="CZ30" i="83"/>
  <c r="DA30" i="83" a="1"/>
  <c r="DA30" i="83"/>
  <c r="DB30" i="83" a="1"/>
  <c r="DB30" i="83"/>
  <c r="DC30" i="83" a="1"/>
  <c r="DC30" i="83"/>
  <c r="DD30" i="83" a="1"/>
  <c r="DD30" i="83"/>
  <c r="DE30" i="83" a="1"/>
  <c r="DE30" i="83"/>
  <c r="DF30" i="83" a="1"/>
  <c r="DF30" i="83"/>
  <c r="DG30" i="83" a="1"/>
  <c r="DG30" i="83"/>
  <c r="DH30" i="83" a="1"/>
  <c r="DH30" i="83"/>
  <c r="DI30" i="83" a="1"/>
  <c r="DI30" i="83"/>
  <c r="DJ30" i="83" a="1"/>
  <c r="DJ30" i="83"/>
  <c r="DK30" i="83" a="1"/>
  <c r="DK30" i="83"/>
  <c r="DL30" i="83" a="1"/>
  <c r="DL30" i="83"/>
  <c r="DM30" i="83" a="1"/>
  <c r="DM30" i="83"/>
  <c r="DO30" i="83" a="1"/>
  <c r="DO30" i="83"/>
  <c r="DP30" i="83" a="1"/>
  <c r="DP30" i="83"/>
  <c r="DQ30" i="83" a="1"/>
  <c r="DQ30" i="83"/>
  <c r="DR30" i="83" a="1"/>
  <c r="DR30" i="83"/>
  <c r="DS30" i="83" a="1"/>
  <c r="DS30" i="83"/>
  <c r="DT30" i="83" a="1"/>
  <c r="DT30" i="83"/>
  <c r="DU30" i="83" a="1"/>
  <c r="DU30" i="83"/>
  <c r="DV30" i="83" a="1"/>
  <c r="DV30" i="83"/>
  <c r="DW30" i="83" a="1"/>
  <c r="DW30" i="83"/>
  <c r="DX30" i="83" a="1"/>
  <c r="DX30" i="83"/>
  <c r="DY30" i="83" a="1"/>
  <c r="DY30" i="83"/>
  <c r="DZ30" i="83" a="1"/>
  <c r="DZ30" i="83"/>
  <c r="EA30" i="83" a="1"/>
  <c r="EA30" i="83"/>
  <c r="EB30" i="83" a="1"/>
  <c r="EB30" i="83"/>
  <c r="EC30" i="83" a="1"/>
  <c r="EC30" i="83"/>
  <c r="ED30" i="83" a="1"/>
  <c r="ED30" i="83"/>
  <c r="EE30" i="83" a="1"/>
  <c r="EE30" i="83"/>
  <c r="EF30" i="83" a="1"/>
  <c r="EF30" i="83"/>
  <c r="EH30" i="83" a="1"/>
  <c r="EH30" i="83"/>
  <c r="EI30" i="83" a="1"/>
  <c r="EI30" i="83"/>
  <c r="EJ30" i="83" a="1"/>
  <c r="EJ30" i="83"/>
  <c r="EK30" i="83" a="1"/>
  <c r="EK30" i="83"/>
  <c r="EL30" i="83" a="1"/>
  <c r="EL30" i="83"/>
  <c r="EM30" i="83" a="1"/>
  <c r="EM30" i="83"/>
  <c r="EN30" i="83" a="1"/>
  <c r="EN30" i="83"/>
  <c r="EO30" i="83" a="1"/>
  <c r="EO30" i="83"/>
  <c r="EP30" i="83" a="1"/>
  <c r="EP30" i="83"/>
  <c r="EQ30" i="83" a="1"/>
  <c r="EQ30" i="83"/>
  <c r="ER30" i="83" a="1"/>
  <c r="ER30" i="83"/>
  <c r="ES30" i="83" a="1"/>
  <c r="ES30" i="83"/>
  <c r="ET30" i="83" a="1"/>
  <c r="ET30" i="83"/>
  <c r="EU30" i="83" a="1"/>
  <c r="EU30" i="83"/>
  <c r="EV30" i="83" a="1"/>
  <c r="EV30" i="83"/>
  <c r="EW30" i="83" a="1"/>
  <c r="EW30" i="83"/>
  <c r="EX30" i="83" a="1"/>
  <c r="EX30" i="83"/>
  <c r="EY30" i="83" a="1"/>
  <c r="EY30" i="83"/>
  <c r="FA30" i="83" a="1"/>
  <c r="FA30" i="83"/>
  <c r="FB30" i="83" a="1"/>
  <c r="FB30" i="83"/>
  <c r="FC30" i="83" a="1"/>
  <c r="FC30" i="83"/>
  <c r="FD30" i="83" a="1"/>
  <c r="FD30" i="83"/>
  <c r="FE30" i="83" a="1"/>
  <c r="FE30" i="83"/>
  <c r="FF30" i="83" a="1"/>
  <c r="FF30" i="83"/>
  <c r="FG30" i="83" a="1"/>
  <c r="FG30" i="83"/>
  <c r="FH30" i="83" a="1"/>
  <c r="FH30" i="83"/>
  <c r="FI30" i="83" a="1"/>
  <c r="FI30" i="83"/>
  <c r="FJ30" i="83" a="1"/>
  <c r="FJ30" i="83"/>
  <c r="FK30" i="83" a="1"/>
  <c r="FK30" i="83"/>
  <c r="FL30" i="83" a="1"/>
  <c r="FL30" i="83"/>
  <c r="FM30" i="83" a="1"/>
  <c r="FM30" i="83"/>
  <c r="FN30" i="83" a="1"/>
  <c r="FN30" i="83"/>
  <c r="FO30" i="83" a="1"/>
  <c r="FO30" i="83"/>
  <c r="FP30" i="83" a="1"/>
  <c r="FP30" i="83"/>
  <c r="FQ30" i="83" a="1"/>
  <c r="FQ30" i="83"/>
  <c r="FS30" i="83" a="1"/>
  <c r="FS30" i="83"/>
  <c r="FT30" i="83" a="1"/>
  <c r="FT30" i="83"/>
  <c r="FU30" i="83" a="1"/>
  <c r="FU30" i="83"/>
  <c r="FV30" i="83" a="1"/>
  <c r="FV30" i="83"/>
  <c r="FW30" i="83" a="1"/>
  <c r="FW30" i="83"/>
  <c r="FX30" i="83" a="1"/>
  <c r="FX30" i="83"/>
  <c r="FY30" i="83" a="1"/>
  <c r="FY30" i="83"/>
  <c r="FZ30" i="83" a="1"/>
  <c r="FZ30" i="83"/>
  <c r="GA30" i="83" a="1"/>
  <c r="GA30" i="83"/>
  <c r="GB30" i="83" a="1"/>
  <c r="GB30" i="83"/>
  <c r="GC30" i="83" a="1"/>
  <c r="GC30" i="83"/>
  <c r="GD30" i="83" a="1"/>
  <c r="GD30" i="83"/>
  <c r="GE30" i="83" a="1"/>
  <c r="GE30" i="83"/>
  <c r="GF30" i="83" a="1"/>
  <c r="GF30" i="83"/>
  <c r="GG30" i="83" a="1"/>
  <c r="GG30" i="83"/>
  <c r="GH30" i="83" a="1"/>
  <c r="GH30" i="83"/>
  <c r="GI30" i="83" a="1"/>
  <c r="GI30" i="83"/>
  <c r="GK30" i="83" a="1"/>
  <c r="GK30" i="83"/>
  <c r="GL30" i="83" a="1"/>
  <c r="GL30" i="83"/>
  <c r="GM30" i="83" a="1"/>
  <c r="GM30" i="83"/>
  <c r="GN30" i="83" a="1"/>
  <c r="GN30" i="83"/>
  <c r="GO30" i="83" a="1"/>
  <c r="GO30" i="83"/>
  <c r="GP30" i="83" a="1"/>
  <c r="GP30" i="83"/>
  <c r="GQ30" i="83" a="1"/>
  <c r="GQ30" i="83"/>
  <c r="GR30" i="83" a="1"/>
  <c r="GR30" i="83"/>
  <c r="GS30" i="83" a="1"/>
  <c r="GS30" i="83"/>
  <c r="GT30" i="83" a="1"/>
  <c r="GT30" i="83"/>
  <c r="GU30" i="83" a="1"/>
  <c r="GU30" i="83"/>
  <c r="GV30" i="83" a="1"/>
  <c r="GV30" i="83"/>
  <c r="GW30" i="83" a="1"/>
  <c r="GW30" i="83"/>
  <c r="GX30" i="83" a="1"/>
  <c r="GX30" i="83"/>
  <c r="GY30" i="83" a="1"/>
  <c r="GY30" i="83"/>
  <c r="GZ30" i="83" a="1"/>
  <c r="GZ30" i="83"/>
  <c r="HA30" i="83" a="1"/>
  <c r="HA30" i="83"/>
  <c r="E31" i="83" a="1"/>
  <c r="E31" i="83"/>
  <c r="F31" i="83" a="1"/>
  <c r="F31" i="83"/>
  <c r="G31" i="83" a="1"/>
  <c r="G31" i="83"/>
  <c r="H31" i="83" a="1"/>
  <c r="H31" i="83"/>
  <c r="I31" i="83" a="1"/>
  <c r="I31" i="83"/>
  <c r="J31" i="83" a="1"/>
  <c r="J31" i="83"/>
  <c r="K31" i="83" a="1"/>
  <c r="K31" i="83"/>
  <c r="L31" i="83" a="1"/>
  <c r="L31" i="83"/>
  <c r="M31" i="83" a="1"/>
  <c r="M31" i="83"/>
  <c r="N31" i="83" a="1"/>
  <c r="N31" i="83"/>
  <c r="O31" i="83" a="1"/>
  <c r="O31" i="83"/>
  <c r="P31" i="83" a="1"/>
  <c r="P31" i="83"/>
  <c r="Q31" i="83" a="1"/>
  <c r="Q31" i="83"/>
  <c r="R31" i="83" a="1"/>
  <c r="R31" i="83"/>
  <c r="S31" i="83" a="1"/>
  <c r="S31" i="83"/>
  <c r="T31" i="83" a="1"/>
  <c r="T31" i="83"/>
  <c r="U31" i="83" a="1"/>
  <c r="U31" i="83"/>
  <c r="V31" i="83" a="1"/>
  <c r="V31" i="83"/>
  <c r="W31" i="83"/>
  <c r="X31" i="83" a="1"/>
  <c r="X31" i="83"/>
  <c r="Y31" i="83" a="1"/>
  <c r="Y31" i="83"/>
  <c r="Z31" i="83" a="1"/>
  <c r="Z31" i="83"/>
  <c r="AA31" i="83" a="1"/>
  <c r="AA31" i="83"/>
  <c r="AB31" i="83" a="1"/>
  <c r="AB31" i="83"/>
  <c r="AC31" i="83" a="1"/>
  <c r="AC31" i="83"/>
  <c r="AD31" i="83" a="1"/>
  <c r="AD31" i="83"/>
  <c r="AE31" i="83" a="1"/>
  <c r="AE31" i="83"/>
  <c r="AF31" i="83" a="1"/>
  <c r="AF31" i="83"/>
  <c r="AG31" i="83" a="1"/>
  <c r="AG31" i="83"/>
  <c r="AH31" i="83" a="1"/>
  <c r="AH31" i="83"/>
  <c r="AI31" i="83" a="1"/>
  <c r="AI31" i="83"/>
  <c r="AJ31" i="83" a="1"/>
  <c r="AJ31" i="83"/>
  <c r="AK31" i="83" a="1"/>
  <c r="AK31" i="83"/>
  <c r="AL31" i="83" a="1"/>
  <c r="AL31" i="83"/>
  <c r="AM31" i="83" a="1"/>
  <c r="AM31" i="83"/>
  <c r="AN31" i="83" a="1"/>
  <c r="AN31" i="83"/>
  <c r="AO31" i="83" a="1"/>
  <c r="AO31" i="83"/>
  <c r="AQ31" i="83" a="1"/>
  <c r="AQ31" i="83"/>
  <c r="AR31" i="83" a="1"/>
  <c r="AR31" i="83"/>
  <c r="AS31" i="83" a="1"/>
  <c r="AS31" i="83"/>
  <c r="AT31" i="83" a="1"/>
  <c r="AT31" i="83"/>
  <c r="AU31" i="83" a="1"/>
  <c r="AU31" i="83"/>
  <c r="AV31" i="83" a="1"/>
  <c r="AV31" i="83"/>
  <c r="AW31" i="83" a="1"/>
  <c r="AW31" i="83"/>
  <c r="AX31" i="83" a="1"/>
  <c r="AX31" i="83"/>
  <c r="AY31" i="83" a="1"/>
  <c r="AY31" i="83"/>
  <c r="AZ31" i="83" a="1"/>
  <c r="AZ31" i="83"/>
  <c r="BA31" i="83" a="1"/>
  <c r="BA31" i="83"/>
  <c r="BB31" i="83" a="1"/>
  <c r="BB31" i="83"/>
  <c r="BC31" i="83" a="1"/>
  <c r="BC31" i="83"/>
  <c r="BD31" i="83" a="1"/>
  <c r="BD31" i="83"/>
  <c r="BE31" i="83" a="1"/>
  <c r="BE31" i="83"/>
  <c r="BF31" i="83" a="1"/>
  <c r="BF31" i="83"/>
  <c r="BG31" i="83" a="1"/>
  <c r="BG31" i="83"/>
  <c r="BH31" i="83" a="1"/>
  <c r="BH31" i="83"/>
  <c r="BJ31" i="83" a="1"/>
  <c r="BJ31" i="83"/>
  <c r="BK31" i="83" a="1"/>
  <c r="BK31" i="83"/>
  <c r="BL31" i="83" a="1"/>
  <c r="BL31" i="83"/>
  <c r="BM31" i="83" a="1"/>
  <c r="BM31" i="83"/>
  <c r="BN31" i="83" a="1"/>
  <c r="BN31" i="83"/>
  <c r="BO31" i="83" a="1"/>
  <c r="BO31" i="83"/>
  <c r="BP31" i="83" a="1"/>
  <c r="BP31" i="83"/>
  <c r="BQ31" i="83" a="1"/>
  <c r="BQ31" i="83"/>
  <c r="BR31" i="83" a="1"/>
  <c r="BR31" i="83"/>
  <c r="BS31" i="83" a="1"/>
  <c r="BS31" i="83"/>
  <c r="BT31" i="83" a="1"/>
  <c r="BT31" i="83"/>
  <c r="BU31" i="83" a="1"/>
  <c r="BU31" i="83"/>
  <c r="BV31" i="83" a="1"/>
  <c r="BV31" i="83"/>
  <c r="BW31" i="83" a="1"/>
  <c r="BW31" i="83"/>
  <c r="BX31" i="83" a="1"/>
  <c r="BX31" i="83"/>
  <c r="BY31" i="83" a="1"/>
  <c r="BY31" i="83"/>
  <c r="BZ31" i="83" a="1"/>
  <c r="BZ31" i="83"/>
  <c r="CA31" i="83" a="1"/>
  <c r="CA31" i="83"/>
  <c r="CC31" i="83" a="1"/>
  <c r="CC31" i="83"/>
  <c r="CD31" i="83" a="1"/>
  <c r="CD31" i="83"/>
  <c r="CE31" i="83" a="1"/>
  <c r="CE31" i="83"/>
  <c r="CF31" i="83" a="1"/>
  <c r="CF31" i="83"/>
  <c r="CG31" i="83" a="1"/>
  <c r="CG31" i="83"/>
  <c r="CH31" i="83" a="1"/>
  <c r="CH31" i="83"/>
  <c r="CI31" i="83" a="1"/>
  <c r="CI31" i="83"/>
  <c r="CJ31" i="83" a="1"/>
  <c r="CJ31" i="83"/>
  <c r="CK31" i="83" a="1"/>
  <c r="CK31" i="83"/>
  <c r="CL31" i="83" a="1"/>
  <c r="CL31" i="83"/>
  <c r="CM31" i="83" a="1"/>
  <c r="CM31" i="83"/>
  <c r="CN31" i="83" a="1"/>
  <c r="CN31" i="83"/>
  <c r="CO31" i="83" a="1"/>
  <c r="CO31" i="83"/>
  <c r="CP31" i="83" a="1"/>
  <c r="CP31" i="83"/>
  <c r="CQ31" i="83" a="1"/>
  <c r="CQ31" i="83"/>
  <c r="CR31" i="83" a="1"/>
  <c r="CR31" i="83"/>
  <c r="CS31" i="83" a="1"/>
  <c r="CS31" i="83"/>
  <c r="CT31" i="83" a="1"/>
  <c r="CT31" i="83"/>
  <c r="CV31" i="83" a="1"/>
  <c r="CV31" i="83"/>
  <c r="CW31" i="83" a="1"/>
  <c r="CW31" i="83"/>
  <c r="CX31" i="83" a="1"/>
  <c r="CX31" i="83"/>
  <c r="CY31" i="83" a="1"/>
  <c r="CY31" i="83"/>
  <c r="CZ31" i="83" a="1"/>
  <c r="CZ31" i="83"/>
  <c r="DA31" i="83" a="1"/>
  <c r="DA31" i="83"/>
  <c r="DB31" i="83" a="1"/>
  <c r="DB31" i="83"/>
  <c r="DC31" i="83" a="1"/>
  <c r="DC31" i="83"/>
  <c r="DD31" i="83" a="1"/>
  <c r="DD31" i="83"/>
  <c r="DE31" i="83" a="1"/>
  <c r="DE31" i="83"/>
  <c r="DF31" i="83" a="1"/>
  <c r="DF31" i="83"/>
  <c r="DG31" i="83" a="1"/>
  <c r="DG31" i="83"/>
  <c r="DH31" i="83" a="1"/>
  <c r="DH31" i="83"/>
  <c r="DI31" i="83" a="1"/>
  <c r="DI31" i="83"/>
  <c r="DJ31" i="83" a="1"/>
  <c r="DJ31" i="83"/>
  <c r="DK31" i="83" a="1"/>
  <c r="DK31" i="83"/>
  <c r="DL31" i="83" a="1"/>
  <c r="DL31" i="83"/>
  <c r="DM31" i="83" a="1"/>
  <c r="DM31" i="83"/>
  <c r="DO31" i="83" a="1"/>
  <c r="DO31" i="83"/>
  <c r="DP31" i="83" a="1"/>
  <c r="DP31" i="83"/>
  <c r="DQ31" i="83" a="1"/>
  <c r="DQ31" i="83"/>
  <c r="DR31" i="83" a="1"/>
  <c r="DR31" i="83"/>
  <c r="DS31" i="83" a="1"/>
  <c r="DS31" i="83"/>
  <c r="DT31" i="83" a="1"/>
  <c r="DT31" i="83"/>
  <c r="DU31" i="83" a="1"/>
  <c r="DU31" i="83"/>
  <c r="DV31" i="83" a="1"/>
  <c r="DV31" i="83"/>
  <c r="DW31" i="83" a="1"/>
  <c r="DW31" i="83"/>
  <c r="DX31" i="83" a="1"/>
  <c r="DX31" i="83"/>
  <c r="DY31" i="83" a="1"/>
  <c r="DY31" i="83"/>
  <c r="DZ31" i="83" a="1"/>
  <c r="DZ31" i="83"/>
  <c r="EA31" i="83" a="1"/>
  <c r="EA31" i="83"/>
  <c r="EB31" i="83" a="1"/>
  <c r="EB31" i="83"/>
  <c r="EC31" i="83" a="1"/>
  <c r="EC31" i="83"/>
  <c r="ED31" i="83" a="1"/>
  <c r="ED31" i="83"/>
  <c r="EE31" i="83" a="1"/>
  <c r="EE31" i="83"/>
  <c r="EF31" i="83" a="1"/>
  <c r="EF31" i="83"/>
  <c r="EH31" i="83" a="1"/>
  <c r="EH31" i="83"/>
  <c r="EI31" i="83" a="1"/>
  <c r="EI31" i="83"/>
  <c r="EJ31" i="83" a="1"/>
  <c r="EJ31" i="83"/>
  <c r="EK31" i="83" a="1"/>
  <c r="EK31" i="83"/>
  <c r="EL31" i="83" a="1"/>
  <c r="EL31" i="83"/>
  <c r="EM31" i="83" a="1"/>
  <c r="EM31" i="83"/>
  <c r="EN31" i="83" a="1"/>
  <c r="EN31" i="83"/>
  <c r="EO31" i="83" a="1"/>
  <c r="EO31" i="83"/>
  <c r="EP31" i="83" a="1"/>
  <c r="EP31" i="83"/>
  <c r="EQ31" i="83" a="1"/>
  <c r="EQ31" i="83"/>
  <c r="ER31" i="83" a="1"/>
  <c r="ER31" i="83"/>
  <c r="ES31" i="83" a="1"/>
  <c r="ES31" i="83"/>
  <c r="ET31" i="83" a="1"/>
  <c r="ET31" i="83"/>
  <c r="EU31" i="83" a="1"/>
  <c r="EU31" i="83"/>
  <c r="EV31" i="83" a="1"/>
  <c r="EV31" i="83"/>
  <c r="EW31" i="83" a="1"/>
  <c r="EW31" i="83"/>
  <c r="EX31" i="83" a="1"/>
  <c r="EX31" i="83"/>
  <c r="EY31" i="83" a="1"/>
  <c r="EY31" i="83"/>
  <c r="FA31" i="83" a="1"/>
  <c r="FA31" i="83"/>
  <c r="FB31" i="83" a="1"/>
  <c r="FB31" i="83"/>
  <c r="FC31" i="83" a="1"/>
  <c r="FC31" i="83"/>
  <c r="FD31" i="83" a="1"/>
  <c r="FD31" i="83"/>
  <c r="FE31" i="83" a="1"/>
  <c r="FE31" i="83"/>
  <c r="FF31" i="83" a="1"/>
  <c r="FF31" i="83"/>
  <c r="FG31" i="83" a="1"/>
  <c r="FG31" i="83"/>
  <c r="FH31" i="83" a="1"/>
  <c r="FH31" i="83"/>
  <c r="FI31" i="83" a="1"/>
  <c r="FI31" i="83"/>
  <c r="FJ31" i="83" a="1"/>
  <c r="FJ31" i="83"/>
  <c r="FK31" i="83" a="1"/>
  <c r="FK31" i="83"/>
  <c r="FL31" i="83" a="1"/>
  <c r="FL31" i="83"/>
  <c r="FM31" i="83" a="1"/>
  <c r="FM31" i="83"/>
  <c r="FN31" i="83" a="1"/>
  <c r="FN31" i="83"/>
  <c r="FO31" i="83" a="1"/>
  <c r="FO31" i="83"/>
  <c r="FP31" i="83" a="1"/>
  <c r="FP31" i="83"/>
  <c r="FQ31" i="83" a="1"/>
  <c r="FQ31" i="83"/>
  <c r="FS31" i="83" a="1"/>
  <c r="FS31" i="83"/>
  <c r="FT31" i="83" a="1"/>
  <c r="FT31" i="83"/>
  <c r="FU31" i="83" a="1"/>
  <c r="FU31" i="83"/>
  <c r="FV31" i="83" a="1"/>
  <c r="FV31" i="83"/>
  <c r="FW31" i="83" a="1"/>
  <c r="FW31" i="83"/>
  <c r="FX31" i="83" a="1"/>
  <c r="FX31" i="83"/>
  <c r="FY31" i="83" a="1"/>
  <c r="FY31" i="83"/>
  <c r="FZ31" i="83" a="1"/>
  <c r="FZ31" i="83"/>
  <c r="GA31" i="83" a="1"/>
  <c r="GA31" i="83"/>
  <c r="GB31" i="83" a="1"/>
  <c r="GB31" i="83"/>
  <c r="GC31" i="83" a="1"/>
  <c r="GC31" i="83"/>
  <c r="GD31" i="83" a="1"/>
  <c r="GD31" i="83"/>
  <c r="GE31" i="83" a="1"/>
  <c r="GE31" i="83"/>
  <c r="GF31" i="83" a="1"/>
  <c r="GF31" i="83"/>
  <c r="GG31" i="83" a="1"/>
  <c r="GG31" i="83"/>
  <c r="GH31" i="83" a="1"/>
  <c r="GH31" i="83"/>
  <c r="GI31" i="83" a="1"/>
  <c r="GI31" i="83"/>
  <c r="GK31" i="83" a="1"/>
  <c r="GK31" i="83"/>
  <c r="GL31" i="83" a="1"/>
  <c r="GL31" i="83"/>
  <c r="GM31" i="83" a="1"/>
  <c r="GM31" i="83"/>
  <c r="GN31" i="83" a="1"/>
  <c r="GN31" i="83"/>
  <c r="GO31" i="83" a="1"/>
  <c r="GO31" i="83"/>
  <c r="GP31" i="83" a="1"/>
  <c r="GP31" i="83"/>
  <c r="GQ31" i="83" a="1"/>
  <c r="GQ31" i="83"/>
  <c r="GR31" i="83" a="1"/>
  <c r="GR31" i="83"/>
  <c r="GS31" i="83" a="1"/>
  <c r="GS31" i="83"/>
  <c r="GT31" i="83" a="1"/>
  <c r="GT31" i="83"/>
  <c r="GU31" i="83" a="1"/>
  <c r="GU31" i="83"/>
  <c r="GV31" i="83" a="1"/>
  <c r="GV31" i="83"/>
  <c r="GW31" i="83" a="1"/>
  <c r="GW31" i="83"/>
  <c r="GX31" i="83" a="1"/>
  <c r="GX31" i="83"/>
  <c r="GY31" i="83" a="1"/>
  <c r="GY31" i="83"/>
  <c r="GZ31" i="83" a="1"/>
  <c r="GZ31" i="83"/>
  <c r="HA31" i="83" a="1"/>
  <c r="HA31" i="83"/>
  <c r="E32" i="83" a="1"/>
  <c r="E32" i="83"/>
  <c r="F32" i="83" a="1"/>
  <c r="F32" i="83"/>
  <c r="G32" i="83" a="1"/>
  <c r="G32" i="83"/>
  <c r="H32" i="83" a="1"/>
  <c r="H32" i="83"/>
  <c r="I32" i="83" a="1"/>
  <c r="I32" i="83"/>
  <c r="J32" i="83" a="1"/>
  <c r="J32" i="83"/>
  <c r="K32" i="83" a="1"/>
  <c r="K32" i="83"/>
  <c r="L32" i="83" a="1"/>
  <c r="L32" i="83"/>
  <c r="M32" i="83" a="1"/>
  <c r="M32" i="83"/>
  <c r="N32" i="83" a="1"/>
  <c r="N32" i="83"/>
  <c r="O32" i="83" a="1"/>
  <c r="O32" i="83"/>
  <c r="P32" i="83" a="1"/>
  <c r="P32" i="83"/>
  <c r="Q32" i="83" a="1"/>
  <c r="Q32" i="83"/>
  <c r="R32" i="83" a="1"/>
  <c r="R32" i="83"/>
  <c r="S32" i="83" a="1"/>
  <c r="S32" i="83"/>
  <c r="T32" i="83" a="1"/>
  <c r="T32" i="83"/>
  <c r="U32" i="83" a="1"/>
  <c r="U32" i="83"/>
  <c r="V32" i="83" a="1"/>
  <c r="V32" i="83"/>
  <c r="W32" i="83"/>
  <c r="X32" i="83" a="1"/>
  <c r="X32" i="83"/>
  <c r="Y32" i="83" a="1"/>
  <c r="Y32" i="83"/>
  <c r="Z32" i="83" a="1"/>
  <c r="Z32" i="83"/>
  <c r="AA32" i="83" a="1"/>
  <c r="AA32" i="83"/>
  <c r="AB32" i="83" a="1"/>
  <c r="AB32" i="83"/>
  <c r="AC32" i="83" a="1"/>
  <c r="AC32" i="83"/>
  <c r="AD32" i="83" a="1"/>
  <c r="AD32" i="83"/>
  <c r="AE32" i="83" a="1"/>
  <c r="AE32" i="83"/>
  <c r="AF32" i="83" a="1"/>
  <c r="AF32" i="83"/>
  <c r="AG32" i="83" a="1"/>
  <c r="AG32" i="83"/>
  <c r="AH32" i="83" a="1"/>
  <c r="AH32" i="83"/>
  <c r="AI32" i="83" a="1"/>
  <c r="AI32" i="83"/>
  <c r="AJ32" i="83" a="1"/>
  <c r="AJ32" i="83"/>
  <c r="AK32" i="83" a="1"/>
  <c r="AK32" i="83"/>
  <c r="AL32" i="83" a="1"/>
  <c r="AL32" i="83"/>
  <c r="AM32" i="83" a="1"/>
  <c r="AM32" i="83"/>
  <c r="AN32" i="83" a="1"/>
  <c r="AN32" i="83"/>
  <c r="AO32" i="83" a="1"/>
  <c r="AO32" i="83"/>
  <c r="AQ32" i="83" a="1"/>
  <c r="AQ32" i="83"/>
  <c r="AR32" i="83" a="1"/>
  <c r="AR32" i="83"/>
  <c r="AS32" i="83" a="1"/>
  <c r="AS32" i="83"/>
  <c r="AT32" i="83" a="1"/>
  <c r="AT32" i="83"/>
  <c r="AU32" i="83" a="1"/>
  <c r="AU32" i="83"/>
  <c r="AV32" i="83" a="1"/>
  <c r="AV32" i="83"/>
  <c r="AW32" i="83" a="1"/>
  <c r="AW32" i="83"/>
  <c r="AX32" i="83" a="1"/>
  <c r="AX32" i="83"/>
  <c r="AY32" i="83" a="1"/>
  <c r="AY32" i="83"/>
  <c r="AZ32" i="83" a="1"/>
  <c r="AZ32" i="83"/>
  <c r="BA32" i="83" a="1"/>
  <c r="BA32" i="83"/>
  <c r="BB32" i="83" a="1"/>
  <c r="BB32" i="83"/>
  <c r="BC32" i="83" a="1"/>
  <c r="BC32" i="83"/>
  <c r="BD32" i="83" a="1"/>
  <c r="BD32" i="83"/>
  <c r="BE32" i="83" a="1"/>
  <c r="BE32" i="83"/>
  <c r="BF32" i="83" a="1"/>
  <c r="BF32" i="83"/>
  <c r="BG32" i="83" a="1"/>
  <c r="BG32" i="83"/>
  <c r="BH32" i="83" a="1"/>
  <c r="BH32" i="83"/>
  <c r="BJ32" i="83" a="1"/>
  <c r="BJ32" i="83"/>
  <c r="BK32" i="83" a="1"/>
  <c r="BK32" i="83"/>
  <c r="BL32" i="83" a="1"/>
  <c r="BL32" i="83"/>
  <c r="BM32" i="83" a="1"/>
  <c r="BM32" i="83"/>
  <c r="BN32" i="83" a="1"/>
  <c r="BN32" i="83"/>
  <c r="BO32" i="83" a="1"/>
  <c r="BO32" i="83"/>
  <c r="BP32" i="83" a="1"/>
  <c r="BP32" i="83"/>
  <c r="BQ32" i="83" a="1"/>
  <c r="BQ32" i="83"/>
  <c r="BR32" i="83" a="1"/>
  <c r="BR32" i="83"/>
  <c r="BS32" i="83" a="1"/>
  <c r="BS32" i="83"/>
  <c r="BT32" i="83" a="1"/>
  <c r="BT32" i="83"/>
  <c r="BU32" i="83" a="1"/>
  <c r="BU32" i="83"/>
  <c r="BV32" i="83" a="1"/>
  <c r="BV32" i="83"/>
  <c r="BW32" i="83" a="1"/>
  <c r="BW32" i="83"/>
  <c r="BX32" i="83" a="1"/>
  <c r="BX32" i="83"/>
  <c r="BY32" i="83" a="1"/>
  <c r="BY32" i="83"/>
  <c r="BZ32" i="83" a="1"/>
  <c r="BZ32" i="83"/>
  <c r="CA32" i="83" a="1"/>
  <c r="CA32" i="83"/>
  <c r="CC32" i="83" a="1"/>
  <c r="CC32" i="83"/>
  <c r="CD32" i="83" a="1"/>
  <c r="CD32" i="83"/>
  <c r="CE32" i="83" a="1"/>
  <c r="CE32" i="83"/>
  <c r="CF32" i="83" a="1"/>
  <c r="CF32" i="83"/>
  <c r="CG32" i="83" a="1"/>
  <c r="CG32" i="83"/>
  <c r="CH32" i="83" a="1"/>
  <c r="CH32" i="83"/>
  <c r="CI32" i="83" a="1"/>
  <c r="CI32" i="83"/>
  <c r="CJ32" i="83" a="1"/>
  <c r="CJ32" i="83"/>
  <c r="CK32" i="83" a="1"/>
  <c r="CK32" i="83"/>
  <c r="CL32" i="83" a="1"/>
  <c r="CL32" i="83"/>
  <c r="CM32" i="83" a="1"/>
  <c r="CM32" i="83"/>
  <c r="CN32" i="83" a="1"/>
  <c r="CN32" i="83"/>
  <c r="CO32" i="83" a="1"/>
  <c r="CO32" i="83"/>
  <c r="CP32" i="83" a="1"/>
  <c r="CP32" i="83"/>
  <c r="CQ32" i="83" a="1"/>
  <c r="CQ32" i="83"/>
  <c r="CR32" i="83" a="1"/>
  <c r="CR32" i="83"/>
  <c r="CS32" i="83" a="1"/>
  <c r="CS32" i="83"/>
  <c r="CT32" i="83" a="1"/>
  <c r="CT32" i="83"/>
  <c r="CV32" i="83" a="1"/>
  <c r="CV32" i="83"/>
  <c r="CW32" i="83" a="1"/>
  <c r="CW32" i="83"/>
  <c r="CX32" i="83" a="1"/>
  <c r="CX32" i="83"/>
  <c r="CY32" i="83" a="1"/>
  <c r="CY32" i="83"/>
  <c r="CZ32" i="83" a="1"/>
  <c r="CZ32" i="83"/>
  <c r="DA32" i="83" a="1"/>
  <c r="DA32" i="83"/>
  <c r="DB32" i="83" a="1"/>
  <c r="DB32" i="83"/>
  <c r="DC32" i="83" a="1"/>
  <c r="DC32" i="83"/>
  <c r="DD32" i="83" a="1"/>
  <c r="DD32" i="83"/>
  <c r="DE32" i="83" a="1"/>
  <c r="DE32" i="83"/>
  <c r="DF32" i="83" a="1"/>
  <c r="DF32" i="83"/>
  <c r="DG32" i="83" a="1"/>
  <c r="DG32" i="83"/>
  <c r="DH32" i="83" a="1"/>
  <c r="DH32" i="83"/>
  <c r="DI32" i="83" a="1"/>
  <c r="DI32" i="83"/>
  <c r="DJ32" i="83" a="1"/>
  <c r="DJ32" i="83"/>
  <c r="DK32" i="83" a="1"/>
  <c r="DK32" i="83"/>
  <c r="DL32" i="83" a="1"/>
  <c r="DL32" i="83"/>
  <c r="DM32" i="83" a="1"/>
  <c r="DM32" i="83"/>
  <c r="DO32" i="83" a="1"/>
  <c r="DO32" i="83"/>
  <c r="DP32" i="83" a="1"/>
  <c r="DP32" i="83"/>
  <c r="DQ32" i="83" a="1"/>
  <c r="DQ32" i="83"/>
  <c r="DR32" i="83" a="1"/>
  <c r="DR32" i="83"/>
  <c r="DS32" i="83" a="1"/>
  <c r="DS32" i="83"/>
  <c r="DT32" i="83" a="1"/>
  <c r="DT32" i="83"/>
  <c r="DU32" i="83" a="1"/>
  <c r="DU32" i="83"/>
  <c r="DV32" i="83" a="1"/>
  <c r="DV32" i="83"/>
  <c r="DW32" i="83" a="1"/>
  <c r="DW32" i="83"/>
  <c r="DX32" i="83" a="1"/>
  <c r="DX32" i="83"/>
  <c r="DY32" i="83" a="1"/>
  <c r="DY32" i="83"/>
  <c r="DZ32" i="83" a="1"/>
  <c r="DZ32" i="83"/>
  <c r="EA32" i="83" a="1"/>
  <c r="EA32" i="83"/>
  <c r="EB32" i="83" a="1"/>
  <c r="EB32" i="83"/>
  <c r="EC32" i="83" a="1"/>
  <c r="EC32" i="83"/>
  <c r="ED32" i="83" a="1"/>
  <c r="ED32" i="83"/>
  <c r="EE32" i="83" a="1"/>
  <c r="EE32" i="83"/>
  <c r="EF32" i="83" a="1"/>
  <c r="EF32" i="83"/>
  <c r="EH32" i="83" a="1"/>
  <c r="EH32" i="83"/>
  <c r="EI32" i="83" a="1"/>
  <c r="EI32" i="83"/>
  <c r="EJ32" i="83" a="1"/>
  <c r="EJ32" i="83"/>
  <c r="EK32" i="83" a="1"/>
  <c r="EK32" i="83"/>
  <c r="EL32" i="83" a="1"/>
  <c r="EL32" i="83"/>
  <c r="EM32" i="83" a="1"/>
  <c r="EM32" i="83"/>
  <c r="EN32" i="83" a="1"/>
  <c r="EN32" i="83"/>
  <c r="EO32" i="83" a="1"/>
  <c r="EO32" i="83"/>
  <c r="EP32" i="83" a="1"/>
  <c r="EP32" i="83"/>
  <c r="EQ32" i="83" a="1"/>
  <c r="EQ32" i="83"/>
  <c r="ER32" i="83" a="1"/>
  <c r="ER32" i="83"/>
  <c r="ES32" i="83" a="1"/>
  <c r="ES32" i="83"/>
  <c r="ET32" i="83" a="1"/>
  <c r="ET32" i="83"/>
  <c r="EU32" i="83" a="1"/>
  <c r="EU32" i="83"/>
  <c r="EV32" i="83" a="1"/>
  <c r="EV32" i="83"/>
  <c r="EW32" i="83" a="1"/>
  <c r="EW32" i="83"/>
  <c r="EX32" i="83" a="1"/>
  <c r="EX32" i="83"/>
  <c r="EY32" i="83" a="1"/>
  <c r="EY32" i="83"/>
  <c r="FA32" i="83" a="1"/>
  <c r="FA32" i="83"/>
  <c r="FB32" i="83" a="1"/>
  <c r="FB32" i="83"/>
  <c r="FC32" i="83" a="1"/>
  <c r="FC32" i="83"/>
  <c r="FD32" i="83" a="1"/>
  <c r="FD32" i="83"/>
  <c r="FE32" i="83" a="1"/>
  <c r="FE32" i="83"/>
  <c r="FF32" i="83" a="1"/>
  <c r="FF32" i="83"/>
  <c r="FG32" i="83" a="1"/>
  <c r="FG32" i="83"/>
  <c r="FH32" i="83" a="1"/>
  <c r="FH32" i="83"/>
  <c r="FI32" i="83" a="1"/>
  <c r="FI32" i="83"/>
  <c r="FJ32" i="83" a="1"/>
  <c r="FJ32" i="83"/>
  <c r="FK32" i="83" a="1"/>
  <c r="FK32" i="83"/>
  <c r="FL32" i="83" a="1"/>
  <c r="FL32" i="83"/>
  <c r="FM32" i="83" a="1"/>
  <c r="FM32" i="83"/>
  <c r="FN32" i="83" a="1"/>
  <c r="FN32" i="83"/>
  <c r="FO32" i="83" a="1"/>
  <c r="FO32" i="83"/>
  <c r="FP32" i="83" a="1"/>
  <c r="FP32" i="83"/>
  <c r="FQ32" i="83" a="1"/>
  <c r="FQ32" i="83"/>
  <c r="FS32" i="83" a="1"/>
  <c r="FS32" i="83"/>
  <c r="FT32" i="83" a="1"/>
  <c r="FT32" i="83"/>
  <c r="FU32" i="83" a="1"/>
  <c r="FU32" i="83"/>
  <c r="FV32" i="83" a="1"/>
  <c r="FV32" i="83"/>
  <c r="FW32" i="83" a="1"/>
  <c r="FW32" i="83"/>
  <c r="FX32" i="83" a="1"/>
  <c r="FX32" i="83"/>
  <c r="FY32" i="83" a="1"/>
  <c r="FY32" i="83"/>
  <c r="FZ32" i="83" a="1"/>
  <c r="FZ32" i="83"/>
  <c r="GA32" i="83" a="1"/>
  <c r="GA32" i="83"/>
  <c r="GB32" i="83" a="1"/>
  <c r="GB32" i="83"/>
  <c r="GC32" i="83" a="1"/>
  <c r="GC32" i="83"/>
  <c r="GD32" i="83" a="1"/>
  <c r="GD32" i="83"/>
  <c r="GE32" i="83" a="1"/>
  <c r="GE32" i="83"/>
  <c r="GF32" i="83" a="1"/>
  <c r="GF32" i="83"/>
  <c r="GG32" i="83" a="1"/>
  <c r="GG32" i="83"/>
  <c r="GH32" i="83" a="1"/>
  <c r="GH32" i="83"/>
  <c r="GI32" i="83" a="1"/>
  <c r="GI32" i="83"/>
  <c r="GK32" i="83" a="1"/>
  <c r="GK32" i="83"/>
  <c r="GL32" i="83" a="1"/>
  <c r="GL32" i="83"/>
  <c r="GM32" i="83" a="1"/>
  <c r="GM32" i="83"/>
  <c r="GN32" i="83" a="1"/>
  <c r="GN32" i="83"/>
  <c r="GO32" i="83" a="1"/>
  <c r="GO32" i="83"/>
  <c r="GP32" i="83" a="1"/>
  <c r="GP32" i="83"/>
  <c r="GQ32" i="83" a="1"/>
  <c r="GQ32" i="83"/>
  <c r="GR32" i="83" a="1"/>
  <c r="GR32" i="83"/>
  <c r="GS32" i="83" a="1"/>
  <c r="GS32" i="83"/>
  <c r="GT32" i="83" a="1"/>
  <c r="GT32" i="83"/>
  <c r="GU32" i="83" a="1"/>
  <c r="GU32" i="83"/>
  <c r="GV32" i="83" a="1"/>
  <c r="GV32" i="83"/>
  <c r="GW32" i="83" a="1"/>
  <c r="GW32" i="83"/>
  <c r="GX32" i="83" a="1"/>
  <c r="GX32" i="83"/>
  <c r="GY32" i="83" a="1"/>
  <c r="GY32" i="83"/>
  <c r="GZ32" i="83" a="1"/>
  <c r="GZ32" i="83"/>
  <c r="HA32" i="83" a="1"/>
  <c r="HA32" i="83"/>
  <c r="E33" i="83" a="1"/>
  <c r="E33" i="83"/>
  <c r="F33" i="83" a="1"/>
  <c r="F33" i="83"/>
  <c r="G33" i="83" a="1"/>
  <c r="G33" i="83"/>
  <c r="H33" i="83" a="1"/>
  <c r="H33" i="83"/>
  <c r="I33" i="83" a="1"/>
  <c r="I33" i="83"/>
  <c r="J33" i="83" a="1"/>
  <c r="J33" i="83"/>
  <c r="K33" i="83" a="1"/>
  <c r="K33" i="83"/>
  <c r="L33" i="83" a="1"/>
  <c r="L33" i="83"/>
  <c r="M33" i="83" a="1"/>
  <c r="M33" i="83"/>
  <c r="N33" i="83" a="1"/>
  <c r="N33" i="83"/>
  <c r="O33" i="83" a="1"/>
  <c r="O33" i="83"/>
  <c r="P33" i="83" a="1"/>
  <c r="P33" i="83"/>
  <c r="Q33" i="83" a="1"/>
  <c r="Q33" i="83"/>
  <c r="R33" i="83" a="1"/>
  <c r="R33" i="83"/>
  <c r="S33" i="83" a="1"/>
  <c r="S33" i="83"/>
  <c r="T33" i="83" a="1"/>
  <c r="T33" i="83"/>
  <c r="U33" i="83" a="1"/>
  <c r="U33" i="83"/>
  <c r="V33" i="83" a="1"/>
  <c r="V33" i="83"/>
  <c r="W33" i="83"/>
  <c r="X33" i="83" a="1"/>
  <c r="X33" i="83"/>
  <c r="Y33" i="83" a="1"/>
  <c r="Y33" i="83"/>
  <c r="Z33" i="83" a="1"/>
  <c r="Z33" i="83"/>
  <c r="AA33" i="83" a="1"/>
  <c r="AA33" i="83"/>
  <c r="AB33" i="83" a="1"/>
  <c r="AB33" i="83"/>
  <c r="AC33" i="83" a="1"/>
  <c r="AC33" i="83"/>
  <c r="AD33" i="83" a="1"/>
  <c r="AD33" i="83"/>
  <c r="AE33" i="83" a="1"/>
  <c r="AE33" i="83"/>
  <c r="AF33" i="83" a="1"/>
  <c r="AF33" i="83"/>
  <c r="AG33" i="83" a="1"/>
  <c r="AG33" i="83"/>
  <c r="AH33" i="83" a="1"/>
  <c r="AH33" i="83"/>
  <c r="AI33" i="83" a="1"/>
  <c r="AI33" i="83"/>
  <c r="AJ33" i="83" a="1"/>
  <c r="AJ33" i="83"/>
  <c r="AK33" i="83" a="1"/>
  <c r="AK33" i="83"/>
  <c r="AL33" i="83" a="1"/>
  <c r="AL33" i="83"/>
  <c r="AM33" i="83" a="1"/>
  <c r="AM33" i="83"/>
  <c r="AN33" i="83" a="1"/>
  <c r="AN33" i="83"/>
  <c r="AO33" i="83" a="1"/>
  <c r="AO33" i="83"/>
  <c r="AQ33" i="83" a="1"/>
  <c r="AQ33" i="83"/>
  <c r="AR33" i="83" a="1"/>
  <c r="AR33" i="83"/>
  <c r="AS33" i="83" a="1"/>
  <c r="AS33" i="83"/>
  <c r="AT33" i="83" a="1"/>
  <c r="AT33" i="83"/>
  <c r="AU33" i="83" a="1"/>
  <c r="AU33" i="83"/>
  <c r="AV33" i="83" a="1"/>
  <c r="AV33" i="83"/>
  <c r="AW33" i="83" a="1"/>
  <c r="AW33" i="83"/>
  <c r="AX33" i="83" a="1"/>
  <c r="AX33" i="83"/>
  <c r="AY33" i="83" a="1"/>
  <c r="AY33" i="83"/>
  <c r="AZ33" i="83" a="1"/>
  <c r="AZ33" i="83"/>
  <c r="BA33" i="83" a="1"/>
  <c r="BA33" i="83"/>
  <c r="BB33" i="83" a="1"/>
  <c r="BB33" i="83"/>
  <c r="BC33" i="83" a="1"/>
  <c r="BC33" i="83"/>
  <c r="BD33" i="83" a="1"/>
  <c r="BD33" i="83"/>
  <c r="BE33" i="83" a="1"/>
  <c r="BE33" i="83"/>
  <c r="BF33" i="83" a="1"/>
  <c r="BF33" i="83"/>
  <c r="BG33" i="83" a="1"/>
  <c r="BG33" i="83"/>
  <c r="BH33" i="83" a="1"/>
  <c r="BH33" i="83"/>
  <c r="BJ33" i="83" a="1"/>
  <c r="BJ33" i="83"/>
  <c r="BK33" i="83" a="1"/>
  <c r="BK33" i="83"/>
  <c r="BL33" i="83" a="1"/>
  <c r="BL33" i="83"/>
  <c r="BM33" i="83" a="1"/>
  <c r="BM33" i="83"/>
  <c r="BN33" i="83" a="1"/>
  <c r="BN33" i="83"/>
  <c r="BO33" i="83" a="1"/>
  <c r="BO33" i="83"/>
  <c r="BP33" i="83" a="1"/>
  <c r="BP33" i="83"/>
  <c r="BQ33" i="83" a="1"/>
  <c r="BQ33" i="83"/>
  <c r="BR33" i="83" a="1"/>
  <c r="BR33" i="83"/>
  <c r="BS33" i="83" a="1"/>
  <c r="BS33" i="83"/>
  <c r="BT33" i="83" a="1"/>
  <c r="BT33" i="83"/>
  <c r="BU33" i="83" a="1"/>
  <c r="BU33" i="83"/>
  <c r="BV33" i="83" a="1"/>
  <c r="BV33" i="83"/>
  <c r="BW33" i="83" a="1"/>
  <c r="BW33" i="83"/>
  <c r="BX33" i="83" a="1"/>
  <c r="BX33" i="83"/>
  <c r="BY33" i="83" a="1"/>
  <c r="BY33" i="83"/>
  <c r="BZ33" i="83" a="1"/>
  <c r="BZ33" i="83"/>
  <c r="CA33" i="83" a="1"/>
  <c r="CA33" i="83"/>
  <c r="CC33" i="83" a="1"/>
  <c r="CC33" i="83"/>
  <c r="CD33" i="83" a="1"/>
  <c r="CD33" i="83"/>
  <c r="CE33" i="83" a="1"/>
  <c r="CE33" i="83"/>
  <c r="CF33" i="83" a="1"/>
  <c r="CF33" i="83"/>
  <c r="CG33" i="83" a="1"/>
  <c r="CG33" i="83"/>
  <c r="CH33" i="83" a="1"/>
  <c r="CH33" i="83"/>
  <c r="CI33" i="83" a="1"/>
  <c r="CI33" i="83"/>
  <c r="CJ33" i="83" a="1"/>
  <c r="CJ33" i="83"/>
  <c r="CK33" i="83" a="1"/>
  <c r="CK33" i="83"/>
  <c r="CL33" i="83" a="1"/>
  <c r="CL33" i="83"/>
  <c r="CM33" i="83" a="1"/>
  <c r="CM33" i="83"/>
  <c r="CN33" i="83" a="1"/>
  <c r="CN33" i="83"/>
  <c r="CO33" i="83" a="1"/>
  <c r="CO33" i="83"/>
  <c r="CP33" i="83" a="1"/>
  <c r="CP33" i="83"/>
  <c r="CQ33" i="83" a="1"/>
  <c r="CQ33" i="83"/>
  <c r="CR33" i="83" a="1"/>
  <c r="CR33" i="83"/>
  <c r="CS33" i="83" a="1"/>
  <c r="CS33" i="83"/>
  <c r="CT33" i="83" a="1"/>
  <c r="CT33" i="83"/>
  <c r="CV33" i="83" a="1"/>
  <c r="CV33" i="83"/>
  <c r="CW33" i="83" a="1"/>
  <c r="CW33" i="83"/>
  <c r="CX33" i="83" a="1"/>
  <c r="CX33" i="83"/>
  <c r="CY33" i="83" a="1"/>
  <c r="CY33" i="83"/>
  <c r="CZ33" i="83" a="1"/>
  <c r="CZ33" i="83"/>
  <c r="DA33" i="83" a="1"/>
  <c r="DA33" i="83"/>
  <c r="DB33" i="83" a="1"/>
  <c r="DB33" i="83"/>
  <c r="DC33" i="83" a="1"/>
  <c r="DC33" i="83"/>
  <c r="DD33" i="83" a="1"/>
  <c r="DD33" i="83"/>
  <c r="DE33" i="83" a="1"/>
  <c r="DE33" i="83"/>
  <c r="DF33" i="83" a="1"/>
  <c r="DF33" i="83"/>
  <c r="DG33" i="83" a="1"/>
  <c r="DG33" i="83"/>
  <c r="DH33" i="83" a="1"/>
  <c r="DH33" i="83"/>
  <c r="DI33" i="83" a="1"/>
  <c r="DI33" i="83"/>
  <c r="DJ33" i="83" a="1"/>
  <c r="DJ33" i="83"/>
  <c r="DK33" i="83" a="1"/>
  <c r="DK33" i="83"/>
  <c r="DL33" i="83" a="1"/>
  <c r="DL33" i="83"/>
  <c r="DM33" i="83" a="1"/>
  <c r="DM33" i="83"/>
  <c r="DO33" i="83" a="1"/>
  <c r="DO33" i="83"/>
  <c r="DP33" i="83" a="1"/>
  <c r="DP33" i="83"/>
  <c r="DQ33" i="83" a="1"/>
  <c r="DQ33" i="83"/>
  <c r="DR33" i="83" a="1"/>
  <c r="DR33" i="83"/>
  <c r="DS33" i="83" a="1"/>
  <c r="DS33" i="83"/>
  <c r="DT33" i="83" a="1"/>
  <c r="DT33" i="83"/>
  <c r="DU33" i="83" a="1"/>
  <c r="DU33" i="83"/>
  <c r="DV33" i="83" a="1"/>
  <c r="DV33" i="83"/>
  <c r="DW33" i="83" a="1"/>
  <c r="DW33" i="83"/>
  <c r="DX33" i="83" a="1"/>
  <c r="DX33" i="83"/>
  <c r="DY33" i="83" a="1"/>
  <c r="DY33" i="83"/>
  <c r="DZ33" i="83" a="1"/>
  <c r="DZ33" i="83"/>
  <c r="EA33" i="83" a="1"/>
  <c r="EA33" i="83"/>
  <c r="EB33" i="83" a="1"/>
  <c r="EB33" i="83"/>
  <c r="EC33" i="83" a="1"/>
  <c r="EC33" i="83"/>
  <c r="ED33" i="83" a="1"/>
  <c r="ED33" i="83"/>
  <c r="EE33" i="83" a="1"/>
  <c r="EE33" i="83"/>
  <c r="EF33" i="83" a="1"/>
  <c r="EF33" i="83"/>
  <c r="EH33" i="83" a="1"/>
  <c r="EH33" i="83"/>
  <c r="EI33" i="83" a="1"/>
  <c r="EI33" i="83"/>
  <c r="EJ33" i="83" a="1"/>
  <c r="EJ33" i="83"/>
  <c r="EK33" i="83" a="1"/>
  <c r="EK33" i="83"/>
  <c r="EL33" i="83" a="1"/>
  <c r="EL33" i="83"/>
  <c r="EM33" i="83" a="1"/>
  <c r="EM33" i="83"/>
  <c r="EN33" i="83" a="1"/>
  <c r="EN33" i="83"/>
  <c r="EO33" i="83" a="1"/>
  <c r="EO33" i="83"/>
  <c r="EP33" i="83" a="1"/>
  <c r="EP33" i="83"/>
  <c r="EQ33" i="83" a="1"/>
  <c r="EQ33" i="83"/>
  <c r="ER33" i="83" a="1"/>
  <c r="ER33" i="83"/>
  <c r="ES33" i="83" a="1"/>
  <c r="ES33" i="83"/>
  <c r="ET33" i="83" a="1"/>
  <c r="ET33" i="83"/>
  <c r="EU33" i="83" a="1"/>
  <c r="EU33" i="83"/>
  <c r="EV33" i="83" a="1"/>
  <c r="EV33" i="83"/>
  <c r="EW33" i="83" a="1"/>
  <c r="EW33" i="83"/>
  <c r="EX33" i="83" a="1"/>
  <c r="EX33" i="83"/>
  <c r="EY33" i="83" a="1"/>
  <c r="EY33" i="83"/>
  <c r="FA33" i="83" a="1"/>
  <c r="FA33" i="83"/>
  <c r="FB33" i="83" a="1"/>
  <c r="FB33" i="83"/>
  <c r="FC33" i="83" a="1"/>
  <c r="FC33" i="83"/>
  <c r="FD33" i="83" a="1"/>
  <c r="FD33" i="83"/>
  <c r="FE33" i="83" a="1"/>
  <c r="FE33" i="83"/>
  <c r="FF33" i="83" a="1"/>
  <c r="FF33" i="83"/>
  <c r="FG33" i="83" a="1"/>
  <c r="FG33" i="83"/>
  <c r="FH33" i="83" a="1"/>
  <c r="FH33" i="83"/>
  <c r="FI33" i="83" a="1"/>
  <c r="FI33" i="83"/>
  <c r="FJ33" i="83" a="1"/>
  <c r="FJ33" i="83"/>
  <c r="FK33" i="83" a="1"/>
  <c r="FK33" i="83"/>
  <c r="FL33" i="83" a="1"/>
  <c r="FL33" i="83"/>
  <c r="FM33" i="83" a="1"/>
  <c r="FM33" i="83"/>
  <c r="FN33" i="83" a="1"/>
  <c r="FN33" i="83"/>
  <c r="FO33" i="83" a="1"/>
  <c r="FO33" i="83"/>
  <c r="FP33" i="83" a="1"/>
  <c r="FP33" i="83"/>
  <c r="FQ33" i="83" a="1"/>
  <c r="FQ33" i="83"/>
  <c r="FS33" i="83" a="1"/>
  <c r="FS33" i="83"/>
  <c r="FT33" i="83" a="1"/>
  <c r="FT33" i="83"/>
  <c r="FU33" i="83" a="1"/>
  <c r="FU33" i="83"/>
  <c r="FV33" i="83" a="1"/>
  <c r="FV33" i="83"/>
  <c r="FW33" i="83" a="1"/>
  <c r="FW33" i="83"/>
  <c r="FX33" i="83" a="1"/>
  <c r="FX33" i="83"/>
  <c r="FY33" i="83" a="1"/>
  <c r="FY33" i="83"/>
  <c r="FZ33" i="83" a="1"/>
  <c r="FZ33" i="83"/>
  <c r="GA33" i="83" a="1"/>
  <c r="GA33" i="83"/>
  <c r="GB33" i="83" a="1"/>
  <c r="GB33" i="83"/>
  <c r="GC33" i="83" a="1"/>
  <c r="GC33" i="83"/>
  <c r="GD33" i="83" a="1"/>
  <c r="GD33" i="83"/>
  <c r="GE33" i="83" a="1"/>
  <c r="GE33" i="83"/>
  <c r="GF33" i="83" a="1"/>
  <c r="GF33" i="83"/>
  <c r="GG33" i="83" a="1"/>
  <c r="GG33" i="83"/>
  <c r="GH33" i="83" a="1"/>
  <c r="GH33" i="83"/>
  <c r="GI33" i="83" a="1"/>
  <c r="GI33" i="83"/>
  <c r="GK33" i="83" a="1"/>
  <c r="GK33" i="83"/>
  <c r="GL33" i="83" a="1"/>
  <c r="GL33" i="83"/>
  <c r="GM33" i="83" a="1"/>
  <c r="GM33" i="83"/>
  <c r="GN33" i="83" a="1"/>
  <c r="GN33" i="83"/>
  <c r="GO33" i="83" a="1"/>
  <c r="GO33" i="83"/>
  <c r="GP33" i="83" a="1"/>
  <c r="GP33" i="83"/>
  <c r="GQ33" i="83" a="1"/>
  <c r="GQ33" i="83"/>
  <c r="GR33" i="83" a="1"/>
  <c r="GR33" i="83"/>
  <c r="GS33" i="83" a="1"/>
  <c r="GS33" i="83"/>
  <c r="GT33" i="83" a="1"/>
  <c r="GT33" i="83"/>
  <c r="GU33" i="83" a="1"/>
  <c r="GU33" i="83"/>
  <c r="GV33" i="83" a="1"/>
  <c r="GV33" i="83"/>
  <c r="GW33" i="83" a="1"/>
  <c r="GW33" i="83"/>
  <c r="GX33" i="83" a="1"/>
  <c r="GX33" i="83"/>
  <c r="GY33" i="83" a="1"/>
  <c r="GY33" i="83"/>
  <c r="GZ33" i="83" a="1"/>
  <c r="GZ33" i="83"/>
  <c r="HA33" i="83" a="1"/>
  <c r="HA33" i="83"/>
  <c r="E34" i="83" a="1"/>
  <c r="E34" i="83"/>
  <c r="F34" i="83" a="1"/>
  <c r="F34" i="83"/>
  <c r="G34" i="83" a="1"/>
  <c r="G34" i="83"/>
  <c r="H34" i="83" a="1"/>
  <c r="H34" i="83"/>
  <c r="I34" i="83" a="1"/>
  <c r="I34" i="83"/>
  <c r="J34" i="83" a="1"/>
  <c r="J34" i="83"/>
  <c r="K34" i="83" a="1"/>
  <c r="K34" i="83"/>
  <c r="L34" i="83" a="1"/>
  <c r="L34" i="83"/>
  <c r="M34" i="83" a="1"/>
  <c r="M34" i="83"/>
  <c r="N34" i="83" a="1"/>
  <c r="N34" i="83"/>
  <c r="O34" i="83" a="1"/>
  <c r="O34" i="83"/>
  <c r="P34" i="83" a="1"/>
  <c r="P34" i="83"/>
  <c r="Q34" i="83" a="1"/>
  <c r="Q34" i="83"/>
  <c r="R34" i="83" a="1"/>
  <c r="R34" i="83"/>
  <c r="S34" i="83" a="1"/>
  <c r="S34" i="83"/>
  <c r="T34" i="83" a="1"/>
  <c r="T34" i="83"/>
  <c r="U34" i="83" a="1"/>
  <c r="U34" i="83"/>
  <c r="V34" i="83" a="1"/>
  <c r="V34" i="83"/>
  <c r="W34" i="83"/>
  <c r="X34" i="83" a="1"/>
  <c r="X34" i="83"/>
  <c r="Y34" i="83" a="1"/>
  <c r="Y34" i="83"/>
  <c r="Z34" i="83" a="1"/>
  <c r="Z34" i="83"/>
  <c r="AA34" i="83" a="1"/>
  <c r="AA34" i="83"/>
  <c r="AB34" i="83" a="1"/>
  <c r="AB34" i="83"/>
  <c r="AC34" i="83" a="1"/>
  <c r="AC34" i="83"/>
  <c r="AD34" i="83" a="1"/>
  <c r="AD34" i="83"/>
  <c r="AE34" i="83" a="1"/>
  <c r="AE34" i="83"/>
  <c r="AF34" i="83" a="1"/>
  <c r="AF34" i="83"/>
  <c r="AG34" i="83" a="1"/>
  <c r="AG34" i="83"/>
  <c r="AH34" i="83" a="1"/>
  <c r="AH34" i="83"/>
  <c r="AI34" i="83" a="1"/>
  <c r="AI34" i="83"/>
  <c r="AJ34" i="83" a="1"/>
  <c r="AJ34" i="83"/>
  <c r="AK34" i="83" a="1"/>
  <c r="AK34" i="83"/>
  <c r="AL34" i="83" a="1"/>
  <c r="AL34" i="83"/>
  <c r="AM34" i="83" a="1"/>
  <c r="AM34" i="83"/>
  <c r="AN34" i="83" a="1"/>
  <c r="AN34" i="83"/>
  <c r="AO34" i="83" a="1"/>
  <c r="AO34" i="83"/>
  <c r="AQ34" i="83" a="1"/>
  <c r="AQ34" i="83"/>
  <c r="AR34" i="83" a="1"/>
  <c r="AR34" i="83"/>
  <c r="AS34" i="83" a="1"/>
  <c r="AS34" i="83"/>
  <c r="AT34" i="83" a="1"/>
  <c r="AT34" i="83"/>
  <c r="AU34" i="83" a="1"/>
  <c r="AU34" i="83"/>
  <c r="AV34" i="83" a="1"/>
  <c r="AV34" i="83"/>
  <c r="AW34" i="83" a="1"/>
  <c r="AW34" i="83"/>
  <c r="AX34" i="83" a="1"/>
  <c r="AX34" i="83"/>
  <c r="AY34" i="83" a="1"/>
  <c r="AY34" i="83"/>
  <c r="AZ34" i="83" a="1"/>
  <c r="AZ34" i="83"/>
  <c r="BA34" i="83" a="1"/>
  <c r="BA34" i="83"/>
  <c r="BB34" i="83" a="1"/>
  <c r="BB34" i="83"/>
  <c r="BC34" i="83" a="1"/>
  <c r="BC34" i="83"/>
  <c r="BD34" i="83" a="1"/>
  <c r="BD34" i="83"/>
  <c r="BE34" i="83" a="1"/>
  <c r="BE34" i="83"/>
  <c r="BF34" i="83" a="1"/>
  <c r="BF34" i="83"/>
  <c r="BG34" i="83" a="1"/>
  <c r="BG34" i="83"/>
  <c r="BH34" i="83" a="1"/>
  <c r="BH34" i="83"/>
  <c r="BJ34" i="83" a="1"/>
  <c r="BJ34" i="83"/>
  <c r="BK34" i="83" a="1"/>
  <c r="BK34" i="83"/>
  <c r="BL34" i="83" a="1"/>
  <c r="BL34" i="83"/>
  <c r="BM34" i="83" a="1"/>
  <c r="BM34" i="83"/>
  <c r="BN34" i="83" a="1"/>
  <c r="BN34" i="83"/>
  <c r="BO34" i="83" a="1"/>
  <c r="BO34" i="83"/>
  <c r="BP34" i="83" a="1"/>
  <c r="BP34" i="83"/>
  <c r="BQ34" i="83" a="1"/>
  <c r="BQ34" i="83"/>
  <c r="BR34" i="83" a="1"/>
  <c r="BR34" i="83"/>
  <c r="BS34" i="83" a="1"/>
  <c r="BS34" i="83"/>
  <c r="BT34" i="83" a="1"/>
  <c r="BT34" i="83"/>
  <c r="BU34" i="83" a="1"/>
  <c r="BU34" i="83"/>
  <c r="BV34" i="83" a="1"/>
  <c r="BV34" i="83"/>
  <c r="BW34" i="83" a="1"/>
  <c r="BW34" i="83"/>
  <c r="BX34" i="83" a="1"/>
  <c r="BX34" i="83"/>
  <c r="BY34" i="83" a="1"/>
  <c r="BY34" i="83"/>
  <c r="BZ34" i="83" a="1"/>
  <c r="BZ34" i="83"/>
  <c r="CA34" i="83" a="1"/>
  <c r="CA34" i="83"/>
  <c r="CC34" i="83" a="1"/>
  <c r="CC34" i="83"/>
  <c r="CD34" i="83" a="1"/>
  <c r="CD34" i="83"/>
  <c r="CE34" i="83" a="1"/>
  <c r="CE34" i="83"/>
  <c r="CF34" i="83" a="1"/>
  <c r="CF34" i="83"/>
  <c r="CG34" i="83" a="1"/>
  <c r="CG34" i="83"/>
  <c r="CH34" i="83" a="1"/>
  <c r="CH34" i="83"/>
  <c r="CI34" i="83" a="1"/>
  <c r="CI34" i="83"/>
  <c r="CJ34" i="83" a="1"/>
  <c r="CJ34" i="83"/>
  <c r="CK34" i="83" a="1"/>
  <c r="CK34" i="83"/>
  <c r="CL34" i="83" a="1"/>
  <c r="CL34" i="83"/>
  <c r="CM34" i="83" a="1"/>
  <c r="CM34" i="83"/>
  <c r="CN34" i="83" a="1"/>
  <c r="CN34" i="83"/>
  <c r="CO34" i="83" a="1"/>
  <c r="CO34" i="83"/>
  <c r="CP34" i="83" a="1"/>
  <c r="CP34" i="83"/>
  <c r="CQ34" i="83" a="1"/>
  <c r="CQ34" i="83"/>
  <c r="CR34" i="83" a="1"/>
  <c r="CR34" i="83"/>
  <c r="CS34" i="83" a="1"/>
  <c r="CS34" i="83"/>
  <c r="CT34" i="83" a="1"/>
  <c r="CT34" i="83"/>
  <c r="CV34" i="83" a="1"/>
  <c r="CV34" i="83"/>
  <c r="CW34" i="83" a="1"/>
  <c r="CW34" i="83"/>
  <c r="CX34" i="83" a="1"/>
  <c r="CX34" i="83"/>
  <c r="CY34" i="83" a="1"/>
  <c r="CY34" i="83"/>
  <c r="CZ34" i="83" a="1"/>
  <c r="CZ34" i="83"/>
  <c r="DA34" i="83" a="1"/>
  <c r="DA34" i="83"/>
  <c r="DB34" i="83" a="1"/>
  <c r="DB34" i="83"/>
  <c r="DC34" i="83" a="1"/>
  <c r="DC34" i="83"/>
  <c r="DD34" i="83" a="1"/>
  <c r="DD34" i="83"/>
  <c r="DE34" i="83" a="1"/>
  <c r="DE34" i="83"/>
  <c r="DF34" i="83" a="1"/>
  <c r="DF34" i="83"/>
  <c r="DG34" i="83" a="1"/>
  <c r="DG34" i="83"/>
  <c r="DH34" i="83" a="1"/>
  <c r="DH34" i="83"/>
  <c r="DI34" i="83" a="1"/>
  <c r="DI34" i="83"/>
  <c r="DJ34" i="83" a="1"/>
  <c r="DJ34" i="83"/>
  <c r="DK34" i="83" a="1"/>
  <c r="DK34" i="83"/>
  <c r="DL34" i="83" a="1"/>
  <c r="DL34" i="83"/>
  <c r="DM34" i="83" a="1"/>
  <c r="DM34" i="83"/>
  <c r="DO34" i="83" a="1"/>
  <c r="DO34" i="83"/>
  <c r="DP34" i="83" a="1"/>
  <c r="DP34" i="83"/>
  <c r="DQ34" i="83" a="1"/>
  <c r="DQ34" i="83"/>
  <c r="DR34" i="83" a="1"/>
  <c r="DR34" i="83"/>
  <c r="DS34" i="83" a="1"/>
  <c r="DS34" i="83"/>
  <c r="DT34" i="83" a="1"/>
  <c r="DT34" i="83"/>
  <c r="DU34" i="83" a="1"/>
  <c r="DU34" i="83"/>
  <c r="DV34" i="83" a="1"/>
  <c r="DV34" i="83"/>
  <c r="DW34" i="83" a="1"/>
  <c r="DW34" i="83"/>
  <c r="DX34" i="83" a="1"/>
  <c r="DX34" i="83"/>
  <c r="DY34" i="83" a="1"/>
  <c r="DY34" i="83"/>
  <c r="DZ34" i="83" a="1"/>
  <c r="DZ34" i="83"/>
  <c r="EA34" i="83" a="1"/>
  <c r="EA34" i="83"/>
  <c r="EB34" i="83" a="1"/>
  <c r="EB34" i="83"/>
  <c r="EC34" i="83" a="1"/>
  <c r="EC34" i="83"/>
  <c r="ED34" i="83" a="1"/>
  <c r="ED34" i="83"/>
  <c r="EE34" i="83" a="1"/>
  <c r="EE34" i="83"/>
  <c r="EF34" i="83" a="1"/>
  <c r="EF34" i="83"/>
  <c r="EH34" i="83" a="1"/>
  <c r="EH34" i="83"/>
  <c r="EI34" i="83" a="1"/>
  <c r="EI34" i="83"/>
  <c r="EJ34" i="83" a="1"/>
  <c r="EJ34" i="83"/>
  <c r="EK34" i="83" a="1"/>
  <c r="EK34" i="83"/>
  <c r="EL34" i="83" a="1"/>
  <c r="EL34" i="83"/>
  <c r="EM34" i="83" a="1"/>
  <c r="EM34" i="83"/>
  <c r="EN34" i="83" a="1"/>
  <c r="EN34" i="83"/>
  <c r="EO34" i="83" a="1"/>
  <c r="EO34" i="83"/>
  <c r="EP34" i="83" a="1"/>
  <c r="EP34" i="83"/>
  <c r="EQ34" i="83" a="1"/>
  <c r="EQ34" i="83"/>
  <c r="ER34" i="83" a="1"/>
  <c r="ER34" i="83"/>
  <c r="ES34" i="83" a="1"/>
  <c r="ES34" i="83"/>
  <c r="ET34" i="83" a="1"/>
  <c r="ET34" i="83"/>
  <c r="EU34" i="83" a="1"/>
  <c r="EU34" i="83"/>
  <c r="EV34" i="83" a="1"/>
  <c r="EV34" i="83"/>
  <c r="EW34" i="83" a="1"/>
  <c r="EW34" i="83"/>
  <c r="EX34" i="83" a="1"/>
  <c r="EX34" i="83"/>
  <c r="EY34" i="83" a="1"/>
  <c r="EY34" i="83"/>
  <c r="FA34" i="83" a="1"/>
  <c r="FA34" i="83"/>
  <c r="FB34" i="83" a="1"/>
  <c r="FB34" i="83"/>
  <c r="FC34" i="83" a="1"/>
  <c r="FC34" i="83"/>
  <c r="FD34" i="83" a="1"/>
  <c r="FD34" i="83"/>
  <c r="FE34" i="83" a="1"/>
  <c r="FE34" i="83"/>
  <c r="FF34" i="83" a="1"/>
  <c r="FF34" i="83"/>
  <c r="FG34" i="83" a="1"/>
  <c r="FG34" i="83"/>
  <c r="FH34" i="83" a="1"/>
  <c r="FH34" i="83"/>
  <c r="FI34" i="83" a="1"/>
  <c r="FI34" i="83"/>
  <c r="FJ34" i="83" a="1"/>
  <c r="FJ34" i="83"/>
  <c r="FK34" i="83" a="1"/>
  <c r="FK34" i="83"/>
  <c r="FL34" i="83" a="1"/>
  <c r="FL34" i="83"/>
  <c r="FM34" i="83" a="1"/>
  <c r="FM34" i="83"/>
  <c r="FN34" i="83" a="1"/>
  <c r="FN34" i="83"/>
  <c r="FO34" i="83" a="1"/>
  <c r="FO34" i="83"/>
  <c r="FP34" i="83" a="1"/>
  <c r="FP34" i="83"/>
  <c r="FQ34" i="83" a="1"/>
  <c r="FQ34" i="83"/>
  <c r="FS34" i="83" a="1"/>
  <c r="FS34" i="83"/>
  <c r="FT34" i="83" a="1"/>
  <c r="FT34" i="83"/>
  <c r="FU34" i="83" a="1"/>
  <c r="FU34" i="83"/>
  <c r="FV34" i="83" a="1"/>
  <c r="FV34" i="83"/>
  <c r="FW34" i="83" a="1"/>
  <c r="FW34" i="83"/>
  <c r="FX34" i="83" a="1"/>
  <c r="FX34" i="83"/>
  <c r="FY34" i="83" a="1"/>
  <c r="FY34" i="83"/>
  <c r="FZ34" i="83" a="1"/>
  <c r="FZ34" i="83"/>
  <c r="GA34" i="83" a="1"/>
  <c r="GA34" i="83"/>
  <c r="GB34" i="83" a="1"/>
  <c r="GB34" i="83"/>
  <c r="GC34" i="83" a="1"/>
  <c r="GC34" i="83"/>
  <c r="GD34" i="83" a="1"/>
  <c r="GD34" i="83"/>
  <c r="GE34" i="83" a="1"/>
  <c r="GE34" i="83"/>
  <c r="GF34" i="83" a="1"/>
  <c r="GF34" i="83"/>
  <c r="GG34" i="83" a="1"/>
  <c r="GG34" i="83"/>
  <c r="GH34" i="83" a="1"/>
  <c r="GH34" i="83"/>
  <c r="GI34" i="83" a="1"/>
  <c r="GI34" i="83"/>
  <c r="GK34" i="83" a="1"/>
  <c r="GK34" i="83"/>
  <c r="GL34" i="83" a="1"/>
  <c r="GL34" i="83"/>
  <c r="GM34" i="83" a="1"/>
  <c r="GM34" i="83"/>
  <c r="GN34" i="83" a="1"/>
  <c r="GN34" i="83"/>
  <c r="GO34" i="83" a="1"/>
  <c r="GO34" i="83"/>
  <c r="GP34" i="83" a="1"/>
  <c r="GP34" i="83"/>
  <c r="GQ34" i="83" a="1"/>
  <c r="GQ34" i="83"/>
  <c r="GR34" i="83" a="1"/>
  <c r="GR34" i="83"/>
  <c r="GS34" i="83" a="1"/>
  <c r="GS34" i="83"/>
  <c r="GT34" i="83" a="1"/>
  <c r="GT34" i="83"/>
  <c r="GU34" i="83" a="1"/>
  <c r="GU34" i="83"/>
  <c r="GV34" i="83" a="1"/>
  <c r="GV34" i="83"/>
  <c r="GW34" i="83" a="1"/>
  <c r="GW34" i="83"/>
  <c r="GX34" i="83" a="1"/>
  <c r="GX34" i="83"/>
  <c r="GY34" i="83" a="1"/>
  <c r="GY34" i="83"/>
  <c r="GZ34" i="83" a="1"/>
  <c r="GZ34" i="83"/>
  <c r="HA34" i="83" a="1"/>
  <c r="HA34" i="83"/>
  <c r="E35" i="83" a="1"/>
  <c r="E35" i="83"/>
  <c r="F35" i="83" a="1"/>
  <c r="F35" i="83"/>
  <c r="G35" i="83" a="1"/>
  <c r="G35" i="83"/>
  <c r="H35" i="83" a="1"/>
  <c r="H35" i="83"/>
  <c r="I35" i="83" a="1"/>
  <c r="I35" i="83"/>
  <c r="J35" i="83" a="1"/>
  <c r="J35" i="83"/>
  <c r="K35" i="83" a="1"/>
  <c r="K35" i="83"/>
  <c r="L35" i="83" a="1"/>
  <c r="L35" i="83"/>
  <c r="M35" i="83" a="1"/>
  <c r="M35" i="83"/>
  <c r="N35" i="83" a="1"/>
  <c r="N35" i="83"/>
  <c r="O35" i="83" a="1"/>
  <c r="O35" i="83"/>
  <c r="P35" i="83" a="1"/>
  <c r="P35" i="83"/>
  <c r="Q35" i="83" a="1"/>
  <c r="Q35" i="83"/>
  <c r="R35" i="83" a="1"/>
  <c r="R35" i="83"/>
  <c r="S35" i="83" a="1"/>
  <c r="S35" i="83"/>
  <c r="T35" i="83" a="1"/>
  <c r="T35" i="83"/>
  <c r="U35" i="83" a="1"/>
  <c r="U35" i="83"/>
  <c r="V35" i="83" a="1"/>
  <c r="V35" i="83"/>
  <c r="W35" i="83"/>
  <c r="X35" i="83" a="1"/>
  <c r="X35" i="83"/>
  <c r="Y35" i="83" a="1"/>
  <c r="Y35" i="83"/>
  <c r="Z35" i="83" a="1"/>
  <c r="Z35" i="83"/>
  <c r="AA35" i="83" a="1"/>
  <c r="AA35" i="83"/>
  <c r="AB35" i="83" a="1"/>
  <c r="AB35" i="83"/>
  <c r="AC35" i="83" a="1"/>
  <c r="AC35" i="83"/>
  <c r="AD35" i="83" a="1"/>
  <c r="AD35" i="83"/>
  <c r="AE35" i="83" a="1"/>
  <c r="AE35" i="83"/>
  <c r="AF35" i="83" a="1"/>
  <c r="AF35" i="83"/>
  <c r="AG35" i="83" a="1"/>
  <c r="AG35" i="83"/>
  <c r="AH35" i="83" a="1"/>
  <c r="AH35" i="83"/>
  <c r="AI35" i="83" a="1"/>
  <c r="AI35" i="83"/>
  <c r="AJ35" i="83" a="1"/>
  <c r="AJ35" i="83"/>
  <c r="AK35" i="83" a="1"/>
  <c r="AK35" i="83"/>
  <c r="AL35" i="83" a="1"/>
  <c r="AL35" i="83"/>
  <c r="AM35" i="83" a="1"/>
  <c r="AM35" i="83"/>
  <c r="AN35" i="83" a="1"/>
  <c r="AN35" i="83"/>
  <c r="AO35" i="83" a="1"/>
  <c r="AO35" i="83"/>
  <c r="AQ35" i="83" a="1"/>
  <c r="AQ35" i="83"/>
  <c r="AR35" i="83" a="1"/>
  <c r="AR35" i="83"/>
  <c r="AS35" i="83" a="1"/>
  <c r="AS35" i="83"/>
  <c r="AT35" i="83" a="1"/>
  <c r="AT35" i="83"/>
  <c r="AU35" i="83" a="1"/>
  <c r="AU35" i="83"/>
  <c r="AV35" i="83" a="1"/>
  <c r="AV35" i="83"/>
  <c r="AW35" i="83" a="1"/>
  <c r="AW35" i="83"/>
  <c r="AX35" i="83" a="1"/>
  <c r="AX35" i="83"/>
  <c r="AY35" i="83" a="1"/>
  <c r="AY35" i="83"/>
  <c r="AZ35" i="83" a="1"/>
  <c r="AZ35" i="83"/>
  <c r="BA35" i="83" a="1"/>
  <c r="BA35" i="83"/>
  <c r="BB35" i="83" a="1"/>
  <c r="BB35" i="83"/>
  <c r="BC35" i="83" a="1"/>
  <c r="BC35" i="83"/>
  <c r="BD35" i="83" a="1"/>
  <c r="BD35" i="83"/>
  <c r="BE35" i="83" a="1"/>
  <c r="BE35" i="83"/>
  <c r="BF35" i="83" a="1"/>
  <c r="BF35" i="83"/>
  <c r="BG35" i="83" a="1"/>
  <c r="BG35" i="83"/>
  <c r="BH35" i="83" a="1"/>
  <c r="BH35" i="83"/>
  <c r="BJ35" i="83" a="1"/>
  <c r="BJ35" i="83"/>
  <c r="BK35" i="83" a="1"/>
  <c r="BK35" i="83"/>
  <c r="BL35" i="83" a="1"/>
  <c r="BL35" i="83"/>
  <c r="BM35" i="83" a="1"/>
  <c r="BM35" i="83"/>
  <c r="BN35" i="83" a="1"/>
  <c r="BN35" i="83"/>
  <c r="BO35" i="83" a="1"/>
  <c r="BO35" i="83"/>
  <c r="BP35" i="83" a="1"/>
  <c r="BP35" i="83"/>
  <c r="BQ35" i="83" a="1"/>
  <c r="BQ35" i="83"/>
  <c r="BR35" i="83" a="1"/>
  <c r="BR35" i="83"/>
  <c r="BS35" i="83" a="1"/>
  <c r="BS35" i="83"/>
  <c r="BT35" i="83" a="1"/>
  <c r="BT35" i="83"/>
  <c r="BU35" i="83" a="1"/>
  <c r="BU35" i="83"/>
  <c r="BV35" i="83" a="1"/>
  <c r="BV35" i="83"/>
  <c r="BW35" i="83" a="1"/>
  <c r="BW35" i="83"/>
  <c r="BX35" i="83" a="1"/>
  <c r="BX35" i="83"/>
  <c r="BY35" i="83" a="1"/>
  <c r="BY35" i="83"/>
  <c r="BZ35" i="83" a="1"/>
  <c r="BZ35" i="83"/>
  <c r="CA35" i="83" a="1"/>
  <c r="CA35" i="83"/>
  <c r="CC35" i="83" a="1"/>
  <c r="CC35" i="83"/>
  <c r="CD35" i="83" a="1"/>
  <c r="CD35" i="83"/>
  <c r="CE35" i="83" a="1"/>
  <c r="CE35" i="83"/>
  <c r="CF35" i="83" a="1"/>
  <c r="CF35" i="83"/>
  <c r="CG35" i="83" a="1"/>
  <c r="CG35" i="83"/>
  <c r="CH35" i="83" a="1"/>
  <c r="CH35" i="83"/>
  <c r="CI35" i="83" a="1"/>
  <c r="CI35" i="83"/>
  <c r="CJ35" i="83" a="1"/>
  <c r="CJ35" i="83"/>
  <c r="CK35" i="83" a="1"/>
  <c r="CK35" i="83"/>
  <c r="CL35" i="83" a="1"/>
  <c r="CL35" i="83"/>
  <c r="CM35" i="83" a="1"/>
  <c r="CM35" i="83"/>
  <c r="CN35" i="83" a="1"/>
  <c r="CN35" i="83"/>
  <c r="CO35" i="83" a="1"/>
  <c r="CO35" i="83"/>
  <c r="CP35" i="83" a="1"/>
  <c r="CP35" i="83"/>
  <c r="CQ35" i="83" a="1"/>
  <c r="CQ35" i="83"/>
  <c r="CR35" i="83" a="1"/>
  <c r="CR35" i="83"/>
  <c r="CS35" i="83" a="1"/>
  <c r="CS35" i="83"/>
  <c r="CT35" i="83" a="1"/>
  <c r="CT35" i="83"/>
  <c r="CV35" i="83" a="1"/>
  <c r="CV35" i="83"/>
  <c r="CW35" i="83" a="1"/>
  <c r="CW35" i="83"/>
  <c r="CX35" i="83" a="1"/>
  <c r="CX35" i="83"/>
  <c r="CY35" i="83" a="1"/>
  <c r="CY35" i="83"/>
  <c r="CZ35" i="83" a="1"/>
  <c r="CZ35" i="83"/>
  <c r="DA35" i="83" a="1"/>
  <c r="DA35" i="83"/>
  <c r="DB35" i="83" a="1"/>
  <c r="DB35" i="83"/>
  <c r="DC35" i="83" a="1"/>
  <c r="DC35" i="83"/>
  <c r="DD35" i="83" a="1"/>
  <c r="DD35" i="83"/>
  <c r="DE35" i="83" a="1"/>
  <c r="DE35" i="83"/>
  <c r="DF35" i="83" a="1"/>
  <c r="DF35" i="83"/>
  <c r="DG35" i="83" a="1"/>
  <c r="DG35" i="83"/>
  <c r="DH35" i="83" a="1"/>
  <c r="DH35" i="83"/>
  <c r="DI35" i="83" a="1"/>
  <c r="DI35" i="83"/>
  <c r="DJ35" i="83" a="1"/>
  <c r="DJ35" i="83"/>
  <c r="DK35" i="83" a="1"/>
  <c r="DK35" i="83"/>
  <c r="DL35" i="83" a="1"/>
  <c r="DL35" i="83"/>
  <c r="DM35" i="83" a="1"/>
  <c r="DM35" i="83"/>
  <c r="DO35" i="83" a="1"/>
  <c r="DO35" i="83"/>
  <c r="DP35" i="83" a="1"/>
  <c r="DP35" i="83"/>
  <c r="DQ35" i="83" a="1"/>
  <c r="DQ35" i="83"/>
  <c r="DR35" i="83" a="1"/>
  <c r="DR35" i="83"/>
  <c r="DS35" i="83" a="1"/>
  <c r="DS35" i="83"/>
  <c r="DT35" i="83" a="1"/>
  <c r="DT35" i="83"/>
  <c r="DU35" i="83" a="1"/>
  <c r="DU35" i="83"/>
  <c r="DV35" i="83" a="1"/>
  <c r="DV35" i="83"/>
  <c r="DW35" i="83" a="1"/>
  <c r="DW35" i="83"/>
  <c r="DX35" i="83" a="1"/>
  <c r="DX35" i="83"/>
  <c r="DY35" i="83" a="1"/>
  <c r="DY35" i="83"/>
  <c r="DZ35" i="83" a="1"/>
  <c r="DZ35" i="83"/>
  <c r="EA35" i="83" a="1"/>
  <c r="EA35" i="83"/>
  <c r="EB35" i="83" a="1"/>
  <c r="EB35" i="83"/>
  <c r="EC35" i="83" a="1"/>
  <c r="EC35" i="83"/>
  <c r="ED35" i="83" a="1"/>
  <c r="ED35" i="83"/>
  <c r="EE35" i="83" a="1"/>
  <c r="EE35" i="83"/>
  <c r="EF35" i="83" a="1"/>
  <c r="EF35" i="83"/>
  <c r="EH35" i="83" a="1"/>
  <c r="EH35" i="83"/>
  <c r="EI35" i="83" a="1"/>
  <c r="EI35" i="83"/>
  <c r="EJ35" i="83" a="1"/>
  <c r="EJ35" i="83"/>
  <c r="EK35" i="83" a="1"/>
  <c r="EK35" i="83"/>
  <c r="EL35" i="83" a="1"/>
  <c r="EL35" i="83"/>
  <c r="EM35" i="83" a="1"/>
  <c r="EM35" i="83"/>
  <c r="EN35" i="83" a="1"/>
  <c r="EN35" i="83"/>
  <c r="EO35" i="83" a="1"/>
  <c r="EO35" i="83"/>
  <c r="EP35" i="83" a="1"/>
  <c r="EP35" i="83"/>
  <c r="EQ35" i="83" a="1"/>
  <c r="EQ35" i="83"/>
  <c r="ER35" i="83" a="1"/>
  <c r="ER35" i="83"/>
  <c r="ES35" i="83" a="1"/>
  <c r="ES35" i="83"/>
  <c r="ET35" i="83" a="1"/>
  <c r="ET35" i="83"/>
  <c r="EU35" i="83" a="1"/>
  <c r="EU35" i="83"/>
  <c r="EV35" i="83" a="1"/>
  <c r="EV35" i="83"/>
  <c r="EW35" i="83" a="1"/>
  <c r="EW35" i="83"/>
  <c r="EX35" i="83" a="1"/>
  <c r="EX35" i="83"/>
  <c r="EY35" i="83" a="1"/>
  <c r="EY35" i="83"/>
  <c r="FA35" i="83" a="1"/>
  <c r="FA35" i="83"/>
  <c r="FB35" i="83" a="1"/>
  <c r="FB35" i="83"/>
  <c r="FC35" i="83" a="1"/>
  <c r="FC35" i="83"/>
  <c r="FD35" i="83" a="1"/>
  <c r="FD35" i="83"/>
  <c r="FE35" i="83" a="1"/>
  <c r="FE35" i="83"/>
  <c r="FF35" i="83" a="1"/>
  <c r="FF35" i="83"/>
  <c r="FG35" i="83" a="1"/>
  <c r="FG35" i="83"/>
  <c r="FH35" i="83" a="1"/>
  <c r="FH35" i="83"/>
  <c r="FI35" i="83" a="1"/>
  <c r="FI35" i="83"/>
  <c r="FJ35" i="83" a="1"/>
  <c r="FJ35" i="83"/>
  <c r="FK35" i="83" a="1"/>
  <c r="FK35" i="83"/>
  <c r="FL35" i="83" a="1"/>
  <c r="FL35" i="83"/>
  <c r="FM35" i="83" a="1"/>
  <c r="FM35" i="83"/>
  <c r="FN35" i="83" a="1"/>
  <c r="FN35" i="83"/>
  <c r="FO35" i="83" a="1"/>
  <c r="FO35" i="83"/>
  <c r="FP35" i="83" a="1"/>
  <c r="FP35" i="83"/>
  <c r="FQ35" i="83" a="1"/>
  <c r="FQ35" i="83"/>
  <c r="FS35" i="83" a="1"/>
  <c r="FS35" i="83"/>
  <c r="FT35" i="83" a="1"/>
  <c r="FT35" i="83"/>
  <c r="FU35" i="83" a="1"/>
  <c r="FU35" i="83"/>
  <c r="FV35" i="83" a="1"/>
  <c r="FV35" i="83"/>
  <c r="FW35" i="83" a="1"/>
  <c r="FW35" i="83"/>
  <c r="FX35" i="83" a="1"/>
  <c r="FX35" i="83"/>
  <c r="FY35" i="83" a="1"/>
  <c r="FY35" i="83"/>
  <c r="FZ35" i="83" a="1"/>
  <c r="FZ35" i="83"/>
  <c r="GA35" i="83" a="1"/>
  <c r="GA35" i="83"/>
  <c r="GB35" i="83" a="1"/>
  <c r="GB35" i="83"/>
  <c r="GC35" i="83" a="1"/>
  <c r="GC35" i="83"/>
  <c r="GD35" i="83" a="1"/>
  <c r="GD35" i="83"/>
  <c r="GE35" i="83" a="1"/>
  <c r="GE35" i="83"/>
  <c r="GF35" i="83" a="1"/>
  <c r="GF35" i="83"/>
  <c r="GG35" i="83" a="1"/>
  <c r="GG35" i="83"/>
  <c r="GH35" i="83" a="1"/>
  <c r="GH35" i="83"/>
  <c r="GI35" i="83" a="1"/>
  <c r="GI35" i="83"/>
  <c r="GK35" i="83" a="1"/>
  <c r="GK35" i="83"/>
  <c r="GL35" i="83" a="1"/>
  <c r="GL35" i="83"/>
  <c r="GM35" i="83" a="1"/>
  <c r="GM35" i="83"/>
  <c r="GN35" i="83" a="1"/>
  <c r="GN35" i="83"/>
  <c r="GO35" i="83" a="1"/>
  <c r="GO35" i="83"/>
  <c r="GP35" i="83" a="1"/>
  <c r="GP35" i="83"/>
  <c r="GQ35" i="83" a="1"/>
  <c r="GQ35" i="83"/>
  <c r="GR35" i="83" a="1"/>
  <c r="GR35" i="83"/>
  <c r="GS35" i="83" a="1"/>
  <c r="GS35" i="83"/>
  <c r="GT35" i="83" a="1"/>
  <c r="GT35" i="83"/>
  <c r="GU35" i="83" a="1"/>
  <c r="GU35" i="83"/>
  <c r="GV35" i="83" a="1"/>
  <c r="GV35" i="83"/>
  <c r="GW35" i="83" a="1"/>
  <c r="GW35" i="83"/>
  <c r="GX35" i="83" a="1"/>
  <c r="GX35" i="83"/>
  <c r="GY35" i="83" a="1"/>
  <c r="GY35" i="83"/>
  <c r="GZ35" i="83" a="1"/>
  <c r="GZ35" i="83"/>
  <c r="HA35" i="83" a="1"/>
  <c r="HA35" i="83"/>
  <c r="E36" i="83" a="1"/>
  <c r="E36" i="83"/>
  <c r="F36" i="83" a="1"/>
  <c r="F36" i="83"/>
  <c r="G36" i="83" a="1"/>
  <c r="G36" i="83"/>
  <c r="H36" i="83" a="1"/>
  <c r="H36" i="83"/>
  <c r="I36" i="83" a="1"/>
  <c r="I36" i="83"/>
  <c r="J36" i="83" a="1"/>
  <c r="J36" i="83"/>
  <c r="K36" i="83" a="1"/>
  <c r="K36" i="83"/>
  <c r="L36" i="83" a="1"/>
  <c r="L36" i="83"/>
  <c r="M36" i="83" a="1"/>
  <c r="M36" i="83"/>
  <c r="N36" i="83" a="1"/>
  <c r="N36" i="83"/>
  <c r="O36" i="83" a="1"/>
  <c r="O36" i="83"/>
  <c r="P36" i="83" a="1"/>
  <c r="P36" i="83"/>
  <c r="Q36" i="83" a="1"/>
  <c r="Q36" i="83"/>
  <c r="R36" i="83" a="1"/>
  <c r="R36" i="83"/>
  <c r="S36" i="83" a="1"/>
  <c r="S36" i="83"/>
  <c r="T36" i="83" a="1"/>
  <c r="T36" i="83"/>
  <c r="U36" i="83" a="1"/>
  <c r="U36" i="83"/>
  <c r="V36" i="83" a="1"/>
  <c r="V36" i="83"/>
  <c r="W36" i="83"/>
  <c r="X36" i="83" a="1"/>
  <c r="X36" i="83"/>
  <c r="Y36" i="83" a="1"/>
  <c r="Y36" i="83"/>
  <c r="Z36" i="83" a="1"/>
  <c r="Z36" i="83"/>
  <c r="AA36" i="83" a="1"/>
  <c r="AA36" i="83"/>
  <c r="AB36" i="83" a="1"/>
  <c r="AB36" i="83"/>
  <c r="AC36" i="83" a="1"/>
  <c r="AC36" i="83"/>
  <c r="AD36" i="83" a="1"/>
  <c r="AD36" i="83"/>
  <c r="AE36" i="83" a="1"/>
  <c r="AE36" i="83"/>
  <c r="AF36" i="83" a="1"/>
  <c r="AF36" i="83"/>
  <c r="AG36" i="83" a="1"/>
  <c r="AG36" i="83"/>
  <c r="AH36" i="83" a="1"/>
  <c r="AH36" i="83"/>
  <c r="AI36" i="83" a="1"/>
  <c r="AI36" i="83"/>
  <c r="AJ36" i="83" a="1"/>
  <c r="AJ36" i="83"/>
  <c r="AK36" i="83" a="1"/>
  <c r="AK36" i="83"/>
  <c r="AL36" i="83" a="1"/>
  <c r="AL36" i="83"/>
  <c r="AM36" i="83" a="1"/>
  <c r="AM36" i="83"/>
  <c r="AN36" i="83" a="1"/>
  <c r="AN36" i="83"/>
  <c r="AO36" i="83" a="1"/>
  <c r="AO36" i="83"/>
  <c r="AQ36" i="83" a="1"/>
  <c r="AQ36" i="83"/>
  <c r="AR36" i="83" a="1"/>
  <c r="AR36" i="83"/>
  <c r="AS36" i="83" a="1"/>
  <c r="AS36" i="83"/>
  <c r="AT36" i="83" a="1"/>
  <c r="AT36" i="83"/>
  <c r="AU36" i="83" a="1"/>
  <c r="AU36" i="83"/>
  <c r="AV36" i="83" a="1"/>
  <c r="AV36" i="83"/>
  <c r="AW36" i="83" a="1"/>
  <c r="AW36" i="83"/>
  <c r="AX36" i="83" a="1"/>
  <c r="AX36" i="83"/>
  <c r="AY36" i="83" a="1"/>
  <c r="AY36" i="83"/>
  <c r="AZ36" i="83" a="1"/>
  <c r="AZ36" i="83"/>
  <c r="BA36" i="83" a="1"/>
  <c r="BA36" i="83"/>
  <c r="BB36" i="83" a="1"/>
  <c r="BB36" i="83"/>
  <c r="BC36" i="83" a="1"/>
  <c r="BC36" i="83"/>
  <c r="BD36" i="83" a="1"/>
  <c r="BD36" i="83"/>
  <c r="BE36" i="83" a="1"/>
  <c r="BE36" i="83"/>
  <c r="BF36" i="83" a="1"/>
  <c r="BF36" i="83"/>
  <c r="BG36" i="83" a="1"/>
  <c r="BG36" i="83"/>
  <c r="BH36" i="83" a="1"/>
  <c r="BH36" i="83"/>
  <c r="BJ36" i="83" a="1"/>
  <c r="BJ36" i="83"/>
  <c r="BK36" i="83" a="1"/>
  <c r="BK36" i="83"/>
  <c r="BL36" i="83" a="1"/>
  <c r="BL36" i="83"/>
  <c r="BM36" i="83" a="1"/>
  <c r="BM36" i="83"/>
  <c r="BN36" i="83" a="1"/>
  <c r="BN36" i="83"/>
  <c r="BO36" i="83" a="1"/>
  <c r="BO36" i="83"/>
  <c r="BP36" i="83" a="1"/>
  <c r="BP36" i="83"/>
  <c r="BQ36" i="83" a="1"/>
  <c r="BQ36" i="83"/>
  <c r="BR36" i="83" a="1"/>
  <c r="BR36" i="83"/>
  <c r="BS36" i="83" a="1"/>
  <c r="BS36" i="83"/>
  <c r="BT36" i="83" a="1"/>
  <c r="BT36" i="83"/>
  <c r="BU36" i="83" a="1"/>
  <c r="BU36" i="83"/>
  <c r="BV36" i="83" a="1"/>
  <c r="BV36" i="83"/>
  <c r="BW36" i="83" a="1"/>
  <c r="BW36" i="83"/>
  <c r="BX36" i="83" a="1"/>
  <c r="BX36" i="83"/>
  <c r="BY36" i="83" a="1"/>
  <c r="BY36" i="83"/>
  <c r="BZ36" i="83" a="1"/>
  <c r="BZ36" i="83"/>
  <c r="CA36" i="83" a="1"/>
  <c r="CA36" i="83"/>
  <c r="CC36" i="83" a="1"/>
  <c r="CC36" i="83"/>
  <c r="CD36" i="83" a="1"/>
  <c r="CD36" i="83"/>
  <c r="CE36" i="83" a="1"/>
  <c r="CE36" i="83"/>
  <c r="CF36" i="83" a="1"/>
  <c r="CF36" i="83"/>
  <c r="CG36" i="83" a="1"/>
  <c r="CG36" i="83"/>
  <c r="CH36" i="83" a="1"/>
  <c r="CH36" i="83"/>
  <c r="CI36" i="83" a="1"/>
  <c r="CI36" i="83"/>
  <c r="CJ36" i="83" a="1"/>
  <c r="CJ36" i="83"/>
  <c r="CK36" i="83" a="1"/>
  <c r="CK36" i="83"/>
  <c r="CL36" i="83" a="1"/>
  <c r="CL36" i="83"/>
  <c r="CM36" i="83" a="1"/>
  <c r="CM36" i="83"/>
  <c r="CN36" i="83" a="1"/>
  <c r="CN36" i="83"/>
  <c r="CO36" i="83" a="1"/>
  <c r="CO36" i="83"/>
  <c r="CP36" i="83" a="1"/>
  <c r="CP36" i="83"/>
  <c r="CQ36" i="83" a="1"/>
  <c r="CQ36" i="83"/>
  <c r="CR36" i="83" a="1"/>
  <c r="CR36" i="83"/>
  <c r="CS36" i="83" a="1"/>
  <c r="CS36" i="83"/>
  <c r="CT36" i="83" a="1"/>
  <c r="CT36" i="83"/>
  <c r="CV36" i="83" a="1"/>
  <c r="CV36" i="83"/>
  <c r="CW36" i="83" a="1"/>
  <c r="CW36" i="83"/>
  <c r="CX36" i="83" a="1"/>
  <c r="CX36" i="83"/>
  <c r="CY36" i="83" a="1"/>
  <c r="CY36" i="83"/>
  <c r="CZ36" i="83" a="1"/>
  <c r="CZ36" i="83"/>
  <c r="DA36" i="83" a="1"/>
  <c r="DA36" i="83"/>
  <c r="DB36" i="83" a="1"/>
  <c r="DB36" i="83"/>
  <c r="DC36" i="83" a="1"/>
  <c r="DC36" i="83"/>
  <c r="DD36" i="83" a="1"/>
  <c r="DD36" i="83"/>
  <c r="DE36" i="83" a="1"/>
  <c r="DE36" i="83"/>
  <c r="DF36" i="83" a="1"/>
  <c r="DF36" i="83"/>
  <c r="DG36" i="83" a="1"/>
  <c r="DG36" i="83"/>
  <c r="DH36" i="83" a="1"/>
  <c r="DH36" i="83"/>
  <c r="DI36" i="83" a="1"/>
  <c r="DI36" i="83"/>
  <c r="DJ36" i="83" a="1"/>
  <c r="DJ36" i="83"/>
  <c r="DK36" i="83" a="1"/>
  <c r="DK36" i="83"/>
  <c r="DL36" i="83" a="1"/>
  <c r="DL36" i="83"/>
  <c r="DM36" i="83" a="1"/>
  <c r="DM36" i="83"/>
  <c r="DO36" i="83" a="1"/>
  <c r="DO36" i="83"/>
  <c r="DP36" i="83" a="1"/>
  <c r="DP36" i="83"/>
  <c r="DQ36" i="83" a="1"/>
  <c r="DQ36" i="83"/>
  <c r="DR36" i="83" a="1"/>
  <c r="DR36" i="83"/>
  <c r="DS36" i="83" a="1"/>
  <c r="DS36" i="83"/>
  <c r="DT36" i="83" a="1"/>
  <c r="DT36" i="83"/>
  <c r="DU36" i="83" a="1"/>
  <c r="DU36" i="83"/>
  <c r="DV36" i="83" a="1"/>
  <c r="DV36" i="83"/>
  <c r="DW36" i="83" a="1"/>
  <c r="DW36" i="83"/>
  <c r="DX36" i="83" a="1"/>
  <c r="DX36" i="83"/>
  <c r="DY36" i="83" a="1"/>
  <c r="DY36" i="83"/>
  <c r="DZ36" i="83" a="1"/>
  <c r="DZ36" i="83"/>
  <c r="EA36" i="83" a="1"/>
  <c r="EA36" i="83"/>
  <c r="EB36" i="83" a="1"/>
  <c r="EB36" i="83"/>
  <c r="EC36" i="83" a="1"/>
  <c r="EC36" i="83"/>
  <c r="ED36" i="83" a="1"/>
  <c r="ED36" i="83"/>
  <c r="EE36" i="83" a="1"/>
  <c r="EE36" i="83"/>
  <c r="EF36" i="83" a="1"/>
  <c r="EF36" i="83"/>
  <c r="EH36" i="83" a="1"/>
  <c r="EH36" i="83"/>
  <c r="EI36" i="83" a="1"/>
  <c r="EI36" i="83"/>
  <c r="EJ36" i="83" a="1"/>
  <c r="EJ36" i="83"/>
  <c r="EK36" i="83" a="1"/>
  <c r="EK36" i="83"/>
  <c r="EL36" i="83" a="1"/>
  <c r="EL36" i="83"/>
  <c r="EM36" i="83" a="1"/>
  <c r="EM36" i="83"/>
  <c r="EN36" i="83" a="1"/>
  <c r="EN36" i="83"/>
  <c r="EO36" i="83" a="1"/>
  <c r="EO36" i="83"/>
  <c r="EP36" i="83" a="1"/>
  <c r="EP36" i="83"/>
  <c r="EQ36" i="83" a="1"/>
  <c r="EQ36" i="83"/>
  <c r="ER36" i="83" a="1"/>
  <c r="ER36" i="83"/>
  <c r="ES36" i="83" a="1"/>
  <c r="ES36" i="83"/>
  <c r="ET36" i="83" a="1"/>
  <c r="ET36" i="83"/>
  <c r="EU36" i="83" a="1"/>
  <c r="EU36" i="83"/>
  <c r="EV36" i="83" a="1"/>
  <c r="EV36" i="83"/>
  <c r="EW36" i="83" a="1"/>
  <c r="EW36" i="83"/>
  <c r="EX36" i="83" a="1"/>
  <c r="EX36" i="83"/>
  <c r="EY36" i="83" a="1"/>
  <c r="EY36" i="83"/>
  <c r="FA36" i="83" a="1"/>
  <c r="FA36" i="83"/>
  <c r="FB36" i="83" a="1"/>
  <c r="FB36" i="83"/>
  <c r="FC36" i="83" a="1"/>
  <c r="FC36" i="83"/>
  <c r="FD36" i="83" a="1"/>
  <c r="FD36" i="83"/>
  <c r="FE36" i="83" a="1"/>
  <c r="FE36" i="83"/>
  <c r="FF36" i="83" a="1"/>
  <c r="FF36" i="83"/>
  <c r="FG36" i="83" a="1"/>
  <c r="FG36" i="83"/>
  <c r="FH36" i="83" a="1"/>
  <c r="FH36" i="83"/>
  <c r="FI36" i="83" a="1"/>
  <c r="FI36" i="83"/>
  <c r="FJ36" i="83" a="1"/>
  <c r="FJ36" i="83"/>
  <c r="FK36" i="83" a="1"/>
  <c r="FK36" i="83"/>
  <c r="FL36" i="83" a="1"/>
  <c r="FL36" i="83"/>
  <c r="FM36" i="83" a="1"/>
  <c r="FM36" i="83"/>
  <c r="FN36" i="83" a="1"/>
  <c r="FN36" i="83"/>
  <c r="FO36" i="83" a="1"/>
  <c r="FO36" i="83"/>
  <c r="FP36" i="83" a="1"/>
  <c r="FP36" i="83"/>
  <c r="FQ36" i="83" a="1"/>
  <c r="FQ36" i="83"/>
  <c r="FS36" i="83" a="1"/>
  <c r="FS36" i="83"/>
  <c r="FT36" i="83" a="1"/>
  <c r="FT36" i="83"/>
  <c r="FU36" i="83" a="1"/>
  <c r="FU36" i="83"/>
  <c r="FV36" i="83" a="1"/>
  <c r="FV36" i="83"/>
  <c r="FW36" i="83" a="1"/>
  <c r="FW36" i="83"/>
  <c r="FX36" i="83" a="1"/>
  <c r="FX36" i="83"/>
  <c r="FY36" i="83" a="1"/>
  <c r="FY36" i="83"/>
  <c r="FZ36" i="83" a="1"/>
  <c r="FZ36" i="83"/>
  <c r="GA36" i="83" a="1"/>
  <c r="GA36" i="83"/>
  <c r="GB36" i="83" a="1"/>
  <c r="GB36" i="83"/>
  <c r="GC36" i="83" a="1"/>
  <c r="GC36" i="83"/>
  <c r="GD36" i="83" a="1"/>
  <c r="GD36" i="83"/>
  <c r="GE36" i="83" a="1"/>
  <c r="GE36" i="83"/>
  <c r="GF36" i="83" a="1"/>
  <c r="GF36" i="83"/>
  <c r="GG36" i="83" a="1"/>
  <c r="GG36" i="83"/>
  <c r="GH36" i="83" a="1"/>
  <c r="GH36" i="83"/>
  <c r="GI36" i="83" a="1"/>
  <c r="GI36" i="83"/>
  <c r="GK36" i="83" a="1"/>
  <c r="GK36" i="83"/>
  <c r="GL36" i="83" a="1"/>
  <c r="GL36" i="83"/>
  <c r="GM36" i="83" a="1"/>
  <c r="GM36" i="83"/>
  <c r="GN36" i="83" a="1"/>
  <c r="GN36" i="83"/>
  <c r="GO36" i="83" a="1"/>
  <c r="GO36" i="83"/>
  <c r="GP36" i="83" a="1"/>
  <c r="GP36" i="83"/>
  <c r="GQ36" i="83" a="1"/>
  <c r="GQ36" i="83"/>
  <c r="GR36" i="83" a="1"/>
  <c r="GR36" i="83"/>
  <c r="GS36" i="83" a="1"/>
  <c r="GS36" i="83"/>
  <c r="GT36" i="83" a="1"/>
  <c r="GT36" i="83"/>
  <c r="GU36" i="83" a="1"/>
  <c r="GU36" i="83"/>
  <c r="GV36" i="83" a="1"/>
  <c r="GV36" i="83"/>
  <c r="GW36" i="83" a="1"/>
  <c r="GW36" i="83"/>
  <c r="GX36" i="83" a="1"/>
  <c r="GX36" i="83"/>
  <c r="GY36" i="83" a="1"/>
  <c r="GY36" i="83"/>
  <c r="GZ36" i="83" a="1"/>
  <c r="GZ36" i="83"/>
  <c r="HA36" i="83" a="1"/>
  <c r="HA36" i="83"/>
  <c r="E37" i="83" a="1"/>
  <c r="E37" i="83"/>
  <c r="F37" i="83" a="1"/>
  <c r="F37" i="83"/>
  <c r="G37" i="83" a="1"/>
  <c r="G37" i="83"/>
  <c r="H37" i="83" a="1"/>
  <c r="H37" i="83"/>
  <c r="I37" i="83" a="1"/>
  <c r="I37" i="83"/>
  <c r="J37" i="83" a="1"/>
  <c r="J37" i="83"/>
  <c r="K37" i="83" a="1"/>
  <c r="K37" i="83"/>
  <c r="L37" i="83" a="1"/>
  <c r="L37" i="83"/>
  <c r="M37" i="83" a="1"/>
  <c r="M37" i="83"/>
  <c r="N37" i="83" a="1"/>
  <c r="N37" i="83"/>
  <c r="O37" i="83" a="1"/>
  <c r="O37" i="83"/>
  <c r="P37" i="83" a="1"/>
  <c r="P37" i="83"/>
  <c r="Q37" i="83" a="1"/>
  <c r="Q37" i="83"/>
  <c r="R37" i="83" a="1"/>
  <c r="R37" i="83"/>
  <c r="S37" i="83" a="1"/>
  <c r="S37" i="83"/>
  <c r="T37" i="83" a="1"/>
  <c r="T37" i="83"/>
  <c r="U37" i="83" a="1"/>
  <c r="U37" i="83"/>
  <c r="V37" i="83" a="1"/>
  <c r="V37" i="83"/>
  <c r="W37" i="83"/>
  <c r="X37" i="83" a="1"/>
  <c r="X37" i="83"/>
  <c r="Y37" i="83" a="1"/>
  <c r="Y37" i="83"/>
  <c r="Z37" i="83" a="1"/>
  <c r="Z37" i="83"/>
  <c r="AA37" i="83" a="1"/>
  <c r="AA37" i="83"/>
  <c r="AB37" i="83" a="1"/>
  <c r="AB37" i="83"/>
  <c r="AC37" i="83" a="1"/>
  <c r="AC37" i="83"/>
  <c r="AD37" i="83" a="1"/>
  <c r="AD37" i="83"/>
  <c r="AE37" i="83" a="1"/>
  <c r="AE37" i="83"/>
  <c r="AF37" i="83" a="1"/>
  <c r="AF37" i="83"/>
  <c r="AG37" i="83" a="1"/>
  <c r="AG37" i="83"/>
  <c r="AH37" i="83" a="1"/>
  <c r="AH37" i="83"/>
  <c r="AI37" i="83" a="1"/>
  <c r="AI37" i="83"/>
  <c r="AJ37" i="83" a="1"/>
  <c r="AJ37" i="83"/>
  <c r="AK37" i="83" a="1"/>
  <c r="AK37" i="83"/>
  <c r="AL37" i="83" a="1"/>
  <c r="AL37" i="83"/>
  <c r="AM37" i="83" a="1"/>
  <c r="AM37" i="83"/>
  <c r="AN37" i="83" a="1"/>
  <c r="AN37" i="83"/>
  <c r="AO37" i="83" a="1"/>
  <c r="AO37" i="83"/>
  <c r="AQ37" i="83" a="1"/>
  <c r="AQ37" i="83"/>
  <c r="AR37" i="83" a="1"/>
  <c r="AR37" i="83"/>
  <c r="AS37" i="83" a="1"/>
  <c r="AS37" i="83"/>
  <c r="AT37" i="83" a="1"/>
  <c r="AT37" i="83"/>
  <c r="AU37" i="83" a="1"/>
  <c r="AU37" i="83"/>
  <c r="AV37" i="83" a="1"/>
  <c r="AV37" i="83"/>
  <c r="AW37" i="83" a="1"/>
  <c r="AW37" i="83"/>
  <c r="AX37" i="83" a="1"/>
  <c r="AX37" i="83"/>
  <c r="AY37" i="83" a="1"/>
  <c r="AY37" i="83"/>
  <c r="AZ37" i="83" a="1"/>
  <c r="AZ37" i="83"/>
  <c r="BA37" i="83" a="1"/>
  <c r="BA37" i="83"/>
  <c r="BB37" i="83" a="1"/>
  <c r="BB37" i="83"/>
  <c r="BC37" i="83" a="1"/>
  <c r="BC37" i="83"/>
  <c r="BD37" i="83" a="1"/>
  <c r="BD37" i="83"/>
  <c r="BE37" i="83" a="1"/>
  <c r="BE37" i="83"/>
  <c r="BF37" i="83" a="1"/>
  <c r="BF37" i="83"/>
  <c r="BG37" i="83" a="1"/>
  <c r="BG37" i="83"/>
  <c r="BH37" i="83" a="1"/>
  <c r="BH37" i="83"/>
  <c r="BJ37" i="83" a="1"/>
  <c r="BJ37" i="83"/>
  <c r="BK37" i="83" a="1"/>
  <c r="BK37" i="83"/>
  <c r="BL37" i="83" a="1"/>
  <c r="BL37" i="83"/>
  <c r="BM37" i="83" a="1"/>
  <c r="BM37" i="83"/>
  <c r="BN37" i="83" a="1"/>
  <c r="BN37" i="83"/>
  <c r="BO37" i="83" a="1"/>
  <c r="BO37" i="83"/>
  <c r="BP37" i="83" a="1"/>
  <c r="BP37" i="83"/>
  <c r="BQ37" i="83" a="1"/>
  <c r="BQ37" i="83"/>
  <c r="BR37" i="83" a="1"/>
  <c r="BR37" i="83"/>
  <c r="BS37" i="83" a="1"/>
  <c r="BS37" i="83"/>
  <c r="BT37" i="83" a="1"/>
  <c r="BT37" i="83"/>
  <c r="BU37" i="83" a="1"/>
  <c r="BU37" i="83"/>
  <c r="BV37" i="83" a="1"/>
  <c r="BV37" i="83"/>
  <c r="BW37" i="83" a="1"/>
  <c r="BW37" i="83"/>
  <c r="BX37" i="83" a="1"/>
  <c r="BX37" i="83"/>
  <c r="BY37" i="83" a="1"/>
  <c r="BY37" i="83"/>
  <c r="BZ37" i="83" a="1"/>
  <c r="BZ37" i="83"/>
  <c r="CA37" i="83" a="1"/>
  <c r="CA37" i="83"/>
  <c r="CC37" i="83" a="1"/>
  <c r="CC37" i="83"/>
  <c r="CD37" i="83" a="1"/>
  <c r="CD37" i="83"/>
  <c r="CE37" i="83" a="1"/>
  <c r="CE37" i="83"/>
  <c r="CF37" i="83" a="1"/>
  <c r="CF37" i="83"/>
  <c r="CG37" i="83" a="1"/>
  <c r="CG37" i="83"/>
  <c r="CH37" i="83" a="1"/>
  <c r="CH37" i="83"/>
  <c r="CI37" i="83" a="1"/>
  <c r="CI37" i="83"/>
  <c r="CJ37" i="83" a="1"/>
  <c r="CJ37" i="83"/>
  <c r="CK37" i="83" a="1"/>
  <c r="CK37" i="83"/>
  <c r="CL37" i="83" a="1"/>
  <c r="CL37" i="83"/>
  <c r="CM37" i="83" a="1"/>
  <c r="CM37" i="83"/>
  <c r="CN37" i="83" a="1"/>
  <c r="CN37" i="83"/>
  <c r="CO37" i="83" a="1"/>
  <c r="CO37" i="83"/>
  <c r="CP37" i="83" a="1"/>
  <c r="CP37" i="83"/>
  <c r="CQ37" i="83" a="1"/>
  <c r="CQ37" i="83"/>
  <c r="CR37" i="83" a="1"/>
  <c r="CR37" i="83"/>
  <c r="CS37" i="83" a="1"/>
  <c r="CS37" i="83"/>
  <c r="CT37" i="83" a="1"/>
  <c r="CT37" i="83"/>
  <c r="CV37" i="83" a="1"/>
  <c r="CV37" i="83"/>
  <c r="CW37" i="83" a="1"/>
  <c r="CW37" i="83"/>
  <c r="CX37" i="83" a="1"/>
  <c r="CX37" i="83"/>
  <c r="CY37" i="83" a="1"/>
  <c r="CY37" i="83"/>
  <c r="CZ37" i="83" a="1"/>
  <c r="CZ37" i="83"/>
  <c r="DA37" i="83" a="1"/>
  <c r="DA37" i="83"/>
  <c r="DB37" i="83" a="1"/>
  <c r="DB37" i="83"/>
  <c r="DC37" i="83" a="1"/>
  <c r="DC37" i="83"/>
  <c r="DD37" i="83" a="1"/>
  <c r="DD37" i="83"/>
  <c r="DE37" i="83" a="1"/>
  <c r="DE37" i="83"/>
  <c r="DF37" i="83" a="1"/>
  <c r="DF37" i="83"/>
  <c r="DG37" i="83" a="1"/>
  <c r="DG37" i="83"/>
  <c r="DH37" i="83" a="1"/>
  <c r="DH37" i="83"/>
  <c r="DI37" i="83" a="1"/>
  <c r="DI37" i="83"/>
  <c r="DJ37" i="83" a="1"/>
  <c r="DJ37" i="83"/>
  <c r="DK37" i="83" a="1"/>
  <c r="DK37" i="83"/>
  <c r="DL37" i="83" a="1"/>
  <c r="DL37" i="83"/>
  <c r="DM37" i="83" a="1"/>
  <c r="DM37" i="83"/>
  <c r="DO37" i="83" a="1"/>
  <c r="DO37" i="83"/>
  <c r="DP37" i="83" a="1"/>
  <c r="DP37" i="83"/>
  <c r="DQ37" i="83" a="1"/>
  <c r="DQ37" i="83"/>
  <c r="DR37" i="83" a="1"/>
  <c r="DR37" i="83"/>
  <c r="DS37" i="83" a="1"/>
  <c r="DS37" i="83"/>
  <c r="DT37" i="83" a="1"/>
  <c r="DT37" i="83"/>
  <c r="DU37" i="83" a="1"/>
  <c r="DU37" i="83"/>
  <c r="DV37" i="83" a="1"/>
  <c r="DV37" i="83"/>
  <c r="DW37" i="83" a="1"/>
  <c r="DW37" i="83"/>
  <c r="DX37" i="83" a="1"/>
  <c r="DX37" i="83"/>
  <c r="DY37" i="83" a="1"/>
  <c r="DY37" i="83"/>
  <c r="DZ37" i="83" a="1"/>
  <c r="DZ37" i="83"/>
  <c r="EA37" i="83" a="1"/>
  <c r="EA37" i="83"/>
  <c r="EB37" i="83" a="1"/>
  <c r="EB37" i="83"/>
  <c r="EC37" i="83" a="1"/>
  <c r="EC37" i="83"/>
  <c r="ED37" i="83" a="1"/>
  <c r="ED37" i="83"/>
  <c r="EE37" i="83" a="1"/>
  <c r="EE37" i="83"/>
  <c r="EF37" i="83" a="1"/>
  <c r="EF37" i="83"/>
  <c r="EH37" i="83" a="1"/>
  <c r="EH37" i="83"/>
  <c r="EI37" i="83" a="1"/>
  <c r="EI37" i="83"/>
  <c r="EJ37" i="83" a="1"/>
  <c r="EJ37" i="83"/>
  <c r="EK37" i="83" a="1"/>
  <c r="EK37" i="83"/>
  <c r="EL37" i="83" a="1"/>
  <c r="EL37" i="83"/>
  <c r="EM37" i="83" a="1"/>
  <c r="EM37" i="83"/>
  <c r="EN37" i="83" a="1"/>
  <c r="EN37" i="83"/>
  <c r="EO37" i="83" a="1"/>
  <c r="EO37" i="83"/>
  <c r="EP37" i="83" a="1"/>
  <c r="EP37" i="83"/>
  <c r="EQ37" i="83" a="1"/>
  <c r="EQ37" i="83"/>
  <c r="ER37" i="83" a="1"/>
  <c r="ER37" i="83"/>
  <c r="ES37" i="83" a="1"/>
  <c r="ES37" i="83"/>
  <c r="ET37" i="83" a="1"/>
  <c r="ET37" i="83"/>
  <c r="EU37" i="83" a="1"/>
  <c r="EU37" i="83"/>
  <c r="EV37" i="83" a="1"/>
  <c r="EV37" i="83"/>
  <c r="EW37" i="83" a="1"/>
  <c r="EW37" i="83"/>
  <c r="EX37" i="83" a="1"/>
  <c r="EX37" i="83"/>
  <c r="EY37" i="83" a="1"/>
  <c r="EY37" i="83"/>
  <c r="FA37" i="83" a="1"/>
  <c r="FA37" i="83"/>
  <c r="FB37" i="83" a="1"/>
  <c r="FB37" i="83"/>
  <c r="FC37" i="83" a="1"/>
  <c r="FC37" i="83"/>
  <c r="FD37" i="83" a="1"/>
  <c r="FD37" i="83"/>
  <c r="FE37" i="83" a="1"/>
  <c r="FE37" i="83"/>
  <c r="FF37" i="83" a="1"/>
  <c r="FF37" i="83"/>
  <c r="FG37" i="83" a="1"/>
  <c r="FG37" i="83"/>
  <c r="FH37" i="83" a="1"/>
  <c r="FH37" i="83"/>
  <c r="FI37" i="83" a="1"/>
  <c r="FI37" i="83"/>
  <c r="FJ37" i="83" a="1"/>
  <c r="FJ37" i="83"/>
  <c r="FK37" i="83" a="1"/>
  <c r="FK37" i="83"/>
  <c r="FL37" i="83" a="1"/>
  <c r="FL37" i="83"/>
  <c r="FM37" i="83" a="1"/>
  <c r="FM37" i="83"/>
  <c r="FN37" i="83" a="1"/>
  <c r="FN37" i="83"/>
  <c r="FO37" i="83" a="1"/>
  <c r="FO37" i="83"/>
  <c r="FP37" i="83" a="1"/>
  <c r="FP37" i="83"/>
  <c r="FQ37" i="83" a="1"/>
  <c r="FQ37" i="83"/>
  <c r="FS37" i="83" a="1"/>
  <c r="FS37" i="83"/>
  <c r="FT37" i="83" a="1"/>
  <c r="FT37" i="83"/>
  <c r="FU37" i="83" a="1"/>
  <c r="FU37" i="83"/>
  <c r="FV37" i="83" a="1"/>
  <c r="FV37" i="83"/>
  <c r="FW37" i="83" a="1"/>
  <c r="FW37" i="83"/>
  <c r="FX37" i="83" a="1"/>
  <c r="FX37" i="83"/>
  <c r="FY37" i="83" a="1"/>
  <c r="FY37" i="83"/>
  <c r="FZ37" i="83" a="1"/>
  <c r="FZ37" i="83"/>
  <c r="GA37" i="83" a="1"/>
  <c r="GA37" i="83"/>
  <c r="GB37" i="83" a="1"/>
  <c r="GB37" i="83"/>
  <c r="GC37" i="83" a="1"/>
  <c r="GC37" i="83"/>
  <c r="GD37" i="83" a="1"/>
  <c r="GD37" i="83"/>
  <c r="GE37" i="83" a="1"/>
  <c r="GE37" i="83"/>
  <c r="GF37" i="83" a="1"/>
  <c r="GF37" i="83"/>
  <c r="GG37" i="83" a="1"/>
  <c r="GG37" i="83"/>
  <c r="GH37" i="83" a="1"/>
  <c r="GH37" i="83"/>
  <c r="GI37" i="83" a="1"/>
  <c r="GI37" i="83"/>
  <c r="GK37" i="83" a="1"/>
  <c r="GK37" i="83"/>
  <c r="GL37" i="83" a="1"/>
  <c r="GL37" i="83"/>
  <c r="GM37" i="83" a="1"/>
  <c r="GM37" i="83"/>
  <c r="GN37" i="83" a="1"/>
  <c r="GN37" i="83"/>
  <c r="GO37" i="83" a="1"/>
  <c r="GO37" i="83"/>
  <c r="GP37" i="83" a="1"/>
  <c r="GP37" i="83"/>
  <c r="GQ37" i="83" a="1"/>
  <c r="GQ37" i="83"/>
  <c r="GR37" i="83" a="1"/>
  <c r="GR37" i="83"/>
  <c r="GS37" i="83" a="1"/>
  <c r="GS37" i="83"/>
  <c r="GT37" i="83" a="1"/>
  <c r="GT37" i="83"/>
  <c r="GU37" i="83" a="1"/>
  <c r="GU37" i="83"/>
  <c r="GV37" i="83" a="1"/>
  <c r="GV37" i="83"/>
  <c r="GW37" i="83" a="1"/>
  <c r="GW37" i="83"/>
  <c r="GX37" i="83" a="1"/>
  <c r="GX37" i="83"/>
  <c r="GY37" i="83" a="1"/>
  <c r="GY37" i="83"/>
  <c r="GZ37" i="83" a="1"/>
  <c r="GZ37" i="83"/>
  <c r="HA37" i="83" a="1"/>
  <c r="HA37" i="83"/>
  <c r="E38" i="83" a="1"/>
  <c r="E38" i="83"/>
  <c r="F38" i="83" a="1"/>
  <c r="F38" i="83"/>
  <c r="G38" i="83" a="1"/>
  <c r="G38" i="83"/>
  <c r="H38" i="83" a="1"/>
  <c r="H38" i="83"/>
  <c r="I38" i="83" a="1"/>
  <c r="I38" i="83"/>
  <c r="J38" i="83" a="1"/>
  <c r="J38" i="83"/>
  <c r="K38" i="83" a="1"/>
  <c r="K38" i="83"/>
  <c r="L38" i="83" a="1"/>
  <c r="L38" i="83"/>
  <c r="M38" i="83" a="1"/>
  <c r="M38" i="83"/>
  <c r="N38" i="83" a="1"/>
  <c r="N38" i="83"/>
  <c r="O38" i="83" a="1"/>
  <c r="O38" i="83"/>
  <c r="P38" i="83" a="1"/>
  <c r="P38" i="83"/>
  <c r="Q38" i="83" a="1"/>
  <c r="Q38" i="83"/>
  <c r="R38" i="83" a="1"/>
  <c r="R38" i="83"/>
  <c r="S38" i="83" a="1"/>
  <c r="S38" i="83"/>
  <c r="T38" i="83" a="1"/>
  <c r="T38" i="83"/>
  <c r="U38" i="83" a="1"/>
  <c r="U38" i="83"/>
  <c r="V38" i="83" a="1"/>
  <c r="V38" i="83"/>
  <c r="W38" i="83"/>
  <c r="X38" i="83" a="1"/>
  <c r="X38" i="83"/>
  <c r="Y38" i="83" a="1"/>
  <c r="Y38" i="83"/>
  <c r="Z38" i="83" a="1"/>
  <c r="Z38" i="83"/>
  <c r="AA38" i="83" a="1"/>
  <c r="AA38" i="83"/>
  <c r="AB38" i="83" a="1"/>
  <c r="AB38" i="83"/>
  <c r="AC38" i="83" a="1"/>
  <c r="AC38" i="83"/>
  <c r="AD38" i="83" a="1"/>
  <c r="AD38" i="83"/>
  <c r="AE38" i="83" a="1"/>
  <c r="AE38" i="83"/>
  <c r="AF38" i="83" a="1"/>
  <c r="AF38" i="83"/>
  <c r="AG38" i="83" a="1"/>
  <c r="AG38" i="83"/>
  <c r="AH38" i="83" a="1"/>
  <c r="AH38" i="83"/>
  <c r="AI38" i="83" a="1"/>
  <c r="AI38" i="83"/>
  <c r="AJ38" i="83" a="1"/>
  <c r="AJ38" i="83"/>
  <c r="AK38" i="83" a="1"/>
  <c r="AK38" i="83"/>
  <c r="AL38" i="83" a="1"/>
  <c r="AL38" i="83"/>
  <c r="AM38" i="83" a="1"/>
  <c r="AM38" i="83"/>
  <c r="AN38" i="83" a="1"/>
  <c r="AN38" i="83"/>
  <c r="AO38" i="83" a="1"/>
  <c r="AO38" i="83"/>
  <c r="AQ38" i="83" a="1"/>
  <c r="AQ38" i="83"/>
  <c r="AR38" i="83" a="1"/>
  <c r="AR38" i="83"/>
  <c r="AS38" i="83" a="1"/>
  <c r="AS38" i="83"/>
  <c r="AT38" i="83" a="1"/>
  <c r="AT38" i="83"/>
  <c r="AU38" i="83" a="1"/>
  <c r="AU38" i="83"/>
  <c r="AV38" i="83" a="1"/>
  <c r="AV38" i="83"/>
  <c r="AW38" i="83" a="1"/>
  <c r="AW38" i="83"/>
  <c r="AX38" i="83" a="1"/>
  <c r="AX38" i="83"/>
  <c r="AY38" i="83" a="1"/>
  <c r="AY38" i="83"/>
  <c r="AZ38" i="83" a="1"/>
  <c r="AZ38" i="83"/>
  <c r="BA38" i="83" a="1"/>
  <c r="BA38" i="83"/>
  <c r="BB38" i="83" a="1"/>
  <c r="BB38" i="83"/>
  <c r="BC38" i="83" a="1"/>
  <c r="BC38" i="83"/>
  <c r="BD38" i="83" a="1"/>
  <c r="BD38" i="83"/>
  <c r="BE38" i="83" a="1"/>
  <c r="BE38" i="83"/>
  <c r="BF38" i="83" a="1"/>
  <c r="BF38" i="83"/>
  <c r="BG38" i="83" a="1"/>
  <c r="BG38" i="83"/>
  <c r="BH38" i="83" a="1"/>
  <c r="BH38" i="83"/>
  <c r="BJ38" i="83" a="1"/>
  <c r="BJ38" i="83"/>
  <c r="BK38" i="83" a="1"/>
  <c r="BK38" i="83"/>
  <c r="BL38" i="83" a="1"/>
  <c r="BL38" i="83"/>
  <c r="BM38" i="83" a="1"/>
  <c r="BM38" i="83"/>
  <c r="BN38" i="83" a="1"/>
  <c r="BN38" i="83"/>
  <c r="BO38" i="83" a="1"/>
  <c r="BO38" i="83"/>
  <c r="BP38" i="83" a="1"/>
  <c r="BP38" i="83"/>
  <c r="BQ38" i="83" a="1"/>
  <c r="BQ38" i="83"/>
  <c r="BR38" i="83" a="1"/>
  <c r="BR38" i="83"/>
  <c r="BS38" i="83" a="1"/>
  <c r="BS38" i="83"/>
  <c r="BT38" i="83" a="1"/>
  <c r="BT38" i="83"/>
  <c r="BU38" i="83" a="1"/>
  <c r="BU38" i="83"/>
  <c r="BV38" i="83" a="1"/>
  <c r="BV38" i="83"/>
  <c r="BW38" i="83" a="1"/>
  <c r="BW38" i="83"/>
  <c r="BX38" i="83" a="1"/>
  <c r="BX38" i="83"/>
  <c r="BY38" i="83" a="1"/>
  <c r="BY38" i="83"/>
  <c r="BZ38" i="83" a="1"/>
  <c r="BZ38" i="83"/>
  <c r="CA38" i="83" a="1"/>
  <c r="CA38" i="83"/>
  <c r="CC38" i="83" a="1"/>
  <c r="CC38" i="83"/>
  <c r="CD38" i="83" a="1"/>
  <c r="CD38" i="83"/>
  <c r="CE38" i="83" a="1"/>
  <c r="CE38" i="83"/>
  <c r="CF38" i="83" a="1"/>
  <c r="CF38" i="83"/>
  <c r="CG38" i="83" a="1"/>
  <c r="CG38" i="83"/>
  <c r="CH38" i="83" a="1"/>
  <c r="CH38" i="83"/>
  <c r="CI38" i="83" a="1"/>
  <c r="CI38" i="83"/>
  <c r="CJ38" i="83" a="1"/>
  <c r="CJ38" i="83"/>
  <c r="CK38" i="83" a="1"/>
  <c r="CK38" i="83"/>
  <c r="CL38" i="83" a="1"/>
  <c r="CL38" i="83"/>
  <c r="CM38" i="83" a="1"/>
  <c r="CM38" i="83"/>
  <c r="CN38" i="83" a="1"/>
  <c r="CN38" i="83"/>
  <c r="CO38" i="83" a="1"/>
  <c r="CO38" i="83"/>
  <c r="CP38" i="83" a="1"/>
  <c r="CP38" i="83"/>
  <c r="CQ38" i="83" a="1"/>
  <c r="CQ38" i="83"/>
  <c r="CR38" i="83" a="1"/>
  <c r="CR38" i="83"/>
  <c r="CS38" i="83" a="1"/>
  <c r="CS38" i="83"/>
  <c r="CT38" i="83" a="1"/>
  <c r="CT38" i="83"/>
  <c r="CV38" i="83" a="1"/>
  <c r="CV38" i="83"/>
  <c r="CW38" i="83" a="1"/>
  <c r="CW38" i="83"/>
  <c r="CX38" i="83" a="1"/>
  <c r="CX38" i="83"/>
  <c r="CY38" i="83" a="1"/>
  <c r="CY38" i="83"/>
  <c r="CZ38" i="83" a="1"/>
  <c r="CZ38" i="83"/>
  <c r="DA38" i="83" a="1"/>
  <c r="DA38" i="83"/>
  <c r="DB38" i="83" a="1"/>
  <c r="DB38" i="83"/>
  <c r="DC38" i="83" a="1"/>
  <c r="DC38" i="83"/>
  <c r="DD38" i="83" a="1"/>
  <c r="DD38" i="83"/>
  <c r="DE38" i="83" a="1"/>
  <c r="DE38" i="83"/>
  <c r="DF38" i="83" a="1"/>
  <c r="DF38" i="83"/>
  <c r="DG38" i="83" a="1"/>
  <c r="DG38" i="83"/>
  <c r="DH38" i="83" a="1"/>
  <c r="DH38" i="83"/>
  <c r="DI38" i="83" a="1"/>
  <c r="DI38" i="83"/>
  <c r="DJ38" i="83" a="1"/>
  <c r="DJ38" i="83"/>
  <c r="DK38" i="83" a="1"/>
  <c r="DK38" i="83"/>
  <c r="DL38" i="83" a="1"/>
  <c r="DL38" i="83"/>
  <c r="DM38" i="83" a="1"/>
  <c r="DM38" i="83"/>
  <c r="DO38" i="83" a="1"/>
  <c r="DO38" i="83"/>
  <c r="DP38" i="83" a="1"/>
  <c r="DP38" i="83"/>
  <c r="DQ38" i="83" a="1"/>
  <c r="DQ38" i="83"/>
  <c r="DR38" i="83" a="1"/>
  <c r="DR38" i="83"/>
  <c r="DS38" i="83" a="1"/>
  <c r="DS38" i="83"/>
  <c r="DT38" i="83" a="1"/>
  <c r="DT38" i="83"/>
  <c r="DU38" i="83" a="1"/>
  <c r="DU38" i="83"/>
  <c r="DV38" i="83" a="1"/>
  <c r="DV38" i="83"/>
  <c r="DW38" i="83" a="1"/>
  <c r="DW38" i="83"/>
  <c r="DX38" i="83" a="1"/>
  <c r="DX38" i="83"/>
  <c r="DY38" i="83" a="1"/>
  <c r="DY38" i="83"/>
  <c r="DZ38" i="83" a="1"/>
  <c r="DZ38" i="83"/>
  <c r="EA38" i="83" a="1"/>
  <c r="EA38" i="83"/>
  <c r="EB38" i="83" a="1"/>
  <c r="EB38" i="83"/>
  <c r="EC38" i="83" a="1"/>
  <c r="EC38" i="83"/>
  <c r="ED38" i="83" a="1"/>
  <c r="ED38" i="83"/>
  <c r="EE38" i="83" a="1"/>
  <c r="EE38" i="83"/>
  <c r="EF38" i="83" a="1"/>
  <c r="EF38" i="83"/>
  <c r="EH38" i="83" a="1"/>
  <c r="EH38" i="83"/>
  <c r="EI38" i="83" a="1"/>
  <c r="EI38" i="83"/>
  <c r="EJ38" i="83" a="1"/>
  <c r="EJ38" i="83"/>
  <c r="EK38" i="83" a="1"/>
  <c r="EK38" i="83"/>
  <c r="EL38" i="83" a="1"/>
  <c r="EL38" i="83"/>
  <c r="EM38" i="83" a="1"/>
  <c r="EM38" i="83"/>
  <c r="EN38" i="83" a="1"/>
  <c r="EN38" i="83"/>
  <c r="EO38" i="83" a="1"/>
  <c r="EO38" i="83"/>
  <c r="EP38" i="83" a="1"/>
  <c r="EP38" i="83"/>
  <c r="EQ38" i="83" a="1"/>
  <c r="EQ38" i="83"/>
  <c r="ER38" i="83" a="1"/>
  <c r="ER38" i="83"/>
  <c r="ES38" i="83" a="1"/>
  <c r="ES38" i="83"/>
  <c r="ET38" i="83" a="1"/>
  <c r="ET38" i="83"/>
  <c r="EU38" i="83" a="1"/>
  <c r="EU38" i="83"/>
  <c r="EV38" i="83" a="1"/>
  <c r="EV38" i="83"/>
  <c r="EW38" i="83" a="1"/>
  <c r="EW38" i="83"/>
  <c r="EX38" i="83" a="1"/>
  <c r="EX38" i="83"/>
  <c r="EY38" i="83" a="1"/>
  <c r="EY38" i="83"/>
  <c r="FA38" i="83" a="1"/>
  <c r="FA38" i="83"/>
  <c r="FB38" i="83" a="1"/>
  <c r="FB38" i="83"/>
  <c r="FC38" i="83" a="1"/>
  <c r="FC38" i="83"/>
  <c r="FD38" i="83" a="1"/>
  <c r="FD38" i="83"/>
  <c r="FE38" i="83" a="1"/>
  <c r="FE38" i="83"/>
  <c r="FF38" i="83" a="1"/>
  <c r="FF38" i="83"/>
  <c r="FG38" i="83" a="1"/>
  <c r="FG38" i="83"/>
  <c r="FH38" i="83" a="1"/>
  <c r="FH38" i="83"/>
  <c r="FI38" i="83" a="1"/>
  <c r="FI38" i="83"/>
  <c r="FJ38" i="83" a="1"/>
  <c r="FJ38" i="83"/>
  <c r="FK38" i="83" a="1"/>
  <c r="FK38" i="83"/>
  <c r="FL38" i="83" a="1"/>
  <c r="FL38" i="83"/>
  <c r="FM38" i="83" a="1"/>
  <c r="FM38" i="83"/>
  <c r="FN38" i="83" a="1"/>
  <c r="FN38" i="83"/>
  <c r="FO38" i="83" a="1"/>
  <c r="FO38" i="83"/>
  <c r="FP38" i="83" a="1"/>
  <c r="FP38" i="83"/>
  <c r="FQ38" i="83" a="1"/>
  <c r="FQ38" i="83"/>
  <c r="FS38" i="83" a="1"/>
  <c r="FS38" i="83"/>
  <c r="FT38" i="83" a="1"/>
  <c r="FT38" i="83"/>
  <c r="FU38" i="83" a="1"/>
  <c r="FU38" i="83"/>
  <c r="FV38" i="83" a="1"/>
  <c r="FV38" i="83"/>
  <c r="FW38" i="83" a="1"/>
  <c r="FW38" i="83"/>
  <c r="FX38" i="83" a="1"/>
  <c r="FX38" i="83"/>
  <c r="FY38" i="83" a="1"/>
  <c r="FY38" i="83"/>
  <c r="FZ38" i="83" a="1"/>
  <c r="FZ38" i="83"/>
  <c r="GA38" i="83" a="1"/>
  <c r="GA38" i="83"/>
  <c r="GB38" i="83" a="1"/>
  <c r="GB38" i="83"/>
  <c r="GC38" i="83" a="1"/>
  <c r="GC38" i="83"/>
  <c r="GD38" i="83" a="1"/>
  <c r="GD38" i="83"/>
  <c r="GE38" i="83" a="1"/>
  <c r="GE38" i="83"/>
  <c r="GF38" i="83" a="1"/>
  <c r="GF38" i="83"/>
  <c r="GG38" i="83" a="1"/>
  <c r="GG38" i="83"/>
  <c r="GH38" i="83" a="1"/>
  <c r="GH38" i="83"/>
  <c r="GI38" i="83" a="1"/>
  <c r="GI38" i="83"/>
  <c r="GK38" i="83" a="1"/>
  <c r="GK38" i="83"/>
  <c r="GL38" i="83" a="1"/>
  <c r="GL38" i="83"/>
  <c r="GM38" i="83" a="1"/>
  <c r="GM38" i="83"/>
  <c r="GN38" i="83" a="1"/>
  <c r="GN38" i="83"/>
  <c r="GO38" i="83" a="1"/>
  <c r="GO38" i="83"/>
  <c r="GP38" i="83" a="1"/>
  <c r="GP38" i="83"/>
  <c r="GQ38" i="83" a="1"/>
  <c r="GQ38" i="83"/>
  <c r="GR38" i="83" a="1"/>
  <c r="GR38" i="83"/>
  <c r="GS38" i="83" a="1"/>
  <c r="GS38" i="83"/>
  <c r="GT38" i="83" a="1"/>
  <c r="GT38" i="83"/>
  <c r="GU38" i="83" a="1"/>
  <c r="GU38" i="83"/>
  <c r="GV38" i="83" a="1"/>
  <c r="GV38" i="83"/>
  <c r="GW38" i="83" a="1"/>
  <c r="GW38" i="83"/>
  <c r="GX38" i="83" a="1"/>
  <c r="GX38" i="83"/>
  <c r="GY38" i="83" a="1"/>
  <c r="GY38" i="83"/>
  <c r="GZ38" i="83" a="1"/>
  <c r="GZ38" i="83"/>
  <c r="HA38" i="83" a="1"/>
  <c r="HA38" i="83"/>
  <c r="E39" i="83" a="1"/>
  <c r="E39" i="83"/>
  <c r="F39" i="83" a="1"/>
  <c r="F39" i="83"/>
  <c r="G39" i="83" a="1"/>
  <c r="G39" i="83"/>
  <c r="H39" i="83" a="1"/>
  <c r="H39" i="83"/>
  <c r="I39" i="83" a="1"/>
  <c r="I39" i="83"/>
  <c r="J39" i="83" a="1"/>
  <c r="J39" i="83"/>
  <c r="K39" i="83" a="1"/>
  <c r="K39" i="83"/>
  <c r="L39" i="83" a="1"/>
  <c r="L39" i="83"/>
  <c r="M39" i="83" a="1"/>
  <c r="M39" i="83"/>
  <c r="N39" i="83" a="1"/>
  <c r="N39" i="83"/>
  <c r="O39" i="83" a="1"/>
  <c r="O39" i="83"/>
  <c r="P39" i="83" a="1"/>
  <c r="P39" i="83"/>
  <c r="Q39" i="83" a="1"/>
  <c r="Q39" i="83"/>
  <c r="R39" i="83" a="1"/>
  <c r="R39" i="83"/>
  <c r="S39" i="83" a="1"/>
  <c r="S39" i="83"/>
  <c r="T39" i="83" a="1"/>
  <c r="T39" i="83"/>
  <c r="U39" i="83" a="1"/>
  <c r="U39" i="83"/>
  <c r="V39" i="83" a="1"/>
  <c r="V39" i="83"/>
  <c r="W39" i="83"/>
  <c r="X39" i="83" a="1"/>
  <c r="X39" i="83"/>
  <c r="Y39" i="83" a="1"/>
  <c r="Y39" i="83"/>
  <c r="Z39" i="83" a="1"/>
  <c r="Z39" i="83"/>
  <c r="AA39" i="83" a="1"/>
  <c r="AA39" i="83"/>
  <c r="AB39" i="83" a="1"/>
  <c r="AB39" i="83"/>
  <c r="AC39" i="83" a="1"/>
  <c r="AC39" i="83"/>
  <c r="AD39" i="83" a="1"/>
  <c r="AD39" i="83"/>
  <c r="AE39" i="83" a="1"/>
  <c r="AE39" i="83"/>
  <c r="AF39" i="83" a="1"/>
  <c r="AF39" i="83"/>
  <c r="AG39" i="83" a="1"/>
  <c r="AG39" i="83"/>
  <c r="AH39" i="83" a="1"/>
  <c r="AH39" i="83"/>
  <c r="AI39" i="83" a="1"/>
  <c r="AI39" i="83"/>
  <c r="AJ39" i="83" a="1"/>
  <c r="AJ39" i="83"/>
  <c r="AK39" i="83" a="1"/>
  <c r="AK39" i="83"/>
  <c r="AL39" i="83" a="1"/>
  <c r="AL39" i="83"/>
  <c r="AM39" i="83" a="1"/>
  <c r="AM39" i="83"/>
  <c r="AN39" i="83" a="1"/>
  <c r="AN39" i="83"/>
  <c r="AO39" i="83" a="1"/>
  <c r="AO39" i="83"/>
  <c r="AQ39" i="83" a="1"/>
  <c r="AQ39" i="83"/>
  <c r="AR39" i="83" a="1"/>
  <c r="AR39" i="83"/>
  <c r="AS39" i="83" a="1"/>
  <c r="AS39" i="83"/>
  <c r="AT39" i="83" a="1"/>
  <c r="AT39" i="83"/>
  <c r="AU39" i="83" a="1"/>
  <c r="AU39" i="83"/>
  <c r="AV39" i="83" a="1"/>
  <c r="AV39" i="83"/>
  <c r="AW39" i="83" a="1"/>
  <c r="AW39" i="83"/>
  <c r="AX39" i="83" a="1"/>
  <c r="AX39" i="83"/>
  <c r="AY39" i="83" a="1"/>
  <c r="AY39" i="83"/>
  <c r="AZ39" i="83" a="1"/>
  <c r="AZ39" i="83"/>
  <c r="BA39" i="83" a="1"/>
  <c r="BA39" i="83"/>
  <c r="BB39" i="83" a="1"/>
  <c r="BB39" i="83"/>
  <c r="BC39" i="83" a="1"/>
  <c r="BC39" i="83"/>
  <c r="BD39" i="83" a="1"/>
  <c r="BD39" i="83"/>
  <c r="BE39" i="83" a="1"/>
  <c r="BE39" i="83"/>
  <c r="BF39" i="83" a="1"/>
  <c r="BF39" i="83"/>
  <c r="BG39" i="83" a="1"/>
  <c r="BG39" i="83"/>
  <c r="BH39" i="83" a="1"/>
  <c r="BH39" i="83"/>
  <c r="BJ39" i="83" a="1"/>
  <c r="BJ39" i="83"/>
  <c r="BK39" i="83" a="1"/>
  <c r="BK39" i="83"/>
  <c r="BL39" i="83" a="1"/>
  <c r="BL39" i="83"/>
  <c r="BM39" i="83" a="1"/>
  <c r="BM39" i="83"/>
  <c r="BN39" i="83" a="1"/>
  <c r="BN39" i="83"/>
  <c r="BO39" i="83" a="1"/>
  <c r="BO39" i="83"/>
  <c r="BP39" i="83" a="1"/>
  <c r="BP39" i="83"/>
  <c r="BQ39" i="83" a="1"/>
  <c r="BQ39" i="83"/>
  <c r="BR39" i="83" a="1"/>
  <c r="BR39" i="83"/>
  <c r="BS39" i="83" a="1"/>
  <c r="BS39" i="83"/>
  <c r="BT39" i="83" a="1"/>
  <c r="BT39" i="83"/>
  <c r="BU39" i="83" a="1"/>
  <c r="BU39" i="83"/>
  <c r="BV39" i="83" a="1"/>
  <c r="BV39" i="83"/>
  <c r="BW39" i="83" a="1"/>
  <c r="BW39" i="83"/>
  <c r="BX39" i="83" a="1"/>
  <c r="BX39" i="83"/>
  <c r="BY39" i="83" a="1"/>
  <c r="BY39" i="83"/>
  <c r="BZ39" i="83" a="1"/>
  <c r="BZ39" i="83"/>
  <c r="CA39" i="83" a="1"/>
  <c r="CA39" i="83"/>
  <c r="CC39" i="83" a="1"/>
  <c r="CC39" i="83"/>
  <c r="CD39" i="83" a="1"/>
  <c r="CD39" i="83"/>
  <c r="CE39" i="83" a="1"/>
  <c r="CE39" i="83"/>
  <c r="CF39" i="83" a="1"/>
  <c r="CF39" i="83"/>
  <c r="CG39" i="83" a="1"/>
  <c r="CG39" i="83"/>
  <c r="CH39" i="83" a="1"/>
  <c r="CH39" i="83"/>
  <c r="CI39" i="83" a="1"/>
  <c r="CI39" i="83"/>
  <c r="CJ39" i="83" a="1"/>
  <c r="CJ39" i="83"/>
  <c r="CK39" i="83" a="1"/>
  <c r="CK39" i="83"/>
  <c r="CL39" i="83" a="1"/>
  <c r="CL39" i="83"/>
  <c r="CM39" i="83" a="1"/>
  <c r="CM39" i="83"/>
  <c r="CN39" i="83" a="1"/>
  <c r="CN39" i="83"/>
  <c r="CO39" i="83" a="1"/>
  <c r="CO39" i="83"/>
  <c r="CP39" i="83" a="1"/>
  <c r="CP39" i="83"/>
  <c r="CQ39" i="83" a="1"/>
  <c r="CQ39" i="83"/>
  <c r="CR39" i="83" a="1"/>
  <c r="CR39" i="83"/>
  <c r="CS39" i="83" a="1"/>
  <c r="CS39" i="83"/>
  <c r="CT39" i="83" a="1"/>
  <c r="CT39" i="83"/>
  <c r="CV39" i="83" a="1"/>
  <c r="CV39" i="83"/>
  <c r="CW39" i="83" a="1"/>
  <c r="CW39" i="83"/>
  <c r="CX39" i="83" a="1"/>
  <c r="CX39" i="83"/>
  <c r="CY39" i="83" a="1"/>
  <c r="CY39" i="83"/>
  <c r="CZ39" i="83" a="1"/>
  <c r="CZ39" i="83"/>
  <c r="DA39" i="83" a="1"/>
  <c r="DA39" i="83"/>
  <c r="DB39" i="83" a="1"/>
  <c r="DB39" i="83"/>
  <c r="DC39" i="83" a="1"/>
  <c r="DC39" i="83"/>
  <c r="DD39" i="83" a="1"/>
  <c r="DD39" i="83"/>
  <c r="DE39" i="83" a="1"/>
  <c r="DE39" i="83"/>
  <c r="DF39" i="83" a="1"/>
  <c r="DF39" i="83"/>
  <c r="DG39" i="83" a="1"/>
  <c r="DG39" i="83"/>
  <c r="DH39" i="83" a="1"/>
  <c r="DH39" i="83"/>
  <c r="DI39" i="83" a="1"/>
  <c r="DI39" i="83"/>
  <c r="DJ39" i="83" a="1"/>
  <c r="DJ39" i="83"/>
  <c r="DK39" i="83" a="1"/>
  <c r="DK39" i="83"/>
  <c r="DL39" i="83" a="1"/>
  <c r="DL39" i="83"/>
  <c r="DM39" i="83" a="1"/>
  <c r="DM39" i="83"/>
  <c r="DO39" i="83" a="1"/>
  <c r="DO39" i="83"/>
  <c r="DP39" i="83" a="1"/>
  <c r="DP39" i="83"/>
  <c r="DQ39" i="83" a="1"/>
  <c r="DQ39" i="83"/>
  <c r="DR39" i="83" a="1"/>
  <c r="DR39" i="83"/>
  <c r="DS39" i="83" a="1"/>
  <c r="DS39" i="83"/>
  <c r="DT39" i="83" a="1"/>
  <c r="DT39" i="83"/>
  <c r="DU39" i="83" a="1"/>
  <c r="DU39" i="83"/>
  <c r="DV39" i="83" a="1"/>
  <c r="DV39" i="83"/>
  <c r="DW39" i="83" a="1"/>
  <c r="DW39" i="83"/>
  <c r="DX39" i="83" a="1"/>
  <c r="DX39" i="83"/>
  <c r="DY39" i="83" a="1"/>
  <c r="DY39" i="83"/>
  <c r="DZ39" i="83" a="1"/>
  <c r="DZ39" i="83"/>
  <c r="EA39" i="83" a="1"/>
  <c r="EA39" i="83"/>
  <c r="EB39" i="83" a="1"/>
  <c r="EB39" i="83"/>
  <c r="EC39" i="83" a="1"/>
  <c r="EC39" i="83"/>
  <c r="ED39" i="83" a="1"/>
  <c r="ED39" i="83"/>
  <c r="EE39" i="83" a="1"/>
  <c r="EE39" i="83"/>
  <c r="EF39" i="83" a="1"/>
  <c r="EF39" i="83"/>
  <c r="EH39" i="83" a="1"/>
  <c r="EH39" i="83"/>
  <c r="EI39" i="83" a="1"/>
  <c r="EI39" i="83"/>
  <c r="EJ39" i="83" a="1"/>
  <c r="EJ39" i="83"/>
  <c r="EK39" i="83" a="1"/>
  <c r="EK39" i="83"/>
  <c r="EL39" i="83" a="1"/>
  <c r="EL39" i="83"/>
  <c r="EM39" i="83" a="1"/>
  <c r="EM39" i="83"/>
  <c r="EN39" i="83" a="1"/>
  <c r="EN39" i="83"/>
  <c r="EO39" i="83" a="1"/>
  <c r="EO39" i="83"/>
  <c r="EP39" i="83" a="1"/>
  <c r="EP39" i="83"/>
  <c r="EQ39" i="83" a="1"/>
  <c r="EQ39" i="83"/>
  <c r="ER39" i="83" a="1"/>
  <c r="ER39" i="83"/>
  <c r="ES39" i="83" a="1"/>
  <c r="ES39" i="83"/>
  <c r="ET39" i="83" a="1"/>
  <c r="ET39" i="83"/>
  <c r="EU39" i="83" a="1"/>
  <c r="EU39" i="83"/>
  <c r="EV39" i="83" a="1"/>
  <c r="EV39" i="83"/>
  <c r="EW39" i="83" a="1"/>
  <c r="EW39" i="83"/>
  <c r="EX39" i="83" a="1"/>
  <c r="EX39" i="83"/>
  <c r="EY39" i="83" a="1"/>
  <c r="EY39" i="83"/>
  <c r="FA39" i="83" a="1"/>
  <c r="FA39" i="83"/>
  <c r="FB39" i="83" a="1"/>
  <c r="FB39" i="83"/>
  <c r="FC39" i="83" a="1"/>
  <c r="FC39" i="83"/>
  <c r="FD39" i="83" a="1"/>
  <c r="FD39" i="83"/>
  <c r="FE39" i="83" a="1"/>
  <c r="FE39" i="83"/>
  <c r="FF39" i="83" a="1"/>
  <c r="FF39" i="83"/>
  <c r="FG39" i="83" a="1"/>
  <c r="FG39" i="83"/>
  <c r="FH39" i="83" a="1"/>
  <c r="FH39" i="83"/>
  <c r="FI39" i="83" a="1"/>
  <c r="FI39" i="83"/>
  <c r="FJ39" i="83" a="1"/>
  <c r="FJ39" i="83"/>
  <c r="FK39" i="83" a="1"/>
  <c r="FK39" i="83"/>
  <c r="FL39" i="83" a="1"/>
  <c r="FL39" i="83"/>
  <c r="FM39" i="83" a="1"/>
  <c r="FM39" i="83"/>
  <c r="FN39" i="83" a="1"/>
  <c r="FN39" i="83"/>
  <c r="FO39" i="83" a="1"/>
  <c r="FO39" i="83"/>
  <c r="FP39" i="83" a="1"/>
  <c r="FP39" i="83"/>
  <c r="FQ39" i="83" a="1"/>
  <c r="FQ39" i="83"/>
  <c r="FS39" i="83" a="1"/>
  <c r="FS39" i="83"/>
  <c r="FT39" i="83" a="1"/>
  <c r="FT39" i="83"/>
  <c r="FU39" i="83" a="1"/>
  <c r="FU39" i="83"/>
  <c r="FV39" i="83" a="1"/>
  <c r="FV39" i="83"/>
  <c r="FW39" i="83" a="1"/>
  <c r="FW39" i="83"/>
  <c r="FX39" i="83" a="1"/>
  <c r="FX39" i="83"/>
  <c r="FY39" i="83" a="1"/>
  <c r="FY39" i="83"/>
  <c r="FZ39" i="83" a="1"/>
  <c r="FZ39" i="83"/>
  <c r="GA39" i="83" a="1"/>
  <c r="GA39" i="83"/>
  <c r="GB39" i="83" a="1"/>
  <c r="GB39" i="83"/>
  <c r="GC39" i="83" a="1"/>
  <c r="GC39" i="83"/>
  <c r="GD39" i="83" a="1"/>
  <c r="GD39" i="83"/>
  <c r="GE39" i="83" a="1"/>
  <c r="GE39" i="83"/>
  <c r="GF39" i="83" a="1"/>
  <c r="GF39" i="83"/>
  <c r="GG39" i="83" a="1"/>
  <c r="GG39" i="83"/>
  <c r="GH39" i="83" a="1"/>
  <c r="GH39" i="83"/>
  <c r="GI39" i="83" a="1"/>
  <c r="GI39" i="83"/>
  <c r="GK39" i="83" a="1"/>
  <c r="GK39" i="83"/>
  <c r="GL39" i="83" a="1"/>
  <c r="GL39" i="83"/>
  <c r="GM39" i="83" a="1"/>
  <c r="GM39" i="83"/>
  <c r="GN39" i="83" a="1"/>
  <c r="GN39" i="83"/>
  <c r="GO39" i="83" a="1"/>
  <c r="GO39" i="83"/>
  <c r="GP39" i="83" a="1"/>
  <c r="GP39" i="83"/>
  <c r="GQ39" i="83" a="1"/>
  <c r="GQ39" i="83"/>
  <c r="GR39" i="83" a="1"/>
  <c r="GR39" i="83"/>
  <c r="GS39" i="83" a="1"/>
  <c r="GS39" i="83"/>
  <c r="GT39" i="83" a="1"/>
  <c r="GT39" i="83"/>
  <c r="GU39" i="83" a="1"/>
  <c r="GU39" i="83"/>
  <c r="GV39" i="83" a="1"/>
  <c r="GV39" i="83"/>
  <c r="GW39" i="83" a="1"/>
  <c r="GW39" i="83"/>
  <c r="GX39" i="83" a="1"/>
  <c r="GX39" i="83"/>
  <c r="GY39" i="83" a="1"/>
  <c r="GY39" i="83"/>
  <c r="GZ39" i="83" a="1"/>
  <c r="GZ39" i="83"/>
  <c r="HA39" i="83" a="1"/>
  <c r="HA39" i="83"/>
  <c r="E40" i="83" a="1"/>
  <c r="E40" i="83"/>
  <c r="F40" i="83" a="1"/>
  <c r="F40" i="83"/>
  <c r="G40" i="83" a="1"/>
  <c r="G40" i="83"/>
  <c r="H40" i="83" a="1"/>
  <c r="H40" i="83"/>
  <c r="I40" i="83" a="1"/>
  <c r="I40" i="83"/>
  <c r="J40" i="83" a="1"/>
  <c r="J40" i="83"/>
  <c r="K40" i="83" a="1"/>
  <c r="K40" i="83"/>
  <c r="L40" i="83" a="1"/>
  <c r="L40" i="83"/>
  <c r="M40" i="83" a="1"/>
  <c r="M40" i="83"/>
  <c r="N40" i="83" a="1"/>
  <c r="N40" i="83"/>
  <c r="O40" i="83" a="1"/>
  <c r="O40" i="83"/>
  <c r="P40" i="83" a="1"/>
  <c r="P40" i="83"/>
  <c r="Q40" i="83" a="1"/>
  <c r="Q40" i="83"/>
  <c r="R40" i="83" a="1"/>
  <c r="R40" i="83"/>
  <c r="S40" i="83" a="1"/>
  <c r="S40" i="83"/>
  <c r="T40" i="83" a="1"/>
  <c r="T40" i="83"/>
  <c r="U40" i="83" a="1"/>
  <c r="U40" i="83"/>
  <c r="V40" i="83" a="1"/>
  <c r="V40" i="83"/>
  <c r="W40" i="83"/>
  <c r="X40" i="83" a="1"/>
  <c r="X40" i="83"/>
  <c r="Y40" i="83" a="1"/>
  <c r="Y40" i="83"/>
  <c r="Z40" i="83" a="1"/>
  <c r="Z40" i="83"/>
  <c r="AA40" i="83" a="1"/>
  <c r="AA40" i="83"/>
  <c r="AB40" i="83" a="1"/>
  <c r="AB40" i="83"/>
  <c r="AC40" i="83" a="1"/>
  <c r="AC40" i="83"/>
  <c r="AD40" i="83" a="1"/>
  <c r="AD40" i="83"/>
  <c r="AE40" i="83" a="1"/>
  <c r="AE40" i="83"/>
  <c r="AF40" i="83" a="1"/>
  <c r="AF40" i="83"/>
  <c r="AG40" i="83" a="1"/>
  <c r="AG40" i="83"/>
  <c r="AH40" i="83" a="1"/>
  <c r="AH40" i="83"/>
  <c r="AI40" i="83" a="1"/>
  <c r="AI40" i="83"/>
  <c r="AJ40" i="83" a="1"/>
  <c r="AJ40" i="83"/>
  <c r="AK40" i="83" a="1"/>
  <c r="AK40" i="83"/>
  <c r="AL40" i="83" a="1"/>
  <c r="AL40" i="83"/>
  <c r="AM40" i="83" a="1"/>
  <c r="AM40" i="83"/>
  <c r="AN40" i="83" a="1"/>
  <c r="AN40" i="83"/>
  <c r="AO40" i="83" a="1"/>
  <c r="AO40" i="83"/>
  <c r="AQ40" i="83" a="1"/>
  <c r="AQ40" i="83"/>
  <c r="AR40" i="83" a="1"/>
  <c r="AR40" i="83"/>
  <c r="AS40" i="83" a="1"/>
  <c r="AS40" i="83"/>
  <c r="AT40" i="83" a="1"/>
  <c r="AT40" i="83"/>
  <c r="AU40" i="83" a="1"/>
  <c r="AU40" i="83"/>
  <c r="AV40" i="83" a="1"/>
  <c r="AV40" i="83"/>
  <c r="AW40" i="83" a="1"/>
  <c r="AW40" i="83"/>
  <c r="AX40" i="83" a="1"/>
  <c r="AX40" i="83"/>
  <c r="AY40" i="83" a="1"/>
  <c r="AY40" i="83"/>
  <c r="AZ40" i="83" a="1"/>
  <c r="AZ40" i="83"/>
  <c r="BA40" i="83" a="1"/>
  <c r="BA40" i="83"/>
  <c r="BB40" i="83" a="1"/>
  <c r="BB40" i="83"/>
  <c r="BC40" i="83" a="1"/>
  <c r="BC40" i="83"/>
  <c r="BD40" i="83" a="1"/>
  <c r="BD40" i="83"/>
  <c r="BE40" i="83" a="1"/>
  <c r="BE40" i="83"/>
  <c r="BF40" i="83" a="1"/>
  <c r="BF40" i="83"/>
  <c r="BG40" i="83" a="1"/>
  <c r="BG40" i="83"/>
  <c r="BH40" i="83" a="1"/>
  <c r="BH40" i="83"/>
  <c r="BJ40" i="83" a="1"/>
  <c r="BJ40" i="83"/>
  <c r="BK40" i="83" a="1"/>
  <c r="BK40" i="83"/>
  <c r="BL40" i="83" a="1"/>
  <c r="BL40" i="83"/>
  <c r="BM40" i="83" a="1"/>
  <c r="BM40" i="83"/>
  <c r="BN40" i="83" a="1"/>
  <c r="BN40" i="83"/>
  <c r="BO40" i="83" a="1"/>
  <c r="BO40" i="83"/>
  <c r="BP40" i="83" a="1"/>
  <c r="BP40" i="83"/>
  <c r="BQ40" i="83" a="1"/>
  <c r="BQ40" i="83"/>
  <c r="BR40" i="83" a="1"/>
  <c r="BR40" i="83"/>
  <c r="BS40" i="83" a="1"/>
  <c r="BS40" i="83"/>
  <c r="BT40" i="83" a="1"/>
  <c r="BT40" i="83"/>
  <c r="BU40" i="83" a="1"/>
  <c r="BU40" i="83"/>
  <c r="BV40" i="83" a="1"/>
  <c r="BV40" i="83"/>
  <c r="BW40" i="83" a="1"/>
  <c r="BW40" i="83"/>
  <c r="BX40" i="83" a="1"/>
  <c r="BX40" i="83"/>
  <c r="BY40" i="83" a="1"/>
  <c r="BY40" i="83"/>
  <c r="BZ40" i="83" a="1"/>
  <c r="BZ40" i="83"/>
  <c r="CA40" i="83" a="1"/>
  <c r="CA40" i="83"/>
  <c r="CC40" i="83" a="1"/>
  <c r="CC40" i="83"/>
  <c r="CD40" i="83" a="1"/>
  <c r="CD40" i="83"/>
  <c r="CE40" i="83" a="1"/>
  <c r="CE40" i="83"/>
  <c r="CF40" i="83" a="1"/>
  <c r="CF40" i="83"/>
  <c r="CG40" i="83" a="1"/>
  <c r="CG40" i="83"/>
  <c r="CH40" i="83" a="1"/>
  <c r="CH40" i="83"/>
  <c r="CI40" i="83" a="1"/>
  <c r="CI40" i="83"/>
  <c r="CJ40" i="83" a="1"/>
  <c r="CJ40" i="83"/>
  <c r="CK40" i="83" a="1"/>
  <c r="CK40" i="83"/>
  <c r="CL40" i="83" a="1"/>
  <c r="CL40" i="83"/>
  <c r="CM40" i="83" a="1"/>
  <c r="CM40" i="83"/>
  <c r="CN40" i="83" a="1"/>
  <c r="CN40" i="83"/>
  <c r="CO40" i="83" a="1"/>
  <c r="CO40" i="83"/>
  <c r="CP40" i="83" a="1"/>
  <c r="CP40" i="83"/>
  <c r="CQ40" i="83" a="1"/>
  <c r="CQ40" i="83"/>
  <c r="CR40" i="83" a="1"/>
  <c r="CR40" i="83"/>
  <c r="CS40" i="83" a="1"/>
  <c r="CS40" i="83"/>
  <c r="CT40" i="83" a="1"/>
  <c r="CT40" i="83"/>
  <c r="CV40" i="83" a="1"/>
  <c r="CV40" i="83"/>
  <c r="CW40" i="83" a="1"/>
  <c r="CW40" i="83"/>
  <c r="CX40" i="83" a="1"/>
  <c r="CX40" i="83"/>
  <c r="CY40" i="83" a="1"/>
  <c r="CY40" i="83"/>
  <c r="CZ40" i="83" a="1"/>
  <c r="CZ40" i="83"/>
  <c r="DA40" i="83" a="1"/>
  <c r="DA40" i="83"/>
  <c r="DB40" i="83" a="1"/>
  <c r="DB40" i="83"/>
  <c r="DC40" i="83" a="1"/>
  <c r="DC40" i="83"/>
  <c r="DD40" i="83" a="1"/>
  <c r="DD40" i="83"/>
  <c r="DE40" i="83" a="1"/>
  <c r="DE40" i="83"/>
  <c r="DF40" i="83" a="1"/>
  <c r="DF40" i="83"/>
  <c r="DG40" i="83" a="1"/>
  <c r="DG40" i="83"/>
  <c r="DH40" i="83" a="1"/>
  <c r="DH40" i="83"/>
  <c r="DI40" i="83" a="1"/>
  <c r="DI40" i="83"/>
  <c r="DJ40" i="83" a="1"/>
  <c r="DJ40" i="83"/>
  <c r="DK40" i="83" a="1"/>
  <c r="DK40" i="83"/>
  <c r="DL40" i="83" a="1"/>
  <c r="DL40" i="83"/>
  <c r="DM40" i="83" a="1"/>
  <c r="DM40" i="83"/>
  <c r="DO40" i="83" a="1"/>
  <c r="DO40" i="83"/>
  <c r="DP40" i="83" a="1"/>
  <c r="DP40" i="83"/>
  <c r="DQ40" i="83" a="1"/>
  <c r="DQ40" i="83"/>
  <c r="DR40" i="83" a="1"/>
  <c r="DR40" i="83"/>
  <c r="DS40" i="83" a="1"/>
  <c r="DS40" i="83"/>
  <c r="DT40" i="83" a="1"/>
  <c r="DT40" i="83"/>
  <c r="DU40" i="83" a="1"/>
  <c r="DU40" i="83"/>
  <c r="DV40" i="83" a="1"/>
  <c r="DV40" i="83"/>
  <c r="DW40" i="83" a="1"/>
  <c r="DW40" i="83"/>
  <c r="DX40" i="83" a="1"/>
  <c r="DX40" i="83"/>
  <c r="DY40" i="83" a="1"/>
  <c r="DY40" i="83"/>
  <c r="DZ40" i="83" a="1"/>
  <c r="DZ40" i="83"/>
  <c r="EA40" i="83" a="1"/>
  <c r="EA40" i="83"/>
  <c r="EB40" i="83" a="1"/>
  <c r="EB40" i="83"/>
  <c r="EC40" i="83" a="1"/>
  <c r="EC40" i="83"/>
  <c r="ED40" i="83" a="1"/>
  <c r="ED40" i="83"/>
  <c r="EE40" i="83" a="1"/>
  <c r="EE40" i="83"/>
  <c r="EF40" i="83" a="1"/>
  <c r="EF40" i="83"/>
  <c r="EH40" i="83" a="1"/>
  <c r="EH40" i="83"/>
  <c r="EI40" i="83" a="1"/>
  <c r="EI40" i="83"/>
  <c r="EJ40" i="83" a="1"/>
  <c r="EJ40" i="83"/>
  <c r="EK40" i="83" a="1"/>
  <c r="EK40" i="83"/>
  <c r="EL40" i="83" a="1"/>
  <c r="EL40" i="83"/>
  <c r="EM40" i="83" a="1"/>
  <c r="EM40" i="83"/>
  <c r="EN40" i="83" a="1"/>
  <c r="EN40" i="83"/>
  <c r="EO40" i="83" a="1"/>
  <c r="EO40" i="83"/>
  <c r="EP40" i="83" a="1"/>
  <c r="EP40" i="83"/>
  <c r="EQ40" i="83" a="1"/>
  <c r="EQ40" i="83"/>
  <c r="ER40" i="83" a="1"/>
  <c r="ER40" i="83"/>
  <c r="ES40" i="83" a="1"/>
  <c r="ES40" i="83"/>
  <c r="ET40" i="83" a="1"/>
  <c r="ET40" i="83"/>
  <c r="EU40" i="83" a="1"/>
  <c r="EU40" i="83"/>
  <c r="EV40" i="83" a="1"/>
  <c r="EV40" i="83"/>
  <c r="EW40" i="83" a="1"/>
  <c r="EW40" i="83"/>
  <c r="EX40" i="83" a="1"/>
  <c r="EX40" i="83"/>
  <c r="EY40" i="83" a="1"/>
  <c r="EY40" i="83"/>
  <c r="FA40" i="83" a="1"/>
  <c r="FA40" i="83"/>
  <c r="FB40" i="83" a="1"/>
  <c r="FB40" i="83"/>
  <c r="FC40" i="83" a="1"/>
  <c r="FC40" i="83"/>
  <c r="FD40" i="83" a="1"/>
  <c r="FD40" i="83"/>
  <c r="FE40" i="83" a="1"/>
  <c r="FE40" i="83"/>
  <c r="FF40" i="83" a="1"/>
  <c r="FF40" i="83"/>
  <c r="FG40" i="83" a="1"/>
  <c r="FG40" i="83"/>
  <c r="FH40" i="83" a="1"/>
  <c r="FH40" i="83"/>
  <c r="FI40" i="83" a="1"/>
  <c r="FI40" i="83"/>
  <c r="FJ40" i="83" a="1"/>
  <c r="FJ40" i="83"/>
  <c r="FK40" i="83" a="1"/>
  <c r="FK40" i="83"/>
  <c r="FL40" i="83" a="1"/>
  <c r="FL40" i="83"/>
  <c r="FM40" i="83" a="1"/>
  <c r="FM40" i="83"/>
  <c r="FN40" i="83" a="1"/>
  <c r="FN40" i="83"/>
  <c r="FO40" i="83" a="1"/>
  <c r="FO40" i="83"/>
  <c r="FP40" i="83" a="1"/>
  <c r="FP40" i="83"/>
  <c r="FQ40" i="83" a="1"/>
  <c r="FQ40" i="83"/>
  <c r="FS40" i="83" a="1"/>
  <c r="FS40" i="83"/>
  <c r="FT40" i="83" a="1"/>
  <c r="FT40" i="83"/>
  <c r="FU40" i="83" a="1"/>
  <c r="FU40" i="83"/>
  <c r="FV40" i="83" a="1"/>
  <c r="FV40" i="83"/>
  <c r="FW40" i="83" a="1"/>
  <c r="FW40" i="83"/>
  <c r="FX40" i="83" a="1"/>
  <c r="FX40" i="83"/>
  <c r="FY40" i="83" a="1"/>
  <c r="FY40" i="83"/>
  <c r="FZ40" i="83" a="1"/>
  <c r="FZ40" i="83"/>
  <c r="GA40" i="83" a="1"/>
  <c r="GA40" i="83"/>
  <c r="GB40" i="83" a="1"/>
  <c r="GB40" i="83"/>
  <c r="GC40" i="83" a="1"/>
  <c r="GC40" i="83"/>
  <c r="GD40" i="83" a="1"/>
  <c r="GD40" i="83"/>
  <c r="GE40" i="83" a="1"/>
  <c r="GE40" i="83"/>
  <c r="GF40" i="83" a="1"/>
  <c r="GF40" i="83"/>
  <c r="GG40" i="83" a="1"/>
  <c r="GG40" i="83"/>
  <c r="GH40" i="83" a="1"/>
  <c r="GH40" i="83"/>
  <c r="GI40" i="83" a="1"/>
  <c r="GI40" i="83"/>
  <c r="GK40" i="83" a="1"/>
  <c r="GK40" i="83"/>
  <c r="GL40" i="83" a="1"/>
  <c r="GL40" i="83"/>
  <c r="GM40" i="83" a="1"/>
  <c r="GM40" i="83"/>
  <c r="GN40" i="83" a="1"/>
  <c r="GN40" i="83"/>
  <c r="GO40" i="83" a="1"/>
  <c r="GO40" i="83"/>
  <c r="GP40" i="83" a="1"/>
  <c r="GP40" i="83"/>
  <c r="GQ40" i="83" a="1"/>
  <c r="GQ40" i="83"/>
  <c r="GR40" i="83" a="1"/>
  <c r="GR40" i="83"/>
  <c r="GS40" i="83" a="1"/>
  <c r="GS40" i="83"/>
  <c r="GT40" i="83" a="1"/>
  <c r="GT40" i="83"/>
  <c r="GU40" i="83" a="1"/>
  <c r="GU40" i="83"/>
  <c r="GV40" i="83" a="1"/>
  <c r="GV40" i="83"/>
  <c r="GW40" i="83" a="1"/>
  <c r="GW40" i="83"/>
  <c r="GX40" i="83" a="1"/>
  <c r="GX40" i="83"/>
  <c r="GY40" i="83" a="1"/>
  <c r="GY40" i="83"/>
  <c r="GZ40" i="83" a="1"/>
  <c r="GZ40" i="83"/>
  <c r="HA40" i="83" a="1"/>
  <c r="HA40" i="83"/>
  <c r="E41" i="83" a="1"/>
  <c r="E41" i="83"/>
  <c r="F41" i="83" a="1"/>
  <c r="F41" i="83"/>
  <c r="G41" i="83" a="1"/>
  <c r="G41" i="83"/>
  <c r="H41" i="83" a="1"/>
  <c r="H41" i="83"/>
  <c r="I41" i="83" a="1"/>
  <c r="I41" i="83"/>
  <c r="J41" i="83" a="1"/>
  <c r="J41" i="83"/>
  <c r="K41" i="83" a="1"/>
  <c r="K41" i="83"/>
  <c r="L41" i="83" a="1"/>
  <c r="L41" i="83"/>
  <c r="M41" i="83" a="1"/>
  <c r="M41" i="83"/>
  <c r="N41" i="83" a="1"/>
  <c r="N41" i="83"/>
  <c r="O41" i="83" a="1"/>
  <c r="O41" i="83"/>
  <c r="P41" i="83" a="1"/>
  <c r="P41" i="83"/>
  <c r="Q41" i="83" a="1"/>
  <c r="Q41" i="83"/>
  <c r="R41" i="83" a="1"/>
  <c r="R41" i="83"/>
  <c r="S41" i="83" a="1"/>
  <c r="S41" i="83"/>
  <c r="T41" i="83" a="1"/>
  <c r="T41" i="83"/>
  <c r="U41" i="83" a="1"/>
  <c r="U41" i="83"/>
  <c r="V41" i="83" a="1"/>
  <c r="V41" i="83"/>
  <c r="W41" i="83"/>
  <c r="X41" i="83" a="1"/>
  <c r="X41" i="83"/>
  <c r="Y41" i="83" a="1"/>
  <c r="Y41" i="83"/>
  <c r="Z41" i="83" a="1"/>
  <c r="Z41" i="83"/>
  <c r="AA41" i="83" a="1"/>
  <c r="AA41" i="83"/>
  <c r="AB41" i="83" a="1"/>
  <c r="AB41" i="83"/>
  <c r="AC41" i="83" a="1"/>
  <c r="AC41" i="83"/>
  <c r="AD41" i="83" a="1"/>
  <c r="AD41" i="83"/>
  <c r="AE41" i="83" a="1"/>
  <c r="AE41" i="83"/>
  <c r="AF41" i="83" a="1"/>
  <c r="AF41" i="83"/>
  <c r="AG41" i="83" a="1"/>
  <c r="AG41" i="83"/>
  <c r="AH41" i="83" a="1"/>
  <c r="AH41" i="83"/>
  <c r="AI41" i="83" a="1"/>
  <c r="AI41" i="83"/>
  <c r="AJ41" i="83" a="1"/>
  <c r="AJ41" i="83"/>
  <c r="AK41" i="83" a="1"/>
  <c r="AK41" i="83"/>
  <c r="AL41" i="83" a="1"/>
  <c r="AL41" i="83"/>
  <c r="AM41" i="83" a="1"/>
  <c r="AM41" i="83"/>
  <c r="AN41" i="83" a="1"/>
  <c r="AN41" i="83"/>
  <c r="AO41" i="83" a="1"/>
  <c r="AO41" i="83"/>
  <c r="AQ41" i="83" a="1"/>
  <c r="AQ41" i="83"/>
  <c r="AR41" i="83" a="1"/>
  <c r="AR41" i="83"/>
  <c r="AS41" i="83" a="1"/>
  <c r="AS41" i="83"/>
  <c r="AT41" i="83" a="1"/>
  <c r="AT41" i="83"/>
  <c r="AU41" i="83" a="1"/>
  <c r="AU41" i="83"/>
  <c r="AV41" i="83" a="1"/>
  <c r="AV41" i="83"/>
  <c r="AW41" i="83" a="1"/>
  <c r="AW41" i="83"/>
  <c r="AX41" i="83" a="1"/>
  <c r="AX41" i="83"/>
  <c r="AY41" i="83" a="1"/>
  <c r="AY41" i="83"/>
  <c r="AZ41" i="83" a="1"/>
  <c r="AZ41" i="83"/>
  <c r="BA41" i="83" a="1"/>
  <c r="BA41" i="83"/>
  <c r="BB41" i="83" a="1"/>
  <c r="BB41" i="83"/>
  <c r="BC41" i="83" a="1"/>
  <c r="BC41" i="83"/>
  <c r="BD41" i="83" a="1"/>
  <c r="BD41" i="83"/>
  <c r="BE41" i="83" a="1"/>
  <c r="BE41" i="83"/>
  <c r="BF41" i="83" a="1"/>
  <c r="BF41" i="83"/>
  <c r="BG41" i="83" a="1"/>
  <c r="BG41" i="83"/>
  <c r="BH41" i="83" a="1"/>
  <c r="BH41" i="83"/>
  <c r="BJ41" i="83" a="1"/>
  <c r="BJ41" i="83"/>
  <c r="BK41" i="83" a="1"/>
  <c r="BK41" i="83"/>
  <c r="BL41" i="83" a="1"/>
  <c r="BL41" i="83"/>
  <c r="BM41" i="83" a="1"/>
  <c r="BM41" i="83"/>
  <c r="BN41" i="83" a="1"/>
  <c r="BN41" i="83"/>
  <c r="BO41" i="83" a="1"/>
  <c r="BO41" i="83"/>
  <c r="BP41" i="83" a="1"/>
  <c r="BP41" i="83"/>
  <c r="BQ41" i="83" a="1"/>
  <c r="BQ41" i="83"/>
  <c r="BR41" i="83" a="1"/>
  <c r="BR41" i="83"/>
  <c r="BS41" i="83" a="1"/>
  <c r="BS41" i="83"/>
  <c r="BT41" i="83" a="1"/>
  <c r="BT41" i="83"/>
  <c r="BU41" i="83" a="1"/>
  <c r="BU41" i="83"/>
  <c r="BV41" i="83" a="1"/>
  <c r="BV41" i="83"/>
  <c r="BW41" i="83" a="1"/>
  <c r="BW41" i="83"/>
  <c r="BX41" i="83" a="1"/>
  <c r="BX41" i="83"/>
  <c r="BY41" i="83" a="1"/>
  <c r="BY41" i="83"/>
  <c r="BZ41" i="83" a="1"/>
  <c r="BZ41" i="83"/>
  <c r="CA41" i="83" a="1"/>
  <c r="CA41" i="83"/>
  <c r="CC41" i="83" a="1"/>
  <c r="CC41" i="83"/>
  <c r="CD41" i="83" a="1"/>
  <c r="CD41" i="83"/>
  <c r="CE41" i="83" a="1"/>
  <c r="CE41" i="83"/>
  <c r="CF41" i="83" a="1"/>
  <c r="CF41" i="83"/>
  <c r="CG41" i="83" a="1"/>
  <c r="CG41" i="83"/>
  <c r="CH41" i="83" a="1"/>
  <c r="CH41" i="83"/>
  <c r="CI41" i="83" a="1"/>
  <c r="CI41" i="83"/>
  <c r="CJ41" i="83" a="1"/>
  <c r="CJ41" i="83"/>
  <c r="CK41" i="83" a="1"/>
  <c r="CK41" i="83"/>
  <c r="CL41" i="83" a="1"/>
  <c r="CL41" i="83"/>
  <c r="CM41" i="83" a="1"/>
  <c r="CM41" i="83"/>
  <c r="CN41" i="83" a="1"/>
  <c r="CN41" i="83"/>
  <c r="CO41" i="83" a="1"/>
  <c r="CO41" i="83"/>
  <c r="CP41" i="83" a="1"/>
  <c r="CP41" i="83"/>
  <c r="CQ41" i="83" a="1"/>
  <c r="CQ41" i="83"/>
  <c r="CR41" i="83" a="1"/>
  <c r="CR41" i="83"/>
  <c r="CS41" i="83" a="1"/>
  <c r="CS41" i="83"/>
  <c r="CT41" i="83" a="1"/>
  <c r="CT41" i="83"/>
  <c r="CV41" i="83" a="1"/>
  <c r="CV41" i="83"/>
  <c r="CW41" i="83" a="1"/>
  <c r="CW41" i="83"/>
  <c r="CX41" i="83" a="1"/>
  <c r="CX41" i="83"/>
  <c r="CY41" i="83" a="1"/>
  <c r="CY41" i="83"/>
  <c r="CZ41" i="83" a="1"/>
  <c r="CZ41" i="83"/>
  <c r="DA41" i="83" a="1"/>
  <c r="DA41" i="83"/>
  <c r="DB41" i="83" a="1"/>
  <c r="DB41" i="83"/>
  <c r="DC41" i="83" a="1"/>
  <c r="DC41" i="83"/>
  <c r="DD41" i="83" a="1"/>
  <c r="DD41" i="83"/>
  <c r="DE41" i="83" a="1"/>
  <c r="DE41" i="83"/>
  <c r="DF41" i="83" a="1"/>
  <c r="DF41" i="83"/>
  <c r="DG41" i="83" a="1"/>
  <c r="DG41" i="83"/>
  <c r="DH41" i="83" a="1"/>
  <c r="DH41" i="83"/>
  <c r="DI41" i="83" a="1"/>
  <c r="DI41" i="83"/>
  <c r="DJ41" i="83" a="1"/>
  <c r="DJ41" i="83"/>
  <c r="DK41" i="83" a="1"/>
  <c r="DK41" i="83"/>
  <c r="DL41" i="83" a="1"/>
  <c r="DL41" i="83"/>
  <c r="DM41" i="83" a="1"/>
  <c r="DM41" i="83"/>
  <c r="DO41" i="83" a="1"/>
  <c r="DO41" i="83"/>
  <c r="DP41" i="83" a="1"/>
  <c r="DP41" i="83"/>
  <c r="DQ41" i="83" a="1"/>
  <c r="DQ41" i="83"/>
  <c r="DR41" i="83" a="1"/>
  <c r="DR41" i="83"/>
  <c r="DS41" i="83" a="1"/>
  <c r="DS41" i="83"/>
  <c r="DT41" i="83" a="1"/>
  <c r="DT41" i="83"/>
  <c r="DU41" i="83" a="1"/>
  <c r="DU41" i="83"/>
  <c r="DV41" i="83" a="1"/>
  <c r="DV41" i="83"/>
  <c r="DW41" i="83" a="1"/>
  <c r="DW41" i="83"/>
  <c r="DX41" i="83" a="1"/>
  <c r="DX41" i="83"/>
  <c r="DY41" i="83" a="1"/>
  <c r="DY41" i="83"/>
  <c r="DZ41" i="83" a="1"/>
  <c r="DZ41" i="83"/>
  <c r="EA41" i="83" a="1"/>
  <c r="EA41" i="83"/>
  <c r="EB41" i="83" a="1"/>
  <c r="EB41" i="83"/>
  <c r="EC41" i="83" a="1"/>
  <c r="EC41" i="83"/>
  <c r="ED41" i="83" a="1"/>
  <c r="ED41" i="83"/>
  <c r="EE41" i="83" a="1"/>
  <c r="EE41" i="83"/>
  <c r="EF41" i="83" a="1"/>
  <c r="EF41" i="83"/>
  <c r="EH41" i="83" a="1"/>
  <c r="EH41" i="83"/>
  <c r="EI41" i="83" a="1"/>
  <c r="EI41" i="83"/>
  <c r="EJ41" i="83" a="1"/>
  <c r="EJ41" i="83"/>
  <c r="EK41" i="83" a="1"/>
  <c r="EK41" i="83"/>
  <c r="EL41" i="83" a="1"/>
  <c r="EL41" i="83"/>
  <c r="EM41" i="83" a="1"/>
  <c r="EM41" i="83"/>
  <c r="EN41" i="83" a="1"/>
  <c r="EN41" i="83"/>
  <c r="EO41" i="83" a="1"/>
  <c r="EO41" i="83"/>
  <c r="EP41" i="83" a="1"/>
  <c r="EP41" i="83"/>
  <c r="EQ41" i="83" a="1"/>
  <c r="EQ41" i="83"/>
  <c r="ER41" i="83" a="1"/>
  <c r="ER41" i="83"/>
  <c r="ES41" i="83" a="1"/>
  <c r="ES41" i="83"/>
  <c r="ET41" i="83" a="1"/>
  <c r="ET41" i="83"/>
  <c r="EU41" i="83" a="1"/>
  <c r="EU41" i="83"/>
  <c r="EV41" i="83" a="1"/>
  <c r="EV41" i="83"/>
  <c r="EW41" i="83" a="1"/>
  <c r="EW41" i="83"/>
  <c r="EX41" i="83" a="1"/>
  <c r="EX41" i="83"/>
  <c r="EY41" i="83" a="1"/>
  <c r="EY41" i="83"/>
  <c r="FA41" i="83" a="1"/>
  <c r="FA41" i="83"/>
  <c r="FB41" i="83" a="1"/>
  <c r="FB41" i="83"/>
  <c r="FC41" i="83" a="1"/>
  <c r="FC41" i="83"/>
  <c r="FD41" i="83" a="1"/>
  <c r="FD41" i="83"/>
  <c r="FE41" i="83" a="1"/>
  <c r="FE41" i="83"/>
  <c r="FF41" i="83" a="1"/>
  <c r="FF41" i="83"/>
  <c r="FG41" i="83" a="1"/>
  <c r="FG41" i="83"/>
  <c r="FH41" i="83" a="1"/>
  <c r="FH41" i="83"/>
  <c r="FI41" i="83" a="1"/>
  <c r="FI41" i="83"/>
  <c r="FJ41" i="83" a="1"/>
  <c r="FJ41" i="83"/>
  <c r="FK41" i="83" a="1"/>
  <c r="FK41" i="83"/>
  <c r="FL41" i="83" a="1"/>
  <c r="FL41" i="83"/>
  <c r="FM41" i="83" a="1"/>
  <c r="FM41" i="83"/>
  <c r="FN41" i="83" a="1"/>
  <c r="FN41" i="83"/>
  <c r="FO41" i="83" a="1"/>
  <c r="FO41" i="83"/>
  <c r="FP41" i="83" a="1"/>
  <c r="FP41" i="83"/>
  <c r="FQ41" i="83" a="1"/>
  <c r="FQ41" i="83"/>
  <c r="FS41" i="83" a="1"/>
  <c r="FS41" i="83"/>
  <c r="FT41" i="83" a="1"/>
  <c r="FT41" i="83"/>
  <c r="FU41" i="83" a="1"/>
  <c r="FU41" i="83"/>
  <c r="FV41" i="83" a="1"/>
  <c r="FV41" i="83"/>
  <c r="FW41" i="83" a="1"/>
  <c r="FW41" i="83"/>
  <c r="FX41" i="83" a="1"/>
  <c r="FX41" i="83"/>
  <c r="FY41" i="83" a="1"/>
  <c r="FY41" i="83"/>
  <c r="FZ41" i="83" a="1"/>
  <c r="FZ41" i="83"/>
  <c r="GA41" i="83" a="1"/>
  <c r="GA41" i="83"/>
  <c r="GB41" i="83" a="1"/>
  <c r="GB41" i="83"/>
  <c r="GC41" i="83" a="1"/>
  <c r="GC41" i="83"/>
  <c r="GD41" i="83" a="1"/>
  <c r="GD41" i="83"/>
  <c r="GE41" i="83" a="1"/>
  <c r="GE41" i="83"/>
  <c r="GF41" i="83" a="1"/>
  <c r="GF41" i="83"/>
  <c r="GG41" i="83" a="1"/>
  <c r="GG41" i="83"/>
  <c r="GH41" i="83" a="1"/>
  <c r="GH41" i="83"/>
  <c r="GI41" i="83" a="1"/>
  <c r="GI41" i="83"/>
  <c r="GK41" i="83" a="1"/>
  <c r="GK41" i="83"/>
  <c r="GL41" i="83" a="1"/>
  <c r="GL41" i="83"/>
  <c r="GM41" i="83" a="1"/>
  <c r="GM41" i="83"/>
  <c r="GN41" i="83" a="1"/>
  <c r="GN41" i="83"/>
  <c r="GO41" i="83" a="1"/>
  <c r="GO41" i="83"/>
  <c r="GP41" i="83" a="1"/>
  <c r="GP41" i="83"/>
  <c r="GQ41" i="83" a="1"/>
  <c r="GQ41" i="83"/>
  <c r="GR41" i="83" a="1"/>
  <c r="GR41" i="83"/>
  <c r="GS41" i="83" a="1"/>
  <c r="GS41" i="83"/>
  <c r="GT41" i="83" a="1"/>
  <c r="GT41" i="83"/>
  <c r="GU41" i="83" a="1"/>
  <c r="GU41" i="83"/>
  <c r="GV41" i="83" a="1"/>
  <c r="GV41" i="83"/>
  <c r="GW41" i="83" a="1"/>
  <c r="GW41" i="83"/>
  <c r="GX41" i="83" a="1"/>
  <c r="GX41" i="83"/>
  <c r="GY41" i="83" a="1"/>
  <c r="GY41" i="83"/>
  <c r="GZ41" i="83" a="1"/>
  <c r="GZ41" i="83"/>
  <c r="HA41" i="83" a="1"/>
  <c r="HA41" i="83"/>
  <c r="J42" i="83"/>
  <c r="K42" i="83"/>
  <c r="L42" i="83"/>
  <c r="M42" i="83"/>
  <c r="N42" i="83"/>
  <c r="O42" i="83"/>
  <c r="P42" i="83"/>
  <c r="E44" i="83"/>
  <c r="F44" i="83"/>
  <c r="G44" i="83"/>
  <c r="H44" i="83"/>
  <c r="J44" i="83"/>
  <c r="K44" i="83"/>
  <c r="L44" i="83"/>
  <c r="M44" i="83"/>
  <c r="N44" i="83"/>
  <c r="O44" i="83"/>
  <c r="P44" i="83"/>
  <c r="EH44" i="83"/>
  <c r="EI44" i="83"/>
  <c r="EJ44" i="83"/>
  <c r="EK44" i="83"/>
  <c r="EL44" i="83"/>
  <c r="EM44" i="83"/>
  <c r="EN44" i="83"/>
  <c r="EO44" i="83"/>
  <c r="EP44" i="83"/>
  <c r="EQ44" i="83"/>
  <c r="ER44" i="83"/>
  <c r="ES44" i="83"/>
  <c r="ET44" i="83"/>
  <c r="EU44" i="83"/>
  <c r="EV44" i="83"/>
  <c r="EW44" i="83"/>
  <c r="EX44" i="83"/>
  <c r="EY44" i="83"/>
  <c r="FS44" i="83"/>
  <c r="FT44" i="83"/>
  <c r="FU44" i="83"/>
  <c r="FV44" i="83"/>
  <c r="FW44" i="83"/>
  <c r="FX44" i="83"/>
  <c r="FY44" i="83"/>
  <c r="FZ44" i="83"/>
  <c r="GA44" i="83"/>
  <c r="GB44" i="83"/>
  <c r="GC44" i="83"/>
  <c r="GD44" i="83"/>
  <c r="GE44" i="83"/>
  <c r="GF44" i="83"/>
  <c r="GG44" i="83"/>
  <c r="GH44" i="83"/>
  <c r="GI44" i="83"/>
  <c r="E45" i="83"/>
  <c r="F45" i="83"/>
  <c r="G45" i="83"/>
  <c r="H45" i="83"/>
  <c r="J45" i="83"/>
  <c r="K45" i="83"/>
  <c r="L45" i="83"/>
  <c r="M45" i="83"/>
  <c r="N45" i="83"/>
  <c r="O45" i="83"/>
  <c r="P45" i="83"/>
  <c r="EH45" i="83"/>
  <c r="EI45" i="83"/>
  <c r="EJ45" i="83"/>
  <c r="EK45" i="83"/>
  <c r="EL45" i="83"/>
  <c r="EM45" i="83"/>
  <c r="EN45" i="83"/>
  <c r="EO45" i="83"/>
  <c r="EP45" i="83"/>
  <c r="EQ45" i="83"/>
  <c r="ER45" i="83"/>
  <c r="ES45" i="83"/>
  <c r="ET45" i="83"/>
  <c r="EU45" i="83"/>
  <c r="EV45" i="83"/>
  <c r="EW45" i="83"/>
  <c r="EX45" i="83"/>
  <c r="EY45" i="83"/>
  <c r="FS45" i="83"/>
  <c r="FT45" i="83"/>
  <c r="FU45" i="83"/>
  <c r="FV45" i="83"/>
  <c r="FW45" i="83"/>
  <c r="FX45" i="83"/>
  <c r="FY45" i="83"/>
  <c r="FZ45" i="83"/>
  <c r="GA45" i="83"/>
  <c r="GB45" i="83"/>
  <c r="GC45" i="83"/>
  <c r="GD45" i="83"/>
  <c r="GE45" i="83"/>
  <c r="GF45" i="83"/>
  <c r="GG45" i="83"/>
  <c r="GH45" i="83"/>
  <c r="GI45" i="83"/>
  <c r="E46" i="83"/>
  <c r="F46" i="83"/>
  <c r="G46" i="83"/>
  <c r="H46" i="83"/>
  <c r="J46" i="83"/>
  <c r="K46" i="83"/>
  <c r="L46" i="83"/>
  <c r="M46" i="83"/>
  <c r="N46" i="83"/>
  <c r="O46" i="83"/>
  <c r="P46" i="83"/>
  <c r="EH46" i="83"/>
  <c r="EI46" i="83"/>
  <c r="EJ46" i="83"/>
  <c r="EK46" i="83"/>
  <c r="EL46" i="83"/>
  <c r="EM46" i="83"/>
  <c r="EN46" i="83"/>
  <c r="EO46" i="83"/>
  <c r="EP46" i="83"/>
  <c r="EQ46" i="83"/>
  <c r="ER46" i="83"/>
  <c r="ES46" i="83"/>
  <c r="ET46" i="83"/>
  <c r="EU46" i="83"/>
  <c r="EV46" i="83"/>
  <c r="EW46" i="83"/>
  <c r="EX46" i="83"/>
  <c r="EY46" i="83"/>
  <c r="FS46" i="83"/>
  <c r="FT46" i="83"/>
  <c r="FU46" i="83"/>
  <c r="FV46" i="83"/>
  <c r="FW46" i="83"/>
  <c r="FX46" i="83"/>
  <c r="FY46" i="83"/>
  <c r="FZ46" i="83"/>
  <c r="GA46" i="83"/>
  <c r="GB46" i="83"/>
  <c r="GC46" i="83"/>
  <c r="GD46" i="83"/>
  <c r="GE46" i="83"/>
  <c r="GF46" i="83"/>
  <c r="GG46" i="83"/>
  <c r="GH46" i="83"/>
  <c r="GI46" i="83"/>
  <c r="EH47" i="83"/>
  <c r="EI47" i="83"/>
  <c r="EJ47" i="83"/>
  <c r="EK47" i="83"/>
  <c r="EL47" i="83"/>
  <c r="EM47" i="83"/>
  <c r="EN47" i="83"/>
  <c r="EO47" i="83"/>
  <c r="EP47" i="83"/>
  <c r="EQ47" i="83"/>
  <c r="ER47" i="83"/>
  <c r="ES47" i="83"/>
  <c r="ET47" i="83"/>
  <c r="EU47" i="83"/>
  <c r="EV47" i="83"/>
  <c r="EW47" i="83"/>
  <c r="EX47" i="83"/>
  <c r="EY47" i="83"/>
  <c r="EH48" i="83"/>
  <c r="EI48" i="83"/>
  <c r="EJ48" i="83"/>
  <c r="EK48" i="83"/>
  <c r="EL48" i="83"/>
  <c r="EM48" i="83"/>
  <c r="EN48" i="83"/>
  <c r="EO48" i="83"/>
  <c r="EP48" i="83"/>
  <c r="EQ48" i="83"/>
  <c r="ER48" i="83"/>
  <c r="ES48" i="83"/>
  <c r="ET48" i="83"/>
  <c r="EU48" i="83"/>
  <c r="EV48" i="83"/>
  <c r="EW48" i="83"/>
  <c r="EX48" i="83"/>
  <c r="EY48" i="83"/>
  <c r="FS48" i="83"/>
  <c r="FT48" i="83"/>
  <c r="FU48" i="83"/>
  <c r="FV48" i="83"/>
  <c r="FW48" i="83"/>
  <c r="FX48" i="83"/>
  <c r="FY48" i="83"/>
  <c r="FZ48" i="83"/>
  <c r="GA48" i="83"/>
  <c r="GB48" i="83"/>
  <c r="GC48" i="83"/>
  <c r="GD48" i="83"/>
  <c r="GE48" i="83"/>
  <c r="GF48" i="83"/>
  <c r="GG48" i="83"/>
  <c r="GH48" i="83"/>
  <c r="GI48" i="83"/>
  <c r="EH49" i="83"/>
  <c r="EI49" i="83"/>
  <c r="EJ49" i="83"/>
  <c r="EK49" i="83"/>
  <c r="EL49" i="83"/>
  <c r="EM49" i="83"/>
  <c r="EN49" i="83"/>
  <c r="EO49" i="83"/>
  <c r="EP49" i="83"/>
  <c r="EQ49" i="83"/>
  <c r="ER49" i="83"/>
  <c r="ES49" i="83"/>
  <c r="ET49" i="83"/>
  <c r="EU49" i="83"/>
  <c r="EV49" i="83"/>
  <c r="EW49" i="83"/>
  <c r="EX49" i="83"/>
  <c r="EY49" i="83"/>
  <c r="FS49" i="83"/>
  <c r="FT49" i="83"/>
  <c r="FU49" i="83"/>
  <c r="FV49" i="83"/>
  <c r="FW49" i="83"/>
  <c r="FX49" i="83"/>
  <c r="FY49" i="83"/>
  <c r="FZ49" i="83"/>
  <c r="GA49" i="83"/>
  <c r="GB49" i="83"/>
  <c r="GC49" i="83"/>
  <c r="GD49" i="83"/>
  <c r="GE49" i="83"/>
  <c r="GF49" i="83"/>
  <c r="GG49" i="83"/>
  <c r="GH49" i="83"/>
  <c r="GI49" i="83"/>
  <c r="EH50" i="83"/>
  <c r="EI50" i="83"/>
  <c r="EJ50" i="83"/>
  <c r="EK50" i="83"/>
  <c r="EL50" i="83"/>
  <c r="EM50" i="83"/>
  <c r="EN50" i="83"/>
  <c r="EO50" i="83"/>
  <c r="EP50" i="83"/>
  <c r="EQ50" i="83"/>
  <c r="ER50" i="83"/>
  <c r="ES50" i="83"/>
  <c r="ET50" i="83"/>
  <c r="EU50" i="83"/>
  <c r="EV50" i="83"/>
  <c r="EW50" i="83"/>
  <c r="EX50" i="83"/>
  <c r="EY50" i="83"/>
  <c r="FS50" i="83"/>
  <c r="FT50" i="83"/>
  <c r="FU50" i="83"/>
  <c r="FV50" i="83"/>
  <c r="FW50" i="83"/>
  <c r="FX50" i="83"/>
  <c r="FY50" i="83"/>
  <c r="FZ50" i="83"/>
  <c r="GA50" i="83"/>
  <c r="GB50" i="83"/>
  <c r="GC50" i="83"/>
  <c r="GD50" i="83"/>
  <c r="GE50" i="83"/>
  <c r="GF50" i="83"/>
  <c r="GG50" i="83"/>
  <c r="GI50" i="83"/>
  <c r="EH51" i="83"/>
  <c r="EI51" i="83"/>
  <c r="EJ51" i="83"/>
  <c r="EK51" i="83"/>
  <c r="EL51" i="83"/>
  <c r="EM51" i="83"/>
  <c r="EN51" i="83"/>
  <c r="EO51" i="83"/>
  <c r="EP51" i="83"/>
  <c r="EQ51" i="83"/>
  <c r="ER51" i="83"/>
  <c r="ES51" i="83"/>
  <c r="ET51" i="83"/>
  <c r="EU51" i="83"/>
  <c r="EV51" i="83"/>
  <c r="EW51" i="83"/>
  <c r="EX51" i="83"/>
  <c r="EY51" i="83"/>
  <c r="FS51" i="83"/>
  <c r="FT51" i="83"/>
  <c r="FU51" i="83"/>
  <c r="FV51" i="83"/>
  <c r="FW51" i="83"/>
  <c r="FX51" i="83"/>
  <c r="FY51" i="83"/>
  <c r="FZ51" i="83"/>
  <c r="GA51" i="83"/>
  <c r="GB51" i="83"/>
  <c r="GC51" i="83"/>
  <c r="GD51" i="83"/>
  <c r="GE51" i="83"/>
  <c r="GF51" i="83"/>
  <c r="GG51" i="83"/>
  <c r="GI51" i="83"/>
  <c r="EH52" i="83"/>
  <c r="EI52" i="83"/>
  <c r="EJ52" i="83"/>
  <c r="EK52" i="83"/>
  <c r="EL52" i="83"/>
  <c r="EM52" i="83"/>
  <c r="EN52" i="83"/>
  <c r="EO52" i="83"/>
  <c r="EP52" i="83"/>
  <c r="EQ52" i="83"/>
  <c r="ER52" i="83"/>
  <c r="ES52" i="83"/>
  <c r="ET52" i="83"/>
  <c r="EU52" i="83"/>
  <c r="EV52" i="83"/>
  <c r="EW52" i="83"/>
  <c r="EX52" i="83"/>
  <c r="EY52" i="83"/>
  <c r="FS52" i="83"/>
  <c r="FT52" i="83"/>
  <c r="FU52" i="83"/>
  <c r="FV52" i="83"/>
  <c r="FW52" i="83"/>
  <c r="FX52" i="83"/>
  <c r="FY52" i="83"/>
  <c r="FZ52" i="83"/>
  <c r="GA52" i="83"/>
  <c r="GB52" i="83"/>
  <c r="GC52" i="83"/>
  <c r="GD52" i="83"/>
  <c r="GE52" i="83"/>
  <c r="GF52" i="83"/>
  <c r="GG52" i="83"/>
  <c r="GH52" i="83"/>
  <c r="GI52" i="83"/>
  <c r="E53" i="83"/>
  <c r="F53" i="83"/>
  <c r="G53" i="83"/>
  <c r="H53" i="83"/>
  <c r="J53" i="83"/>
  <c r="K53" i="83"/>
  <c r="L53" i="83"/>
  <c r="M53" i="83"/>
  <c r="N53" i="83"/>
  <c r="O53" i="83"/>
  <c r="P53" i="83"/>
  <c r="EH53" i="83"/>
  <c r="EI53" i="83"/>
  <c r="EJ53" i="83"/>
  <c r="EK53" i="83"/>
  <c r="EL53" i="83"/>
  <c r="EM53" i="83"/>
  <c r="EN53" i="83"/>
  <c r="EO53" i="83"/>
  <c r="EP53" i="83"/>
  <c r="EQ53" i="83"/>
  <c r="ER53" i="83"/>
  <c r="ES53" i="83"/>
  <c r="ET53" i="83"/>
  <c r="EU53" i="83"/>
  <c r="EV53" i="83"/>
  <c r="EW53" i="83"/>
  <c r="EX53" i="83"/>
  <c r="EY53" i="83"/>
  <c r="FS53" i="83"/>
  <c r="FT53" i="83"/>
  <c r="FU53" i="83"/>
  <c r="FV53" i="83"/>
  <c r="FW53" i="83"/>
  <c r="FX53" i="83"/>
  <c r="FY53" i="83"/>
  <c r="FZ53" i="83"/>
  <c r="GA53" i="83"/>
  <c r="GB53" i="83"/>
  <c r="GC53" i="83"/>
  <c r="GD53" i="83"/>
  <c r="GE53" i="83"/>
  <c r="GF53" i="83"/>
  <c r="GG53" i="83"/>
  <c r="GH53" i="83"/>
  <c r="GI53" i="83"/>
  <c r="E54" i="83"/>
  <c r="F54" i="83"/>
  <c r="G54" i="83"/>
  <c r="H54" i="83"/>
  <c r="J54" i="83"/>
  <c r="K54" i="83"/>
  <c r="L54" i="83"/>
  <c r="M54" i="83"/>
  <c r="N54" i="83"/>
  <c r="O54" i="83"/>
  <c r="P54" i="83"/>
  <c r="EH54" i="83"/>
  <c r="EI54" i="83"/>
  <c r="EJ54" i="83"/>
  <c r="EK54" i="83"/>
  <c r="EL54" i="83"/>
  <c r="EM54" i="83"/>
  <c r="EN54" i="83"/>
  <c r="EO54" i="83"/>
  <c r="EP54" i="83"/>
  <c r="EQ54" i="83"/>
  <c r="ER54" i="83"/>
  <c r="ES54" i="83"/>
  <c r="ET54" i="83"/>
  <c r="EU54" i="83"/>
  <c r="EV54" i="83"/>
  <c r="EW54" i="83"/>
  <c r="EX54" i="83"/>
  <c r="EY54" i="83"/>
  <c r="FS54" i="83"/>
  <c r="FT54" i="83"/>
  <c r="FU54" i="83"/>
  <c r="FV54" i="83"/>
  <c r="FW54" i="83"/>
  <c r="FX54" i="83"/>
  <c r="FY54" i="83"/>
  <c r="FZ54" i="83"/>
  <c r="GA54" i="83"/>
  <c r="GB54" i="83"/>
  <c r="GC54" i="83"/>
  <c r="GD54" i="83"/>
  <c r="GE54" i="83"/>
  <c r="GF54" i="83"/>
  <c r="GG54" i="83"/>
  <c r="GH54" i="83"/>
  <c r="GI54" i="83"/>
  <c r="EH55" i="83"/>
  <c r="EI55" i="83"/>
  <c r="EJ55" i="83"/>
  <c r="EK55" i="83"/>
  <c r="EL55" i="83"/>
  <c r="EM55" i="83"/>
  <c r="EN55" i="83"/>
  <c r="EO55" i="83"/>
  <c r="EP55" i="83"/>
  <c r="EQ55" i="83"/>
  <c r="ER55" i="83"/>
  <c r="ES55" i="83"/>
  <c r="ET55" i="83"/>
  <c r="EU55" i="83"/>
  <c r="EV55" i="83"/>
  <c r="EW55" i="83"/>
  <c r="EX55" i="83"/>
  <c r="EY55" i="83"/>
  <c r="EH56" i="83"/>
  <c r="EI56" i="83"/>
  <c r="EJ56" i="83"/>
  <c r="EK56" i="83"/>
  <c r="EL56" i="83"/>
  <c r="EM56" i="83"/>
  <c r="EN56" i="83"/>
  <c r="EO56" i="83"/>
  <c r="EP56" i="83"/>
  <c r="EQ56" i="83"/>
  <c r="ER56" i="83"/>
  <c r="ES56" i="83"/>
  <c r="ET56" i="83"/>
  <c r="EU56" i="83"/>
  <c r="EV56" i="83"/>
  <c r="EW56" i="83"/>
  <c r="EX56" i="83"/>
  <c r="EY56" i="83"/>
  <c r="FS56" i="83"/>
  <c r="FT56" i="83"/>
  <c r="FU56" i="83"/>
  <c r="FV56" i="83"/>
  <c r="FW56" i="83"/>
  <c r="FX56" i="83"/>
  <c r="FY56" i="83"/>
  <c r="FZ56" i="83"/>
  <c r="GA56" i="83"/>
  <c r="GB56" i="83"/>
  <c r="GC56" i="83"/>
  <c r="GD56" i="83"/>
  <c r="GE56" i="83"/>
  <c r="GF56" i="83"/>
  <c r="GG56" i="83"/>
  <c r="GH56" i="83"/>
  <c r="GI56" i="83"/>
  <c r="E57" i="83"/>
  <c r="F57" i="83"/>
  <c r="G57" i="83"/>
  <c r="H57" i="83"/>
  <c r="J57" i="83"/>
  <c r="K57" i="83"/>
  <c r="L57" i="83"/>
  <c r="M57" i="83"/>
  <c r="N57" i="83"/>
  <c r="O57" i="83"/>
  <c r="P57" i="83"/>
  <c r="EH57" i="83"/>
  <c r="EI57" i="83"/>
  <c r="EJ57" i="83"/>
  <c r="EK57" i="83"/>
  <c r="EL57" i="83"/>
  <c r="EM57" i="83"/>
  <c r="EN57" i="83"/>
  <c r="EO57" i="83"/>
  <c r="EP57" i="83"/>
  <c r="EQ57" i="83"/>
  <c r="ER57" i="83"/>
  <c r="ES57" i="83"/>
  <c r="ET57" i="83"/>
  <c r="EU57" i="83"/>
  <c r="EV57" i="83"/>
  <c r="EW57" i="83"/>
  <c r="EX57" i="83"/>
  <c r="EY57" i="83"/>
  <c r="FS57" i="83"/>
  <c r="FT57" i="83"/>
  <c r="FU57" i="83"/>
  <c r="FV57" i="83"/>
  <c r="FW57" i="83"/>
  <c r="FX57" i="83"/>
  <c r="FY57" i="83"/>
  <c r="FZ57" i="83"/>
  <c r="GA57" i="83"/>
  <c r="GB57" i="83"/>
  <c r="GC57" i="83"/>
  <c r="GD57" i="83"/>
  <c r="GE57" i="83"/>
  <c r="GF57" i="83"/>
  <c r="GG57" i="83"/>
  <c r="GH57" i="83"/>
  <c r="GI57" i="83"/>
  <c r="E58" i="83"/>
  <c r="F58" i="83"/>
  <c r="G58" i="83"/>
  <c r="H58" i="83"/>
  <c r="J58" i="83"/>
  <c r="K58" i="83"/>
  <c r="L58" i="83"/>
  <c r="M58" i="83"/>
  <c r="N58" i="83"/>
  <c r="O58" i="83"/>
  <c r="P58" i="83"/>
  <c r="EH58" i="83"/>
  <c r="EI58" i="83"/>
  <c r="EJ58" i="83"/>
  <c r="EK58" i="83"/>
  <c r="EL58" i="83"/>
  <c r="EM58" i="83"/>
  <c r="EN58" i="83"/>
  <c r="EO58" i="83"/>
  <c r="EP58" i="83"/>
  <c r="EQ58" i="83"/>
  <c r="ER58" i="83"/>
  <c r="ES58" i="83"/>
  <c r="ET58" i="83"/>
  <c r="EU58" i="83"/>
  <c r="EV58" i="83"/>
  <c r="EW58" i="83"/>
  <c r="EX58" i="83"/>
  <c r="EY58" i="83"/>
  <c r="FS58" i="83"/>
  <c r="FT58" i="83"/>
  <c r="FU58" i="83"/>
  <c r="FV58" i="83"/>
  <c r="FW58" i="83"/>
  <c r="FX58" i="83"/>
  <c r="FY58" i="83"/>
  <c r="FZ58" i="83"/>
  <c r="GA58" i="83"/>
  <c r="GB58" i="83"/>
  <c r="GC58" i="83"/>
  <c r="GD58" i="83"/>
  <c r="GE58" i="83"/>
  <c r="GF58" i="83"/>
  <c r="GG58" i="83"/>
  <c r="GH58" i="83"/>
  <c r="GI58" i="83"/>
  <c r="EH59" i="83"/>
  <c r="EI59" i="83"/>
  <c r="EJ59" i="83"/>
  <c r="EK59" i="83"/>
  <c r="EL59" i="83"/>
  <c r="EM59" i="83"/>
  <c r="EN59" i="83"/>
  <c r="EO59" i="83"/>
  <c r="EP59" i="83"/>
  <c r="EQ59" i="83"/>
  <c r="ER59" i="83"/>
  <c r="ES59" i="83"/>
  <c r="ET59" i="83"/>
  <c r="EU59" i="83"/>
  <c r="EV59" i="83"/>
  <c r="EW59" i="83"/>
  <c r="EX59" i="83"/>
  <c r="EY59" i="83"/>
  <c r="FS59" i="83"/>
  <c r="FT59" i="83"/>
  <c r="FU59" i="83"/>
  <c r="FV59" i="83"/>
  <c r="FW59" i="83"/>
  <c r="FX59" i="83"/>
  <c r="FY59" i="83"/>
  <c r="FZ59" i="83"/>
  <c r="GA59" i="83"/>
  <c r="GB59" i="83"/>
  <c r="GC59" i="83"/>
  <c r="GD59" i="83"/>
  <c r="GE59" i="83"/>
  <c r="GF59" i="83"/>
  <c r="GG59" i="83"/>
  <c r="GH59" i="83"/>
  <c r="GI59" i="83"/>
  <c r="E60" i="83"/>
  <c r="F60" i="83"/>
  <c r="G60" i="83"/>
  <c r="H60" i="83"/>
  <c r="J60" i="83"/>
  <c r="K60" i="83"/>
  <c r="L60" i="83"/>
  <c r="M60" i="83"/>
  <c r="N60" i="83"/>
  <c r="O60" i="83"/>
  <c r="P60" i="83"/>
  <c r="EH60" i="83"/>
  <c r="EI60" i="83"/>
  <c r="EJ60" i="83"/>
  <c r="EK60" i="83"/>
  <c r="EL60" i="83"/>
  <c r="EM60" i="83"/>
  <c r="EN60" i="83"/>
  <c r="EO60" i="83"/>
  <c r="EP60" i="83"/>
  <c r="EQ60" i="83"/>
  <c r="ER60" i="83"/>
  <c r="ES60" i="83"/>
  <c r="ET60" i="83"/>
  <c r="EU60" i="83"/>
  <c r="EV60" i="83"/>
  <c r="EW60" i="83"/>
  <c r="EX60" i="83"/>
  <c r="EY60" i="83"/>
  <c r="FS60" i="83"/>
  <c r="FT60" i="83"/>
  <c r="FU60" i="83"/>
  <c r="FV60" i="83"/>
  <c r="FW60" i="83"/>
  <c r="FX60" i="83"/>
  <c r="FY60" i="83"/>
  <c r="FZ60" i="83"/>
  <c r="GA60" i="83"/>
  <c r="GB60" i="83"/>
  <c r="GC60" i="83"/>
  <c r="GD60" i="83"/>
  <c r="GE60" i="83"/>
  <c r="GF60" i="83"/>
  <c r="GG60" i="83"/>
  <c r="GH60" i="83"/>
  <c r="GI60" i="83"/>
  <c r="E61" i="83"/>
  <c r="F61" i="83"/>
  <c r="G61" i="83"/>
  <c r="H61" i="83"/>
  <c r="J61" i="83"/>
  <c r="K61" i="83"/>
  <c r="L61" i="83"/>
  <c r="M61" i="83"/>
  <c r="N61" i="83"/>
  <c r="O61" i="83"/>
  <c r="P61" i="83"/>
  <c r="EH61" i="83"/>
  <c r="EI61" i="83"/>
  <c r="EJ61" i="83"/>
  <c r="EK61" i="83"/>
  <c r="EL61" i="83"/>
  <c r="EM61" i="83"/>
  <c r="EN61" i="83"/>
  <c r="EO61" i="83"/>
  <c r="EP61" i="83"/>
  <c r="EQ61" i="83"/>
  <c r="ER61" i="83"/>
  <c r="ES61" i="83"/>
  <c r="ET61" i="83"/>
  <c r="EU61" i="83"/>
  <c r="EV61" i="83"/>
  <c r="EW61" i="83"/>
  <c r="EX61" i="83"/>
  <c r="EY61" i="83"/>
  <c r="FS61" i="83"/>
  <c r="FT61" i="83"/>
  <c r="FU61" i="83"/>
  <c r="FV61" i="83"/>
  <c r="FW61" i="83"/>
  <c r="FX61" i="83"/>
  <c r="FY61" i="83"/>
  <c r="FZ61" i="83"/>
  <c r="GA61" i="83"/>
  <c r="GB61" i="83"/>
  <c r="GC61" i="83"/>
  <c r="GD61" i="83"/>
  <c r="GE61" i="83"/>
  <c r="GF61" i="83"/>
  <c r="GG61" i="83"/>
  <c r="GH61" i="83"/>
  <c r="GI61" i="83"/>
  <c r="EH62" i="83"/>
  <c r="EI62" i="83"/>
  <c r="EJ62" i="83"/>
  <c r="EK62" i="83"/>
  <c r="EL62" i="83"/>
  <c r="EM62" i="83"/>
  <c r="EN62" i="83"/>
  <c r="EO62" i="83"/>
  <c r="EP62" i="83"/>
  <c r="EQ62" i="83"/>
  <c r="ER62" i="83"/>
  <c r="ES62" i="83"/>
  <c r="ET62" i="83"/>
  <c r="EU62" i="83"/>
  <c r="EV62" i="83"/>
  <c r="EW62" i="83"/>
  <c r="EX62" i="83"/>
  <c r="EY62" i="83"/>
  <c r="FS62" i="83"/>
  <c r="FT62" i="83"/>
  <c r="FV62" i="83"/>
  <c r="FW62" i="83"/>
  <c r="FX62" i="83"/>
  <c r="FY62" i="83"/>
  <c r="FZ62" i="83"/>
  <c r="GA62" i="83"/>
  <c r="GB62" i="83"/>
  <c r="GC62" i="83"/>
  <c r="GD62" i="83"/>
  <c r="GE62" i="83"/>
  <c r="GF62" i="83"/>
  <c r="GG62" i="83"/>
  <c r="GH62" i="83"/>
  <c r="GI62" i="83"/>
  <c r="EH63" i="83"/>
  <c r="EI63" i="83"/>
  <c r="EJ63" i="83"/>
  <c r="EK63" i="83"/>
  <c r="EL63" i="83"/>
  <c r="EM63" i="83"/>
  <c r="EN63" i="83"/>
  <c r="EO63" i="83"/>
  <c r="EP63" i="83"/>
  <c r="EQ63" i="83"/>
  <c r="ER63" i="83"/>
  <c r="ES63" i="83"/>
  <c r="ET63" i="83"/>
  <c r="EU63" i="83"/>
  <c r="EV63" i="83"/>
  <c r="EW63" i="83"/>
  <c r="EX63" i="83"/>
  <c r="EY63" i="83"/>
  <c r="FS63" i="83"/>
  <c r="FT63" i="83"/>
  <c r="FU63" i="83"/>
  <c r="FV63" i="83"/>
  <c r="FW63" i="83"/>
  <c r="FX63" i="83"/>
  <c r="FY63" i="83"/>
  <c r="FZ63" i="83"/>
  <c r="GA63" i="83"/>
  <c r="GB63" i="83"/>
  <c r="GC63" i="83"/>
  <c r="GD63" i="83"/>
  <c r="GE63" i="83"/>
  <c r="GF63" i="83"/>
  <c r="GG63" i="83"/>
  <c r="GH63" i="83"/>
  <c r="GI63" i="83"/>
  <c r="EH64" i="83"/>
  <c r="EI64" i="83"/>
  <c r="EJ64" i="83"/>
  <c r="EK64" i="83"/>
  <c r="EL64" i="83"/>
  <c r="EM64" i="83"/>
  <c r="EN64" i="83"/>
  <c r="EO64" i="83"/>
  <c r="EP64" i="83"/>
  <c r="EQ64" i="83"/>
  <c r="ER64" i="83"/>
  <c r="ES64" i="83"/>
  <c r="ET64" i="83"/>
  <c r="EU64" i="83"/>
  <c r="EV64" i="83"/>
  <c r="EW64" i="83"/>
  <c r="EX64" i="83"/>
  <c r="EY64" i="83"/>
  <c r="FS64" i="83"/>
  <c r="FT64" i="83"/>
  <c r="FU64" i="83"/>
  <c r="FV64" i="83"/>
  <c r="FW64" i="83"/>
  <c r="FX64" i="83"/>
  <c r="FY64" i="83"/>
  <c r="FZ64" i="83"/>
  <c r="GA64" i="83"/>
  <c r="GB64" i="83"/>
  <c r="GC64" i="83"/>
  <c r="GD64" i="83"/>
  <c r="GE64" i="83"/>
  <c r="GF64" i="83"/>
  <c r="GG64" i="83"/>
  <c r="GH64" i="83"/>
  <c r="GI64" i="83"/>
  <c r="EH65" i="83"/>
  <c r="EI65" i="83"/>
  <c r="EJ65" i="83"/>
  <c r="EK65" i="83"/>
  <c r="EL65" i="83"/>
  <c r="EM65" i="83"/>
  <c r="EN65" i="83"/>
  <c r="EO65" i="83"/>
  <c r="EP65" i="83"/>
  <c r="EQ65" i="83"/>
  <c r="ER65" i="83"/>
  <c r="ES65" i="83"/>
  <c r="ET65" i="83"/>
  <c r="EU65" i="83"/>
  <c r="EV65" i="83"/>
  <c r="EW65" i="83"/>
  <c r="EX65" i="83"/>
  <c r="EY65" i="83"/>
  <c r="FS65" i="83"/>
  <c r="FT65" i="83"/>
  <c r="FU65" i="83"/>
  <c r="FV65" i="83"/>
  <c r="FW65" i="83"/>
  <c r="FX65" i="83"/>
  <c r="FY65" i="83"/>
  <c r="FZ65" i="83"/>
  <c r="GA65" i="83"/>
  <c r="GB65" i="83"/>
  <c r="GC65" i="83"/>
  <c r="GD65" i="83"/>
  <c r="GE65" i="83"/>
  <c r="GF65" i="83"/>
  <c r="GG65" i="83"/>
  <c r="GH65" i="83"/>
  <c r="GI65" i="83"/>
  <c r="FS66" i="83"/>
  <c r="FT66" i="83"/>
  <c r="FU66" i="83"/>
  <c r="FV66" i="83"/>
  <c r="FW66" i="83"/>
  <c r="FX66" i="83"/>
  <c r="FY66" i="83"/>
  <c r="FZ66" i="83"/>
  <c r="GA66" i="83"/>
  <c r="GB66" i="83"/>
  <c r="GC66" i="83"/>
  <c r="GD66" i="83"/>
  <c r="GE66" i="83"/>
  <c r="GF66" i="83"/>
  <c r="GG66" i="83"/>
  <c r="GH66" i="83"/>
  <c r="GI66" i="83"/>
  <c r="FS67" i="83"/>
  <c r="FT67" i="83"/>
  <c r="FU67" i="83"/>
  <c r="FV67" i="83"/>
  <c r="FW67" i="83"/>
  <c r="FX67" i="83"/>
  <c r="FY67" i="83"/>
  <c r="FZ67" i="83"/>
  <c r="GA67" i="83"/>
  <c r="GB67" i="83"/>
  <c r="GC67" i="83"/>
  <c r="GD67" i="83"/>
  <c r="GE67" i="83"/>
  <c r="GF67" i="83"/>
  <c r="GG67" i="83"/>
  <c r="GH67" i="83"/>
  <c r="GI67" i="83"/>
  <c r="EH69" i="83"/>
  <c r="EI69" i="83"/>
  <c r="EJ69" i="83"/>
  <c r="EL69" i="83"/>
  <c r="EM69" i="83"/>
  <c r="EP69" i="83"/>
  <c r="EQ69" i="83"/>
  <c r="ER69" i="83"/>
  <c r="ES69" i="83"/>
  <c r="EU69" i="83"/>
  <c r="EV69" i="83"/>
  <c r="EW69" i="83"/>
  <c r="EX69" i="83"/>
  <c r="EY69" i="83"/>
  <c r="FS69" i="83"/>
  <c r="FT69" i="83"/>
  <c r="FU69" i="83"/>
  <c r="FW69" i="83"/>
  <c r="FX69" i="83"/>
  <c r="GA69" i="83"/>
  <c r="GB69" i="83"/>
  <c r="GC69" i="83"/>
  <c r="GD69" i="83"/>
  <c r="GF69" i="83"/>
  <c r="GG69" i="83"/>
  <c r="GH69" i="83"/>
  <c r="GI69" i="83"/>
  <c r="EH70" i="83"/>
  <c r="EI70" i="83"/>
  <c r="EJ70" i="83"/>
  <c r="EL70" i="83"/>
  <c r="EM70" i="83"/>
  <c r="EP70" i="83"/>
  <c r="EQ70" i="83"/>
  <c r="ER70" i="83"/>
  <c r="ES70" i="83"/>
  <c r="EU70" i="83"/>
  <c r="EV70" i="83"/>
  <c r="EW70" i="83"/>
  <c r="FS70" i="83"/>
  <c r="FT70" i="83"/>
  <c r="FU70" i="83"/>
  <c r="FV70" i="83"/>
  <c r="FW70" i="83"/>
  <c r="FX70" i="83"/>
  <c r="FY70" i="83"/>
  <c r="FZ70" i="83"/>
  <c r="GA70" i="83"/>
  <c r="GB70" i="83"/>
  <c r="GC70" i="83"/>
  <c r="GD70" i="83"/>
  <c r="GE70" i="83"/>
  <c r="GF70" i="83"/>
  <c r="GG70" i="83"/>
  <c r="GH70" i="83"/>
  <c r="EH71" i="83"/>
  <c r="EI71" i="83"/>
  <c r="EJ71" i="83"/>
  <c r="EL71" i="83"/>
  <c r="EM71" i="83"/>
  <c r="EP71" i="83"/>
  <c r="EQ71" i="83"/>
  <c r="ES71" i="83"/>
  <c r="EU71" i="83"/>
  <c r="EV71" i="83"/>
  <c r="EW71" i="83"/>
  <c r="FS71" i="83"/>
  <c r="FT71" i="83"/>
  <c r="FU71" i="83"/>
  <c r="FW71" i="83"/>
  <c r="FX71" i="83"/>
  <c r="GA71" i="83"/>
  <c r="GB71" i="83"/>
  <c r="GD71" i="83"/>
  <c r="GF71" i="83"/>
  <c r="GG71" i="83"/>
  <c r="GH71" i="83"/>
  <c r="E72" i="83"/>
  <c r="F72" i="83"/>
  <c r="G72" i="83"/>
  <c r="H72" i="83"/>
  <c r="I72" i="83"/>
  <c r="J72" i="83"/>
  <c r="E73" i="83"/>
  <c r="F73" i="83"/>
  <c r="G73" i="83"/>
  <c r="H73" i="83"/>
  <c r="I73" i="83"/>
  <c r="J73" i="83"/>
  <c r="EH73" i="83"/>
  <c r="EI73" i="83"/>
  <c r="EJ73" i="83"/>
  <c r="EL73" i="83"/>
  <c r="EM73" i="83"/>
  <c r="EP73" i="83"/>
  <c r="EQ73" i="83"/>
  <c r="ER73" i="83"/>
  <c r="ES73" i="83"/>
  <c r="EU73" i="83"/>
  <c r="EV73" i="83"/>
  <c r="EW73" i="83"/>
  <c r="EX73" i="83"/>
  <c r="EY73" i="83"/>
  <c r="FS73" i="83"/>
  <c r="FT73" i="83"/>
  <c r="FU73" i="83"/>
  <c r="FW73" i="83"/>
  <c r="FX73" i="83"/>
  <c r="GA73" i="83"/>
  <c r="GB73" i="83"/>
  <c r="GC73" i="83"/>
  <c r="GD73" i="83"/>
  <c r="GF73" i="83"/>
  <c r="GG73" i="83"/>
  <c r="GH73" i="83"/>
  <c r="GI73" i="83"/>
  <c r="E74" i="83"/>
  <c r="F74" i="83"/>
  <c r="G74" i="83"/>
  <c r="H74" i="83"/>
  <c r="I74" i="83"/>
  <c r="J74" i="83"/>
  <c r="EH74" i="83"/>
  <c r="EI74" i="83"/>
  <c r="EJ74" i="83"/>
  <c r="EL74" i="83"/>
  <c r="EM74" i="83"/>
  <c r="EP74" i="83"/>
  <c r="EQ74" i="83"/>
  <c r="ER74" i="83"/>
  <c r="ES74" i="83"/>
  <c r="EU74" i="83"/>
  <c r="EV74" i="83"/>
  <c r="EW74" i="83"/>
  <c r="EX74" i="83"/>
  <c r="EY74" i="83"/>
  <c r="FS74" i="83"/>
  <c r="FT74" i="83"/>
  <c r="FU74" i="83"/>
  <c r="FV74" i="83"/>
  <c r="FW74" i="83"/>
  <c r="FX74" i="83"/>
  <c r="FY74" i="83"/>
  <c r="FZ74" i="83"/>
  <c r="GA74" i="83"/>
  <c r="GB74" i="83"/>
  <c r="GC74" i="83"/>
  <c r="GD74" i="83"/>
  <c r="GE74" i="83"/>
  <c r="GF74" i="83"/>
  <c r="GG74" i="83"/>
  <c r="GH74" i="83"/>
  <c r="GI74" i="83"/>
  <c r="E75" i="83"/>
  <c r="F75" i="83"/>
  <c r="G75" i="83"/>
  <c r="H75" i="83"/>
  <c r="I75" i="83"/>
  <c r="J75" i="83"/>
  <c r="E76" i="83"/>
  <c r="F76" i="83"/>
  <c r="G76" i="83"/>
  <c r="H76" i="83"/>
  <c r="I76" i="83"/>
  <c r="J76" i="83"/>
  <c r="E77" i="83"/>
  <c r="F77" i="83"/>
  <c r="G77" i="83"/>
  <c r="H77" i="83"/>
  <c r="I77" i="83"/>
  <c r="J77" i="83"/>
  <c r="E78" i="83"/>
  <c r="F78" i="83"/>
  <c r="G78" i="83"/>
  <c r="H78" i="83"/>
  <c r="I78" i="83"/>
  <c r="J78" i="83"/>
  <c r="E79" i="83"/>
  <c r="F79" i="83"/>
  <c r="G79" i="83"/>
  <c r="H79" i="83"/>
  <c r="I79" i="83"/>
  <c r="J79" i="83"/>
  <c r="E80" i="83"/>
  <c r="F80" i="83"/>
  <c r="G80" i="83"/>
  <c r="H80" i="83"/>
  <c r="I80" i="83"/>
  <c r="J80" i="83"/>
  <c r="E81" i="83"/>
  <c r="F81" i="83"/>
  <c r="G81" i="83"/>
  <c r="H81" i="83"/>
  <c r="I81" i="83"/>
  <c r="J81" i="83"/>
  <c r="E82" i="83"/>
  <c r="F82" i="83"/>
  <c r="G82" i="83"/>
  <c r="H82" i="83"/>
  <c r="I82" i="83"/>
  <c r="J82" i="83"/>
  <c r="E83" i="83"/>
  <c r="F83" i="83"/>
  <c r="G83" i="83"/>
  <c r="H83" i="83"/>
  <c r="I83" i="83"/>
  <c r="J83" i="83"/>
  <c r="E84" i="83"/>
  <c r="F84" i="83"/>
  <c r="G84" i="83"/>
  <c r="H84" i="83"/>
  <c r="I84" i="83"/>
  <c r="J84" i="83"/>
  <c r="E85" i="83"/>
  <c r="F85" i="83"/>
  <c r="G85" i="83"/>
  <c r="H85" i="83"/>
  <c r="I85" i="83"/>
  <c r="J85" i="83"/>
  <c r="E86" i="83"/>
  <c r="F86" i="83"/>
  <c r="G86" i="83"/>
  <c r="H86" i="83"/>
  <c r="I86" i="83"/>
  <c r="J86" i="83"/>
  <c r="E87" i="83"/>
  <c r="F87" i="83"/>
  <c r="G87" i="83"/>
  <c r="H87" i="83"/>
  <c r="I87" i="83"/>
  <c r="J87" i="83"/>
  <c r="E88" i="83"/>
  <c r="F88" i="83"/>
  <c r="G88" i="83"/>
  <c r="H88" i="83"/>
  <c r="I88" i="83"/>
  <c r="J88" i="83"/>
  <c r="E89" i="83"/>
  <c r="F89" i="83"/>
  <c r="H89" i="83"/>
  <c r="I89" i="83"/>
  <c r="J89" i="83"/>
  <c r="E11" i="44" a="1"/>
  <c r="E11" i="44"/>
  <c r="F11" i="44" a="1"/>
  <c r="F11" i="44"/>
  <c r="G11" i="44" a="1"/>
  <c r="G11" i="44"/>
  <c r="H11" i="44" a="1"/>
  <c r="H11" i="44"/>
  <c r="I11" i="44" a="1"/>
  <c r="I11" i="44"/>
  <c r="J11" i="44" a="1"/>
  <c r="J11" i="44"/>
  <c r="K11" i="44" a="1"/>
  <c r="K11" i="44"/>
  <c r="L11" i="44" a="1"/>
  <c r="L11" i="44"/>
  <c r="M11" i="44" a="1"/>
  <c r="M11" i="44"/>
  <c r="O11" i="44" a="1"/>
  <c r="O11" i="44"/>
  <c r="P11" i="44" a="1"/>
  <c r="P11" i="44"/>
  <c r="Q11" i="44" a="1"/>
  <c r="Q11" i="44"/>
  <c r="R11" i="44" a="1"/>
  <c r="R11" i="44"/>
  <c r="S11" i="44" a="1"/>
  <c r="S11" i="44"/>
  <c r="T11" i="44" a="1"/>
  <c r="T11" i="44"/>
  <c r="U11" i="44" a="1"/>
  <c r="U11" i="44"/>
  <c r="V11" i="44" a="1"/>
  <c r="V11" i="44"/>
  <c r="W11" i="44" a="1"/>
  <c r="W11" i="44"/>
  <c r="Y11" i="44" a="1"/>
  <c r="Y11" i="44"/>
  <c r="Z11" i="44" a="1"/>
  <c r="Z11" i="44"/>
  <c r="AA11" i="44" a="1"/>
  <c r="AA11" i="44"/>
  <c r="AB11" i="44" a="1"/>
  <c r="AB11" i="44"/>
  <c r="AC11" i="44" a="1"/>
  <c r="AC11" i="44"/>
  <c r="AD11" i="44" a="1"/>
  <c r="AD11" i="44"/>
  <c r="AE11" i="44" a="1"/>
  <c r="AE11" i="44"/>
  <c r="AF11" i="44" a="1"/>
  <c r="AF11" i="44"/>
  <c r="AG11" i="44" a="1"/>
  <c r="AG11" i="44"/>
  <c r="AI11" i="44" a="1"/>
  <c r="AI11" i="44"/>
  <c r="AJ11" i="44" a="1"/>
  <c r="AJ11" i="44"/>
  <c r="AK11" i="44" a="1"/>
  <c r="AK11" i="44"/>
  <c r="AL11" i="44" a="1"/>
  <c r="AL11" i="44"/>
  <c r="AM11" i="44" a="1"/>
  <c r="AM11" i="44"/>
  <c r="AN11" i="44" a="1"/>
  <c r="AN11" i="44"/>
  <c r="AO11" i="44" a="1"/>
  <c r="AO11" i="44"/>
  <c r="AP11" i="44" a="1"/>
  <c r="AP11" i="44"/>
  <c r="AQ11" i="44" a="1"/>
  <c r="AQ11" i="44"/>
  <c r="AS11" i="44" a="1"/>
  <c r="AS11" i="44"/>
  <c r="AT11" i="44" a="1"/>
  <c r="AT11" i="44"/>
  <c r="AU11" i="44" a="1"/>
  <c r="AU11" i="44"/>
  <c r="AV11" i="44" a="1"/>
  <c r="AV11" i="44"/>
  <c r="AW11" i="44" a="1"/>
  <c r="AW11" i="44"/>
  <c r="AX11" i="44" a="1"/>
  <c r="AX11" i="44"/>
  <c r="AY11" i="44" a="1"/>
  <c r="AY11" i="44"/>
  <c r="AZ11" i="44" a="1"/>
  <c r="AZ11" i="44"/>
  <c r="BA11" i="44" a="1"/>
  <c r="BA11" i="44"/>
  <c r="BC11" i="44" a="1"/>
  <c r="BC11" i="44"/>
  <c r="BD11" i="44" a="1"/>
  <c r="BD11" i="44"/>
  <c r="BE11" i="44" a="1"/>
  <c r="BE11" i="44"/>
  <c r="BF11" i="44" a="1"/>
  <c r="BF11" i="44"/>
  <c r="BG11" i="44" a="1"/>
  <c r="BG11" i="44"/>
  <c r="BH11" i="44" a="1"/>
  <c r="BH11" i="44"/>
  <c r="BI11" i="44" a="1"/>
  <c r="BI11" i="44"/>
  <c r="BJ11" i="44" a="1"/>
  <c r="BJ11" i="44"/>
  <c r="BK11" i="44" a="1"/>
  <c r="BK11" i="44"/>
  <c r="BO11" i="44" a="1"/>
  <c r="BO11" i="44"/>
  <c r="BP11" i="44" a="1"/>
  <c r="BP11" i="44"/>
  <c r="BQ11" i="44" a="1"/>
  <c r="BQ11" i="44"/>
  <c r="BR11" i="44" a="1"/>
  <c r="BR11" i="44"/>
  <c r="BS11" i="44" a="1"/>
  <c r="BS11" i="44"/>
  <c r="BT11" i="44" a="1"/>
  <c r="BT11" i="44"/>
  <c r="BU11" i="44" a="1"/>
  <c r="BU11" i="44"/>
  <c r="BV11" i="44" a="1"/>
  <c r="BV11" i="44"/>
  <c r="BW11" i="44" a="1"/>
  <c r="BW11" i="44"/>
  <c r="BY11" i="44" a="1"/>
  <c r="BY11" i="44"/>
  <c r="BZ11" i="44" a="1"/>
  <c r="BZ11" i="44"/>
  <c r="CA11" i="44" a="1"/>
  <c r="CA11" i="44"/>
  <c r="CB11" i="44" a="1"/>
  <c r="CB11" i="44"/>
  <c r="CC11" i="44" a="1"/>
  <c r="CC11" i="44"/>
  <c r="CD11" i="44" a="1"/>
  <c r="CD11" i="44"/>
  <c r="CE11" i="44" a="1"/>
  <c r="CE11" i="44"/>
  <c r="CF11" i="44" a="1"/>
  <c r="CF11" i="44"/>
  <c r="CG11" i="44" a="1"/>
  <c r="CG11" i="44"/>
  <c r="CI11" i="44" a="1"/>
  <c r="CI11" i="44"/>
  <c r="CJ11" i="44" a="1"/>
  <c r="CJ11" i="44"/>
  <c r="CK11" i="44" a="1"/>
  <c r="CK11" i="44"/>
  <c r="CL11" i="44" a="1"/>
  <c r="CL11" i="44"/>
  <c r="CM11" i="44" a="1"/>
  <c r="CM11" i="44"/>
  <c r="CN11" i="44" a="1"/>
  <c r="CN11" i="44"/>
  <c r="CO11" i="44" a="1"/>
  <c r="CO11" i="44"/>
  <c r="CP11" i="44" a="1"/>
  <c r="CP11" i="44"/>
  <c r="CQ11" i="44" a="1"/>
  <c r="CQ11" i="44"/>
  <c r="CS11" i="44" a="1"/>
  <c r="CS11" i="44"/>
  <c r="CT11" i="44" a="1"/>
  <c r="CT11" i="44"/>
  <c r="CU11" i="44" a="1"/>
  <c r="CU11" i="44"/>
  <c r="CV11" i="44" a="1"/>
  <c r="CV11" i="44"/>
  <c r="CW11" i="44" a="1"/>
  <c r="CW11" i="44"/>
  <c r="CX11" i="44" a="1"/>
  <c r="CX11" i="44"/>
  <c r="CY11" i="44" a="1"/>
  <c r="CY11" i="44"/>
  <c r="CZ11" i="44" a="1"/>
  <c r="CZ11" i="44"/>
  <c r="DA11" i="44" a="1"/>
  <c r="DA11" i="44"/>
  <c r="DB11" i="44" a="1"/>
  <c r="DB11" i="44"/>
  <c r="DC11" i="44" a="1"/>
  <c r="DC11" i="44"/>
  <c r="DD11" i="44" a="1"/>
  <c r="DD11" i="44"/>
  <c r="DE11" i="44" a="1"/>
  <c r="DE11" i="44"/>
  <c r="DF11" i="44" a="1"/>
  <c r="DF11" i="44"/>
  <c r="DG11" i="44" a="1"/>
  <c r="DG11" i="44"/>
  <c r="DH11" i="44" a="1"/>
  <c r="DH11" i="44"/>
  <c r="O13" i="44"/>
  <c r="P13" i="44"/>
  <c r="Q13" i="44"/>
  <c r="R13" i="44"/>
  <c r="S13" i="44"/>
  <c r="T13" i="44"/>
  <c r="U13" i="44"/>
  <c r="V13" i="44"/>
  <c r="W13" i="44"/>
  <c r="Y13" i="44"/>
  <c r="Z13" i="44"/>
  <c r="AA13" i="44"/>
  <c r="AB13" i="44"/>
  <c r="AC13" i="44"/>
  <c r="AD13" i="44"/>
  <c r="AE13" i="44"/>
  <c r="AF13" i="44"/>
  <c r="AG13" i="44"/>
  <c r="AI13" i="44"/>
  <c r="AJ13" i="44"/>
  <c r="AK13" i="44"/>
  <c r="AL13" i="44"/>
  <c r="AM13" i="44"/>
  <c r="AN13" i="44"/>
  <c r="AO13" i="44"/>
  <c r="AP13" i="44"/>
  <c r="AQ13" i="44"/>
  <c r="AS13" i="44"/>
  <c r="AT13" i="44"/>
  <c r="AU13" i="44"/>
  <c r="AV13" i="44"/>
  <c r="AW13" i="44"/>
  <c r="AX13" i="44"/>
  <c r="AY13" i="44"/>
  <c r="AZ13" i="44"/>
  <c r="BA13" i="44"/>
  <c r="BO13" i="44"/>
  <c r="BP13" i="44"/>
  <c r="BQ13" i="44"/>
  <c r="BR13" i="44"/>
  <c r="BS13" i="44"/>
  <c r="BT13" i="44"/>
  <c r="BU13" i="44"/>
  <c r="BV13" i="44"/>
  <c r="BW13" i="44"/>
  <c r="BY13" i="44"/>
  <c r="BZ13" i="44"/>
  <c r="CA13" i="44"/>
  <c r="CB13" i="44"/>
  <c r="CC13" i="44"/>
  <c r="CD13" i="44"/>
  <c r="CE13" i="44"/>
  <c r="CF13" i="44"/>
  <c r="CG13" i="44"/>
  <c r="CI13" i="44"/>
  <c r="CJ13" i="44"/>
  <c r="CK13" i="44"/>
  <c r="CL13" i="44"/>
  <c r="CM13" i="44"/>
  <c r="CN13" i="44"/>
  <c r="CO13" i="44"/>
  <c r="CP13" i="44"/>
  <c r="CQ13" i="44"/>
  <c r="CS13" i="44"/>
  <c r="CT13" i="44"/>
  <c r="CU13" i="44"/>
  <c r="CV13" i="44"/>
  <c r="CW13" i="44"/>
  <c r="CX13" i="44"/>
  <c r="CY13" i="44"/>
  <c r="CZ13" i="44"/>
  <c r="DA13" i="44"/>
  <c r="DB13" i="44"/>
  <c r="DC13" i="44"/>
  <c r="DD13" i="44"/>
  <c r="DE13" i="44"/>
  <c r="DF13" i="44"/>
  <c r="DG13" i="44"/>
  <c r="DH13" i="44"/>
  <c r="O14" i="44"/>
  <c r="P14" i="44"/>
  <c r="Q14" i="44"/>
  <c r="R14" i="44"/>
  <c r="S14" i="44"/>
  <c r="T14" i="44"/>
  <c r="U14" i="44"/>
  <c r="V14" i="44"/>
  <c r="W14" i="44"/>
  <c r="Y14" i="44"/>
  <c r="Z14" i="44"/>
  <c r="AA14" i="44"/>
  <c r="AB14" i="44"/>
  <c r="AC14" i="44"/>
  <c r="AD14" i="44"/>
  <c r="AE14" i="44"/>
  <c r="AF14" i="44"/>
  <c r="AG14" i="44"/>
  <c r="AI14" i="44"/>
  <c r="AJ14" i="44"/>
  <c r="AK14" i="44"/>
  <c r="AL14" i="44"/>
  <c r="AM14" i="44"/>
  <c r="AN14" i="44"/>
  <c r="AO14" i="44"/>
  <c r="AP14" i="44"/>
  <c r="AQ14" i="44"/>
  <c r="AS14" i="44"/>
  <c r="AT14" i="44"/>
  <c r="AU14" i="44"/>
  <c r="AV14" i="44"/>
  <c r="AW14" i="44"/>
  <c r="AX14" i="44"/>
  <c r="AY14" i="44"/>
  <c r="AZ14" i="44"/>
  <c r="BA14" i="44"/>
  <c r="BO14" i="44"/>
  <c r="BP14" i="44"/>
  <c r="BQ14" i="44"/>
  <c r="BR14" i="44"/>
  <c r="BS14" i="44"/>
  <c r="BT14" i="44"/>
  <c r="BU14" i="44"/>
  <c r="BV14" i="44"/>
  <c r="BW14" i="44"/>
  <c r="BY14" i="44"/>
  <c r="BZ14" i="44"/>
  <c r="CA14" i="44"/>
  <c r="CB14" i="44"/>
  <c r="CC14" i="44"/>
  <c r="CD14" i="44"/>
  <c r="CE14" i="44"/>
  <c r="CF14" i="44"/>
  <c r="CG14" i="44"/>
  <c r="CI14" i="44"/>
  <c r="CJ14" i="44"/>
  <c r="CK14" i="44"/>
  <c r="CL14" i="44"/>
  <c r="CM14" i="44"/>
  <c r="CN14" i="44"/>
  <c r="CO14" i="44"/>
  <c r="CP14" i="44"/>
  <c r="CQ14" i="44"/>
  <c r="CS14" i="44"/>
  <c r="CT14" i="44"/>
  <c r="CU14" i="44"/>
  <c r="CV14" i="44"/>
  <c r="CW14" i="44"/>
  <c r="CX14" i="44"/>
  <c r="CY14" i="44"/>
  <c r="CZ14" i="44"/>
  <c r="DA14" i="44"/>
  <c r="DB14" i="44"/>
  <c r="DC14" i="44"/>
  <c r="DD14" i="44"/>
  <c r="DE14" i="44"/>
  <c r="DF14" i="44"/>
  <c r="DG14" i="44"/>
  <c r="DH14" i="44"/>
  <c r="E15" i="44"/>
  <c r="F15" i="44"/>
  <c r="G15" i="44"/>
  <c r="H15" i="44"/>
  <c r="I15" i="44"/>
  <c r="J15" i="44"/>
  <c r="K15" i="44"/>
  <c r="L15" i="44"/>
  <c r="M15" i="44"/>
  <c r="O15" i="44"/>
  <c r="P15" i="44"/>
  <c r="Q15" i="44"/>
  <c r="R15" i="44"/>
  <c r="S15" i="44"/>
  <c r="T15" i="44"/>
  <c r="U15" i="44"/>
  <c r="V15" i="44"/>
  <c r="W15" i="44"/>
  <c r="Y15" i="44"/>
  <c r="Z15" i="44"/>
  <c r="AA15" i="44"/>
  <c r="AB15" i="44"/>
  <c r="AC15" i="44"/>
  <c r="AD15" i="44"/>
  <c r="AE15" i="44"/>
  <c r="AF15" i="44"/>
  <c r="AG15" i="44"/>
  <c r="BC15" i="44"/>
  <c r="BD15" i="44"/>
  <c r="BE15" i="44"/>
  <c r="BF15" i="44"/>
  <c r="BG15" i="44"/>
  <c r="BH15" i="44"/>
  <c r="BI15" i="44"/>
  <c r="BJ15" i="44"/>
  <c r="BK15" i="44"/>
  <c r="E16" i="44"/>
  <c r="F16" i="44"/>
  <c r="G16" i="44"/>
  <c r="H16" i="44"/>
  <c r="I16" i="44"/>
  <c r="J16" i="44"/>
  <c r="K16" i="44"/>
  <c r="L16" i="44"/>
  <c r="M16" i="44"/>
  <c r="O16" i="44"/>
  <c r="P16" i="44"/>
  <c r="Q16" i="44"/>
  <c r="R16" i="44"/>
  <c r="S16" i="44"/>
  <c r="T16" i="44"/>
  <c r="U16" i="44"/>
  <c r="V16" i="44"/>
  <c r="W16" i="44"/>
  <c r="Y16" i="44"/>
  <c r="Z16" i="44"/>
  <c r="AA16" i="44"/>
  <c r="AB16" i="44"/>
  <c r="AC16" i="44"/>
  <c r="AD16" i="44"/>
  <c r="AE16" i="44"/>
  <c r="AF16" i="44"/>
  <c r="AG16" i="44"/>
  <c r="AI16" i="44"/>
  <c r="AJ16" i="44"/>
  <c r="AK16" i="44"/>
  <c r="AL16" i="44"/>
  <c r="AM16" i="44"/>
  <c r="AN16" i="44"/>
  <c r="AO16" i="44"/>
  <c r="AP16" i="44"/>
  <c r="AQ16" i="44"/>
  <c r="AS16" i="44"/>
  <c r="AT16" i="44"/>
  <c r="AU16" i="44"/>
  <c r="AV16" i="44"/>
  <c r="AW16" i="44"/>
  <c r="AX16" i="44"/>
  <c r="AY16" i="44"/>
  <c r="AZ16" i="44"/>
  <c r="BA16" i="44"/>
  <c r="BC16" i="44"/>
  <c r="BD16" i="44"/>
  <c r="BE16" i="44"/>
  <c r="BF16" i="44"/>
  <c r="BG16" i="44"/>
  <c r="BH16" i="44"/>
  <c r="BI16" i="44"/>
  <c r="BJ16" i="44"/>
  <c r="BK16" i="44"/>
  <c r="BO16" i="44"/>
  <c r="BP16" i="44"/>
  <c r="BQ16" i="44"/>
  <c r="BR16" i="44"/>
  <c r="BS16" i="44"/>
  <c r="BT16" i="44"/>
  <c r="BU16" i="44"/>
  <c r="BV16" i="44"/>
  <c r="BW16" i="44"/>
  <c r="BY16" i="44"/>
  <c r="BZ16" i="44"/>
  <c r="CA16" i="44"/>
  <c r="CB16" i="44"/>
  <c r="CC16" i="44"/>
  <c r="CD16" i="44"/>
  <c r="CE16" i="44"/>
  <c r="CF16" i="44"/>
  <c r="CG16" i="44"/>
  <c r="CI16" i="44"/>
  <c r="CJ16" i="44"/>
  <c r="CK16" i="44"/>
  <c r="CL16" i="44"/>
  <c r="CM16" i="44"/>
  <c r="CN16" i="44"/>
  <c r="CO16" i="44"/>
  <c r="CP16" i="44"/>
  <c r="CQ16" i="44"/>
  <c r="CS16" i="44"/>
  <c r="CT16" i="44"/>
  <c r="CU16" i="44"/>
  <c r="CV16" i="44"/>
  <c r="CW16" i="44"/>
  <c r="CX16" i="44"/>
  <c r="CY16" i="44"/>
  <c r="CZ16" i="44"/>
  <c r="DA16" i="44"/>
  <c r="DB16" i="44"/>
  <c r="DC16" i="44"/>
  <c r="DD16" i="44"/>
  <c r="DE16" i="44"/>
  <c r="DF16" i="44"/>
  <c r="DG16" i="44"/>
  <c r="DH16" i="44"/>
  <c r="E17" i="44" a="1"/>
  <c r="E17" i="44"/>
  <c r="F17" i="44" a="1"/>
  <c r="F17" i="44"/>
  <c r="G17" i="44" a="1"/>
  <c r="G17" i="44"/>
  <c r="H17" i="44" a="1"/>
  <c r="H17" i="44"/>
  <c r="I17" i="44" a="1"/>
  <c r="I17" i="44"/>
  <c r="J17" i="44" a="1"/>
  <c r="J17" i="44"/>
  <c r="K17" i="44" a="1"/>
  <c r="K17" i="44"/>
  <c r="L17" i="44" a="1"/>
  <c r="L17" i="44"/>
  <c r="M17" i="44" a="1"/>
  <c r="M17" i="44"/>
  <c r="O17" i="44" a="1"/>
  <c r="O17" i="44"/>
  <c r="P17" i="44" a="1"/>
  <c r="P17" i="44"/>
  <c r="Q17" i="44" a="1"/>
  <c r="Q17" i="44"/>
  <c r="R17" i="44" a="1"/>
  <c r="R17" i="44"/>
  <c r="S17" i="44" a="1"/>
  <c r="S17" i="44"/>
  <c r="T17" i="44" a="1"/>
  <c r="T17" i="44"/>
  <c r="U17" i="44" a="1"/>
  <c r="U17" i="44"/>
  <c r="V17" i="44" a="1"/>
  <c r="V17" i="44"/>
  <c r="W17" i="44" a="1"/>
  <c r="W17" i="44"/>
  <c r="Y17" i="44" a="1"/>
  <c r="Y17" i="44"/>
  <c r="Z17" i="44" a="1"/>
  <c r="Z17" i="44"/>
  <c r="AA17" i="44" a="1"/>
  <c r="AA17" i="44"/>
  <c r="AB17" i="44" a="1"/>
  <c r="AB17" i="44"/>
  <c r="AC17" i="44" a="1"/>
  <c r="AC17" i="44"/>
  <c r="AD17" i="44" a="1"/>
  <c r="AD17" i="44"/>
  <c r="AE17" i="44" a="1"/>
  <c r="AE17" i="44"/>
  <c r="AF17" i="44" a="1"/>
  <c r="AF17" i="44"/>
  <c r="AG17" i="44" a="1"/>
  <c r="AG17" i="44"/>
  <c r="AI17" i="44" a="1"/>
  <c r="AI17" i="44"/>
  <c r="AJ17" i="44" a="1"/>
  <c r="AJ17" i="44"/>
  <c r="AK17" i="44" a="1"/>
  <c r="AK17" i="44"/>
  <c r="AL17" i="44" a="1"/>
  <c r="AL17" i="44"/>
  <c r="AM17" i="44" a="1"/>
  <c r="AM17" i="44"/>
  <c r="AN17" i="44" a="1"/>
  <c r="AN17" i="44"/>
  <c r="AO17" i="44" a="1"/>
  <c r="AO17" i="44"/>
  <c r="AP17" i="44" a="1"/>
  <c r="AP17" i="44"/>
  <c r="AQ17" i="44" a="1"/>
  <c r="AQ17" i="44"/>
  <c r="AS17" i="44" a="1"/>
  <c r="AS17" i="44"/>
  <c r="AT17" i="44" a="1"/>
  <c r="AT17" i="44"/>
  <c r="AU17" i="44" a="1"/>
  <c r="AU17" i="44"/>
  <c r="AV17" i="44" a="1"/>
  <c r="AV17" i="44"/>
  <c r="AW17" i="44" a="1"/>
  <c r="AW17" i="44"/>
  <c r="AX17" i="44" a="1"/>
  <c r="AX17" i="44"/>
  <c r="AY17" i="44" a="1"/>
  <c r="AY17" i="44"/>
  <c r="AZ17" i="44" a="1"/>
  <c r="AZ17" i="44"/>
  <c r="BA17" i="44" a="1"/>
  <c r="BA17" i="44"/>
  <c r="BC17" i="44" a="1"/>
  <c r="BC17" i="44"/>
  <c r="BD17" i="44" a="1"/>
  <c r="BD17" i="44"/>
  <c r="BE17" i="44" a="1"/>
  <c r="BE17" i="44"/>
  <c r="BF17" i="44" a="1"/>
  <c r="BF17" i="44"/>
  <c r="BG17" i="44" a="1"/>
  <c r="BG17" i="44"/>
  <c r="BH17" i="44" a="1"/>
  <c r="BH17" i="44"/>
  <c r="BI17" i="44" a="1"/>
  <c r="BI17" i="44"/>
  <c r="BJ17" i="44" a="1"/>
  <c r="BJ17" i="44"/>
  <c r="BK17" i="44" a="1"/>
  <c r="BK17" i="44"/>
  <c r="BO17" i="44" a="1"/>
  <c r="BO17" i="44"/>
  <c r="BP17" i="44" a="1"/>
  <c r="BP17" i="44"/>
  <c r="BQ17" i="44" a="1"/>
  <c r="BQ17" i="44"/>
  <c r="BR17" i="44" a="1"/>
  <c r="BR17" i="44"/>
  <c r="BS17" i="44" a="1"/>
  <c r="BS17" i="44"/>
  <c r="BT17" i="44" a="1"/>
  <c r="BT17" i="44"/>
  <c r="BU17" i="44" a="1"/>
  <c r="BU17" i="44"/>
  <c r="BV17" i="44" a="1"/>
  <c r="BV17" i="44"/>
  <c r="BW17" i="44" a="1"/>
  <c r="BW17" i="44"/>
  <c r="BY17" i="44" a="1"/>
  <c r="BY17" i="44"/>
  <c r="BZ17" i="44" a="1"/>
  <c r="BZ17" i="44"/>
  <c r="CA17" i="44" a="1"/>
  <c r="CA17" i="44"/>
  <c r="CB17" i="44" a="1"/>
  <c r="CB17" i="44"/>
  <c r="CC17" i="44" a="1"/>
  <c r="CC17" i="44"/>
  <c r="CD17" i="44" a="1"/>
  <c r="CD17" i="44"/>
  <c r="CE17" i="44" a="1"/>
  <c r="CE17" i="44"/>
  <c r="CF17" i="44" a="1"/>
  <c r="CF17" i="44"/>
  <c r="CG17" i="44" a="1"/>
  <c r="CG17" i="44"/>
  <c r="CI17" i="44" a="1"/>
  <c r="CI17" i="44"/>
  <c r="CJ17" i="44" a="1"/>
  <c r="CJ17" i="44"/>
  <c r="CK17" i="44" a="1"/>
  <c r="CK17" i="44"/>
  <c r="CL17" i="44" a="1"/>
  <c r="CL17" i="44"/>
  <c r="CM17" i="44" a="1"/>
  <c r="CM17" i="44"/>
  <c r="CN17" i="44" a="1"/>
  <c r="CN17" i="44"/>
  <c r="CO17" i="44" a="1"/>
  <c r="CO17" i="44"/>
  <c r="CP17" i="44" a="1"/>
  <c r="CP17" i="44"/>
  <c r="CQ17" i="44" a="1"/>
  <c r="CQ17" i="44"/>
  <c r="CS17" i="44" a="1"/>
  <c r="CS17" i="44"/>
  <c r="CT17" i="44" a="1"/>
  <c r="CT17" i="44"/>
  <c r="CU17" i="44" a="1"/>
  <c r="CU17" i="44"/>
  <c r="CV17" i="44" a="1"/>
  <c r="CV17" i="44"/>
  <c r="CW17" i="44" a="1"/>
  <c r="CW17" i="44"/>
  <c r="CX17" i="44" a="1"/>
  <c r="CX17" i="44"/>
  <c r="CY17" i="44" a="1"/>
  <c r="CY17" i="44"/>
  <c r="CZ17" i="44" a="1"/>
  <c r="CZ17" i="44"/>
  <c r="DA17" i="44" a="1"/>
  <c r="DA17" i="44"/>
  <c r="DB17" i="44" a="1"/>
  <c r="DB17" i="44"/>
  <c r="DC17" i="44" a="1"/>
  <c r="DC17" i="44"/>
  <c r="DD17" i="44" a="1"/>
  <c r="DD17" i="44"/>
  <c r="DE17" i="44" a="1"/>
  <c r="DE17" i="44"/>
  <c r="DF17" i="44" a="1"/>
  <c r="DF17" i="44"/>
  <c r="DG17" i="44" a="1"/>
  <c r="DG17" i="44"/>
  <c r="DH17" i="44" a="1"/>
  <c r="DH17" i="44"/>
  <c r="E18" i="44" a="1"/>
  <c r="E18" i="44"/>
  <c r="F18" i="44" a="1"/>
  <c r="F18" i="44"/>
  <c r="G18" i="44" a="1"/>
  <c r="G18" i="44"/>
  <c r="H18" i="44" a="1"/>
  <c r="H18" i="44"/>
  <c r="I18" i="44" a="1"/>
  <c r="I18" i="44"/>
  <c r="J18" i="44" a="1"/>
  <c r="J18" i="44"/>
  <c r="K18" i="44" a="1"/>
  <c r="K18" i="44"/>
  <c r="L18" i="44" a="1"/>
  <c r="L18" i="44"/>
  <c r="M18" i="44" a="1"/>
  <c r="M18" i="44"/>
  <c r="O18" i="44" a="1"/>
  <c r="O18" i="44"/>
  <c r="P18" i="44" a="1"/>
  <c r="P18" i="44"/>
  <c r="Q18" i="44" a="1"/>
  <c r="Q18" i="44"/>
  <c r="R18" i="44" a="1"/>
  <c r="R18" i="44"/>
  <c r="S18" i="44" a="1"/>
  <c r="S18" i="44"/>
  <c r="T18" i="44" a="1"/>
  <c r="T18" i="44"/>
  <c r="U18" i="44" a="1"/>
  <c r="U18" i="44"/>
  <c r="V18" i="44" a="1"/>
  <c r="V18" i="44"/>
  <c r="W18" i="44" a="1"/>
  <c r="W18" i="44"/>
  <c r="Y18" i="44" a="1"/>
  <c r="Y18" i="44"/>
  <c r="Z18" i="44" a="1"/>
  <c r="Z18" i="44"/>
  <c r="AA18" i="44" a="1"/>
  <c r="AA18" i="44"/>
  <c r="AB18" i="44" a="1"/>
  <c r="AB18" i="44"/>
  <c r="AC18" i="44" a="1"/>
  <c r="AC18" i="44"/>
  <c r="AD18" i="44" a="1"/>
  <c r="AD18" i="44"/>
  <c r="AE18" i="44" a="1"/>
  <c r="AE18" i="44"/>
  <c r="AF18" i="44" a="1"/>
  <c r="AF18" i="44"/>
  <c r="AG18" i="44" a="1"/>
  <c r="AG18" i="44"/>
  <c r="AI18" i="44" a="1"/>
  <c r="AI18" i="44"/>
  <c r="AJ18" i="44" a="1"/>
  <c r="AJ18" i="44"/>
  <c r="AK18" i="44" a="1"/>
  <c r="AK18" i="44"/>
  <c r="AL18" i="44" a="1"/>
  <c r="AL18" i="44"/>
  <c r="AM18" i="44" a="1"/>
  <c r="AM18" i="44"/>
  <c r="AN18" i="44" a="1"/>
  <c r="AN18" i="44"/>
  <c r="AO18" i="44" a="1"/>
  <c r="AO18" i="44"/>
  <c r="AP18" i="44" a="1"/>
  <c r="AP18" i="44"/>
  <c r="AQ18" i="44" a="1"/>
  <c r="AQ18" i="44"/>
  <c r="AS18" i="44" a="1"/>
  <c r="AS18" i="44"/>
  <c r="AT18" i="44" a="1"/>
  <c r="AT18" i="44"/>
  <c r="AU18" i="44" a="1"/>
  <c r="AU18" i="44"/>
  <c r="AV18" i="44" a="1"/>
  <c r="AV18" i="44"/>
  <c r="AW18" i="44" a="1"/>
  <c r="AW18" i="44"/>
  <c r="AX18" i="44" a="1"/>
  <c r="AX18" i="44"/>
  <c r="AY18" i="44" a="1"/>
  <c r="AY18" i="44"/>
  <c r="AZ18" i="44" a="1"/>
  <c r="AZ18" i="44"/>
  <c r="BA18" i="44" a="1"/>
  <c r="BA18" i="44"/>
  <c r="BC18" i="44" a="1"/>
  <c r="BC18" i="44"/>
  <c r="BD18" i="44" a="1"/>
  <c r="BD18" i="44"/>
  <c r="BE18" i="44" a="1"/>
  <c r="BE18" i="44"/>
  <c r="BF18" i="44" a="1"/>
  <c r="BF18" i="44"/>
  <c r="BG18" i="44" a="1"/>
  <c r="BG18" i="44"/>
  <c r="BH18" i="44" a="1"/>
  <c r="BH18" i="44"/>
  <c r="BI18" i="44" a="1"/>
  <c r="BI18" i="44"/>
  <c r="BJ18" i="44" a="1"/>
  <c r="BJ18" i="44"/>
  <c r="BK18" i="44" a="1"/>
  <c r="BK18" i="44"/>
  <c r="BO18" i="44" a="1"/>
  <c r="BO18" i="44"/>
  <c r="BP18" i="44" a="1"/>
  <c r="BP18" i="44"/>
  <c r="BQ18" i="44" a="1"/>
  <c r="BQ18" i="44"/>
  <c r="BR18" i="44" a="1"/>
  <c r="BR18" i="44"/>
  <c r="BS18" i="44" a="1"/>
  <c r="BS18" i="44"/>
  <c r="BT18" i="44" a="1"/>
  <c r="BT18" i="44"/>
  <c r="BU18" i="44" a="1"/>
  <c r="BU18" i="44"/>
  <c r="BV18" i="44" a="1"/>
  <c r="BV18" i="44"/>
  <c r="BW18" i="44" a="1"/>
  <c r="BW18" i="44"/>
  <c r="BY18" i="44" a="1"/>
  <c r="BY18" i="44"/>
  <c r="BZ18" i="44" a="1"/>
  <c r="BZ18" i="44"/>
  <c r="CA18" i="44" a="1"/>
  <c r="CA18" i="44"/>
  <c r="CB18" i="44" a="1"/>
  <c r="CB18" i="44"/>
  <c r="CC18" i="44" a="1"/>
  <c r="CC18" i="44"/>
  <c r="CD18" i="44" a="1"/>
  <c r="CD18" i="44"/>
  <c r="CE18" i="44" a="1"/>
  <c r="CE18" i="44"/>
  <c r="CF18" i="44" a="1"/>
  <c r="CF18" i="44"/>
  <c r="CG18" i="44" a="1"/>
  <c r="CG18" i="44"/>
  <c r="CI18" i="44" a="1"/>
  <c r="CI18" i="44"/>
  <c r="CJ18" i="44" a="1"/>
  <c r="CJ18" i="44"/>
  <c r="CK18" i="44" a="1"/>
  <c r="CK18" i="44"/>
  <c r="CL18" i="44" a="1"/>
  <c r="CL18" i="44"/>
  <c r="CM18" i="44" a="1"/>
  <c r="CM18" i="44"/>
  <c r="CN18" i="44" a="1"/>
  <c r="CN18" i="44"/>
  <c r="CO18" i="44" a="1"/>
  <c r="CO18" i="44"/>
  <c r="CP18" i="44" a="1"/>
  <c r="CP18" i="44"/>
  <c r="CQ18" i="44" a="1"/>
  <c r="CQ18" i="44"/>
  <c r="CS18" i="44" a="1"/>
  <c r="CS18" i="44"/>
  <c r="CT18" i="44" a="1"/>
  <c r="CT18" i="44"/>
  <c r="CU18" i="44" a="1"/>
  <c r="CU18" i="44"/>
  <c r="CV18" i="44" a="1"/>
  <c r="CV18" i="44"/>
  <c r="CW18" i="44" a="1"/>
  <c r="CW18" i="44"/>
  <c r="CX18" i="44" a="1"/>
  <c r="CX18" i="44"/>
  <c r="CY18" i="44" a="1"/>
  <c r="CY18" i="44"/>
  <c r="CZ18" i="44" a="1"/>
  <c r="CZ18" i="44"/>
  <c r="DA18" i="44" a="1"/>
  <c r="DA18" i="44"/>
  <c r="DB18" i="44" a="1"/>
  <c r="DB18" i="44"/>
  <c r="DC18" i="44" a="1"/>
  <c r="DC18" i="44"/>
  <c r="DD18" i="44" a="1"/>
  <c r="DD18" i="44"/>
  <c r="DE18" i="44" a="1"/>
  <c r="DE18" i="44"/>
  <c r="DF18" i="44" a="1"/>
  <c r="DF18" i="44"/>
  <c r="DG18" i="44" a="1"/>
  <c r="DG18" i="44"/>
  <c r="DH18" i="44" a="1"/>
  <c r="DH18" i="44"/>
  <c r="E20" i="44" a="1"/>
  <c r="E20" i="44"/>
  <c r="F20" i="44" a="1"/>
  <c r="F20" i="44"/>
  <c r="G20" i="44" a="1"/>
  <c r="G20" i="44"/>
  <c r="H20" i="44" a="1"/>
  <c r="H20" i="44"/>
  <c r="I20" i="44" a="1"/>
  <c r="I20" i="44"/>
  <c r="J20" i="44" a="1"/>
  <c r="J20" i="44"/>
  <c r="K20" i="44" a="1"/>
  <c r="K20" i="44"/>
  <c r="L20" i="44" a="1"/>
  <c r="L20" i="44"/>
  <c r="M20" i="44" a="1"/>
  <c r="M20" i="44"/>
  <c r="O20" i="44" a="1"/>
  <c r="O20" i="44"/>
  <c r="P20" i="44" a="1"/>
  <c r="P20" i="44"/>
  <c r="Q20" i="44" a="1"/>
  <c r="Q20" i="44"/>
  <c r="R20" i="44" a="1"/>
  <c r="R20" i="44"/>
  <c r="S20" i="44" a="1"/>
  <c r="S20" i="44"/>
  <c r="T20" i="44" a="1"/>
  <c r="T20" i="44"/>
  <c r="U20" i="44" a="1"/>
  <c r="U20" i="44"/>
  <c r="V20" i="44" a="1"/>
  <c r="V20" i="44"/>
  <c r="W20" i="44" a="1"/>
  <c r="W20" i="44"/>
  <c r="Y20" i="44" a="1"/>
  <c r="Y20" i="44"/>
  <c r="Z20" i="44" a="1"/>
  <c r="Z20" i="44"/>
  <c r="AA20" i="44" a="1"/>
  <c r="AA20" i="44"/>
  <c r="AB20" i="44" a="1"/>
  <c r="AB20" i="44"/>
  <c r="AC20" i="44" a="1"/>
  <c r="AC20" i="44"/>
  <c r="AD20" i="44" a="1"/>
  <c r="AD20" i="44"/>
  <c r="AE20" i="44" a="1"/>
  <c r="AE20" i="44"/>
  <c r="AF20" i="44" a="1"/>
  <c r="AF20" i="44"/>
  <c r="AG20" i="44" a="1"/>
  <c r="AG20" i="44"/>
  <c r="AI20" i="44" a="1"/>
  <c r="AI20" i="44"/>
  <c r="AJ20" i="44" a="1"/>
  <c r="AJ20" i="44"/>
  <c r="AK20" i="44" a="1"/>
  <c r="AK20" i="44"/>
  <c r="AL20" i="44" a="1"/>
  <c r="AL20" i="44"/>
  <c r="AM20" i="44" a="1"/>
  <c r="AM20" i="44"/>
  <c r="AN20" i="44" a="1"/>
  <c r="AN20" i="44"/>
  <c r="AO20" i="44" a="1"/>
  <c r="AO20" i="44"/>
  <c r="AP20" i="44" a="1"/>
  <c r="AP20" i="44"/>
  <c r="AQ20" i="44" a="1"/>
  <c r="AQ20" i="44"/>
  <c r="AS20" i="44" a="1"/>
  <c r="AS20" i="44"/>
  <c r="AT20" i="44" a="1"/>
  <c r="AT20" i="44"/>
  <c r="AU20" i="44" a="1"/>
  <c r="AU20" i="44"/>
  <c r="AV20" i="44" a="1"/>
  <c r="AV20" i="44"/>
  <c r="AW20" i="44" a="1"/>
  <c r="AW20" i="44"/>
  <c r="AX20" i="44" a="1"/>
  <c r="AX20" i="44"/>
  <c r="AY20" i="44" a="1"/>
  <c r="AY20" i="44"/>
  <c r="AZ20" i="44" a="1"/>
  <c r="AZ20" i="44"/>
  <c r="BA20" i="44" a="1"/>
  <c r="BA20" i="44"/>
  <c r="BC20" i="44" a="1"/>
  <c r="BC20" i="44"/>
  <c r="BD20" i="44" a="1"/>
  <c r="BD20" i="44"/>
  <c r="BE20" i="44" a="1"/>
  <c r="BE20" i="44"/>
  <c r="BF20" i="44" a="1"/>
  <c r="BF20" i="44"/>
  <c r="BG20" i="44" a="1"/>
  <c r="BG20" i="44"/>
  <c r="BH20" i="44" a="1"/>
  <c r="BH20" i="44"/>
  <c r="BI20" i="44" a="1"/>
  <c r="BI20" i="44"/>
  <c r="BJ20" i="44" a="1"/>
  <c r="BJ20" i="44"/>
  <c r="BK20" i="44" a="1"/>
  <c r="BK20" i="44"/>
  <c r="BO20" i="44" a="1"/>
  <c r="BO20" i="44"/>
  <c r="BP20" i="44" a="1"/>
  <c r="BP20" i="44"/>
  <c r="BQ20" i="44" a="1"/>
  <c r="BQ20" i="44"/>
  <c r="BR20" i="44" a="1"/>
  <c r="BR20" i="44"/>
  <c r="BS20" i="44" a="1"/>
  <c r="BS20" i="44"/>
  <c r="BT20" i="44" a="1"/>
  <c r="BT20" i="44"/>
  <c r="BU20" i="44" a="1"/>
  <c r="BU20" i="44"/>
  <c r="BV20" i="44" a="1"/>
  <c r="BV20" i="44"/>
  <c r="BW20" i="44" a="1"/>
  <c r="BW20" i="44"/>
  <c r="BY20" i="44" a="1"/>
  <c r="BY20" i="44"/>
  <c r="BZ20" i="44" a="1"/>
  <c r="BZ20" i="44"/>
  <c r="CA20" i="44" a="1"/>
  <c r="CA20" i="44"/>
  <c r="CB20" i="44" a="1"/>
  <c r="CB20" i="44"/>
  <c r="CC20" i="44" a="1"/>
  <c r="CC20" i="44"/>
  <c r="CD20" i="44" a="1"/>
  <c r="CD20" i="44"/>
  <c r="CE20" i="44" a="1"/>
  <c r="CE20" i="44"/>
  <c r="CF20" i="44" a="1"/>
  <c r="CF20" i="44"/>
  <c r="CG20" i="44" a="1"/>
  <c r="CG20" i="44"/>
  <c r="CI20" i="44" a="1"/>
  <c r="CI20" i="44"/>
  <c r="CJ20" i="44" a="1"/>
  <c r="CJ20" i="44"/>
  <c r="CK20" i="44" a="1"/>
  <c r="CK20" i="44"/>
  <c r="CL20" i="44" a="1"/>
  <c r="CL20" i="44"/>
  <c r="CM20" i="44" a="1"/>
  <c r="CM20" i="44"/>
  <c r="CN20" i="44" a="1"/>
  <c r="CN20" i="44"/>
  <c r="CO20" i="44" a="1"/>
  <c r="CO20" i="44"/>
  <c r="CP20" i="44" a="1"/>
  <c r="CP20" i="44"/>
  <c r="CQ20" i="44" a="1"/>
  <c r="CQ20" i="44"/>
  <c r="CS20" i="44" a="1"/>
  <c r="CS20" i="44"/>
  <c r="CT20" i="44" a="1"/>
  <c r="CT20" i="44"/>
  <c r="CU20" i="44" a="1"/>
  <c r="CU20" i="44"/>
  <c r="CV20" i="44" a="1"/>
  <c r="CV20" i="44"/>
  <c r="CW20" i="44" a="1"/>
  <c r="CW20" i="44"/>
  <c r="CX20" i="44" a="1"/>
  <c r="CX20" i="44"/>
  <c r="CY20" i="44" a="1"/>
  <c r="CY20" i="44"/>
  <c r="CZ20" i="44" a="1"/>
  <c r="CZ20" i="44"/>
  <c r="DA20" i="44" a="1"/>
  <c r="DA20" i="44"/>
  <c r="DB20" i="44" a="1"/>
  <c r="DB20" i="44"/>
  <c r="DC20" i="44" a="1"/>
  <c r="DC20" i="44"/>
  <c r="DD20" i="44" a="1"/>
  <c r="DD20" i="44"/>
  <c r="DE20" i="44" a="1"/>
  <c r="DE20" i="44"/>
  <c r="DF20" i="44" a="1"/>
  <c r="DF20" i="44"/>
  <c r="DG20" i="44" a="1"/>
  <c r="DG20" i="44"/>
  <c r="DH20" i="44" a="1"/>
  <c r="DH20" i="44"/>
  <c r="E21" i="44" a="1"/>
  <c r="E21" i="44"/>
  <c r="F21" i="44" a="1"/>
  <c r="F21" i="44"/>
  <c r="G21" i="44" a="1"/>
  <c r="G21" i="44"/>
  <c r="H21" i="44" a="1"/>
  <c r="H21" i="44"/>
  <c r="I21" i="44" a="1"/>
  <c r="I21" i="44"/>
  <c r="J21" i="44" a="1"/>
  <c r="J21" i="44"/>
  <c r="K21" i="44" a="1"/>
  <c r="K21" i="44"/>
  <c r="L21" i="44" a="1"/>
  <c r="L21" i="44"/>
  <c r="M21" i="44" a="1"/>
  <c r="M21" i="44"/>
  <c r="O21" i="44" a="1"/>
  <c r="O21" i="44"/>
  <c r="P21" i="44" a="1"/>
  <c r="P21" i="44"/>
  <c r="Q21" i="44" a="1"/>
  <c r="Q21" i="44"/>
  <c r="R21" i="44" a="1"/>
  <c r="R21" i="44"/>
  <c r="S21" i="44" a="1"/>
  <c r="S21" i="44"/>
  <c r="T21" i="44" a="1"/>
  <c r="T21" i="44"/>
  <c r="U21" i="44" a="1"/>
  <c r="U21" i="44"/>
  <c r="V21" i="44" a="1"/>
  <c r="V21" i="44"/>
  <c r="W21" i="44" a="1"/>
  <c r="W21" i="44"/>
  <c r="Y21" i="44" a="1"/>
  <c r="Y21" i="44"/>
  <c r="Z21" i="44" a="1"/>
  <c r="Z21" i="44"/>
  <c r="AA21" i="44" a="1"/>
  <c r="AA21" i="44"/>
  <c r="AB21" i="44" a="1"/>
  <c r="AB21" i="44"/>
  <c r="AC21" i="44" a="1"/>
  <c r="AC21" i="44"/>
  <c r="AD21" i="44" a="1"/>
  <c r="AD21" i="44"/>
  <c r="AE21" i="44" a="1"/>
  <c r="AE21" i="44"/>
  <c r="AF21" i="44" a="1"/>
  <c r="AF21" i="44"/>
  <c r="AG21" i="44" a="1"/>
  <c r="AG21" i="44"/>
  <c r="AI21" i="44" a="1"/>
  <c r="AI21" i="44"/>
  <c r="AJ21" i="44" a="1"/>
  <c r="AJ21" i="44"/>
  <c r="AK21" i="44" a="1"/>
  <c r="AK21" i="44"/>
  <c r="AL21" i="44" a="1"/>
  <c r="AL21" i="44"/>
  <c r="AM21" i="44" a="1"/>
  <c r="AM21" i="44"/>
  <c r="AN21" i="44" a="1"/>
  <c r="AN21" i="44"/>
  <c r="AO21" i="44" a="1"/>
  <c r="AO21" i="44"/>
  <c r="AP21" i="44" a="1"/>
  <c r="AP21" i="44"/>
  <c r="AQ21" i="44" a="1"/>
  <c r="AQ21" i="44"/>
  <c r="AS21" i="44" a="1"/>
  <c r="AS21" i="44"/>
  <c r="AT21" i="44" a="1"/>
  <c r="AT21" i="44"/>
  <c r="AU21" i="44" a="1"/>
  <c r="AU21" i="44"/>
  <c r="AV21" i="44" a="1"/>
  <c r="AV21" i="44"/>
  <c r="AW21" i="44" a="1"/>
  <c r="AW21" i="44"/>
  <c r="AX21" i="44" a="1"/>
  <c r="AX21" i="44"/>
  <c r="AY21" i="44" a="1"/>
  <c r="AY21" i="44"/>
  <c r="AZ21" i="44" a="1"/>
  <c r="AZ21" i="44"/>
  <c r="BA21" i="44" a="1"/>
  <c r="BA21" i="44"/>
  <c r="BC21" i="44" a="1"/>
  <c r="BC21" i="44"/>
  <c r="BD21" i="44" a="1"/>
  <c r="BD21" i="44"/>
  <c r="BE21" i="44" a="1"/>
  <c r="BE21" i="44"/>
  <c r="BF21" i="44" a="1"/>
  <c r="BF21" i="44"/>
  <c r="BG21" i="44" a="1"/>
  <c r="BG21" i="44"/>
  <c r="BH21" i="44" a="1"/>
  <c r="BH21" i="44"/>
  <c r="BI21" i="44" a="1"/>
  <c r="BI21" i="44"/>
  <c r="BJ21" i="44" a="1"/>
  <c r="BJ21" i="44"/>
  <c r="BK21" i="44" a="1"/>
  <c r="BK21" i="44"/>
  <c r="BO21" i="44" a="1"/>
  <c r="BO21" i="44"/>
  <c r="BP21" i="44" a="1"/>
  <c r="BP21" i="44"/>
  <c r="BQ21" i="44" a="1"/>
  <c r="BQ21" i="44"/>
  <c r="BR21" i="44" a="1"/>
  <c r="BR21" i="44"/>
  <c r="BS21" i="44" a="1"/>
  <c r="BS21" i="44"/>
  <c r="BT21" i="44" a="1"/>
  <c r="BT21" i="44"/>
  <c r="BU21" i="44" a="1"/>
  <c r="BU21" i="44"/>
  <c r="BV21" i="44" a="1"/>
  <c r="BV21" i="44"/>
  <c r="BW21" i="44" a="1"/>
  <c r="BW21" i="44"/>
  <c r="BY21" i="44" a="1"/>
  <c r="BY21" i="44"/>
  <c r="BZ21" i="44" a="1"/>
  <c r="BZ21" i="44"/>
  <c r="CA21" i="44" a="1"/>
  <c r="CA21" i="44"/>
  <c r="CB21" i="44" a="1"/>
  <c r="CB21" i="44"/>
  <c r="CC21" i="44" a="1"/>
  <c r="CC21" i="44"/>
  <c r="CD21" i="44" a="1"/>
  <c r="CD21" i="44"/>
  <c r="CE21" i="44" a="1"/>
  <c r="CE21" i="44"/>
  <c r="CF21" i="44" a="1"/>
  <c r="CF21" i="44"/>
  <c r="CG21" i="44" a="1"/>
  <c r="CG21" i="44"/>
  <c r="CI21" i="44" a="1"/>
  <c r="CI21" i="44"/>
  <c r="CJ21" i="44" a="1"/>
  <c r="CJ21" i="44"/>
  <c r="CK21" i="44" a="1"/>
  <c r="CK21" i="44"/>
  <c r="CL21" i="44" a="1"/>
  <c r="CL21" i="44"/>
  <c r="CM21" i="44" a="1"/>
  <c r="CM21" i="44"/>
  <c r="CN21" i="44" a="1"/>
  <c r="CN21" i="44"/>
  <c r="CO21" i="44" a="1"/>
  <c r="CO21" i="44"/>
  <c r="CP21" i="44" a="1"/>
  <c r="CP21" i="44"/>
  <c r="CQ21" i="44" a="1"/>
  <c r="CQ21" i="44"/>
  <c r="CS21" i="44" a="1"/>
  <c r="CS21" i="44"/>
  <c r="CT21" i="44" a="1"/>
  <c r="CT21" i="44"/>
  <c r="CU21" i="44" a="1"/>
  <c r="CU21" i="44"/>
  <c r="CV21" i="44" a="1"/>
  <c r="CV21" i="44"/>
  <c r="CW21" i="44" a="1"/>
  <c r="CW21" i="44"/>
  <c r="CX21" i="44" a="1"/>
  <c r="CX21" i="44"/>
  <c r="CY21" i="44" a="1"/>
  <c r="CY21" i="44"/>
  <c r="CZ21" i="44" a="1"/>
  <c r="CZ21" i="44"/>
  <c r="DA21" i="44" a="1"/>
  <c r="DA21" i="44"/>
  <c r="DB21" i="44" a="1"/>
  <c r="DB21" i="44"/>
  <c r="DC21" i="44" a="1"/>
  <c r="DC21" i="44"/>
  <c r="DD21" i="44" a="1"/>
  <c r="DD21" i="44"/>
  <c r="DE21" i="44" a="1"/>
  <c r="DE21" i="44"/>
  <c r="DF21" i="44" a="1"/>
  <c r="DF21" i="44"/>
  <c r="DG21" i="44" a="1"/>
  <c r="DG21" i="44"/>
  <c r="DH21" i="44" a="1"/>
  <c r="DH21" i="44"/>
  <c r="E22" i="44" a="1"/>
  <c r="E22" i="44"/>
  <c r="F22" i="44" a="1"/>
  <c r="F22" i="44"/>
  <c r="G22" i="44" a="1"/>
  <c r="G22" i="44"/>
  <c r="H22" i="44" a="1"/>
  <c r="H22" i="44"/>
  <c r="I22" i="44" a="1"/>
  <c r="I22" i="44"/>
  <c r="J22" i="44" a="1"/>
  <c r="J22" i="44"/>
  <c r="K22" i="44" a="1"/>
  <c r="K22" i="44"/>
  <c r="L22" i="44" a="1"/>
  <c r="L22" i="44"/>
  <c r="M22" i="44" a="1"/>
  <c r="M22" i="44"/>
  <c r="O22" i="44" a="1"/>
  <c r="O22" i="44"/>
  <c r="P22" i="44" a="1"/>
  <c r="P22" i="44"/>
  <c r="Q22" i="44" a="1"/>
  <c r="Q22" i="44"/>
  <c r="R22" i="44" a="1"/>
  <c r="R22" i="44"/>
  <c r="S22" i="44" a="1"/>
  <c r="S22" i="44"/>
  <c r="T22" i="44" a="1"/>
  <c r="T22" i="44"/>
  <c r="U22" i="44" a="1"/>
  <c r="U22" i="44"/>
  <c r="V22" i="44" a="1"/>
  <c r="V22" i="44"/>
  <c r="W22" i="44" a="1"/>
  <c r="W22" i="44"/>
  <c r="Y22" i="44" a="1"/>
  <c r="Y22" i="44"/>
  <c r="Z22" i="44" a="1"/>
  <c r="Z22" i="44"/>
  <c r="AA22" i="44" a="1"/>
  <c r="AA22" i="44"/>
  <c r="AB22" i="44" a="1"/>
  <c r="AB22" i="44"/>
  <c r="AC22" i="44" a="1"/>
  <c r="AC22" i="44"/>
  <c r="AD22" i="44" a="1"/>
  <c r="AD22" i="44"/>
  <c r="AE22" i="44" a="1"/>
  <c r="AE22" i="44"/>
  <c r="AF22" i="44" a="1"/>
  <c r="AF22" i="44"/>
  <c r="AG22" i="44" a="1"/>
  <c r="AG22" i="44"/>
  <c r="AI22" i="44" a="1"/>
  <c r="AI22" i="44"/>
  <c r="AJ22" i="44" a="1"/>
  <c r="AJ22" i="44"/>
  <c r="AK22" i="44" a="1"/>
  <c r="AK22" i="44"/>
  <c r="AL22" i="44" a="1"/>
  <c r="AL22" i="44"/>
  <c r="AM22" i="44" a="1"/>
  <c r="AM22" i="44"/>
  <c r="AN22" i="44" a="1"/>
  <c r="AN22" i="44"/>
  <c r="AO22" i="44" a="1"/>
  <c r="AO22" i="44"/>
  <c r="AP22" i="44" a="1"/>
  <c r="AP22" i="44"/>
  <c r="AQ22" i="44" a="1"/>
  <c r="AQ22" i="44"/>
  <c r="AS22" i="44" a="1"/>
  <c r="AS22" i="44"/>
  <c r="AT22" i="44" a="1"/>
  <c r="AT22" i="44"/>
  <c r="AU22" i="44" a="1"/>
  <c r="AU22" i="44"/>
  <c r="AV22" i="44" a="1"/>
  <c r="AV22" i="44"/>
  <c r="AW22" i="44" a="1"/>
  <c r="AW22" i="44"/>
  <c r="AX22" i="44" a="1"/>
  <c r="AX22" i="44"/>
  <c r="AY22" i="44" a="1"/>
  <c r="AY22" i="44"/>
  <c r="AZ22" i="44" a="1"/>
  <c r="AZ22" i="44"/>
  <c r="BA22" i="44" a="1"/>
  <c r="BA22" i="44"/>
  <c r="BC22" i="44" a="1"/>
  <c r="BC22" i="44"/>
  <c r="BD22" i="44" a="1"/>
  <c r="BD22" i="44"/>
  <c r="BE22" i="44" a="1"/>
  <c r="BE22" i="44"/>
  <c r="BF22" i="44" a="1"/>
  <c r="BF22" i="44"/>
  <c r="BG22" i="44" a="1"/>
  <c r="BG22" i="44"/>
  <c r="BH22" i="44" a="1"/>
  <c r="BH22" i="44"/>
  <c r="BI22" i="44" a="1"/>
  <c r="BI22" i="44"/>
  <c r="BJ22" i="44" a="1"/>
  <c r="BJ22" i="44"/>
  <c r="BK22" i="44" a="1"/>
  <c r="BK22" i="44"/>
  <c r="BO22" i="44" a="1"/>
  <c r="BO22" i="44"/>
  <c r="BP22" i="44" a="1"/>
  <c r="BP22" i="44"/>
  <c r="BQ22" i="44" a="1"/>
  <c r="BQ22" i="44"/>
  <c r="BR22" i="44" a="1"/>
  <c r="BR22" i="44"/>
  <c r="BS22" i="44" a="1"/>
  <c r="BS22" i="44"/>
  <c r="BT22" i="44" a="1"/>
  <c r="BT22" i="44"/>
  <c r="BU22" i="44" a="1"/>
  <c r="BU22" i="44"/>
  <c r="BV22" i="44" a="1"/>
  <c r="BV22" i="44"/>
  <c r="BW22" i="44" a="1"/>
  <c r="BW22" i="44"/>
  <c r="BY22" i="44" a="1"/>
  <c r="BY22" i="44"/>
  <c r="BZ22" i="44" a="1"/>
  <c r="BZ22" i="44"/>
  <c r="CA22" i="44" a="1"/>
  <c r="CA22" i="44"/>
  <c r="CB22" i="44" a="1"/>
  <c r="CB22" i="44"/>
  <c r="CC22" i="44" a="1"/>
  <c r="CC22" i="44"/>
  <c r="CD22" i="44" a="1"/>
  <c r="CD22" i="44"/>
  <c r="CE22" i="44" a="1"/>
  <c r="CE22" i="44"/>
  <c r="CF22" i="44" a="1"/>
  <c r="CF22" i="44"/>
  <c r="CG22" i="44" a="1"/>
  <c r="CG22" i="44"/>
  <c r="CI22" i="44" a="1"/>
  <c r="CI22" i="44"/>
  <c r="CJ22" i="44" a="1"/>
  <c r="CJ22" i="44"/>
  <c r="CK22" i="44" a="1"/>
  <c r="CK22" i="44"/>
  <c r="CL22" i="44" a="1"/>
  <c r="CL22" i="44"/>
  <c r="CM22" i="44" a="1"/>
  <c r="CM22" i="44"/>
  <c r="CN22" i="44" a="1"/>
  <c r="CN22" i="44"/>
  <c r="CO22" i="44" a="1"/>
  <c r="CO22" i="44"/>
  <c r="CP22" i="44" a="1"/>
  <c r="CP22" i="44"/>
  <c r="CQ22" i="44" a="1"/>
  <c r="CQ22" i="44"/>
  <c r="CS22" i="44" a="1"/>
  <c r="CS22" i="44"/>
  <c r="CT22" i="44" a="1"/>
  <c r="CT22" i="44"/>
  <c r="CU22" i="44" a="1"/>
  <c r="CU22" i="44"/>
  <c r="CV22" i="44" a="1"/>
  <c r="CV22" i="44"/>
  <c r="CW22" i="44" a="1"/>
  <c r="CW22" i="44"/>
  <c r="CX22" i="44" a="1"/>
  <c r="CX22" i="44"/>
  <c r="CY22" i="44" a="1"/>
  <c r="CY22" i="44"/>
  <c r="CZ22" i="44" a="1"/>
  <c r="CZ22" i="44"/>
  <c r="DA22" i="44" a="1"/>
  <c r="DA22" i="44"/>
  <c r="DB22" i="44" a="1"/>
  <c r="DB22" i="44"/>
  <c r="DC22" i="44" a="1"/>
  <c r="DC22" i="44"/>
  <c r="DD22" i="44" a="1"/>
  <c r="DD22" i="44"/>
  <c r="DE22" i="44" a="1"/>
  <c r="DE22" i="44"/>
  <c r="DF22" i="44" a="1"/>
  <c r="DF22" i="44"/>
  <c r="DG22" i="44" a="1"/>
  <c r="DG22" i="44"/>
  <c r="DH22" i="44" a="1"/>
  <c r="DH22" i="44"/>
  <c r="E23" i="44" a="1"/>
  <c r="E23" i="44"/>
  <c r="F23" i="44" a="1"/>
  <c r="F23" i="44"/>
  <c r="G23" i="44" a="1"/>
  <c r="G23" i="44"/>
  <c r="H23" i="44" a="1"/>
  <c r="H23" i="44"/>
  <c r="I23" i="44" a="1"/>
  <c r="I23" i="44"/>
  <c r="J23" i="44" a="1"/>
  <c r="J23" i="44"/>
  <c r="K23" i="44" a="1"/>
  <c r="K23" i="44"/>
  <c r="L23" i="44" a="1"/>
  <c r="L23" i="44"/>
  <c r="M23" i="44" a="1"/>
  <c r="M23" i="44"/>
  <c r="O23" i="44" a="1"/>
  <c r="O23" i="44"/>
  <c r="P23" i="44" a="1"/>
  <c r="P23" i="44"/>
  <c r="Q23" i="44" a="1"/>
  <c r="Q23" i="44"/>
  <c r="R23" i="44" a="1"/>
  <c r="R23" i="44"/>
  <c r="S23" i="44" a="1"/>
  <c r="S23" i="44"/>
  <c r="T23" i="44" a="1"/>
  <c r="T23" i="44"/>
  <c r="U23" i="44" a="1"/>
  <c r="U23" i="44"/>
  <c r="V23" i="44" a="1"/>
  <c r="V23" i="44"/>
  <c r="W23" i="44" a="1"/>
  <c r="W23" i="44"/>
  <c r="Y23" i="44" a="1"/>
  <c r="Y23" i="44"/>
  <c r="Z23" i="44" a="1"/>
  <c r="Z23" i="44"/>
  <c r="AA23" i="44" a="1"/>
  <c r="AA23" i="44"/>
  <c r="AB23" i="44" a="1"/>
  <c r="AB23" i="44"/>
  <c r="AC23" i="44" a="1"/>
  <c r="AC23" i="44"/>
  <c r="AD23" i="44" a="1"/>
  <c r="AD23" i="44"/>
  <c r="AE23" i="44" a="1"/>
  <c r="AE23" i="44"/>
  <c r="AF23" i="44" a="1"/>
  <c r="AF23" i="44"/>
  <c r="AG23" i="44" a="1"/>
  <c r="AG23" i="44"/>
  <c r="AI23" i="44" a="1"/>
  <c r="AI23" i="44"/>
  <c r="AJ23" i="44" a="1"/>
  <c r="AJ23" i="44"/>
  <c r="AK23" i="44" a="1"/>
  <c r="AK23" i="44"/>
  <c r="AL23" i="44" a="1"/>
  <c r="AL23" i="44"/>
  <c r="AM23" i="44" a="1"/>
  <c r="AM23" i="44"/>
  <c r="AN23" i="44" a="1"/>
  <c r="AN23" i="44"/>
  <c r="AO23" i="44" a="1"/>
  <c r="AO23" i="44"/>
  <c r="AP23" i="44" a="1"/>
  <c r="AP23" i="44"/>
  <c r="AQ23" i="44" a="1"/>
  <c r="AQ23" i="44"/>
  <c r="AS23" i="44" a="1"/>
  <c r="AS23" i="44"/>
  <c r="AT23" i="44" a="1"/>
  <c r="AT23" i="44"/>
  <c r="AU23" i="44" a="1"/>
  <c r="AU23" i="44"/>
  <c r="AV23" i="44" a="1"/>
  <c r="AV23" i="44"/>
  <c r="AW23" i="44" a="1"/>
  <c r="AW23" i="44"/>
  <c r="AX23" i="44" a="1"/>
  <c r="AX23" i="44"/>
  <c r="AY23" i="44" a="1"/>
  <c r="AY23" i="44"/>
  <c r="AZ23" i="44" a="1"/>
  <c r="AZ23" i="44"/>
  <c r="BA23" i="44" a="1"/>
  <c r="BA23" i="44"/>
  <c r="BC23" i="44" a="1"/>
  <c r="BC23" i="44"/>
  <c r="BD23" i="44" a="1"/>
  <c r="BD23" i="44"/>
  <c r="BE23" i="44" a="1"/>
  <c r="BE23" i="44"/>
  <c r="BF23" i="44" a="1"/>
  <c r="BF23" i="44"/>
  <c r="BG23" i="44" a="1"/>
  <c r="BG23" i="44"/>
  <c r="BH23" i="44" a="1"/>
  <c r="BH23" i="44"/>
  <c r="BI23" i="44" a="1"/>
  <c r="BI23" i="44"/>
  <c r="BJ23" i="44" a="1"/>
  <c r="BJ23" i="44"/>
  <c r="BK23" i="44" a="1"/>
  <c r="BK23" i="44"/>
  <c r="BO23" i="44" a="1"/>
  <c r="BO23" i="44"/>
  <c r="BP23" i="44" a="1"/>
  <c r="BP23" i="44"/>
  <c r="BQ23" i="44" a="1"/>
  <c r="BQ23" i="44"/>
  <c r="BR23" i="44" a="1"/>
  <c r="BR23" i="44"/>
  <c r="BS23" i="44" a="1"/>
  <c r="BS23" i="44"/>
  <c r="BT23" i="44" a="1"/>
  <c r="BT23" i="44"/>
  <c r="BU23" i="44" a="1"/>
  <c r="BU23" i="44"/>
  <c r="BV23" i="44" a="1"/>
  <c r="BV23" i="44"/>
  <c r="BW23" i="44" a="1"/>
  <c r="BW23" i="44"/>
  <c r="BY23" i="44" a="1"/>
  <c r="BY23" i="44"/>
  <c r="BZ23" i="44" a="1"/>
  <c r="BZ23" i="44"/>
  <c r="CA23" i="44" a="1"/>
  <c r="CA23" i="44"/>
  <c r="CB23" i="44" a="1"/>
  <c r="CB23" i="44"/>
  <c r="CC23" i="44" a="1"/>
  <c r="CC23" i="44"/>
  <c r="CD23" i="44" a="1"/>
  <c r="CD23" i="44"/>
  <c r="CE23" i="44" a="1"/>
  <c r="CE23" i="44"/>
  <c r="CF23" i="44" a="1"/>
  <c r="CF23" i="44"/>
  <c r="CG23" i="44" a="1"/>
  <c r="CG23" i="44"/>
  <c r="CI23" i="44" a="1"/>
  <c r="CI23" i="44"/>
  <c r="CJ23" i="44" a="1"/>
  <c r="CJ23" i="44"/>
  <c r="CK23" i="44" a="1"/>
  <c r="CK23" i="44"/>
  <c r="CL23" i="44" a="1"/>
  <c r="CL23" i="44"/>
  <c r="CM23" i="44" a="1"/>
  <c r="CM23" i="44"/>
  <c r="CN23" i="44" a="1"/>
  <c r="CN23" i="44"/>
  <c r="CO23" i="44" a="1"/>
  <c r="CO23" i="44"/>
  <c r="CP23" i="44" a="1"/>
  <c r="CP23" i="44"/>
  <c r="CQ23" i="44" a="1"/>
  <c r="CQ23" i="44"/>
  <c r="CS23" i="44" a="1"/>
  <c r="CS23" i="44"/>
  <c r="CT23" i="44" a="1"/>
  <c r="CT23" i="44"/>
  <c r="CU23" i="44" a="1"/>
  <c r="CU23" i="44"/>
  <c r="CV23" i="44" a="1"/>
  <c r="CV23" i="44"/>
  <c r="CW23" i="44" a="1"/>
  <c r="CW23" i="44"/>
  <c r="CX23" i="44" a="1"/>
  <c r="CX23" i="44"/>
  <c r="CY23" i="44" a="1"/>
  <c r="CY23" i="44"/>
  <c r="CZ23" i="44" a="1"/>
  <c r="CZ23" i="44"/>
  <c r="DA23" i="44" a="1"/>
  <c r="DA23" i="44"/>
  <c r="DB23" i="44" a="1"/>
  <c r="DB23" i="44"/>
  <c r="DC23" i="44" a="1"/>
  <c r="DC23" i="44"/>
  <c r="DD23" i="44" a="1"/>
  <c r="DD23" i="44"/>
  <c r="DE23" i="44" a="1"/>
  <c r="DE23" i="44"/>
  <c r="DF23" i="44" a="1"/>
  <c r="DF23" i="44"/>
  <c r="DG23" i="44" a="1"/>
  <c r="DG23" i="44"/>
  <c r="DH23" i="44" a="1"/>
  <c r="DH23" i="44"/>
  <c r="E24" i="44" a="1"/>
  <c r="E24" i="44"/>
  <c r="F24" i="44" a="1"/>
  <c r="F24" i="44"/>
  <c r="G24" i="44" a="1"/>
  <c r="G24" i="44"/>
  <c r="H24" i="44" a="1"/>
  <c r="H24" i="44"/>
  <c r="I24" i="44" a="1"/>
  <c r="I24" i="44"/>
  <c r="J24" i="44" a="1"/>
  <c r="J24" i="44"/>
  <c r="K24" i="44" a="1"/>
  <c r="K24" i="44"/>
  <c r="L24" i="44" a="1"/>
  <c r="L24" i="44"/>
  <c r="M24" i="44" a="1"/>
  <c r="M24" i="44"/>
  <c r="O24" i="44" a="1"/>
  <c r="O24" i="44"/>
  <c r="P24" i="44" a="1"/>
  <c r="P24" i="44"/>
  <c r="Q24" i="44" a="1"/>
  <c r="Q24" i="44"/>
  <c r="R24" i="44" a="1"/>
  <c r="R24" i="44"/>
  <c r="S24" i="44" a="1"/>
  <c r="S24" i="44"/>
  <c r="T24" i="44" a="1"/>
  <c r="T24" i="44"/>
  <c r="U24" i="44" a="1"/>
  <c r="U24" i="44"/>
  <c r="V24" i="44" a="1"/>
  <c r="V24" i="44"/>
  <c r="W24" i="44" a="1"/>
  <c r="W24" i="44"/>
  <c r="Y24" i="44" a="1"/>
  <c r="Y24" i="44"/>
  <c r="Z24" i="44" a="1"/>
  <c r="Z24" i="44"/>
  <c r="AA24" i="44" a="1"/>
  <c r="AA24" i="44"/>
  <c r="AB24" i="44" a="1"/>
  <c r="AB24" i="44"/>
  <c r="AC24" i="44" a="1"/>
  <c r="AC24" i="44"/>
  <c r="AD24" i="44" a="1"/>
  <c r="AD24" i="44"/>
  <c r="AE24" i="44" a="1"/>
  <c r="AE24" i="44"/>
  <c r="AF24" i="44" a="1"/>
  <c r="AF24" i="44"/>
  <c r="AG24" i="44" a="1"/>
  <c r="AG24" i="44"/>
  <c r="AI24" i="44" a="1"/>
  <c r="AI24" i="44"/>
  <c r="AJ24" i="44" a="1"/>
  <c r="AJ24" i="44"/>
  <c r="AK24" i="44" a="1"/>
  <c r="AK24" i="44"/>
  <c r="AL24" i="44" a="1"/>
  <c r="AL24" i="44"/>
  <c r="AM24" i="44" a="1"/>
  <c r="AM24" i="44"/>
  <c r="AN24" i="44" a="1"/>
  <c r="AN24" i="44"/>
  <c r="AO24" i="44" a="1"/>
  <c r="AO24" i="44"/>
  <c r="AP24" i="44" a="1"/>
  <c r="AP24" i="44"/>
  <c r="AQ24" i="44" a="1"/>
  <c r="AQ24" i="44"/>
  <c r="AS24" i="44" a="1"/>
  <c r="AS24" i="44"/>
  <c r="AT24" i="44" a="1"/>
  <c r="AT24" i="44"/>
  <c r="AU24" i="44" a="1"/>
  <c r="AU24" i="44"/>
  <c r="AV24" i="44" a="1"/>
  <c r="AV24" i="44"/>
  <c r="AW24" i="44" a="1"/>
  <c r="AW24" i="44"/>
  <c r="AX24" i="44" a="1"/>
  <c r="AX24" i="44"/>
  <c r="AY24" i="44" a="1"/>
  <c r="AY24" i="44"/>
  <c r="AZ24" i="44" a="1"/>
  <c r="AZ24" i="44"/>
  <c r="BA24" i="44" a="1"/>
  <c r="BA24" i="44"/>
  <c r="BC24" i="44" a="1"/>
  <c r="BC24" i="44"/>
  <c r="BD24" i="44" a="1"/>
  <c r="BD24" i="44"/>
  <c r="BE24" i="44" a="1"/>
  <c r="BE24" i="44"/>
  <c r="BF24" i="44" a="1"/>
  <c r="BF24" i="44"/>
  <c r="BG24" i="44" a="1"/>
  <c r="BG24" i="44"/>
  <c r="BH24" i="44" a="1"/>
  <c r="BH24" i="44"/>
  <c r="BI24" i="44" a="1"/>
  <c r="BI24" i="44"/>
  <c r="BJ24" i="44" a="1"/>
  <c r="BJ24" i="44"/>
  <c r="BK24" i="44" a="1"/>
  <c r="BK24" i="44"/>
  <c r="BO24" i="44" a="1"/>
  <c r="BO24" i="44"/>
  <c r="BP24" i="44" a="1"/>
  <c r="BP24" i="44"/>
  <c r="BQ24" i="44" a="1"/>
  <c r="BQ24" i="44"/>
  <c r="BR24" i="44" a="1"/>
  <c r="BR24" i="44"/>
  <c r="BS24" i="44" a="1"/>
  <c r="BS24" i="44"/>
  <c r="BT24" i="44" a="1"/>
  <c r="BT24" i="44"/>
  <c r="BU24" i="44" a="1"/>
  <c r="BU24" i="44"/>
  <c r="BV24" i="44" a="1"/>
  <c r="BV24" i="44"/>
  <c r="BW24" i="44" a="1"/>
  <c r="BW24" i="44"/>
  <c r="BY24" i="44" a="1"/>
  <c r="BY24" i="44"/>
  <c r="BZ24" i="44" a="1"/>
  <c r="BZ24" i="44"/>
  <c r="CA24" i="44" a="1"/>
  <c r="CA24" i="44"/>
  <c r="CB24" i="44" a="1"/>
  <c r="CB24" i="44"/>
  <c r="CC24" i="44" a="1"/>
  <c r="CC24" i="44"/>
  <c r="CD24" i="44" a="1"/>
  <c r="CD24" i="44"/>
  <c r="CE24" i="44" a="1"/>
  <c r="CE24" i="44"/>
  <c r="CF24" i="44" a="1"/>
  <c r="CF24" i="44"/>
  <c r="CG24" i="44" a="1"/>
  <c r="CG24" i="44"/>
  <c r="CI24" i="44" a="1"/>
  <c r="CI24" i="44"/>
  <c r="CJ24" i="44" a="1"/>
  <c r="CJ24" i="44"/>
  <c r="CK24" i="44" a="1"/>
  <c r="CK24" i="44"/>
  <c r="CL24" i="44" a="1"/>
  <c r="CL24" i="44"/>
  <c r="CM24" i="44" a="1"/>
  <c r="CM24" i="44"/>
  <c r="CN24" i="44" a="1"/>
  <c r="CN24" i="44"/>
  <c r="CO24" i="44" a="1"/>
  <c r="CO24" i="44"/>
  <c r="CP24" i="44" a="1"/>
  <c r="CP24" i="44"/>
  <c r="CQ24" i="44" a="1"/>
  <c r="CQ24" i="44"/>
  <c r="CS24" i="44" a="1"/>
  <c r="CS24" i="44"/>
  <c r="CT24" i="44" a="1"/>
  <c r="CT24" i="44"/>
  <c r="CU24" i="44" a="1"/>
  <c r="CU24" i="44"/>
  <c r="CV24" i="44" a="1"/>
  <c r="CV24" i="44"/>
  <c r="CW24" i="44" a="1"/>
  <c r="CW24" i="44"/>
  <c r="CX24" i="44" a="1"/>
  <c r="CX24" i="44"/>
  <c r="CY24" i="44" a="1"/>
  <c r="CY24" i="44"/>
  <c r="CZ24" i="44" a="1"/>
  <c r="CZ24" i="44"/>
  <c r="DA24" i="44" a="1"/>
  <c r="DA24" i="44"/>
  <c r="DB24" i="44" a="1"/>
  <c r="DB24" i="44"/>
  <c r="DC24" i="44" a="1"/>
  <c r="DC24" i="44"/>
  <c r="DD24" i="44" a="1"/>
  <c r="DD24" i="44"/>
  <c r="DE24" i="44" a="1"/>
  <c r="DE24" i="44"/>
  <c r="DF24" i="44" a="1"/>
  <c r="DF24" i="44"/>
  <c r="DG24" i="44" a="1"/>
  <c r="DG24" i="44"/>
  <c r="DH24" i="44" a="1"/>
  <c r="DH24" i="44"/>
  <c r="E25" i="44" a="1"/>
  <c r="E25" i="44"/>
  <c r="F25" i="44" a="1"/>
  <c r="F25" i="44"/>
  <c r="G25" i="44" a="1"/>
  <c r="G25" i="44"/>
  <c r="H25" i="44" a="1"/>
  <c r="H25" i="44"/>
  <c r="I25" i="44" a="1"/>
  <c r="I25" i="44"/>
  <c r="J25" i="44" a="1"/>
  <c r="J25" i="44"/>
  <c r="K25" i="44" a="1"/>
  <c r="K25" i="44"/>
  <c r="L25" i="44" a="1"/>
  <c r="L25" i="44"/>
  <c r="M25" i="44" a="1"/>
  <c r="M25" i="44"/>
  <c r="O25" i="44" a="1"/>
  <c r="O25" i="44"/>
  <c r="P25" i="44" a="1"/>
  <c r="P25" i="44"/>
  <c r="Q25" i="44" a="1"/>
  <c r="Q25" i="44"/>
  <c r="R25" i="44" a="1"/>
  <c r="R25" i="44"/>
  <c r="S25" i="44" a="1"/>
  <c r="S25" i="44"/>
  <c r="T25" i="44" a="1"/>
  <c r="T25" i="44"/>
  <c r="U25" i="44" a="1"/>
  <c r="U25" i="44"/>
  <c r="V25" i="44" a="1"/>
  <c r="V25" i="44"/>
  <c r="W25" i="44" a="1"/>
  <c r="W25" i="44"/>
  <c r="Y25" i="44" a="1"/>
  <c r="Y25" i="44"/>
  <c r="Z25" i="44" a="1"/>
  <c r="Z25" i="44"/>
  <c r="AA25" i="44" a="1"/>
  <c r="AA25" i="44"/>
  <c r="AB25" i="44" a="1"/>
  <c r="AB25" i="44"/>
  <c r="AC25" i="44" a="1"/>
  <c r="AC25" i="44"/>
  <c r="AD25" i="44" a="1"/>
  <c r="AD25" i="44"/>
  <c r="AE25" i="44" a="1"/>
  <c r="AE25" i="44"/>
  <c r="AF25" i="44" a="1"/>
  <c r="AF25" i="44"/>
  <c r="AG25" i="44" a="1"/>
  <c r="AG25" i="44"/>
  <c r="AI25" i="44" a="1"/>
  <c r="AI25" i="44"/>
  <c r="AJ25" i="44" a="1"/>
  <c r="AJ25" i="44"/>
  <c r="AK25" i="44" a="1"/>
  <c r="AK25" i="44"/>
  <c r="AL25" i="44" a="1"/>
  <c r="AL25" i="44"/>
  <c r="AM25" i="44" a="1"/>
  <c r="AM25" i="44"/>
  <c r="AN25" i="44" a="1"/>
  <c r="AN25" i="44"/>
  <c r="AO25" i="44" a="1"/>
  <c r="AO25" i="44"/>
  <c r="AP25" i="44" a="1"/>
  <c r="AP25" i="44"/>
  <c r="AQ25" i="44" a="1"/>
  <c r="AQ25" i="44"/>
  <c r="AS25" i="44" a="1"/>
  <c r="AS25" i="44"/>
  <c r="AT25" i="44" a="1"/>
  <c r="AT25" i="44"/>
  <c r="AU25" i="44" a="1"/>
  <c r="AU25" i="44"/>
  <c r="AV25" i="44" a="1"/>
  <c r="AV25" i="44"/>
  <c r="AW25" i="44" a="1"/>
  <c r="AW25" i="44"/>
  <c r="AX25" i="44" a="1"/>
  <c r="AX25" i="44"/>
  <c r="AY25" i="44" a="1"/>
  <c r="AY25" i="44"/>
  <c r="AZ25" i="44" a="1"/>
  <c r="AZ25" i="44"/>
  <c r="BA25" i="44" a="1"/>
  <c r="BA25" i="44"/>
  <c r="BC25" i="44" a="1"/>
  <c r="BC25" i="44"/>
  <c r="BD25" i="44" a="1"/>
  <c r="BD25" i="44"/>
  <c r="BE25" i="44" a="1"/>
  <c r="BE25" i="44"/>
  <c r="BF25" i="44" a="1"/>
  <c r="BF25" i="44"/>
  <c r="BG25" i="44" a="1"/>
  <c r="BG25" i="44"/>
  <c r="BH25" i="44" a="1"/>
  <c r="BH25" i="44"/>
  <c r="BI25" i="44" a="1"/>
  <c r="BI25" i="44"/>
  <c r="BJ25" i="44" a="1"/>
  <c r="BJ25" i="44"/>
  <c r="BK25" i="44" a="1"/>
  <c r="BK25" i="44"/>
  <c r="BO25" i="44" a="1"/>
  <c r="BO25" i="44"/>
  <c r="BP25" i="44" a="1"/>
  <c r="BP25" i="44"/>
  <c r="BQ25" i="44" a="1"/>
  <c r="BQ25" i="44"/>
  <c r="BR25" i="44" a="1"/>
  <c r="BR25" i="44"/>
  <c r="BS25" i="44" a="1"/>
  <c r="BS25" i="44"/>
  <c r="BT25" i="44" a="1"/>
  <c r="BT25" i="44"/>
  <c r="BU25" i="44" a="1"/>
  <c r="BU25" i="44"/>
  <c r="BV25" i="44" a="1"/>
  <c r="BV25" i="44"/>
  <c r="BW25" i="44" a="1"/>
  <c r="BW25" i="44"/>
  <c r="BY25" i="44" a="1"/>
  <c r="BY25" i="44"/>
  <c r="BZ25" i="44" a="1"/>
  <c r="BZ25" i="44"/>
  <c r="CA25" i="44" a="1"/>
  <c r="CA25" i="44"/>
  <c r="CB25" i="44" a="1"/>
  <c r="CB25" i="44"/>
  <c r="CC25" i="44" a="1"/>
  <c r="CC25" i="44"/>
  <c r="CD25" i="44" a="1"/>
  <c r="CD25" i="44"/>
  <c r="CE25" i="44" a="1"/>
  <c r="CE25" i="44"/>
  <c r="CF25" i="44" a="1"/>
  <c r="CF25" i="44"/>
  <c r="CG25" i="44" a="1"/>
  <c r="CG25" i="44"/>
  <c r="CI25" i="44" a="1"/>
  <c r="CI25" i="44"/>
  <c r="CJ25" i="44" a="1"/>
  <c r="CJ25" i="44"/>
  <c r="CK25" i="44" a="1"/>
  <c r="CK25" i="44"/>
  <c r="CL25" i="44" a="1"/>
  <c r="CL25" i="44"/>
  <c r="CM25" i="44" a="1"/>
  <c r="CM25" i="44"/>
  <c r="CN25" i="44" a="1"/>
  <c r="CN25" i="44"/>
  <c r="CO25" i="44" a="1"/>
  <c r="CO25" i="44"/>
  <c r="CP25" i="44" a="1"/>
  <c r="CP25" i="44"/>
  <c r="CQ25" i="44" a="1"/>
  <c r="CQ25" i="44"/>
  <c r="CS25" i="44" a="1"/>
  <c r="CS25" i="44"/>
  <c r="CT25" i="44" a="1"/>
  <c r="CT25" i="44"/>
  <c r="CU25" i="44" a="1"/>
  <c r="CU25" i="44"/>
  <c r="CV25" i="44" a="1"/>
  <c r="CV25" i="44"/>
  <c r="CW25" i="44" a="1"/>
  <c r="CW25" i="44"/>
  <c r="CX25" i="44" a="1"/>
  <c r="CX25" i="44"/>
  <c r="CY25" i="44" a="1"/>
  <c r="CY25" i="44"/>
  <c r="CZ25" i="44" a="1"/>
  <c r="CZ25" i="44"/>
  <c r="DA25" i="44" a="1"/>
  <c r="DA25" i="44"/>
  <c r="DB25" i="44" a="1"/>
  <c r="DB25" i="44"/>
  <c r="DC25" i="44" a="1"/>
  <c r="DC25" i="44"/>
  <c r="DD25" i="44" a="1"/>
  <c r="DD25" i="44"/>
  <c r="DE25" i="44" a="1"/>
  <c r="DE25" i="44"/>
  <c r="DF25" i="44" a="1"/>
  <c r="DF25" i="44"/>
  <c r="DG25" i="44" a="1"/>
  <c r="DG25" i="44"/>
  <c r="DH25" i="44" a="1"/>
  <c r="DH25" i="44"/>
  <c r="E26" i="44" a="1"/>
  <c r="E26" i="44"/>
  <c r="F26" i="44" a="1"/>
  <c r="F26" i="44"/>
  <c r="G26" i="44" a="1"/>
  <c r="G26" i="44"/>
  <c r="H26" i="44" a="1"/>
  <c r="H26" i="44"/>
  <c r="I26" i="44" a="1"/>
  <c r="I26" i="44"/>
  <c r="J26" i="44" a="1"/>
  <c r="J26" i="44"/>
  <c r="K26" i="44" a="1"/>
  <c r="K26" i="44"/>
  <c r="L26" i="44" a="1"/>
  <c r="L26" i="44"/>
  <c r="M26" i="44" a="1"/>
  <c r="M26" i="44"/>
  <c r="O26" i="44" a="1"/>
  <c r="O26" i="44"/>
  <c r="P26" i="44" a="1"/>
  <c r="P26" i="44"/>
  <c r="Q26" i="44" a="1"/>
  <c r="Q26" i="44"/>
  <c r="R26" i="44" a="1"/>
  <c r="R26" i="44"/>
  <c r="S26" i="44" a="1"/>
  <c r="S26" i="44"/>
  <c r="T26" i="44" a="1"/>
  <c r="T26" i="44"/>
  <c r="U26" i="44" a="1"/>
  <c r="U26" i="44"/>
  <c r="V26" i="44" a="1"/>
  <c r="V26" i="44"/>
  <c r="W26" i="44" a="1"/>
  <c r="W26" i="44"/>
  <c r="Y26" i="44" a="1"/>
  <c r="Y26" i="44"/>
  <c r="Z26" i="44" a="1"/>
  <c r="Z26" i="44"/>
  <c r="AA26" i="44" a="1"/>
  <c r="AA26" i="44"/>
  <c r="AB26" i="44" a="1"/>
  <c r="AB26" i="44"/>
  <c r="AC26" i="44" a="1"/>
  <c r="AC26" i="44"/>
  <c r="AD26" i="44" a="1"/>
  <c r="AD26" i="44"/>
  <c r="AE26" i="44" a="1"/>
  <c r="AE26" i="44"/>
  <c r="AF26" i="44" a="1"/>
  <c r="AF26" i="44"/>
  <c r="AG26" i="44" a="1"/>
  <c r="AG26" i="44"/>
  <c r="AI26" i="44" a="1"/>
  <c r="AI26" i="44"/>
  <c r="AJ26" i="44" a="1"/>
  <c r="AJ26" i="44"/>
  <c r="AK26" i="44" a="1"/>
  <c r="AK26" i="44"/>
  <c r="AL26" i="44" a="1"/>
  <c r="AL26" i="44"/>
  <c r="AM26" i="44" a="1"/>
  <c r="AM26" i="44"/>
  <c r="AN26" i="44" a="1"/>
  <c r="AN26" i="44"/>
  <c r="AO26" i="44" a="1"/>
  <c r="AO26" i="44"/>
  <c r="AP26" i="44" a="1"/>
  <c r="AP26" i="44"/>
  <c r="AQ26" i="44" a="1"/>
  <c r="AQ26" i="44"/>
  <c r="AS26" i="44" a="1"/>
  <c r="AS26" i="44"/>
  <c r="AT26" i="44" a="1"/>
  <c r="AT26" i="44"/>
  <c r="AU26" i="44" a="1"/>
  <c r="AU26" i="44"/>
  <c r="AV26" i="44" a="1"/>
  <c r="AV26" i="44"/>
  <c r="AW26" i="44" a="1"/>
  <c r="AW26" i="44"/>
  <c r="AX26" i="44" a="1"/>
  <c r="AX26" i="44"/>
  <c r="AY26" i="44" a="1"/>
  <c r="AY26" i="44"/>
  <c r="AZ26" i="44" a="1"/>
  <c r="AZ26" i="44"/>
  <c r="BA26" i="44" a="1"/>
  <c r="BA26" i="44"/>
  <c r="BC26" i="44" a="1"/>
  <c r="BC26" i="44"/>
  <c r="BD26" i="44" a="1"/>
  <c r="BD26" i="44"/>
  <c r="BE26" i="44" a="1"/>
  <c r="BE26" i="44"/>
  <c r="BF26" i="44" a="1"/>
  <c r="BF26" i="44"/>
  <c r="BG26" i="44" a="1"/>
  <c r="BG26" i="44"/>
  <c r="BH26" i="44" a="1"/>
  <c r="BH26" i="44"/>
  <c r="BI26" i="44" a="1"/>
  <c r="BI26" i="44"/>
  <c r="BJ26" i="44" a="1"/>
  <c r="BJ26" i="44"/>
  <c r="BK26" i="44" a="1"/>
  <c r="BK26" i="44"/>
  <c r="BO26" i="44" a="1"/>
  <c r="BO26" i="44"/>
  <c r="BP26" i="44" a="1"/>
  <c r="BP26" i="44"/>
  <c r="BQ26" i="44" a="1"/>
  <c r="BQ26" i="44"/>
  <c r="BR26" i="44" a="1"/>
  <c r="BR26" i="44"/>
  <c r="BS26" i="44" a="1"/>
  <c r="BS26" i="44"/>
  <c r="BT26" i="44" a="1"/>
  <c r="BT26" i="44"/>
  <c r="BU26" i="44" a="1"/>
  <c r="BU26" i="44"/>
  <c r="BV26" i="44" a="1"/>
  <c r="BV26" i="44"/>
  <c r="BW26" i="44" a="1"/>
  <c r="BW26" i="44"/>
  <c r="BY26" i="44" a="1"/>
  <c r="BY26" i="44"/>
  <c r="BZ26" i="44" a="1"/>
  <c r="BZ26" i="44"/>
  <c r="CA26" i="44" a="1"/>
  <c r="CA26" i="44"/>
  <c r="CB26" i="44" a="1"/>
  <c r="CB26" i="44"/>
  <c r="CC26" i="44" a="1"/>
  <c r="CC26" i="44"/>
  <c r="CD26" i="44" a="1"/>
  <c r="CD26" i="44"/>
  <c r="CE26" i="44" a="1"/>
  <c r="CE26" i="44"/>
  <c r="CF26" i="44" a="1"/>
  <c r="CF26" i="44"/>
  <c r="CG26" i="44" a="1"/>
  <c r="CG26" i="44"/>
  <c r="CI26" i="44" a="1"/>
  <c r="CI26" i="44"/>
  <c r="CJ26" i="44" a="1"/>
  <c r="CJ26" i="44"/>
  <c r="CK26" i="44" a="1"/>
  <c r="CK26" i="44"/>
  <c r="CL26" i="44" a="1"/>
  <c r="CL26" i="44"/>
  <c r="CM26" i="44" a="1"/>
  <c r="CM26" i="44"/>
  <c r="CN26" i="44" a="1"/>
  <c r="CN26" i="44"/>
  <c r="CO26" i="44" a="1"/>
  <c r="CO26" i="44"/>
  <c r="CP26" i="44" a="1"/>
  <c r="CP26" i="44"/>
  <c r="CQ26" i="44" a="1"/>
  <c r="CQ26" i="44"/>
  <c r="CS26" i="44" a="1"/>
  <c r="CS26" i="44"/>
  <c r="CT26" i="44" a="1"/>
  <c r="CT26" i="44"/>
  <c r="CU26" i="44" a="1"/>
  <c r="CU26" i="44"/>
  <c r="CV26" i="44" a="1"/>
  <c r="CV26" i="44"/>
  <c r="CW26" i="44" a="1"/>
  <c r="CW26" i="44"/>
  <c r="CX26" i="44" a="1"/>
  <c r="CX26" i="44"/>
  <c r="CY26" i="44" a="1"/>
  <c r="CY26" i="44"/>
  <c r="CZ26" i="44" a="1"/>
  <c r="CZ26" i="44"/>
  <c r="DA26" i="44" a="1"/>
  <c r="DA26" i="44"/>
  <c r="DB26" i="44" a="1"/>
  <c r="DB26" i="44"/>
  <c r="DC26" i="44" a="1"/>
  <c r="DC26" i="44"/>
  <c r="DD26" i="44" a="1"/>
  <c r="DD26" i="44"/>
  <c r="DE26" i="44" a="1"/>
  <c r="DE26" i="44"/>
  <c r="DF26" i="44" a="1"/>
  <c r="DF26" i="44"/>
  <c r="DG26" i="44" a="1"/>
  <c r="DG26" i="44"/>
  <c r="DH26" i="44" a="1"/>
  <c r="DH26" i="44"/>
  <c r="E27" i="44" a="1"/>
  <c r="E27" i="44"/>
  <c r="F27" i="44" a="1"/>
  <c r="F27" i="44"/>
  <c r="G27" i="44" a="1"/>
  <c r="G27" i="44"/>
  <c r="H27" i="44" a="1"/>
  <c r="H27" i="44"/>
  <c r="I27" i="44" a="1"/>
  <c r="I27" i="44"/>
  <c r="J27" i="44" a="1"/>
  <c r="J27" i="44"/>
  <c r="K27" i="44" a="1"/>
  <c r="K27" i="44"/>
  <c r="L27" i="44" a="1"/>
  <c r="L27" i="44"/>
  <c r="M27" i="44" a="1"/>
  <c r="M27" i="44"/>
  <c r="O27" i="44" a="1"/>
  <c r="O27" i="44"/>
  <c r="P27" i="44" a="1"/>
  <c r="P27" i="44"/>
  <c r="Q27" i="44" a="1"/>
  <c r="Q27" i="44"/>
  <c r="R27" i="44" a="1"/>
  <c r="R27" i="44"/>
  <c r="S27" i="44" a="1"/>
  <c r="S27" i="44"/>
  <c r="T27" i="44" a="1"/>
  <c r="T27" i="44"/>
  <c r="U27" i="44" a="1"/>
  <c r="U27" i="44"/>
  <c r="V27" i="44" a="1"/>
  <c r="V27" i="44"/>
  <c r="W27" i="44" a="1"/>
  <c r="W27" i="44"/>
  <c r="Y27" i="44" a="1"/>
  <c r="Y27" i="44"/>
  <c r="Z27" i="44" a="1"/>
  <c r="Z27" i="44"/>
  <c r="AA27" i="44" a="1"/>
  <c r="AA27" i="44"/>
  <c r="AB27" i="44" a="1"/>
  <c r="AB27" i="44"/>
  <c r="AC27" i="44" a="1"/>
  <c r="AC27" i="44"/>
  <c r="AD27" i="44" a="1"/>
  <c r="AD27" i="44"/>
  <c r="AE27" i="44" a="1"/>
  <c r="AE27" i="44"/>
  <c r="AF27" i="44" a="1"/>
  <c r="AF27" i="44"/>
  <c r="AG27" i="44" a="1"/>
  <c r="AG27" i="44"/>
  <c r="AI27" i="44" a="1"/>
  <c r="AI27" i="44"/>
  <c r="AJ27" i="44" a="1"/>
  <c r="AJ27" i="44"/>
  <c r="AK27" i="44" a="1"/>
  <c r="AK27" i="44"/>
  <c r="AL27" i="44" a="1"/>
  <c r="AL27" i="44"/>
  <c r="AM27" i="44" a="1"/>
  <c r="AM27" i="44"/>
  <c r="AN27" i="44" a="1"/>
  <c r="AN27" i="44"/>
  <c r="AO27" i="44" a="1"/>
  <c r="AO27" i="44"/>
  <c r="AP27" i="44" a="1"/>
  <c r="AP27" i="44"/>
  <c r="AQ27" i="44" a="1"/>
  <c r="AQ27" i="44"/>
  <c r="AS27" i="44" a="1"/>
  <c r="AS27" i="44"/>
  <c r="AT27" i="44" a="1"/>
  <c r="AT27" i="44"/>
  <c r="AU27" i="44" a="1"/>
  <c r="AU27" i="44"/>
  <c r="AV27" i="44" a="1"/>
  <c r="AV27" i="44"/>
  <c r="AW27" i="44" a="1"/>
  <c r="AW27" i="44"/>
  <c r="AX27" i="44" a="1"/>
  <c r="AX27" i="44"/>
  <c r="AY27" i="44" a="1"/>
  <c r="AY27" i="44"/>
  <c r="AZ27" i="44" a="1"/>
  <c r="AZ27" i="44"/>
  <c r="BA27" i="44" a="1"/>
  <c r="BA27" i="44"/>
  <c r="BC27" i="44" a="1"/>
  <c r="BC27" i="44"/>
  <c r="BD27" i="44" a="1"/>
  <c r="BD27" i="44"/>
  <c r="BE27" i="44" a="1"/>
  <c r="BE27" i="44"/>
  <c r="BF27" i="44" a="1"/>
  <c r="BF27" i="44"/>
  <c r="BG27" i="44" a="1"/>
  <c r="BG27" i="44"/>
  <c r="BH27" i="44" a="1"/>
  <c r="BH27" i="44"/>
  <c r="BI27" i="44" a="1"/>
  <c r="BI27" i="44"/>
  <c r="BJ27" i="44" a="1"/>
  <c r="BJ27" i="44"/>
  <c r="BK27" i="44" a="1"/>
  <c r="BK27" i="44"/>
  <c r="BO27" i="44" a="1"/>
  <c r="BO27" i="44"/>
  <c r="BP27" i="44" a="1"/>
  <c r="BP27" i="44"/>
  <c r="BQ27" i="44" a="1"/>
  <c r="BQ27" i="44"/>
  <c r="BR27" i="44" a="1"/>
  <c r="BR27" i="44"/>
  <c r="BS27" i="44" a="1"/>
  <c r="BS27" i="44"/>
  <c r="BT27" i="44" a="1"/>
  <c r="BT27" i="44"/>
  <c r="BU27" i="44" a="1"/>
  <c r="BU27" i="44"/>
  <c r="BV27" i="44" a="1"/>
  <c r="BV27" i="44"/>
  <c r="BW27" i="44" a="1"/>
  <c r="BW27" i="44"/>
  <c r="BY27" i="44" a="1"/>
  <c r="BY27" i="44"/>
  <c r="BZ27" i="44" a="1"/>
  <c r="BZ27" i="44"/>
  <c r="CA27" i="44" a="1"/>
  <c r="CA27" i="44"/>
  <c r="CB27" i="44" a="1"/>
  <c r="CB27" i="44"/>
  <c r="CC27" i="44" a="1"/>
  <c r="CC27" i="44"/>
  <c r="CD27" i="44" a="1"/>
  <c r="CD27" i="44"/>
  <c r="CE27" i="44" a="1"/>
  <c r="CE27" i="44"/>
  <c r="CF27" i="44" a="1"/>
  <c r="CF27" i="44"/>
  <c r="CG27" i="44" a="1"/>
  <c r="CG27" i="44"/>
  <c r="CI27" i="44" a="1"/>
  <c r="CI27" i="44"/>
  <c r="CJ27" i="44" a="1"/>
  <c r="CJ27" i="44"/>
  <c r="CK27" i="44" a="1"/>
  <c r="CK27" i="44"/>
  <c r="CL27" i="44" a="1"/>
  <c r="CL27" i="44"/>
  <c r="CM27" i="44" a="1"/>
  <c r="CM27" i="44"/>
  <c r="CN27" i="44" a="1"/>
  <c r="CN27" i="44"/>
  <c r="CO27" i="44" a="1"/>
  <c r="CO27" i="44"/>
  <c r="CP27" i="44" a="1"/>
  <c r="CP27" i="44"/>
  <c r="CQ27" i="44" a="1"/>
  <c r="CQ27" i="44"/>
  <c r="CS27" i="44" a="1"/>
  <c r="CS27" i="44"/>
  <c r="CT27" i="44" a="1"/>
  <c r="CT27" i="44"/>
  <c r="CU27" i="44" a="1"/>
  <c r="CU27" i="44"/>
  <c r="CV27" i="44" a="1"/>
  <c r="CV27" i="44"/>
  <c r="CW27" i="44" a="1"/>
  <c r="CW27" i="44"/>
  <c r="CX27" i="44" a="1"/>
  <c r="CX27" i="44"/>
  <c r="CY27" i="44" a="1"/>
  <c r="CY27" i="44"/>
  <c r="CZ27" i="44" a="1"/>
  <c r="CZ27" i="44"/>
  <c r="DA27" i="44" a="1"/>
  <c r="DA27" i="44"/>
  <c r="DB27" i="44" a="1"/>
  <c r="DB27" i="44"/>
  <c r="DC27" i="44" a="1"/>
  <c r="DC27" i="44"/>
  <c r="DD27" i="44" a="1"/>
  <c r="DD27" i="44"/>
  <c r="DE27" i="44" a="1"/>
  <c r="DE27" i="44"/>
  <c r="DF27" i="44" a="1"/>
  <c r="DF27" i="44"/>
  <c r="DG27" i="44" a="1"/>
  <c r="DG27" i="44"/>
  <c r="DH27" i="44" a="1"/>
  <c r="DH27" i="44"/>
  <c r="E28" i="44" a="1"/>
  <c r="E28" i="44"/>
  <c r="F28" i="44" a="1"/>
  <c r="F28" i="44"/>
  <c r="G28" i="44" a="1"/>
  <c r="G28" i="44"/>
  <c r="H28" i="44" a="1"/>
  <c r="H28" i="44"/>
  <c r="I28" i="44" a="1"/>
  <c r="I28" i="44"/>
  <c r="J28" i="44" a="1"/>
  <c r="J28" i="44"/>
  <c r="K28" i="44" a="1"/>
  <c r="K28" i="44"/>
  <c r="L28" i="44" a="1"/>
  <c r="L28" i="44"/>
  <c r="M28" i="44" a="1"/>
  <c r="M28" i="44"/>
  <c r="N28" i="44"/>
  <c r="O28" i="44" a="1"/>
  <c r="O28" i="44"/>
  <c r="P28" i="44" a="1"/>
  <c r="P28" i="44"/>
  <c r="Q28" i="44" a="1"/>
  <c r="Q28" i="44"/>
  <c r="R28" i="44" a="1"/>
  <c r="R28" i="44"/>
  <c r="S28" i="44" a="1"/>
  <c r="S28" i="44"/>
  <c r="T28" i="44" a="1"/>
  <c r="T28" i="44"/>
  <c r="U28" i="44" a="1"/>
  <c r="U28" i="44"/>
  <c r="V28" i="44" a="1"/>
  <c r="V28" i="44"/>
  <c r="W28" i="44" a="1"/>
  <c r="W28" i="44"/>
  <c r="Y28" i="44" a="1"/>
  <c r="Y28" i="44"/>
  <c r="Z28" i="44" a="1"/>
  <c r="Z28" i="44"/>
  <c r="AA28" i="44" a="1"/>
  <c r="AA28" i="44"/>
  <c r="AB28" i="44" a="1"/>
  <c r="AB28" i="44"/>
  <c r="AC28" i="44" a="1"/>
  <c r="AC28" i="44"/>
  <c r="AD28" i="44" a="1"/>
  <c r="AD28" i="44"/>
  <c r="AE28" i="44" a="1"/>
  <c r="AE28" i="44"/>
  <c r="AF28" i="44" a="1"/>
  <c r="AF28" i="44"/>
  <c r="AG28" i="44" a="1"/>
  <c r="AG28" i="44"/>
  <c r="AI28" i="44" a="1"/>
  <c r="AI28" i="44"/>
  <c r="AJ28" i="44" a="1"/>
  <c r="AJ28" i="44"/>
  <c r="AK28" i="44" a="1"/>
  <c r="AK28" i="44"/>
  <c r="AL28" i="44" a="1"/>
  <c r="AL28" i="44"/>
  <c r="AM28" i="44" a="1"/>
  <c r="AM28" i="44"/>
  <c r="AN28" i="44" a="1"/>
  <c r="AN28" i="44"/>
  <c r="AO28" i="44" a="1"/>
  <c r="AO28" i="44"/>
  <c r="AP28" i="44" a="1"/>
  <c r="AP28" i="44"/>
  <c r="AQ28" i="44" a="1"/>
  <c r="AQ28" i="44"/>
  <c r="AS28" i="44" a="1"/>
  <c r="AS28" i="44"/>
  <c r="AT28" i="44" a="1"/>
  <c r="AT28" i="44"/>
  <c r="AU28" i="44" a="1"/>
  <c r="AU28" i="44"/>
  <c r="AV28" i="44" a="1"/>
  <c r="AV28" i="44"/>
  <c r="AW28" i="44" a="1"/>
  <c r="AW28" i="44"/>
  <c r="AX28" i="44" a="1"/>
  <c r="AX28" i="44"/>
  <c r="AY28" i="44" a="1"/>
  <c r="AY28" i="44"/>
  <c r="AZ28" i="44" a="1"/>
  <c r="AZ28" i="44"/>
  <c r="BA28" i="44" a="1"/>
  <c r="BA28" i="44"/>
  <c r="BC28" i="44" a="1"/>
  <c r="BC28" i="44"/>
  <c r="BD28" i="44" a="1"/>
  <c r="BD28" i="44"/>
  <c r="BE28" i="44" a="1"/>
  <c r="BE28" i="44"/>
  <c r="BF28" i="44" a="1"/>
  <c r="BF28" i="44"/>
  <c r="BG28" i="44" a="1"/>
  <c r="BG28" i="44"/>
  <c r="BH28" i="44" a="1"/>
  <c r="BH28" i="44"/>
  <c r="BI28" i="44" a="1"/>
  <c r="BI28" i="44"/>
  <c r="BJ28" i="44" a="1"/>
  <c r="BJ28" i="44"/>
  <c r="BK28" i="44" a="1"/>
  <c r="BK28" i="44"/>
  <c r="BO28" i="44" a="1"/>
  <c r="BO28" i="44"/>
  <c r="BP28" i="44" a="1"/>
  <c r="BP28" i="44"/>
  <c r="BQ28" i="44" a="1"/>
  <c r="BQ28" i="44"/>
  <c r="BR28" i="44" a="1"/>
  <c r="BR28" i="44"/>
  <c r="BS28" i="44" a="1"/>
  <c r="BS28" i="44"/>
  <c r="BT28" i="44" a="1"/>
  <c r="BT28" i="44"/>
  <c r="BU28" i="44" a="1"/>
  <c r="BU28" i="44"/>
  <c r="BV28" i="44" a="1"/>
  <c r="BV28" i="44"/>
  <c r="BW28" i="44" a="1"/>
  <c r="BW28" i="44"/>
  <c r="BY28" i="44" a="1"/>
  <c r="BY28" i="44"/>
  <c r="BZ28" i="44" a="1"/>
  <c r="BZ28" i="44"/>
  <c r="CA28" i="44" a="1"/>
  <c r="CA28" i="44"/>
  <c r="CB28" i="44" a="1"/>
  <c r="CB28" i="44"/>
  <c r="CC28" i="44" a="1"/>
  <c r="CC28" i="44"/>
  <c r="CD28" i="44" a="1"/>
  <c r="CD28" i="44"/>
  <c r="CE28" i="44" a="1"/>
  <c r="CE28" i="44"/>
  <c r="CF28" i="44" a="1"/>
  <c r="CF28" i="44"/>
  <c r="CG28" i="44" a="1"/>
  <c r="CG28" i="44"/>
  <c r="CI28" i="44" a="1"/>
  <c r="CI28" i="44"/>
  <c r="CJ28" i="44" a="1"/>
  <c r="CJ28" i="44"/>
  <c r="CK28" i="44" a="1"/>
  <c r="CK28" i="44"/>
  <c r="CL28" i="44" a="1"/>
  <c r="CL28" i="44"/>
  <c r="CM28" i="44" a="1"/>
  <c r="CM28" i="44"/>
  <c r="CN28" i="44" a="1"/>
  <c r="CN28" i="44"/>
  <c r="CO28" i="44" a="1"/>
  <c r="CO28" i="44"/>
  <c r="CP28" i="44" a="1"/>
  <c r="CP28" i="44"/>
  <c r="CQ28" i="44" a="1"/>
  <c r="CQ28" i="44"/>
  <c r="CS28" i="44" a="1"/>
  <c r="CS28" i="44"/>
  <c r="CT28" i="44" a="1"/>
  <c r="CT28" i="44"/>
  <c r="CU28" i="44" a="1"/>
  <c r="CU28" i="44"/>
  <c r="CV28" i="44" a="1"/>
  <c r="CV28" i="44"/>
  <c r="CW28" i="44" a="1"/>
  <c r="CW28" i="44"/>
  <c r="CX28" i="44" a="1"/>
  <c r="CX28" i="44"/>
  <c r="CY28" i="44" a="1"/>
  <c r="CY28" i="44"/>
  <c r="CZ28" i="44" a="1"/>
  <c r="CZ28" i="44"/>
  <c r="DA28" i="44" a="1"/>
  <c r="DA28" i="44"/>
  <c r="DB28" i="44" a="1"/>
  <c r="DB28" i="44"/>
  <c r="DC28" i="44" a="1"/>
  <c r="DC28" i="44"/>
  <c r="DD28" i="44" a="1"/>
  <c r="DD28" i="44"/>
  <c r="DE28" i="44" a="1"/>
  <c r="DE28" i="44"/>
  <c r="DF28" i="44" a="1"/>
  <c r="DF28" i="44"/>
  <c r="DG28" i="44" a="1"/>
  <c r="DG28" i="44"/>
  <c r="DH28" i="44" a="1"/>
  <c r="DH28" i="44"/>
  <c r="E29" i="44" a="1"/>
  <c r="E29" i="44"/>
  <c r="F29" i="44" a="1"/>
  <c r="F29" i="44"/>
  <c r="G29" i="44" a="1"/>
  <c r="G29" i="44"/>
  <c r="H29" i="44" a="1"/>
  <c r="H29" i="44"/>
  <c r="I29" i="44" a="1"/>
  <c r="I29" i="44"/>
  <c r="J29" i="44" a="1"/>
  <c r="J29" i="44"/>
  <c r="K29" i="44" a="1"/>
  <c r="K29" i="44"/>
  <c r="L29" i="44" a="1"/>
  <c r="L29" i="44"/>
  <c r="M29" i="44" a="1"/>
  <c r="M29" i="44"/>
  <c r="N29" i="44"/>
  <c r="O29" i="44" a="1"/>
  <c r="O29" i="44"/>
  <c r="P29" i="44" a="1"/>
  <c r="P29" i="44"/>
  <c r="Q29" i="44" a="1"/>
  <c r="Q29" i="44"/>
  <c r="R29" i="44" a="1"/>
  <c r="R29" i="44"/>
  <c r="S29" i="44" a="1"/>
  <c r="S29" i="44"/>
  <c r="T29" i="44" a="1"/>
  <c r="T29" i="44"/>
  <c r="U29" i="44" a="1"/>
  <c r="U29" i="44"/>
  <c r="V29" i="44" a="1"/>
  <c r="V29" i="44"/>
  <c r="W29" i="44" a="1"/>
  <c r="W29" i="44"/>
  <c r="Y29" i="44" a="1"/>
  <c r="Y29" i="44"/>
  <c r="Z29" i="44" a="1"/>
  <c r="Z29" i="44"/>
  <c r="AA29" i="44" a="1"/>
  <c r="AA29" i="44"/>
  <c r="AB29" i="44" a="1"/>
  <c r="AB29" i="44"/>
  <c r="AC29" i="44" a="1"/>
  <c r="AC29" i="44"/>
  <c r="AD29" i="44" a="1"/>
  <c r="AD29" i="44"/>
  <c r="AE29" i="44" a="1"/>
  <c r="AE29" i="44"/>
  <c r="AF29" i="44" a="1"/>
  <c r="AF29" i="44"/>
  <c r="AG29" i="44" a="1"/>
  <c r="AG29" i="44"/>
  <c r="AI29" i="44" a="1"/>
  <c r="AI29" i="44"/>
  <c r="AJ29" i="44" a="1"/>
  <c r="AJ29" i="44"/>
  <c r="AK29" i="44" a="1"/>
  <c r="AK29" i="44"/>
  <c r="AL29" i="44" a="1"/>
  <c r="AL29" i="44"/>
  <c r="AM29" i="44" a="1"/>
  <c r="AM29" i="44"/>
  <c r="AN29" i="44" a="1"/>
  <c r="AN29" i="44"/>
  <c r="AO29" i="44" a="1"/>
  <c r="AO29" i="44"/>
  <c r="AP29" i="44" a="1"/>
  <c r="AP29" i="44"/>
  <c r="AQ29" i="44" a="1"/>
  <c r="AQ29" i="44"/>
  <c r="AS29" i="44" a="1"/>
  <c r="AS29" i="44"/>
  <c r="AT29" i="44" a="1"/>
  <c r="AT29" i="44"/>
  <c r="AU29" i="44" a="1"/>
  <c r="AU29" i="44"/>
  <c r="AV29" i="44" a="1"/>
  <c r="AV29" i="44"/>
  <c r="AW29" i="44" a="1"/>
  <c r="AW29" i="44"/>
  <c r="AX29" i="44" a="1"/>
  <c r="AX29" i="44"/>
  <c r="AY29" i="44" a="1"/>
  <c r="AY29" i="44"/>
  <c r="AZ29" i="44" a="1"/>
  <c r="AZ29" i="44"/>
  <c r="BA29" i="44" a="1"/>
  <c r="BA29" i="44"/>
  <c r="BC29" i="44" a="1"/>
  <c r="BC29" i="44"/>
  <c r="BD29" i="44" a="1"/>
  <c r="BD29" i="44"/>
  <c r="BE29" i="44" a="1"/>
  <c r="BE29" i="44"/>
  <c r="BF29" i="44" a="1"/>
  <c r="BF29" i="44"/>
  <c r="BG29" i="44" a="1"/>
  <c r="BG29" i="44"/>
  <c r="BH29" i="44" a="1"/>
  <c r="BH29" i="44"/>
  <c r="BI29" i="44" a="1"/>
  <c r="BI29" i="44"/>
  <c r="BJ29" i="44" a="1"/>
  <c r="BJ29" i="44"/>
  <c r="BK29" i="44" a="1"/>
  <c r="BK29" i="44"/>
  <c r="BO29" i="44" a="1"/>
  <c r="BO29" i="44"/>
  <c r="BP29" i="44" a="1"/>
  <c r="BP29" i="44"/>
  <c r="BQ29" i="44" a="1"/>
  <c r="BQ29" i="44"/>
  <c r="BR29" i="44" a="1"/>
  <c r="BR29" i="44"/>
  <c r="BS29" i="44" a="1"/>
  <c r="BS29" i="44"/>
  <c r="BT29" i="44" a="1"/>
  <c r="BT29" i="44"/>
  <c r="BU29" i="44" a="1"/>
  <c r="BU29" i="44"/>
  <c r="BV29" i="44" a="1"/>
  <c r="BV29" i="44"/>
  <c r="BW29" i="44" a="1"/>
  <c r="BW29" i="44"/>
  <c r="BY29" i="44" a="1"/>
  <c r="BY29" i="44"/>
  <c r="BZ29" i="44" a="1"/>
  <c r="BZ29" i="44"/>
  <c r="CA29" i="44" a="1"/>
  <c r="CA29" i="44"/>
  <c r="CB29" i="44" a="1"/>
  <c r="CB29" i="44"/>
  <c r="CC29" i="44" a="1"/>
  <c r="CC29" i="44"/>
  <c r="CD29" i="44" a="1"/>
  <c r="CD29" i="44"/>
  <c r="CE29" i="44" a="1"/>
  <c r="CE29" i="44"/>
  <c r="CF29" i="44" a="1"/>
  <c r="CF29" i="44"/>
  <c r="CG29" i="44" a="1"/>
  <c r="CG29" i="44"/>
  <c r="CI29" i="44" a="1"/>
  <c r="CI29" i="44"/>
  <c r="CJ29" i="44" a="1"/>
  <c r="CJ29" i="44"/>
  <c r="CK29" i="44" a="1"/>
  <c r="CK29" i="44"/>
  <c r="CL29" i="44" a="1"/>
  <c r="CL29" i="44"/>
  <c r="CM29" i="44" a="1"/>
  <c r="CM29" i="44"/>
  <c r="CN29" i="44" a="1"/>
  <c r="CN29" i="44"/>
  <c r="CO29" i="44" a="1"/>
  <c r="CO29" i="44"/>
  <c r="CP29" i="44" a="1"/>
  <c r="CP29" i="44"/>
  <c r="CQ29" i="44" a="1"/>
  <c r="CQ29" i="44"/>
  <c r="CS29" i="44" a="1"/>
  <c r="CS29" i="44"/>
  <c r="CT29" i="44" a="1"/>
  <c r="CT29" i="44"/>
  <c r="CU29" i="44" a="1"/>
  <c r="CU29" i="44"/>
  <c r="CV29" i="44" a="1"/>
  <c r="CV29" i="44"/>
  <c r="CW29" i="44" a="1"/>
  <c r="CW29" i="44"/>
  <c r="CX29" i="44" a="1"/>
  <c r="CX29" i="44"/>
  <c r="CY29" i="44" a="1"/>
  <c r="CY29" i="44"/>
  <c r="CZ29" i="44" a="1"/>
  <c r="CZ29" i="44"/>
  <c r="DA29" i="44" a="1"/>
  <c r="DA29" i="44"/>
  <c r="DB29" i="44" a="1"/>
  <c r="DB29" i="44"/>
  <c r="DC29" i="44" a="1"/>
  <c r="DC29" i="44"/>
  <c r="DD29" i="44" a="1"/>
  <c r="DD29" i="44"/>
  <c r="DE29" i="44" a="1"/>
  <c r="DE29" i="44"/>
  <c r="DF29" i="44" a="1"/>
  <c r="DF29" i="44"/>
  <c r="DG29" i="44" a="1"/>
  <c r="DG29" i="44"/>
  <c r="DH29" i="44" a="1"/>
  <c r="DH29" i="44"/>
  <c r="E30" i="44" a="1"/>
  <c r="E30" i="44"/>
  <c r="F30" i="44" a="1"/>
  <c r="F30" i="44"/>
  <c r="G30" i="44" a="1"/>
  <c r="G30" i="44"/>
  <c r="H30" i="44" a="1"/>
  <c r="H30" i="44"/>
  <c r="I30" i="44" a="1"/>
  <c r="I30" i="44"/>
  <c r="J30" i="44" a="1"/>
  <c r="J30" i="44"/>
  <c r="K30" i="44" a="1"/>
  <c r="K30" i="44"/>
  <c r="L30" i="44" a="1"/>
  <c r="L30" i="44"/>
  <c r="M30" i="44" a="1"/>
  <c r="M30" i="44"/>
  <c r="N30" i="44"/>
  <c r="O30" i="44" a="1"/>
  <c r="O30" i="44"/>
  <c r="P30" i="44" a="1"/>
  <c r="P30" i="44"/>
  <c r="Q30" i="44" a="1"/>
  <c r="Q30" i="44"/>
  <c r="R30" i="44" a="1"/>
  <c r="R30" i="44"/>
  <c r="S30" i="44" a="1"/>
  <c r="S30" i="44"/>
  <c r="T30" i="44" a="1"/>
  <c r="T30" i="44"/>
  <c r="U30" i="44" a="1"/>
  <c r="U30" i="44"/>
  <c r="V30" i="44" a="1"/>
  <c r="V30" i="44"/>
  <c r="W30" i="44" a="1"/>
  <c r="W30" i="44"/>
  <c r="Y30" i="44" a="1"/>
  <c r="Y30" i="44"/>
  <c r="Z30" i="44" a="1"/>
  <c r="Z30" i="44"/>
  <c r="AA30" i="44" a="1"/>
  <c r="AA30" i="44"/>
  <c r="AB30" i="44" a="1"/>
  <c r="AB30" i="44"/>
  <c r="AC30" i="44" a="1"/>
  <c r="AC30" i="44"/>
  <c r="AD30" i="44" a="1"/>
  <c r="AD30" i="44"/>
  <c r="AE30" i="44" a="1"/>
  <c r="AE30" i="44"/>
  <c r="AF30" i="44" a="1"/>
  <c r="AF30" i="44"/>
  <c r="AG30" i="44" a="1"/>
  <c r="AG30" i="44"/>
  <c r="AI30" i="44" a="1"/>
  <c r="AI30" i="44"/>
  <c r="AJ30" i="44" a="1"/>
  <c r="AJ30" i="44"/>
  <c r="AK30" i="44" a="1"/>
  <c r="AK30" i="44"/>
  <c r="AL30" i="44" a="1"/>
  <c r="AL30" i="44"/>
  <c r="AM30" i="44" a="1"/>
  <c r="AM30" i="44"/>
  <c r="AN30" i="44" a="1"/>
  <c r="AN30" i="44"/>
  <c r="AO30" i="44" a="1"/>
  <c r="AO30" i="44"/>
  <c r="AP30" i="44" a="1"/>
  <c r="AP30" i="44"/>
  <c r="AQ30" i="44" a="1"/>
  <c r="AQ30" i="44"/>
  <c r="AS30" i="44" a="1"/>
  <c r="AS30" i="44"/>
  <c r="AT30" i="44" a="1"/>
  <c r="AT30" i="44"/>
  <c r="AU30" i="44" a="1"/>
  <c r="AU30" i="44"/>
  <c r="AV30" i="44" a="1"/>
  <c r="AV30" i="44"/>
  <c r="AW30" i="44" a="1"/>
  <c r="AW30" i="44"/>
  <c r="AX30" i="44" a="1"/>
  <c r="AX30" i="44"/>
  <c r="AY30" i="44" a="1"/>
  <c r="AY30" i="44"/>
  <c r="AZ30" i="44" a="1"/>
  <c r="AZ30" i="44"/>
  <c r="BA30" i="44" a="1"/>
  <c r="BA30" i="44"/>
  <c r="BC30" i="44" a="1"/>
  <c r="BC30" i="44"/>
  <c r="BD30" i="44" a="1"/>
  <c r="BD30" i="44"/>
  <c r="BE30" i="44" a="1"/>
  <c r="BE30" i="44"/>
  <c r="BF30" i="44" a="1"/>
  <c r="BF30" i="44"/>
  <c r="BG30" i="44" a="1"/>
  <c r="BG30" i="44"/>
  <c r="BH30" i="44" a="1"/>
  <c r="BH30" i="44"/>
  <c r="BI30" i="44" a="1"/>
  <c r="BI30" i="44"/>
  <c r="BJ30" i="44" a="1"/>
  <c r="BJ30" i="44"/>
  <c r="BK30" i="44" a="1"/>
  <c r="BK30" i="44"/>
  <c r="BO30" i="44" a="1"/>
  <c r="BO30" i="44"/>
  <c r="BP30" i="44" a="1"/>
  <c r="BP30" i="44"/>
  <c r="BQ30" i="44" a="1"/>
  <c r="BQ30" i="44"/>
  <c r="BR30" i="44" a="1"/>
  <c r="BR30" i="44"/>
  <c r="BS30" i="44" a="1"/>
  <c r="BS30" i="44"/>
  <c r="BT30" i="44" a="1"/>
  <c r="BT30" i="44"/>
  <c r="BU30" i="44" a="1"/>
  <c r="BU30" i="44"/>
  <c r="BV30" i="44" a="1"/>
  <c r="BV30" i="44"/>
  <c r="BW30" i="44" a="1"/>
  <c r="BW30" i="44"/>
  <c r="BY30" i="44" a="1"/>
  <c r="BY30" i="44"/>
  <c r="BZ30" i="44" a="1"/>
  <c r="BZ30" i="44"/>
  <c r="CA30" i="44" a="1"/>
  <c r="CA30" i="44"/>
  <c r="CB30" i="44" a="1"/>
  <c r="CB30" i="44"/>
  <c r="CC30" i="44" a="1"/>
  <c r="CC30" i="44"/>
  <c r="CD30" i="44" a="1"/>
  <c r="CD30" i="44"/>
  <c r="CE30" i="44" a="1"/>
  <c r="CE30" i="44"/>
  <c r="CF30" i="44" a="1"/>
  <c r="CF30" i="44"/>
  <c r="CG30" i="44" a="1"/>
  <c r="CG30" i="44"/>
  <c r="CI30" i="44" a="1"/>
  <c r="CI30" i="44"/>
  <c r="CJ30" i="44" a="1"/>
  <c r="CJ30" i="44"/>
  <c r="CK30" i="44" a="1"/>
  <c r="CK30" i="44"/>
  <c r="CL30" i="44" a="1"/>
  <c r="CL30" i="44"/>
  <c r="CM30" i="44" a="1"/>
  <c r="CM30" i="44"/>
  <c r="CN30" i="44" a="1"/>
  <c r="CN30" i="44"/>
  <c r="CO30" i="44" a="1"/>
  <c r="CO30" i="44"/>
  <c r="CP30" i="44" a="1"/>
  <c r="CP30" i="44"/>
  <c r="CQ30" i="44" a="1"/>
  <c r="CQ30" i="44"/>
  <c r="CS30" i="44" a="1"/>
  <c r="CS30" i="44"/>
  <c r="CT30" i="44" a="1"/>
  <c r="CT30" i="44"/>
  <c r="CU30" i="44" a="1"/>
  <c r="CU30" i="44"/>
  <c r="CV30" i="44" a="1"/>
  <c r="CV30" i="44"/>
  <c r="CW30" i="44" a="1"/>
  <c r="CW30" i="44"/>
  <c r="CX30" i="44" a="1"/>
  <c r="CX30" i="44"/>
  <c r="CY30" i="44" a="1"/>
  <c r="CY30" i="44"/>
  <c r="CZ30" i="44" a="1"/>
  <c r="CZ30" i="44"/>
  <c r="DA30" i="44" a="1"/>
  <c r="DA30" i="44"/>
  <c r="DB30" i="44" a="1"/>
  <c r="DB30" i="44"/>
  <c r="DC30" i="44" a="1"/>
  <c r="DC30" i="44"/>
  <c r="DD30" i="44" a="1"/>
  <c r="DD30" i="44"/>
  <c r="DE30" i="44" a="1"/>
  <c r="DE30" i="44"/>
  <c r="DF30" i="44" a="1"/>
  <c r="DF30" i="44"/>
  <c r="DG30" i="44" a="1"/>
  <c r="DG30" i="44"/>
  <c r="DH30" i="44" a="1"/>
  <c r="DH30" i="44"/>
  <c r="E31" i="44" a="1"/>
  <c r="E31" i="44"/>
  <c r="F31" i="44" a="1"/>
  <c r="F31" i="44"/>
  <c r="G31" i="44" a="1"/>
  <c r="G31" i="44"/>
  <c r="H31" i="44" a="1"/>
  <c r="H31" i="44"/>
  <c r="I31" i="44" a="1"/>
  <c r="I31" i="44"/>
  <c r="J31" i="44" a="1"/>
  <c r="J31" i="44"/>
  <c r="K31" i="44" a="1"/>
  <c r="K31" i="44"/>
  <c r="L31" i="44" a="1"/>
  <c r="L31" i="44"/>
  <c r="M31" i="44" a="1"/>
  <c r="M31" i="44"/>
  <c r="N31" i="44"/>
  <c r="O31" i="44" a="1"/>
  <c r="O31" i="44"/>
  <c r="P31" i="44" a="1"/>
  <c r="P31" i="44"/>
  <c r="Q31" i="44" a="1"/>
  <c r="Q31" i="44"/>
  <c r="R31" i="44" a="1"/>
  <c r="R31" i="44"/>
  <c r="S31" i="44" a="1"/>
  <c r="S31" i="44"/>
  <c r="T31" i="44" a="1"/>
  <c r="T31" i="44"/>
  <c r="U31" i="44" a="1"/>
  <c r="U31" i="44"/>
  <c r="V31" i="44" a="1"/>
  <c r="V31" i="44"/>
  <c r="W31" i="44" a="1"/>
  <c r="W31" i="44"/>
  <c r="Y31" i="44" a="1"/>
  <c r="Y31" i="44"/>
  <c r="Z31" i="44" a="1"/>
  <c r="Z31" i="44"/>
  <c r="AA31" i="44" a="1"/>
  <c r="AA31" i="44"/>
  <c r="AB31" i="44" a="1"/>
  <c r="AB31" i="44"/>
  <c r="AC31" i="44" a="1"/>
  <c r="AC31" i="44"/>
  <c r="AD31" i="44" a="1"/>
  <c r="AD31" i="44"/>
  <c r="AE31" i="44" a="1"/>
  <c r="AE31" i="44"/>
  <c r="AF31" i="44" a="1"/>
  <c r="AF31" i="44"/>
  <c r="AG31" i="44" a="1"/>
  <c r="AG31" i="44"/>
  <c r="AI31" i="44" a="1"/>
  <c r="AI31" i="44"/>
  <c r="AJ31" i="44" a="1"/>
  <c r="AJ31" i="44"/>
  <c r="AK31" i="44" a="1"/>
  <c r="AK31" i="44"/>
  <c r="AL31" i="44" a="1"/>
  <c r="AL31" i="44"/>
  <c r="AM31" i="44" a="1"/>
  <c r="AM31" i="44"/>
  <c r="AN31" i="44" a="1"/>
  <c r="AN31" i="44"/>
  <c r="AO31" i="44" a="1"/>
  <c r="AO31" i="44"/>
  <c r="AP31" i="44" a="1"/>
  <c r="AP31" i="44"/>
  <c r="AQ31" i="44" a="1"/>
  <c r="AQ31" i="44"/>
  <c r="AS31" i="44" a="1"/>
  <c r="AS31" i="44"/>
  <c r="AT31" i="44" a="1"/>
  <c r="AT31" i="44"/>
  <c r="AU31" i="44" a="1"/>
  <c r="AU31" i="44"/>
  <c r="AV31" i="44" a="1"/>
  <c r="AV31" i="44"/>
  <c r="AW31" i="44" a="1"/>
  <c r="AW31" i="44"/>
  <c r="AX31" i="44" a="1"/>
  <c r="AX31" i="44"/>
  <c r="AY31" i="44" a="1"/>
  <c r="AY31" i="44"/>
  <c r="AZ31" i="44" a="1"/>
  <c r="AZ31" i="44"/>
  <c r="BA31" i="44" a="1"/>
  <c r="BA31" i="44"/>
  <c r="BC31" i="44" a="1"/>
  <c r="BC31" i="44"/>
  <c r="BD31" i="44" a="1"/>
  <c r="BD31" i="44"/>
  <c r="BE31" i="44" a="1"/>
  <c r="BE31" i="44"/>
  <c r="BF31" i="44" a="1"/>
  <c r="BF31" i="44"/>
  <c r="BG31" i="44" a="1"/>
  <c r="BG31" i="44"/>
  <c r="BH31" i="44" a="1"/>
  <c r="BH31" i="44"/>
  <c r="BI31" i="44" a="1"/>
  <c r="BI31" i="44"/>
  <c r="BJ31" i="44" a="1"/>
  <c r="BJ31" i="44"/>
  <c r="BK31" i="44" a="1"/>
  <c r="BK31" i="44"/>
  <c r="BO31" i="44" a="1"/>
  <c r="BO31" i="44"/>
  <c r="BP31" i="44" a="1"/>
  <c r="BP31" i="44"/>
  <c r="BQ31" i="44" a="1"/>
  <c r="BQ31" i="44"/>
  <c r="BR31" i="44" a="1"/>
  <c r="BR31" i="44"/>
  <c r="BS31" i="44" a="1"/>
  <c r="BS31" i="44"/>
  <c r="BT31" i="44" a="1"/>
  <c r="BT31" i="44"/>
  <c r="BU31" i="44" a="1"/>
  <c r="BU31" i="44"/>
  <c r="BV31" i="44" a="1"/>
  <c r="BV31" i="44"/>
  <c r="BW31" i="44" a="1"/>
  <c r="BW31" i="44"/>
  <c r="BY31" i="44" a="1"/>
  <c r="BY31" i="44"/>
  <c r="BZ31" i="44" a="1"/>
  <c r="BZ31" i="44"/>
  <c r="CA31" i="44" a="1"/>
  <c r="CA31" i="44"/>
  <c r="CB31" i="44" a="1"/>
  <c r="CB31" i="44"/>
  <c r="CC31" i="44" a="1"/>
  <c r="CC31" i="44"/>
  <c r="CD31" i="44" a="1"/>
  <c r="CD31" i="44"/>
  <c r="CE31" i="44" a="1"/>
  <c r="CE31" i="44"/>
  <c r="CF31" i="44" a="1"/>
  <c r="CF31" i="44"/>
  <c r="CG31" i="44" a="1"/>
  <c r="CG31" i="44"/>
  <c r="CI31" i="44" a="1"/>
  <c r="CI31" i="44"/>
  <c r="CJ31" i="44" a="1"/>
  <c r="CJ31" i="44"/>
  <c r="CK31" i="44" a="1"/>
  <c r="CK31" i="44"/>
  <c r="CL31" i="44" a="1"/>
  <c r="CL31" i="44"/>
  <c r="CM31" i="44" a="1"/>
  <c r="CM31" i="44"/>
  <c r="CN31" i="44" a="1"/>
  <c r="CN31" i="44"/>
  <c r="CO31" i="44" a="1"/>
  <c r="CO31" i="44"/>
  <c r="CP31" i="44" a="1"/>
  <c r="CP31" i="44"/>
  <c r="CQ31" i="44" a="1"/>
  <c r="CQ31" i="44"/>
  <c r="CS31" i="44" a="1"/>
  <c r="CS31" i="44"/>
  <c r="CT31" i="44" a="1"/>
  <c r="CT31" i="44"/>
  <c r="CU31" i="44" a="1"/>
  <c r="CU31" i="44"/>
  <c r="CV31" i="44" a="1"/>
  <c r="CV31" i="44"/>
  <c r="CW31" i="44" a="1"/>
  <c r="CW31" i="44"/>
  <c r="CX31" i="44" a="1"/>
  <c r="CX31" i="44"/>
  <c r="CY31" i="44" a="1"/>
  <c r="CY31" i="44"/>
  <c r="CZ31" i="44" a="1"/>
  <c r="CZ31" i="44"/>
  <c r="DA31" i="44" a="1"/>
  <c r="DA31" i="44"/>
  <c r="DB31" i="44" a="1"/>
  <c r="DB31" i="44"/>
  <c r="DC31" i="44" a="1"/>
  <c r="DC31" i="44"/>
  <c r="DD31" i="44" a="1"/>
  <c r="DD31" i="44"/>
  <c r="DE31" i="44" a="1"/>
  <c r="DE31" i="44"/>
  <c r="DF31" i="44" a="1"/>
  <c r="DF31" i="44"/>
  <c r="DG31" i="44" a="1"/>
  <c r="DG31" i="44"/>
  <c r="DH31" i="44" a="1"/>
  <c r="DH31" i="44"/>
  <c r="E32" i="44" a="1"/>
  <c r="E32" i="44"/>
  <c r="F32" i="44" a="1"/>
  <c r="F32" i="44"/>
  <c r="G32" i="44" a="1"/>
  <c r="G32" i="44"/>
  <c r="H32" i="44" a="1"/>
  <c r="H32" i="44"/>
  <c r="I32" i="44" a="1"/>
  <c r="I32" i="44"/>
  <c r="J32" i="44" a="1"/>
  <c r="J32" i="44"/>
  <c r="K32" i="44" a="1"/>
  <c r="K32" i="44"/>
  <c r="L32" i="44" a="1"/>
  <c r="L32" i="44"/>
  <c r="M32" i="44" a="1"/>
  <c r="M32" i="44"/>
  <c r="N32" i="44"/>
  <c r="O32" i="44" a="1"/>
  <c r="O32" i="44"/>
  <c r="P32" i="44" a="1"/>
  <c r="P32" i="44"/>
  <c r="Q32" i="44" a="1"/>
  <c r="Q32" i="44"/>
  <c r="R32" i="44" a="1"/>
  <c r="R32" i="44"/>
  <c r="S32" i="44" a="1"/>
  <c r="S32" i="44"/>
  <c r="T32" i="44" a="1"/>
  <c r="T32" i="44"/>
  <c r="U32" i="44" a="1"/>
  <c r="U32" i="44"/>
  <c r="V32" i="44" a="1"/>
  <c r="V32" i="44"/>
  <c r="W32" i="44" a="1"/>
  <c r="W32" i="44"/>
  <c r="Y32" i="44" a="1"/>
  <c r="Y32" i="44"/>
  <c r="Z32" i="44" a="1"/>
  <c r="Z32" i="44"/>
  <c r="AA32" i="44" a="1"/>
  <c r="AA32" i="44"/>
  <c r="AB32" i="44" a="1"/>
  <c r="AB32" i="44"/>
  <c r="AC32" i="44" a="1"/>
  <c r="AC32" i="44"/>
  <c r="AD32" i="44" a="1"/>
  <c r="AD32" i="44"/>
  <c r="AE32" i="44" a="1"/>
  <c r="AE32" i="44"/>
  <c r="AF32" i="44" a="1"/>
  <c r="AF32" i="44"/>
  <c r="AG32" i="44" a="1"/>
  <c r="AG32" i="44"/>
  <c r="AI32" i="44" a="1"/>
  <c r="AI32" i="44"/>
  <c r="AJ32" i="44" a="1"/>
  <c r="AJ32" i="44"/>
  <c r="AK32" i="44" a="1"/>
  <c r="AK32" i="44"/>
  <c r="AL32" i="44" a="1"/>
  <c r="AL32" i="44"/>
  <c r="AM32" i="44" a="1"/>
  <c r="AM32" i="44"/>
  <c r="AN32" i="44" a="1"/>
  <c r="AN32" i="44"/>
  <c r="AO32" i="44" a="1"/>
  <c r="AO32" i="44"/>
  <c r="AP32" i="44" a="1"/>
  <c r="AP32" i="44"/>
  <c r="AQ32" i="44" a="1"/>
  <c r="AQ32" i="44"/>
  <c r="AS32" i="44" a="1"/>
  <c r="AS32" i="44"/>
  <c r="AT32" i="44" a="1"/>
  <c r="AT32" i="44"/>
  <c r="AU32" i="44" a="1"/>
  <c r="AU32" i="44"/>
  <c r="AV32" i="44" a="1"/>
  <c r="AV32" i="44"/>
  <c r="AW32" i="44" a="1"/>
  <c r="AW32" i="44"/>
  <c r="AX32" i="44" a="1"/>
  <c r="AX32" i="44"/>
  <c r="AY32" i="44" a="1"/>
  <c r="AY32" i="44"/>
  <c r="AZ32" i="44" a="1"/>
  <c r="AZ32" i="44"/>
  <c r="BA32" i="44" a="1"/>
  <c r="BA32" i="44"/>
  <c r="BC32" i="44" a="1"/>
  <c r="BC32" i="44"/>
  <c r="BD32" i="44" a="1"/>
  <c r="BD32" i="44"/>
  <c r="BE32" i="44" a="1"/>
  <c r="BE32" i="44"/>
  <c r="BF32" i="44" a="1"/>
  <c r="BF32" i="44"/>
  <c r="BG32" i="44" a="1"/>
  <c r="BG32" i="44"/>
  <c r="BH32" i="44" a="1"/>
  <c r="BH32" i="44"/>
  <c r="BI32" i="44" a="1"/>
  <c r="BI32" i="44"/>
  <c r="BJ32" i="44" a="1"/>
  <c r="BJ32" i="44"/>
  <c r="BK32" i="44" a="1"/>
  <c r="BK32" i="44"/>
  <c r="BO32" i="44" a="1"/>
  <c r="BO32" i="44"/>
  <c r="BP32" i="44" a="1"/>
  <c r="BP32" i="44"/>
  <c r="BQ32" i="44" a="1"/>
  <c r="BQ32" i="44"/>
  <c r="BR32" i="44" a="1"/>
  <c r="BR32" i="44"/>
  <c r="BS32" i="44" a="1"/>
  <c r="BS32" i="44"/>
  <c r="BT32" i="44" a="1"/>
  <c r="BT32" i="44"/>
  <c r="BU32" i="44" a="1"/>
  <c r="BU32" i="44"/>
  <c r="BV32" i="44" a="1"/>
  <c r="BV32" i="44"/>
  <c r="BW32" i="44" a="1"/>
  <c r="BW32" i="44"/>
  <c r="BY32" i="44" a="1"/>
  <c r="BY32" i="44"/>
  <c r="BZ32" i="44" a="1"/>
  <c r="BZ32" i="44"/>
  <c r="CA32" i="44" a="1"/>
  <c r="CA32" i="44"/>
  <c r="CB32" i="44" a="1"/>
  <c r="CB32" i="44"/>
  <c r="CC32" i="44" a="1"/>
  <c r="CC32" i="44"/>
  <c r="CD32" i="44" a="1"/>
  <c r="CD32" i="44"/>
  <c r="CE32" i="44" a="1"/>
  <c r="CE32" i="44"/>
  <c r="CF32" i="44" a="1"/>
  <c r="CF32" i="44"/>
  <c r="CG32" i="44" a="1"/>
  <c r="CG32" i="44"/>
  <c r="CI32" i="44" a="1"/>
  <c r="CI32" i="44"/>
  <c r="CJ32" i="44" a="1"/>
  <c r="CJ32" i="44"/>
  <c r="CK32" i="44" a="1"/>
  <c r="CK32" i="44"/>
  <c r="CL32" i="44" a="1"/>
  <c r="CL32" i="44"/>
  <c r="CM32" i="44" a="1"/>
  <c r="CM32" i="44"/>
  <c r="CN32" i="44" a="1"/>
  <c r="CN32" i="44"/>
  <c r="CO32" i="44" a="1"/>
  <c r="CO32" i="44"/>
  <c r="CP32" i="44" a="1"/>
  <c r="CP32" i="44"/>
  <c r="CQ32" i="44" a="1"/>
  <c r="CQ32" i="44"/>
  <c r="CS32" i="44" a="1"/>
  <c r="CS32" i="44"/>
  <c r="CT32" i="44" a="1"/>
  <c r="CT32" i="44"/>
  <c r="CU32" i="44" a="1"/>
  <c r="CU32" i="44"/>
  <c r="CV32" i="44" a="1"/>
  <c r="CV32" i="44"/>
  <c r="CW32" i="44" a="1"/>
  <c r="CW32" i="44"/>
  <c r="CX32" i="44" a="1"/>
  <c r="CX32" i="44"/>
  <c r="CY32" i="44" a="1"/>
  <c r="CY32" i="44"/>
  <c r="CZ32" i="44" a="1"/>
  <c r="CZ32" i="44"/>
  <c r="DA32" i="44" a="1"/>
  <c r="DA32" i="44"/>
  <c r="DB32" i="44" a="1"/>
  <c r="DB32" i="44"/>
  <c r="DC32" i="44" a="1"/>
  <c r="DC32" i="44"/>
  <c r="DD32" i="44" a="1"/>
  <c r="DD32" i="44"/>
  <c r="DE32" i="44" a="1"/>
  <c r="DE32" i="44"/>
  <c r="DF32" i="44" a="1"/>
  <c r="DF32" i="44"/>
  <c r="DG32" i="44" a="1"/>
  <c r="DG32" i="44"/>
  <c r="DH32" i="44" a="1"/>
  <c r="DH32" i="44"/>
  <c r="E33" i="44" a="1"/>
  <c r="E33" i="44"/>
  <c r="F33" i="44" a="1"/>
  <c r="F33" i="44"/>
  <c r="G33" i="44" a="1"/>
  <c r="G33" i="44"/>
  <c r="H33" i="44" a="1"/>
  <c r="H33" i="44"/>
  <c r="I33" i="44" a="1"/>
  <c r="I33" i="44"/>
  <c r="J33" i="44" a="1"/>
  <c r="J33" i="44"/>
  <c r="K33" i="44" a="1"/>
  <c r="K33" i="44"/>
  <c r="L33" i="44" a="1"/>
  <c r="L33" i="44"/>
  <c r="M33" i="44" a="1"/>
  <c r="M33" i="44"/>
  <c r="N33" i="44"/>
  <c r="O33" i="44" a="1"/>
  <c r="O33" i="44"/>
  <c r="P33" i="44" a="1"/>
  <c r="P33" i="44"/>
  <c r="Q33" i="44" a="1"/>
  <c r="Q33" i="44"/>
  <c r="R33" i="44" a="1"/>
  <c r="R33" i="44"/>
  <c r="S33" i="44" a="1"/>
  <c r="S33" i="44"/>
  <c r="T33" i="44" a="1"/>
  <c r="T33" i="44"/>
  <c r="U33" i="44" a="1"/>
  <c r="U33" i="44"/>
  <c r="V33" i="44" a="1"/>
  <c r="V33" i="44"/>
  <c r="W33" i="44" a="1"/>
  <c r="W33" i="44"/>
  <c r="Y33" i="44" a="1"/>
  <c r="Y33" i="44"/>
  <c r="Z33" i="44" a="1"/>
  <c r="Z33" i="44"/>
  <c r="AA33" i="44" a="1"/>
  <c r="AA33" i="44"/>
  <c r="AB33" i="44" a="1"/>
  <c r="AB33" i="44"/>
  <c r="AC33" i="44" a="1"/>
  <c r="AC33" i="44"/>
  <c r="AD33" i="44" a="1"/>
  <c r="AD33" i="44"/>
  <c r="AE33" i="44" a="1"/>
  <c r="AE33" i="44"/>
  <c r="AF33" i="44" a="1"/>
  <c r="AF33" i="44"/>
  <c r="AG33" i="44" a="1"/>
  <c r="AG33" i="44"/>
  <c r="AI33" i="44" a="1"/>
  <c r="AI33" i="44"/>
  <c r="AJ33" i="44" a="1"/>
  <c r="AJ33" i="44"/>
  <c r="AK33" i="44" a="1"/>
  <c r="AK33" i="44"/>
  <c r="AL33" i="44" a="1"/>
  <c r="AL33" i="44"/>
  <c r="AM33" i="44" a="1"/>
  <c r="AM33" i="44"/>
  <c r="AN33" i="44" a="1"/>
  <c r="AN33" i="44"/>
  <c r="AO33" i="44" a="1"/>
  <c r="AO33" i="44"/>
  <c r="AP33" i="44" a="1"/>
  <c r="AP33" i="44"/>
  <c r="AQ33" i="44" a="1"/>
  <c r="AQ33" i="44"/>
  <c r="AS33" i="44" a="1"/>
  <c r="AS33" i="44"/>
  <c r="AT33" i="44" a="1"/>
  <c r="AT33" i="44"/>
  <c r="AU33" i="44" a="1"/>
  <c r="AU33" i="44"/>
  <c r="AV33" i="44" a="1"/>
  <c r="AV33" i="44"/>
  <c r="AW33" i="44" a="1"/>
  <c r="AW33" i="44"/>
  <c r="AX33" i="44" a="1"/>
  <c r="AX33" i="44"/>
  <c r="AY33" i="44" a="1"/>
  <c r="AY33" i="44"/>
  <c r="AZ33" i="44" a="1"/>
  <c r="AZ33" i="44"/>
  <c r="BA33" i="44" a="1"/>
  <c r="BA33" i="44"/>
  <c r="BC33" i="44" a="1"/>
  <c r="BC33" i="44"/>
  <c r="BD33" i="44" a="1"/>
  <c r="BD33" i="44"/>
  <c r="BE33" i="44" a="1"/>
  <c r="BE33" i="44"/>
  <c r="BF33" i="44" a="1"/>
  <c r="BF33" i="44"/>
  <c r="BG33" i="44" a="1"/>
  <c r="BG33" i="44"/>
  <c r="BH33" i="44" a="1"/>
  <c r="BH33" i="44"/>
  <c r="BI33" i="44" a="1"/>
  <c r="BI33" i="44"/>
  <c r="BJ33" i="44" a="1"/>
  <c r="BJ33" i="44"/>
  <c r="BK33" i="44" a="1"/>
  <c r="BK33" i="44"/>
  <c r="BO33" i="44" a="1"/>
  <c r="BO33" i="44"/>
  <c r="BP33" i="44" a="1"/>
  <c r="BP33" i="44"/>
  <c r="BQ33" i="44" a="1"/>
  <c r="BQ33" i="44"/>
  <c r="BR33" i="44" a="1"/>
  <c r="BR33" i="44"/>
  <c r="BS33" i="44" a="1"/>
  <c r="BS33" i="44"/>
  <c r="BT33" i="44" a="1"/>
  <c r="BT33" i="44"/>
  <c r="BU33" i="44" a="1"/>
  <c r="BU33" i="44"/>
  <c r="BV33" i="44" a="1"/>
  <c r="BV33" i="44"/>
  <c r="BW33" i="44" a="1"/>
  <c r="BW33" i="44"/>
  <c r="BY33" i="44" a="1"/>
  <c r="BY33" i="44"/>
  <c r="BZ33" i="44" a="1"/>
  <c r="BZ33" i="44"/>
  <c r="CA33" i="44" a="1"/>
  <c r="CA33" i="44"/>
  <c r="CB33" i="44" a="1"/>
  <c r="CB33" i="44"/>
  <c r="CC33" i="44" a="1"/>
  <c r="CC33" i="44"/>
  <c r="CD33" i="44" a="1"/>
  <c r="CD33" i="44"/>
  <c r="CE33" i="44" a="1"/>
  <c r="CE33" i="44"/>
  <c r="CF33" i="44" a="1"/>
  <c r="CF33" i="44"/>
  <c r="CG33" i="44" a="1"/>
  <c r="CG33" i="44"/>
  <c r="CI33" i="44" a="1"/>
  <c r="CI33" i="44"/>
  <c r="CJ33" i="44" a="1"/>
  <c r="CJ33" i="44"/>
  <c r="CK33" i="44" a="1"/>
  <c r="CK33" i="44"/>
  <c r="CL33" i="44" a="1"/>
  <c r="CL33" i="44"/>
  <c r="CM33" i="44" a="1"/>
  <c r="CM33" i="44"/>
  <c r="CN33" i="44" a="1"/>
  <c r="CN33" i="44"/>
  <c r="CO33" i="44" a="1"/>
  <c r="CO33" i="44"/>
  <c r="CP33" i="44" a="1"/>
  <c r="CP33" i="44"/>
  <c r="CQ33" i="44" a="1"/>
  <c r="CQ33" i="44"/>
  <c r="CS33" i="44" a="1"/>
  <c r="CS33" i="44"/>
  <c r="CT33" i="44" a="1"/>
  <c r="CT33" i="44"/>
  <c r="CU33" i="44" a="1"/>
  <c r="CU33" i="44"/>
  <c r="CV33" i="44" a="1"/>
  <c r="CV33" i="44"/>
  <c r="CW33" i="44" a="1"/>
  <c r="CW33" i="44"/>
  <c r="CX33" i="44" a="1"/>
  <c r="CX33" i="44"/>
  <c r="CY33" i="44" a="1"/>
  <c r="CY33" i="44"/>
  <c r="CZ33" i="44" a="1"/>
  <c r="CZ33" i="44"/>
  <c r="DA33" i="44" a="1"/>
  <c r="DA33" i="44"/>
  <c r="DB33" i="44" a="1"/>
  <c r="DB33" i="44"/>
  <c r="DC33" i="44" a="1"/>
  <c r="DC33" i="44"/>
  <c r="DD33" i="44" a="1"/>
  <c r="DD33" i="44"/>
  <c r="DE33" i="44" a="1"/>
  <c r="DE33" i="44"/>
  <c r="DF33" i="44" a="1"/>
  <c r="DF33" i="44"/>
  <c r="DG33" i="44" a="1"/>
  <c r="DG33" i="44"/>
  <c r="DH33" i="44" a="1"/>
  <c r="DH33" i="44"/>
  <c r="E34" i="44" a="1"/>
  <c r="E34" i="44"/>
  <c r="F34" i="44" a="1"/>
  <c r="F34" i="44"/>
  <c r="G34" i="44" a="1"/>
  <c r="G34" i="44"/>
  <c r="H34" i="44" a="1"/>
  <c r="H34" i="44"/>
  <c r="I34" i="44" a="1"/>
  <c r="I34" i="44"/>
  <c r="J34" i="44" a="1"/>
  <c r="J34" i="44"/>
  <c r="K34" i="44" a="1"/>
  <c r="K34" i="44"/>
  <c r="L34" i="44" a="1"/>
  <c r="L34" i="44"/>
  <c r="M34" i="44" a="1"/>
  <c r="M34" i="44"/>
  <c r="N34" i="44"/>
  <c r="O34" i="44" a="1"/>
  <c r="O34" i="44"/>
  <c r="P34" i="44" a="1"/>
  <c r="P34" i="44"/>
  <c r="Q34" i="44" a="1"/>
  <c r="Q34" i="44"/>
  <c r="R34" i="44" a="1"/>
  <c r="R34" i="44"/>
  <c r="S34" i="44" a="1"/>
  <c r="S34" i="44"/>
  <c r="T34" i="44" a="1"/>
  <c r="T34" i="44"/>
  <c r="U34" i="44" a="1"/>
  <c r="U34" i="44"/>
  <c r="V34" i="44" a="1"/>
  <c r="V34" i="44"/>
  <c r="W34" i="44" a="1"/>
  <c r="W34" i="44"/>
  <c r="Y34" i="44" a="1"/>
  <c r="Y34" i="44"/>
  <c r="Z34" i="44" a="1"/>
  <c r="Z34" i="44"/>
  <c r="AA34" i="44" a="1"/>
  <c r="AA34" i="44"/>
  <c r="AB34" i="44" a="1"/>
  <c r="AB34" i="44"/>
  <c r="AC34" i="44" a="1"/>
  <c r="AC34" i="44"/>
  <c r="AD34" i="44" a="1"/>
  <c r="AD34" i="44"/>
  <c r="AE34" i="44" a="1"/>
  <c r="AE34" i="44"/>
  <c r="AF34" i="44" a="1"/>
  <c r="AF34" i="44"/>
  <c r="AG34" i="44" a="1"/>
  <c r="AG34" i="44"/>
  <c r="AI34" i="44" a="1"/>
  <c r="AI34" i="44"/>
  <c r="AJ34" i="44" a="1"/>
  <c r="AJ34" i="44"/>
  <c r="AK34" i="44" a="1"/>
  <c r="AK34" i="44"/>
  <c r="AL34" i="44" a="1"/>
  <c r="AL34" i="44"/>
  <c r="AM34" i="44" a="1"/>
  <c r="AM34" i="44"/>
  <c r="AN34" i="44" a="1"/>
  <c r="AN34" i="44"/>
  <c r="AO34" i="44" a="1"/>
  <c r="AO34" i="44"/>
  <c r="AP34" i="44" a="1"/>
  <c r="AP34" i="44"/>
  <c r="AQ34" i="44" a="1"/>
  <c r="AQ34" i="44"/>
  <c r="AS34" i="44" a="1"/>
  <c r="AS34" i="44"/>
  <c r="AT34" i="44" a="1"/>
  <c r="AT34" i="44"/>
  <c r="AU34" i="44" a="1"/>
  <c r="AU34" i="44"/>
  <c r="AV34" i="44" a="1"/>
  <c r="AV34" i="44"/>
  <c r="AW34" i="44" a="1"/>
  <c r="AW34" i="44"/>
  <c r="AX34" i="44" a="1"/>
  <c r="AX34" i="44"/>
  <c r="AY34" i="44" a="1"/>
  <c r="AY34" i="44"/>
  <c r="AZ34" i="44" a="1"/>
  <c r="AZ34" i="44"/>
  <c r="BA34" i="44" a="1"/>
  <c r="BA34" i="44"/>
  <c r="BC34" i="44" a="1"/>
  <c r="BC34" i="44"/>
  <c r="BD34" i="44" a="1"/>
  <c r="BD34" i="44"/>
  <c r="BE34" i="44" a="1"/>
  <c r="BE34" i="44"/>
  <c r="BF34" i="44" a="1"/>
  <c r="BF34" i="44"/>
  <c r="BG34" i="44" a="1"/>
  <c r="BG34" i="44"/>
  <c r="BH34" i="44" a="1"/>
  <c r="BH34" i="44"/>
  <c r="BI34" i="44" a="1"/>
  <c r="BI34" i="44"/>
  <c r="BJ34" i="44" a="1"/>
  <c r="BJ34" i="44"/>
  <c r="BK34" i="44" a="1"/>
  <c r="BK34" i="44"/>
  <c r="BO34" i="44" a="1"/>
  <c r="BO34" i="44"/>
  <c r="BP34" i="44" a="1"/>
  <c r="BP34" i="44"/>
  <c r="BQ34" i="44" a="1"/>
  <c r="BQ34" i="44"/>
  <c r="BR34" i="44" a="1"/>
  <c r="BR34" i="44"/>
  <c r="BS34" i="44" a="1"/>
  <c r="BS34" i="44"/>
  <c r="BT34" i="44" a="1"/>
  <c r="BT34" i="44"/>
  <c r="BU34" i="44" a="1"/>
  <c r="BU34" i="44"/>
  <c r="BV34" i="44" a="1"/>
  <c r="BV34" i="44"/>
  <c r="BW34" i="44" a="1"/>
  <c r="BW34" i="44"/>
  <c r="BY34" i="44" a="1"/>
  <c r="BY34" i="44"/>
  <c r="BZ34" i="44" a="1"/>
  <c r="BZ34" i="44"/>
  <c r="CA34" i="44" a="1"/>
  <c r="CA34" i="44"/>
  <c r="CB34" i="44" a="1"/>
  <c r="CB34" i="44"/>
  <c r="CC34" i="44" a="1"/>
  <c r="CC34" i="44"/>
  <c r="CD34" i="44" a="1"/>
  <c r="CD34" i="44"/>
  <c r="CE34" i="44" a="1"/>
  <c r="CE34" i="44"/>
  <c r="CF34" i="44" a="1"/>
  <c r="CF34" i="44"/>
  <c r="CG34" i="44" a="1"/>
  <c r="CG34" i="44"/>
  <c r="CI34" i="44" a="1"/>
  <c r="CI34" i="44"/>
  <c r="CJ34" i="44" a="1"/>
  <c r="CJ34" i="44"/>
  <c r="CK34" i="44" a="1"/>
  <c r="CK34" i="44"/>
  <c r="CL34" i="44" a="1"/>
  <c r="CL34" i="44"/>
  <c r="CM34" i="44" a="1"/>
  <c r="CM34" i="44"/>
  <c r="CN34" i="44" a="1"/>
  <c r="CN34" i="44"/>
  <c r="CO34" i="44" a="1"/>
  <c r="CO34" i="44"/>
  <c r="CP34" i="44" a="1"/>
  <c r="CP34" i="44"/>
  <c r="CQ34" i="44" a="1"/>
  <c r="CQ34" i="44"/>
  <c r="CS34" i="44" a="1"/>
  <c r="CS34" i="44"/>
  <c r="CT34" i="44" a="1"/>
  <c r="CT34" i="44"/>
  <c r="CU34" i="44" a="1"/>
  <c r="CU34" i="44"/>
  <c r="CV34" i="44" a="1"/>
  <c r="CV34" i="44"/>
  <c r="CW34" i="44" a="1"/>
  <c r="CW34" i="44"/>
  <c r="CX34" i="44" a="1"/>
  <c r="CX34" i="44"/>
  <c r="CY34" i="44" a="1"/>
  <c r="CY34" i="44"/>
  <c r="CZ34" i="44" a="1"/>
  <c r="CZ34" i="44"/>
  <c r="DA34" i="44" a="1"/>
  <c r="DA34" i="44"/>
  <c r="DB34" i="44" a="1"/>
  <c r="DB34" i="44"/>
  <c r="DC34" i="44" a="1"/>
  <c r="DC34" i="44"/>
  <c r="DD34" i="44" a="1"/>
  <c r="DD34" i="44"/>
  <c r="DE34" i="44" a="1"/>
  <c r="DE34" i="44"/>
  <c r="DF34" i="44" a="1"/>
  <c r="DF34" i="44"/>
  <c r="DG34" i="44" a="1"/>
  <c r="DG34" i="44"/>
  <c r="DH34" i="44" a="1"/>
  <c r="DH34" i="44"/>
  <c r="E35" i="44" a="1"/>
  <c r="E35" i="44"/>
  <c r="F35" i="44" a="1"/>
  <c r="F35" i="44"/>
  <c r="G35" i="44" a="1"/>
  <c r="G35" i="44"/>
  <c r="H35" i="44" a="1"/>
  <c r="H35" i="44"/>
  <c r="I35" i="44" a="1"/>
  <c r="I35" i="44"/>
  <c r="J35" i="44" a="1"/>
  <c r="J35" i="44"/>
  <c r="K35" i="44" a="1"/>
  <c r="K35" i="44"/>
  <c r="L35" i="44" a="1"/>
  <c r="L35" i="44"/>
  <c r="M35" i="44" a="1"/>
  <c r="M35" i="44"/>
  <c r="N35" i="44"/>
  <c r="O35" i="44" a="1"/>
  <c r="O35" i="44"/>
  <c r="P35" i="44" a="1"/>
  <c r="P35" i="44"/>
  <c r="Q35" i="44" a="1"/>
  <c r="Q35" i="44"/>
  <c r="R35" i="44" a="1"/>
  <c r="R35" i="44"/>
  <c r="S35" i="44" a="1"/>
  <c r="S35" i="44"/>
  <c r="T35" i="44" a="1"/>
  <c r="T35" i="44"/>
  <c r="U35" i="44" a="1"/>
  <c r="U35" i="44"/>
  <c r="V35" i="44" a="1"/>
  <c r="V35" i="44"/>
  <c r="W35" i="44" a="1"/>
  <c r="W35" i="44"/>
  <c r="Y35" i="44" a="1"/>
  <c r="Y35" i="44"/>
  <c r="Z35" i="44" a="1"/>
  <c r="Z35" i="44"/>
  <c r="AA35" i="44" a="1"/>
  <c r="AA35" i="44"/>
  <c r="AB35" i="44" a="1"/>
  <c r="AB35" i="44"/>
  <c r="AC35" i="44" a="1"/>
  <c r="AC35" i="44"/>
  <c r="AD35" i="44" a="1"/>
  <c r="AD35" i="44"/>
  <c r="AE35" i="44" a="1"/>
  <c r="AE35" i="44"/>
  <c r="AF35" i="44" a="1"/>
  <c r="AF35" i="44"/>
  <c r="AG35" i="44" a="1"/>
  <c r="AG35" i="44"/>
  <c r="AI35" i="44" a="1"/>
  <c r="AI35" i="44"/>
  <c r="AJ35" i="44" a="1"/>
  <c r="AJ35" i="44"/>
  <c r="AK35" i="44" a="1"/>
  <c r="AK35" i="44"/>
  <c r="AL35" i="44" a="1"/>
  <c r="AL35" i="44"/>
  <c r="AM35" i="44" a="1"/>
  <c r="AM35" i="44"/>
  <c r="AN35" i="44" a="1"/>
  <c r="AN35" i="44"/>
  <c r="AO35" i="44" a="1"/>
  <c r="AO35" i="44"/>
  <c r="AP35" i="44" a="1"/>
  <c r="AP35" i="44"/>
  <c r="AQ35" i="44" a="1"/>
  <c r="AQ35" i="44"/>
  <c r="AS35" i="44" a="1"/>
  <c r="AS35" i="44"/>
  <c r="AT35" i="44" a="1"/>
  <c r="AT35" i="44"/>
  <c r="AU35" i="44" a="1"/>
  <c r="AU35" i="44"/>
  <c r="AV35" i="44" a="1"/>
  <c r="AV35" i="44"/>
  <c r="AW35" i="44" a="1"/>
  <c r="AW35" i="44"/>
  <c r="AX35" i="44" a="1"/>
  <c r="AX35" i="44"/>
  <c r="AY35" i="44" a="1"/>
  <c r="AY35" i="44"/>
  <c r="AZ35" i="44" a="1"/>
  <c r="AZ35" i="44"/>
  <c r="BA35" i="44" a="1"/>
  <c r="BA35" i="44"/>
  <c r="BC35" i="44" a="1"/>
  <c r="BC35" i="44"/>
  <c r="BD35" i="44" a="1"/>
  <c r="BD35" i="44"/>
  <c r="BE35" i="44" a="1"/>
  <c r="BE35" i="44"/>
  <c r="BF35" i="44" a="1"/>
  <c r="BF35" i="44"/>
  <c r="BG35" i="44" a="1"/>
  <c r="BG35" i="44"/>
  <c r="BH35" i="44" a="1"/>
  <c r="BH35" i="44"/>
  <c r="BI35" i="44" a="1"/>
  <c r="BI35" i="44"/>
  <c r="BJ35" i="44" a="1"/>
  <c r="BJ35" i="44"/>
  <c r="BK35" i="44" a="1"/>
  <c r="BK35" i="44"/>
  <c r="BO35" i="44" a="1"/>
  <c r="BO35" i="44"/>
  <c r="BP35" i="44" a="1"/>
  <c r="BP35" i="44"/>
  <c r="BQ35" i="44" a="1"/>
  <c r="BQ35" i="44"/>
  <c r="BR35" i="44" a="1"/>
  <c r="BR35" i="44"/>
  <c r="BS35" i="44" a="1"/>
  <c r="BS35" i="44"/>
  <c r="BT35" i="44" a="1"/>
  <c r="BT35" i="44"/>
  <c r="BU35" i="44" a="1"/>
  <c r="BU35" i="44"/>
  <c r="BV35" i="44" a="1"/>
  <c r="BV35" i="44"/>
  <c r="BW35" i="44" a="1"/>
  <c r="BW35" i="44"/>
  <c r="BY35" i="44" a="1"/>
  <c r="BY35" i="44"/>
  <c r="BZ35" i="44" a="1"/>
  <c r="BZ35" i="44"/>
  <c r="CA35" i="44" a="1"/>
  <c r="CA35" i="44"/>
  <c r="CB35" i="44" a="1"/>
  <c r="CB35" i="44"/>
  <c r="CC35" i="44" a="1"/>
  <c r="CC35" i="44"/>
  <c r="CD35" i="44" a="1"/>
  <c r="CD35" i="44"/>
  <c r="CE35" i="44" a="1"/>
  <c r="CE35" i="44"/>
  <c r="CF35" i="44" a="1"/>
  <c r="CF35" i="44"/>
  <c r="CG35" i="44" a="1"/>
  <c r="CG35" i="44"/>
  <c r="CI35" i="44" a="1"/>
  <c r="CI35" i="44"/>
  <c r="CJ35" i="44" a="1"/>
  <c r="CJ35" i="44"/>
  <c r="CK35" i="44" a="1"/>
  <c r="CK35" i="44"/>
  <c r="CL35" i="44" a="1"/>
  <c r="CL35" i="44"/>
  <c r="CM35" i="44" a="1"/>
  <c r="CM35" i="44"/>
  <c r="CN35" i="44" a="1"/>
  <c r="CN35" i="44"/>
  <c r="CO35" i="44" a="1"/>
  <c r="CO35" i="44"/>
  <c r="CP35" i="44" a="1"/>
  <c r="CP35" i="44"/>
  <c r="CQ35" i="44" a="1"/>
  <c r="CQ35" i="44"/>
  <c r="CS35" i="44" a="1"/>
  <c r="CS35" i="44"/>
  <c r="CT35" i="44" a="1"/>
  <c r="CT35" i="44"/>
  <c r="CU35" i="44" a="1"/>
  <c r="CU35" i="44"/>
  <c r="CV35" i="44" a="1"/>
  <c r="CV35" i="44"/>
  <c r="CW35" i="44" a="1"/>
  <c r="CW35" i="44"/>
  <c r="CX35" i="44" a="1"/>
  <c r="CX35" i="44"/>
  <c r="CY35" i="44" a="1"/>
  <c r="CY35" i="44"/>
  <c r="CZ35" i="44" a="1"/>
  <c r="CZ35" i="44"/>
  <c r="DA35" i="44" a="1"/>
  <c r="DA35" i="44"/>
  <c r="DB35" i="44" a="1"/>
  <c r="DB35" i="44"/>
  <c r="DC35" i="44" a="1"/>
  <c r="DC35" i="44"/>
  <c r="DD35" i="44" a="1"/>
  <c r="DD35" i="44"/>
  <c r="DE35" i="44" a="1"/>
  <c r="DE35" i="44"/>
  <c r="DF35" i="44" a="1"/>
  <c r="DF35" i="44"/>
  <c r="DG35" i="44" a="1"/>
  <c r="DG35" i="44"/>
  <c r="DH35" i="44" a="1"/>
  <c r="DH35" i="44"/>
  <c r="E36" i="44" a="1"/>
  <c r="E36" i="44"/>
  <c r="F36" i="44" a="1"/>
  <c r="F36" i="44"/>
  <c r="G36" i="44" a="1"/>
  <c r="G36" i="44"/>
  <c r="H36" i="44" a="1"/>
  <c r="H36" i="44"/>
  <c r="I36" i="44" a="1"/>
  <c r="I36" i="44"/>
  <c r="J36" i="44" a="1"/>
  <c r="J36" i="44"/>
  <c r="K36" i="44" a="1"/>
  <c r="K36" i="44"/>
  <c r="L36" i="44" a="1"/>
  <c r="L36" i="44"/>
  <c r="M36" i="44" a="1"/>
  <c r="M36" i="44"/>
  <c r="N36" i="44"/>
  <c r="O36" i="44" a="1"/>
  <c r="O36" i="44"/>
  <c r="P36" i="44" a="1"/>
  <c r="P36" i="44"/>
  <c r="Q36" i="44" a="1"/>
  <c r="Q36" i="44"/>
  <c r="R36" i="44" a="1"/>
  <c r="R36" i="44"/>
  <c r="S36" i="44" a="1"/>
  <c r="S36" i="44"/>
  <c r="T36" i="44" a="1"/>
  <c r="T36" i="44"/>
  <c r="U36" i="44" a="1"/>
  <c r="U36" i="44"/>
  <c r="V36" i="44" a="1"/>
  <c r="V36" i="44"/>
  <c r="W36" i="44" a="1"/>
  <c r="W36" i="44"/>
  <c r="Y36" i="44" a="1"/>
  <c r="Y36" i="44"/>
  <c r="Z36" i="44" a="1"/>
  <c r="Z36" i="44"/>
  <c r="AA36" i="44" a="1"/>
  <c r="AA36" i="44"/>
  <c r="AB36" i="44" a="1"/>
  <c r="AB36" i="44"/>
  <c r="AC36" i="44" a="1"/>
  <c r="AC36" i="44"/>
  <c r="AD36" i="44" a="1"/>
  <c r="AD36" i="44"/>
  <c r="AE36" i="44" a="1"/>
  <c r="AE36" i="44"/>
  <c r="AF36" i="44" a="1"/>
  <c r="AF36" i="44"/>
  <c r="AG36" i="44" a="1"/>
  <c r="AG36" i="44"/>
  <c r="AI36" i="44" a="1"/>
  <c r="AI36" i="44"/>
  <c r="AJ36" i="44" a="1"/>
  <c r="AJ36" i="44"/>
  <c r="AK36" i="44" a="1"/>
  <c r="AK36" i="44"/>
  <c r="AL36" i="44" a="1"/>
  <c r="AL36" i="44"/>
  <c r="AM36" i="44" a="1"/>
  <c r="AM36" i="44"/>
  <c r="AN36" i="44" a="1"/>
  <c r="AN36" i="44"/>
  <c r="AO36" i="44" a="1"/>
  <c r="AO36" i="44"/>
  <c r="AP36" i="44" a="1"/>
  <c r="AP36" i="44"/>
  <c r="AQ36" i="44" a="1"/>
  <c r="AQ36" i="44"/>
  <c r="AS36" i="44" a="1"/>
  <c r="AS36" i="44"/>
  <c r="AT36" i="44" a="1"/>
  <c r="AT36" i="44"/>
  <c r="AU36" i="44" a="1"/>
  <c r="AU36" i="44"/>
  <c r="AV36" i="44" a="1"/>
  <c r="AV36" i="44"/>
  <c r="AW36" i="44" a="1"/>
  <c r="AW36" i="44"/>
  <c r="AX36" i="44" a="1"/>
  <c r="AX36" i="44"/>
  <c r="AY36" i="44" a="1"/>
  <c r="AY36" i="44"/>
  <c r="AZ36" i="44" a="1"/>
  <c r="AZ36" i="44"/>
  <c r="BA36" i="44" a="1"/>
  <c r="BA36" i="44"/>
  <c r="BC36" i="44" a="1"/>
  <c r="BC36" i="44"/>
  <c r="BD36" i="44" a="1"/>
  <c r="BD36" i="44"/>
  <c r="BE36" i="44" a="1"/>
  <c r="BE36" i="44"/>
  <c r="BF36" i="44" a="1"/>
  <c r="BF36" i="44"/>
  <c r="BG36" i="44" a="1"/>
  <c r="BG36" i="44"/>
  <c r="BH36" i="44" a="1"/>
  <c r="BH36" i="44"/>
  <c r="BI36" i="44" a="1"/>
  <c r="BI36" i="44"/>
  <c r="BJ36" i="44" a="1"/>
  <c r="BJ36" i="44"/>
  <c r="BK36" i="44" a="1"/>
  <c r="BK36" i="44"/>
  <c r="BO36" i="44" a="1"/>
  <c r="BO36" i="44"/>
  <c r="BP36" i="44" a="1"/>
  <c r="BP36" i="44"/>
  <c r="BQ36" i="44" a="1"/>
  <c r="BQ36" i="44"/>
  <c r="BR36" i="44" a="1"/>
  <c r="BR36" i="44"/>
  <c r="BS36" i="44" a="1"/>
  <c r="BS36" i="44"/>
  <c r="BT36" i="44" a="1"/>
  <c r="BT36" i="44"/>
  <c r="BU36" i="44" a="1"/>
  <c r="BU36" i="44"/>
  <c r="BV36" i="44" a="1"/>
  <c r="BV36" i="44"/>
  <c r="BW36" i="44" a="1"/>
  <c r="BW36" i="44"/>
  <c r="BY36" i="44" a="1"/>
  <c r="BY36" i="44"/>
  <c r="BZ36" i="44" a="1"/>
  <c r="BZ36" i="44"/>
  <c r="CA36" i="44" a="1"/>
  <c r="CA36" i="44"/>
  <c r="CB36" i="44" a="1"/>
  <c r="CB36" i="44"/>
  <c r="CC36" i="44" a="1"/>
  <c r="CC36" i="44"/>
  <c r="CD36" i="44" a="1"/>
  <c r="CD36" i="44"/>
  <c r="CE36" i="44" a="1"/>
  <c r="CE36" i="44"/>
  <c r="CF36" i="44" a="1"/>
  <c r="CF36" i="44"/>
  <c r="CG36" i="44" a="1"/>
  <c r="CG36" i="44"/>
  <c r="CI36" i="44" a="1"/>
  <c r="CI36" i="44"/>
  <c r="CJ36" i="44" a="1"/>
  <c r="CJ36" i="44"/>
  <c r="CK36" i="44" a="1"/>
  <c r="CK36" i="44"/>
  <c r="CL36" i="44" a="1"/>
  <c r="CL36" i="44"/>
  <c r="CM36" i="44" a="1"/>
  <c r="CM36" i="44"/>
  <c r="CN36" i="44" a="1"/>
  <c r="CN36" i="44"/>
  <c r="CO36" i="44" a="1"/>
  <c r="CO36" i="44"/>
  <c r="CP36" i="44" a="1"/>
  <c r="CP36" i="44"/>
  <c r="CQ36" i="44" a="1"/>
  <c r="CQ36" i="44"/>
  <c r="CS36" i="44" a="1"/>
  <c r="CS36" i="44"/>
  <c r="CT36" i="44" a="1"/>
  <c r="CT36" i="44"/>
  <c r="CU36" i="44" a="1"/>
  <c r="CU36" i="44"/>
  <c r="CV36" i="44" a="1"/>
  <c r="CV36" i="44"/>
  <c r="CW36" i="44" a="1"/>
  <c r="CW36" i="44"/>
  <c r="CX36" i="44" a="1"/>
  <c r="CX36" i="44"/>
  <c r="CY36" i="44" a="1"/>
  <c r="CY36" i="44"/>
  <c r="CZ36" i="44" a="1"/>
  <c r="CZ36" i="44"/>
  <c r="DA36" i="44" a="1"/>
  <c r="DA36" i="44"/>
  <c r="DB36" i="44" a="1"/>
  <c r="DB36" i="44"/>
  <c r="DC36" i="44" a="1"/>
  <c r="DC36" i="44"/>
  <c r="DD36" i="44" a="1"/>
  <c r="DD36" i="44"/>
  <c r="DE36" i="44" a="1"/>
  <c r="DE36" i="44"/>
  <c r="DF36" i="44" a="1"/>
  <c r="DF36" i="44"/>
  <c r="DG36" i="44" a="1"/>
  <c r="DG36" i="44"/>
  <c r="DH36" i="44" a="1"/>
  <c r="DH36" i="44"/>
  <c r="E37" i="44" a="1"/>
  <c r="E37" i="44"/>
  <c r="F37" i="44" a="1"/>
  <c r="F37" i="44"/>
  <c r="G37" i="44" a="1"/>
  <c r="G37" i="44"/>
  <c r="H37" i="44" a="1"/>
  <c r="H37" i="44"/>
  <c r="I37" i="44" a="1"/>
  <c r="I37" i="44"/>
  <c r="J37" i="44" a="1"/>
  <c r="J37" i="44"/>
  <c r="K37" i="44" a="1"/>
  <c r="K37" i="44"/>
  <c r="L37" i="44" a="1"/>
  <c r="L37" i="44"/>
  <c r="M37" i="44" a="1"/>
  <c r="M37" i="44"/>
  <c r="N37" i="44"/>
  <c r="O37" i="44" a="1"/>
  <c r="O37" i="44"/>
  <c r="P37" i="44" a="1"/>
  <c r="P37" i="44"/>
  <c r="Q37" i="44" a="1"/>
  <c r="Q37" i="44"/>
  <c r="R37" i="44" a="1"/>
  <c r="R37" i="44"/>
  <c r="S37" i="44" a="1"/>
  <c r="S37" i="44"/>
  <c r="T37" i="44" a="1"/>
  <c r="T37" i="44"/>
  <c r="U37" i="44" a="1"/>
  <c r="U37" i="44"/>
  <c r="V37" i="44" a="1"/>
  <c r="V37" i="44"/>
  <c r="W37" i="44" a="1"/>
  <c r="W37" i="44"/>
  <c r="Y37" i="44" a="1"/>
  <c r="Y37" i="44"/>
  <c r="Z37" i="44" a="1"/>
  <c r="Z37" i="44"/>
  <c r="AA37" i="44" a="1"/>
  <c r="AA37" i="44"/>
  <c r="AB37" i="44" a="1"/>
  <c r="AB37" i="44"/>
  <c r="AC37" i="44" a="1"/>
  <c r="AC37" i="44"/>
  <c r="AD37" i="44" a="1"/>
  <c r="AD37" i="44"/>
  <c r="AE37" i="44" a="1"/>
  <c r="AE37" i="44"/>
  <c r="AF37" i="44" a="1"/>
  <c r="AF37" i="44"/>
  <c r="AG37" i="44" a="1"/>
  <c r="AG37" i="44"/>
  <c r="AI37" i="44" a="1"/>
  <c r="AI37" i="44"/>
  <c r="AJ37" i="44" a="1"/>
  <c r="AJ37" i="44"/>
  <c r="AK37" i="44" a="1"/>
  <c r="AK37" i="44"/>
  <c r="AL37" i="44" a="1"/>
  <c r="AL37" i="44"/>
  <c r="AM37" i="44" a="1"/>
  <c r="AM37" i="44"/>
  <c r="AN37" i="44" a="1"/>
  <c r="AN37" i="44"/>
  <c r="AO37" i="44" a="1"/>
  <c r="AO37" i="44"/>
  <c r="AP37" i="44" a="1"/>
  <c r="AP37" i="44"/>
  <c r="AQ37" i="44" a="1"/>
  <c r="AQ37" i="44"/>
  <c r="AS37" i="44" a="1"/>
  <c r="AS37" i="44"/>
  <c r="AT37" i="44" a="1"/>
  <c r="AT37" i="44"/>
  <c r="AU37" i="44" a="1"/>
  <c r="AU37" i="44"/>
  <c r="AV37" i="44" a="1"/>
  <c r="AV37" i="44"/>
  <c r="AW37" i="44" a="1"/>
  <c r="AW37" i="44"/>
  <c r="AX37" i="44" a="1"/>
  <c r="AX37" i="44"/>
  <c r="AY37" i="44" a="1"/>
  <c r="AY37" i="44"/>
  <c r="AZ37" i="44" a="1"/>
  <c r="AZ37" i="44"/>
  <c r="BA37" i="44" a="1"/>
  <c r="BA37" i="44"/>
  <c r="BC37" i="44" a="1"/>
  <c r="BC37" i="44"/>
  <c r="BD37" i="44" a="1"/>
  <c r="BD37" i="44"/>
  <c r="BE37" i="44" a="1"/>
  <c r="BE37" i="44"/>
  <c r="BF37" i="44" a="1"/>
  <c r="BF37" i="44"/>
  <c r="BG37" i="44" a="1"/>
  <c r="BG37" i="44"/>
  <c r="BH37" i="44" a="1"/>
  <c r="BH37" i="44"/>
  <c r="BI37" i="44" a="1"/>
  <c r="BI37" i="44"/>
  <c r="BJ37" i="44" a="1"/>
  <c r="BJ37" i="44"/>
  <c r="BK37" i="44" a="1"/>
  <c r="BK37" i="44"/>
  <c r="BO37" i="44" a="1"/>
  <c r="BO37" i="44"/>
  <c r="BP37" i="44" a="1"/>
  <c r="BP37" i="44"/>
  <c r="BQ37" i="44" a="1"/>
  <c r="BQ37" i="44"/>
  <c r="BR37" i="44" a="1"/>
  <c r="BR37" i="44"/>
  <c r="BS37" i="44" a="1"/>
  <c r="BS37" i="44"/>
  <c r="BT37" i="44" a="1"/>
  <c r="BT37" i="44"/>
  <c r="BU37" i="44" a="1"/>
  <c r="BU37" i="44"/>
  <c r="BV37" i="44" a="1"/>
  <c r="BV37" i="44"/>
  <c r="BW37" i="44" a="1"/>
  <c r="BW37" i="44"/>
  <c r="BY37" i="44" a="1"/>
  <c r="BY37" i="44"/>
  <c r="BZ37" i="44" a="1"/>
  <c r="BZ37" i="44"/>
  <c r="CA37" i="44" a="1"/>
  <c r="CA37" i="44"/>
  <c r="CB37" i="44" a="1"/>
  <c r="CB37" i="44"/>
  <c r="CC37" i="44" a="1"/>
  <c r="CC37" i="44"/>
  <c r="CD37" i="44" a="1"/>
  <c r="CD37" i="44"/>
  <c r="CE37" i="44" a="1"/>
  <c r="CE37" i="44"/>
  <c r="CF37" i="44" a="1"/>
  <c r="CF37" i="44"/>
  <c r="CG37" i="44" a="1"/>
  <c r="CG37" i="44"/>
  <c r="CI37" i="44" a="1"/>
  <c r="CI37" i="44"/>
  <c r="CJ37" i="44" a="1"/>
  <c r="CJ37" i="44"/>
  <c r="CK37" i="44" a="1"/>
  <c r="CK37" i="44"/>
  <c r="CL37" i="44" a="1"/>
  <c r="CL37" i="44"/>
  <c r="CM37" i="44" a="1"/>
  <c r="CM37" i="44"/>
  <c r="CN37" i="44" a="1"/>
  <c r="CN37" i="44"/>
  <c r="CO37" i="44" a="1"/>
  <c r="CO37" i="44"/>
  <c r="CP37" i="44" a="1"/>
  <c r="CP37" i="44"/>
  <c r="CQ37" i="44" a="1"/>
  <c r="CQ37" i="44"/>
  <c r="CS37" i="44" a="1"/>
  <c r="CS37" i="44"/>
  <c r="CT37" i="44" a="1"/>
  <c r="CT37" i="44"/>
  <c r="CU37" i="44" a="1"/>
  <c r="CU37" i="44"/>
  <c r="CV37" i="44" a="1"/>
  <c r="CV37" i="44"/>
  <c r="CW37" i="44" a="1"/>
  <c r="CW37" i="44"/>
  <c r="CX37" i="44" a="1"/>
  <c r="CX37" i="44"/>
  <c r="CY37" i="44" a="1"/>
  <c r="CY37" i="44"/>
  <c r="CZ37" i="44" a="1"/>
  <c r="CZ37" i="44"/>
  <c r="DA37" i="44" a="1"/>
  <c r="DA37" i="44"/>
  <c r="DB37" i="44" a="1"/>
  <c r="DB37" i="44"/>
  <c r="DC37" i="44" a="1"/>
  <c r="DC37" i="44"/>
  <c r="DD37" i="44" a="1"/>
  <c r="DD37" i="44"/>
  <c r="DE37" i="44" a="1"/>
  <c r="DE37" i="44"/>
  <c r="DF37" i="44" a="1"/>
  <c r="DF37" i="44"/>
  <c r="DG37" i="44" a="1"/>
  <c r="DG37" i="44"/>
  <c r="DH37" i="44" a="1"/>
  <c r="DH37" i="44"/>
  <c r="E38" i="44" a="1"/>
  <c r="E38" i="44"/>
  <c r="F38" i="44" a="1"/>
  <c r="F38" i="44"/>
  <c r="G38" i="44" a="1"/>
  <c r="G38" i="44"/>
  <c r="H38" i="44" a="1"/>
  <c r="H38" i="44"/>
  <c r="I38" i="44" a="1"/>
  <c r="I38" i="44"/>
  <c r="J38" i="44" a="1"/>
  <c r="J38" i="44"/>
  <c r="K38" i="44" a="1"/>
  <c r="K38" i="44"/>
  <c r="L38" i="44" a="1"/>
  <c r="L38" i="44"/>
  <c r="M38" i="44" a="1"/>
  <c r="M38" i="44"/>
  <c r="N38" i="44"/>
  <c r="O38" i="44" a="1"/>
  <c r="O38" i="44"/>
  <c r="P38" i="44" a="1"/>
  <c r="P38" i="44"/>
  <c r="Q38" i="44" a="1"/>
  <c r="Q38" i="44"/>
  <c r="R38" i="44" a="1"/>
  <c r="R38" i="44"/>
  <c r="S38" i="44" a="1"/>
  <c r="S38" i="44"/>
  <c r="T38" i="44" a="1"/>
  <c r="T38" i="44"/>
  <c r="U38" i="44" a="1"/>
  <c r="U38" i="44"/>
  <c r="V38" i="44" a="1"/>
  <c r="V38" i="44"/>
  <c r="W38" i="44" a="1"/>
  <c r="W38" i="44"/>
  <c r="Y38" i="44" a="1"/>
  <c r="Y38" i="44"/>
  <c r="Z38" i="44" a="1"/>
  <c r="Z38" i="44"/>
  <c r="AA38" i="44" a="1"/>
  <c r="AA38" i="44"/>
  <c r="AB38" i="44" a="1"/>
  <c r="AB38" i="44"/>
  <c r="AC38" i="44" a="1"/>
  <c r="AC38" i="44"/>
  <c r="AD38" i="44" a="1"/>
  <c r="AD38" i="44"/>
  <c r="AE38" i="44" a="1"/>
  <c r="AE38" i="44"/>
  <c r="AF38" i="44" a="1"/>
  <c r="AF38" i="44"/>
  <c r="AG38" i="44" a="1"/>
  <c r="AG38" i="44"/>
  <c r="AI38" i="44" a="1"/>
  <c r="AI38" i="44"/>
  <c r="AJ38" i="44" a="1"/>
  <c r="AJ38" i="44"/>
  <c r="AK38" i="44" a="1"/>
  <c r="AK38" i="44"/>
  <c r="AL38" i="44" a="1"/>
  <c r="AL38" i="44"/>
  <c r="AM38" i="44" a="1"/>
  <c r="AM38" i="44"/>
  <c r="AN38" i="44" a="1"/>
  <c r="AN38" i="44"/>
  <c r="AO38" i="44" a="1"/>
  <c r="AO38" i="44"/>
  <c r="AP38" i="44" a="1"/>
  <c r="AP38" i="44"/>
  <c r="AQ38" i="44" a="1"/>
  <c r="AQ38" i="44"/>
  <c r="AS38" i="44" a="1"/>
  <c r="AS38" i="44"/>
  <c r="AT38" i="44" a="1"/>
  <c r="AT38" i="44"/>
  <c r="AU38" i="44" a="1"/>
  <c r="AU38" i="44"/>
  <c r="AV38" i="44" a="1"/>
  <c r="AV38" i="44"/>
  <c r="AW38" i="44" a="1"/>
  <c r="AW38" i="44"/>
  <c r="AX38" i="44" a="1"/>
  <c r="AX38" i="44"/>
  <c r="AY38" i="44" a="1"/>
  <c r="AY38" i="44"/>
  <c r="AZ38" i="44" a="1"/>
  <c r="AZ38" i="44"/>
  <c r="BA38" i="44" a="1"/>
  <c r="BA38" i="44"/>
  <c r="BC38" i="44" a="1"/>
  <c r="BC38" i="44"/>
  <c r="BD38" i="44" a="1"/>
  <c r="BD38" i="44"/>
  <c r="BE38" i="44" a="1"/>
  <c r="BE38" i="44"/>
  <c r="BF38" i="44" a="1"/>
  <c r="BF38" i="44"/>
  <c r="BG38" i="44" a="1"/>
  <c r="BG38" i="44"/>
  <c r="BH38" i="44" a="1"/>
  <c r="BH38" i="44"/>
  <c r="BI38" i="44" a="1"/>
  <c r="BI38" i="44"/>
  <c r="BJ38" i="44" a="1"/>
  <c r="BJ38" i="44"/>
  <c r="BK38" i="44" a="1"/>
  <c r="BK38" i="44"/>
  <c r="BO38" i="44" a="1"/>
  <c r="BO38" i="44"/>
  <c r="BP38" i="44" a="1"/>
  <c r="BP38" i="44"/>
  <c r="BQ38" i="44" a="1"/>
  <c r="BQ38" i="44"/>
  <c r="BR38" i="44" a="1"/>
  <c r="BR38" i="44"/>
  <c r="BS38" i="44" a="1"/>
  <c r="BS38" i="44"/>
  <c r="BT38" i="44" a="1"/>
  <c r="BT38" i="44"/>
  <c r="BU38" i="44" a="1"/>
  <c r="BU38" i="44"/>
  <c r="BV38" i="44" a="1"/>
  <c r="BV38" i="44"/>
  <c r="BW38" i="44" a="1"/>
  <c r="BW38" i="44"/>
  <c r="BY38" i="44" a="1"/>
  <c r="BY38" i="44"/>
  <c r="BZ38" i="44" a="1"/>
  <c r="BZ38" i="44"/>
  <c r="CA38" i="44" a="1"/>
  <c r="CA38" i="44"/>
  <c r="CB38" i="44" a="1"/>
  <c r="CB38" i="44"/>
  <c r="CC38" i="44" a="1"/>
  <c r="CC38" i="44"/>
  <c r="CD38" i="44" a="1"/>
  <c r="CD38" i="44"/>
  <c r="CE38" i="44" a="1"/>
  <c r="CE38" i="44"/>
  <c r="CF38" i="44" a="1"/>
  <c r="CF38" i="44"/>
  <c r="CG38" i="44" a="1"/>
  <c r="CG38" i="44"/>
  <c r="CI38" i="44" a="1"/>
  <c r="CI38" i="44"/>
  <c r="CJ38" i="44" a="1"/>
  <c r="CJ38" i="44"/>
  <c r="CK38" i="44" a="1"/>
  <c r="CK38" i="44"/>
  <c r="CL38" i="44" a="1"/>
  <c r="CL38" i="44"/>
  <c r="CM38" i="44" a="1"/>
  <c r="CM38" i="44"/>
  <c r="CN38" i="44" a="1"/>
  <c r="CN38" i="44"/>
  <c r="CO38" i="44" a="1"/>
  <c r="CO38" i="44"/>
  <c r="CP38" i="44" a="1"/>
  <c r="CP38" i="44"/>
  <c r="CQ38" i="44" a="1"/>
  <c r="CQ38" i="44"/>
  <c r="CS38" i="44" a="1"/>
  <c r="CS38" i="44"/>
  <c r="CT38" i="44" a="1"/>
  <c r="CT38" i="44"/>
  <c r="CU38" i="44" a="1"/>
  <c r="CU38" i="44"/>
  <c r="CV38" i="44" a="1"/>
  <c r="CV38" i="44"/>
  <c r="CW38" i="44" a="1"/>
  <c r="CW38" i="44"/>
  <c r="CX38" i="44" a="1"/>
  <c r="CX38" i="44"/>
  <c r="CY38" i="44" a="1"/>
  <c r="CY38" i="44"/>
  <c r="CZ38" i="44" a="1"/>
  <c r="CZ38" i="44"/>
  <c r="DA38" i="44" a="1"/>
  <c r="DA38" i="44"/>
  <c r="DB38" i="44" a="1"/>
  <c r="DB38" i="44"/>
  <c r="DC38" i="44" a="1"/>
  <c r="DC38" i="44"/>
  <c r="DD38" i="44" a="1"/>
  <c r="DD38" i="44"/>
  <c r="DE38" i="44" a="1"/>
  <c r="DE38" i="44"/>
  <c r="DF38" i="44" a="1"/>
  <c r="DF38" i="44"/>
  <c r="DG38" i="44" a="1"/>
  <c r="DG38" i="44"/>
  <c r="DH38" i="44" a="1"/>
  <c r="DH38" i="44"/>
  <c r="E39" i="44" a="1"/>
  <c r="E39" i="44"/>
  <c r="F39" i="44" a="1"/>
  <c r="F39" i="44"/>
  <c r="G39" i="44" a="1"/>
  <c r="G39" i="44"/>
  <c r="H39" i="44" a="1"/>
  <c r="H39" i="44"/>
  <c r="I39" i="44" a="1"/>
  <c r="I39" i="44"/>
  <c r="J39" i="44" a="1"/>
  <c r="J39" i="44"/>
  <c r="K39" i="44" a="1"/>
  <c r="K39" i="44"/>
  <c r="L39" i="44" a="1"/>
  <c r="L39" i="44"/>
  <c r="M39" i="44" a="1"/>
  <c r="M39" i="44"/>
  <c r="N39" i="44"/>
  <c r="O39" i="44" a="1"/>
  <c r="O39" i="44"/>
  <c r="P39" i="44" a="1"/>
  <c r="P39" i="44"/>
  <c r="Q39" i="44" a="1"/>
  <c r="Q39" i="44"/>
  <c r="R39" i="44" a="1"/>
  <c r="R39" i="44"/>
  <c r="S39" i="44" a="1"/>
  <c r="S39" i="44"/>
  <c r="T39" i="44" a="1"/>
  <c r="T39" i="44"/>
  <c r="U39" i="44" a="1"/>
  <c r="U39" i="44"/>
  <c r="V39" i="44" a="1"/>
  <c r="V39" i="44"/>
  <c r="W39" i="44" a="1"/>
  <c r="W39" i="44"/>
  <c r="Y39" i="44" a="1"/>
  <c r="Y39" i="44"/>
  <c r="Z39" i="44" a="1"/>
  <c r="Z39" i="44"/>
  <c r="AA39" i="44" a="1"/>
  <c r="AA39" i="44"/>
  <c r="AB39" i="44" a="1"/>
  <c r="AB39" i="44"/>
  <c r="AC39" i="44" a="1"/>
  <c r="AC39" i="44"/>
  <c r="AD39" i="44" a="1"/>
  <c r="AD39" i="44"/>
  <c r="AE39" i="44" a="1"/>
  <c r="AE39" i="44"/>
  <c r="AF39" i="44" a="1"/>
  <c r="AF39" i="44"/>
  <c r="AG39" i="44" a="1"/>
  <c r="AG39" i="44"/>
  <c r="AI39" i="44" a="1"/>
  <c r="AI39" i="44"/>
  <c r="AJ39" i="44" a="1"/>
  <c r="AJ39" i="44"/>
  <c r="AK39" i="44" a="1"/>
  <c r="AK39" i="44"/>
  <c r="AL39" i="44" a="1"/>
  <c r="AL39" i="44"/>
  <c r="AM39" i="44" a="1"/>
  <c r="AM39" i="44"/>
  <c r="AN39" i="44" a="1"/>
  <c r="AN39" i="44"/>
  <c r="AO39" i="44" a="1"/>
  <c r="AO39" i="44"/>
  <c r="AP39" i="44" a="1"/>
  <c r="AP39" i="44"/>
  <c r="AQ39" i="44" a="1"/>
  <c r="AQ39" i="44"/>
  <c r="AS39" i="44" a="1"/>
  <c r="AS39" i="44"/>
  <c r="AT39" i="44" a="1"/>
  <c r="AT39" i="44"/>
  <c r="AU39" i="44" a="1"/>
  <c r="AU39" i="44"/>
  <c r="AV39" i="44" a="1"/>
  <c r="AV39" i="44"/>
  <c r="AW39" i="44" a="1"/>
  <c r="AW39" i="44"/>
  <c r="AX39" i="44" a="1"/>
  <c r="AX39" i="44"/>
  <c r="AY39" i="44" a="1"/>
  <c r="AY39" i="44"/>
  <c r="AZ39" i="44" a="1"/>
  <c r="AZ39" i="44"/>
  <c r="BA39" i="44" a="1"/>
  <c r="BA39" i="44"/>
  <c r="BC39" i="44" a="1"/>
  <c r="BC39" i="44"/>
  <c r="BD39" i="44" a="1"/>
  <c r="BD39" i="44"/>
  <c r="BE39" i="44" a="1"/>
  <c r="BE39" i="44"/>
  <c r="BF39" i="44" a="1"/>
  <c r="BF39" i="44"/>
  <c r="BG39" i="44" a="1"/>
  <c r="BG39" i="44"/>
  <c r="BH39" i="44" a="1"/>
  <c r="BH39" i="44"/>
  <c r="BI39" i="44" a="1"/>
  <c r="BI39" i="44"/>
  <c r="BJ39" i="44" a="1"/>
  <c r="BJ39" i="44"/>
  <c r="BK39" i="44" a="1"/>
  <c r="BK39" i="44"/>
  <c r="BO39" i="44" a="1"/>
  <c r="BO39" i="44"/>
  <c r="BP39" i="44" a="1"/>
  <c r="BP39" i="44"/>
  <c r="BQ39" i="44" a="1"/>
  <c r="BQ39" i="44"/>
  <c r="BR39" i="44" a="1"/>
  <c r="BR39" i="44"/>
  <c r="BS39" i="44" a="1"/>
  <c r="BS39" i="44"/>
  <c r="BT39" i="44" a="1"/>
  <c r="BT39" i="44"/>
  <c r="BU39" i="44" a="1"/>
  <c r="BU39" i="44"/>
  <c r="BV39" i="44" a="1"/>
  <c r="BV39" i="44"/>
  <c r="BW39" i="44" a="1"/>
  <c r="BW39" i="44"/>
  <c r="BY39" i="44" a="1"/>
  <c r="BY39" i="44"/>
  <c r="BZ39" i="44" a="1"/>
  <c r="BZ39" i="44"/>
  <c r="CA39" i="44" a="1"/>
  <c r="CA39" i="44"/>
  <c r="CB39" i="44" a="1"/>
  <c r="CB39" i="44"/>
  <c r="CC39" i="44" a="1"/>
  <c r="CC39" i="44"/>
  <c r="CD39" i="44" a="1"/>
  <c r="CD39" i="44"/>
  <c r="CE39" i="44" a="1"/>
  <c r="CE39" i="44"/>
  <c r="CF39" i="44" a="1"/>
  <c r="CF39" i="44"/>
  <c r="CG39" i="44" a="1"/>
  <c r="CG39" i="44"/>
  <c r="CI39" i="44" a="1"/>
  <c r="CI39" i="44"/>
  <c r="CJ39" i="44" a="1"/>
  <c r="CJ39" i="44"/>
  <c r="CK39" i="44" a="1"/>
  <c r="CK39" i="44"/>
  <c r="CL39" i="44" a="1"/>
  <c r="CL39" i="44"/>
  <c r="CM39" i="44" a="1"/>
  <c r="CM39" i="44"/>
  <c r="CN39" i="44" a="1"/>
  <c r="CN39" i="44"/>
  <c r="CO39" i="44" a="1"/>
  <c r="CO39" i="44"/>
  <c r="CP39" i="44" a="1"/>
  <c r="CP39" i="44"/>
  <c r="CQ39" i="44" a="1"/>
  <c r="CQ39" i="44"/>
  <c r="CS39" i="44" a="1"/>
  <c r="CS39" i="44"/>
  <c r="CT39" i="44" a="1"/>
  <c r="CT39" i="44"/>
  <c r="CU39" i="44" a="1"/>
  <c r="CU39" i="44"/>
  <c r="CV39" i="44" a="1"/>
  <c r="CV39" i="44"/>
  <c r="CW39" i="44" a="1"/>
  <c r="CW39" i="44"/>
  <c r="CX39" i="44" a="1"/>
  <c r="CX39" i="44"/>
  <c r="CY39" i="44" a="1"/>
  <c r="CY39" i="44"/>
  <c r="CZ39" i="44" a="1"/>
  <c r="CZ39" i="44"/>
  <c r="DA39" i="44" a="1"/>
  <c r="DA39" i="44"/>
  <c r="DB39" i="44" a="1"/>
  <c r="DB39" i="44"/>
  <c r="DC39" i="44" a="1"/>
  <c r="DC39" i="44"/>
  <c r="DD39" i="44" a="1"/>
  <c r="DD39" i="44"/>
  <c r="DE39" i="44" a="1"/>
  <c r="DE39" i="44"/>
  <c r="DF39" i="44" a="1"/>
  <c r="DF39" i="44"/>
  <c r="DG39" i="44" a="1"/>
  <c r="DG39" i="44"/>
  <c r="DH39" i="44" a="1"/>
  <c r="DH39" i="44"/>
  <c r="E40" i="44" a="1"/>
  <c r="E40" i="44"/>
  <c r="F40" i="44" a="1"/>
  <c r="F40" i="44"/>
  <c r="G40" i="44" a="1"/>
  <c r="G40" i="44"/>
  <c r="H40" i="44" a="1"/>
  <c r="H40" i="44"/>
  <c r="I40" i="44" a="1"/>
  <c r="I40" i="44"/>
  <c r="J40" i="44" a="1"/>
  <c r="J40" i="44"/>
  <c r="K40" i="44" a="1"/>
  <c r="K40" i="44"/>
  <c r="L40" i="44" a="1"/>
  <c r="L40" i="44"/>
  <c r="M40" i="44" a="1"/>
  <c r="M40" i="44"/>
  <c r="N40" i="44"/>
  <c r="O40" i="44" a="1"/>
  <c r="O40" i="44"/>
  <c r="P40" i="44" a="1"/>
  <c r="P40" i="44"/>
  <c r="Q40" i="44" a="1"/>
  <c r="Q40" i="44"/>
  <c r="R40" i="44" a="1"/>
  <c r="R40" i="44"/>
  <c r="S40" i="44" a="1"/>
  <c r="S40" i="44"/>
  <c r="T40" i="44" a="1"/>
  <c r="T40" i="44"/>
  <c r="U40" i="44" a="1"/>
  <c r="U40" i="44"/>
  <c r="V40" i="44" a="1"/>
  <c r="V40" i="44"/>
  <c r="W40" i="44" a="1"/>
  <c r="W40" i="44"/>
  <c r="Y40" i="44" a="1"/>
  <c r="Y40" i="44"/>
  <c r="Z40" i="44" a="1"/>
  <c r="Z40" i="44"/>
  <c r="AA40" i="44" a="1"/>
  <c r="AA40" i="44"/>
  <c r="AB40" i="44" a="1"/>
  <c r="AB40" i="44"/>
  <c r="AC40" i="44" a="1"/>
  <c r="AC40" i="44"/>
  <c r="AD40" i="44" a="1"/>
  <c r="AD40" i="44"/>
  <c r="AE40" i="44" a="1"/>
  <c r="AE40" i="44"/>
  <c r="AF40" i="44" a="1"/>
  <c r="AF40" i="44"/>
  <c r="AG40" i="44" a="1"/>
  <c r="AG40" i="44"/>
  <c r="AI40" i="44" a="1"/>
  <c r="AI40" i="44"/>
  <c r="AJ40" i="44" a="1"/>
  <c r="AJ40" i="44"/>
  <c r="AK40" i="44" a="1"/>
  <c r="AK40" i="44"/>
  <c r="AL40" i="44" a="1"/>
  <c r="AL40" i="44"/>
  <c r="AM40" i="44" a="1"/>
  <c r="AM40" i="44"/>
  <c r="AN40" i="44" a="1"/>
  <c r="AN40" i="44"/>
  <c r="AO40" i="44" a="1"/>
  <c r="AO40" i="44"/>
  <c r="AP40" i="44" a="1"/>
  <c r="AP40" i="44"/>
  <c r="AQ40" i="44" a="1"/>
  <c r="AQ40" i="44"/>
  <c r="AS40" i="44" a="1"/>
  <c r="AS40" i="44"/>
  <c r="AT40" i="44" a="1"/>
  <c r="AT40" i="44"/>
  <c r="AU40" i="44" a="1"/>
  <c r="AU40" i="44"/>
  <c r="AV40" i="44" a="1"/>
  <c r="AV40" i="44"/>
  <c r="AW40" i="44" a="1"/>
  <c r="AW40" i="44"/>
  <c r="AX40" i="44" a="1"/>
  <c r="AX40" i="44"/>
  <c r="AY40" i="44" a="1"/>
  <c r="AY40" i="44"/>
  <c r="AZ40" i="44" a="1"/>
  <c r="AZ40" i="44"/>
  <c r="BA40" i="44" a="1"/>
  <c r="BA40" i="44"/>
  <c r="BC40" i="44" a="1"/>
  <c r="BC40" i="44"/>
  <c r="BD40" i="44" a="1"/>
  <c r="BD40" i="44"/>
  <c r="BE40" i="44" a="1"/>
  <c r="BE40" i="44"/>
  <c r="BF40" i="44" a="1"/>
  <c r="BF40" i="44"/>
  <c r="BG40" i="44" a="1"/>
  <c r="BG40" i="44"/>
  <c r="BH40" i="44" a="1"/>
  <c r="BH40" i="44"/>
  <c r="BI40" i="44" a="1"/>
  <c r="BI40" i="44"/>
  <c r="BJ40" i="44" a="1"/>
  <c r="BJ40" i="44"/>
  <c r="BK40" i="44" a="1"/>
  <c r="BK40" i="44"/>
  <c r="BO40" i="44" a="1"/>
  <c r="BO40" i="44"/>
  <c r="BP40" i="44" a="1"/>
  <c r="BP40" i="44"/>
  <c r="BQ40" i="44" a="1"/>
  <c r="BQ40" i="44"/>
  <c r="BR40" i="44" a="1"/>
  <c r="BR40" i="44"/>
  <c r="BS40" i="44" a="1"/>
  <c r="BS40" i="44"/>
  <c r="BT40" i="44" a="1"/>
  <c r="BT40" i="44"/>
  <c r="BU40" i="44" a="1"/>
  <c r="BU40" i="44"/>
  <c r="BV40" i="44" a="1"/>
  <c r="BV40" i="44"/>
  <c r="BW40" i="44" a="1"/>
  <c r="BW40" i="44"/>
  <c r="BY40" i="44" a="1"/>
  <c r="BY40" i="44"/>
  <c r="BZ40" i="44" a="1"/>
  <c r="BZ40" i="44"/>
  <c r="CA40" i="44" a="1"/>
  <c r="CA40" i="44"/>
  <c r="CB40" i="44" a="1"/>
  <c r="CB40" i="44"/>
  <c r="CC40" i="44" a="1"/>
  <c r="CC40" i="44"/>
  <c r="CD40" i="44" a="1"/>
  <c r="CD40" i="44"/>
  <c r="CE40" i="44" a="1"/>
  <c r="CE40" i="44"/>
  <c r="CF40" i="44" a="1"/>
  <c r="CF40" i="44"/>
  <c r="CG40" i="44" a="1"/>
  <c r="CG40" i="44"/>
  <c r="CI40" i="44" a="1"/>
  <c r="CI40" i="44"/>
  <c r="CJ40" i="44" a="1"/>
  <c r="CJ40" i="44"/>
  <c r="CK40" i="44" a="1"/>
  <c r="CK40" i="44"/>
  <c r="CL40" i="44" a="1"/>
  <c r="CL40" i="44"/>
  <c r="CM40" i="44" a="1"/>
  <c r="CM40" i="44"/>
  <c r="CN40" i="44" a="1"/>
  <c r="CN40" i="44"/>
  <c r="CO40" i="44" a="1"/>
  <c r="CO40" i="44"/>
  <c r="CP40" i="44" a="1"/>
  <c r="CP40" i="44"/>
  <c r="CQ40" i="44" a="1"/>
  <c r="CQ40" i="44"/>
  <c r="CS40" i="44" a="1"/>
  <c r="CS40" i="44"/>
  <c r="CT40" i="44" a="1"/>
  <c r="CT40" i="44"/>
  <c r="CU40" i="44" a="1"/>
  <c r="CU40" i="44"/>
  <c r="CV40" i="44" a="1"/>
  <c r="CV40" i="44"/>
  <c r="CW40" i="44" a="1"/>
  <c r="CW40" i="44"/>
  <c r="CX40" i="44" a="1"/>
  <c r="CX40" i="44"/>
  <c r="CY40" i="44" a="1"/>
  <c r="CY40" i="44"/>
  <c r="CZ40" i="44" a="1"/>
  <c r="CZ40" i="44"/>
  <c r="DA40" i="44" a="1"/>
  <c r="DA40" i="44"/>
  <c r="DB40" i="44" a="1"/>
  <c r="DB40" i="44"/>
  <c r="DC40" i="44" a="1"/>
  <c r="DC40" i="44"/>
  <c r="DD40" i="44" a="1"/>
  <c r="DD40" i="44"/>
  <c r="DE40" i="44" a="1"/>
  <c r="DE40" i="44"/>
  <c r="DF40" i="44" a="1"/>
  <c r="DF40" i="44"/>
  <c r="DG40" i="44" a="1"/>
  <c r="DG40" i="44"/>
  <c r="DH40" i="44" a="1"/>
  <c r="DH40" i="44"/>
  <c r="E41" i="44" a="1"/>
  <c r="E41" i="44"/>
  <c r="F41" i="44" a="1"/>
  <c r="F41" i="44"/>
  <c r="G41" i="44" a="1"/>
  <c r="G41" i="44"/>
  <c r="H41" i="44" a="1"/>
  <c r="H41" i="44"/>
  <c r="I41" i="44" a="1"/>
  <c r="I41" i="44"/>
  <c r="J41" i="44" a="1"/>
  <c r="J41" i="44"/>
  <c r="K41" i="44" a="1"/>
  <c r="K41" i="44"/>
  <c r="L41" i="44" a="1"/>
  <c r="L41" i="44"/>
  <c r="M41" i="44" a="1"/>
  <c r="M41" i="44"/>
  <c r="N41" i="44"/>
  <c r="O41" i="44" a="1"/>
  <c r="O41" i="44"/>
  <c r="P41" i="44" a="1"/>
  <c r="P41" i="44"/>
  <c r="Q41" i="44" a="1"/>
  <c r="Q41" i="44"/>
  <c r="R41" i="44" a="1"/>
  <c r="R41" i="44"/>
  <c r="S41" i="44" a="1"/>
  <c r="S41" i="44"/>
  <c r="T41" i="44" a="1"/>
  <c r="T41" i="44"/>
  <c r="U41" i="44" a="1"/>
  <c r="U41" i="44"/>
  <c r="V41" i="44" a="1"/>
  <c r="V41" i="44"/>
  <c r="W41" i="44" a="1"/>
  <c r="W41" i="44"/>
  <c r="Y41" i="44" a="1"/>
  <c r="Y41" i="44"/>
  <c r="Z41" i="44" a="1"/>
  <c r="Z41" i="44"/>
  <c r="AA41" i="44" a="1"/>
  <c r="AA41" i="44"/>
  <c r="AB41" i="44" a="1"/>
  <c r="AB41" i="44"/>
  <c r="AC41" i="44" a="1"/>
  <c r="AC41" i="44"/>
  <c r="AD41" i="44" a="1"/>
  <c r="AD41" i="44"/>
  <c r="AE41" i="44" a="1"/>
  <c r="AE41" i="44"/>
  <c r="AF41" i="44" a="1"/>
  <c r="AF41" i="44"/>
  <c r="AG41" i="44" a="1"/>
  <c r="AG41" i="44"/>
  <c r="AI41" i="44" a="1"/>
  <c r="AI41" i="44"/>
  <c r="AJ41" i="44" a="1"/>
  <c r="AJ41" i="44"/>
  <c r="AK41" i="44" a="1"/>
  <c r="AK41" i="44"/>
  <c r="AL41" i="44" a="1"/>
  <c r="AL41" i="44"/>
  <c r="AM41" i="44" a="1"/>
  <c r="AM41" i="44"/>
  <c r="AN41" i="44" a="1"/>
  <c r="AN41" i="44"/>
  <c r="AO41" i="44" a="1"/>
  <c r="AO41" i="44"/>
  <c r="AP41" i="44" a="1"/>
  <c r="AP41" i="44"/>
  <c r="AQ41" i="44" a="1"/>
  <c r="AQ41" i="44"/>
  <c r="AS41" i="44" a="1"/>
  <c r="AS41" i="44"/>
  <c r="AT41" i="44" a="1"/>
  <c r="AT41" i="44"/>
  <c r="AU41" i="44" a="1"/>
  <c r="AU41" i="44"/>
  <c r="AV41" i="44" a="1"/>
  <c r="AV41" i="44"/>
  <c r="AW41" i="44" a="1"/>
  <c r="AW41" i="44"/>
  <c r="AX41" i="44" a="1"/>
  <c r="AX41" i="44"/>
  <c r="AY41" i="44" a="1"/>
  <c r="AY41" i="44"/>
  <c r="AZ41" i="44" a="1"/>
  <c r="AZ41" i="44"/>
  <c r="BA41" i="44" a="1"/>
  <c r="BA41" i="44"/>
  <c r="BC41" i="44" a="1"/>
  <c r="BC41" i="44"/>
  <c r="BD41" i="44" a="1"/>
  <c r="BD41" i="44"/>
  <c r="BE41" i="44" a="1"/>
  <c r="BE41" i="44"/>
  <c r="BF41" i="44" a="1"/>
  <c r="BF41" i="44"/>
  <c r="BG41" i="44" a="1"/>
  <c r="BG41" i="44"/>
  <c r="BH41" i="44" a="1"/>
  <c r="BH41" i="44"/>
  <c r="BI41" i="44" a="1"/>
  <c r="BI41" i="44"/>
  <c r="BJ41" i="44" a="1"/>
  <c r="BJ41" i="44"/>
  <c r="BK41" i="44" a="1"/>
  <c r="BK41" i="44"/>
  <c r="BO41" i="44" a="1"/>
  <c r="BO41" i="44"/>
  <c r="BP41" i="44" a="1"/>
  <c r="BP41" i="44"/>
  <c r="BQ41" i="44" a="1"/>
  <c r="BQ41" i="44"/>
  <c r="BR41" i="44" a="1"/>
  <c r="BR41" i="44"/>
  <c r="BS41" i="44" a="1"/>
  <c r="BS41" i="44"/>
  <c r="BT41" i="44" a="1"/>
  <c r="BT41" i="44"/>
  <c r="BU41" i="44" a="1"/>
  <c r="BU41" i="44"/>
  <c r="BV41" i="44" a="1"/>
  <c r="BV41" i="44"/>
  <c r="BW41" i="44" a="1"/>
  <c r="BW41" i="44"/>
  <c r="BY41" i="44" a="1"/>
  <c r="BY41" i="44"/>
  <c r="BZ41" i="44" a="1"/>
  <c r="BZ41" i="44"/>
  <c r="CA41" i="44" a="1"/>
  <c r="CA41" i="44"/>
  <c r="CB41" i="44" a="1"/>
  <c r="CB41" i="44"/>
  <c r="CC41" i="44" a="1"/>
  <c r="CC41" i="44"/>
  <c r="CD41" i="44" a="1"/>
  <c r="CD41" i="44"/>
  <c r="CE41" i="44" a="1"/>
  <c r="CE41" i="44"/>
  <c r="CF41" i="44" a="1"/>
  <c r="CF41" i="44"/>
  <c r="CG41" i="44" a="1"/>
  <c r="CG41" i="44"/>
  <c r="CI41" i="44" a="1"/>
  <c r="CI41" i="44"/>
  <c r="CJ41" i="44" a="1"/>
  <c r="CJ41" i="44"/>
  <c r="CK41" i="44" a="1"/>
  <c r="CK41" i="44"/>
  <c r="CL41" i="44" a="1"/>
  <c r="CL41" i="44"/>
  <c r="CM41" i="44" a="1"/>
  <c r="CM41" i="44"/>
  <c r="CN41" i="44" a="1"/>
  <c r="CN41" i="44"/>
  <c r="CO41" i="44" a="1"/>
  <c r="CO41" i="44"/>
  <c r="CP41" i="44" a="1"/>
  <c r="CP41" i="44"/>
  <c r="CQ41" i="44" a="1"/>
  <c r="CQ41" i="44"/>
  <c r="CS41" i="44" a="1"/>
  <c r="CS41" i="44"/>
  <c r="CT41" i="44" a="1"/>
  <c r="CT41" i="44"/>
  <c r="CU41" i="44" a="1"/>
  <c r="CU41" i="44"/>
  <c r="CV41" i="44" a="1"/>
  <c r="CV41" i="44"/>
  <c r="CW41" i="44" a="1"/>
  <c r="CW41" i="44"/>
  <c r="CX41" i="44" a="1"/>
  <c r="CX41" i="44"/>
  <c r="CY41" i="44" a="1"/>
  <c r="CY41" i="44"/>
  <c r="CZ41" i="44" a="1"/>
  <c r="CZ41" i="44"/>
  <c r="DA41" i="44" a="1"/>
  <c r="DA41" i="44"/>
  <c r="DB41" i="44" a="1"/>
  <c r="DB41" i="44"/>
  <c r="DC41" i="44" a="1"/>
  <c r="DC41" i="44"/>
  <c r="DD41" i="44" a="1"/>
  <c r="DD41" i="44"/>
  <c r="DE41" i="44" a="1"/>
  <c r="DE41" i="44"/>
  <c r="DF41" i="44" a="1"/>
  <c r="DF41" i="44"/>
  <c r="DG41" i="44" a="1"/>
  <c r="DG41" i="44"/>
  <c r="DH41" i="44" a="1"/>
  <c r="DH41" i="44"/>
  <c r="E42" i="44" a="1"/>
  <c r="E42" i="44"/>
  <c r="F42" i="44" a="1"/>
  <c r="F42" i="44"/>
  <c r="G42" i="44" a="1"/>
  <c r="G42" i="44"/>
  <c r="H42" i="44" a="1"/>
  <c r="H42" i="44"/>
  <c r="I42" i="44" a="1"/>
  <c r="I42" i="44"/>
  <c r="J42" i="44" a="1"/>
  <c r="J42" i="44"/>
  <c r="K42" i="44" a="1"/>
  <c r="K42" i="44"/>
  <c r="L42" i="44" a="1"/>
  <c r="L42" i="44"/>
  <c r="M42" i="44" a="1"/>
  <c r="M42" i="44"/>
  <c r="N42" i="44"/>
  <c r="O42" i="44" a="1"/>
  <c r="O42" i="44"/>
  <c r="P42" i="44" a="1"/>
  <c r="P42" i="44"/>
  <c r="Q42" i="44" a="1"/>
  <c r="Q42" i="44"/>
  <c r="R42" i="44" a="1"/>
  <c r="R42" i="44"/>
  <c r="S42" i="44" a="1"/>
  <c r="S42" i="44"/>
  <c r="T42" i="44" a="1"/>
  <c r="T42" i="44"/>
  <c r="U42" i="44" a="1"/>
  <c r="U42" i="44"/>
  <c r="V42" i="44" a="1"/>
  <c r="V42" i="44"/>
  <c r="W42" i="44" a="1"/>
  <c r="W42" i="44"/>
  <c r="Y42" i="44" a="1"/>
  <c r="Y42" i="44"/>
  <c r="Z42" i="44" a="1"/>
  <c r="Z42" i="44"/>
  <c r="AA42" i="44" a="1"/>
  <c r="AA42" i="44"/>
  <c r="AB42" i="44" a="1"/>
  <c r="AB42" i="44"/>
  <c r="AC42" i="44" a="1"/>
  <c r="AC42" i="44"/>
  <c r="AD42" i="44" a="1"/>
  <c r="AD42" i="44"/>
  <c r="AE42" i="44" a="1"/>
  <c r="AE42" i="44"/>
  <c r="AF42" i="44" a="1"/>
  <c r="AF42" i="44"/>
  <c r="AG42" i="44" a="1"/>
  <c r="AG42" i="44"/>
  <c r="AI42" i="44" a="1"/>
  <c r="AI42" i="44"/>
  <c r="AJ42" i="44" a="1"/>
  <c r="AJ42" i="44"/>
  <c r="AK42" i="44" a="1"/>
  <c r="AK42" i="44"/>
  <c r="AL42" i="44" a="1"/>
  <c r="AL42" i="44"/>
  <c r="AM42" i="44" a="1"/>
  <c r="AM42" i="44"/>
  <c r="AN42" i="44" a="1"/>
  <c r="AN42" i="44"/>
  <c r="AO42" i="44" a="1"/>
  <c r="AO42" i="44"/>
  <c r="AP42" i="44" a="1"/>
  <c r="AP42" i="44"/>
  <c r="AQ42" i="44" a="1"/>
  <c r="AQ42" i="44"/>
  <c r="AS42" i="44" a="1"/>
  <c r="AS42" i="44"/>
  <c r="AT42" i="44" a="1"/>
  <c r="AT42" i="44"/>
  <c r="AU42" i="44" a="1"/>
  <c r="AU42" i="44"/>
  <c r="AV42" i="44" a="1"/>
  <c r="AV42" i="44"/>
  <c r="AW42" i="44" a="1"/>
  <c r="AW42" i="44"/>
  <c r="AX42" i="44" a="1"/>
  <c r="AX42" i="44"/>
  <c r="AY42" i="44" a="1"/>
  <c r="AY42" i="44"/>
  <c r="AZ42" i="44" a="1"/>
  <c r="AZ42" i="44"/>
  <c r="BA42" i="44" a="1"/>
  <c r="BA42" i="44"/>
  <c r="BC42" i="44" a="1"/>
  <c r="BC42" i="44"/>
  <c r="BD42" i="44" a="1"/>
  <c r="BD42" i="44"/>
  <c r="BE42" i="44" a="1"/>
  <c r="BE42" i="44"/>
  <c r="BF42" i="44" a="1"/>
  <c r="BF42" i="44"/>
  <c r="BG42" i="44" a="1"/>
  <c r="BG42" i="44"/>
  <c r="BH42" i="44" a="1"/>
  <c r="BH42" i="44"/>
  <c r="BI42" i="44" a="1"/>
  <c r="BI42" i="44"/>
  <c r="BJ42" i="44" a="1"/>
  <c r="BJ42" i="44"/>
  <c r="BK42" i="44" a="1"/>
  <c r="BK42" i="44"/>
  <c r="BO42" i="44" a="1"/>
  <c r="BO42" i="44"/>
  <c r="BP42" i="44" a="1"/>
  <c r="BP42" i="44"/>
  <c r="BQ42" i="44" a="1"/>
  <c r="BQ42" i="44"/>
  <c r="BR42" i="44" a="1"/>
  <c r="BR42" i="44"/>
  <c r="BS42" i="44" a="1"/>
  <c r="BS42" i="44"/>
  <c r="BT42" i="44" a="1"/>
  <c r="BT42" i="44"/>
  <c r="BU42" i="44" a="1"/>
  <c r="BU42" i="44"/>
  <c r="BV42" i="44" a="1"/>
  <c r="BV42" i="44"/>
  <c r="BW42" i="44" a="1"/>
  <c r="BW42" i="44"/>
  <c r="BY42" i="44" a="1"/>
  <c r="BY42" i="44"/>
  <c r="BZ42" i="44" a="1"/>
  <c r="BZ42" i="44"/>
  <c r="CA42" i="44" a="1"/>
  <c r="CA42" i="44"/>
  <c r="CB42" i="44" a="1"/>
  <c r="CB42" i="44"/>
  <c r="CC42" i="44" a="1"/>
  <c r="CC42" i="44"/>
  <c r="CD42" i="44" a="1"/>
  <c r="CD42" i="44"/>
  <c r="CE42" i="44" a="1"/>
  <c r="CE42" i="44"/>
  <c r="CF42" i="44" a="1"/>
  <c r="CF42" i="44"/>
  <c r="CG42" i="44" a="1"/>
  <c r="CG42" i="44"/>
  <c r="CI42" i="44" a="1"/>
  <c r="CI42" i="44"/>
  <c r="CJ42" i="44" a="1"/>
  <c r="CJ42" i="44"/>
  <c r="CK42" i="44" a="1"/>
  <c r="CK42" i="44"/>
  <c r="CL42" i="44" a="1"/>
  <c r="CL42" i="44"/>
  <c r="CM42" i="44" a="1"/>
  <c r="CM42" i="44"/>
  <c r="CN42" i="44" a="1"/>
  <c r="CN42" i="44"/>
  <c r="CO42" i="44" a="1"/>
  <c r="CO42" i="44"/>
  <c r="CP42" i="44" a="1"/>
  <c r="CP42" i="44"/>
  <c r="CQ42" i="44" a="1"/>
  <c r="CQ42" i="44"/>
  <c r="CS42" i="44" a="1"/>
  <c r="CS42" i="44"/>
  <c r="CT42" i="44" a="1"/>
  <c r="CT42" i="44"/>
  <c r="CU42" i="44" a="1"/>
  <c r="CU42" i="44"/>
  <c r="CV42" i="44" a="1"/>
  <c r="CV42" i="44"/>
  <c r="CW42" i="44" a="1"/>
  <c r="CW42" i="44"/>
  <c r="CX42" i="44" a="1"/>
  <c r="CX42" i="44"/>
  <c r="CY42" i="44" a="1"/>
  <c r="CY42" i="44"/>
  <c r="CZ42" i="44" a="1"/>
  <c r="CZ42" i="44"/>
  <c r="DA42" i="44" a="1"/>
  <c r="DA42" i="44"/>
  <c r="DB42" i="44" a="1"/>
  <c r="DB42" i="44"/>
  <c r="DC42" i="44" a="1"/>
  <c r="DC42" i="44"/>
  <c r="DD42" i="44" a="1"/>
  <c r="DD42" i="44"/>
  <c r="DE42" i="44" a="1"/>
  <c r="DE42" i="44"/>
  <c r="DF42" i="44" a="1"/>
  <c r="DF42" i="44"/>
  <c r="DG42" i="44" a="1"/>
  <c r="DG42" i="44"/>
  <c r="DH42" i="44" a="1"/>
  <c r="DH42" i="44"/>
  <c r="E43" i="44" a="1"/>
  <c r="E43" i="44"/>
  <c r="F43" i="44" a="1"/>
  <c r="F43" i="44"/>
  <c r="G43" i="44" a="1"/>
  <c r="G43" i="44"/>
  <c r="H43" i="44" a="1"/>
  <c r="H43" i="44"/>
  <c r="I43" i="44" a="1"/>
  <c r="I43" i="44"/>
  <c r="J43" i="44" a="1"/>
  <c r="J43" i="44"/>
  <c r="K43" i="44" a="1"/>
  <c r="K43" i="44"/>
  <c r="L43" i="44" a="1"/>
  <c r="L43" i="44"/>
  <c r="M43" i="44" a="1"/>
  <c r="M43" i="44"/>
  <c r="N43" i="44"/>
  <c r="O43" i="44" a="1"/>
  <c r="O43" i="44"/>
  <c r="P43" i="44" a="1"/>
  <c r="P43" i="44"/>
  <c r="Q43" i="44" a="1"/>
  <c r="Q43" i="44"/>
  <c r="R43" i="44" a="1"/>
  <c r="R43" i="44"/>
  <c r="S43" i="44" a="1"/>
  <c r="S43" i="44"/>
  <c r="T43" i="44" a="1"/>
  <c r="T43" i="44"/>
  <c r="U43" i="44" a="1"/>
  <c r="U43" i="44"/>
  <c r="V43" i="44" a="1"/>
  <c r="V43" i="44"/>
  <c r="W43" i="44" a="1"/>
  <c r="W43" i="44"/>
  <c r="Y43" i="44" a="1"/>
  <c r="Y43" i="44"/>
  <c r="Z43" i="44" a="1"/>
  <c r="Z43" i="44"/>
  <c r="AA43" i="44" a="1"/>
  <c r="AA43" i="44"/>
  <c r="AB43" i="44" a="1"/>
  <c r="AB43" i="44"/>
  <c r="AC43" i="44" a="1"/>
  <c r="AC43" i="44"/>
  <c r="AD43" i="44" a="1"/>
  <c r="AD43" i="44"/>
  <c r="AE43" i="44" a="1"/>
  <c r="AE43" i="44"/>
  <c r="AF43" i="44" a="1"/>
  <c r="AF43" i="44"/>
  <c r="AG43" i="44" a="1"/>
  <c r="AG43" i="44"/>
  <c r="AI43" i="44" a="1"/>
  <c r="AI43" i="44"/>
  <c r="AJ43" i="44" a="1"/>
  <c r="AJ43" i="44"/>
  <c r="AK43" i="44" a="1"/>
  <c r="AK43" i="44"/>
  <c r="AL43" i="44" a="1"/>
  <c r="AL43" i="44"/>
  <c r="AM43" i="44" a="1"/>
  <c r="AM43" i="44"/>
  <c r="AN43" i="44" a="1"/>
  <c r="AN43" i="44"/>
  <c r="AO43" i="44" a="1"/>
  <c r="AO43" i="44"/>
  <c r="AP43" i="44" a="1"/>
  <c r="AP43" i="44"/>
  <c r="AQ43" i="44" a="1"/>
  <c r="AQ43" i="44"/>
  <c r="AS43" i="44" a="1"/>
  <c r="AS43" i="44"/>
  <c r="AT43" i="44" a="1"/>
  <c r="AT43" i="44"/>
  <c r="AU43" i="44" a="1"/>
  <c r="AU43" i="44"/>
  <c r="AV43" i="44" a="1"/>
  <c r="AV43" i="44"/>
  <c r="AW43" i="44" a="1"/>
  <c r="AW43" i="44"/>
  <c r="AX43" i="44" a="1"/>
  <c r="AX43" i="44"/>
  <c r="AY43" i="44" a="1"/>
  <c r="AY43" i="44"/>
  <c r="AZ43" i="44" a="1"/>
  <c r="AZ43" i="44"/>
  <c r="BA43" i="44" a="1"/>
  <c r="BA43" i="44"/>
  <c r="BC43" i="44" a="1"/>
  <c r="BC43" i="44"/>
  <c r="BD43" i="44" a="1"/>
  <c r="BD43" i="44"/>
  <c r="BE43" i="44" a="1"/>
  <c r="BE43" i="44"/>
  <c r="BF43" i="44" a="1"/>
  <c r="BF43" i="44"/>
  <c r="BG43" i="44" a="1"/>
  <c r="BG43" i="44"/>
  <c r="BH43" i="44" a="1"/>
  <c r="BH43" i="44"/>
  <c r="BI43" i="44" a="1"/>
  <c r="BI43" i="44"/>
  <c r="BJ43" i="44" a="1"/>
  <c r="BJ43" i="44"/>
  <c r="BK43" i="44" a="1"/>
  <c r="BK43" i="44"/>
  <c r="BO43" i="44" a="1"/>
  <c r="BO43" i="44"/>
  <c r="BP43" i="44" a="1"/>
  <c r="BP43" i="44"/>
  <c r="BQ43" i="44" a="1"/>
  <c r="BQ43" i="44"/>
  <c r="BR43" i="44" a="1"/>
  <c r="BR43" i="44"/>
  <c r="BS43" i="44" a="1"/>
  <c r="BS43" i="44"/>
  <c r="BT43" i="44" a="1"/>
  <c r="BT43" i="44"/>
  <c r="BU43" i="44" a="1"/>
  <c r="BU43" i="44"/>
  <c r="BV43" i="44" a="1"/>
  <c r="BV43" i="44"/>
  <c r="BW43" i="44" a="1"/>
  <c r="BW43" i="44"/>
  <c r="BY43" i="44" a="1"/>
  <c r="BY43" i="44"/>
  <c r="BZ43" i="44" a="1"/>
  <c r="BZ43" i="44"/>
  <c r="CA43" i="44" a="1"/>
  <c r="CA43" i="44"/>
  <c r="CB43" i="44" a="1"/>
  <c r="CB43" i="44"/>
  <c r="CC43" i="44" a="1"/>
  <c r="CC43" i="44"/>
  <c r="CD43" i="44" a="1"/>
  <c r="CD43" i="44"/>
  <c r="CE43" i="44" a="1"/>
  <c r="CE43" i="44"/>
  <c r="CF43" i="44" a="1"/>
  <c r="CF43" i="44"/>
  <c r="CG43" i="44" a="1"/>
  <c r="CG43" i="44"/>
  <c r="CI43" i="44" a="1"/>
  <c r="CI43" i="44"/>
  <c r="CJ43" i="44" a="1"/>
  <c r="CJ43" i="44"/>
  <c r="CK43" i="44" a="1"/>
  <c r="CK43" i="44"/>
  <c r="CL43" i="44" a="1"/>
  <c r="CL43" i="44"/>
  <c r="CM43" i="44" a="1"/>
  <c r="CM43" i="44"/>
  <c r="CN43" i="44" a="1"/>
  <c r="CN43" i="44"/>
  <c r="CO43" i="44" a="1"/>
  <c r="CO43" i="44"/>
  <c r="CP43" i="44" a="1"/>
  <c r="CP43" i="44"/>
  <c r="CQ43" i="44" a="1"/>
  <c r="CQ43" i="44"/>
  <c r="CS43" i="44" a="1"/>
  <c r="CS43" i="44"/>
  <c r="CT43" i="44" a="1"/>
  <c r="CT43" i="44"/>
  <c r="CU43" i="44" a="1"/>
  <c r="CU43" i="44"/>
  <c r="CV43" i="44" a="1"/>
  <c r="CV43" i="44"/>
  <c r="CW43" i="44" a="1"/>
  <c r="CW43" i="44"/>
  <c r="CX43" i="44" a="1"/>
  <c r="CX43" i="44"/>
  <c r="CY43" i="44" a="1"/>
  <c r="CY43" i="44"/>
  <c r="CZ43" i="44" a="1"/>
  <c r="CZ43" i="44"/>
  <c r="DA43" i="44" a="1"/>
  <c r="DA43" i="44"/>
  <c r="DB43" i="44" a="1"/>
  <c r="DB43" i="44"/>
  <c r="DC43" i="44" a="1"/>
  <c r="DC43" i="44"/>
  <c r="DD43" i="44" a="1"/>
  <c r="DD43" i="44"/>
  <c r="DE43" i="44" a="1"/>
  <c r="DE43" i="44"/>
  <c r="DF43" i="44" a="1"/>
  <c r="DF43" i="44"/>
  <c r="DG43" i="44" a="1"/>
  <c r="DG43" i="44"/>
  <c r="DH43" i="44" a="1"/>
  <c r="DH43" i="44"/>
  <c r="E44" i="44" a="1"/>
  <c r="E44" i="44"/>
  <c r="F44" i="44" a="1"/>
  <c r="F44" i="44"/>
  <c r="G44" i="44" a="1"/>
  <c r="G44" i="44"/>
  <c r="H44" i="44" a="1"/>
  <c r="H44" i="44"/>
  <c r="I44" i="44" a="1"/>
  <c r="I44" i="44"/>
  <c r="J44" i="44" a="1"/>
  <c r="J44" i="44"/>
  <c r="K44" i="44" a="1"/>
  <c r="K44" i="44"/>
  <c r="L44" i="44" a="1"/>
  <c r="L44" i="44"/>
  <c r="M44" i="44" a="1"/>
  <c r="M44" i="44"/>
  <c r="N44" i="44"/>
  <c r="O44" i="44" a="1"/>
  <c r="O44" i="44"/>
  <c r="P44" i="44" a="1"/>
  <c r="P44" i="44"/>
  <c r="Q44" i="44" a="1"/>
  <c r="Q44" i="44"/>
  <c r="R44" i="44" a="1"/>
  <c r="R44" i="44"/>
  <c r="S44" i="44" a="1"/>
  <c r="S44" i="44"/>
  <c r="T44" i="44" a="1"/>
  <c r="T44" i="44"/>
  <c r="U44" i="44" a="1"/>
  <c r="U44" i="44"/>
  <c r="V44" i="44" a="1"/>
  <c r="V44" i="44"/>
  <c r="W44" i="44" a="1"/>
  <c r="W44" i="44"/>
  <c r="Y44" i="44" a="1"/>
  <c r="Y44" i="44"/>
  <c r="Z44" i="44" a="1"/>
  <c r="Z44" i="44"/>
  <c r="AA44" i="44" a="1"/>
  <c r="AA44" i="44"/>
  <c r="AB44" i="44" a="1"/>
  <c r="AB44" i="44"/>
  <c r="AC44" i="44" a="1"/>
  <c r="AC44" i="44"/>
  <c r="AD44" i="44" a="1"/>
  <c r="AD44" i="44"/>
  <c r="AE44" i="44" a="1"/>
  <c r="AE44" i="44"/>
  <c r="AF44" i="44" a="1"/>
  <c r="AF44" i="44"/>
  <c r="AG44" i="44" a="1"/>
  <c r="AG44" i="44"/>
  <c r="AI44" i="44" a="1"/>
  <c r="AI44" i="44"/>
  <c r="AJ44" i="44" a="1"/>
  <c r="AJ44" i="44"/>
  <c r="AK44" i="44" a="1"/>
  <c r="AK44" i="44"/>
  <c r="AL44" i="44" a="1"/>
  <c r="AL44" i="44"/>
  <c r="AM44" i="44" a="1"/>
  <c r="AM44" i="44"/>
  <c r="AN44" i="44" a="1"/>
  <c r="AN44" i="44"/>
  <c r="AO44" i="44" a="1"/>
  <c r="AO44" i="44"/>
  <c r="AP44" i="44" a="1"/>
  <c r="AP44" i="44"/>
  <c r="AQ44" i="44" a="1"/>
  <c r="AQ44" i="44"/>
  <c r="AS44" i="44" a="1"/>
  <c r="AS44" i="44"/>
  <c r="AT44" i="44" a="1"/>
  <c r="AT44" i="44"/>
  <c r="AU44" i="44" a="1"/>
  <c r="AU44" i="44"/>
  <c r="AV44" i="44" a="1"/>
  <c r="AV44" i="44"/>
  <c r="AW44" i="44" a="1"/>
  <c r="AW44" i="44"/>
  <c r="AX44" i="44" a="1"/>
  <c r="AX44" i="44"/>
  <c r="AY44" i="44" a="1"/>
  <c r="AY44" i="44"/>
  <c r="AZ44" i="44" a="1"/>
  <c r="AZ44" i="44"/>
  <c r="BA44" i="44" a="1"/>
  <c r="BA44" i="44"/>
  <c r="BC44" i="44" a="1"/>
  <c r="BC44" i="44"/>
  <c r="BD44" i="44" a="1"/>
  <c r="BD44" i="44"/>
  <c r="BE44" i="44" a="1"/>
  <c r="BE44" i="44"/>
  <c r="BF44" i="44" a="1"/>
  <c r="BF44" i="44"/>
  <c r="BG44" i="44" a="1"/>
  <c r="BG44" i="44"/>
  <c r="BH44" i="44" a="1"/>
  <c r="BH44" i="44"/>
  <c r="BI44" i="44" a="1"/>
  <c r="BI44" i="44"/>
  <c r="BJ44" i="44" a="1"/>
  <c r="BJ44" i="44"/>
  <c r="BK44" i="44" a="1"/>
  <c r="BK44" i="44"/>
  <c r="BO44" i="44" a="1"/>
  <c r="BO44" i="44"/>
  <c r="BP44" i="44" a="1"/>
  <c r="BP44" i="44"/>
  <c r="BQ44" i="44" a="1"/>
  <c r="BQ44" i="44"/>
  <c r="BR44" i="44" a="1"/>
  <c r="BR44" i="44"/>
  <c r="BS44" i="44" a="1"/>
  <c r="BS44" i="44"/>
  <c r="BT44" i="44" a="1"/>
  <c r="BT44" i="44"/>
  <c r="BU44" i="44" a="1"/>
  <c r="BU44" i="44"/>
  <c r="BV44" i="44" a="1"/>
  <c r="BV44" i="44"/>
  <c r="BW44" i="44" a="1"/>
  <c r="BW44" i="44"/>
  <c r="BY44" i="44" a="1"/>
  <c r="BY44" i="44"/>
  <c r="BZ44" i="44" a="1"/>
  <c r="BZ44" i="44"/>
  <c r="CA44" i="44" a="1"/>
  <c r="CA44" i="44"/>
  <c r="CB44" i="44" a="1"/>
  <c r="CB44" i="44"/>
  <c r="CC44" i="44" a="1"/>
  <c r="CC44" i="44"/>
  <c r="CD44" i="44" a="1"/>
  <c r="CD44" i="44"/>
  <c r="CE44" i="44" a="1"/>
  <c r="CE44" i="44"/>
  <c r="CF44" i="44" a="1"/>
  <c r="CF44" i="44"/>
  <c r="CG44" i="44" a="1"/>
  <c r="CG44" i="44"/>
  <c r="CI44" i="44" a="1"/>
  <c r="CI44" i="44"/>
  <c r="CJ44" i="44" a="1"/>
  <c r="CJ44" i="44"/>
  <c r="CK44" i="44" a="1"/>
  <c r="CK44" i="44"/>
  <c r="CL44" i="44" a="1"/>
  <c r="CL44" i="44"/>
  <c r="CM44" i="44" a="1"/>
  <c r="CM44" i="44"/>
  <c r="CN44" i="44" a="1"/>
  <c r="CN44" i="44"/>
  <c r="CO44" i="44" a="1"/>
  <c r="CO44" i="44"/>
  <c r="CP44" i="44" a="1"/>
  <c r="CP44" i="44"/>
  <c r="CQ44" i="44" a="1"/>
  <c r="CQ44" i="44"/>
  <c r="CS44" i="44" a="1"/>
  <c r="CS44" i="44"/>
  <c r="CT44" i="44" a="1"/>
  <c r="CT44" i="44"/>
  <c r="CU44" i="44" a="1"/>
  <c r="CU44" i="44"/>
  <c r="CV44" i="44" a="1"/>
  <c r="CV44" i="44"/>
  <c r="CW44" i="44" a="1"/>
  <c r="CW44" i="44"/>
  <c r="CX44" i="44" a="1"/>
  <c r="CX44" i="44"/>
  <c r="CY44" i="44" a="1"/>
  <c r="CY44" i="44"/>
  <c r="CZ44" i="44" a="1"/>
  <c r="CZ44" i="44"/>
  <c r="DA44" i="44" a="1"/>
  <c r="DA44" i="44"/>
  <c r="DB44" i="44" a="1"/>
  <c r="DB44" i="44"/>
  <c r="DC44" i="44" a="1"/>
  <c r="DC44" i="44"/>
  <c r="DD44" i="44" a="1"/>
  <c r="DD44" i="44"/>
  <c r="DE44" i="44" a="1"/>
  <c r="DE44" i="44"/>
  <c r="DF44" i="44" a="1"/>
  <c r="DF44" i="44"/>
  <c r="DG44" i="44" a="1"/>
  <c r="DG44" i="44"/>
  <c r="DH44" i="44" a="1"/>
  <c r="DH44" i="44"/>
  <c r="E45" i="44" a="1"/>
  <c r="E45" i="44"/>
  <c r="F45" i="44" a="1"/>
  <c r="F45" i="44"/>
  <c r="G45" i="44" a="1"/>
  <c r="G45" i="44"/>
  <c r="H45" i="44" a="1"/>
  <c r="H45" i="44"/>
  <c r="I45" i="44" a="1"/>
  <c r="I45" i="44"/>
  <c r="J45" i="44" a="1"/>
  <c r="J45" i="44"/>
  <c r="K45" i="44" a="1"/>
  <c r="K45" i="44"/>
  <c r="L45" i="44" a="1"/>
  <c r="L45" i="44"/>
  <c r="M45" i="44" a="1"/>
  <c r="M45" i="44"/>
  <c r="N45" i="44"/>
  <c r="O45" i="44" a="1"/>
  <c r="O45" i="44"/>
  <c r="P45" i="44" a="1"/>
  <c r="P45" i="44"/>
  <c r="Q45" i="44" a="1"/>
  <c r="Q45" i="44"/>
  <c r="R45" i="44" a="1"/>
  <c r="R45" i="44"/>
  <c r="S45" i="44" a="1"/>
  <c r="S45" i="44"/>
  <c r="T45" i="44" a="1"/>
  <c r="T45" i="44"/>
  <c r="U45" i="44" a="1"/>
  <c r="U45" i="44"/>
  <c r="V45" i="44" a="1"/>
  <c r="V45" i="44"/>
  <c r="W45" i="44" a="1"/>
  <c r="W45" i="44"/>
  <c r="Y45" i="44" a="1"/>
  <c r="Y45" i="44"/>
  <c r="Z45" i="44" a="1"/>
  <c r="Z45" i="44"/>
  <c r="AA45" i="44" a="1"/>
  <c r="AA45" i="44"/>
  <c r="AB45" i="44" a="1"/>
  <c r="AB45" i="44"/>
  <c r="AC45" i="44" a="1"/>
  <c r="AC45" i="44"/>
  <c r="AD45" i="44" a="1"/>
  <c r="AD45" i="44"/>
  <c r="AE45" i="44" a="1"/>
  <c r="AE45" i="44"/>
  <c r="AF45" i="44" a="1"/>
  <c r="AF45" i="44"/>
  <c r="AG45" i="44" a="1"/>
  <c r="AG45" i="44"/>
  <c r="AI45" i="44" a="1"/>
  <c r="AI45" i="44"/>
  <c r="AJ45" i="44" a="1"/>
  <c r="AJ45" i="44"/>
  <c r="AK45" i="44" a="1"/>
  <c r="AK45" i="44"/>
  <c r="AL45" i="44" a="1"/>
  <c r="AL45" i="44"/>
  <c r="AM45" i="44" a="1"/>
  <c r="AM45" i="44"/>
  <c r="AN45" i="44" a="1"/>
  <c r="AN45" i="44"/>
  <c r="AO45" i="44" a="1"/>
  <c r="AO45" i="44"/>
  <c r="AP45" i="44" a="1"/>
  <c r="AP45" i="44"/>
  <c r="AQ45" i="44" a="1"/>
  <c r="AQ45" i="44"/>
  <c r="AS45" i="44" a="1"/>
  <c r="AS45" i="44"/>
  <c r="AT45" i="44" a="1"/>
  <c r="AT45" i="44"/>
  <c r="AU45" i="44" a="1"/>
  <c r="AU45" i="44"/>
  <c r="AV45" i="44" a="1"/>
  <c r="AV45" i="44"/>
  <c r="AW45" i="44" a="1"/>
  <c r="AW45" i="44"/>
  <c r="AX45" i="44" a="1"/>
  <c r="AX45" i="44"/>
  <c r="AY45" i="44" a="1"/>
  <c r="AY45" i="44"/>
  <c r="AZ45" i="44" a="1"/>
  <c r="AZ45" i="44"/>
  <c r="BA45" i="44" a="1"/>
  <c r="BA45" i="44"/>
  <c r="BC45" i="44" a="1"/>
  <c r="BC45" i="44"/>
  <c r="BD45" i="44" a="1"/>
  <c r="BD45" i="44"/>
  <c r="BE45" i="44" a="1"/>
  <c r="BE45" i="44"/>
  <c r="BF45" i="44" a="1"/>
  <c r="BF45" i="44"/>
  <c r="BG45" i="44" a="1"/>
  <c r="BG45" i="44"/>
  <c r="BH45" i="44" a="1"/>
  <c r="BH45" i="44"/>
  <c r="BI45" i="44" a="1"/>
  <c r="BI45" i="44"/>
  <c r="BJ45" i="44" a="1"/>
  <c r="BJ45" i="44"/>
  <c r="BK45" i="44" a="1"/>
  <c r="BK45" i="44"/>
  <c r="BO45" i="44" a="1"/>
  <c r="BO45" i="44"/>
  <c r="BP45" i="44" a="1"/>
  <c r="BP45" i="44"/>
  <c r="BQ45" i="44" a="1"/>
  <c r="BQ45" i="44"/>
  <c r="BR45" i="44" a="1"/>
  <c r="BR45" i="44"/>
  <c r="BS45" i="44" a="1"/>
  <c r="BS45" i="44"/>
  <c r="BT45" i="44" a="1"/>
  <c r="BT45" i="44"/>
  <c r="BU45" i="44" a="1"/>
  <c r="BU45" i="44"/>
  <c r="BV45" i="44" a="1"/>
  <c r="BV45" i="44"/>
  <c r="BW45" i="44" a="1"/>
  <c r="BW45" i="44"/>
  <c r="BY45" i="44" a="1"/>
  <c r="BY45" i="44"/>
  <c r="BZ45" i="44" a="1"/>
  <c r="BZ45" i="44"/>
  <c r="CA45" i="44" a="1"/>
  <c r="CA45" i="44"/>
  <c r="CB45" i="44" a="1"/>
  <c r="CB45" i="44"/>
  <c r="CC45" i="44" a="1"/>
  <c r="CC45" i="44"/>
  <c r="CD45" i="44" a="1"/>
  <c r="CD45" i="44"/>
  <c r="CE45" i="44" a="1"/>
  <c r="CE45" i="44"/>
  <c r="CF45" i="44" a="1"/>
  <c r="CF45" i="44"/>
  <c r="CG45" i="44" a="1"/>
  <c r="CG45" i="44"/>
  <c r="CI45" i="44" a="1"/>
  <c r="CI45" i="44"/>
  <c r="CJ45" i="44" a="1"/>
  <c r="CJ45" i="44"/>
  <c r="CK45" i="44" a="1"/>
  <c r="CK45" i="44"/>
  <c r="CL45" i="44" a="1"/>
  <c r="CL45" i="44"/>
  <c r="CM45" i="44" a="1"/>
  <c r="CM45" i="44"/>
  <c r="CN45" i="44" a="1"/>
  <c r="CN45" i="44"/>
  <c r="CO45" i="44" a="1"/>
  <c r="CO45" i="44"/>
  <c r="CP45" i="44" a="1"/>
  <c r="CP45" i="44"/>
  <c r="CQ45" i="44" a="1"/>
  <c r="CQ45" i="44"/>
  <c r="CS45" i="44" a="1"/>
  <c r="CS45" i="44"/>
  <c r="CT45" i="44" a="1"/>
  <c r="CT45" i="44"/>
  <c r="CU45" i="44" a="1"/>
  <c r="CU45" i="44"/>
  <c r="CV45" i="44" a="1"/>
  <c r="CV45" i="44"/>
  <c r="CW45" i="44" a="1"/>
  <c r="CW45" i="44"/>
  <c r="CX45" i="44" a="1"/>
  <c r="CX45" i="44"/>
  <c r="CY45" i="44" a="1"/>
  <c r="CY45" i="44"/>
  <c r="CZ45" i="44" a="1"/>
  <c r="CZ45" i="44"/>
  <c r="DA45" i="44" a="1"/>
  <c r="DA45" i="44"/>
  <c r="DB45" i="44" a="1"/>
  <c r="DB45" i="44"/>
  <c r="DC45" i="44" a="1"/>
  <c r="DC45" i="44"/>
  <c r="DD45" i="44" a="1"/>
  <c r="DD45" i="44"/>
  <c r="DE45" i="44" a="1"/>
  <c r="DE45" i="44"/>
  <c r="DF45" i="44" a="1"/>
  <c r="DF45" i="44"/>
  <c r="DG45" i="44" a="1"/>
  <c r="DG45" i="44"/>
  <c r="DH45" i="44" a="1"/>
  <c r="DH45" i="44"/>
  <c r="E46" i="44" a="1"/>
  <c r="E46" i="44"/>
  <c r="F46" i="44" a="1"/>
  <c r="F46" i="44"/>
  <c r="G46" i="44" a="1"/>
  <c r="G46" i="44"/>
  <c r="H46" i="44" a="1"/>
  <c r="H46" i="44"/>
  <c r="I46" i="44" a="1"/>
  <c r="I46" i="44"/>
  <c r="J46" i="44" a="1"/>
  <c r="J46" i="44"/>
  <c r="K46" i="44" a="1"/>
  <c r="K46" i="44"/>
  <c r="L46" i="44" a="1"/>
  <c r="L46" i="44"/>
  <c r="M46" i="44" a="1"/>
  <c r="M46" i="44"/>
  <c r="N46" i="44"/>
  <c r="O46" i="44" a="1"/>
  <c r="O46" i="44"/>
  <c r="P46" i="44" a="1"/>
  <c r="P46" i="44"/>
  <c r="Q46" i="44" a="1"/>
  <c r="Q46" i="44"/>
  <c r="R46" i="44" a="1"/>
  <c r="R46" i="44"/>
  <c r="S46" i="44" a="1"/>
  <c r="S46" i="44"/>
  <c r="T46" i="44" a="1"/>
  <c r="T46" i="44"/>
  <c r="U46" i="44" a="1"/>
  <c r="U46" i="44"/>
  <c r="V46" i="44" a="1"/>
  <c r="V46" i="44"/>
  <c r="W46" i="44" a="1"/>
  <c r="W46" i="44"/>
  <c r="Y46" i="44" a="1"/>
  <c r="Y46" i="44"/>
  <c r="Z46" i="44" a="1"/>
  <c r="Z46" i="44"/>
  <c r="AA46" i="44" a="1"/>
  <c r="AA46" i="44"/>
  <c r="AB46" i="44" a="1"/>
  <c r="AB46" i="44"/>
  <c r="AC46" i="44" a="1"/>
  <c r="AC46" i="44"/>
  <c r="AD46" i="44" a="1"/>
  <c r="AD46" i="44"/>
  <c r="AE46" i="44" a="1"/>
  <c r="AE46" i="44"/>
  <c r="AF46" i="44" a="1"/>
  <c r="AF46" i="44"/>
  <c r="AG46" i="44" a="1"/>
  <c r="AG46" i="44"/>
  <c r="AI46" i="44" a="1"/>
  <c r="AI46" i="44"/>
  <c r="AJ46" i="44" a="1"/>
  <c r="AJ46" i="44"/>
  <c r="AK46" i="44" a="1"/>
  <c r="AK46" i="44"/>
  <c r="AL46" i="44" a="1"/>
  <c r="AL46" i="44"/>
  <c r="AM46" i="44" a="1"/>
  <c r="AM46" i="44"/>
  <c r="AN46" i="44" a="1"/>
  <c r="AN46" i="44"/>
  <c r="AO46" i="44" a="1"/>
  <c r="AO46" i="44"/>
  <c r="AP46" i="44" a="1"/>
  <c r="AP46" i="44"/>
  <c r="AQ46" i="44" a="1"/>
  <c r="AQ46" i="44"/>
  <c r="AS46" i="44" a="1"/>
  <c r="AS46" i="44"/>
  <c r="AT46" i="44" a="1"/>
  <c r="AT46" i="44"/>
  <c r="AU46" i="44" a="1"/>
  <c r="AU46" i="44"/>
  <c r="AV46" i="44" a="1"/>
  <c r="AV46" i="44"/>
  <c r="AW46" i="44" a="1"/>
  <c r="AW46" i="44"/>
  <c r="AX46" i="44" a="1"/>
  <c r="AX46" i="44"/>
  <c r="AY46" i="44" a="1"/>
  <c r="AY46" i="44"/>
  <c r="AZ46" i="44" a="1"/>
  <c r="AZ46" i="44"/>
  <c r="BA46" i="44" a="1"/>
  <c r="BA46" i="44"/>
  <c r="BC46" i="44" a="1"/>
  <c r="BC46" i="44"/>
  <c r="BD46" i="44" a="1"/>
  <c r="BD46" i="44"/>
  <c r="BE46" i="44" a="1"/>
  <c r="BE46" i="44"/>
  <c r="BF46" i="44" a="1"/>
  <c r="BF46" i="44"/>
  <c r="BG46" i="44" a="1"/>
  <c r="BG46" i="44"/>
  <c r="BH46" i="44" a="1"/>
  <c r="BH46" i="44"/>
  <c r="BI46" i="44" a="1"/>
  <c r="BI46" i="44"/>
  <c r="BJ46" i="44" a="1"/>
  <c r="BJ46" i="44"/>
  <c r="BK46" i="44" a="1"/>
  <c r="BK46" i="44"/>
  <c r="BO46" i="44" a="1"/>
  <c r="BO46" i="44"/>
  <c r="BP46" i="44" a="1"/>
  <c r="BP46" i="44"/>
  <c r="BQ46" i="44" a="1"/>
  <c r="BQ46" i="44"/>
  <c r="BR46" i="44" a="1"/>
  <c r="BR46" i="44"/>
  <c r="BS46" i="44" a="1"/>
  <c r="BS46" i="44"/>
  <c r="BT46" i="44" a="1"/>
  <c r="BT46" i="44"/>
  <c r="BU46" i="44" a="1"/>
  <c r="BU46" i="44"/>
  <c r="BV46" i="44" a="1"/>
  <c r="BV46" i="44"/>
  <c r="BW46" i="44" a="1"/>
  <c r="BW46" i="44"/>
  <c r="BY46" i="44" a="1"/>
  <c r="BY46" i="44"/>
  <c r="BZ46" i="44" a="1"/>
  <c r="BZ46" i="44"/>
  <c r="CA46" i="44" a="1"/>
  <c r="CA46" i="44"/>
  <c r="CB46" i="44" a="1"/>
  <c r="CB46" i="44"/>
  <c r="CC46" i="44" a="1"/>
  <c r="CC46" i="44"/>
  <c r="CD46" i="44" a="1"/>
  <c r="CD46" i="44"/>
  <c r="CE46" i="44" a="1"/>
  <c r="CE46" i="44"/>
  <c r="CF46" i="44" a="1"/>
  <c r="CF46" i="44"/>
  <c r="CG46" i="44" a="1"/>
  <c r="CG46" i="44"/>
  <c r="CI46" i="44" a="1"/>
  <c r="CI46" i="44"/>
  <c r="CJ46" i="44" a="1"/>
  <c r="CJ46" i="44"/>
  <c r="CK46" i="44" a="1"/>
  <c r="CK46" i="44"/>
  <c r="CL46" i="44" a="1"/>
  <c r="CL46" i="44"/>
  <c r="CM46" i="44" a="1"/>
  <c r="CM46" i="44"/>
  <c r="CN46" i="44" a="1"/>
  <c r="CN46" i="44"/>
  <c r="CO46" i="44" a="1"/>
  <c r="CO46" i="44"/>
  <c r="CP46" i="44" a="1"/>
  <c r="CP46" i="44"/>
  <c r="CQ46" i="44" a="1"/>
  <c r="CQ46" i="44"/>
  <c r="CS46" i="44" a="1"/>
  <c r="CS46" i="44"/>
  <c r="CT46" i="44" a="1"/>
  <c r="CT46" i="44"/>
  <c r="CU46" i="44" a="1"/>
  <c r="CU46" i="44"/>
  <c r="CV46" i="44" a="1"/>
  <c r="CV46" i="44"/>
  <c r="CW46" i="44" a="1"/>
  <c r="CW46" i="44"/>
  <c r="CX46" i="44" a="1"/>
  <c r="CX46" i="44"/>
  <c r="CY46" i="44" a="1"/>
  <c r="CY46" i="44"/>
  <c r="CZ46" i="44" a="1"/>
  <c r="CZ46" i="44"/>
  <c r="DA46" i="44" a="1"/>
  <c r="DA46" i="44"/>
  <c r="DB46" i="44" a="1"/>
  <c r="DB46" i="44"/>
  <c r="DC46" i="44" a="1"/>
  <c r="DC46" i="44"/>
  <c r="DD46" i="44" a="1"/>
  <c r="DD46" i="44"/>
  <c r="DE46" i="44" a="1"/>
  <c r="DE46" i="44"/>
  <c r="DF46" i="44" a="1"/>
  <c r="DF46" i="44"/>
  <c r="DG46" i="44" a="1"/>
  <c r="DG46" i="44"/>
  <c r="DH46" i="44" a="1"/>
  <c r="DH46" i="44"/>
  <c r="E47" i="44" a="1"/>
  <c r="E47" i="44"/>
  <c r="F47" i="44" a="1"/>
  <c r="F47" i="44"/>
  <c r="G47" i="44" a="1"/>
  <c r="G47" i="44"/>
  <c r="H47" i="44" a="1"/>
  <c r="H47" i="44"/>
  <c r="I47" i="44" a="1"/>
  <c r="I47" i="44"/>
  <c r="J47" i="44" a="1"/>
  <c r="J47" i="44"/>
  <c r="K47" i="44" a="1"/>
  <c r="K47" i="44"/>
  <c r="L47" i="44" a="1"/>
  <c r="L47" i="44"/>
  <c r="M47" i="44" a="1"/>
  <c r="M47" i="44"/>
  <c r="N47" i="44"/>
  <c r="O47" i="44" a="1"/>
  <c r="O47" i="44"/>
  <c r="P47" i="44" a="1"/>
  <c r="P47" i="44"/>
  <c r="Q47" i="44" a="1"/>
  <c r="Q47" i="44"/>
  <c r="R47" i="44" a="1"/>
  <c r="R47" i="44"/>
  <c r="S47" i="44" a="1"/>
  <c r="S47" i="44"/>
  <c r="T47" i="44" a="1"/>
  <c r="T47" i="44"/>
  <c r="U47" i="44" a="1"/>
  <c r="U47" i="44"/>
  <c r="V47" i="44" a="1"/>
  <c r="V47" i="44"/>
  <c r="W47" i="44" a="1"/>
  <c r="W47" i="44"/>
  <c r="Y47" i="44" a="1"/>
  <c r="Y47" i="44"/>
  <c r="Z47" i="44" a="1"/>
  <c r="Z47" i="44"/>
  <c r="AA47" i="44" a="1"/>
  <c r="AA47" i="44"/>
  <c r="AB47" i="44" a="1"/>
  <c r="AB47" i="44"/>
  <c r="AC47" i="44" a="1"/>
  <c r="AC47" i="44"/>
  <c r="AD47" i="44" a="1"/>
  <c r="AD47" i="44"/>
  <c r="AE47" i="44" a="1"/>
  <c r="AE47" i="44"/>
  <c r="AF47" i="44" a="1"/>
  <c r="AF47" i="44"/>
  <c r="AG47" i="44" a="1"/>
  <c r="AG47" i="44"/>
  <c r="AI47" i="44" a="1"/>
  <c r="AI47" i="44"/>
  <c r="AJ47" i="44" a="1"/>
  <c r="AJ47" i="44"/>
  <c r="AK47" i="44" a="1"/>
  <c r="AK47" i="44"/>
  <c r="AL47" i="44" a="1"/>
  <c r="AL47" i="44"/>
  <c r="AM47" i="44" a="1"/>
  <c r="AM47" i="44"/>
  <c r="AN47" i="44" a="1"/>
  <c r="AN47" i="44"/>
  <c r="AO47" i="44" a="1"/>
  <c r="AO47" i="44"/>
  <c r="AP47" i="44" a="1"/>
  <c r="AP47" i="44"/>
  <c r="AQ47" i="44" a="1"/>
  <c r="AQ47" i="44"/>
  <c r="AS47" i="44" a="1"/>
  <c r="AS47" i="44"/>
  <c r="AT47" i="44" a="1"/>
  <c r="AT47" i="44"/>
  <c r="AU47" i="44" a="1"/>
  <c r="AU47" i="44"/>
  <c r="AV47" i="44" a="1"/>
  <c r="AV47" i="44"/>
  <c r="AW47" i="44" a="1"/>
  <c r="AW47" i="44"/>
  <c r="AX47" i="44" a="1"/>
  <c r="AX47" i="44"/>
  <c r="AY47" i="44" a="1"/>
  <c r="AY47" i="44"/>
  <c r="AZ47" i="44" a="1"/>
  <c r="AZ47" i="44"/>
  <c r="BA47" i="44" a="1"/>
  <c r="BA47" i="44"/>
  <c r="BC47" i="44" a="1"/>
  <c r="BC47" i="44"/>
  <c r="BD47" i="44" a="1"/>
  <c r="BD47" i="44"/>
  <c r="BE47" i="44" a="1"/>
  <c r="BE47" i="44"/>
  <c r="BF47" i="44" a="1"/>
  <c r="BF47" i="44"/>
  <c r="BG47" i="44" a="1"/>
  <c r="BG47" i="44"/>
  <c r="BH47" i="44" a="1"/>
  <c r="BH47" i="44"/>
  <c r="BI47" i="44" a="1"/>
  <c r="BI47" i="44"/>
  <c r="BJ47" i="44" a="1"/>
  <c r="BJ47" i="44"/>
  <c r="BK47" i="44" a="1"/>
  <c r="BK47" i="44"/>
  <c r="BO47" i="44" a="1"/>
  <c r="BO47" i="44"/>
  <c r="BP47" i="44" a="1"/>
  <c r="BP47" i="44"/>
  <c r="BQ47" i="44" a="1"/>
  <c r="BQ47" i="44"/>
  <c r="BR47" i="44" a="1"/>
  <c r="BR47" i="44"/>
  <c r="BS47" i="44" a="1"/>
  <c r="BS47" i="44"/>
  <c r="BT47" i="44" a="1"/>
  <c r="BT47" i="44"/>
  <c r="BU47" i="44" a="1"/>
  <c r="BU47" i="44"/>
  <c r="BV47" i="44" a="1"/>
  <c r="BV47" i="44"/>
  <c r="BW47" i="44" a="1"/>
  <c r="BW47" i="44"/>
  <c r="BY47" i="44" a="1"/>
  <c r="BY47" i="44"/>
  <c r="BZ47" i="44" a="1"/>
  <c r="BZ47" i="44"/>
  <c r="CA47" i="44" a="1"/>
  <c r="CA47" i="44"/>
  <c r="CB47" i="44" a="1"/>
  <c r="CB47" i="44"/>
  <c r="CC47" i="44" a="1"/>
  <c r="CC47" i="44"/>
  <c r="CD47" i="44" a="1"/>
  <c r="CD47" i="44"/>
  <c r="CE47" i="44" a="1"/>
  <c r="CE47" i="44"/>
  <c r="CF47" i="44" a="1"/>
  <c r="CF47" i="44"/>
  <c r="CG47" i="44" a="1"/>
  <c r="CG47" i="44"/>
  <c r="CI47" i="44" a="1"/>
  <c r="CI47" i="44"/>
  <c r="CJ47" i="44" a="1"/>
  <c r="CJ47" i="44"/>
  <c r="CK47" i="44" a="1"/>
  <c r="CK47" i="44"/>
  <c r="CL47" i="44" a="1"/>
  <c r="CL47" i="44"/>
  <c r="CM47" i="44" a="1"/>
  <c r="CM47" i="44"/>
  <c r="CN47" i="44" a="1"/>
  <c r="CN47" i="44"/>
  <c r="CO47" i="44" a="1"/>
  <c r="CO47" i="44"/>
  <c r="CP47" i="44" a="1"/>
  <c r="CP47" i="44"/>
  <c r="CQ47" i="44" a="1"/>
  <c r="CQ47" i="44"/>
  <c r="CS47" i="44" a="1"/>
  <c r="CS47" i="44"/>
  <c r="CT47" i="44" a="1"/>
  <c r="CT47" i="44"/>
  <c r="CU47" i="44" a="1"/>
  <c r="CU47" i="44"/>
  <c r="CV47" i="44" a="1"/>
  <c r="CV47" i="44"/>
  <c r="CW47" i="44" a="1"/>
  <c r="CW47" i="44"/>
  <c r="CX47" i="44" a="1"/>
  <c r="CX47" i="44"/>
  <c r="CY47" i="44" a="1"/>
  <c r="CY47" i="44"/>
  <c r="CZ47" i="44" a="1"/>
  <c r="CZ47" i="44"/>
  <c r="DA47" i="44" a="1"/>
  <c r="DA47" i="44"/>
  <c r="DB47" i="44" a="1"/>
  <c r="DB47" i="44"/>
  <c r="DC47" i="44" a="1"/>
  <c r="DC47" i="44"/>
  <c r="DD47" i="44" a="1"/>
  <c r="DD47" i="44"/>
  <c r="DE47" i="44" a="1"/>
  <c r="DE47" i="44"/>
  <c r="DF47" i="44" a="1"/>
  <c r="DF47" i="44"/>
  <c r="DG47" i="44" a="1"/>
  <c r="DG47" i="44"/>
  <c r="DH47" i="44" a="1"/>
  <c r="DH47" i="44"/>
  <c r="E48" i="44" a="1"/>
  <c r="E48" i="44"/>
  <c r="F48" i="44" a="1"/>
  <c r="F48" i="44"/>
  <c r="G48" i="44" a="1"/>
  <c r="G48" i="44"/>
  <c r="H48" i="44" a="1"/>
  <c r="H48" i="44"/>
  <c r="I48" i="44" a="1"/>
  <c r="I48" i="44"/>
  <c r="J48" i="44" a="1"/>
  <c r="J48" i="44"/>
  <c r="K48" i="44" a="1"/>
  <c r="K48" i="44"/>
  <c r="L48" i="44" a="1"/>
  <c r="L48" i="44"/>
  <c r="M48" i="44" a="1"/>
  <c r="M48" i="44"/>
  <c r="N48" i="44"/>
  <c r="O48" i="44" a="1"/>
  <c r="O48" i="44"/>
  <c r="P48" i="44" a="1"/>
  <c r="P48" i="44"/>
  <c r="Q48" i="44" a="1"/>
  <c r="Q48" i="44"/>
  <c r="R48" i="44" a="1"/>
  <c r="R48" i="44"/>
  <c r="S48" i="44" a="1"/>
  <c r="S48" i="44"/>
  <c r="T48" i="44" a="1"/>
  <c r="T48" i="44"/>
  <c r="U48" i="44" a="1"/>
  <c r="U48" i="44"/>
  <c r="V48" i="44" a="1"/>
  <c r="V48" i="44"/>
  <c r="W48" i="44" a="1"/>
  <c r="W48" i="44"/>
  <c r="Y48" i="44" a="1"/>
  <c r="Y48" i="44"/>
  <c r="Z48" i="44" a="1"/>
  <c r="Z48" i="44"/>
  <c r="AA48" i="44" a="1"/>
  <c r="AA48" i="44"/>
  <c r="AB48" i="44" a="1"/>
  <c r="AB48" i="44"/>
  <c r="AC48" i="44" a="1"/>
  <c r="AC48" i="44"/>
  <c r="AD48" i="44" a="1"/>
  <c r="AD48" i="44"/>
  <c r="AE48" i="44" a="1"/>
  <c r="AE48" i="44"/>
  <c r="AF48" i="44" a="1"/>
  <c r="AF48" i="44"/>
  <c r="AG48" i="44" a="1"/>
  <c r="AG48" i="44"/>
  <c r="AI48" i="44" a="1"/>
  <c r="AI48" i="44"/>
  <c r="AJ48" i="44" a="1"/>
  <c r="AJ48" i="44"/>
  <c r="AK48" i="44" a="1"/>
  <c r="AK48" i="44"/>
  <c r="AL48" i="44" a="1"/>
  <c r="AL48" i="44"/>
  <c r="AM48" i="44" a="1"/>
  <c r="AM48" i="44"/>
  <c r="AN48" i="44" a="1"/>
  <c r="AN48" i="44"/>
  <c r="AO48" i="44" a="1"/>
  <c r="AO48" i="44"/>
  <c r="AP48" i="44" a="1"/>
  <c r="AP48" i="44"/>
  <c r="AQ48" i="44" a="1"/>
  <c r="AQ48" i="44"/>
  <c r="AS48" i="44" a="1"/>
  <c r="AS48" i="44"/>
  <c r="AT48" i="44" a="1"/>
  <c r="AT48" i="44"/>
  <c r="AU48" i="44" a="1"/>
  <c r="AU48" i="44"/>
  <c r="AV48" i="44" a="1"/>
  <c r="AV48" i="44"/>
  <c r="AW48" i="44" a="1"/>
  <c r="AW48" i="44"/>
  <c r="AX48" i="44" a="1"/>
  <c r="AX48" i="44"/>
  <c r="AY48" i="44" a="1"/>
  <c r="AY48" i="44"/>
  <c r="AZ48" i="44" a="1"/>
  <c r="AZ48" i="44"/>
  <c r="BA48" i="44" a="1"/>
  <c r="BA48" i="44"/>
  <c r="BC48" i="44" a="1"/>
  <c r="BC48" i="44"/>
  <c r="BD48" i="44" a="1"/>
  <c r="BD48" i="44"/>
  <c r="BE48" i="44" a="1"/>
  <c r="BE48" i="44"/>
  <c r="BF48" i="44" a="1"/>
  <c r="BF48" i="44"/>
  <c r="BG48" i="44" a="1"/>
  <c r="BG48" i="44"/>
  <c r="BH48" i="44" a="1"/>
  <c r="BH48" i="44"/>
  <c r="BI48" i="44" a="1"/>
  <c r="BI48" i="44"/>
  <c r="BJ48" i="44" a="1"/>
  <c r="BJ48" i="44"/>
  <c r="BK48" i="44" a="1"/>
  <c r="BK48" i="44"/>
  <c r="BO48" i="44" a="1"/>
  <c r="BO48" i="44"/>
  <c r="BP48" i="44" a="1"/>
  <c r="BP48" i="44"/>
  <c r="BQ48" i="44" a="1"/>
  <c r="BQ48" i="44"/>
  <c r="BR48" i="44" a="1"/>
  <c r="BR48" i="44"/>
  <c r="BS48" i="44" a="1"/>
  <c r="BS48" i="44"/>
  <c r="BT48" i="44" a="1"/>
  <c r="BT48" i="44"/>
  <c r="BU48" i="44" a="1"/>
  <c r="BU48" i="44"/>
  <c r="BV48" i="44" a="1"/>
  <c r="BV48" i="44"/>
  <c r="BW48" i="44" a="1"/>
  <c r="BW48" i="44"/>
  <c r="BY48" i="44" a="1"/>
  <c r="BY48" i="44"/>
  <c r="BZ48" i="44" a="1"/>
  <c r="BZ48" i="44"/>
  <c r="CA48" i="44" a="1"/>
  <c r="CA48" i="44"/>
  <c r="CB48" i="44" a="1"/>
  <c r="CB48" i="44"/>
  <c r="CC48" i="44" a="1"/>
  <c r="CC48" i="44"/>
  <c r="CD48" i="44" a="1"/>
  <c r="CD48" i="44"/>
  <c r="CE48" i="44" a="1"/>
  <c r="CE48" i="44"/>
  <c r="CF48" i="44" a="1"/>
  <c r="CF48" i="44"/>
  <c r="CG48" i="44" a="1"/>
  <c r="CG48" i="44"/>
  <c r="CI48" i="44" a="1"/>
  <c r="CI48" i="44"/>
  <c r="CJ48" i="44" a="1"/>
  <c r="CJ48" i="44"/>
  <c r="CK48" i="44" a="1"/>
  <c r="CK48" i="44"/>
  <c r="CL48" i="44" a="1"/>
  <c r="CL48" i="44"/>
  <c r="CM48" i="44" a="1"/>
  <c r="CM48" i="44"/>
  <c r="CN48" i="44" a="1"/>
  <c r="CN48" i="44"/>
  <c r="CO48" i="44" a="1"/>
  <c r="CO48" i="44"/>
  <c r="CP48" i="44" a="1"/>
  <c r="CP48" i="44"/>
  <c r="CQ48" i="44" a="1"/>
  <c r="CQ48" i="44"/>
  <c r="CS48" i="44" a="1"/>
  <c r="CS48" i="44"/>
  <c r="CT48" i="44" a="1"/>
  <c r="CT48" i="44"/>
  <c r="CU48" i="44" a="1"/>
  <c r="CU48" i="44"/>
  <c r="CV48" i="44" a="1"/>
  <c r="CV48" i="44"/>
  <c r="CW48" i="44" a="1"/>
  <c r="CW48" i="44"/>
  <c r="CX48" i="44" a="1"/>
  <c r="CX48" i="44"/>
  <c r="CY48" i="44" a="1"/>
  <c r="CY48" i="44"/>
  <c r="CZ48" i="44" a="1"/>
  <c r="CZ48" i="44"/>
  <c r="DA48" i="44" a="1"/>
  <c r="DA48" i="44"/>
  <c r="DB48" i="44" a="1"/>
  <c r="DB48" i="44"/>
  <c r="DC48" i="44" a="1"/>
  <c r="DC48" i="44"/>
  <c r="DD48" i="44" a="1"/>
  <c r="DD48" i="44"/>
  <c r="DE48" i="44" a="1"/>
  <c r="DE48" i="44"/>
  <c r="DF48" i="44" a="1"/>
  <c r="DF48" i="44"/>
  <c r="DG48" i="44" a="1"/>
  <c r="DG48" i="44"/>
  <c r="DH48" i="44" a="1"/>
  <c r="DH48" i="44"/>
  <c r="E49" i="44" a="1"/>
  <c r="E49" i="44"/>
  <c r="F49" i="44" a="1"/>
  <c r="F49" i="44"/>
  <c r="G49" i="44" a="1"/>
  <c r="G49" i="44"/>
  <c r="H49" i="44" a="1"/>
  <c r="H49" i="44"/>
  <c r="I49" i="44" a="1"/>
  <c r="I49" i="44"/>
  <c r="J49" i="44" a="1"/>
  <c r="J49" i="44"/>
  <c r="K49" i="44" a="1"/>
  <c r="K49" i="44"/>
  <c r="L49" i="44" a="1"/>
  <c r="L49" i="44"/>
  <c r="M49" i="44" a="1"/>
  <c r="M49" i="44"/>
  <c r="N49" i="44"/>
  <c r="O49" i="44" a="1"/>
  <c r="O49" i="44"/>
  <c r="P49" i="44" a="1"/>
  <c r="P49" i="44"/>
  <c r="Q49" i="44" a="1"/>
  <c r="Q49" i="44"/>
  <c r="R49" i="44" a="1"/>
  <c r="R49" i="44"/>
  <c r="S49" i="44" a="1"/>
  <c r="S49" i="44"/>
  <c r="T49" i="44" a="1"/>
  <c r="T49" i="44"/>
  <c r="U49" i="44" a="1"/>
  <c r="U49" i="44"/>
  <c r="V49" i="44" a="1"/>
  <c r="V49" i="44"/>
  <c r="W49" i="44" a="1"/>
  <c r="W49" i="44"/>
  <c r="Y49" i="44" a="1"/>
  <c r="Y49" i="44"/>
  <c r="Z49" i="44" a="1"/>
  <c r="Z49" i="44"/>
  <c r="AA49" i="44" a="1"/>
  <c r="AA49" i="44"/>
  <c r="AB49" i="44" a="1"/>
  <c r="AB49" i="44"/>
  <c r="AC49" i="44" a="1"/>
  <c r="AC49" i="44"/>
  <c r="AD49" i="44" a="1"/>
  <c r="AD49" i="44"/>
  <c r="AE49" i="44" a="1"/>
  <c r="AE49" i="44"/>
  <c r="AF49" i="44" a="1"/>
  <c r="AF49" i="44"/>
  <c r="AG49" i="44" a="1"/>
  <c r="AG49" i="44"/>
  <c r="AI49" i="44" a="1"/>
  <c r="AI49" i="44"/>
  <c r="AJ49" i="44" a="1"/>
  <c r="AJ49" i="44"/>
  <c r="AK49" i="44" a="1"/>
  <c r="AK49" i="44"/>
  <c r="AL49" i="44" a="1"/>
  <c r="AL49" i="44"/>
  <c r="AM49" i="44" a="1"/>
  <c r="AM49" i="44"/>
  <c r="AN49" i="44" a="1"/>
  <c r="AN49" i="44"/>
  <c r="AO49" i="44" a="1"/>
  <c r="AO49" i="44"/>
  <c r="AP49" i="44" a="1"/>
  <c r="AP49" i="44"/>
  <c r="AQ49" i="44" a="1"/>
  <c r="AQ49" i="44"/>
  <c r="AS49" i="44" a="1"/>
  <c r="AS49" i="44"/>
  <c r="AT49" i="44" a="1"/>
  <c r="AT49" i="44"/>
  <c r="AU49" i="44" a="1"/>
  <c r="AU49" i="44"/>
  <c r="AV49" i="44" a="1"/>
  <c r="AV49" i="44"/>
  <c r="AW49" i="44" a="1"/>
  <c r="AW49" i="44"/>
  <c r="AX49" i="44" a="1"/>
  <c r="AX49" i="44"/>
  <c r="AY49" i="44" a="1"/>
  <c r="AY49" i="44"/>
  <c r="AZ49" i="44" a="1"/>
  <c r="AZ49" i="44"/>
  <c r="BA49" i="44" a="1"/>
  <c r="BA49" i="44"/>
  <c r="BC49" i="44" a="1"/>
  <c r="BC49" i="44"/>
  <c r="BD49" i="44" a="1"/>
  <c r="BD49" i="44"/>
  <c r="BE49" i="44" a="1"/>
  <c r="BE49" i="44"/>
  <c r="BF49" i="44" a="1"/>
  <c r="BF49" i="44"/>
  <c r="BG49" i="44" a="1"/>
  <c r="BG49" i="44"/>
  <c r="BH49" i="44" a="1"/>
  <c r="BH49" i="44"/>
  <c r="BI49" i="44" a="1"/>
  <c r="BI49" i="44"/>
  <c r="BJ49" i="44" a="1"/>
  <c r="BJ49" i="44"/>
  <c r="BK49" i="44" a="1"/>
  <c r="BK49" i="44"/>
  <c r="BO49" i="44" a="1"/>
  <c r="BO49" i="44"/>
  <c r="BP49" i="44" a="1"/>
  <c r="BP49" i="44"/>
  <c r="BQ49" i="44" a="1"/>
  <c r="BQ49" i="44"/>
  <c r="BR49" i="44" a="1"/>
  <c r="BR49" i="44"/>
  <c r="BS49" i="44" a="1"/>
  <c r="BS49" i="44"/>
  <c r="BT49" i="44" a="1"/>
  <c r="BT49" i="44"/>
  <c r="BU49" i="44" a="1"/>
  <c r="BU49" i="44"/>
  <c r="BV49" i="44" a="1"/>
  <c r="BV49" i="44"/>
  <c r="BW49" i="44" a="1"/>
  <c r="BW49" i="44"/>
  <c r="BY49" i="44" a="1"/>
  <c r="BY49" i="44"/>
  <c r="BZ49" i="44" a="1"/>
  <c r="BZ49" i="44"/>
  <c r="CA49" i="44" a="1"/>
  <c r="CA49" i="44"/>
  <c r="CB49" i="44" a="1"/>
  <c r="CB49" i="44"/>
  <c r="CC49" i="44" a="1"/>
  <c r="CC49" i="44"/>
  <c r="CD49" i="44" a="1"/>
  <c r="CD49" i="44"/>
  <c r="CE49" i="44" a="1"/>
  <c r="CE49" i="44"/>
  <c r="CF49" i="44" a="1"/>
  <c r="CF49" i="44"/>
  <c r="CG49" i="44" a="1"/>
  <c r="CG49" i="44"/>
  <c r="CI49" i="44" a="1"/>
  <c r="CI49" i="44"/>
  <c r="CJ49" i="44" a="1"/>
  <c r="CJ49" i="44"/>
  <c r="CK49" i="44" a="1"/>
  <c r="CK49" i="44"/>
  <c r="CL49" i="44" a="1"/>
  <c r="CL49" i="44"/>
  <c r="CM49" i="44" a="1"/>
  <c r="CM49" i="44"/>
  <c r="CN49" i="44" a="1"/>
  <c r="CN49" i="44"/>
  <c r="CO49" i="44" a="1"/>
  <c r="CO49" i="44"/>
  <c r="CP49" i="44" a="1"/>
  <c r="CP49" i="44"/>
  <c r="CQ49" i="44" a="1"/>
  <c r="CQ49" i="44"/>
  <c r="CS49" i="44" a="1"/>
  <c r="CS49" i="44"/>
  <c r="CT49" i="44" a="1"/>
  <c r="CT49" i="44"/>
  <c r="CU49" i="44" a="1"/>
  <c r="CU49" i="44"/>
  <c r="CV49" i="44" a="1"/>
  <c r="CV49" i="44"/>
  <c r="CW49" i="44" a="1"/>
  <c r="CW49" i="44"/>
  <c r="CX49" i="44" a="1"/>
  <c r="CX49" i="44"/>
  <c r="CY49" i="44" a="1"/>
  <c r="CY49" i="44"/>
  <c r="CZ49" i="44" a="1"/>
  <c r="CZ49" i="44"/>
  <c r="DA49" i="44" a="1"/>
  <c r="DA49" i="44"/>
  <c r="DB49" i="44" a="1"/>
  <c r="DB49" i="44"/>
  <c r="DC49" i="44" a="1"/>
  <c r="DC49" i="44"/>
  <c r="DD49" i="44" a="1"/>
  <c r="DD49" i="44"/>
  <c r="DE49" i="44" a="1"/>
  <c r="DE49" i="44"/>
  <c r="DF49" i="44" a="1"/>
  <c r="DF49" i="44"/>
  <c r="DG49" i="44" a="1"/>
  <c r="DG49" i="44"/>
  <c r="DH49" i="44" a="1"/>
  <c r="DH49" i="44"/>
  <c r="E50" i="44" a="1"/>
  <c r="E50" i="44"/>
  <c r="F50" i="44" a="1"/>
  <c r="F50" i="44"/>
  <c r="G50" i="44" a="1"/>
  <c r="G50" i="44"/>
  <c r="H50" i="44" a="1"/>
  <c r="H50" i="44"/>
  <c r="I50" i="44" a="1"/>
  <c r="I50" i="44"/>
  <c r="J50" i="44" a="1"/>
  <c r="J50" i="44"/>
  <c r="K50" i="44" a="1"/>
  <c r="K50" i="44"/>
  <c r="L50" i="44" a="1"/>
  <c r="L50" i="44"/>
  <c r="M50" i="44" a="1"/>
  <c r="M50" i="44"/>
  <c r="N50" i="44"/>
  <c r="O50" i="44" a="1"/>
  <c r="O50" i="44"/>
  <c r="P50" i="44" a="1"/>
  <c r="P50" i="44"/>
  <c r="Q50" i="44" a="1"/>
  <c r="Q50" i="44"/>
  <c r="R50" i="44" a="1"/>
  <c r="R50" i="44"/>
  <c r="S50" i="44" a="1"/>
  <c r="S50" i="44"/>
  <c r="T50" i="44" a="1"/>
  <c r="T50" i="44"/>
  <c r="U50" i="44" a="1"/>
  <c r="U50" i="44"/>
  <c r="V50" i="44" a="1"/>
  <c r="V50" i="44"/>
  <c r="W50" i="44" a="1"/>
  <c r="W50" i="44"/>
  <c r="Y50" i="44" a="1"/>
  <c r="Y50" i="44"/>
  <c r="Z50" i="44" a="1"/>
  <c r="Z50" i="44"/>
  <c r="AA50" i="44" a="1"/>
  <c r="AA50" i="44"/>
  <c r="AB50" i="44" a="1"/>
  <c r="AB50" i="44"/>
  <c r="AC50" i="44" a="1"/>
  <c r="AC50" i="44"/>
  <c r="AD50" i="44" a="1"/>
  <c r="AD50" i="44"/>
  <c r="AE50" i="44" a="1"/>
  <c r="AE50" i="44"/>
  <c r="AF50" i="44" a="1"/>
  <c r="AF50" i="44"/>
  <c r="AG50" i="44" a="1"/>
  <c r="AG50" i="44"/>
  <c r="AI50" i="44" a="1"/>
  <c r="AI50" i="44"/>
  <c r="AJ50" i="44" a="1"/>
  <c r="AJ50" i="44"/>
  <c r="AK50" i="44" a="1"/>
  <c r="AK50" i="44"/>
  <c r="AL50" i="44" a="1"/>
  <c r="AL50" i="44"/>
  <c r="AM50" i="44" a="1"/>
  <c r="AM50" i="44"/>
  <c r="AN50" i="44" a="1"/>
  <c r="AN50" i="44"/>
  <c r="AO50" i="44" a="1"/>
  <c r="AO50" i="44"/>
  <c r="AP50" i="44" a="1"/>
  <c r="AP50" i="44"/>
  <c r="AQ50" i="44" a="1"/>
  <c r="AQ50" i="44"/>
  <c r="AS50" i="44" a="1"/>
  <c r="AS50" i="44"/>
  <c r="AT50" i="44" a="1"/>
  <c r="AT50" i="44"/>
  <c r="AU50" i="44" a="1"/>
  <c r="AU50" i="44"/>
  <c r="AV50" i="44" a="1"/>
  <c r="AV50" i="44"/>
  <c r="AW50" i="44" a="1"/>
  <c r="AW50" i="44"/>
  <c r="AX50" i="44" a="1"/>
  <c r="AX50" i="44"/>
  <c r="AY50" i="44" a="1"/>
  <c r="AY50" i="44"/>
  <c r="AZ50" i="44" a="1"/>
  <c r="AZ50" i="44"/>
  <c r="BA50" i="44" a="1"/>
  <c r="BA50" i="44"/>
  <c r="BC50" i="44" a="1"/>
  <c r="BC50" i="44"/>
  <c r="BD50" i="44" a="1"/>
  <c r="BD50" i="44"/>
  <c r="BE50" i="44" a="1"/>
  <c r="BE50" i="44"/>
  <c r="BF50" i="44" a="1"/>
  <c r="BF50" i="44"/>
  <c r="BG50" i="44" a="1"/>
  <c r="BG50" i="44"/>
  <c r="BH50" i="44" a="1"/>
  <c r="BH50" i="44"/>
  <c r="BI50" i="44" a="1"/>
  <c r="BI50" i="44"/>
  <c r="BJ50" i="44" a="1"/>
  <c r="BJ50" i="44"/>
  <c r="BK50" i="44" a="1"/>
  <c r="BK50" i="44"/>
  <c r="BO50" i="44" a="1"/>
  <c r="BO50" i="44"/>
  <c r="BP50" i="44" a="1"/>
  <c r="BP50" i="44"/>
  <c r="BQ50" i="44" a="1"/>
  <c r="BQ50" i="44"/>
  <c r="BR50" i="44" a="1"/>
  <c r="BR50" i="44"/>
  <c r="BS50" i="44" a="1"/>
  <c r="BS50" i="44"/>
  <c r="BT50" i="44" a="1"/>
  <c r="BT50" i="44"/>
  <c r="BU50" i="44" a="1"/>
  <c r="BU50" i="44"/>
  <c r="BV50" i="44" a="1"/>
  <c r="BV50" i="44"/>
  <c r="BW50" i="44" a="1"/>
  <c r="BW50" i="44"/>
  <c r="BY50" i="44" a="1"/>
  <c r="BY50" i="44"/>
  <c r="BZ50" i="44" a="1"/>
  <c r="BZ50" i="44"/>
  <c r="CA50" i="44" a="1"/>
  <c r="CA50" i="44"/>
  <c r="CB50" i="44" a="1"/>
  <c r="CB50" i="44"/>
  <c r="CC50" i="44" a="1"/>
  <c r="CC50" i="44"/>
  <c r="CD50" i="44" a="1"/>
  <c r="CD50" i="44"/>
  <c r="CE50" i="44" a="1"/>
  <c r="CE50" i="44"/>
  <c r="CF50" i="44" a="1"/>
  <c r="CF50" i="44"/>
  <c r="CG50" i="44" a="1"/>
  <c r="CG50" i="44"/>
  <c r="CI50" i="44" a="1"/>
  <c r="CI50" i="44"/>
  <c r="CJ50" i="44" a="1"/>
  <c r="CJ50" i="44"/>
  <c r="CK50" i="44" a="1"/>
  <c r="CK50" i="44"/>
  <c r="CL50" i="44" a="1"/>
  <c r="CL50" i="44"/>
  <c r="CM50" i="44" a="1"/>
  <c r="CM50" i="44"/>
  <c r="CN50" i="44" a="1"/>
  <c r="CN50" i="44"/>
  <c r="CO50" i="44" a="1"/>
  <c r="CO50" i="44"/>
  <c r="CP50" i="44" a="1"/>
  <c r="CP50" i="44"/>
  <c r="CQ50" i="44" a="1"/>
  <c r="CQ50" i="44"/>
  <c r="CS50" i="44" a="1"/>
  <c r="CS50" i="44"/>
  <c r="CT50" i="44" a="1"/>
  <c r="CT50" i="44"/>
  <c r="CU50" i="44" a="1"/>
  <c r="CU50" i="44"/>
  <c r="CV50" i="44" a="1"/>
  <c r="CV50" i="44"/>
  <c r="CW50" i="44" a="1"/>
  <c r="CW50" i="44"/>
  <c r="CX50" i="44" a="1"/>
  <c r="CX50" i="44"/>
  <c r="CY50" i="44" a="1"/>
  <c r="CY50" i="44"/>
  <c r="CZ50" i="44" a="1"/>
  <c r="CZ50" i="44"/>
  <c r="DA50" i="44" a="1"/>
  <c r="DA50" i="44"/>
  <c r="DB50" i="44" a="1"/>
  <c r="DB50" i="44"/>
  <c r="DC50" i="44" a="1"/>
  <c r="DC50" i="44"/>
  <c r="DD50" i="44" a="1"/>
  <c r="DD50" i="44"/>
  <c r="DE50" i="44" a="1"/>
  <c r="DE50" i="44"/>
  <c r="DF50" i="44" a="1"/>
  <c r="DF50" i="44"/>
  <c r="DG50" i="44" a="1"/>
  <c r="DG50" i="44"/>
  <c r="DH50" i="44" a="1"/>
  <c r="DH50" i="44"/>
  <c r="E51" i="44" a="1"/>
  <c r="E51" i="44"/>
  <c r="F51" i="44" a="1"/>
  <c r="F51" i="44"/>
  <c r="G51" i="44" a="1"/>
  <c r="G51" i="44"/>
  <c r="H51" i="44" a="1"/>
  <c r="H51" i="44"/>
  <c r="I51" i="44" a="1"/>
  <c r="I51" i="44"/>
  <c r="J51" i="44" a="1"/>
  <c r="J51" i="44"/>
  <c r="K51" i="44" a="1"/>
  <c r="K51" i="44"/>
  <c r="L51" i="44" a="1"/>
  <c r="L51" i="44"/>
  <c r="M51" i="44" a="1"/>
  <c r="M51" i="44"/>
  <c r="N51" i="44"/>
  <c r="O51" i="44" a="1"/>
  <c r="O51" i="44"/>
  <c r="P51" i="44" a="1"/>
  <c r="P51" i="44"/>
  <c r="Q51" i="44" a="1"/>
  <c r="Q51" i="44"/>
  <c r="R51" i="44" a="1"/>
  <c r="R51" i="44"/>
  <c r="S51" i="44" a="1"/>
  <c r="S51" i="44"/>
  <c r="T51" i="44" a="1"/>
  <c r="T51" i="44"/>
  <c r="U51" i="44" a="1"/>
  <c r="U51" i="44"/>
  <c r="V51" i="44" a="1"/>
  <c r="V51" i="44"/>
  <c r="W51" i="44" a="1"/>
  <c r="W51" i="44"/>
  <c r="Y51" i="44" a="1"/>
  <c r="Y51" i="44"/>
  <c r="Z51" i="44" a="1"/>
  <c r="Z51" i="44"/>
  <c r="AA51" i="44" a="1"/>
  <c r="AA51" i="44"/>
  <c r="AB51" i="44" a="1"/>
  <c r="AB51" i="44"/>
  <c r="AC51" i="44" a="1"/>
  <c r="AC51" i="44"/>
  <c r="AD51" i="44" a="1"/>
  <c r="AD51" i="44"/>
  <c r="AE51" i="44" a="1"/>
  <c r="AE51" i="44"/>
  <c r="AF51" i="44" a="1"/>
  <c r="AF51" i="44"/>
  <c r="AG51" i="44" a="1"/>
  <c r="AG51" i="44"/>
  <c r="AI51" i="44" a="1"/>
  <c r="AI51" i="44"/>
  <c r="AJ51" i="44" a="1"/>
  <c r="AJ51" i="44"/>
  <c r="AK51" i="44" a="1"/>
  <c r="AK51" i="44"/>
  <c r="AL51" i="44" a="1"/>
  <c r="AL51" i="44"/>
  <c r="AM51" i="44" a="1"/>
  <c r="AM51" i="44"/>
  <c r="AN51" i="44" a="1"/>
  <c r="AN51" i="44"/>
  <c r="AO51" i="44" a="1"/>
  <c r="AO51" i="44"/>
  <c r="AP51" i="44" a="1"/>
  <c r="AP51" i="44"/>
  <c r="AQ51" i="44" a="1"/>
  <c r="AQ51" i="44"/>
  <c r="AS51" i="44" a="1"/>
  <c r="AS51" i="44"/>
  <c r="AT51" i="44" a="1"/>
  <c r="AT51" i="44"/>
  <c r="AU51" i="44" a="1"/>
  <c r="AU51" i="44"/>
  <c r="AV51" i="44" a="1"/>
  <c r="AV51" i="44"/>
  <c r="AW51" i="44" a="1"/>
  <c r="AW51" i="44"/>
  <c r="AX51" i="44" a="1"/>
  <c r="AX51" i="44"/>
  <c r="AY51" i="44" a="1"/>
  <c r="AY51" i="44"/>
  <c r="AZ51" i="44" a="1"/>
  <c r="AZ51" i="44"/>
  <c r="BA51" i="44" a="1"/>
  <c r="BA51" i="44"/>
  <c r="BC51" i="44" a="1"/>
  <c r="BC51" i="44"/>
  <c r="BD51" i="44" a="1"/>
  <c r="BD51" i="44"/>
  <c r="BE51" i="44" a="1"/>
  <c r="BE51" i="44"/>
  <c r="BF51" i="44" a="1"/>
  <c r="BF51" i="44"/>
  <c r="BG51" i="44" a="1"/>
  <c r="BG51" i="44"/>
  <c r="BH51" i="44" a="1"/>
  <c r="BH51" i="44"/>
  <c r="BI51" i="44" a="1"/>
  <c r="BI51" i="44"/>
  <c r="BJ51" i="44" a="1"/>
  <c r="BJ51" i="44"/>
  <c r="BK51" i="44" a="1"/>
  <c r="BK51" i="44"/>
  <c r="BO51" i="44" a="1"/>
  <c r="BO51" i="44"/>
  <c r="BP51" i="44" a="1"/>
  <c r="BP51" i="44"/>
  <c r="BQ51" i="44" a="1"/>
  <c r="BQ51" i="44"/>
  <c r="BR51" i="44" a="1"/>
  <c r="BR51" i="44"/>
  <c r="BS51" i="44" a="1"/>
  <c r="BS51" i="44"/>
  <c r="BT51" i="44" a="1"/>
  <c r="BT51" i="44"/>
  <c r="BU51" i="44" a="1"/>
  <c r="BU51" i="44"/>
  <c r="BV51" i="44" a="1"/>
  <c r="BV51" i="44"/>
  <c r="BW51" i="44" a="1"/>
  <c r="BW51" i="44"/>
  <c r="BY51" i="44" a="1"/>
  <c r="BY51" i="44"/>
  <c r="BZ51" i="44" a="1"/>
  <c r="BZ51" i="44"/>
  <c r="CA51" i="44" a="1"/>
  <c r="CA51" i="44"/>
  <c r="CB51" i="44" a="1"/>
  <c r="CB51" i="44"/>
  <c r="CC51" i="44" a="1"/>
  <c r="CC51" i="44"/>
  <c r="CD51" i="44" a="1"/>
  <c r="CD51" i="44"/>
  <c r="CE51" i="44" a="1"/>
  <c r="CE51" i="44"/>
  <c r="CF51" i="44" a="1"/>
  <c r="CF51" i="44"/>
  <c r="CG51" i="44" a="1"/>
  <c r="CG51" i="44"/>
  <c r="CI51" i="44" a="1"/>
  <c r="CI51" i="44"/>
  <c r="CJ51" i="44" a="1"/>
  <c r="CJ51" i="44"/>
  <c r="CK51" i="44" a="1"/>
  <c r="CK51" i="44"/>
  <c r="CL51" i="44" a="1"/>
  <c r="CL51" i="44"/>
  <c r="CM51" i="44" a="1"/>
  <c r="CM51" i="44"/>
  <c r="CN51" i="44" a="1"/>
  <c r="CN51" i="44"/>
  <c r="CO51" i="44" a="1"/>
  <c r="CO51" i="44"/>
  <c r="CP51" i="44" a="1"/>
  <c r="CP51" i="44"/>
  <c r="CQ51" i="44" a="1"/>
  <c r="CQ51" i="44"/>
  <c r="CS51" i="44" a="1"/>
  <c r="CS51" i="44"/>
  <c r="CT51" i="44" a="1"/>
  <c r="CT51" i="44"/>
  <c r="CU51" i="44" a="1"/>
  <c r="CU51" i="44"/>
  <c r="CV51" i="44" a="1"/>
  <c r="CV51" i="44"/>
  <c r="CW51" i="44" a="1"/>
  <c r="CW51" i="44"/>
  <c r="CX51" i="44" a="1"/>
  <c r="CX51" i="44"/>
  <c r="CY51" i="44" a="1"/>
  <c r="CY51" i="44"/>
  <c r="CZ51" i="44" a="1"/>
  <c r="CZ51" i="44"/>
  <c r="DA51" i="44" a="1"/>
  <c r="DA51" i="44"/>
  <c r="DB51" i="44" a="1"/>
  <c r="DB51" i="44"/>
  <c r="DC51" i="44" a="1"/>
  <c r="DC51" i="44"/>
  <c r="DD51" i="44" a="1"/>
  <c r="DD51" i="44"/>
  <c r="DE51" i="44" a="1"/>
  <c r="DE51" i="44"/>
  <c r="DF51" i="44" a="1"/>
  <c r="DF51" i="44"/>
  <c r="DG51" i="44" a="1"/>
  <c r="DG51" i="44"/>
  <c r="DH51" i="44" a="1"/>
  <c r="DH51" i="44"/>
  <c r="E52" i="44" a="1"/>
  <c r="E52" i="44"/>
  <c r="F52" i="44" a="1"/>
  <c r="F52" i="44"/>
  <c r="G52" i="44" a="1"/>
  <c r="G52" i="44"/>
  <c r="H52" i="44" a="1"/>
  <c r="H52" i="44"/>
  <c r="I52" i="44" a="1"/>
  <c r="I52" i="44"/>
  <c r="J52" i="44" a="1"/>
  <c r="J52" i="44"/>
  <c r="K52" i="44" a="1"/>
  <c r="K52" i="44"/>
  <c r="L52" i="44" a="1"/>
  <c r="L52" i="44"/>
  <c r="M52" i="44" a="1"/>
  <c r="M52" i="44"/>
  <c r="N52" i="44"/>
  <c r="O52" i="44" a="1"/>
  <c r="O52" i="44"/>
  <c r="P52" i="44" a="1"/>
  <c r="P52" i="44"/>
  <c r="Q52" i="44" a="1"/>
  <c r="Q52" i="44"/>
  <c r="R52" i="44" a="1"/>
  <c r="R52" i="44"/>
  <c r="S52" i="44" a="1"/>
  <c r="S52" i="44"/>
  <c r="T52" i="44" a="1"/>
  <c r="T52" i="44"/>
  <c r="U52" i="44" a="1"/>
  <c r="U52" i="44"/>
  <c r="V52" i="44" a="1"/>
  <c r="V52" i="44"/>
  <c r="W52" i="44" a="1"/>
  <c r="W52" i="44"/>
  <c r="Y52" i="44" a="1"/>
  <c r="Y52" i="44"/>
  <c r="Z52" i="44" a="1"/>
  <c r="Z52" i="44"/>
  <c r="AA52" i="44" a="1"/>
  <c r="AA52" i="44"/>
  <c r="AB52" i="44" a="1"/>
  <c r="AB52" i="44"/>
  <c r="AC52" i="44" a="1"/>
  <c r="AC52" i="44"/>
  <c r="AD52" i="44" a="1"/>
  <c r="AD52" i="44"/>
  <c r="AE52" i="44" a="1"/>
  <c r="AE52" i="44"/>
  <c r="AF52" i="44" a="1"/>
  <c r="AF52" i="44"/>
  <c r="AG52" i="44" a="1"/>
  <c r="AG52" i="44"/>
  <c r="AI52" i="44" a="1"/>
  <c r="AI52" i="44"/>
  <c r="AJ52" i="44" a="1"/>
  <c r="AJ52" i="44"/>
  <c r="AK52" i="44" a="1"/>
  <c r="AK52" i="44"/>
  <c r="AL52" i="44" a="1"/>
  <c r="AL52" i="44"/>
  <c r="AM52" i="44" a="1"/>
  <c r="AM52" i="44"/>
  <c r="AN52" i="44" a="1"/>
  <c r="AN52" i="44"/>
  <c r="AO52" i="44" a="1"/>
  <c r="AO52" i="44"/>
  <c r="AP52" i="44" a="1"/>
  <c r="AP52" i="44"/>
  <c r="AQ52" i="44" a="1"/>
  <c r="AQ52" i="44"/>
  <c r="AS52" i="44" a="1"/>
  <c r="AS52" i="44"/>
  <c r="AT52" i="44" a="1"/>
  <c r="AT52" i="44"/>
  <c r="AU52" i="44" a="1"/>
  <c r="AU52" i="44"/>
  <c r="AV52" i="44" a="1"/>
  <c r="AV52" i="44"/>
  <c r="AW52" i="44" a="1"/>
  <c r="AW52" i="44"/>
  <c r="AX52" i="44" a="1"/>
  <c r="AX52" i="44"/>
  <c r="AY52" i="44" a="1"/>
  <c r="AY52" i="44"/>
  <c r="AZ52" i="44" a="1"/>
  <c r="AZ52" i="44"/>
  <c r="BA52" i="44" a="1"/>
  <c r="BA52" i="44"/>
  <c r="BC52" i="44" a="1"/>
  <c r="BC52" i="44"/>
  <c r="BD52" i="44" a="1"/>
  <c r="BD52" i="44"/>
  <c r="BE52" i="44" a="1"/>
  <c r="BE52" i="44"/>
  <c r="BF52" i="44" a="1"/>
  <c r="BF52" i="44"/>
  <c r="BG52" i="44" a="1"/>
  <c r="BG52" i="44"/>
  <c r="BH52" i="44" a="1"/>
  <c r="BH52" i="44"/>
  <c r="BI52" i="44" a="1"/>
  <c r="BI52" i="44"/>
  <c r="BJ52" i="44" a="1"/>
  <c r="BJ52" i="44"/>
  <c r="BK52" i="44" a="1"/>
  <c r="BK52" i="44"/>
  <c r="BO52" i="44" a="1"/>
  <c r="BO52" i="44"/>
  <c r="BP52" i="44" a="1"/>
  <c r="BP52" i="44"/>
  <c r="BQ52" i="44" a="1"/>
  <c r="BQ52" i="44"/>
  <c r="BR52" i="44" a="1"/>
  <c r="BR52" i="44"/>
  <c r="BS52" i="44" a="1"/>
  <c r="BS52" i="44"/>
  <c r="BT52" i="44" a="1"/>
  <c r="BT52" i="44"/>
  <c r="BU52" i="44" a="1"/>
  <c r="BU52" i="44"/>
  <c r="BV52" i="44" a="1"/>
  <c r="BV52" i="44"/>
  <c r="BW52" i="44" a="1"/>
  <c r="BW52" i="44"/>
  <c r="BY52" i="44" a="1"/>
  <c r="BY52" i="44"/>
  <c r="BZ52" i="44" a="1"/>
  <c r="BZ52" i="44"/>
  <c r="CA52" i="44" a="1"/>
  <c r="CA52" i="44"/>
  <c r="CB52" i="44" a="1"/>
  <c r="CB52" i="44"/>
  <c r="CC52" i="44" a="1"/>
  <c r="CC52" i="44"/>
  <c r="CD52" i="44" a="1"/>
  <c r="CD52" i="44"/>
  <c r="CE52" i="44" a="1"/>
  <c r="CE52" i="44"/>
  <c r="CF52" i="44" a="1"/>
  <c r="CF52" i="44"/>
  <c r="CG52" i="44" a="1"/>
  <c r="CG52" i="44"/>
  <c r="CI52" i="44" a="1"/>
  <c r="CI52" i="44"/>
  <c r="CJ52" i="44" a="1"/>
  <c r="CJ52" i="44"/>
  <c r="CK52" i="44" a="1"/>
  <c r="CK52" i="44"/>
  <c r="CL52" i="44" a="1"/>
  <c r="CL52" i="44"/>
  <c r="CM52" i="44" a="1"/>
  <c r="CM52" i="44"/>
  <c r="CN52" i="44" a="1"/>
  <c r="CN52" i="44"/>
  <c r="CO52" i="44" a="1"/>
  <c r="CO52" i="44"/>
  <c r="CP52" i="44" a="1"/>
  <c r="CP52" i="44"/>
  <c r="CQ52" i="44" a="1"/>
  <c r="CQ52" i="44"/>
  <c r="CS52" i="44" a="1"/>
  <c r="CS52" i="44"/>
  <c r="CT52" i="44" a="1"/>
  <c r="CT52" i="44"/>
  <c r="CU52" i="44" a="1"/>
  <c r="CU52" i="44"/>
  <c r="CV52" i="44" a="1"/>
  <c r="CV52" i="44"/>
  <c r="CW52" i="44" a="1"/>
  <c r="CW52" i="44"/>
  <c r="CX52" i="44" a="1"/>
  <c r="CX52" i="44"/>
  <c r="CY52" i="44" a="1"/>
  <c r="CY52" i="44"/>
  <c r="CZ52" i="44" a="1"/>
  <c r="CZ52" i="44"/>
  <c r="DA52" i="44" a="1"/>
  <c r="DA52" i="44"/>
  <c r="DB52" i="44" a="1"/>
  <c r="DB52" i="44"/>
  <c r="DC52" i="44" a="1"/>
  <c r="DC52" i="44"/>
  <c r="DD52" i="44" a="1"/>
  <c r="DD52" i="44"/>
  <c r="DE52" i="44" a="1"/>
  <c r="DE52" i="44"/>
  <c r="DF52" i="44" a="1"/>
  <c r="DF52" i="44"/>
  <c r="DG52" i="44" a="1"/>
  <c r="DG52" i="44"/>
  <c r="DH52" i="44" a="1"/>
  <c r="DH52" i="44"/>
  <c r="E53" i="44" a="1"/>
  <c r="E53" i="44"/>
  <c r="F53" i="44" a="1"/>
  <c r="F53" i="44"/>
  <c r="G53" i="44" a="1"/>
  <c r="G53" i="44"/>
  <c r="H53" i="44" a="1"/>
  <c r="H53" i="44"/>
  <c r="I53" i="44" a="1"/>
  <c r="I53" i="44"/>
  <c r="J53" i="44" a="1"/>
  <c r="J53" i="44"/>
  <c r="K53" i="44" a="1"/>
  <c r="K53" i="44"/>
  <c r="L53" i="44" a="1"/>
  <c r="L53" i="44"/>
  <c r="M53" i="44" a="1"/>
  <c r="M53" i="44"/>
  <c r="N53" i="44"/>
  <c r="O53" i="44" a="1"/>
  <c r="O53" i="44"/>
  <c r="P53" i="44" a="1"/>
  <c r="P53" i="44"/>
  <c r="Q53" i="44" a="1"/>
  <c r="Q53" i="44"/>
  <c r="R53" i="44" a="1"/>
  <c r="R53" i="44"/>
  <c r="S53" i="44" a="1"/>
  <c r="S53" i="44"/>
  <c r="T53" i="44" a="1"/>
  <c r="T53" i="44"/>
  <c r="U53" i="44" a="1"/>
  <c r="U53" i="44"/>
  <c r="V53" i="44" a="1"/>
  <c r="V53" i="44"/>
  <c r="W53" i="44" a="1"/>
  <c r="W53" i="44"/>
  <c r="Y53" i="44" a="1"/>
  <c r="Y53" i="44"/>
  <c r="Z53" i="44" a="1"/>
  <c r="Z53" i="44"/>
  <c r="AA53" i="44" a="1"/>
  <c r="AA53" i="44"/>
  <c r="AB53" i="44" a="1"/>
  <c r="AB53" i="44"/>
  <c r="AC53" i="44" a="1"/>
  <c r="AC53" i="44"/>
  <c r="AD53" i="44" a="1"/>
  <c r="AD53" i="44"/>
  <c r="AE53" i="44" a="1"/>
  <c r="AE53" i="44"/>
  <c r="AF53" i="44" a="1"/>
  <c r="AF53" i="44"/>
  <c r="AG53" i="44" a="1"/>
  <c r="AG53" i="44"/>
  <c r="AI53" i="44" a="1"/>
  <c r="AI53" i="44"/>
  <c r="AJ53" i="44" a="1"/>
  <c r="AJ53" i="44"/>
  <c r="AK53" i="44" a="1"/>
  <c r="AK53" i="44"/>
  <c r="AL53" i="44" a="1"/>
  <c r="AL53" i="44"/>
  <c r="AM53" i="44" a="1"/>
  <c r="AM53" i="44"/>
  <c r="AN53" i="44" a="1"/>
  <c r="AN53" i="44"/>
  <c r="AO53" i="44" a="1"/>
  <c r="AO53" i="44"/>
  <c r="AP53" i="44" a="1"/>
  <c r="AP53" i="44"/>
  <c r="AQ53" i="44" a="1"/>
  <c r="AQ53" i="44"/>
  <c r="AS53" i="44" a="1"/>
  <c r="AS53" i="44"/>
  <c r="AT53" i="44" a="1"/>
  <c r="AT53" i="44"/>
  <c r="AU53" i="44" a="1"/>
  <c r="AU53" i="44"/>
  <c r="AV53" i="44" a="1"/>
  <c r="AV53" i="44"/>
  <c r="AW53" i="44" a="1"/>
  <c r="AW53" i="44"/>
  <c r="AX53" i="44" a="1"/>
  <c r="AX53" i="44"/>
  <c r="AY53" i="44" a="1"/>
  <c r="AY53" i="44"/>
  <c r="AZ53" i="44" a="1"/>
  <c r="AZ53" i="44"/>
  <c r="BA53" i="44" a="1"/>
  <c r="BA53" i="44"/>
  <c r="BC53" i="44" a="1"/>
  <c r="BC53" i="44"/>
  <c r="BD53" i="44" a="1"/>
  <c r="BD53" i="44"/>
  <c r="BE53" i="44" a="1"/>
  <c r="BE53" i="44"/>
  <c r="BF53" i="44" a="1"/>
  <c r="BF53" i="44"/>
  <c r="BG53" i="44" a="1"/>
  <c r="BG53" i="44"/>
  <c r="BH53" i="44" a="1"/>
  <c r="BH53" i="44"/>
  <c r="BI53" i="44" a="1"/>
  <c r="BI53" i="44"/>
  <c r="BJ53" i="44" a="1"/>
  <c r="BJ53" i="44"/>
  <c r="BK53" i="44" a="1"/>
  <c r="BK53" i="44"/>
  <c r="BO53" i="44" a="1"/>
  <c r="BO53" i="44"/>
  <c r="BP53" i="44" a="1"/>
  <c r="BP53" i="44"/>
  <c r="BQ53" i="44" a="1"/>
  <c r="BQ53" i="44"/>
  <c r="BR53" i="44" a="1"/>
  <c r="BR53" i="44"/>
  <c r="BS53" i="44" a="1"/>
  <c r="BS53" i="44"/>
  <c r="BT53" i="44" a="1"/>
  <c r="BT53" i="44"/>
  <c r="BU53" i="44" a="1"/>
  <c r="BU53" i="44"/>
  <c r="BV53" i="44" a="1"/>
  <c r="BV53" i="44"/>
  <c r="BW53" i="44" a="1"/>
  <c r="BW53" i="44"/>
  <c r="BY53" i="44" a="1"/>
  <c r="BY53" i="44"/>
  <c r="BZ53" i="44" a="1"/>
  <c r="BZ53" i="44"/>
  <c r="CA53" i="44" a="1"/>
  <c r="CA53" i="44"/>
  <c r="CB53" i="44" a="1"/>
  <c r="CB53" i="44"/>
  <c r="CC53" i="44" a="1"/>
  <c r="CC53" i="44"/>
  <c r="CD53" i="44" a="1"/>
  <c r="CD53" i="44"/>
  <c r="CE53" i="44" a="1"/>
  <c r="CE53" i="44"/>
  <c r="CF53" i="44" a="1"/>
  <c r="CF53" i="44"/>
  <c r="CG53" i="44" a="1"/>
  <c r="CG53" i="44"/>
  <c r="CI53" i="44" a="1"/>
  <c r="CI53" i="44"/>
  <c r="CJ53" i="44" a="1"/>
  <c r="CJ53" i="44"/>
  <c r="CK53" i="44" a="1"/>
  <c r="CK53" i="44"/>
  <c r="CL53" i="44" a="1"/>
  <c r="CL53" i="44"/>
  <c r="CM53" i="44" a="1"/>
  <c r="CM53" i="44"/>
  <c r="CN53" i="44" a="1"/>
  <c r="CN53" i="44"/>
  <c r="CO53" i="44" a="1"/>
  <c r="CO53" i="44"/>
  <c r="CP53" i="44" a="1"/>
  <c r="CP53" i="44"/>
  <c r="CQ53" i="44" a="1"/>
  <c r="CQ53" i="44"/>
  <c r="CS53" i="44" a="1"/>
  <c r="CS53" i="44"/>
  <c r="CT53" i="44" a="1"/>
  <c r="CT53" i="44"/>
  <c r="CU53" i="44" a="1"/>
  <c r="CU53" i="44"/>
  <c r="CV53" i="44" a="1"/>
  <c r="CV53" i="44"/>
  <c r="CW53" i="44" a="1"/>
  <c r="CW53" i="44"/>
  <c r="CX53" i="44" a="1"/>
  <c r="CX53" i="44"/>
  <c r="CY53" i="44" a="1"/>
  <c r="CY53" i="44"/>
  <c r="CZ53" i="44" a="1"/>
  <c r="CZ53" i="44"/>
  <c r="DA53" i="44" a="1"/>
  <c r="DA53" i="44"/>
  <c r="DB53" i="44" a="1"/>
  <c r="DB53" i="44"/>
  <c r="DC53" i="44" a="1"/>
  <c r="DC53" i="44"/>
  <c r="DD53" i="44" a="1"/>
  <c r="DD53" i="44"/>
  <c r="DE53" i="44" a="1"/>
  <c r="DE53" i="44"/>
  <c r="DF53" i="44" a="1"/>
  <c r="DF53" i="44"/>
  <c r="DG53" i="44" a="1"/>
  <c r="DG53" i="44"/>
  <c r="DH53" i="44" a="1"/>
  <c r="DH53" i="44"/>
  <c r="E54" i="44" a="1"/>
  <c r="E54" i="44"/>
  <c r="F54" i="44" a="1"/>
  <c r="F54" i="44"/>
  <c r="G54" i="44" a="1"/>
  <c r="G54" i="44"/>
  <c r="H54" i="44" a="1"/>
  <c r="H54" i="44"/>
  <c r="I54" i="44" a="1"/>
  <c r="I54" i="44"/>
  <c r="J54" i="44" a="1"/>
  <c r="J54" i="44"/>
  <c r="K54" i="44" a="1"/>
  <c r="K54" i="44"/>
  <c r="L54" i="44" a="1"/>
  <c r="L54" i="44"/>
  <c r="M54" i="44" a="1"/>
  <c r="M54" i="44"/>
  <c r="N54" i="44"/>
  <c r="O54" i="44" a="1"/>
  <c r="O54" i="44"/>
  <c r="P54" i="44" a="1"/>
  <c r="P54" i="44"/>
  <c r="Q54" i="44" a="1"/>
  <c r="Q54" i="44"/>
  <c r="R54" i="44" a="1"/>
  <c r="R54" i="44"/>
  <c r="S54" i="44" a="1"/>
  <c r="S54" i="44"/>
  <c r="T54" i="44" a="1"/>
  <c r="T54" i="44"/>
  <c r="U54" i="44" a="1"/>
  <c r="U54" i="44"/>
  <c r="V54" i="44" a="1"/>
  <c r="V54" i="44"/>
  <c r="W54" i="44" a="1"/>
  <c r="W54" i="44"/>
  <c r="Y54" i="44" a="1"/>
  <c r="Y54" i="44"/>
  <c r="Z54" i="44" a="1"/>
  <c r="Z54" i="44"/>
  <c r="AA54" i="44" a="1"/>
  <c r="AA54" i="44"/>
  <c r="AB54" i="44" a="1"/>
  <c r="AB54" i="44"/>
  <c r="AC54" i="44" a="1"/>
  <c r="AC54" i="44"/>
  <c r="AD54" i="44" a="1"/>
  <c r="AD54" i="44"/>
  <c r="AE54" i="44" a="1"/>
  <c r="AE54" i="44"/>
  <c r="AF54" i="44" a="1"/>
  <c r="AF54" i="44"/>
  <c r="AG54" i="44" a="1"/>
  <c r="AG54" i="44"/>
  <c r="AI54" i="44" a="1"/>
  <c r="AI54" i="44"/>
  <c r="AJ54" i="44" a="1"/>
  <c r="AJ54" i="44"/>
  <c r="AK54" i="44" a="1"/>
  <c r="AK54" i="44"/>
  <c r="AL54" i="44" a="1"/>
  <c r="AL54" i="44"/>
  <c r="AM54" i="44" a="1"/>
  <c r="AM54" i="44"/>
  <c r="AN54" i="44" a="1"/>
  <c r="AN54" i="44"/>
  <c r="AO54" i="44" a="1"/>
  <c r="AO54" i="44"/>
  <c r="AP54" i="44" a="1"/>
  <c r="AP54" i="44"/>
  <c r="AQ54" i="44" a="1"/>
  <c r="AQ54" i="44"/>
  <c r="AS54" i="44" a="1"/>
  <c r="AS54" i="44"/>
  <c r="AT54" i="44" a="1"/>
  <c r="AT54" i="44"/>
  <c r="AU54" i="44" a="1"/>
  <c r="AU54" i="44"/>
  <c r="AV54" i="44" a="1"/>
  <c r="AV54" i="44"/>
  <c r="AW54" i="44" a="1"/>
  <c r="AW54" i="44"/>
  <c r="AX54" i="44" a="1"/>
  <c r="AX54" i="44"/>
  <c r="AY54" i="44" a="1"/>
  <c r="AY54" i="44"/>
  <c r="AZ54" i="44" a="1"/>
  <c r="AZ54" i="44"/>
  <c r="BA54" i="44" a="1"/>
  <c r="BA54" i="44"/>
  <c r="BC54" i="44" a="1"/>
  <c r="BC54" i="44"/>
  <c r="BD54" i="44" a="1"/>
  <c r="BD54" i="44"/>
  <c r="BE54" i="44" a="1"/>
  <c r="BE54" i="44"/>
  <c r="BF54" i="44" a="1"/>
  <c r="BF54" i="44"/>
  <c r="BG54" i="44" a="1"/>
  <c r="BG54" i="44"/>
  <c r="BH54" i="44" a="1"/>
  <c r="BH54" i="44"/>
  <c r="BI54" i="44" a="1"/>
  <c r="BI54" i="44"/>
  <c r="BJ54" i="44" a="1"/>
  <c r="BJ54" i="44"/>
  <c r="BK54" i="44" a="1"/>
  <c r="BK54" i="44"/>
  <c r="BO54" i="44" a="1"/>
  <c r="BO54" i="44"/>
  <c r="BP54" i="44" a="1"/>
  <c r="BP54" i="44"/>
  <c r="BQ54" i="44" a="1"/>
  <c r="BQ54" i="44"/>
  <c r="BR54" i="44" a="1"/>
  <c r="BR54" i="44"/>
  <c r="BS54" i="44" a="1"/>
  <c r="BS54" i="44"/>
  <c r="BT54" i="44" a="1"/>
  <c r="BT54" i="44"/>
  <c r="BU54" i="44" a="1"/>
  <c r="BU54" i="44"/>
  <c r="BV54" i="44" a="1"/>
  <c r="BV54" i="44"/>
  <c r="BW54" i="44" a="1"/>
  <c r="BW54" i="44"/>
  <c r="BY54" i="44" a="1"/>
  <c r="BY54" i="44"/>
  <c r="BZ54" i="44" a="1"/>
  <c r="BZ54" i="44"/>
  <c r="CA54" i="44" a="1"/>
  <c r="CA54" i="44"/>
  <c r="CB54" i="44" a="1"/>
  <c r="CB54" i="44"/>
  <c r="CC54" i="44" a="1"/>
  <c r="CC54" i="44"/>
  <c r="CD54" i="44" a="1"/>
  <c r="CD54" i="44"/>
  <c r="CE54" i="44" a="1"/>
  <c r="CE54" i="44"/>
  <c r="CF54" i="44" a="1"/>
  <c r="CF54" i="44"/>
  <c r="CG54" i="44" a="1"/>
  <c r="CG54" i="44"/>
  <c r="CI54" i="44" a="1"/>
  <c r="CI54" i="44"/>
  <c r="CJ54" i="44" a="1"/>
  <c r="CJ54" i="44"/>
  <c r="CK54" i="44" a="1"/>
  <c r="CK54" i="44"/>
  <c r="CL54" i="44" a="1"/>
  <c r="CL54" i="44"/>
  <c r="CM54" i="44" a="1"/>
  <c r="CM54" i="44"/>
  <c r="CN54" i="44" a="1"/>
  <c r="CN54" i="44"/>
  <c r="CO54" i="44" a="1"/>
  <c r="CO54" i="44"/>
  <c r="CP54" i="44" a="1"/>
  <c r="CP54" i="44"/>
  <c r="CQ54" i="44" a="1"/>
  <c r="CQ54" i="44"/>
  <c r="CS54" i="44" a="1"/>
  <c r="CS54" i="44"/>
  <c r="CT54" i="44" a="1"/>
  <c r="CT54" i="44"/>
  <c r="CU54" i="44" a="1"/>
  <c r="CU54" i="44"/>
  <c r="CV54" i="44" a="1"/>
  <c r="CV54" i="44"/>
  <c r="CW54" i="44" a="1"/>
  <c r="CW54" i="44"/>
  <c r="CX54" i="44" a="1"/>
  <c r="CX54" i="44"/>
  <c r="CY54" i="44" a="1"/>
  <c r="CY54" i="44"/>
  <c r="CZ54" i="44" a="1"/>
  <c r="CZ54" i="44"/>
  <c r="DA54" i="44" a="1"/>
  <c r="DA54" i="44"/>
  <c r="DB54" i="44" a="1"/>
  <c r="DB54" i="44"/>
  <c r="DC54" i="44" a="1"/>
  <c r="DC54" i="44"/>
  <c r="DD54" i="44" a="1"/>
  <c r="DD54" i="44"/>
  <c r="DE54" i="44" a="1"/>
  <c r="DE54" i="44"/>
  <c r="DF54" i="44" a="1"/>
  <c r="DF54" i="44"/>
  <c r="DG54" i="44" a="1"/>
  <c r="DG54" i="44"/>
  <c r="DH54" i="44" a="1"/>
  <c r="DH54" i="44"/>
  <c r="E55" i="44" a="1"/>
  <c r="E55" i="44"/>
  <c r="F55" i="44" a="1"/>
  <c r="F55" i="44"/>
  <c r="G55" i="44" a="1"/>
  <c r="G55" i="44"/>
  <c r="H55" i="44" a="1"/>
  <c r="H55" i="44"/>
  <c r="I55" i="44" a="1"/>
  <c r="I55" i="44"/>
  <c r="J55" i="44" a="1"/>
  <c r="J55" i="44"/>
  <c r="K55" i="44" a="1"/>
  <c r="K55" i="44"/>
  <c r="L55" i="44" a="1"/>
  <c r="L55" i="44"/>
  <c r="M55" i="44" a="1"/>
  <c r="M55" i="44"/>
  <c r="N55" i="44"/>
  <c r="O55" i="44" a="1"/>
  <c r="O55" i="44"/>
  <c r="P55" i="44" a="1"/>
  <c r="P55" i="44"/>
  <c r="Q55" i="44" a="1"/>
  <c r="Q55" i="44"/>
  <c r="R55" i="44" a="1"/>
  <c r="R55" i="44"/>
  <c r="S55" i="44" a="1"/>
  <c r="S55" i="44"/>
  <c r="T55" i="44" a="1"/>
  <c r="T55" i="44"/>
  <c r="U55" i="44" a="1"/>
  <c r="U55" i="44"/>
  <c r="V55" i="44" a="1"/>
  <c r="V55" i="44"/>
  <c r="W55" i="44" a="1"/>
  <c r="W55" i="44"/>
  <c r="Y55" i="44" a="1"/>
  <c r="Y55" i="44"/>
  <c r="Z55" i="44" a="1"/>
  <c r="Z55" i="44"/>
  <c r="AA55" i="44" a="1"/>
  <c r="AA55" i="44"/>
  <c r="AB55" i="44" a="1"/>
  <c r="AB55" i="44"/>
  <c r="AC55" i="44" a="1"/>
  <c r="AC55" i="44"/>
  <c r="AD55" i="44" a="1"/>
  <c r="AD55" i="44"/>
  <c r="AE55" i="44" a="1"/>
  <c r="AE55" i="44"/>
  <c r="AF55" i="44" a="1"/>
  <c r="AF55" i="44"/>
  <c r="AG55" i="44" a="1"/>
  <c r="AG55" i="44"/>
  <c r="AI55" i="44" a="1"/>
  <c r="AI55" i="44"/>
  <c r="AJ55" i="44" a="1"/>
  <c r="AJ55" i="44"/>
  <c r="AK55" i="44" a="1"/>
  <c r="AK55" i="44"/>
  <c r="AL55" i="44" a="1"/>
  <c r="AL55" i="44"/>
  <c r="AM55" i="44" a="1"/>
  <c r="AM55" i="44"/>
  <c r="AN55" i="44" a="1"/>
  <c r="AN55" i="44"/>
  <c r="AO55" i="44" a="1"/>
  <c r="AO55" i="44"/>
  <c r="AP55" i="44" a="1"/>
  <c r="AP55" i="44"/>
  <c r="AQ55" i="44" a="1"/>
  <c r="AQ55" i="44"/>
  <c r="AS55" i="44" a="1"/>
  <c r="AS55" i="44"/>
  <c r="AT55" i="44" a="1"/>
  <c r="AT55" i="44"/>
  <c r="AU55" i="44" a="1"/>
  <c r="AU55" i="44"/>
  <c r="AV55" i="44" a="1"/>
  <c r="AV55" i="44"/>
  <c r="AW55" i="44" a="1"/>
  <c r="AW55" i="44"/>
  <c r="AX55" i="44" a="1"/>
  <c r="AX55" i="44"/>
  <c r="AY55" i="44" a="1"/>
  <c r="AY55" i="44"/>
  <c r="AZ55" i="44" a="1"/>
  <c r="AZ55" i="44"/>
  <c r="BA55" i="44" a="1"/>
  <c r="BA55" i="44"/>
  <c r="BC55" i="44" a="1"/>
  <c r="BC55" i="44"/>
  <c r="BD55" i="44" a="1"/>
  <c r="BD55" i="44"/>
  <c r="BE55" i="44" a="1"/>
  <c r="BE55" i="44"/>
  <c r="BF55" i="44" a="1"/>
  <c r="BF55" i="44"/>
  <c r="BG55" i="44" a="1"/>
  <c r="BG55" i="44"/>
  <c r="BH55" i="44" a="1"/>
  <c r="BH55" i="44"/>
  <c r="BI55" i="44" a="1"/>
  <c r="BI55" i="44"/>
  <c r="BJ55" i="44" a="1"/>
  <c r="BJ55" i="44"/>
  <c r="BK55" i="44" a="1"/>
  <c r="BK55" i="44"/>
  <c r="BO55" i="44" a="1"/>
  <c r="BO55" i="44"/>
  <c r="BP55" i="44" a="1"/>
  <c r="BP55" i="44"/>
  <c r="BQ55" i="44" a="1"/>
  <c r="BQ55" i="44"/>
  <c r="BR55" i="44" a="1"/>
  <c r="BR55" i="44"/>
  <c r="BS55" i="44" a="1"/>
  <c r="BS55" i="44"/>
  <c r="BT55" i="44" a="1"/>
  <c r="BT55" i="44"/>
  <c r="BU55" i="44" a="1"/>
  <c r="BU55" i="44"/>
  <c r="BV55" i="44" a="1"/>
  <c r="BV55" i="44"/>
  <c r="BW55" i="44" a="1"/>
  <c r="BW55" i="44"/>
  <c r="BY55" i="44" a="1"/>
  <c r="BY55" i="44"/>
  <c r="BZ55" i="44" a="1"/>
  <c r="BZ55" i="44"/>
  <c r="CA55" i="44" a="1"/>
  <c r="CA55" i="44"/>
  <c r="CB55" i="44" a="1"/>
  <c r="CB55" i="44"/>
  <c r="CC55" i="44" a="1"/>
  <c r="CC55" i="44"/>
  <c r="CD55" i="44" a="1"/>
  <c r="CD55" i="44"/>
  <c r="CE55" i="44" a="1"/>
  <c r="CE55" i="44"/>
  <c r="CF55" i="44" a="1"/>
  <c r="CF55" i="44"/>
  <c r="CG55" i="44" a="1"/>
  <c r="CG55" i="44"/>
  <c r="CI55" i="44" a="1"/>
  <c r="CI55" i="44"/>
  <c r="CJ55" i="44" a="1"/>
  <c r="CJ55" i="44"/>
  <c r="CK55" i="44" a="1"/>
  <c r="CK55" i="44"/>
  <c r="CL55" i="44" a="1"/>
  <c r="CL55" i="44"/>
  <c r="CM55" i="44" a="1"/>
  <c r="CM55" i="44"/>
  <c r="CN55" i="44" a="1"/>
  <c r="CN55" i="44"/>
  <c r="CO55" i="44" a="1"/>
  <c r="CO55" i="44"/>
  <c r="CP55" i="44" a="1"/>
  <c r="CP55" i="44"/>
  <c r="CQ55" i="44" a="1"/>
  <c r="CQ55" i="44"/>
  <c r="CS55" i="44" a="1"/>
  <c r="CS55" i="44"/>
  <c r="CT55" i="44" a="1"/>
  <c r="CT55" i="44"/>
  <c r="CU55" i="44" a="1"/>
  <c r="CU55" i="44"/>
  <c r="CV55" i="44" a="1"/>
  <c r="CV55" i="44"/>
  <c r="CW55" i="44" a="1"/>
  <c r="CW55" i="44"/>
  <c r="CX55" i="44" a="1"/>
  <c r="CX55" i="44"/>
  <c r="CY55" i="44" a="1"/>
  <c r="CY55" i="44"/>
  <c r="CZ55" i="44" a="1"/>
  <c r="CZ55" i="44"/>
  <c r="DA55" i="44" a="1"/>
  <c r="DA55" i="44"/>
  <c r="DB55" i="44" a="1"/>
  <c r="DB55" i="44"/>
  <c r="DC55" i="44" a="1"/>
  <c r="DC55" i="44"/>
  <c r="DD55" i="44" a="1"/>
  <c r="DD55" i="44"/>
  <c r="DE55" i="44" a="1"/>
  <c r="DE55" i="44"/>
  <c r="DF55" i="44" a="1"/>
  <c r="DF55" i="44"/>
  <c r="DG55" i="44" a="1"/>
  <c r="DG55" i="44"/>
  <c r="DH55" i="44" a="1"/>
  <c r="DH55" i="44"/>
  <c r="E56" i="44" a="1"/>
  <c r="E56" i="44"/>
  <c r="F56" i="44" a="1"/>
  <c r="F56" i="44"/>
  <c r="G56" i="44" a="1"/>
  <c r="G56" i="44"/>
  <c r="H56" i="44" a="1"/>
  <c r="H56" i="44"/>
  <c r="I56" i="44" a="1"/>
  <c r="I56" i="44"/>
  <c r="J56" i="44" a="1"/>
  <c r="J56" i="44"/>
  <c r="K56" i="44" a="1"/>
  <c r="K56" i="44"/>
  <c r="L56" i="44" a="1"/>
  <c r="L56" i="44"/>
  <c r="M56" i="44" a="1"/>
  <c r="M56" i="44"/>
  <c r="N56" i="44"/>
  <c r="O56" i="44" a="1"/>
  <c r="O56" i="44"/>
  <c r="P56" i="44" a="1"/>
  <c r="P56" i="44"/>
  <c r="Q56" i="44" a="1"/>
  <c r="Q56" i="44"/>
  <c r="R56" i="44" a="1"/>
  <c r="R56" i="44"/>
  <c r="S56" i="44" a="1"/>
  <c r="S56" i="44"/>
  <c r="T56" i="44" a="1"/>
  <c r="T56" i="44"/>
  <c r="U56" i="44" a="1"/>
  <c r="U56" i="44"/>
  <c r="V56" i="44" a="1"/>
  <c r="V56" i="44"/>
  <c r="W56" i="44" a="1"/>
  <c r="W56" i="44"/>
  <c r="Y56" i="44" a="1"/>
  <c r="Y56" i="44"/>
  <c r="Z56" i="44" a="1"/>
  <c r="Z56" i="44"/>
  <c r="AA56" i="44" a="1"/>
  <c r="AA56" i="44"/>
  <c r="AB56" i="44" a="1"/>
  <c r="AB56" i="44"/>
  <c r="AC56" i="44" a="1"/>
  <c r="AC56" i="44"/>
  <c r="AD56" i="44" a="1"/>
  <c r="AD56" i="44"/>
  <c r="AE56" i="44" a="1"/>
  <c r="AE56" i="44"/>
  <c r="AF56" i="44" a="1"/>
  <c r="AF56" i="44"/>
  <c r="AG56" i="44" a="1"/>
  <c r="AG56" i="44"/>
  <c r="AI56" i="44" a="1"/>
  <c r="AI56" i="44"/>
  <c r="AJ56" i="44" a="1"/>
  <c r="AJ56" i="44"/>
  <c r="AK56" i="44" a="1"/>
  <c r="AK56" i="44"/>
  <c r="AL56" i="44" a="1"/>
  <c r="AL56" i="44"/>
  <c r="AM56" i="44" a="1"/>
  <c r="AM56" i="44"/>
  <c r="AN56" i="44" a="1"/>
  <c r="AN56" i="44"/>
  <c r="AO56" i="44" a="1"/>
  <c r="AO56" i="44"/>
  <c r="AP56" i="44" a="1"/>
  <c r="AP56" i="44"/>
  <c r="AQ56" i="44" a="1"/>
  <c r="AQ56" i="44"/>
  <c r="AS56" i="44" a="1"/>
  <c r="AS56" i="44"/>
  <c r="AT56" i="44" a="1"/>
  <c r="AT56" i="44"/>
  <c r="AU56" i="44" a="1"/>
  <c r="AU56" i="44"/>
  <c r="AV56" i="44" a="1"/>
  <c r="AV56" i="44"/>
  <c r="AW56" i="44" a="1"/>
  <c r="AW56" i="44"/>
  <c r="AX56" i="44" a="1"/>
  <c r="AX56" i="44"/>
  <c r="AY56" i="44" a="1"/>
  <c r="AY56" i="44"/>
  <c r="AZ56" i="44" a="1"/>
  <c r="AZ56" i="44"/>
  <c r="BA56" i="44" a="1"/>
  <c r="BA56" i="44"/>
  <c r="BC56" i="44" a="1"/>
  <c r="BC56" i="44"/>
  <c r="BD56" i="44" a="1"/>
  <c r="BD56" i="44"/>
  <c r="BE56" i="44" a="1"/>
  <c r="BE56" i="44"/>
  <c r="BF56" i="44" a="1"/>
  <c r="BF56" i="44"/>
  <c r="BG56" i="44" a="1"/>
  <c r="BG56" i="44"/>
  <c r="BH56" i="44" a="1"/>
  <c r="BH56" i="44"/>
  <c r="BI56" i="44" a="1"/>
  <c r="BI56" i="44"/>
  <c r="BJ56" i="44" a="1"/>
  <c r="BJ56" i="44"/>
  <c r="BK56" i="44" a="1"/>
  <c r="BK56" i="44"/>
  <c r="BO56" i="44" a="1"/>
  <c r="BO56" i="44"/>
  <c r="BP56" i="44" a="1"/>
  <c r="BP56" i="44"/>
  <c r="BQ56" i="44" a="1"/>
  <c r="BQ56" i="44"/>
  <c r="BR56" i="44" a="1"/>
  <c r="BR56" i="44"/>
  <c r="BS56" i="44" a="1"/>
  <c r="BS56" i="44"/>
  <c r="BT56" i="44" a="1"/>
  <c r="BT56" i="44"/>
  <c r="BU56" i="44" a="1"/>
  <c r="BU56" i="44"/>
  <c r="BV56" i="44" a="1"/>
  <c r="BV56" i="44"/>
  <c r="BW56" i="44" a="1"/>
  <c r="BW56" i="44"/>
  <c r="BY56" i="44" a="1"/>
  <c r="BY56" i="44"/>
  <c r="BZ56" i="44" a="1"/>
  <c r="BZ56" i="44"/>
  <c r="CA56" i="44" a="1"/>
  <c r="CA56" i="44"/>
  <c r="CB56" i="44" a="1"/>
  <c r="CB56" i="44"/>
  <c r="CC56" i="44" a="1"/>
  <c r="CC56" i="44"/>
  <c r="CD56" i="44" a="1"/>
  <c r="CD56" i="44"/>
  <c r="CE56" i="44" a="1"/>
  <c r="CE56" i="44"/>
  <c r="CF56" i="44" a="1"/>
  <c r="CF56" i="44"/>
  <c r="CG56" i="44" a="1"/>
  <c r="CG56" i="44"/>
  <c r="CI56" i="44" a="1"/>
  <c r="CI56" i="44"/>
  <c r="CJ56" i="44" a="1"/>
  <c r="CJ56" i="44"/>
  <c r="CK56" i="44" a="1"/>
  <c r="CK56" i="44"/>
  <c r="CL56" i="44" a="1"/>
  <c r="CL56" i="44"/>
  <c r="CM56" i="44" a="1"/>
  <c r="CM56" i="44"/>
  <c r="CN56" i="44" a="1"/>
  <c r="CN56" i="44"/>
  <c r="CO56" i="44" a="1"/>
  <c r="CO56" i="44"/>
  <c r="CP56" i="44" a="1"/>
  <c r="CP56" i="44"/>
  <c r="CQ56" i="44" a="1"/>
  <c r="CQ56" i="44"/>
  <c r="CS56" i="44" a="1"/>
  <c r="CS56" i="44"/>
  <c r="CT56" i="44" a="1"/>
  <c r="CT56" i="44"/>
  <c r="CU56" i="44" a="1"/>
  <c r="CU56" i="44"/>
  <c r="CV56" i="44" a="1"/>
  <c r="CV56" i="44"/>
  <c r="CW56" i="44" a="1"/>
  <c r="CW56" i="44"/>
  <c r="CX56" i="44" a="1"/>
  <c r="CX56" i="44"/>
  <c r="CY56" i="44" a="1"/>
  <c r="CY56" i="44"/>
  <c r="CZ56" i="44" a="1"/>
  <c r="CZ56" i="44"/>
  <c r="DA56" i="44" a="1"/>
  <c r="DA56" i="44"/>
  <c r="DB56" i="44" a="1"/>
  <c r="DB56" i="44"/>
  <c r="DC56" i="44" a="1"/>
  <c r="DC56" i="44"/>
  <c r="DD56" i="44" a="1"/>
  <c r="DD56" i="44"/>
  <c r="DE56" i="44" a="1"/>
  <c r="DE56" i="44"/>
  <c r="DF56" i="44" a="1"/>
  <c r="DF56" i="44"/>
  <c r="DG56" i="44" a="1"/>
  <c r="DG56" i="44"/>
  <c r="DH56" i="44" a="1"/>
  <c r="DH56" i="44"/>
  <c r="E57" i="44" a="1"/>
  <c r="E57" i="44"/>
  <c r="F57" i="44" a="1"/>
  <c r="F57" i="44"/>
  <c r="G57" i="44" a="1"/>
  <c r="G57" i="44"/>
  <c r="H57" i="44" a="1"/>
  <c r="H57" i="44"/>
  <c r="I57" i="44" a="1"/>
  <c r="I57" i="44"/>
  <c r="J57" i="44" a="1"/>
  <c r="J57" i="44"/>
  <c r="K57" i="44" a="1"/>
  <c r="K57" i="44"/>
  <c r="L57" i="44" a="1"/>
  <c r="L57" i="44"/>
  <c r="M57" i="44" a="1"/>
  <c r="M57" i="44"/>
  <c r="N57" i="44"/>
  <c r="O57" i="44" a="1"/>
  <c r="O57" i="44"/>
  <c r="P57" i="44" a="1"/>
  <c r="P57" i="44"/>
  <c r="Q57" i="44" a="1"/>
  <c r="Q57" i="44"/>
  <c r="R57" i="44" a="1"/>
  <c r="R57" i="44"/>
  <c r="S57" i="44" a="1"/>
  <c r="S57" i="44"/>
  <c r="T57" i="44" a="1"/>
  <c r="T57" i="44"/>
  <c r="U57" i="44" a="1"/>
  <c r="U57" i="44"/>
  <c r="V57" i="44" a="1"/>
  <c r="V57" i="44"/>
  <c r="W57" i="44" a="1"/>
  <c r="W57" i="44"/>
  <c r="Y57" i="44" a="1"/>
  <c r="Y57" i="44"/>
  <c r="Z57" i="44" a="1"/>
  <c r="Z57" i="44"/>
  <c r="AA57" i="44" a="1"/>
  <c r="AA57" i="44"/>
  <c r="AB57" i="44" a="1"/>
  <c r="AB57" i="44"/>
  <c r="AC57" i="44" a="1"/>
  <c r="AC57" i="44"/>
  <c r="AD57" i="44" a="1"/>
  <c r="AD57" i="44"/>
  <c r="AE57" i="44" a="1"/>
  <c r="AE57" i="44"/>
  <c r="AF57" i="44" a="1"/>
  <c r="AF57" i="44"/>
  <c r="AG57" i="44" a="1"/>
  <c r="AG57" i="44"/>
  <c r="AI57" i="44" a="1"/>
  <c r="AI57" i="44"/>
  <c r="AJ57" i="44" a="1"/>
  <c r="AJ57" i="44"/>
  <c r="AK57" i="44" a="1"/>
  <c r="AK57" i="44"/>
  <c r="AL57" i="44" a="1"/>
  <c r="AL57" i="44"/>
  <c r="AM57" i="44" a="1"/>
  <c r="AM57" i="44"/>
  <c r="AN57" i="44" a="1"/>
  <c r="AN57" i="44"/>
  <c r="AO57" i="44" a="1"/>
  <c r="AO57" i="44"/>
  <c r="AP57" i="44" a="1"/>
  <c r="AP57" i="44"/>
  <c r="AQ57" i="44" a="1"/>
  <c r="AQ57" i="44"/>
  <c r="AS57" i="44" a="1"/>
  <c r="AS57" i="44"/>
  <c r="AT57" i="44" a="1"/>
  <c r="AT57" i="44"/>
  <c r="AU57" i="44" a="1"/>
  <c r="AU57" i="44"/>
  <c r="AV57" i="44" a="1"/>
  <c r="AV57" i="44"/>
  <c r="AW57" i="44" a="1"/>
  <c r="AW57" i="44"/>
  <c r="AX57" i="44" a="1"/>
  <c r="AX57" i="44"/>
  <c r="AY57" i="44" a="1"/>
  <c r="AY57" i="44"/>
  <c r="AZ57" i="44" a="1"/>
  <c r="AZ57" i="44"/>
  <c r="BA57" i="44" a="1"/>
  <c r="BA57" i="44"/>
  <c r="BC57" i="44" a="1"/>
  <c r="BC57" i="44"/>
  <c r="BD57" i="44" a="1"/>
  <c r="BD57" i="44"/>
  <c r="BE57" i="44" a="1"/>
  <c r="BE57" i="44"/>
  <c r="BF57" i="44" a="1"/>
  <c r="BF57" i="44"/>
  <c r="BG57" i="44" a="1"/>
  <c r="BG57" i="44"/>
  <c r="BH57" i="44" a="1"/>
  <c r="BH57" i="44"/>
  <c r="BI57" i="44" a="1"/>
  <c r="BI57" i="44"/>
  <c r="BJ57" i="44" a="1"/>
  <c r="BJ57" i="44"/>
  <c r="BK57" i="44" a="1"/>
  <c r="BK57" i="44"/>
  <c r="BO57" i="44" a="1"/>
  <c r="BO57" i="44"/>
  <c r="BP57" i="44" a="1"/>
  <c r="BP57" i="44"/>
  <c r="BQ57" i="44" a="1"/>
  <c r="BQ57" i="44"/>
  <c r="BR57" i="44" a="1"/>
  <c r="BR57" i="44"/>
  <c r="BS57" i="44" a="1"/>
  <c r="BS57" i="44"/>
  <c r="BT57" i="44" a="1"/>
  <c r="BT57" i="44"/>
  <c r="BU57" i="44" a="1"/>
  <c r="BU57" i="44"/>
  <c r="BV57" i="44" a="1"/>
  <c r="BV57" i="44"/>
  <c r="BW57" i="44" a="1"/>
  <c r="BW57" i="44"/>
  <c r="BY57" i="44" a="1"/>
  <c r="BY57" i="44"/>
  <c r="BZ57" i="44" a="1"/>
  <c r="BZ57" i="44"/>
  <c r="CA57" i="44" a="1"/>
  <c r="CA57" i="44"/>
  <c r="CB57" i="44" a="1"/>
  <c r="CB57" i="44"/>
  <c r="CC57" i="44" a="1"/>
  <c r="CC57" i="44"/>
  <c r="CD57" i="44" a="1"/>
  <c r="CD57" i="44"/>
  <c r="CE57" i="44" a="1"/>
  <c r="CE57" i="44"/>
  <c r="CF57" i="44" a="1"/>
  <c r="CF57" i="44"/>
  <c r="CG57" i="44" a="1"/>
  <c r="CG57" i="44"/>
  <c r="CI57" i="44" a="1"/>
  <c r="CI57" i="44"/>
  <c r="CJ57" i="44" a="1"/>
  <c r="CJ57" i="44"/>
  <c r="CK57" i="44" a="1"/>
  <c r="CK57" i="44"/>
  <c r="CL57" i="44" a="1"/>
  <c r="CL57" i="44"/>
  <c r="CM57" i="44" a="1"/>
  <c r="CM57" i="44"/>
  <c r="CN57" i="44" a="1"/>
  <c r="CN57" i="44"/>
  <c r="CO57" i="44" a="1"/>
  <c r="CO57" i="44"/>
  <c r="CP57" i="44" a="1"/>
  <c r="CP57" i="44"/>
  <c r="CQ57" i="44" a="1"/>
  <c r="CQ57" i="44"/>
  <c r="CS57" i="44" a="1"/>
  <c r="CS57" i="44"/>
  <c r="CT57" i="44" a="1"/>
  <c r="CT57" i="44"/>
  <c r="CU57" i="44" a="1"/>
  <c r="CU57" i="44"/>
  <c r="CV57" i="44" a="1"/>
  <c r="CV57" i="44"/>
  <c r="CW57" i="44" a="1"/>
  <c r="CW57" i="44"/>
  <c r="CX57" i="44" a="1"/>
  <c r="CX57" i="44"/>
  <c r="CY57" i="44" a="1"/>
  <c r="CY57" i="44"/>
  <c r="CZ57" i="44" a="1"/>
  <c r="CZ57" i="44"/>
  <c r="DA57" i="44" a="1"/>
  <c r="DA57" i="44"/>
  <c r="DB57" i="44" a="1"/>
  <c r="DB57" i="44"/>
  <c r="DC57" i="44" a="1"/>
  <c r="DC57" i="44"/>
  <c r="DD57" i="44" a="1"/>
  <c r="DD57" i="44"/>
  <c r="DE57" i="44" a="1"/>
  <c r="DE57" i="44"/>
  <c r="DF57" i="44" a="1"/>
  <c r="DF57" i="44"/>
  <c r="DG57" i="44" a="1"/>
  <c r="DG57" i="44"/>
  <c r="DH57" i="44" a="1"/>
  <c r="DH57" i="44"/>
  <c r="E58" i="44" a="1"/>
  <c r="E58" i="44"/>
  <c r="F58" i="44" a="1"/>
  <c r="F58" i="44"/>
  <c r="G58" i="44" a="1"/>
  <c r="G58" i="44"/>
  <c r="H58" i="44" a="1"/>
  <c r="H58" i="44"/>
  <c r="I58" i="44" a="1"/>
  <c r="I58" i="44"/>
  <c r="J58" i="44" a="1"/>
  <c r="J58" i="44"/>
  <c r="K58" i="44" a="1"/>
  <c r="K58" i="44"/>
  <c r="L58" i="44" a="1"/>
  <c r="L58" i="44"/>
  <c r="M58" i="44" a="1"/>
  <c r="M58" i="44"/>
  <c r="N58" i="44"/>
  <c r="O58" i="44" a="1"/>
  <c r="O58" i="44"/>
  <c r="P58" i="44" a="1"/>
  <c r="P58" i="44"/>
  <c r="Q58" i="44" a="1"/>
  <c r="Q58" i="44"/>
  <c r="R58" i="44" a="1"/>
  <c r="R58" i="44"/>
  <c r="S58" i="44" a="1"/>
  <c r="S58" i="44"/>
  <c r="T58" i="44" a="1"/>
  <c r="T58" i="44"/>
  <c r="U58" i="44" a="1"/>
  <c r="U58" i="44"/>
  <c r="V58" i="44" a="1"/>
  <c r="V58" i="44"/>
  <c r="W58" i="44" a="1"/>
  <c r="W58" i="44"/>
  <c r="Y58" i="44" a="1"/>
  <c r="Y58" i="44"/>
  <c r="Z58" i="44" a="1"/>
  <c r="Z58" i="44"/>
  <c r="AA58" i="44" a="1"/>
  <c r="AA58" i="44"/>
  <c r="AB58" i="44" a="1"/>
  <c r="AB58" i="44"/>
  <c r="AC58" i="44" a="1"/>
  <c r="AC58" i="44"/>
  <c r="AD58" i="44" a="1"/>
  <c r="AD58" i="44"/>
  <c r="AE58" i="44" a="1"/>
  <c r="AE58" i="44"/>
  <c r="AF58" i="44" a="1"/>
  <c r="AF58" i="44"/>
  <c r="AG58" i="44" a="1"/>
  <c r="AG58" i="44"/>
  <c r="AI58" i="44" a="1"/>
  <c r="AI58" i="44"/>
  <c r="AJ58" i="44" a="1"/>
  <c r="AJ58" i="44"/>
  <c r="AK58" i="44" a="1"/>
  <c r="AK58" i="44"/>
  <c r="AL58" i="44" a="1"/>
  <c r="AL58" i="44"/>
  <c r="AM58" i="44" a="1"/>
  <c r="AM58" i="44"/>
  <c r="AN58" i="44" a="1"/>
  <c r="AN58" i="44"/>
  <c r="AO58" i="44" a="1"/>
  <c r="AO58" i="44"/>
  <c r="AP58" i="44" a="1"/>
  <c r="AP58" i="44"/>
  <c r="AQ58" i="44" a="1"/>
  <c r="AQ58" i="44"/>
  <c r="AS58" i="44" a="1"/>
  <c r="AS58" i="44"/>
  <c r="AT58" i="44" a="1"/>
  <c r="AT58" i="44"/>
  <c r="AU58" i="44" a="1"/>
  <c r="AU58" i="44"/>
  <c r="AV58" i="44" a="1"/>
  <c r="AV58" i="44"/>
  <c r="AW58" i="44" a="1"/>
  <c r="AW58" i="44"/>
  <c r="AX58" i="44" a="1"/>
  <c r="AX58" i="44"/>
  <c r="AY58" i="44" a="1"/>
  <c r="AY58" i="44"/>
  <c r="AZ58" i="44" a="1"/>
  <c r="AZ58" i="44"/>
  <c r="BA58" i="44" a="1"/>
  <c r="BA58" i="44"/>
  <c r="BC58" i="44" a="1"/>
  <c r="BC58" i="44"/>
  <c r="BD58" i="44" a="1"/>
  <c r="BD58" i="44"/>
  <c r="BE58" i="44" a="1"/>
  <c r="BE58" i="44"/>
  <c r="BF58" i="44" a="1"/>
  <c r="BF58" i="44"/>
  <c r="BG58" i="44" a="1"/>
  <c r="BG58" i="44"/>
  <c r="BH58" i="44" a="1"/>
  <c r="BH58" i="44"/>
  <c r="BI58" i="44" a="1"/>
  <c r="BI58" i="44"/>
  <c r="BJ58" i="44" a="1"/>
  <c r="BJ58" i="44"/>
  <c r="BK58" i="44" a="1"/>
  <c r="BK58" i="44"/>
  <c r="BO58" i="44" a="1"/>
  <c r="BO58" i="44"/>
  <c r="BP58" i="44" a="1"/>
  <c r="BP58" i="44"/>
  <c r="BQ58" i="44" a="1"/>
  <c r="BQ58" i="44"/>
  <c r="BR58" i="44" a="1"/>
  <c r="BR58" i="44"/>
  <c r="BS58" i="44" a="1"/>
  <c r="BS58" i="44"/>
  <c r="BT58" i="44" a="1"/>
  <c r="BT58" i="44"/>
  <c r="BU58" i="44" a="1"/>
  <c r="BU58" i="44"/>
  <c r="BV58" i="44" a="1"/>
  <c r="BV58" i="44"/>
  <c r="BW58" i="44" a="1"/>
  <c r="BW58" i="44"/>
  <c r="BY58" i="44" a="1"/>
  <c r="BY58" i="44"/>
  <c r="BZ58" i="44" a="1"/>
  <c r="BZ58" i="44"/>
  <c r="CA58" i="44" a="1"/>
  <c r="CA58" i="44"/>
  <c r="CB58" i="44" a="1"/>
  <c r="CB58" i="44"/>
  <c r="CC58" i="44" a="1"/>
  <c r="CC58" i="44"/>
  <c r="CD58" i="44" a="1"/>
  <c r="CD58" i="44"/>
  <c r="CE58" i="44" a="1"/>
  <c r="CE58" i="44"/>
  <c r="CF58" i="44" a="1"/>
  <c r="CF58" i="44"/>
  <c r="CG58" i="44" a="1"/>
  <c r="CG58" i="44"/>
  <c r="CI58" i="44" a="1"/>
  <c r="CI58" i="44"/>
  <c r="CJ58" i="44" a="1"/>
  <c r="CJ58" i="44"/>
  <c r="CK58" i="44" a="1"/>
  <c r="CK58" i="44"/>
  <c r="CL58" i="44" a="1"/>
  <c r="CL58" i="44"/>
  <c r="CM58" i="44" a="1"/>
  <c r="CM58" i="44"/>
  <c r="CN58" i="44" a="1"/>
  <c r="CN58" i="44"/>
  <c r="CO58" i="44" a="1"/>
  <c r="CO58" i="44"/>
  <c r="CP58" i="44" a="1"/>
  <c r="CP58" i="44"/>
  <c r="CQ58" i="44" a="1"/>
  <c r="CQ58" i="44"/>
  <c r="CS58" i="44" a="1"/>
  <c r="CS58" i="44"/>
  <c r="CT58" i="44" a="1"/>
  <c r="CT58" i="44"/>
  <c r="CU58" i="44" a="1"/>
  <c r="CU58" i="44"/>
  <c r="CV58" i="44" a="1"/>
  <c r="CV58" i="44"/>
  <c r="CW58" i="44" a="1"/>
  <c r="CW58" i="44"/>
  <c r="CX58" i="44" a="1"/>
  <c r="CX58" i="44"/>
  <c r="CY58" i="44" a="1"/>
  <c r="CY58" i="44"/>
  <c r="CZ58" i="44" a="1"/>
  <c r="CZ58" i="44"/>
  <c r="DA58" i="44" a="1"/>
  <c r="DA58" i="44"/>
  <c r="DB58" i="44" a="1"/>
  <c r="DB58" i="44"/>
  <c r="DC58" i="44" a="1"/>
  <c r="DC58" i="44"/>
  <c r="DD58" i="44" a="1"/>
  <c r="DD58" i="44"/>
  <c r="DE58" i="44" a="1"/>
  <c r="DE58" i="44"/>
  <c r="DF58" i="44" a="1"/>
  <c r="DF58" i="44"/>
  <c r="DG58" i="44" a="1"/>
  <c r="DG58" i="44"/>
  <c r="DH58" i="44" a="1"/>
  <c r="DH58" i="44"/>
  <c r="E59" i="44" a="1"/>
  <c r="E59" i="44"/>
  <c r="F59" i="44" a="1"/>
  <c r="F59" i="44"/>
  <c r="G59" i="44" a="1"/>
  <c r="G59" i="44"/>
  <c r="H59" i="44" a="1"/>
  <c r="H59" i="44"/>
  <c r="I59" i="44" a="1"/>
  <c r="I59" i="44"/>
  <c r="J59" i="44" a="1"/>
  <c r="J59" i="44"/>
  <c r="K59" i="44" a="1"/>
  <c r="K59" i="44"/>
  <c r="L59" i="44" a="1"/>
  <c r="L59" i="44"/>
  <c r="M59" i="44" a="1"/>
  <c r="M59" i="44"/>
  <c r="N59" i="44"/>
  <c r="O59" i="44" a="1"/>
  <c r="O59" i="44"/>
  <c r="P59" i="44" a="1"/>
  <c r="P59" i="44"/>
  <c r="Q59" i="44" a="1"/>
  <c r="Q59" i="44"/>
  <c r="R59" i="44" a="1"/>
  <c r="R59" i="44"/>
  <c r="S59" i="44" a="1"/>
  <c r="S59" i="44"/>
  <c r="T59" i="44" a="1"/>
  <c r="T59" i="44"/>
  <c r="U59" i="44" a="1"/>
  <c r="U59" i="44"/>
  <c r="V59" i="44" a="1"/>
  <c r="V59" i="44"/>
  <c r="W59" i="44" a="1"/>
  <c r="W59" i="44"/>
  <c r="Y59" i="44" a="1"/>
  <c r="Y59" i="44"/>
  <c r="Z59" i="44" a="1"/>
  <c r="Z59" i="44"/>
  <c r="AA59" i="44" a="1"/>
  <c r="AA59" i="44"/>
  <c r="AB59" i="44" a="1"/>
  <c r="AB59" i="44"/>
  <c r="AC59" i="44" a="1"/>
  <c r="AC59" i="44"/>
  <c r="AD59" i="44" a="1"/>
  <c r="AD59" i="44"/>
  <c r="AE59" i="44" a="1"/>
  <c r="AE59" i="44"/>
  <c r="AF59" i="44" a="1"/>
  <c r="AF59" i="44"/>
  <c r="AG59" i="44" a="1"/>
  <c r="AG59" i="44"/>
  <c r="AI59" i="44" a="1"/>
  <c r="AI59" i="44"/>
  <c r="AJ59" i="44" a="1"/>
  <c r="AJ59" i="44"/>
  <c r="AK59" i="44" a="1"/>
  <c r="AK59" i="44"/>
  <c r="AL59" i="44" a="1"/>
  <c r="AL59" i="44"/>
  <c r="AM59" i="44" a="1"/>
  <c r="AM59" i="44"/>
  <c r="AN59" i="44" a="1"/>
  <c r="AN59" i="44"/>
  <c r="AO59" i="44" a="1"/>
  <c r="AO59" i="44"/>
  <c r="AP59" i="44" a="1"/>
  <c r="AP59" i="44"/>
  <c r="AQ59" i="44" a="1"/>
  <c r="AQ59" i="44"/>
  <c r="AS59" i="44" a="1"/>
  <c r="AS59" i="44"/>
  <c r="AT59" i="44" a="1"/>
  <c r="AT59" i="44"/>
  <c r="AU59" i="44" a="1"/>
  <c r="AU59" i="44"/>
  <c r="AV59" i="44" a="1"/>
  <c r="AV59" i="44"/>
  <c r="AW59" i="44" a="1"/>
  <c r="AW59" i="44"/>
  <c r="AX59" i="44" a="1"/>
  <c r="AX59" i="44"/>
  <c r="AY59" i="44" a="1"/>
  <c r="AY59" i="44"/>
  <c r="AZ59" i="44" a="1"/>
  <c r="AZ59" i="44"/>
  <c r="BA59" i="44" a="1"/>
  <c r="BA59" i="44"/>
  <c r="BC59" i="44" a="1"/>
  <c r="BC59" i="44"/>
  <c r="BD59" i="44" a="1"/>
  <c r="BD59" i="44"/>
  <c r="BE59" i="44" a="1"/>
  <c r="BE59" i="44"/>
  <c r="BF59" i="44" a="1"/>
  <c r="BF59" i="44"/>
  <c r="BG59" i="44" a="1"/>
  <c r="BG59" i="44"/>
  <c r="BH59" i="44" a="1"/>
  <c r="BH59" i="44"/>
  <c r="BI59" i="44" a="1"/>
  <c r="BI59" i="44"/>
  <c r="BJ59" i="44" a="1"/>
  <c r="BJ59" i="44"/>
  <c r="BK59" i="44" a="1"/>
  <c r="BK59" i="44"/>
  <c r="BO59" i="44" a="1"/>
  <c r="BO59" i="44"/>
  <c r="BP59" i="44" a="1"/>
  <c r="BP59" i="44"/>
  <c r="BQ59" i="44" a="1"/>
  <c r="BQ59" i="44"/>
  <c r="BR59" i="44" a="1"/>
  <c r="BR59" i="44"/>
  <c r="BS59" i="44" a="1"/>
  <c r="BS59" i="44"/>
  <c r="BT59" i="44" a="1"/>
  <c r="BT59" i="44"/>
  <c r="BU59" i="44" a="1"/>
  <c r="BU59" i="44"/>
  <c r="BV59" i="44" a="1"/>
  <c r="BV59" i="44"/>
  <c r="BW59" i="44" a="1"/>
  <c r="BW59" i="44"/>
  <c r="BY59" i="44" a="1"/>
  <c r="BY59" i="44"/>
  <c r="BZ59" i="44" a="1"/>
  <c r="BZ59" i="44"/>
  <c r="CA59" i="44" a="1"/>
  <c r="CA59" i="44"/>
  <c r="CB59" i="44" a="1"/>
  <c r="CB59" i="44"/>
  <c r="CC59" i="44" a="1"/>
  <c r="CC59" i="44"/>
  <c r="CD59" i="44" a="1"/>
  <c r="CD59" i="44"/>
  <c r="CE59" i="44" a="1"/>
  <c r="CE59" i="44"/>
  <c r="CF59" i="44" a="1"/>
  <c r="CF59" i="44"/>
  <c r="CG59" i="44" a="1"/>
  <c r="CG59" i="44"/>
  <c r="CI59" i="44" a="1"/>
  <c r="CI59" i="44"/>
  <c r="CJ59" i="44" a="1"/>
  <c r="CJ59" i="44"/>
  <c r="CK59" i="44" a="1"/>
  <c r="CK59" i="44"/>
  <c r="CL59" i="44" a="1"/>
  <c r="CL59" i="44"/>
  <c r="CM59" i="44" a="1"/>
  <c r="CM59" i="44"/>
  <c r="CN59" i="44" a="1"/>
  <c r="CN59" i="44"/>
  <c r="CO59" i="44" a="1"/>
  <c r="CO59" i="44"/>
  <c r="CP59" i="44" a="1"/>
  <c r="CP59" i="44"/>
  <c r="CQ59" i="44" a="1"/>
  <c r="CQ59" i="44"/>
  <c r="CS59" i="44" a="1"/>
  <c r="CS59" i="44"/>
  <c r="CT59" i="44" a="1"/>
  <c r="CT59" i="44"/>
  <c r="CU59" i="44" a="1"/>
  <c r="CU59" i="44"/>
  <c r="CV59" i="44" a="1"/>
  <c r="CV59" i="44"/>
  <c r="CW59" i="44" a="1"/>
  <c r="CW59" i="44"/>
  <c r="CX59" i="44" a="1"/>
  <c r="CX59" i="44"/>
  <c r="CY59" i="44" a="1"/>
  <c r="CY59" i="44"/>
  <c r="CZ59" i="44" a="1"/>
  <c r="CZ59" i="44"/>
  <c r="DA59" i="44" a="1"/>
  <c r="DA59" i="44"/>
  <c r="DB59" i="44" a="1"/>
  <c r="DB59" i="44"/>
  <c r="DC59" i="44" a="1"/>
  <c r="DC59" i="44"/>
  <c r="DD59" i="44" a="1"/>
  <c r="DD59" i="44"/>
  <c r="DE59" i="44" a="1"/>
  <c r="DE59" i="44"/>
  <c r="DF59" i="44" a="1"/>
  <c r="DF59" i="44"/>
  <c r="DG59" i="44" a="1"/>
  <c r="DG59" i="44"/>
  <c r="DH59" i="44" a="1"/>
  <c r="DH59" i="44"/>
  <c r="E60" i="44" a="1"/>
  <c r="E60" i="44"/>
  <c r="F60" i="44" a="1"/>
  <c r="F60" i="44"/>
  <c r="G60" i="44" a="1"/>
  <c r="G60" i="44"/>
  <c r="H60" i="44" a="1"/>
  <c r="H60" i="44"/>
  <c r="I60" i="44" a="1"/>
  <c r="I60" i="44"/>
  <c r="J60" i="44" a="1"/>
  <c r="J60" i="44"/>
  <c r="K60" i="44" a="1"/>
  <c r="K60" i="44"/>
  <c r="L60" i="44" a="1"/>
  <c r="L60" i="44"/>
  <c r="M60" i="44" a="1"/>
  <c r="M60" i="44"/>
  <c r="N60" i="44"/>
  <c r="O60" i="44" a="1"/>
  <c r="O60" i="44"/>
  <c r="P60" i="44" a="1"/>
  <c r="P60" i="44"/>
  <c r="Q60" i="44" a="1"/>
  <c r="Q60" i="44"/>
  <c r="R60" i="44" a="1"/>
  <c r="R60" i="44"/>
  <c r="S60" i="44" a="1"/>
  <c r="S60" i="44"/>
  <c r="T60" i="44" a="1"/>
  <c r="T60" i="44"/>
  <c r="U60" i="44" a="1"/>
  <c r="U60" i="44"/>
  <c r="V60" i="44" a="1"/>
  <c r="V60" i="44"/>
  <c r="W60" i="44" a="1"/>
  <c r="W60" i="44"/>
  <c r="Y60" i="44" a="1"/>
  <c r="Y60" i="44"/>
  <c r="Z60" i="44" a="1"/>
  <c r="Z60" i="44"/>
  <c r="AA60" i="44" a="1"/>
  <c r="AA60" i="44"/>
  <c r="AB60" i="44" a="1"/>
  <c r="AB60" i="44"/>
  <c r="AC60" i="44" a="1"/>
  <c r="AC60" i="44"/>
  <c r="AD60" i="44" a="1"/>
  <c r="AD60" i="44"/>
  <c r="AE60" i="44" a="1"/>
  <c r="AE60" i="44"/>
  <c r="AF60" i="44" a="1"/>
  <c r="AF60" i="44"/>
  <c r="AG60" i="44" a="1"/>
  <c r="AG60" i="44"/>
  <c r="AI60" i="44" a="1"/>
  <c r="AI60" i="44"/>
  <c r="AJ60" i="44" a="1"/>
  <c r="AJ60" i="44"/>
  <c r="AK60" i="44" a="1"/>
  <c r="AK60" i="44"/>
  <c r="AL60" i="44" a="1"/>
  <c r="AL60" i="44"/>
  <c r="AM60" i="44" a="1"/>
  <c r="AM60" i="44"/>
  <c r="AN60" i="44" a="1"/>
  <c r="AN60" i="44"/>
  <c r="AO60" i="44" a="1"/>
  <c r="AO60" i="44"/>
  <c r="AP60" i="44" a="1"/>
  <c r="AP60" i="44"/>
  <c r="AQ60" i="44" a="1"/>
  <c r="AQ60" i="44"/>
  <c r="AS60" i="44" a="1"/>
  <c r="AS60" i="44"/>
  <c r="AT60" i="44" a="1"/>
  <c r="AT60" i="44"/>
  <c r="AU60" i="44" a="1"/>
  <c r="AU60" i="44"/>
  <c r="AV60" i="44" a="1"/>
  <c r="AV60" i="44"/>
  <c r="AW60" i="44" a="1"/>
  <c r="AW60" i="44"/>
  <c r="AX60" i="44" a="1"/>
  <c r="AX60" i="44"/>
  <c r="AY60" i="44" a="1"/>
  <c r="AY60" i="44"/>
  <c r="AZ60" i="44" a="1"/>
  <c r="AZ60" i="44"/>
  <c r="BA60" i="44" a="1"/>
  <c r="BA60" i="44"/>
  <c r="BC60" i="44" a="1"/>
  <c r="BC60" i="44"/>
  <c r="BD60" i="44" a="1"/>
  <c r="BD60" i="44"/>
  <c r="BE60" i="44" a="1"/>
  <c r="BE60" i="44"/>
  <c r="BF60" i="44" a="1"/>
  <c r="BF60" i="44"/>
  <c r="BG60" i="44" a="1"/>
  <c r="BG60" i="44"/>
  <c r="BH60" i="44" a="1"/>
  <c r="BH60" i="44"/>
  <c r="BI60" i="44" a="1"/>
  <c r="BI60" i="44"/>
  <c r="BJ60" i="44" a="1"/>
  <c r="BJ60" i="44"/>
  <c r="BK60" i="44" a="1"/>
  <c r="BK60" i="44"/>
  <c r="BO60" i="44" a="1"/>
  <c r="BO60" i="44"/>
  <c r="BP60" i="44" a="1"/>
  <c r="BP60" i="44"/>
  <c r="BQ60" i="44" a="1"/>
  <c r="BQ60" i="44"/>
  <c r="BR60" i="44" a="1"/>
  <c r="BR60" i="44"/>
  <c r="BS60" i="44" a="1"/>
  <c r="BS60" i="44"/>
  <c r="BT60" i="44" a="1"/>
  <c r="BT60" i="44"/>
  <c r="BU60" i="44" a="1"/>
  <c r="BU60" i="44"/>
  <c r="BV60" i="44" a="1"/>
  <c r="BV60" i="44"/>
  <c r="BW60" i="44" a="1"/>
  <c r="BW60" i="44"/>
  <c r="BY60" i="44" a="1"/>
  <c r="BY60" i="44"/>
  <c r="BZ60" i="44" a="1"/>
  <c r="BZ60" i="44"/>
  <c r="CA60" i="44" a="1"/>
  <c r="CA60" i="44"/>
  <c r="CB60" i="44" a="1"/>
  <c r="CB60" i="44"/>
  <c r="CC60" i="44" a="1"/>
  <c r="CC60" i="44"/>
  <c r="CD60" i="44" a="1"/>
  <c r="CD60" i="44"/>
  <c r="CE60" i="44" a="1"/>
  <c r="CE60" i="44"/>
  <c r="CF60" i="44" a="1"/>
  <c r="CF60" i="44"/>
  <c r="CG60" i="44" a="1"/>
  <c r="CG60" i="44"/>
  <c r="CI60" i="44" a="1"/>
  <c r="CI60" i="44"/>
  <c r="CJ60" i="44" a="1"/>
  <c r="CJ60" i="44"/>
  <c r="CK60" i="44" a="1"/>
  <c r="CK60" i="44"/>
  <c r="CL60" i="44" a="1"/>
  <c r="CL60" i="44"/>
  <c r="CM60" i="44" a="1"/>
  <c r="CM60" i="44"/>
  <c r="CN60" i="44" a="1"/>
  <c r="CN60" i="44"/>
  <c r="CO60" i="44" a="1"/>
  <c r="CO60" i="44"/>
  <c r="CP60" i="44" a="1"/>
  <c r="CP60" i="44"/>
  <c r="CQ60" i="44" a="1"/>
  <c r="CQ60" i="44"/>
  <c r="CS60" i="44" a="1"/>
  <c r="CS60" i="44"/>
  <c r="CT60" i="44" a="1"/>
  <c r="CT60" i="44"/>
  <c r="CU60" i="44" a="1"/>
  <c r="CU60" i="44"/>
  <c r="CV60" i="44" a="1"/>
  <c r="CV60" i="44"/>
  <c r="CW60" i="44" a="1"/>
  <c r="CW60" i="44"/>
  <c r="CX60" i="44" a="1"/>
  <c r="CX60" i="44"/>
  <c r="CY60" i="44" a="1"/>
  <c r="CY60" i="44"/>
  <c r="CZ60" i="44" a="1"/>
  <c r="CZ60" i="44"/>
  <c r="DA60" i="44" a="1"/>
  <c r="DA60" i="44"/>
  <c r="DB60" i="44" a="1"/>
  <c r="DB60" i="44"/>
  <c r="DC60" i="44" a="1"/>
  <c r="DC60" i="44"/>
  <c r="DD60" i="44" a="1"/>
  <c r="DD60" i="44"/>
  <c r="DE60" i="44" a="1"/>
  <c r="DE60" i="44"/>
  <c r="DF60" i="44" a="1"/>
  <c r="DF60" i="44"/>
  <c r="DG60" i="44" a="1"/>
  <c r="DG60" i="44"/>
  <c r="DH60" i="44" a="1"/>
  <c r="DH60" i="44"/>
  <c r="E61" i="44" a="1"/>
  <c r="E61" i="44"/>
  <c r="F61" i="44" a="1"/>
  <c r="F61" i="44"/>
  <c r="G61" i="44" a="1"/>
  <c r="G61" i="44"/>
  <c r="H61" i="44" a="1"/>
  <c r="H61" i="44"/>
  <c r="I61" i="44" a="1"/>
  <c r="I61" i="44"/>
  <c r="J61" i="44" a="1"/>
  <c r="J61" i="44"/>
  <c r="K61" i="44" a="1"/>
  <c r="K61" i="44"/>
  <c r="L61" i="44" a="1"/>
  <c r="L61" i="44"/>
  <c r="M61" i="44" a="1"/>
  <c r="M61" i="44"/>
  <c r="N61" i="44"/>
  <c r="O61" i="44" a="1"/>
  <c r="O61" i="44"/>
  <c r="P61" i="44" a="1"/>
  <c r="P61" i="44"/>
  <c r="Q61" i="44" a="1"/>
  <c r="Q61" i="44"/>
  <c r="R61" i="44" a="1"/>
  <c r="R61" i="44"/>
  <c r="S61" i="44" a="1"/>
  <c r="S61" i="44"/>
  <c r="T61" i="44" a="1"/>
  <c r="T61" i="44"/>
  <c r="U61" i="44" a="1"/>
  <c r="U61" i="44"/>
  <c r="V61" i="44" a="1"/>
  <c r="V61" i="44"/>
  <c r="W61" i="44" a="1"/>
  <c r="W61" i="44"/>
  <c r="Y61" i="44" a="1"/>
  <c r="Y61" i="44"/>
  <c r="Z61" i="44" a="1"/>
  <c r="Z61" i="44"/>
  <c r="AA61" i="44" a="1"/>
  <c r="AA61" i="44"/>
  <c r="AB61" i="44" a="1"/>
  <c r="AB61" i="44"/>
  <c r="AC61" i="44" a="1"/>
  <c r="AC61" i="44"/>
  <c r="AD61" i="44" a="1"/>
  <c r="AD61" i="44"/>
  <c r="AE61" i="44" a="1"/>
  <c r="AE61" i="44"/>
  <c r="AF61" i="44" a="1"/>
  <c r="AF61" i="44"/>
  <c r="AG61" i="44" a="1"/>
  <c r="AG61" i="44"/>
  <c r="AI61" i="44" a="1"/>
  <c r="AI61" i="44"/>
  <c r="AJ61" i="44" a="1"/>
  <c r="AJ61" i="44"/>
  <c r="AK61" i="44" a="1"/>
  <c r="AK61" i="44"/>
  <c r="AL61" i="44" a="1"/>
  <c r="AL61" i="44"/>
  <c r="AM61" i="44" a="1"/>
  <c r="AM61" i="44"/>
  <c r="AN61" i="44" a="1"/>
  <c r="AN61" i="44"/>
  <c r="AO61" i="44" a="1"/>
  <c r="AO61" i="44"/>
  <c r="AP61" i="44" a="1"/>
  <c r="AP61" i="44"/>
  <c r="AQ61" i="44" a="1"/>
  <c r="AQ61" i="44"/>
  <c r="AS61" i="44" a="1"/>
  <c r="AS61" i="44"/>
  <c r="AT61" i="44" a="1"/>
  <c r="AT61" i="44"/>
  <c r="AU61" i="44" a="1"/>
  <c r="AU61" i="44"/>
  <c r="AV61" i="44" a="1"/>
  <c r="AV61" i="44"/>
  <c r="AW61" i="44" a="1"/>
  <c r="AW61" i="44"/>
  <c r="AX61" i="44" a="1"/>
  <c r="AX61" i="44"/>
  <c r="AY61" i="44" a="1"/>
  <c r="AY61" i="44"/>
  <c r="AZ61" i="44" a="1"/>
  <c r="AZ61" i="44"/>
  <c r="BA61" i="44" a="1"/>
  <c r="BA61" i="44"/>
  <c r="BC61" i="44" a="1"/>
  <c r="BC61" i="44"/>
  <c r="BD61" i="44" a="1"/>
  <c r="BD61" i="44"/>
  <c r="BE61" i="44" a="1"/>
  <c r="BE61" i="44"/>
  <c r="BF61" i="44" a="1"/>
  <c r="BF61" i="44"/>
  <c r="BG61" i="44" a="1"/>
  <c r="BG61" i="44"/>
  <c r="BH61" i="44" a="1"/>
  <c r="BH61" i="44"/>
  <c r="BI61" i="44" a="1"/>
  <c r="BI61" i="44"/>
  <c r="BJ61" i="44" a="1"/>
  <c r="BJ61" i="44"/>
  <c r="BK61" i="44" a="1"/>
  <c r="BK61" i="44"/>
  <c r="BO61" i="44" a="1"/>
  <c r="BO61" i="44"/>
  <c r="BP61" i="44" a="1"/>
  <c r="BP61" i="44"/>
  <c r="BQ61" i="44" a="1"/>
  <c r="BQ61" i="44"/>
  <c r="BR61" i="44" a="1"/>
  <c r="BR61" i="44"/>
  <c r="BS61" i="44" a="1"/>
  <c r="BS61" i="44"/>
  <c r="BT61" i="44" a="1"/>
  <c r="BT61" i="44"/>
  <c r="BU61" i="44" a="1"/>
  <c r="BU61" i="44"/>
  <c r="BV61" i="44" a="1"/>
  <c r="BV61" i="44"/>
  <c r="BW61" i="44" a="1"/>
  <c r="BW61" i="44"/>
  <c r="BY61" i="44" a="1"/>
  <c r="BY61" i="44"/>
  <c r="BZ61" i="44" a="1"/>
  <c r="BZ61" i="44"/>
  <c r="CA61" i="44" a="1"/>
  <c r="CA61" i="44"/>
  <c r="CB61" i="44" a="1"/>
  <c r="CB61" i="44"/>
  <c r="CC61" i="44" a="1"/>
  <c r="CC61" i="44"/>
  <c r="CD61" i="44" a="1"/>
  <c r="CD61" i="44"/>
  <c r="CE61" i="44" a="1"/>
  <c r="CE61" i="44"/>
  <c r="CF61" i="44" a="1"/>
  <c r="CF61" i="44"/>
  <c r="CG61" i="44" a="1"/>
  <c r="CG61" i="44"/>
  <c r="CI61" i="44" a="1"/>
  <c r="CI61" i="44"/>
  <c r="CJ61" i="44" a="1"/>
  <c r="CJ61" i="44"/>
  <c r="CK61" i="44" a="1"/>
  <c r="CK61" i="44"/>
  <c r="CL61" i="44" a="1"/>
  <c r="CL61" i="44"/>
  <c r="CM61" i="44" a="1"/>
  <c r="CM61" i="44"/>
  <c r="CN61" i="44" a="1"/>
  <c r="CN61" i="44"/>
  <c r="CO61" i="44" a="1"/>
  <c r="CO61" i="44"/>
  <c r="CP61" i="44" a="1"/>
  <c r="CP61" i="44"/>
  <c r="CQ61" i="44" a="1"/>
  <c r="CQ61" i="44"/>
  <c r="CS61" i="44" a="1"/>
  <c r="CS61" i="44"/>
  <c r="CT61" i="44" a="1"/>
  <c r="CT61" i="44"/>
  <c r="CU61" i="44" a="1"/>
  <c r="CU61" i="44"/>
  <c r="CV61" i="44" a="1"/>
  <c r="CV61" i="44"/>
  <c r="CW61" i="44" a="1"/>
  <c r="CW61" i="44"/>
  <c r="CX61" i="44" a="1"/>
  <c r="CX61" i="44"/>
  <c r="CY61" i="44" a="1"/>
  <c r="CY61" i="44"/>
  <c r="CZ61" i="44" a="1"/>
  <c r="CZ61" i="44"/>
  <c r="DA61" i="44" a="1"/>
  <c r="DA61" i="44"/>
  <c r="DB61" i="44" a="1"/>
  <c r="DB61" i="44"/>
  <c r="DC61" i="44" a="1"/>
  <c r="DC61" i="44"/>
  <c r="DD61" i="44" a="1"/>
  <c r="DD61" i="44"/>
  <c r="DE61" i="44" a="1"/>
  <c r="DE61" i="44"/>
  <c r="DF61" i="44" a="1"/>
  <c r="DF61" i="44"/>
  <c r="DG61" i="44" a="1"/>
  <c r="DG61" i="44"/>
  <c r="DH61" i="44" a="1"/>
  <c r="DH61" i="44"/>
  <c r="E62" i="44" a="1"/>
  <c r="E62" i="44"/>
  <c r="F62" i="44" a="1"/>
  <c r="F62" i="44"/>
  <c r="G62" i="44" a="1"/>
  <c r="G62" i="44"/>
  <c r="H62" i="44" a="1"/>
  <c r="H62" i="44"/>
  <c r="I62" i="44" a="1"/>
  <c r="I62" i="44"/>
  <c r="J62" i="44" a="1"/>
  <c r="J62" i="44"/>
  <c r="K62" i="44" a="1"/>
  <c r="K62" i="44"/>
  <c r="L62" i="44" a="1"/>
  <c r="L62" i="44"/>
  <c r="M62" i="44" a="1"/>
  <c r="M62" i="44"/>
  <c r="N62" i="44"/>
  <c r="O62" i="44" a="1"/>
  <c r="O62" i="44"/>
  <c r="P62" i="44" a="1"/>
  <c r="P62" i="44"/>
  <c r="Q62" i="44" a="1"/>
  <c r="Q62" i="44"/>
  <c r="R62" i="44" a="1"/>
  <c r="R62" i="44"/>
  <c r="S62" i="44" a="1"/>
  <c r="S62" i="44"/>
  <c r="T62" i="44" a="1"/>
  <c r="T62" i="44"/>
  <c r="U62" i="44" a="1"/>
  <c r="U62" i="44"/>
  <c r="V62" i="44" a="1"/>
  <c r="V62" i="44"/>
  <c r="W62" i="44" a="1"/>
  <c r="W62" i="44"/>
  <c r="Y62" i="44" a="1"/>
  <c r="Y62" i="44"/>
  <c r="Z62" i="44" a="1"/>
  <c r="Z62" i="44"/>
  <c r="AA62" i="44" a="1"/>
  <c r="AA62" i="44"/>
  <c r="AB62" i="44" a="1"/>
  <c r="AB62" i="44"/>
  <c r="AC62" i="44" a="1"/>
  <c r="AC62" i="44"/>
  <c r="AD62" i="44" a="1"/>
  <c r="AD62" i="44"/>
  <c r="AE62" i="44" a="1"/>
  <c r="AE62" i="44"/>
  <c r="AF62" i="44" a="1"/>
  <c r="AF62" i="44"/>
  <c r="AG62" i="44" a="1"/>
  <c r="AG62" i="44"/>
  <c r="AI62" i="44" a="1"/>
  <c r="AI62" i="44"/>
  <c r="AJ62" i="44" a="1"/>
  <c r="AJ62" i="44"/>
  <c r="AK62" i="44" a="1"/>
  <c r="AK62" i="44"/>
  <c r="AL62" i="44" a="1"/>
  <c r="AL62" i="44"/>
  <c r="AM62" i="44" a="1"/>
  <c r="AM62" i="44"/>
  <c r="AN62" i="44" a="1"/>
  <c r="AN62" i="44"/>
  <c r="AO62" i="44" a="1"/>
  <c r="AO62" i="44"/>
  <c r="AP62" i="44" a="1"/>
  <c r="AP62" i="44"/>
  <c r="AQ62" i="44" a="1"/>
  <c r="AQ62" i="44"/>
  <c r="AS62" i="44" a="1"/>
  <c r="AS62" i="44"/>
  <c r="AT62" i="44" a="1"/>
  <c r="AT62" i="44"/>
  <c r="AU62" i="44" a="1"/>
  <c r="AU62" i="44"/>
  <c r="AV62" i="44" a="1"/>
  <c r="AV62" i="44"/>
  <c r="AW62" i="44" a="1"/>
  <c r="AW62" i="44"/>
  <c r="AX62" i="44" a="1"/>
  <c r="AX62" i="44"/>
  <c r="AY62" i="44" a="1"/>
  <c r="AY62" i="44"/>
  <c r="AZ62" i="44" a="1"/>
  <c r="AZ62" i="44"/>
  <c r="BA62" i="44" a="1"/>
  <c r="BA62" i="44"/>
  <c r="BC62" i="44" a="1"/>
  <c r="BC62" i="44"/>
  <c r="BD62" i="44" a="1"/>
  <c r="BD62" i="44"/>
  <c r="BE62" i="44" a="1"/>
  <c r="BE62" i="44"/>
  <c r="BF62" i="44" a="1"/>
  <c r="BF62" i="44"/>
  <c r="BG62" i="44" a="1"/>
  <c r="BG62" i="44"/>
  <c r="BH62" i="44" a="1"/>
  <c r="BH62" i="44"/>
  <c r="BI62" i="44" a="1"/>
  <c r="BI62" i="44"/>
  <c r="BJ62" i="44" a="1"/>
  <c r="BJ62" i="44"/>
  <c r="BK62" i="44" a="1"/>
  <c r="BK62" i="44"/>
  <c r="BO62" i="44" a="1"/>
  <c r="BO62" i="44"/>
  <c r="BP62" i="44" a="1"/>
  <c r="BP62" i="44"/>
  <c r="BQ62" i="44" a="1"/>
  <c r="BQ62" i="44"/>
  <c r="BR62" i="44" a="1"/>
  <c r="BR62" i="44"/>
  <c r="BS62" i="44" a="1"/>
  <c r="BS62" i="44"/>
  <c r="BT62" i="44" a="1"/>
  <c r="BT62" i="44"/>
  <c r="BU62" i="44" a="1"/>
  <c r="BU62" i="44"/>
  <c r="BV62" i="44" a="1"/>
  <c r="BV62" i="44"/>
  <c r="BW62" i="44" a="1"/>
  <c r="BW62" i="44"/>
  <c r="BY62" i="44" a="1"/>
  <c r="BY62" i="44"/>
  <c r="BZ62" i="44" a="1"/>
  <c r="BZ62" i="44"/>
  <c r="CA62" i="44" a="1"/>
  <c r="CA62" i="44"/>
  <c r="CB62" i="44" a="1"/>
  <c r="CB62" i="44"/>
  <c r="CC62" i="44" a="1"/>
  <c r="CC62" i="44"/>
  <c r="CD62" i="44" a="1"/>
  <c r="CD62" i="44"/>
  <c r="CE62" i="44" a="1"/>
  <c r="CE62" i="44"/>
  <c r="CF62" i="44" a="1"/>
  <c r="CF62" i="44"/>
  <c r="CG62" i="44" a="1"/>
  <c r="CG62" i="44"/>
  <c r="CI62" i="44" a="1"/>
  <c r="CI62" i="44"/>
  <c r="CJ62" i="44" a="1"/>
  <c r="CJ62" i="44"/>
  <c r="CK62" i="44" a="1"/>
  <c r="CK62" i="44"/>
  <c r="CL62" i="44" a="1"/>
  <c r="CL62" i="44"/>
  <c r="CM62" i="44" a="1"/>
  <c r="CM62" i="44"/>
  <c r="CN62" i="44" a="1"/>
  <c r="CN62" i="44"/>
  <c r="CO62" i="44" a="1"/>
  <c r="CO62" i="44"/>
  <c r="CP62" i="44" a="1"/>
  <c r="CP62" i="44"/>
  <c r="CQ62" i="44" a="1"/>
  <c r="CQ62" i="44"/>
  <c r="CS62" i="44" a="1"/>
  <c r="CS62" i="44"/>
  <c r="CT62" i="44" a="1"/>
  <c r="CT62" i="44"/>
  <c r="CU62" i="44" a="1"/>
  <c r="CU62" i="44"/>
  <c r="CV62" i="44" a="1"/>
  <c r="CV62" i="44"/>
  <c r="CW62" i="44" a="1"/>
  <c r="CW62" i="44"/>
  <c r="CX62" i="44" a="1"/>
  <c r="CX62" i="44"/>
  <c r="CY62" i="44" a="1"/>
  <c r="CY62" i="44"/>
  <c r="CZ62" i="44" a="1"/>
  <c r="CZ62" i="44"/>
  <c r="DA62" i="44" a="1"/>
  <c r="DA62" i="44"/>
  <c r="DB62" i="44" a="1"/>
  <c r="DB62" i="44"/>
  <c r="DC62" i="44" a="1"/>
  <c r="DC62" i="44"/>
  <c r="DD62" i="44" a="1"/>
  <c r="DD62" i="44"/>
  <c r="DE62" i="44" a="1"/>
  <c r="DE62" i="44"/>
  <c r="DF62" i="44" a="1"/>
  <c r="DF62" i="44"/>
  <c r="DG62" i="44" a="1"/>
  <c r="DG62" i="44"/>
  <c r="DH62" i="44" a="1"/>
  <c r="DH62" i="44"/>
  <c r="E63" i="44" a="1"/>
  <c r="E63" i="44"/>
  <c r="F63" i="44" a="1"/>
  <c r="F63" i="44"/>
  <c r="G63" i="44" a="1"/>
  <c r="G63" i="44"/>
  <c r="H63" i="44" a="1"/>
  <c r="H63" i="44"/>
  <c r="I63" i="44" a="1"/>
  <c r="I63" i="44"/>
  <c r="J63" i="44" a="1"/>
  <c r="J63" i="44"/>
  <c r="K63" i="44" a="1"/>
  <c r="K63" i="44"/>
  <c r="L63" i="44" a="1"/>
  <c r="L63" i="44"/>
  <c r="M63" i="44" a="1"/>
  <c r="M63" i="44"/>
  <c r="N63" i="44"/>
  <c r="O63" i="44" a="1"/>
  <c r="O63" i="44"/>
  <c r="P63" i="44" a="1"/>
  <c r="P63" i="44"/>
  <c r="Q63" i="44" a="1"/>
  <c r="Q63" i="44"/>
  <c r="R63" i="44" a="1"/>
  <c r="R63" i="44"/>
  <c r="S63" i="44" a="1"/>
  <c r="S63" i="44"/>
  <c r="T63" i="44" a="1"/>
  <c r="T63" i="44"/>
  <c r="U63" i="44" a="1"/>
  <c r="U63" i="44"/>
  <c r="V63" i="44" a="1"/>
  <c r="V63" i="44"/>
  <c r="W63" i="44" a="1"/>
  <c r="W63" i="44"/>
  <c r="Y63" i="44" a="1"/>
  <c r="Y63" i="44"/>
  <c r="Z63" i="44" a="1"/>
  <c r="Z63" i="44"/>
  <c r="AA63" i="44" a="1"/>
  <c r="AA63" i="44"/>
  <c r="AB63" i="44" a="1"/>
  <c r="AB63" i="44"/>
  <c r="AC63" i="44" a="1"/>
  <c r="AC63" i="44"/>
  <c r="AD63" i="44" a="1"/>
  <c r="AD63" i="44"/>
  <c r="AE63" i="44" a="1"/>
  <c r="AE63" i="44"/>
  <c r="AF63" i="44" a="1"/>
  <c r="AF63" i="44"/>
  <c r="AG63" i="44" a="1"/>
  <c r="AG63" i="44"/>
  <c r="AI63" i="44" a="1"/>
  <c r="AI63" i="44"/>
  <c r="AJ63" i="44" a="1"/>
  <c r="AJ63" i="44"/>
  <c r="AK63" i="44" a="1"/>
  <c r="AK63" i="44"/>
  <c r="AL63" i="44" a="1"/>
  <c r="AL63" i="44"/>
  <c r="AM63" i="44" a="1"/>
  <c r="AM63" i="44"/>
  <c r="AN63" i="44" a="1"/>
  <c r="AN63" i="44"/>
  <c r="AO63" i="44" a="1"/>
  <c r="AO63" i="44"/>
  <c r="AP63" i="44" a="1"/>
  <c r="AP63" i="44"/>
  <c r="AQ63" i="44" a="1"/>
  <c r="AQ63" i="44"/>
  <c r="AS63" i="44" a="1"/>
  <c r="AS63" i="44"/>
  <c r="AT63" i="44" a="1"/>
  <c r="AT63" i="44"/>
  <c r="AU63" i="44" a="1"/>
  <c r="AU63" i="44"/>
  <c r="AV63" i="44" a="1"/>
  <c r="AV63" i="44"/>
  <c r="AW63" i="44" a="1"/>
  <c r="AW63" i="44"/>
  <c r="AX63" i="44" a="1"/>
  <c r="AX63" i="44"/>
  <c r="AY63" i="44" a="1"/>
  <c r="AY63" i="44"/>
  <c r="AZ63" i="44" a="1"/>
  <c r="AZ63" i="44"/>
  <c r="BA63" i="44" a="1"/>
  <c r="BA63" i="44"/>
  <c r="BC63" i="44" a="1"/>
  <c r="BC63" i="44"/>
  <c r="BD63" i="44" a="1"/>
  <c r="BD63" i="44"/>
  <c r="BE63" i="44" a="1"/>
  <c r="BE63" i="44"/>
  <c r="BF63" i="44" a="1"/>
  <c r="BF63" i="44"/>
  <c r="BG63" i="44" a="1"/>
  <c r="BG63" i="44"/>
  <c r="BH63" i="44" a="1"/>
  <c r="BH63" i="44"/>
  <c r="BI63" i="44" a="1"/>
  <c r="BI63" i="44"/>
  <c r="BJ63" i="44" a="1"/>
  <c r="BJ63" i="44"/>
  <c r="BK63" i="44" a="1"/>
  <c r="BK63" i="44"/>
  <c r="BO63" i="44" a="1"/>
  <c r="BO63" i="44"/>
  <c r="BP63" i="44" a="1"/>
  <c r="BP63" i="44"/>
  <c r="BQ63" i="44" a="1"/>
  <c r="BQ63" i="44"/>
  <c r="BR63" i="44" a="1"/>
  <c r="BR63" i="44"/>
  <c r="BS63" i="44" a="1"/>
  <c r="BS63" i="44"/>
  <c r="BT63" i="44" a="1"/>
  <c r="BT63" i="44"/>
  <c r="BU63" i="44" a="1"/>
  <c r="BU63" i="44"/>
  <c r="BV63" i="44" a="1"/>
  <c r="BV63" i="44"/>
  <c r="BW63" i="44" a="1"/>
  <c r="BW63" i="44"/>
  <c r="BY63" i="44" a="1"/>
  <c r="BY63" i="44"/>
  <c r="BZ63" i="44" a="1"/>
  <c r="BZ63" i="44"/>
  <c r="CA63" i="44" a="1"/>
  <c r="CA63" i="44"/>
  <c r="CB63" i="44" a="1"/>
  <c r="CB63" i="44"/>
  <c r="CC63" i="44" a="1"/>
  <c r="CC63" i="44"/>
  <c r="CD63" i="44" a="1"/>
  <c r="CD63" i="44"/>
  <c r="CE63" i="44" a="1"/>
  <c r="CE63" i="44"/>
  <c r="CF63" i="44" a="1"/>
  <c r="CF63" i="44"/>
  <c r="CG63" i="44" a="1"/>
  <c r="CG63" i="44"/>
  <c r="CI63" i="44" a="1"/>
  <c r="CI63" i="44"/>
  <c r="CJ63" i="44" a="1"/>
  <c r="CJ63" i="44"/>
  <c r="CK63" i="44" a="1"/>
  <c r="CK63" i="44"/>
  <c r="CL63" i="44" a="1"/>
  <c r="CL63" i="44"/>
  <c r="CM63" i="44" a="1"/>
  <c r="CM63" i="44"/>
  <c r="CN63" i="44" a="1"/>
  <c r="CN63" i="44"/>
  <c r="CO63" i="44" a="1"/>
  <c r="CO63" i="44"/>
  <c r="CP63" i="44" a="1"/>
  <c r="CP63" i="44"/>
  <c r="CQ63" i="44" a="1"/>
  <c r="CQ63" i="44"/>
  <c r="CS63" i="44" a="1"/>
  <c r="CS63" i="44"/>
  <c r="CT63" i="44" a="1"/>
  <c r="CT63" i="44"/>
  <c r="CU63" i="44" a="1"/>
  <c r="CU63" i="44"/>
  <c r="CV63" i="44" a="1"/>
  <c r="CV63" i="44"/>
  <c r="CW63" i="44" a="1"/>
  <c r="CW63" i="44"/>
  <c r="CX63" i="44" a="1"/>
  <c r="CX63" i="44"/>
  <c r="CY63" i="44" a="1"/>
  <c r="CY63" i="44"/>
  <c r="CZ63" i="44" a="1"/>
  <c r="CZ63" i="44"/>
  <c r="DA63" i="44" a="1"/>
  <c r="DA63" i="44"/>
  <c r="DB63" i="44" a="1"/>
  <c r="DB63" i="44"/>
  <c r="DC63" i="44" a="1"/>
  <c r="DC63" i="44"/>
  <c r="DD63" i="44" a="1"/>
  <c r="DD63" i="44"/>
  <c r="DE63" i="44" a="1"/>
  <c r="DE63" i="44"/>
  <c r="DF63" i="44" a="1"/>
  <c r="DF63" i="44"/>
  <c r="DG63" i="44" a="1"/>
  <c r="DG63" i="44"/>
  <c r="DH63" i="44" a="1"/>
  <c r="DH63" i="44"/>
  <c r="E64" i="44" a="1"/>
  <c r="E64" i="44"/>
  <c r="F64" i="44" a="1"/>
  <c r="F64" i="44"/>
  <c r="G64" i="44" a="1"/>
  <c r="G64" i="44"/>
  <c r="H64" i="44" a="1"/>
  <c r="H64" i="44"/>
  <c r="I64" i="44" a="1"/>
  <c r="I64" i="44"/>
  <c r="J64" i="44" a="1"/>
  <c r="J64" i="44"/>
  <c r="K64" i="44" a="1"/>
  <c r="K64" i="44"/>
  <c r="L64" i="44" a="1"/>
  <c r="L64" i="44"/>
  <c r="M64" i="44" a="1"/>
  <c r="M64" i="44"/>
  <c r="N64" i="44"/>
  <c r="O64" i="44" a="1"/>
  <c r="O64" i="44"/>
  <c r="P64" i="44" a="1"/>
  <c r="P64" i="44"/>
  <c r="Q64" i="44" a="1"/>
  <c r="Q64" i="44"/>
  <c r="R64" i="44" a="1"/>
  <c r="R64" i="44"/>
  <c r="S64" i="44" a="1"/>
  <c r="S64" i="44"/>
  <c r="T64" i="44" a="1"/>
  <c r="T64" i="44"/>
  <c r="U64" i="44" a="1"/>
  <c r="U64" i="44"/>
  <c r="V64" i="44" a="1"/>
  <c r="V64" i="44"/>
  <c r="W64" i="44" a="1"/>
  <c r="W64" i="44"/>
  <c r="Y64" i="44" a="1"/>
  <c r="Y64" i="44"/>
  <c r="Z64" i="44" a="1"/>
  <c r="Z64" i="44"/>
  <c r="AA64" i="44" a="1"/>
  <c r="AA64" i="44"/>
  <c r="AB64" i="44" a="1"/>
  <c r="AB64" i="44"/>
  <c r="AC64" i="44" a="1"/>
  <c r="AC64" i="44"/>
  <c r="AD64" i="44" a="1"/>
  <c r="AD64" i="44"/>
  <c r="AE64" i="44" a="1"/>
  <c r="AE64" i="44"/>
  <c r="AF64" i="44" a="1"/>
  <c r="AF64" i="44"/>
  <c r="AG64" i="44" a="1"/>
  <c r="AG64" i="44"/>
  <c r="AI64" i="44" a="1"/>
  <c r="AI64" i="44"/>
  <c r="AJ64" i="44" a="1"/>
  <c r="AJ64" i="44"/>
  <c r="AK64" i="44" a="1"/>
  <c r="AK64" i="44"/>
  <c r="AL64" i="44" a="1"/>
  <c r="AL64" i="44"/>
  <c r="AM64" i="44" a="1"/>
  <c r="AM64" i="44"/>
  <c r="AN64" i="44" a="1"/>
  <c r="AN64" i="44"/>
  <c r="AO64" i="44" a="1"/>
  <c r="AO64" i="44"/>
  <c r="AP64" i="44" a="1"/>
  <c r="AP64" i="44"/>
  <c r="AQ64" i="44" a="1"/>
  <c r="AQ64" i="44"/>
  <c r="AS64" i="44" a="1"/>
  <c r="AS64" i="44"/>
  <c r="AT64" i="44" a="1"/>
  <c r="AT64" i="44"/>
  <c r="AU64" i="44" a="1"/>
  <c r="AU64" i="44"/>
  <c r="AV64" i="44" a="1"/>
  <c r="AV64" i="44"/>
  <c r="AW64" i="44" a="1"/>
  <c r="AW64" i="44"/>
  <c r="AX64" i="44" a="1"/>
  <c r="AX64" i="44"/>
  <c r="AY64" i="44" a="1"/>
  <c r="AY64" i="44"/>
  <c r="AZ64" i="44" a="1"/>
  <c r="AZ64" i="44"/>
  <c r="BA64" i="44" a="1"/>
  <c r="BA64" i="44"/>
  <c r="BC64" i="44" a="1"/>
  <c r="BC64" i="44"/>
  <c r="BD64" i="44" a="1"/>
  <c r="BD64" i="44"/>
  <c r="BE64" i="44" a="1"/>
  <c r="BE64" i="44"/>
  <c r="BF64" i="44" a="1"/>
  <c r="BF64" i="44"/>
  <c r="BG64" i="44" a="1"/>
  <c r="BG64" i="44"/>
  <c r="BH64" i="44" a="1"/>
  <c r="BH64" i="44"/>
  <c r="BI64" i="44" a="1"/>
  <c r="BI64" i="44"/>
  <c r="BJ64" i="44" a="1"/>
  <c r="BJ64" i="44"/>
  <c r="BK64" i="44" a="1"/>
  <c r="BK64" i="44"/>
  <c r="BO64" i="44" a="1"/>
  <c r="BO64" i="44"/>
  <c r="BP64" i="44" a="1"/>
  <c r="BP64" i="44"/>
  <c r="BQ64" i="44" a="1"/>
  <c r="BQ64" i="44"/>
  <c r="BR64" i="44" a="1"/>
  <c r="BR64" i="44"/>
  <c r="BS64" i="44" a="1"/>
  <c r="BS64" i="44"/>
  <c r="BT64" i="44" a="1"/>
  <c r="BT64" i="44"/>
  <c r="BU64" i="44" a="1"/>
  <c r="BU64" i="44"/>
  <c r="BV64" i="44" a="1"/>
  <c r="BV64" i="44"/>
  <c r="BW64" i="44" a="1"/>
  <c r="BW64" i="44"/>
  <c r="BY64" i="44" a="1"/>
  <c r="BY64" i="44"/>
  <c r="BZ64" i="44" a="1"/>
  <c r="BZ64" i="44"/>
  <c r="CA64" i="44" a="1"/>
  <c r="CA64" i="44"/>
  <c r="CB64" i="44" a="1"/>
  <c r="CB64" i="44"/>
  <c r="CC64" i="44" a="1"/>
  <c r="CC64" i="44"/>
  <c r="CD64" i="44" a="1"/>
  <c r="CD64" i="44"/>
  <c r="CE64" i="44" a="1"/>
  <c r="CE64" i="44"/>
  <c r="CF64" i="44" a="1"/>
  <c r="CF64" i="44"/>
  <c r="CG64" i="44" a="1"/>
  <c r="CG64" i="44"/>
  <c r="CI64" i="44" a="1"/>
  <c r="CI64" i="44"/>
  <c r="CJ64" i="44" a="1"/>
  <c r="CJ64" i="44"/>
  <c r="CK64" i="44" a="1"/>
  <c r="CK64" i="44"/>
  <c r="CL64" i="44" a="1"/>
  <c r="CL64" i="44"/>
  <c r="CM64" i="44" a="1"/>
  <c r="CM64" i="44"/>
  <c r="CN64" i="44" a="1"/>
  <c r="CN64" i="44"/>
  <c r="CO64" i="44" a="1"/>
  <c r="CO64" i="44"/>
  <c r="CP64" i="44" a="1"/>
  <c r="CP64" i="44"/>
  <c r="CQ64" i="44" a="1"/>
  <c r="CQ64" i="44"/>
  <c r="CS64" i="44" a="1"/>
  <c r="CS64" i="44"/>
  <c r="CT64" i="44" a="1"/>
  <c r="CT64" i="44"/>
  <c r="CU64" i="44" a="1"/>
  <c r="CU64" i="44"/>
  <c r="CV64" i="44" a="1"/>
  <c r="CV64" i="44"/>
  <c r="CW64" i="44" a="1"/>
  <c r="CW64" i="44"/>
  <c r="CX64" i="44" a="1"/>
  <c r="CX64" i="44"/>
  <c r="CY64" i="44" a="1"/>
  <c r="CY64" i="44"/>
  <c r="CZ64" i="44" a="1"/>
  <c r="CZ64" i="44"/>
  <c r="DA64" i="44" a="1"/>
  <c r="DA64" i="44"/>
  <c r="DB64" i="44" a="1"/>
  <c r="DB64" i="44"/>
  <c r="DC64" i="44" a="1"/>
  <c r="DC64" i="44"/>
  <c r="DD64" i="44" a="1"/>
  <c r="DD64" i="44"/>
  <c r="DE64" i="44" a="1"/>
  <c r="DE64" i="44"/>
  <c r="DF64" i="44" a="1"/>
  <c r="DF64" i="44"/>
  <c r="DG64" i="44" a="1"/>
  <c r="DG64" i="44"/>
  <c r="DH64" i="44" a="1"/>
  <c r="DH64" i="44"/>
  <c r="E65" i="44" a="1"/>
  <c r="E65" i="44"/>
  <c r="F65" i="44" a="1"/>
  <c r="F65" i="44"/>
  <c r="G65" i="44" a="1"/>
  <c r="G65" i="44"/>
  <c r="H65" i="44" a="1"/>
  <c r="H65" i="44"/>
  <c r="I65" i="44" a="1"/>
  <c r="I65" i="44"/>
  <c r="J65" i="44" a="1"/>
  <c r="J65" i="44"/>
  <c r="K65" i="44" a="1"/>
  <c r="K65" i="44"/>
  <c r="L65" i="44" a="1"/>
  <c r="L65" i="44"/>
  <c r="M65" i="44" a="1"/>
  <c r="M65" i="44"/>
  <c r="N65" i="44"/>
  <c r="O65" i="44" a="1"/>
  <c r="O65" i="44"/>
  <c r="P65" i="44" a="1"/>
  <c r="P65" i="44"/>
  <c r="Q65" i="44" a="1"/>
  <c r="Q65" i="44"/>
  <c r="R65" i="44" a="1"/>
  <c r="R65" i="44"/>
  <c r="S65" i="44" a="1"/>
  <c r="S65" i="44"/>
  <c r="T65" i="44" a="1"/>
  <c r="T65" i="44"/>
  <c r="U65" i="44" a="1"/>
  <c r="U65" i="44"/>
  <c r="V65" i="44" a="1"/>
  <c r="V65" i="44"/>
  <c r="W65" i="44" a="1"/>
  <c r="W65" i="44"/>
  <c r="Y65" i="44" a="1"/>
  <c r="Y65" i="44"/>
  <c r="Z65" i="44" a="1"/>
  <c r="Z65" i="44"/>
  <c r="AA65" i="44" a="1"/>
  <c r="AA65" i="44"/>
  <c r="AB65" i="44" a="1"/>
  <c r="AB65" i="44"/>
  <c r="AC65" i="44" a="1"/>
  <c r="AC65" i="44"/>
  <c r="AD65" i="44" a="1"/>
  <c r="AD65" i="44"/>
  <c r="AE65" i="44" a="1"/>
  <c r="AE65" i="44"/>
  <c r="AF65" i="44" a="1"/>
  <c r="AF65" i="44"/>
  <c r="AG65" i="44" a="1"/>
  <c r="AG65" i="44"/>
  <c r="AI65" i="44" a="1"/>
  <c r="AI65" i="44"/>
  <c r="AJ65" i="44" a="1"/>
  <c r="AJ65" i="44"/>
  <c r="AK65" i="44" a="1"/>
  <c r="AK65" i="44"/>
  <c r="AL65" i="44" a="1"/>
  <c r="AL65" i="44"/>
  <c r="AM65" i="44" a="1"/>
  <c r="AM65" i="44"/>
  <c r="AN65" i="44" a="1"/>
  <c r="AN65" i="44"/>
  <c r="AO65" i="44" a="1"/>
  <c r="AO65" i="44"/>
  <c r="AP65" i="44" a="1"/>
  <c r="AP65" i="44"/>
  <c r="AQ65" i="44" a="1"/>
  <c r="AQ65" i="44"/>
  <c r="AS65" i="44" a="1"/>
  <c r="AS65" i="44"/>
  <c r="AT65" i="44" a="1"/>
  <c r="AT65" i="44"/>
  <c r="AU65" i="44" a="1"/>
  <c r="AU65" i="44"/>
  <c r="AV65" i="44" a="1"/>
  <c r="AV65" i="44"/>
  <c r="AW65" i="44" a="1"/>
  <c r="AW65" i="44"/>
  <c r="AX65" i="44" a="1"/>
  <c r="AX65" i="44"/>
  <c r="AY65" i="44" a="1"/>
  <c r="AY65" i="44"/>
  <c r="AZ65" i="44" a="1"/>
  <c r="AZ65" i="44"/>
  <c r="BA65" i="44" a="1"/>
  <c r="BA65" i="44"/>
  <c r="BC65" i="44" a="1"/>
  <c r="BC65" i="44"/>
  <c r="BD65" i="44" a="1"/>
  <c r="BD65" i="44"/>
  <c r="BE65" i="44" a="1"/>
  <c r="BE65" i="44"/>
  <c r="BF65" i="44" a="1"/>
  <c r="BF65" i="44"/>
  <c r="BG65" i="44" a="1"/>
  <c r="BG65" i="44"/>
  <c r="BH65" i="44" a="1"/>
  <c r="BH65" i="44"/>
  <c r="BI65" i="44" a="1"/>
  <c r="BI65" i="44"/>
  <c r="BJ65" i="44" a="1"/>
  <c r="BJ65" i="44"/>
  <c r="BK65" i="44" a="1"/>
  <c r="BK65" i="44"/>
  <c r="BO65" i="44" a="1"/>
  <c r="BO65" i="44"/>
  <c r="BP65" i="44" a="1"/>
  <c r="BP65" i="44"/>
  <c r="BQ65" i="44" a="1"/>
  <c r="BQ65" i="44"/>
  <c r="BR65" i="44" a="1"/>
  <c r="BR65" i="44"/>
  <c r="BS65" i="44" a="1"/>
  <c r="BS65" i="44"/>
  <c r="BT65" i="44" a="1"/>
  <c r="BT65" i="44"/>
  <c r="BU65" i="44" a="1"/>
  <c r="BU65" i="44"/>
  <c r="BV65" i="44" a="1"/>
  <c r="BV65" i="44"/>
  <c r="BW65" i="44" a="1"/>
  <c r="BW65" i="44"/>
  <c r="BY65" i="44" a="1"/>
  <c r="BY65" i="44"/>
  <c r="BZ65" i="44" a="1"/>
  <c r="BZ65" i="44"/>
  <c r="CA65" i="44" a="1"/>
  <c r="CA65" i="44"/>
  <c r="CB65" i="44" a="1"/>
  <c r="CB65" i="44"/>
  <c r="CC65" i="44" a="1"/>
  <c r="CC65" i="44"/>
  <c r="CD65" i="44" a="1"/>
  <c r="CD65" i="44"/>
  <c r="CE65" i="44" a="1"/>
  <c r="CE65" i="44"/>
  <c r="CF65" i="44" a="1"/>
  <c r="CF65" i="44"/>
  <c r="CG65" i="44" a="1"/>
  <c r="CG65" i="44"/>
  <c r="CI65" i="44" a="1"/>
  <c r="CI65" i="44"/>
  <c r="CJ65" i="44" a="1"/>
  <c r="CJ65" i="44"/>
  <c r="CK65" i="44" a="1"/>
  <c r="CK65" i="44"/>
  <c r="CL65" i="44" a="1"/>
  <c r="CL65" i="44"/>
  <c r="CM65" i="44" a="1"/>
  <c r="CM65" i="44"/>
  <c r="CN65" i="44" a="1"/>
  <c r="CN65" i="44"/>
  <c r="CO65" i="44" a="1"/>
  <c r="CO65" i="44"/>
  <c r="CP65" i="44" a="1"/>
  <c r="CP65" i="44"/>
  <c r="CQ65" i="44" a="1"/>
  <c r="CQ65" i="44"/>
  <c r="CS65" i="44" a="1"/>
  <c r="CS65" i="44"/>
  <c r="CT65" i="44" a="1"/>
  <c r="CT65" i="44"/>
  <c r="CU65" i="44" a="1"/>
  <c r="CU65" i="44"/>
  <c r="CV65" i="44" a="1"/>
  <c r="CV65" i="44"/>
  <c r="CW65" i="44" a="1"/>
  <c r="CW65" i="44"/>
  <c r="CX65" i="44" a="1"/>
  <c r="CX65" i="44"/>
  <c r="CY65" i="44" a="1"/>
  <c r="CY65" i="44"/>
  <c r="CZ65" i="44" a="1"/>
  <c r="CZ65" i="44"/>
  <c r="DA65" i="44" a="1"/>
  <c r="DA65" i="44"/>
  <c r="DB65" i="44" a="1"/>
  <c r="DB65" i="44"/>
  <c r="DC65" i="44" a="1"/>
  <c r="DC65" i="44"/>
  <c r="DD65" i="44" a="1"/>
  <c r="DD65" i="44"/>
  <c r="DE65" i="44" a="1"/>
  <c r="DE65" i="44"/>
  <c r="DF65" i="44" a="1"/>
  <c r="DF65" i="44"/>
  <c r="DG65" i="44" a="1"/>
  <c r="DG65" i="44"/>
  <c r="DH65" i="44" a="1"/>
  <c r="DH65" i="44"/>
  <c r="E66" i="44" a="1"/>
  <c r="E66" i="44"/>
  <c r="F66" i="44" a="1"/>
  <c r="F66" i="44"/>
  <c r="G66" i="44" a="1"/>
  <c r="G66" i="44"/>
  <c r="H66" i="44" a="1"/>
  <c r="H66" i="44"/>
  <c r="I66" i="44" a="1"/>
  <c r="I66" i="44"/>
  <c r="J66" i="44" a="1"/>
  <c r="J66" i="44"/>
  <c r="K66" i="44" a="1"/>
  <c r="K66" i="44"/>
  <c r="L66" i="44" a="1"/>
  <c r="L66" i="44"/>
  <c r="M66" i="44" a="1"/>
  <c r="M66" i="44"/>
  <c r="N66" i="44"/>
  <c r="O66" i="44" a="1"/>
  <c r="O66" i="44"/>
  <c r="P66" i="44" a="1"/>
  <c r="P66" i="44"/>
  <c r="Q66" i="44" a="1"/>
  <c r="Q66" i="44"/>
  <c r="R66" i="44" a="1"/>
  <c r="R66" i="44"/>
  <c r="S66" i="44" a="1"/>
  <c r="S66" i="44"/>
  <c r="T66" i="44" a="1"/>
  <c r="T66" i="44"/>
  <c r="U66" i="44" a="1"/>
  <c r="U66" i="44"/>
  <c r="V66" i="44" a="1"/>
  <c r="V66" i="44"/>
  <c r="W66" i="44" a="1"/>
  <c r="W66" i="44"/>
  <c r="Y66" i="44" a="1"/>
  <c r="Y66" i="44"/>
  <c r="Z66" i="44" a="1"/>
  <c r="Z66" i="44"/>
  <c r="AA66" i="44" a="1"/>
  <c r="AA66" i="44"/>
  <c r="AB66" i="44" a="1"/>
  <c r="AB66" i="44"/>
  <c r="AC66" i="44" a="1"/>
  <c r="AC66" i="44"/>
  <c r="AD66" i="44" a="1"/>
  <c r="AD66" i="44"/>
  <c r="AE66" i="44" a="1"/>
  <c r="AE66" i="44"/>
  <c r="AF66" i="44" a="1"/>
  <c r="AF66" i="44"/>
  <c r="AG66" i="44" a="1"/>
  <c r="AG66" i="44"/>
  <c r="AI66" i="44" a="1"/>
  <c r="AI66" i="44"/>
  <c r="AJ66" i="44" a="1"/>
  <c r="AJ66" i="44"/>
  <c r="AK66" i="44" a="1"/>
  <c r="AK66" i="44"/>
  <c r="AL66" i="44" a="1"/>
  <c r="AL66" i="44"/>
  <c r="AM66" i="44" a="1"/>
  <c r="AM66" i="44"/>
  <c r="AN66" i="44" a="1"/>
  <c r="AN66" i="44"/>
  <c r="AO66" i="44" a="1"/>
  <c r="AO66" i="44"/>
  <c r="AP66" i="44" a="1"/>
  <c r="AP66" i="44"/>
  <c r="AQ66" i="44" a="1"/>
  <c r="AQ66" i="44"/>
  <c r="AS66" i="44" a="1"/>
  <c r="AS66" i="44"/>
  <c r="AT66" i="44" a="1"/>
  <c r="AT66" i="44"/>
  <c r="AU66" i="44" a="1"/>
  <c r="AU66" i="44"/>
  <c r="AV66" i="44" a="1"/>
  <c r="AV66" i="44"/>
  <c r="AW66" i="44" a="1"/>
  <c r="AW66" i="44"/>
  <c r="AX66" i="44" a="1"/>
  <c r="AX66" i="44"/>
  <c r="AY66" i="44" a="1"/>
  <c r="AY66" i="44"/>
  <c r="AZ66" i="44" a="1"/>
  <c r="AZ66" i="44"/>
  <c r="BA66" i="44" a="1"/>
  <c r="BA66" i="44"/>
  <c r="BC66" i="44" a="1"/>
  <c r="BC66" i="44"/>
  <c r="BD66" i="44" a="1"/>
  <c r="BD66" i="44"/>
  <c r="BE66" i="44" a="1"/>
  <c r="BE66" i="44"/>
  <c r="BF66" i="44" a="1"/>
  <c r="BF66" i="44"/>
  <c r="BG66" i="44" a="1"/>
  <c r="BG66" i="44"/>
  <c r="BH66" i="44" a="1"/>
  <c r="BH66" i="44"/>
  <c r="BI66" i="44" a="1"/>
  <c r="BI66" i="44"/>
  <c r="BJ66" i="44" a="1"/>
  <c r="BJ66" i="44"/>
  <c r="BK66" i="44" a="1"/>
  <c r="BK66" i="44"/>
  <c r="BO66" i="44" a="1"/>
  <c r="BO66" i="44"/>
  <c r="BP66" i="44" a="1"/>
  <c r="BP66" i="44"/>
  <c r="BQ66" i="44" a="1"/>
  <c r="BQ66" i="44"/>
  <c r="BR66" i="44" a="1"/>
  <c r="BR66" i="44"/>
  <c r="BS66" i="44" a="1"/>
  <c r="BS66" i="44"/>
  <c r="BT66" i="44" a="1"/>
  <c r="BT66" i="44"/>
  <c r="BU66" i="44" a="1"/>
  <c r="BU66" i="44"/>
  <c r="BV66" i="44" a="1"/>
  <c r="BV66" i="44"/>
  <c r="BW66" i="44" a="1"/>
  <c r="BW66" i="44"/>
  <c r="BY66" i="44" a="1"/>
  <c r="BY66" i="44"/>
  <c r="BZ66" i="44" a="1"/>
  <c r="BZ66" i="44"/>
  <c r="CA66" i="44" a="1"/>
  <c r="CA66" i="44"/>
  <c r="CB66" i="44" a="1"/>
  <c r="CB66" i="44"/>
  <c r="CC66" i="44" a="1"/>
  <c r="CC66" i="44"/>
  <c r="CD66" i="44" a="1"/>
  <c r="CD66" i="44"/>
  <c r="CE66" i="44" a="1"/>
  <c r="CE66" i="44"/>
  <c r="CF66" i="44" a="1"/>
  <c r="CF66" i="44"/>
  <c r="CG66" i="44" a="1"/>
  <c r="CG66" i="44"/>
  <c r="CI66" i="44" a="1"/>
  <c r="CI66" i="44"/>
  <c r="CJ66" i="44" a="1"/>
  <c r="CJ66" i="44"/>
  <c r="CK66" i="44" a="1"/>
  <c r="CK66" i="44"/>
  <c r="CL66" i="44" a="1"/>
  <c r="CL66" i="44"/>
  <c r="CM66" i="44" a="1"/>
  <c r="CM66" i="44"/>
  <c r="CN66" i="44" a="1"/>
  <c r="CN66" i="44"/>
  <c r="CO66" i="44" a="1"/>
  <c r="CO66" i="44"/>
  <c r="CP66" i="44" a="1"/>
  <c r="CP66" i="44"/>
  <c r="CQ66" i="44" a="1"/>
  <c r="CQ66" i="44"/>
  <c r="CS66" i="44" a="1"/>
  <c r="CS66" i="44"/>
  <c r="CT66" i="44" a="1"/>
  <c r="CT66" i="44"/>
  <c r="CU66" i="44" a="1"/>
  <c r="CU66" i="44"/>
  <c r="CV66" i="44" a="1"/>
  <c r="CV66" i="44"/>
  <c r="CW66" i="44" a="1"/>
  <c r="CW66" i="44"/>
  <c r="CX66" i="44" a="1"/>
  <c r="CX66" i="44"/>
  <c r="CY66" i="44" a="1"/>
  <c r="CY66" i="44"/>
  <c r="CZ66" i="44" a="1"/>
  <c r="CZ66" i="44"/>
  <c r="DA66" i="44" a="1"/>
  <c r="DA66" i="44"/>
  <c r="DB66" i="44" a="1"/>
  <c r="DB66" i="44"/>
  <c r="DC66" i="44" a="1"/>
  <c r="DC66" i="44"/>
  <c r="DD66" i="44" a="1"/>
  <c r="DD66" i="44"/>
  <c r="DE66" i="44" a="1"/>
  <c r="DE66" i="44"/>
  <c r="DF66" i="44" a="1"/>
  <c r="DF66" i="44"/>
  <c r="DG66" i="44" a="1"/>
  <c r="DG66" i="44"/>
  <c r="DH66" i="44" a="1"/>
  <c r="DH66" i="44"/>
  <c r="E67" i="44" a="1"/>
  <c r="E67" i="44"/>
  <c r="F67" i="44" a="1"/>
  <c r="F67" i="44"/>
  <c r="G67" i="44" a="1"/>
  <c r="G67" i="44"/>
  <c r="H67" i="44" a="1"/>
  <c r="H67" i="44"/>
  <c r="I67" i="44" a="1"/>
  <c r="I67" i="44"/>
  <c r="J67" i="44" a="1"/>
  <c r="J67" i="44"/>
  <c r="K67" i="44" a="1"/>
  <c r="K67" i="44"/>
  <c r="L67" i="44" a="1"/>
  <c r="L67" i="44"/>
  <c r="M67" i="44" a="1"/>
  <c r="M67" i="44"/>
  <c r="N67" i="44"/>
  <c r="O67" i="44" a="1"/>
  <c r="O67" i="44"/>
  <c r="P67" i="44" a="1"/>
  <c r="P67" i="44"/>
  <c r="Q67" i="44" a="1"/>
  <c r="Q67" i="44"/>
  <c r="R67" i="44" a="1"/>
  <c r="R67" i="44"/>
  <c r="S67" i="44" a="1"/>
  <c r="S67" i="44"/>
  <c r="T67" i="44" a="1"/>
  <c r="T67" i="44"/>
  <c r="U67" i="44" a="1"/>
  <c r="U67" i="44"/>
  <c r="V67" i="44" a="1"/>
  <c r="V67" i="44"/>
  <c r="W67" i="44" a="1"/>
  <c r="W67" i="44"/>
  <c r="Y67" i="44" a="1"/>
  <c r="Y67" i="44"/>
  <c r="Z67" i="44" a="1"/>
  <c r="Z67" i="44"/>
  <c r="AA67" i="44" a="1"/>
  <c r="AA67" i="44"/>
  <c r="AB67" i="44" a="1"/>
  <c r="AB67" i="44"/>
  <c r="AC67" i="44" a="1"/>
  <c r="AC67" i="44"/>
  <c r="AD67" i="44" a="1"/>
  <c r="AD67" i="44"/>
  <c r="AE67" i="44" a="1"/>
  <c r="AE67" i="44"/>
  <c r="AF67" i="44" a="1"/>
  <c r="AF67" i="44"/>
  <c r="AG67" i="44" a="1"/>
  <c r="AG67" i="44"/>
  <c r="AI67" i="44" a="1"/>
  <c r="AI67" i="44"/>
  <c r="AJ67" i="44" a="1"/>
  <c r="AJ67" i="44"/>
  <c r="AK67" i="44" a="1"/>
  <c r="AK67" i="44"/>
  <c r="AL67" i="44" a="1"/>
  <c r="AL67" i="44"/>
  <c r="AM67" i="44" a="1"/>
  <c r="AM67" i="44"/>
  <c r="AN67" i="44" a="1"/>
  <c r="AN67" i="44"/>
  <c r="AO67" i="44" a="1"/>
  <c r="AO67" i="44"/>
  <c r="AP67" i="44" a="1"/>
  <c r="AP67" i="44"/>
  <c r="AQ67" i="44" a="1"/>
  <c r="AQ67" i="44"/>
  <c r="AS67" i="44" a="1"/>
  <c r="AS67" i="44"/>
  <c r="AT67" i="44" a="1"/>
  <c r="AT67" i="44"/>
  <c r="AU67" i="44" a="1"/>
  <c r="AU67" i="44"/>
  <c r="AV67" i="44" a="1"/>
  <c r="AV67" i="44"/>
  <c r="AW67" i="44" a="1"/>
  <c r="AW67" i="44"/>
  <c r="AX67" i="44" a="1"/>
  <c r="AX67" i="44"/>
  <c r="AY67" i="44" a="1"/>
  <c r="AY67" i="44"/>
  <c r="AZ67" i="44" a="1"/>
  <c r="AZ67" i="44"/>
  <c r="BA67" i="44" a="1"/>
  <c r="BA67" i="44"/>
  <c r="BC67" i="44" a="1"/>
  <c r="BC67" i="44"/>
  <c r="BD67" i="44" a="1"/>
  <c r="BD67" i="44"/>
  <c r="BE67" i="44" a="1"/>
  <c r="BE67" i="44"/>
  <c r="BF67" i="44" a="1"/>
  <c r="BF67" i="44"/>
  <c r="BG67" i="44" a="1"/>
  <c r="BG67" i="44"/>
  <c r="BH67" i="44" a="1"/>
  <c r="BH67" i="44"/>
  <c r="BI67" i="44" a="1"/>
  <c r="BI67" i="44"/>
  <c r="BJ67" i="44" a="1"/>
  <c r="BJ67" i="44"/>
  <c r="BK67" i="44" a="1"/>
  <c r="BK67" i="44"/>
  <c r="BO67" i="44" a="1"/>
  <c r="BO67" i="44"/>
  <c r="BP67" i="44" a="1"/>
  <c r="BP67" i="44"/>
  <c r="BQ67" i="44" a="1"/>
  <c r="BQ67" i="44"/>
  <c r="BR67" i="44" a="1"/>
  <c r="BR67" i="44"/>
  <c r="BS67" i="44" a="1"/>
  <c r="BS67" i="44"/>
  <c r="BT67" i="44" a="1"/>
  <c r="BT67" i="44"/>
  <c r="BU67" i="44" a="1"/>
  <c r="BU67" i="44"/>
  <c r="BV67" i="44" a="1"/>
  <c r="BV67" i="44"/>
  <c r="BW67" i="44" a="1"/>
  <c r="BW67" i="44"/>
  <c r="BY67" i="44" a="1"/>
  <c r="BY67" i="44"/>
  <c r="BZ67" i="44" a="1"/>
  <c r="BZ67" i="44"/>
  <c r="CA67" i="44" a="1"/>
  <c r="CA67" i="44"/>
  <c r="CB67" i="44" a="1"/>
  <c r="CB67" i="44"/>
  <c r="CC67" i="44" a="1"/>
  <c r="CC67" i="44"/>
  <c r="CD67" i="44" a="1"/>
  <c r="CD67" i="44"/>
  <c r="CE67" i="44" a="1"/>
  <c r="CE67" i="44"/>
  <c r="CF67" i="44" a="1"/>
  <c r="CF67" i="44"/>
  <c r="CG67" i="44" a="1"/>
  <c r="CG67" i="44"/>
  <c r="CI67" i="44" a="1"/>
  <c r="CI67" i="44"/>
  <c r="CJ67" i="44" a="1"/>
  <c r="CJ67" i="44"/>
  <c r="CK67" i="44" a="1"/>
  <c r="CK67" i="44"/>
  <c r="CL67" i="44" a="1"/>
  <c r="CL67" i="44"/>
  <c r="CM67" i="44" a="1"/>
  <c r="CM67" i="44"/>
  <c r="CN67" i="44" a="1"/>
  <c r="CN67" i="44"/>
  <c r="CO67" i="44" a="1"/>
  <c r="CO67" i="44"/>
  <c r="CP67" i="44" a="1"/>
  <c r="CP67" i="44"/>
  <c r="CQ67" i="44" a="1"/>
  <c r="CQ67" i="44"/>
  <c r="CS67" i="44" a="1"/>
  <c r="CS67" i="44"/>
  <c r="CT67" i="44" a="1"/>
  <c r="CT67" i="44"/>
  <c r="CU67" i="44" a="1"/>
  <c r="CU67" i="44"/>
  <c r="CV67" i="44" a="1"/>
  <c r="CV67" i="44"/>
  <c r="CW67" i="44" a="1"/>
  <c r="CW67" i="44"/>
  <c r="CX67" i="44" a="1"/>
  <c r="CX67" i="44"/>
  <c r="CY67" i="44" a="1"/>
  <c r="CY67" i="44"/>
  <c r="CZ67" i="44" a="1"/>
  <c r="CZ67" i="44"/>
  <c r="DA67" i="44" a="1"/>
  <c r="DA67" i="44"/>
  <c r="DB67" i="44" a="1"/>
  <c r="DB67" i="44"/>
  <c r="DC67" i="44" a="1"/>
  <c r="DC67" i="44"/>
  <c r="DD67" i="44" a="1"/>
  <c r="DD67" i="44"/>
  <c r="DE67" i="44" a="1"/>
  <c r="DE67" i="44"/>
  <c r="DF67" i="44" a="1"/>
  <c r="DF67" i="44"/>
  <c r="DG67" i="44" a="1"/>
  <c r="DG67" i="44"/>
  <c r="DH67" i="44" a="1"/>
  <c r="DH67" i="44"/>
  <c r="E68" i="44" a="1"/>
  <c r="E68" i="44"/>
  <c r="F68" i="44" a="1"/>
  <c r="F68" i="44"/>
  <c r="G68" i="44" a="1"/>
  <c r="G68" i="44"/>
  <c r="H68" i="44" a="1"/>
  <c r="H68" i="44"/>
  <c r="I68" i="44" a="1"/>
  <c r="I68" i="44"/>
  <c r="J68" i="44" a="1"/>
  <c r="J68" i="44"/>
  <c r="K68" i="44" a="1"/>
  <c r="K68" i="44"/>
  <c r="L68" i="44" a="1"/>
  <c r="L68" i="44"/>
  <c r="M68" i="44" a="1"/>
  <c r="M68" i="44"/>
  <c r="N68" i="44"/>
  <c r="O68" i="44" a="1"/>
  <c r="O68" i="44"/>
  <c r="P68" i="44" a="1"/>
  <c r="P68" i="44"/>
  <c r="Q68" i="44" a="1"/>
  <c r="Q68" i="44"/>
  <c r="R68" i="44" a="1"/>
  <c r="R68" i="44"/>
  <c r="S68" i="44" a="1"/>
  <c r="S68" i="44"/>
  <c r="T68" i="44" a="1"/>
  <c r="T68" i="44"/>
  <c r="U68" i="44" a="1"/>
  <c r="U68" i="44"/>
  <c r="V68" i="44" a="1"/>
  <c r="V68" i="44"/>
  <c r="W68" i="44" a="1"/>
  <c r="W68" i="44"/>
  <c r="Y68" i="44" a="1"/>
  <c r="Y68" i="44"/>
  <c r="Z68" i="44" a="1"/>
  <c r="Z68" i="44"/>
  <c r="AA68" i="44" a="1"/>
  <c r="AA68" i="44"/>
  <c r="AB68" i="44" a="1"/>
  <c r="AB68" i="44"/>
  <c r="AC68" i="44" a="1"/>
  <c r="AC68" i="44"/>
  <c r="AD68" i="44" a="1"/>
  <c r="AD68" i="44"/>
  <c r="AE68" i="44" a="1"/>
  <c r="AE68" i="44"/>
  <c r="AF68" i="44" a="1"/>
  <c r="AF68" i="44"/>
  <c r="AG68" i="44" a="1"/>
  <c r="AG68" i="44"/>
  <c r="AI68" i="44" a="1"/>
  <c r="AI68" i="44"/>
  <c r="AJ68" i="44" a="1"/>
  <c r="AJ68" i="44"/>
  <c r="AK68" i="44" a="1"/>
  <c r="AK68" i="44"/>
  <c r="AL68" i="44" a="1"/>
  <c r="AL68" i="44"/>
  <c r="AM68" i="44" a="1"/>
  <c r="AM68" i="44"/>
  <c r="AN68" i="44" a="1"/>
  <c r="AN68" i="44"/>
  <c r="AO68" i="44" a="1"/>
  <c r="AO68" i="44"/>
  <c r="AP68" i="44" a="1"/>
  <c r="AP68" i="44"/>
  <c r="AQ68" i="44" a="1"/>
  <c r="AQ68" i="44"/>
  <c r="AS68" i="44" a="1"/>
  <c r="AS68" i="44"/>
  <c r="AT68" i="44" a="1"/>
  <c r="AT68" i="44"/>
  <c r="AU68" i="44" a="1"/>
  <c r="AU68" i="44"/>
  <c r="AV68" i="44" a="1"/>
  <c r="AV68" i="44"/>
  <c r="AW68" i="44" a="1"/>
  <c r="AW68" i="44"/>
  <c r="AX68" i="44" a="1"/>
  <c r="AX68" i="44"/>
  <c r="AY68" i="44" a="1"/>
  <c r="AY68" i="44"/>
  <c r="AZ68" i="44" a="1"/>
  <c r="AZ68" i="44"/>
  <c r="BA68" i="44" a="1"/>
  <c r="BA68" i="44"/>
  <c r="BC68" i="44" a="1"/>
  <c r="BC68" i="44"/>
  <c r="BD68" i="44" a="1"/>
  <c r="BD68" i="44"/>
  <c r="BE68" i="44" a="1"/>
  <c r="BE68" i="44"/>
  <c r="BF68" i="44" a="1"/>
  <c r="BF68" i="44"/>
  <c r="BG68" i="44" a="1"/>
  <c r="BG68" i="44"/>
  <c r="BH68" i="44" a="1"/>
  <c r="BH68" i="44"/>
  <c r="BI68" i="44" a="1"/>
  <c r="BI68" i="44"/>
  <c r="BJ68" i="44" a="1"/>
  <c r="BJ68" i="44"/>
  <c r="BK68" i="44" a="1"/>
  <c r="BK68" i="44"/>
  <c r="BO68" i="44" a="1"/>
  <c r="BO68" i="44"/>
  <c r="BP68" i="44" a="1"/>
  <c r="BP68" i="44"/>
  <c r="BQ68" i="44" a="1"/>
  <c r="BQ68" i="44"/>
  <c r="BR68" i="44" a="1"/>
  <c r="BR68" i="44"/>
  <c r="BS68" i="44" a="1"/>
  <c r="BS68" i="44"/>
  <c r="BT68" i="44" a="1"/>
  <c r="BT68" i="44"/>
  <c r="BU68" i="44" a="1"/>
  <c r="BU68" i="44"/>
  <c r="BV68" i="44" a="1"/>
  <c r="BV68" i="44"/>
  <c r="BW68" i="44" a="1"/>
  <c r="BW68" i="44"/>
  <c r="BY68" i="44" a="1"/>
  <c r="BY68" i="44"/>
  <c r="BZ68" i="44" a="1"/>
  <c r="BZ68" i="44"/>
  <c r="CA68" i="44" a="1"/>
  <c r="CA68" i="44"/>
  <c r="CB68" i="44" a="1"/>
  <c r="CB68" i="44"/>
  <c r="CC68" i="44" a="1"/>
  <c r="CC68" i="44"/>
  <c r="CD68" i="44" a="1"/>
  <c r="CD68" i="44"/>
  <c r="CE68" i="44" a="1"/>
  <c r="CE68" i="44"/>
  <c r="CF68" i="44" a="1"/>
  <c r="CF68" i="44"/>
  <c r="CG68" i="44" a="1"/>
  <c r="CG68" i="44"/>
  <c r="CI68" i="44" a="1"/>
  <c r="CI68" i="44"/>
  <c r="CJ68" i="44" a="1"/>
  <c r="CJ68" i="44"/>
  <c r="CK68" i="44" a="1"/>
  <c r="CK68" i="44"/>
  <c r="CL68" i="44" a="1"/>
  <c r="CL68" i="44"/>
  <c r="CM68" i="44" a="1"/>
  <c r="CM68" i="44"/>
  <c r="CN68" i="44" a="1"/>
  <c r="CN68" i="44"/>
  <c r="CO68" i="44" a="1"/>
  <c r="CO68" i="44"/>
  <c r="CP68" i="44" a="1"/>
  <c r="CP68" i="44"/>
  <c r="CQ68" i="44" a="1"/>
  <c r="CQ68" i="44"/>
  <c r="CS68" i="44" a="1"/>
  <c r="CS68" i="44"/>
  <c r="CT68" i="44" a="1"/>
  <c r="CT68" i="44"/>
  <c r="CU68" i="44" a="1"/>
  <c r="CU68" i="44"/>
  <c r="CV68" i="44" a="1"/>
  <c r="CV68" i="44"/>
  <c r="CW68" i="44" a="1"/>
  <c r="CW68" i="44"/>
  <c r="CX68" i="44" a="1"/>
  <c r="CX68" i="44"/>
  <c r="CY68" i="44" a="1"/>
  <c r="CY68" i="44"/>
  <c r="CZ68" i="44" a="1"/>
  <c r="CZ68" i="44"/>
  <c r="DA68" i="44" a="1"/>
  <c r="DA68" i="44"/>
  <c r="DB68" i="44" a="1"/>
  <c r="DB68" i="44"/>
  <c r="DC68" i="44" a="1"/>
  <c r="DC68" i="44"/>
  <c r="DD68" i="44" a="1"/>
  <c r="DD68" i="44"/>
  <c r="DE68" i="44" a="1"/>
  <c r="DE68" i="44"/>
  <c r="DF68" i="44" a="1"/>
  <c r="DF68" i="44"/>
  <c r="DG68" i="44" a="1"/>
  <c r="DG68" i="44"/>
  <c r="DH68" i="44" a="1"/>
  <c r="DH68" i="44"/>
  <c r="E69" i="44" a="1"/>
  <c r="E69" i="44"/>
  <c r="F69" i="44" a="1"/>
  <c r="F69" i="44"/>
  <c r="G69" i="44" a="1"/>
  <c r="G69" i="44"/>
  <c r="H69" i="44" a="1"/>
  <c r="H69" i="44"/>
  <c r="I69" i="44" a="1"/>
  <c r="I69" i="44"/>
  <c r="J69" i="44" a="1"/>
  <c r="J69" i="44"/>
  <c r="K69" i="44" a="1"/>
  <c r="K69" i="44"/>
  <c r="L69" i="44" a="1"/>
  <c r="L69" i="44"/>
  <c r="M69" i="44" a="1"/>
  <c r="M69" i="44"/>
  <c r="N69" i="44"/>
  <c r="O69" i="44" a="1"/>
  <c r="O69" i="44"/>
  <c r="P69" i="44" a="1"/>
  <c r="P69" i="44"/>
  <c r="Q69" i="44" a="1"/>
  <c r="Q69" i="44"/>
  <c r="R69" i="44" a="1"/>
  <c r="R69" i="44"/>
  <c r="S69" i="44" a="1"/>
  <c r="S69" i="44"/>
  <c r="T69" i="44" a="1"/>
  <c r="T69" i="44"/>
  <c r="U69" i="44" a="1"/>
  <c r="U69" i="44"/>
  <c r="V69" i="44" a="1"/>
  <c r="V69" i="44"/>
  <c r="W69" i="44" a="1"/>
  <c r="W69" i="44"/>
  <c r="Y69" i="44" a="1"/>
  <c r="Y69" i="44"/>
  <c r="Z69" i="44" a="1"/>
  <c r="Z69" i="44"/>
  <c r="AA69" i="44" a="1"/>
  <c r="AA69" i="44"/>
  <c r="AB69" i="44" a="1"/>
  <c r="AB69" i="44"/>
  <c r="AC69" i="44" a="1"/>
  <c r="AC69" i="44"/>
  <c r="AD69" i="44" a="1"/>
  <c r="AD69" i="44"/>
  <c r="AE69" i="44" a="1"/>
  <c r="AE69" i="44"/>
  <c r="AF69" i="44" a="1"/>
  <c r="AF69" i="44"/>
  <c r="AG69" i="44" a="1"/>
  <c r="AG69" i="44"/>
  <c r="AI69" i="44" a="1"/>
  <c r="AI69" i="44"/>
  <c r="AJ69" i="44" a="1"/>
  <c r="AJ69" i="44"/>
  <c r="AK69" i="44" a="1"/>
  <c r="AK69" i="44"/>
  <c r="AL69" i="44" a="1"/>
  <c r="AL69" i="44"/>
  <c r="AM69" i="44" a="1"/>
  <c r="AM69" i="44"/>
  <c r="AN69" i="44" a="1"/>
  <c r="AN69" i="44"/>
  <c r="AO69" i="44" a="1"/>
  <c r="AO69" i="44"/>
  <c r="AP69" i="44" a="1"/>
  <c r="AP69" i="44"/>
  <c r="AQ69" i="44" a="1"/>
  <c r="AQ69" i="44"/>
  <c r="AS69" i="44" a="1"/>
  <c r="AS69" i="44"/>
  <c r="AT69" i="44" a="1"/>
  <c r="AT69" i="44"/>
  <c r="AU69" i="44" a="1"/>
  <c r="AU69" i="44"/>
  <c r="AV69" i="44" a="1"/>
  <c r="AV69" i="44"/>
  <c r="AW69" i="44" a="1"/>
  <c r="AW69" i="44"/>
  <c r="AX69" i="44" a="1"/>
  <c r="AX69" i="44"/>
  <c r="AY69" i="44" a="1"/>
  <c r="AY69" i="44"/>
  <c r="AZ69" i="44" a="1"/>
  <c r="AZ69" i="44"/>
  <c r="BA69" i="44" a="1"/>
  <c r="BA69" i="44"/>
  <c r="BC69" i="44" a="1"/>
  <c r="BC69" i="44"/>
  <c r="BD69" i="44" a="1"/>
  <c r="BD69" i="44"/>
  <c r="BE69" i="44" a="1"/>
  <c r="BE69" i="44"/>
  <c r="BF69" i="44" a="1"/>
  <c r="BF69" i="44"/>
  <c r="BG69" i="44" a="1"/>
  <c r="BG69" i="44"/>
  <c r="BH69" i="44" a="1"/>
  <c r="BH69" i="44"/>
  <c r="BI69" i="44" a="1"/>
  <c r="BI69" i="44"/>
  <c r="BJ69" i="44" a="1"/>
  <c r="BJ69" i="44"/>
  <c r="BK69" i="44" a="1"/>
  <c r="BK69" i="44"/>
  <c r="BO69" i="44" a="1"/>
  <c r="BO69" i="44"/>
  <c r="BP69" i="44" a="1"/>
  <c r="BP69" i="44"/>
  <c r="BQ69" i="44" a="1"/>
  <c r="BQ69" i="44"/>
  <c r="BR69" i="44" a="1"/>
  <c r="BR69" i="44"/>
  <c r="BS69" i="44" a="1"/>
  <c r="BS69" i="44"/>
  <c r="BT69" i="44" a="1"/>
  <c r="BT69" i="44"/>
  <c r="BU69" i="44" a="1"/>
  <c r="BU69" i="44"/>
  <c r="BV69" i="44" a="1"/>
  <c r="BV69" i="44"/>
  <c r="BW69" i="44" a="1"/>
  <c r="BW69" i="44"/>
  <c r="BY69" i="44" a="1"/>
  <c r="BY69" i="44"/>
  <c r="BZ69" i="44" a="1"/>
  <c r="BZ69" i="44"/>
  <c r="CA69" i="44" a="1"/>
  <c r="CA69" i="44"/>
  <c r="CB69" i="44" a="1"/>
  <c r="CB69" i="44"/>
  <c r="CC69" i="44" a="1"/>
  <c r="CC69" i="44"/>
  <c r="CD69" i="44" a="1"/>
  <c r="CD69" i="44"/>
  <c r="CE69" i="44" a="1"/>
  <c r="CE69" i="44"/>
  <c r="CF69" i="44" a="1"/>
  <c r="CF69" i="44"/>
  <c r="CG69" i="44" a="1"/>
  <c r="CG69" i="44"/>
  <c r="CI69" i="44" a="1"/>
  <c r="CI69" i="44"/>
  <c r="CJ69" i="44" a="1"/>
  <c r="CJ69" i="44"/>
  <c r="CK69" i="44" a="1"/>
  <c r="CK69" i="44"/>
  <c r="CL69" i="44" a="1"/>
  <c r="CL69" i="44"/>
  <c r="CM69" i="44" a="1"/>
  <c r="CM69" i="44"/>
  <c r="CN69" i="44" a="1"/>
  <c r="CN69" i="44"/>
  <c r="CO69" i="44" a="1"/>
  <c r="CO69" i="44"/>
  <c r="CP69" i="44" a="1"/>
  <c r="CP69" i="44"/>
  <c r="CQ69" i="44" a="1"/>
  <c r="CQ69" i="44"/>
  <c r="CS69" i="44" a="1"/>
  <c r="CS69" i="44"/>
  <c r="CT69" i="44" a="1"/>
  <c r="CT69" i="44"/>
  <c r="CU69" i="44" a="1"/>
  <c r="CU69" i="44"/>
  <c r="CV69" i="44" a="1"/>
  <c r="CV69" i="44"/>
  <c r="CW69" i="44" a="1"/>
  <c r="CW69" i="44"/>
  <c r="CX69" i="44" a="1"/>
  <c r="CX69" i="44"/>
  <c r="CY69" i="44" a="1"/>
  <c r="CY69" i="44"/>
  <c r="CZ69" i="44" a="1"/>
  <c r="CZ69" i="44"/>
  <c r="DA69" i="44" a="1"/>
  <c r="DA69" i="44"/>
  <c r="DB69" i="44" a="1"/>
  <c r="DB69" i="44"/>
  <c r="DC69" i="44" a="1"/>
  <c r="DC69" i="44"/>
  <c r="DD69" i="44" a="1"/>
  <c r="DD69" i="44"/>
  <c r="DE69" i="44" a="1"/>
  <c r="DE69" i="44"/>
  <c r="DF69" i="44" a="1"/>
  <c r="DF69" i="44"/>
  <c r="DG69" i="44" a="1"/>
  <c r="DG69" i="44"/>
  <c r="DH69" i="44" a="1"/>
  <c r="DH69" i="44"/>
  <c r="E70" i="44" a="1"/>
  <c r="E70" i="44"/>
  <c r="F70" i="44" a="1"/>
  <c r="F70" i="44"/>
  <c r="G70" i="44" a="1"/>
  <c r="G70" i="44"/>
  <c r="H70" i="44" a="1"/>
  <c r="H70" i="44"/>
  <c r="I70" i="44" a="1"/>
  <c r="I70" i="44"/>
  <c r="J70" i="44" a="1"/>
  <c r="J70" i="44"/>
  <c r="K70" i="44" a="1"/>
  <c r="K70" i="44"/>
  <c r="L70" i="44" a="1"/>
  <c r="L70" i="44"/>
  <c r="M70" i="44" a="1"/>
  <c r="M70" i="44"/>
  <c r="N70" i="44"/>
  <c r="O70" i="44" a="1"/>
  <c r="O70" i="44"/>
  <c r="P70" i="44" a="1"/>
  <c r="P70" i="44"/>
  <c r="Q70" i="44" a="1"/>
  <c r="Q70" i="44"/>
  <c r="R70" i="44" a="1"/>
  <c r="R70" i="44"/>
  <c r="S70" i="44" a="1"/>
  <c r="S70" i="44"/>
  <c r="T70" i="44" a="1"/>
  <c r="T70" i="44"/>
  <c r="U70" i="44" a="1"/>
  <c r="U70" i="44"/>
  <c r="V70" i="44" a="1"/>
  <c r="V70" i="44"/>
  <c r="W70" i="44" a="1"/>
  <c r="W70" i="44"/>
  <c r="Y70" i="44" a="1"/>
  <c r="Y70" i="44"/>
  <c r="Z70" i="44" a="1"/>
  <c r="Z70" i="44"/>
  <c r="AA70" i="44" a="1"/>
  <c r="AA70" i="44"/>
  <c r="AB70" i="44" a="1"/>
  <c r="AB70" i="44"/>
  <c r="AC70" i="44" a="1"/>
  <c r="AC70" i="44"/>
  <c r="AD70" i="44" a="1"/>
  <c r="AD70" i="44"/>
  <c r="AE70" i="44" a="1"/>
  <c r="AE70" i="44"/>
  <c r="AF70" i="44" a="1"/>
  <c r="AF70" i="44"/>
  <c r="AG70" i="44" a="1"/>
  <c r="AG70" i="44"/>
  <c r="AI70" i="44" a="1"/>
  <c r="AI70" i="44"/>
  <c r="AJ70" i="44" a="1"/>
  <c r="AJ70" i="44"/>
  <c r="AK70" i="44" a="1"/>
  <c r="AK70" i="44"/>
  <c r="AL70" i="44" a="1"/>
  <c r="AL70" i="44"/>
  <c r="AM70" i="44" a="1"/>
  <c r="AM70" i="44"/>
  <c r="AN70" i="44" a="1"/>
  <c r="AN70" i="44"/>
  <c r="AO70" i="44" a="1"/>
  <c r="AO70" i="44"/>
  <c r="AP70" i="44" a="1"/>
  <c r="AP70" i="44"/>
  <c r="AQ70" i="44" a="1"/>
  <c r="AQ70" i="44"/>
  <c r="AS70" i="44" a="1"/>
  <c r="AS70" i="44"/>
  <c r="AT70" i="44" a="1"/>
  <c r="AT70" i="44"/>
  <c r="AU70" i="44" a="1"/>
  <c r="AU70" i="44"/>
  <c r="AV70" i="44" a="1"/>
  <c r="AV70" i="44"/>
  <c r="AW70" i="44" a="1"/>
  <c r="AW70" i="44"/>
  <c r="AX70" i="44" a="1"/>
  <c r="AX70" i="44"/>
  <c r="AY70" i="44" a="1"/>
  <c r="AY70" i="44"/>
  <c r="AZ70" i="44" a="1"/>
  <c r="AZ70" i="44"/>
  <c r="BA70" i="44" a="1"/>
  <c r="BA70" i="44"/>
  <c r="BC70" i="44" a="1"/>
  <c r="BC70" i="44"/>
  <c r="BD70" i="44" a="1"/>
  <c r="BD70" i="44"/>
  <c r="BE70" i="44" a="1"/>
  <c r="BE70" i="44"/>
  <c r="BF70" i="44" a="1"/>
  <c r="BF70" i="44"/>
  <c r="BG70" i="44" a="1"/>
  <c r="BG70" i="44"/>
  <c r="BH70" i="44" a="1"/>
  <c r="BH70" i="44"/>
  <c r="BI70" i="44" a="1"/>
  <c r="BI70" i="44"/>
  <c r="BJ70" i="44" a="1"/>
  <c r="BJ70" i="44"/>
  <c r="BK70" i="44" a="1"/>
  <c r="BK70" i="44"/>
  <c r="BO70" i="44" a="1"/>
  <c r="BO70" i="44"/>
  <c r="BP70" i="44" a="1"/>
  <c r="BP70" i="44"/>
  <c r="BQ70" i="44" a="1"/>
  <c r="BQ70" i="44"/>
  <c r="BR70" i="44" a="1"/>
  <c r="BR70" i="44"/>
  <c r="BS70" i="44" a="1"/>
  <c r="BS70" i="44"/>
  <c r="BT70" i="44" a="1"/>
  <c r="BT70" i="44"/>
  <c r="BU70" i="44" a="1"/>
  <c r="BU70" i="44"/>
  <c r="BV70" i="44" a="1"/>
  <c r="BV70" i="44"/>
  <c r="BW70" i="44" a="1"/>
  <c r="BW70" i="44"/>
  <c r="BY70" i="44" a="1"/>
  <c r="BY70" i="44"/>
  <c r="BZ70" i="44" a="1"/>
  <c r="BZ70" i="44"/>
  <c r="CA70" i="44" a="1"/>
  <c r="CA70" i="44"/>
  <c r="CB70" i="44" a="1"/>
  <c r="CB70" i="44"/>
  <c r="CC70" i="44" a="1"/>
  <c r="CC70" i="44"/>
  <c r="CD70" i="44" a="1"/>
  <c r="CD70" i="44"/>
  <c r="CE70" i="44" a="1"/>
  <c r="CE70" i="44"/>
  <c r="CF70" i="44" a="1"/>
  <c r="CF70" i="44"/>
  <c r="CG70" i="44" a="1"/>
  <c r="CG70" i="44"/>
  <c r="CI70" i="44" a="1"/>
  <c r="CI70" i="44"/>
  <c r="CJ70" i="44" a="1"/>
  <c r="CJ70" i="44"/>
  <c r="CK70" i="44" a="1"/>
  <c r="CK70" i="44"/>
  <c r="CL70" i="44" a="1"/>
  <c r="CL70" i="44"/>
  <c r="CM70" i="44" a="1"/>
  <c r="CM70" i="44"/>
  <c r="CN70" i="44" a="1"/>
  <c r="CN70" i="44"/>
  <c r="CO70" i="44" a="1"/>
  <c r="CO70" i="44"/>
  <c r="CP70" i="44" a="1"/>
  <c r="CP70" i="44"/>
  <c r="CQ70" i="44" a="1"/>
  <c r="CQ70" i="44"/>
  <c r="CS70" i="44" a="1"/>
  <c r="CS70" i="44"/>
  <c r="CT70" i="44" a="1"/>
  <c r="CT70" i="44"/>
  <c r="CU70" i="44" a="1"/>
  <c r="CU70" i="44"/>
  <c r="CV70" i="44" a="1"/>
  <c r="CV70" i="44"/>
  <c r="CW70" i="44" a="1"/>
  <c r="CW70" i="44"/>
  <c r="CX70" i="44" a="1"/>
  <c r="CX70" i="44"/>
  <c r="CY70" i="44" a="1"/>
  <c r="CY70" i="44"/>
  <c r="CZ70" i="44" a="1"/>
  <c r="CZ70" i="44"/>
  <c r="DA70" i="44" a="1"/>
  <c r="DA70" i="44"/>
  <c r="DB70" i="44" a="1"/>
  <c r="DB70" i="44"/>
  <c r="DC70" i="44" a="1"/>
  <c r="DC70" i="44"/>
  <c r="DD70" i="44" a="1"/>
  <c r="DD70" i="44"/>
  <c r="DE70" i="44" a="1"/>
  <c r="DE70" i="44"/>
  <c r="DF70" i="44" a="1"/>
  <c r="DF70" i="44"/>
  <c r="DG70" i="44" a="1"/>
  <c r="DG70" i="44"/>
  <c r="DH70" i="44" a="1"/>
  <c r="DH70" i="44"/>
  <c r="E71" i="44" a="1"/>
  <c r="E71" i="44"/>
  <c r="F71" i="44" a="1"/>
  <c r="F71" i="44"/>
  <c r="G71" i="44" a="1"/>
  <c r="G71" i="44"/>
  <c r="H71" i="44" a="1"/>
  <c r="H71" i="44"/>
  <c r="I71" i="44" a="1"/>
  <c r="I71" i="44"/>
  <c r="J71" i="44" a="1"/>
  <c r="J71" i="44"/>
  <c r="K71" i="44" a="1"/>
  <c r="K71" i="44"/>
  <c r="L71" i="44" a="1"/>
  <c r="L71" i="44"/>
  <c r="M71" i="44" a="1"/>
  <c r="M71" i="44"/>
  <c r="N71" i="44"/>
  <c r="O71" i="44" a="1"/>
  <c r="O71" i="44"/>
  <c r="P71" i="44" a="1"/>
  <c r="P71" i="44"/>
  <c r="Q71" i="44" a="1"/>
  <c r="Q71" i="44"/>
  <c r="R71" i="44" a="1"/>
  <c r="R71" i="44"/>
  <c r="S71" i="44" a="1"/>
  <c r="S71" i="44"/>
  <c r="T71" i="44" a="1"/>
  <c r="T71" i="44"/>
  <c r="U71" i="44" a="1"/>
  <c r="U71" i="44"/>
  <c r="V71" i="44" a="1"/>
  <c r="V71" i="44"/>
  <c r="W71" i="44" a="1"/>
  <c r="W71" i="44"/>
  <c r="Y71" i="44" a="1"/>
  <c r="Y71" i="44"/>
  <c r="Z71" i="44" a="1"/>
  <c r="Z71" i="44"/>
  <c r="AA71" i="44" a="1"/>
  <c r="AA71" i="44"/>
  <c r="AB71" i="44" a="1"/>
  <c r="AB71" i="44"/>
  <c r="AC71" i="44" a="1"/>
  <c r="AC71" i="44"/>
  <c r="AD71" i="44" a="1"/>
  <c r="AD71" i="44"/>
  <c r="AE71" i="44" a="1"/>
  <c r="AE71" i="44"/>
  <c r="AF71" i="44" a="1"/>
  <c r="AF71" i="44"/>
  <c r="AG71" i="44" a="1"/>
  <c r="AG71" i="44"/>
  <c r="AI71" i="44" a="1"/>
  <c r="AI71" i="44"/>
  <c r="AJ71" i="44" a="1"/>
  <c r="AJ71" i="44"/>
  <c r="AK71" i="44" a="1"/>
  <c r="AK71" i="44"/>
  <c r="AL71" i="44" a="1"/>
  <c r="AL71" i="44"/>
  <c r="AM71" i="44" a="1"/>
  <c r="AM71" i="44"/>
  <c r="AN71" i="44" a="1"/>
  <c r="AN71" i="44"/>
  <c r="AO71" i="44" a="1"/>
  <c r="AO71" i="44"/>
  <c r="AP71" i="44" a="1"/>
  <c r="AP71" i="44"/>
  <c r="AQ71" i="44" a="1"/>
  <c r="AQ71" i="44"/>
  <c r="AS71" i="44" a="1"/>
  <c r="AS71" i="44"/>
  <c r="AT71" i="44" a="1"/>
  <c r="AT71" i="44"/>
  <c r="AU71" i="44" a="1"/>
  <c r="AU71" i="44"/>
  <c r="AV71" i="44" a="1"/>
  <c r="AV71" i="44"/>
  <c r="AW71" i="44" a="1"/>
  <c r="AW71" i="44"/>
  <c r="AX71" i="44" a="1"/>
  <c r="AX71" i="44"/>
  <c r="AY71" i="44" a="1"/>
  <c r="AY71" i="44"/>
  <c r="AZ71" i="44" a="1"/>
  <c r="AZ71" i="44"/>
  <c r="BA71" i="44" a="1"/>
  <c r="BA71" i="44"/>
  <c r="BC71" i="44" a="1"/>
  <c r="BC71" i="44"/>
  <c r="BD71" i="44" a="1"/>
  <c r="BD71" i="44"/>
  <c r="BE71" i="44" a="1"/>
  <c r="BE71" i="44"/>
  <c r="BF71" i="44" a="1"/>
  <c r="BF71" i="44"/>
  <c r="BG71" i="44" a="1"/>
  <c r="BG71" i="44"/>
  <c r="BH71" i="44" a="1"/>
  <c r="BH71" i="44"/>
  <c r="BI71" i="44" a="1"/>
  <c r="BI71" i="44"/>
  <c r="BJ71" i="44" a="1"/>
  <c r="BJ71" i="44"/>
  <c r="BK71" i="44" a="1"/>
  <c r="BK71" i="44"/>
  <c r="BO71" i="44" a="1"/>
  <c r="BO71" i="44"/>
  <c r="BP71" i="44" a="1"/>
  <c r="BP71" i="44"/>
  <c r="BQ71" i="44" a="1"/>
  <c r="BQ71" i="44"/>
  <c r="BR71" i="44" a="1"/>
  <c r="BR71" i="44"/>
  <c r="BS71" i="44" a="1"/>
  <c r="BS71" i="44"/>
  <c r="BT71" i="44" a="1"/>
  <c r="BT71" i="44"/>
  <c r="BU71" i="44" a="1"/>
  <c r="BU71" i="44"/>
  <c r="BV71" i="44" a="1"/>
  <c r="BV71" i="44"/>
  <c r="BW71" i="44" a="1"/>
  <c r="BW71" i="44"/>
  <c r="BY71" i="44" a="1"/>
  <c r="BY71" i="44"/>
  <c r="BZ71" i="44" a="1"/>
  <c r="BZ71" i="44"/>
  <c r="CA71" i="44" a="1"/>
  <c r="CA71" i="44"/>
  <c r="CB71" i="44" a="1"/>
  <c r="CB71" i="44"/>
  <c r="CC71" i="44" a="1"/>
  <c r="CC71" i="44"/>
  <c r="CD71" i="44" a="1"/>
  <c r="CD71" i="44"/>
  <c r="CE71" i="44" a="1"/>
  <c r="CE71" i="44"/>
  <c r="CF71" i="44" a="1"/>
  <c r="CF71" i="44"/>
  <c r="CG71" i="44" a="1"/>
  <c r="CG71" i="44"/>
  <c r="CI71" i="44" a="1"/>
  <c r="CI71" i="44"/>
  <c r="CJ71" i="44" a="1"/>
  <c r="CJ71" i="44"/>
  <c r="CK71" i="44" a="1"/>
  <c r="CK71" i="44"/>
  <c r="CL71" i="44" a="1"/>
  <c r="CL71" i="44"/>
  <c r="CM71" i="44" a="1"/>
  <c r="CM71" i="44"/>
  <c r="CN71" i="44" a="1"/>
  <c r="CN71" i="44"/>
  <c r="CO71" i="44" a="1"/>
  <c r="CO71" i="44"/>
  <c r="CP71" i="44" a="1"/>
  <c r="CP71" i="44"/>
  <c r="CQ71" i="44" a="1"/>
  <c r="CQ71" i="44"/>
  <c r="CS71" i="44" a="1"/>
  <c r="CS71" i="44"/>
  <c r="CT71" i="44" a="1"/>
  <c r="CT71" i="44"/>
  <c r="CU71" i="44" a="1"/>
  <c r="CU71" i="44"/>
  <c r="CV71" i="44" a="1"/>
  <c r="CV71" i="44"/>
  <c r="CW71" i="44" a="1"/>
  <c r="CW71" i="44"/>
  <c r="CX71" i="44" a="1"/>
  <c r="CX71" i="44"/>
  <c r="CY71" i="44" a="1"/>
  <c r="CY71" i="44"/>
  <c r="CZ71" i="44" a="1"/>
  <c r="CZ71" i="44"/>
  <c r="DA71" i="44" a="1"/>
  <c r="DA71" i="44"/>
  <c r="DB71" i="44" a="1"/>
  <c r="DB71" i="44"/>
  <c r="DC71" i="44" a="1"/>
  <c r="DC71" i="44"/>
  <c r="DD71" i="44" a="1"/>
  <c r="DD71" i="44"/>
  <c r="DE71" i="44" a="1"/>
  <c r="DE71" i="44"/>
  <c r="DF71" i="44" a="1"/>
  <c r="DF71" i="44"/>
  <c r="DG71" i="44" a="1"/>
  <c r="DG71" i="44"/>
  <c r="DH71" i="44" a="1"/>
  <c r="DH71" i="44"/>
  <c r="E72" i="44" a="1"/>
  <c r="E72" i="44"/>
  <c r="F72" i="44" a="1"/>
  <c r="F72" i="44"/>
  <c r="G72" i="44" a="1"/>
  <c r="G72" i="44"/>
  <c r="H72" i="44" a="1"/>
  <c r="H72" i="44"/>
  <c r="I72" i="44" a="1"/>
  <c r="I72" i="44"/>
  <c r="J72" i="44" a="1"/>
  <c r="J72" i="44"/>
  <c r="K72" i="44" a="1"/>
  <c r="K72" i="44"/>
  <c r="L72" i="44" a="1"/>
  <c r="L72" i="44"/>
  <c r="M72" i="44" a="1"/>
  <c r="M72" i="44"/>
  <c r="N72" i="44"/>
  <c r="O72" i="44" a="1"/>
  <c r="O72" i="44"/>
  <c r="P72" i="44" a="1"/>
  <c r="P72" i="44"/>
  <c r="Q72" i="44" a="1"/>
  <c r="Q72" i="44"/>
  <c r="R72" i="44" a="1"/>
  <c r="R72" i="44"/>
  <c r="S72" i="44" a="1"/>
  <c r="S72" i="44"/>
  <c r="T72" i="44" a="1"/>
  <c r="T72" i="44"/>
  <c r="U72" i="44" a="1"/>
  <c r="U72" i="44"/>
  <c r="V72" i="44" a="1"/>
  <c r="V72" i="44"/>
  <c r="W72" i="44" a="1"/>
  <c r="W72" i="44"/>
  <c r="Y72" i="44" a="1"/>
  <c r="Y72" i="44"/>
  <c r="Z72" i="44" a="1"/>
  <c r="Z72" i="44"/>
  <c r="AA72" i="44" a="1"/>
  <c r="AA72" i="44"/>
  <c r="AB72" i="44" a="1"/>
  <c r="AB72" i="44"/>
  <c r="AC72" i="44" a="1"/>
  <c r="AC72" i="44"/>
  <c r="AD72" i="44" a="1"/>
  <c r="AD72" i="44"/>
  <c r="AE72" i="44" a="1"/>
  <c r="AE72" i="44"/>
  <c r="AF72" i="44" a="1"/>
  <c r="AF72" i="44"/>
  <c r="AG72" i="44" a="1"/>
  <c r="AG72" i="44"/>
  <c r="AI72" i="44" a="1"/>
  <c r="AI72" i="44"/>
  <c r="AJ72" i="44" a="1"/>
  <c r="AJ72" i="44"/>
  <c r="AK72" i="44" a="1"/>
  <c r="AK72" i="44"/>
  <c r="AL72" i="44" a="1"/>
  <c r="AL72" i="44"/>
  <c r="AM72" i="44" a="1"/>
  <c r="AM72" i="44"/>
  <c r="AN72" i="44" a="1"/>
  <c r="AN72" i="44"/>
  <c r="AO72" i="44" a="1"/>
  <c r="AO72" i="44"/>
  <c r="AP72" i="44" a="1"/>
  <c r="AP72" i="44"/>
  <c r="AQ72" i="44" a="1"/>
  <c r="AQ72" i="44"/>
  <c r="AS72" i="44" a="1"/>
  <c r="AS72" i="44"/>
  <c r="AT72" i="44" a="1"/>
  <c r="AT72" i="44"/>
  <c r="AU72" i="44" a="1"/>
  <c r="AU72" i="44"/>
  <c r="AV72" i="44" a="1"/>
  <c r="AV72" i="44"/>
  <c r="AW72" i="44" a="1"/>
  <c r="AW72" i="44"/>
  <c r="AX72" i="44" a="1"/>
  <c r="AX72" i="44"/>
  <c r="AY72" i="44" a="1"/>
  <c r="AY72" i="44"/>
  <c r="AZ72" i="44" a="1"/>
  <c r="AZ72" i="44"/>
  <c r="BA72" i="44" a="1"/>
  <c r="BA72" i="44"/>
  <c r="BC72" i="44" a="1"/>
  <c r="BC72" i="44"/>
  <c r="BD72" i="44" a="1"/>
  <c r="BD72" i="44"/>
  <c r="BE72" i="44" a="1"/>
  <c r="BE72" i="44"/>
  <c r="BF72" i="44" a="1"/>
  <c r="BF72" i="44"/>
  <c r="BG72" i="44" a="1"/>
  <c r="BG72" i="44"/>
  <c r="BH72" i="44" a="1"/>
  <c r="BH72" i="44"/>
  <c r="BI72" i="44" a="1"/>
  <c r="BI72" i="44"/>
  <c r="BJ72" i="44" a="1"/>
  <c r="BJ72" i="44"/>
  <c r="BK72" i="44" a="1"/>
  <c r="BK72" i="44"/>
  <c r="BO72" i="44" a="1"/>
  <c r="BO72" i="44"/>
  <c r="BP72" i="44" a="1"/>
  <c r="BP72" i="44"/>
  <c r="BQ72" i="44" a="1"/>
  <c r="BQ72" i="44"/>
  <c r="BR72" i="44" a="1"/>
  <c r="BR72" i="44"/>
  <c r="BS72" i="44" a="1"/>
  <c r="BS72" i="44"/>
  <c r="BT72" i="44" a="1"/>
  <c r="BT72" i="44"/>
  <c r="BU72" i="44" a="1"/>
  <c r="BU72" i="44"/>
  <c r="BV72" i="44" a="1"/>
  <c r="BV72" i="44"/>
  <c r="BW72" i="44" a="1"/>
  <c r="BW72" i="44"/>
  <c r="BY72" i="44" a="1"/>
  <c r="BY72" i="44"/>
  <c r="BZ72" i="44" a="1"/>
  <c r="BZ72" i="44"/>
  <c r="CA72" i="44" a="1"/>
  <c r="CA72" i="44"/>
  <c r="CB72" i="44" a="1"/>
  <c r="CB72" i="44"/>
  <c r="CC72" i="44" a="1"/>
  <c r="CC72" i="44"/>
  <c r="CD72" i="44" a="1"/>
  <c r="CD72" i="44"/>
  <c r="CE72" i="44" a="1"/>
  <c r="CE72" i="44"/>
  <c r="CF72" i="44" a="1"/>
  <c r="CF72" i="44"/>
  <c r="CG72" i="44" a="1"/>
  <c r="CG72" i="44"/>
  <c r="CI72" i="44" a="1"/>
  <c r="CI72" i="44"/>
  <c r="CJ72" i="44" a="1"/>
  <c r="CJ72" i="44"/>
  <c r="CK72" i="44" a="1"/>
  <c r="CK72" i="44"/>
  <c r="CL72" i="44" a="1"/>
  <c r="CL72" i="44"/>
  <c r="CM72" i="44" a="1"/>
  <c r="CM72" i="44"/>
  <c r="CN72" i="44" a="1"/>
  <c r="CN72" i="44"/>
  <c r="CO72" i="44" a="1"/>
  <c r="CO72" i="44"/>
  <c r="CP72" i="44" a="1"/>
  <c r="CP72" i="44"/>
  <c r="CQ72" i="44" a="1"/>
  <c r="CQ72" i="44"/>
  <c r="CS72" i="44" a="1"/>
  <c r="CS72" i="44"/>
  <c r="CT72" i="44" a="1"/>
  <c r="CT72" i="44"/>
  <c r="CU72" i="44" a="1"/>
  <c r="CU72" i="44"/>
  <c r="CV72" i="44" a="1"/>
  <c r="CV72" i="44"/>
  <c r="CW72" i="44" a="1"/>
  <c r="CW72" i="44"/>
  <c r="CX72" i="44" a="1"/>
  <c r="CX72" i="44"/>
  <c r="CY72" i="44" a="1"/>
  <c r="CY72" i="44"/>
  <c r="CZ72" i="44" a="1"/>
  <c r="CZ72" i="44"/>
  <c r="DA72" i="44" a="1"/>
  <c r="DA72" i="44"/>
  <c r="DB72" i="44" a="1"/>
  <c r="DB72" i="44"/>
  <c r="DC72" i="44" a="1"/>
  <c r="DC72" i="44"/>
  <c r="DD72" i="44" a="1"/>
  <c r="DD72" i="44"/>
  <c r="DE72" i="44" a="1"/>
  <c r="DE72" i="44"/>
  <c r="DF72" i="44" a="1"/>
  <c r="DF72" i="44"/>
  <c r="DG72" i="44" a="1"/>
  <c r="DG72" i="44"/>
  <c r="DH72" i="44" a="1"/>
  <c r="DH72" i="44"/>
  <c r="E73" i="44" a="1"/>
  <c r="E73" i="44"/>
  <c r="F73" i="44" a="1"/>
  <c r="F73" i="44"/>
  <c r="G73" i="44" a="1"/>
  <c r="G73" i="44"/>
  <c r="H73" i="44" a="1"/>
  <c r="H73" i="44"/>
  <c r="I73" i="44" a="1"/>
  <c r="I73" i="44"/>
  <c r="J73" i="44" a="1"/>
  <c r="J73" i="44"/>
  <c r="K73" i="44" a="1"/>
  <c r="K73" i="44"/>
  <c r="L73" i="44" a="1"/>
  <c r="L73" i="44"/>
  <c r="M73" i="44" a="1"/>
  <c r="M73" i="44"/>
  <c r="N73" i="44"/>
  <c r="O73" i="44" a="1"/>
  <c r="O73" i="44"/>
  <c r="P73" i="44" a="1"/>
  <c r="P73" i="44"/>
  <c r="Q73" i="44" a="1"/>
  <c r="Q73" i="44"/>
  <c r="R73" i="44" a="1"/>
  <c r="R73" i="44"/>
  <c r="S73" i="44" a="1"/>
  <c r="S73" i="44"/>
  <c r="T73" i="44" a="1"/>
  <c r="T73" i="44"/>
  <c r="U73" i="44" a="1"/>
  <c r="U73" i="44"/>
  <c r="V73" i="44" a="1"/>
  <c r="V73" i="44"/>
  <c r="W73" i="44" a="1"/>
  <c r="W73" i="44"/>
  <c r="Y73" i="44" a="1"/>
  <c r="Y73" i="44"/>
  <c r="Z73" i="44" a="1"/>
  <c r="Z73" i="44"/>
  <c r="AA73" i="44" a="1"/>
  <c r="AA73" i="44"/>
  <c r="AB73" i="44" a="1"/>
  <c r="AB73" i="44"/>
  <c r="AC73" i="44" a="1"/>
  <c r="AC73" i="44"/>
  <c r="AD73" i="44" a="1"/>
  <c r="AD73" i="44"/>
  <c r="AE73" i="44" a="1"/>
  <c r="AE73" i="44"/>
  <c r="AF73" i="44" a="1"/>
  <c r="AF73" i="44"/>
  <c r="AG73" i="44" a="1"/>
  <c r="AG73" i="44"/>
  <c r="AI73" i="44" a="1"/>
  <c r="AI73" i="44"/>
  <c r="AJ73" i="44" a="1"/>
  <c r="AJ73" i="44"/>
  <c r="AK73" i="44" a="1"/>
  <c r="AK73" i="44"/>
  <c r="AL73" i="44" a="1"/>
  <c r="AL73" i="44"/>
  <c r="AM73" i="44" a="1"/>
  <c r="AM73" i="44"/>
  <c r="AN73" i="44" a="1"/>
  <c r="AN73" i="44"/>
  <c r="AO73" i="44" a="1"/>
  <c r="AO73" i="44"/>
  <c r="AP73" i="44" a="1"/>
  <c r="AP73" i="44"/>
  <c r="AQ73" i="44" a="1"/>
  <c r="AQ73" i="44"/>
  <c r="AS73" i="44" a="1"/>
  <c r="AS73" i="44"/>
  <c r="AT73" i="44" a="1"/>
  <c r="AT73" i="44"/>
  <c r="AU73" i="44" a="1"/>
  <c r="AU73" i="44"/>
  <c r="AV73" i="44" a="1"/>
  <c r="AV73" i="44"/>
  <c r="AW73" i="44" a="1"/>
  <c r="AW73" i="44"/>
  <c r="AX73" i="44" a="1"/>
  <c r="AX73" i="44"/>
  <c r="AY73" i="44" a="1"/>
  <c r="AY73" i="44"/>
  <c r="AZ73" i="44" a="1"/>
  <c r="AZ73" i="44"/>
  <c r="BA73" i="44" a="1"/>
  <c r="BA73" i="44"/>
  <c r="BC73" i="44" a="1"/>
  <c r="BC73" i="44"/>
  <c r="BD73" i="44" a="1"/>
  <c r="BD73" i="44"/>
  <c r="BE73" i="44" a="1"/>
  <c r="BE73" i="44"/>
  <c r="BF73" i="44" a="1"/>
  <c r="BF73" i="44"/>
  <c r="BG73" i="44" a="1"/>
  <c r="BG73" i="44"/>
  <c r="BH73" i="44" a="1"/>
  <c r="BH73" i="44"/>
  <c r="BI73" i="44" a="1"/>
  <c r="BI73" i="44"/>
  <c r="BJ73" i="44" a="1"/>
  <c r="BJ73" i="44"/>
  <c r="BK73" i="44" a="1"/>
  <c r="BK73" i="44"/>
  <c r="BO73" i="44" a="1"/>
  <c r="BO73" i="44"/>
  <c r="BP73" i="44" a="1"/>
  <c r="BP73" i="44"/>
  <c r="BQ73" i="44" a="1"/>
  <c r="BQ73" i="44"/>
  <c r="BR73" i="44" a="1"/>
  <c r="BR73" i="44"/>
  <c r="BS73" i="44" a="1"/>
  <c r="BS73" i="44"/>
  <c r="BT73" i="44" a="1"/>
  <c r="BT73" i="44"/>
  <c r="BU73" i="44" a="1"/>
  <c r="BU73" i="44"/>
  <c r="BV73" i="44" a="1"/>
  <c r="BV73" i="44"/>
  <c r="BW73" i="44" a="1"/>
  <c r="BW73" i="44"/>
  <c r="BY73" i="44" a="1"/>
  <c r="BY73" i="44"/>
  <c r="BZ73" i="44" a="1"/>
  <c r="BZ73" i="44"/>
  <c r="CA73" i="44" a="1"/>
  <c r="CA73" i="44"/>
  <c r="CB73" i="44" a="1"/>
  <c r="CB73" i="44"/>
  <c r="CC73" i="44" a="1"/>
  <c r="CC73" i="44"/>
  <c r="CD73" i="44" a="1"/>
  <c r="CD73" i="44"/>
  <c r="CE73" i="44" a="1"/>
  <c r="CE73" i="44"/>
  <c r="CF73" i="44" a="1"/>
  <c r="CF73" i="44"/>
  <c r="CG73" i="44" a="1"/>
  <c r="CG73" i="44"/>
  <c r="CI73" i="44" a="1"/>
  <c r="CI73" i="44"/>
  <c r="CJ73" i="44" a="1"/>
  <c r="CJ73" i="44"/>
  <c r="CK73" i="44" a="1"/>
  <c r="CK73" i="44"/>
  <c r="CL73" i="44" a="1"/>
  <c r="CL73" i="44"/>
  <c r="CM73" i="44" a="1"/>
  <c r="CM73" i="44"/>
  <c r="CN73" i="44" a="1"/>
  <c r="CN73" i="44"/>
  <c r="CO73" i="44" a="1"/>
  <c r="CO73" i="44"/>
  <c r="CP73" i="44" a="1"/>
  <c r="CP73" i="44"/>
  <c r="CQ73" i="44" a="1"/>
  <c r="CQ73" i="44"/>
  <c r="CS73" i="44" a="1"/>
  <c r="CS73" i="44"/>
  <c r="CT73" i="44" a="1"/>
  <c r="CT73" i="44"/>
  <c r="CU73" i="44" a="1"/>
  <c r="CU73" i="44"/>
  <c r="CV73" i="44" a="1"/>
  <c r="CV73" i="44"/>
  <c r="CW73" i="44" a="1"/>
  <c r="CW73" i="44"/>
  <c r="CX73" i="44" a="1"/>
  <c r="CX73" i="44"/>
  <c r="CY73" i="44" a="1"/>
  <c r="CY73" i="44"/>
  <c r="CZ73" i="44" a="1"/>
  <c r="CZ73" i="44"/>
  <c r="DA73" i="44" a="1"/>
  <c r="DA73" i="44"/>
  <c r="DB73" i="44" a="1"/>
  <c r="DB73" i="44"/>
  <c r="DC73" i="44" a="1"/>
  <c r="DC73" i="44"/>
  <c r="DD73" i="44" a="1"/>
  <c r="DD73" i="44"/>
  <c r="DE73" i="44" a="1"/>
  <c r="DE73" i="44"/>
  <c r="DF73" i="44" a="1"/>
  <c r="DF73" i="44"/>
  <c r="DG73" i="44" a="1"/>
  <c r="DG73" i="44"/>
  <c r="DH73" i="44" a="1"/>
  <c r="DH73" i="44"/>
  <c r="E74" i="44" a="1"/>
  <c r="E74" i="44"/>
  <c r="F74" i="44" a="1"/>
  <c r="F74" i="44"/>
  <c r="G74" i="44" a="1"/>
  <c r="G74" i="44"/>
  <c r="H74" i="44" a="1"/>
  <c r="H74" i="44"/>
  <c r="I74" i="44" a="1"/>
  <c r="I74" i="44"/>
  <c r="J74" i="44" a="1"/>
  <c r="J74" i="44"/>
  <c r="K74" i="44" a="1"/>
  <c r="K74" i="44"/>
  <c r="L74" i="44" a="1"/>
  <c r="L74" i="44"/>
  <c r="M74" i="44" a="1"/>
  <c r="M74" i="44"/>
  <c r="N74" i="44"/>
  <c r="O74" i="44" a="1"/>
  <c r="O74" i="44"/>
  <c r="P74" i="44" a="1"/>
  <c r="P74" i="44"/>
  <c r="Q74" i="44" a="1"/>
  <c r="Q74" i="44"/>
  <c r="R74" i="44" a="1"/>
  <c r="R74" i="44"/>
  <c r="S74" i="44" a="1"/>
  <c r="S74" i="44"/>
  <c r="T74" i="44" a="1"/>
  <c r="T74" i="44"/>
  <c r="U74" i="44" a="1"/>
  <c r="U74" i="44"/>
  <c r="V74" i="44" a="1"/>
  <c r="V74" i="44"/>
  <c r="W74" i="44" a="1"/>
  <c r="W74" i="44"/>
  <c r="Y74" i="44" a="1"/>
  <c r="Y74" i="44"/>
  <c r="Z74" i="44" a="1"/>
  <c r="Z74" i="44"/>
  <c r="AA74" i="44" a="1"/>
  <c r="AA74" i="44"/>
  <c r="AB74" i="44" a="1"/>
  <c r="AB74" i="44"/>
  <c r="AC74" i="44" a="1"/>
  <c r="AC74" i="44"/>
  <c r="AD74" i="44" a="1"/>
  <c r="AD74" i="44"/>
  <c r="AE74" i="44" a="1"/>
  <c r="AE74" i="44"/>
  <c r="AF74" i="44" a="1"/>
  <c r="AF74" i="44"/>
  <c r="AG74" i="44" a="1"/>
  <c r="AG74" i="44"/>
  <c r="AI74" i="44" a="1"/>
  <c r="AI74" i="44"/>
  <c r="AJ74" i="44" a="1"/>
  <c r="AJ74" i="44"/>
  <c r="AK74" i="44" a="1"/>
  <c r="AK74" i="44"/>
  <c r="AL74" i="44" a="1"/>
  <c r="AL74" i="44"/>
  <c r="AM74" i="44" a="1"/>
  <c r="AM74" i="44"/>
  <c r="AN74" i="44" a="1"/>
  <c r="AN74" i="44"/>
  <c r="AO74" i="44" a="1"/>
  <c r="AO74" i="44"/>
  <c r="AP74" i="44" a="1"/>
  <c r="AP74" i="44"/>
  <c r="AQ74" i="44" a="1"/>
  <c r="AQ74" i="44"/>
  <c r="AS74" i="44" a="1"/>
  <c r="AS74" i="44"/>
  <c r="AT74" i="44" a="1"/>
  <c r="AT74" i="44"/>
  <c r="AU74" i="44" a="1"/>
  <c r="AU74" i="44"/>
  <c r="AV74" i="44" a="1"/>
  <c r="AV74" i="44"/>
  <c r="AW74" i="44" a="1"/>
  <c r="AW74" i="44"/>
  <c r="AX74" i="44" a="1"/>
  <c r="AX74" i="44"/>
  <c r="AY74" i="44" a="1"/>
  <c r="AY74" i="44"/>
  <c r="AZ74" i="44" a="1"/>
  <c r="AZ74" i="44"/>
  <c r="BA74" i="44" a="1"/>
  <c r="BA74" i="44"/>
  <c r="BC74" i="44" a="1"/>
  <c r="BC74" i="44"/>
  <c r="BD74" i="44" a="1"/>
  <c r="BD74" i="44"/>
  <c r="BE74" i="44" a="1"/>
  <c r="BE74" i="44"/>
  <c r="BF74" i="44" a="1"/>
  <c r="BF74" i="44"/>
  <c r="BG74" i="44" a="1"/>
  <c r="BG74" i="44"/>
  <c r="BH74" i="44" a="1"/>
  <c r="BH74" i="44"/>
  <c r="BI74" i="44" a="1"/>
  <c r="BI74" i="44"/>
  <c r="BJ74" i="44" a="1"/>
  <c r="BJ74" i="44"/>
  <c r="BK74" i="44" a="1"/>
  <c r="BK74" i="44"/>
  <c r="BO74" i="44" a="1"/>
  <c r="BO74" i="44"/>
  <c r="BP74" i="44" a="1"/>
  <c r="BP74" i="44"/>
  <c r="BQ74" i="44" a="1"/>
  <c r="BQ74" i="44"/>
  <c r="BR74" i="44" a="1"/>
  <c r="BR74" i="44"/>
  <c r="BS74" i="44" a="1"/>
  <c r="BS74" i="44"/>
  <c r="BT74" i="44" a="1"/>
  <c r="BT74" i="44"/>
  <c r="BU74" i="44" a="1"/>
  <c r="BU74" i="44"/>
  <c r="BV74" i="44" a="1"/>
  <c r="BV74" i="44"/>
  <c r="BW74" i="44" a="1"/>
  <c r="BW74" i="44"/>
  <c r="BY74" i="44" a="1"/>
  <c r="BY74" i="44"/>
  <c r="BZ74" i="44" a="1"/>
  <c r="BZ74" i="44"/>
  <c r="CA74" i="44" a="1"/>
  <c r="CA74" i="44"/>
  <c r="CB74" i="44" a="1"/>
  <c r="CB74" i="44"/>
  <c r="CC74" i="44" a="1"/>
  <c r="CC74" i="44"/>
  <c r="CD74" i="44" a="1"/>
  <c r="CD74" i="44"/>
  <c r="CE74" i="44" a="1"/>
  <c r="CE74" i="44"/>
  <c r="CF74" i="44" a="1"/>
  <c r="CF74" i="44"/>
  <c r="CG74" i="44" a="1"/>
  <c r="CG74" i="44"/>
  <c r="CI74" i="44" a="1"/>
  <c r="CI74" i="44"/>
  <c r="CJ74" i="44" a="1"/>
  <c r="CJ74" i="44"/>
  <c r="CK74" i="44" a="1"/>
  <c r="CK74" i="44"/>
  <c r="CL74" i="44" a="1"/>
  <c r="CL74" i="44"/>
  <c r="CM74" i="44" a="1"/>
  <c r="CM74" i="44"/>
  <c r="CN74" i="44" a="1"/>
  <c r="CN74" i="44"/>
  <c r="CO74" i="44" a="1"/>
  <c r="CO74" i="44"/>
  <c r="CP74" i="44" a="1"/>
  <c r="CP74" i="44"/>
  <c r="CQ74" i="44" a="1"/>
  <c r="CQ74" i="44"/>
  <c r="CS74" i="44" a="1"/>
  <c r="CS74" i="44"/>
  <c r="CT74" i="44" a="1"/>
  <c r="CT74" i="44"/>
  <c r="CU74" i="44" a="1"/>
  <c r="CU74" i="44"/>
  <c r="CV74" i="44" a="1"/>
  <c r="CV74" i="44"/>
  <c r="CW74" i="44" a="1"/>
  <c r="CW74" i="44"/>
  <c r="CX74" i="44" a="1"/>
  <c r="CX74" i="44"/>
  <c r="CY74" i="44" a="1"/>
  <c r="CY74" i="44"/>
  <c r="CZ74" i="44" a="1"/>
  <c r="CZ74" i="44"/>
  <c r="DA74" i="44" a="1"/>
  <c r="DA74" i="44"/>
  <c r="DB74" i="44" a="1"/>
  <c r="DB74" i="44"/>
  <c r="DC74" i="44" a="1"/>
  <c r="DC74" i="44"/>
  <c r="DD74" i="44" a="1"/>
  <c r="DD74" i="44"/>
  <c r="DE74" i="44" a="1"/>
  <c r="DE74" i="44"/>
  <c r="DF74" i="44" a="1"/>
  <c r="DF74" i="44"/>
  <c r="DG74" i="44" a="1"/>
  <c r="DG74" i="44"/>
  <c r="DH74" i="44" a="1"/>
  <c r="DH74" i="44"/>
  <c r="E75" i="44" a="1"/>
  <c r="E75" i="44"/>
  <c r="F75" i="44" a="1"/>
  <c r="F75" i="44"/>
  <c r="G75" i="44" a="1"/>
  <c r="G75" i="44"/>
  <c r="H75" i="44" a="1"/>
  <c r="H75" i="44"/>
  <c r="I75" i="44" a="1"/>
  <c r="I75" i="44"/>
  <c r="J75" i="44" a="1"/>
  <c r="J75" i="44"/>
  <c r="K75" i="44" a="1"/>
  <c r="K75" i="44"/>
  <c r="L75" i="44" a="1"/>
  <c r="L75" i="44"/>
  <c r="M75" i="44" a="1"/>
  <c r="M75" i="44"/>
  <c r="N75" i="44"/>
  <c r="O75" i="44" a="1"/>
  <c r="O75" i="44"/>
  <c r="P75" i="44" a="1"/>
  <c r="P75" i="44"/>
  <c r="Q75" i="44" a="1"/>
  <c r="Q75" i="44"/>
  <c r="R75" i="44" a="1"/>
  <c r="R75" i="44"/>
  <c r="S75" i="44" a="1"/>
  <c r="S75" i="44"/>
  <c r="T75" i="44" a="1"/>
  <c r="T75" i="44"/>
  <c r="U75" i="44" a="1"/>
  <c r="U75" i="44"/>
  <c r="V75" i="44" a="1"/>
  <c r="V75" i="44"/>
  <c r="W75" i="44" a="1"/>
  <c r="W75" i="44"/>
  <c r="Y75" i="44" a="1"/>
  <c r="Y75" i="44"/>
  <c r="Z75" i="44" a="1"/>
  <c r="Z75" i="44"/>
  <c r="AA75" i="44" a="1"/>
  <c r="AA75" i="44"/>
  <c r="AB75" i="44" a="1"/>
  <c r="AB75" i="44"/>
  <c r="AC75" i="44" a="1"/>
  <c r="AC75" i="44"/>
  <c r="AD75" i="44" a="1"/>
  <c r="AD75" i="44"/>
  <c r="AE75" i="44" a="1"/>
  <c r="AE75" i="44"/>
  <c r="AF75" i="44" a="1"/>
  <c r="AF75" i="44"/>
  <c r="AG75" i="44" a="1"/>
  <c r="AG75" i="44"/>
  <c r="AI75" i="44" a="1"/>
  <c r="AI75" i="44"/>
  <c r="AJ75" i="44" a="1"/>
  <c r="AJ75" i="44"/>
  <c r="AK75" i="44" a="1"/>
  <c r="AK75" i="44"/>
  <c r="AL75" i="44" a="1"/>
  <c r="AL75" i="44"/>
  <c r="AM75" i="44" a="1"/>
  <c r="AM75" i="44"/>
  <c r="AN75" i="44" a="1"/>
  <c r="AN75" i="44"/>
  <c r="AO75" i="44" a="1"/>
  <c r="AO75" i="44"/>
  <c r="AP75" i="44" a="1"/>
  <c r="AP75" i="44"/>
  <c r="AQ75" i="44" a="1"/>
  <c r="AQ75" i="44"/>
  <c r="AS75" i="44" a="1"/>
  <c r="AS75" i="44"/>
  <c r="AT75" i="44" a="1"/>
  <c r="AT75" i="44"/>
  <c r="AU75" i="44" a="1"/>
  <c r="AU75" i="44"/>
  <c r="AV75" i="44" a="1"/>
  <c r="AV75" i="44"/>
  <c r="AW75" i="44" a="1"/>
  <c r="AW75" i="44"/>
  <c r="AX75" i="44" a="1"/>
  <c r="AX75" i="44"/>
  <c r="AY75" i="44" a="1"/>
  <c r="AY75" i="44"/>
  <c r="AZ75" i="44" a="1"/>
  <c r="AZ75" i="44"/>
  <c r="BA75" i="44" a="1"/>
  <c r="BA75" i="44"/>
  <c r="BC75" i="44" a="1"/>
  <c r="BC75" i="44"/>
  <c r="BD75" i="44" a="1"/>
  <c r="BD75" i="44"/>
  <c r="BE75" i="44" a="1"/>
  <c r="BE75" i="44"/>
  <c r="BF75" i="44" a="1"/>
  <c r="BF75" i="44"/>
  <c r="BG75" i="44" a="1"/>
  <c r="BG75" i="44"/>
  <c r="BH75" i="44" a="1"/>
  <c r="BH75" i="44"/>
  <c r="BI75" i="44" a="1"/>
  <c r="BI75" i="44"/>
  <c r="BJ75" i="44" a="1"/>
  <c r="BJ75" i="44"/>
  <c r="BK75" i="44" a="1"/>
  <c r="BK75" i="44"/>
  <c r="BO75" i="44" a="1"/>
  <c r="BO75" i="44"/>
  <c r="BP75" i="44" a="1"/>
  <c r="BP75" i="44"/>
  <c r="BQ75" i="44" a="1"/>
  <c r="BQ75" i="44"/>
  <c r="BR75" i="44" a="1"/>
  <c r="BR75" i="44"/>
  <c r="BS75" i="44" a="1"/>
  <c r="BS75" i="44"/>
  <c r="BT75" i="44" a="1"/>
  <c r="BT75" i="44"/>
  <c r="BU75" i="44" a="1"/>
  <c r="BU75" i="44"/>
  <c r="BV75" i="44" a="1"/>
  <c r="BV75" i="44"/>
  <c r="BW75" i="44" a="1"/>
  <c r="BW75" i="44"/>
  <c r="BY75" i="44" a="1"/>
  <c r="BY75" i="44"/>
  <c r="BZ75" i="44" a="1"/>
  <c r="BZ75" i="44"/>
  <c r="CA75" i="44" a="1"/>
  <c r="CA75" i="44"/>
  <c r="CB75" i="44" a="1"/>
  <c r="CB75" i="44"/>
  <c r="CC75" i="44" a="1"/>
  <c r="CC75" i="44"/>
  <c r="CD75" i="44" a="1"/>
  <c r="CD75" i="44"/>
  <c r="CE75" i="44" a="1"/>
  <c r="CE75" i="44"/>
  <c r="CF75" i="44" a="1"/>
  <c r="CF75" i="44"/>
  <c r="CG75" i="44" a="1"/>
  <c r="CG75" i="44"/>
  <c r="CI75" i="44" a="1"/>
  <c r="CI75" i="44"/>
  <c r="CJ75" i="44" a="1"/>
  <c r="CJ75" i="44"/>
  <c r="CK75" i="44" a="1"/>
  <c r="CK75" i="44"/>
  <c r="CL75" i="44" a="1"/>
  <c r="CL75" i="44"/>
  <c r="CM75" i="44" a="1"/>
  <c r="CM75" i="44"/>
  <c r="CN75" i="44" a="1"/>
  <c r="CN75" i="44"/>
  <c r="CO75" i="44" a="1"/>
  <c r="CO75" i="44"/>
  <c r="CP75" i="44" a="1"/>
  <c r="CP75" i="44"/>
  <c r="CQ75" i="44" a="1"/>
  <c r="CQ75" i="44"/>
  <c r="CS75" i="44" a="1"/>
  <c r="CS75" i="44"/>
  <c r="CT75" i="44" a="1"/>
  <c r="CT75" i="44"/>
  <c r="CU75" i="44" a="1"/>
  <c r="CU75" i="44"/>
  <c r="CV75" i="44" a="1"/>
  <c r="CV75" i="44"/>
  <c r="CW75" i="44" a="1"/>
  <c r="CW75" i="44"/>
  <c r="CX75" i="44" a="1"/>
  <c r="CX75" i="44"/>
  <c r="CY75" i="44" a="1"/>
  <c r="CY75" i="44"/>
  <c r="CZ75" i="44" a="1"/>
  <c r="CZ75" i="44"/>
  <c r="DA75" i="44" a="1"/>
  <c r="DA75" i="44"/>
  <c r="DB75" i="44" a="1"/>
  <c r="DB75" i="44"/>
  <c r="DC75" i="44" a="1"/>
  <c r="DC75" i="44"/>
  <c r="DD75" i="44" a="1"/>
  <c r="DD75" i="44"/>
  <c r="DE75" i="44" a="1"/>
  <c r="DE75" i="44"/>
  <c r="DF75" i="44" a="1"/>
  <c r="DF75" i="44"/>
  <c r="DG75" i="44" a="1"/>
  <c r="DG75" i="44"/>
  <c r="DH75" i="44" a="1"/>
  <c r="DH75" i="44"/>
  <c r="E76" i="44" a="1"/>
  <c r="E76" i="44"/>
  <c r="F76" i="44" a="1"/>
  <c r="F76" i="44"/>
  <c r="G76" i="44" a="1"/>
  <c r="G76" i="44"/>
  <c r="H76" i="44" a="1"/>
  <c r="H76" i="44"/>
  <c r="I76" i="44" a="1"/>
  <c r="I76" i="44"/>
  <c r="J76" i="44" a="1"/>
  <c r="J76" i="44"/>
  <c r="K76" i="44" a="1"/>
  <c r="K76" i="44"/>
  <c r="L76" i="44" a="1"/>
  <c r="L76" i="44"/>
  <c r="M76" i="44" a="1"/>
  <c r="M76" i="44"/>
  <c r="N76" i="44"/>
  <c r="O76" i="44" a="1"/>
  <c r="O76" i="44"/>
  <c r="P76" i="44" a="1"/>
  <c r="P76" i="44"/>
  <c r="Q76" i="44" a="1"/>
  <c r="Q76" i="44"/>
  <c r="R76" i="44" a="1"/>
  <c r="R76" i="44"/>
  <c r="S76" i="44" a="1"/>
  <c r="S76" i="44"/>
  <c r="T76" i="44" a="1"/>
  <c r="T76" i="44"/>
  <c r="U76" i="44" a="1"/>
  <c r="U76" i="44"/>
  <c r="V76" i="44" a="1"/>
  <c r="V76" i="44"/>
  <c r="W76" i="44" a="1"/>
  <c r="W76" i="44"/>
  <c r="Y76" i="44" a="1"/>
  <c r="Y76" i="44"/>
  <c r="Z76" i="44" a="1"/>
  <c r="Z76" i="44"/>
  <c r="AA76" i="44" a="1"/>
  <c r="AA76" i="44"/>
  <c r="AB76" i="44" a="1"/>
  <c r="AB76" i="44"/>
  <c r="AC76" i="44" a="1"/>
  <c r="AC76" i="44"/>
  <c r="AD76" i="44" a="1"/>
  <c r="AD76" i="44"/>
  <c r="AE76" i="44" a="1"/>
  <c r="AE76" i="44"/>
  <c r="AF76" i="44" a="1"/>
  <c r="AF76" i="44"/>
  <c r="AG76" i="44" a="1"/>
  <c r="AG76" i="44"/>
  <c r="AI76" i="44" a="1"/>
  <c r="AI76" i="44"/>
  <c r="AJ76" i="44" a="1"/>
  <c r="AJ76" i="44"/>
  <c r="AK76" i="44" a="1"/>
  <c r="AK76" i="44"/>
  <c r="AL76" i="44" a="1"/>
  <c r="AL76" i="44"/>
  <c r="AM76" i="44" a="1"/>
  <c r="AM76" i="44"/>
  <c r="AN76" i="44" a="1"/>
  <c r="AN76" i="44"/>
  <c r="AO76" i="44" a="1"/>
  <c r="AO76" i="44"/>
  <c r="AP76" i="44" a="1"/>
  <c r="AP76" i="44"/>
  <c r="AQ76" i="44" a="1"/>
  <c r="AQ76" i="44"/>
  <c r="AS76" i="44" a="1"/>
  <c r="AS76" i="44"/>
  <c r="AT76" i="44" a="1"/>
  <c r="AT76" i="44"/>
  <c r="AU76" i="44" a="1"/>
  <c r="AU76" i="44"/>
  <c r="AV76" i="44" a="1"/>
  <c r="AV76" i="44"/>
  <c r="AW76" i="44" a="1"/>
  <c r="AW76" i="44"/>
  <c r="AX76" i="44" a="1"/>
  <c r="AX76" i="44"/>
  <c r="AY76" i="44" a="1"/>
  <c r="AY76" i="44"/>
  <c r="AZ76" i="44" a="1"/>
  <c r="AZ76" i="44"/>
  <c r="BA76" i="44" a="1"/>
  <c r="BA76" i="44"/>
  <c r="BC76" i="44" a="1"/>
  <c r="BC76" i="44"/>
  <c r="BD76" i="44" a="1"/>
  <c r="BD76" i="44"/>
  <c r="BE76" i="44" a="1"/>
  <c r="BE76" i="44"/>
  <c r="BF76" i="44" a="1"/>
  <c r="BF76" i="44"/>
  <c r="BG76" i="44" a="1"/>
  <c r="BG76" i="44"/>
  <c r="BH76" i="44" a="1"/>
  <c r="BH76" i="44"/>
  <c r="BI76" i="44" a="1"/>
  <c r="BI76" i="44"/>
  <c r="BJ76" i="44" a="1"/>
  <c r="BJ76" i="44"/>
  <c r="BK76" i="44" a="1"/>
  <c r="BK76" i="44"/>
  <c r="BO76" i="44" a="1"/>
  <c r="BO76" i="44"/>
  <c r="BP76" i="44" a="1"/>
  <c r="BP76" i="44"/>
  <c r="BQ76" i="44" a="1"/>
  <c r="BQ76" i="44"/>
  <c r="BR76" i="44" a="1"/>
  <c r="BR76" i="44"/>
  <c r="BS76" i="44" a="1"/>
  <c r="BS76" i="44"/>
  <c r="BT76" i="44" a="1"/>
  <c r="BT76" i="44"/>
  <c r="BU76" i="44" a="1"/>
  <c r="BU76" i="44"/>
  <c r="BV76" i="44" a="1"/>
  <c r="BV76" i="44"/>
  <c r="BW76" i="44" a="1"/>
  <c r="BW76" i="44"/>
  <c r="BY76" i="44" a="1"/>
  <c r="BY76" i="44"/>
  <c r="BZ76" i="44" a="1"/>
  <c r="BZ76" i="44"/>
  <c r="CA76" i="44" a="1"/>
  <c r="CA76" i="44"/>
  <c r="CB76" i="44" a="1"/>
  <c r="CB76" i="44"/>
  <c r="CC76" i="44" a="1"/>
  <c r="CC76" i="44"/>
  <c r="CD76" i="44" a="1"/>
  <c r="CD76" i="44"/>
  <c r="CE76" i="44" a="1"/>
  <c r="CE76" i="44"/>
  <c r="CF76" i="44" a="1"/>
  <c r="CF76" i="44"/>
  <c r="CG76" i="44" a="1"/>
  <c r="CG76" i="44"/>
  <c r="CI76" i="44" a="1"/>
  <c r="CI76" i="44"/>
  <c r="CJ76" i="44" a="1"/>
  <c r="CJ76" i="44"/>
  <c r="CK76" i="44" a="1"/>
  <c r="CK76" i="44"/>
  <c r="CL76" i="44" a="1"/>
  <c r="CL76" i="44"/>
  <c r="CM76" i="44" a="1"/>
  <c r="CM76" i="44"/>
  <c r="CN76" i="44" a="1"/>
  <c r="CN76" i="44"/>
  <c r="CO76" i="44" a="1"/>
  <c r="CO76" i="44"/>
  <c r="CP76" i="44" a="1"/>
  <c r="CP76" i="44"/>
  <c r="CQ76" i="44" a="1"/>
  <c r="CQ76" i="44"/>
  <c r="CS76" i="44" a="1"/>
  <c r="CS76" i="44"/>
  <c r="CT76" i="44" a="1"/>
  <c r="CT76" i="44"/>
  <c r="CU76" i="44" a="1"/>
  <c r="CU76" i="44"/>
  <c r="CV76" i="44" a="1"/>
  <c r="CV76" i="44"/>
  <c r="CW76" i="44" a="1"/>
  <c r="CW76" i="44"/>
  <c r="CX76" i="44" a="1"/>
  <c r="CX76" i="44"/>
  <c r="CY76" i="44" a="1"/>
  <c r="CY76" i="44"/>
  <c r="CZ76" i="44" a="1"/>
  <c r="CZ76" i="44"/>
  <c r="DA76" i="44" a="1"/>
  <c r="DA76" i="44"/>
  <c r="DB76" i="44" a="1"/>
  <c r="DB76" i="44"/>
  <c r="DC76" i="44" a="1"/>
  <c r="DC76" i="44"/>
  <c r="DD76" i="44" a="1"/>
  <c r="DD76" i="44"/>
  <c r="DE76" i="44" a="1"/>
  <c r="DE76" i="44"/>
  <c r="DF76" i="44" a="1"/>
  <c r="DF76" i="44"/>
  <c r="DG76" i="44" a="1"/>
  <c r="DG76" i="44"/>
  <c r="DH76" i="44" a="1"/>
  <c r="DH76" i="44"/>
  <c r="E77" i="44" a="1"/>
  <c r="E77" i="44"/>
  <c r="F77" i="44" a="1"/>
  <c r="F77" i="44"/>
  <c r="G77" i="44" a="1"/>
  <c r="G77" i="44"/>
  <c r="H77" i="44" a="1"/>
  <c r="H77" i="44"/>
  <c r="I77" i="44" a="1"/>
  <c r="I77" i="44"/>
  <c r="J77" i="44" a="1"/>
  <c r="J77" i="44"/>
  <c r="K77" i="44" a="1"/>
  <c r="K77" i="44"/>
  <c r="L77" i="44" a="1"/>
  <c r="L77" i="44"/>
  <c r="M77" i="44" a="1"/>
  <c r="M77" i="44"/>
  <c r="N77" i="44"/>
  <c r="O77" i="44" a="1"/>
  <c r="O77" i="44"/>
  <c r="P77" i="44" a="1"/>
  <c r="P77" i="44"/>
  <c r="Q77" i="44" a="1"/>
  <c r="Q77" i="44"/>
  <c r="R77" i="44" a="1"/>
  <c r="R77" i="44"/>
  <c r="S77" i="44" a="1"/>
  <c r="S77" i="44"/>
  <c r="T77" i="44" a="1"/>
  <c r="T77" i="44"/>
  <c r="U77" i="44" a="1"/>
  <c r="U77" i="44"/>
  <c r="V77" i="44" a="1"/>
  <c r="V77" i="44"/>
  <c r="W77" i="44" a="1"/>
  <c r="W77" i="44"/>
  <c r="Y77" i="44" a="1"/>
  <c r="Y77" i="44"/>
  <c r="Z77" i="44" a="1"/>
  <c r="Z77" i="44"/>
  <c r="AA77" i="44" a="1"/>
  <c r="AA77" i="44"/>
  <c r="AB77" i="44" a="1"/>
  <c r="AB77" i="44"/>
  <c r="AC77" i="44" a="1"/>
  <c r="AC77" i="44"/>
  <c r="AD77" i="44" a="1"/>
  <c r="AD77" i="44"/>
  <c r="AE77" i="44" a="1"/>
  <c r="AE77" i="44"/>
  <c r="AF77" i="44" a="1"/>
  <c r="AF77" i="44"/>
  <c r="AG77" i="44" a="1"/>
  <c r="AG77" i="44"/>
  <c r="AI77" i="44" a="1"/>
  <c r="AI77" i="44"/>
  <c r="AJ77" i="44" a="1"/>
  <c r="AJ77" i="44"/>
  <c r="AK77" i="44" a="1"/>
  <c r="AK77" i="44"/>
  <c r="AL77" i="44" a="1"/>
  <c r="AL77" i="44"/>
  <c r="AM77" i="44" a="1"/>
  <c r="AM77" i="44"/>
  <c r="AN77" i="44" a="1"/>
  <c r="AN77" i="44"/>
  <c r="AO77" i="44" a="1"/>
  <c r="AO77" i="44"/>
  <c r="AP77" i="44" a="1"/>
  <c r="AP77" i="44"/>
  <c r="AQ77" i="44" a="1"/>
  <c r="AQ77" i="44"/>
  <c r="AS77" i="44" a="1"/>
  <c r="AS77" i="44"/>
  <c r="AT77" i="44" a="1"/>
  <c r="AT77" i="44"/>
  <c r="AU77" i="44" a="1"/>
  <c r="AU77" i="44"/>
  <c r="AV77" i="44" a="1"/>
  <c r="AV77" i="44"/>
  <c r="AW77" i="44" a="1"/>
  <c r="AW77" i="44"/>
  <c r="AX77" i="44" a="1"/>
  <c r="AX77" i="44"/>
  <c r="AY77" i="44" a="1"/>
  <c r="AY77" i="44"/>
  <c r="AZ77" i="44" a="1"/>
  <c r="AZ77" i="44"/>
  <c r="BA77" i="44" a="1"/>
  <c r="BA77" i="44"/>
  <c r="BO77" i="44" a="1"/>
  <c r="BO77" i="44"/>
  <c r="BP77" i="44" a="1"/>
  <c r="BP77" i="44"/>
  <c r="BQ77" i="44" a="1"/>
  <c r="BQ77" i="44"/>
  <c r="BR77" i="44" a="1"/>
  <c r="BR77" i="44"/>
  <c r="BS77" i="44" a="1"/>
  <c r="BS77" i="44"/>
  <c r="BT77" i="44" a="1"/>
  <c r="BT77" i="44"/>
  <c r="BU77" i="44" a="1"/>
  <c r="BU77" i="44"/>
  <c r="BV77" i="44" a="1"/>
  <c r="BV77" i="44"/>
  <c r="BW77" i="44" a="1"/>
  <c r="BW77" i="44"/>
  <c r="BY77" i="44" a="1"/>
  <c r="BY77" i="44"/>
  <c r="BZ77" i="44" a="1"/>
  <c r="BZ77" i="44"/>
  <c r="CA77" i="44" a="1"/>
  <c r="CA77" i="44"/>
  <c r="CB77" i="44" a="1"/>
  <c r="CB77" i="44"/>
  <c r="CC77" i="44" a="1"/>
  <c r="CC77" i="44"/>
  <c r="CD77" i="44" a="1"/>
  <c r="CD77" i="44"/>
  <c r="CE77" i="44" a="1"/>
  <c r="CE77" i="44"/>
  <c r="CF77" i="44" a="1"/>
  <c r="CF77" i="44"/>
  <c r="CG77" i="44" a="1"/>
  <c r="CG77" i="44"/>
  <c r="CI77" i="44" a="1"/>
  <c r="CI77" i="44"/>
  <c r="CJ77" i="44" a="1"/>
  <c r="CJ77" i="44"/>
  <c r="CK77" i="44" a="1"/>
  <c r="CK77" i="44"/>
  <c r="CL77" i="44" a="1"/>
  <c r="CL77" i="44"/>
  <c r="CM77" i="44" a="1"/>
  <c r="CM77" i="44"/>
  <c r="CN77" i="44" a="1"/>
  <c r="CN77" i="44"/>
  <c r="CO77" i="44" a="1"/>
  <c r="CO77" i="44"/>
  <c r="CP77" i="44" a="1"/>
  <c r="CP77" i="44"/>
  <c r="CQ77" i="44" a="1"/>
  <c r="CQ77" i="44"/>
  <c r="CS77" i="44" a="1"/>
  <c r="CS77" i="44"/>
  <c r="CT77" i="44" a="1"/>
  <c r="CT77" i="44"/>
  <c r="CU77" i="44" a="1"/>
  <c r="CU77" i="44"/>
  <c r="CV77" i="44" a="1"/>
  <c r="CV77" i="44"/>
  <c r="CW77" i="44" a="1"/>
  <c r="CW77" i="44"/>
  <c r="CX77" i="44" a="1"/>
  <c r="CX77" i="44"/>
  <c r="CY77" i="44" a="1"/>
  <c r="CY77" i="44"/>
  <c r="CZ77" i="44" a="1"/>
  <c r="CZ77" i="44"/>
  <c r="DA77" i="44" a="1"/>
  <c r="DA77" i="44"/>
  <c r="DB77" i="44" a="1"/>
  <c r="DB77" i="44"/>
  <c r="DC77" i="44" a="1"/>
  <c r="DC77" i="44"/>
  <c r="DD77" i="44" a="1"/>
  <c r="DD77" i="44"/>
  <c r="DE77" i="44" a="1"/>
  <c r="DE77" i="44"/>
  <c r="DF77" i="44" a="1"/>
  <c r="DF77" i="44"/>
  <c r="DG77" i="44" a="1"/>
  <c r="DG77" i="44"/>
  <c r="DH77" i="44" a="1"/>
  <c r="DH77" i="44"/>
  <c r="E78" i="44" a="1"/>
  <c r="E78" i="44"/>
  <c r="F78" i="44" a="1"/>
  <c r="F78" i="44"/>
  <c r="G78" i="44" a="1"/>
  <c r="G78" i="44"/>
  <c r="H78" i="44" a="1"/>
  <c r="H78" i="44"/>
  <c r="I78" i="44" a="1"/>
  <c r="I78" i="44"/>
  <c r="J78" i="44" a="1"/>
  <c r="J78" i="44"/>
  <c r="K78" i="44" a="1"/>
  <c r="K78" i="44"/>
  <c r="L78" i="44" a="1"/>
  <c r="L78" i="44"/>
  <c r="M78" i="44" a="1"/>
  <c r="M78" i="44"/>
  <c r="N78" i="44"/>
  <c r="O78" i="44" a="1"/>
  <c r="O78" i="44"/>
  <c r="P78" i="44" a="1"/>
  <c r="P78" i="44"/>
  <c r="Q78" i="44" a="1"/>
  <c r="Q78" i="44"/>
  <c r="R78" i="44" a="1"/>
  <c r="R78" i="44"/>
  <c r="S78" i="44" a="1"/>
  <c r="S78" i="44"/>
  <c r="T78" i="44" a="1"/>
  <c r="T78" i="44"/>
  <c r="U78" i="44" a="1"/>
  <c r="U78" i="44"/>
  <c r="V78" i="44" a="1"/>
  <c r="V78" i="44"/>
  <c r="W78" i="44" a="1"/>
  <c r="W78" i="44"/>
  <c r="Y78" i="44" a="1"/>
  <c r="Y78" i="44"/>
  <c r="Z78" i="44" a="1"/>
  <c r="Z78" i="44"/>
  <c r="AA78" i="44" a="1"/>
  <c r="AA78" i="44"/>
  <c r="AB78" i="44" a="1"/>
  <c r="AB78" i="44"/>
  <c r="AC78" i="44" a="1"/>
  <c r="AC78" i="44"/>
  <c r="AD78" i="44" a="1"/>
  <c r="AD78" i="44"/>
  <c r="AE78" i="44" a="1"/>
  <c r="AE78" i="44"/>
  <c r="AF78" i="44" a="1"/>
  <c r="AF78" i="44"/>
  <c r="AG78" i="44" a="1"/>
  <c r="AG78" i="44"/>
  <c r="AI78" i="44" a="1"/>
  <c r="AI78" i="44"/>
  <c r="AJ78" i="44" a="1"/>
  <c r="AJ78" i="44"/>
  <c r="AK78" i="44" a="1"/>
  <c r="AK78" i="44"/>
  <c r="AL78" i="44" a="1"/>
  <c r="AL78" i="44"/>
  <c r="AM78" i="44" a="1"/>
  <c r="AM78" i="44"/>
  <c r="AN78" i="44" a="1"/>
  <c r="AN78" i="44"/>
  <c r="AO78" i="44" a="1"/>
  <c r="AO78" i="44"/>
  <c r="AP78" i="44" a="1"/>
  <c r="AP78" i="44"/>
  <c r="AQ78" i="44" a="1"/>
  <c r="AQ78" i="44"/>
  <c r="AS78" i="44" a="1"/>
  <c r="AS78" i="44"/>
  <c r="AT78" i="44" a="1"/>
  <c r="AT78" i="44"/>
  <c r="AU78" i="44" a="1"/>
  <c r="AU78" i="44"/>
  <c r="AV78" i="44" a="1"/>
  <c r="AV78" i="44"/>
  <c r="AW78" i="44" a="1"/>
  <c r="AW78" i="44"/>
  <c r="AX78" i="44" a="1"/>
  <c r="AX78" i="44"/>
  <c r="AY78" i="44" a="1"/>
  <c r="AY78" i="44"/>
  <c r="AZ78" i="44" a="1"/>
  <c r="AZ78" i="44"/>
  <c r="BA78" i="44" a="1"/>
  <c r="BA78" i="44"/>
  <c r="BO78" i="44" a="1"/>
  <c r="BO78" i="44"/>
  <c r="BP78" i="44" a="1"/>
  <c r="BP78" i="44"/>
  <c r="BQ78" i="44" a="1"/>
  <c r="BQ78" i="44"/>
  <c r="BR78" i="44" a="1"/>
  <c r="BR78" i="44"/>
  <c r="BS78" i="44" a="1"/>
  <c r="BS78" i="44"/>
  <c r="BT78" i="44" a="1"/>
  <c r="BT78" i="44"/>
  <c r="BU78" i="44" a="1"/>
  <c r="BU78" i="44"/>
  <c r="BV78" i="44" a="1"/>
  <c r="BV78" i="44"/>
  <c r="BW78" i="44" a="1"/>
  <c r="BW78" i="44"/>
  <c r="BY78" i="44" a="1"/>
  <c r="BY78" i="44"/>
  <c r="BZ78" i="44" a="1"/>
  <c r="BZ78" i="44"/>
  <c r="CA78" i="44" a="1"/>
  <c r="CA78" i="44"/>
  <c r="CB78" i="44" a="1"/>
  <c r="CB78" i="44"/>
  <c r="CC78" i="44" a="1"/>
  <c r="CC78" i="44"/>
  <c r="CD78" i="44" a="1"/>
  <c r="CD78" i="44"/>
  <c r="CE78" i="44" a="1"/>
  <c r="CE78" i="44"/>
  <c r="CF78" i="44" a="1"/>
  <c r="CF78" i="44"/>
  <c r="CG78" i="44" a="1"/>
  <c r="CG78" i="44"/>
  <c r="CI78" i="44" a="1"/>
  <c r="CI78" i="44"/>
  <c r="CJ78" i="44" a="1"/>
  <c r="CJ78" i="44"/>
  <c r="CK78" i="44" a="1"/>
  <c r="CK78" i="44"/>
  <c r="CL78" i="44" a="1"/>
  <c r="CL78" i="44"/>
  <c r="CM78" i="44" a="1"/>
  <c r="CM78" i="44"/>
  <c r="CN78" i="44" a="1"/>
  <c r="CN78" i="44"/>
  <c r="CO78" i="44" a="1"/>
  <c r="CO78" i="44"/>
  <c r="CP78" i="44" a="1"/>
  <c r="CP78" i="44"/>
  <c r="CQ78" i="44" a="1"/>
  <c r="CQ78" i="44"/>
  <c r="CS78" i="44" a="1"/>
  <c r="CS78" i="44"/>
  <c r="CT78" i="44" a="1"/>
  <c r="CT78" i="44"/>
  <c r="CU78" i="44" a="1"/>
  <c r="CU78" i="44"/>
  <c r="CV78" i="44" a="1"/>
  <c r="CV78" i="44"/>
  <c r="CW78" i="44" a="1"/>
  <c r="CW78" i="44"/>
  <c r="CX78" i="44" a="1"/>
  <c r="CX78" i="44"/>
  <c r="CY78" i="44" a="1"/>
  <c r="CY78" i="44"/>
  <c r="CZ78" i="44" a="1"/>
  <c r="CZ78" i="44"/>
  <c r="DA78" i="44" a="1"/>
  <c r="DA78" i="44"/>
  <c r="DB78" i="44" a="1"/>
  <c r="DB78" i="44"/>
  <c r="DC78" i="44" a="1"/>
  <c r="DC78" i="44"/>
  <c r="DD78" i="44" a="1"/>
  <c r="DD78" i="44"/>
  <c r="DE78" i="44" a="1"/>
  <c r="DE78" i="44"/>
  <c r="DF78" i="44" a="1"/>
  <c r="DF78" i="44"/>
  <c r="DG78" i="44" a="1"/>
  <c r="DG78" i="44"/>
  <c r="DH78" i="44" a="1"/>
  <c r="DH78" i="44"/>
  <c r="E79" i="44" a="1"/>
  <c r="E79" i="44"/>
  <c r="F79" i="44" a="1"/>
  <c r="F79" i="44"/>
  <c r="G79" i="44" a="1"/>
  <c r="G79" i="44"/>
  <c r="H79" i="44" a="1"/>
  <c r="H79" i="44"/>
  <c r="I79" i="44" a="1"/>
  <c r="I79" i="44"/>
  <c r="J79" i="44" a="1"/>
  <c r="J79" i="44"/>
  <c r="K79" i="44" a="1"/>
  <c r="K79" i="44"/>
  <c r="L79" i="44" a="1"/>
  <c r="L79" i="44"/>
  <c r="M79" i="44" a="1"/>
  <c r="M79" i="44"/>
  <c r="N79" i="44"/>
  <c r="O79" i="44" a="1"/>
  <c r="O79" i="44"/>
  <c r="P79" i="44" a="1"/>
  <c r="P79" i="44"/>
  <c r="Q79" i="44" a="1"/>
  <c r="Q79" i="44"/>
  <c r="R79" i="44" a="1"/>
  <c r="R79" i="44"/>
  <c r="S79" i="44" a="1"/>
  <c r="S79" i="44"/>
  <c r="T79" i="44" a="1"/>
  <c r="T79" i="44"/>
  <c r="U79" i="44" a="1"/>
  <c r="U79" i="44"/>
  <c r="V79" i="44" a="1"/>
  <c r="V79" i="44"/>
  <c r="W79" i="44" a="1"/>
  <c r="W79" i="44"/>
  <c r="Y79" i="44" a="1"/>
  <c r="Y79" i="44"/>
  <c r="Z79" i="44" a="1"/>
  <c r="Z79" i="44"/>
  <c r="AA79" i="44" a="1"/>
  <c r="AA79" i="44"/>
  <c r="AB79" i="44" a="1"/>
  <c r="AB79" i="44"/>
  <c r="AC79" i="44" a="1"/>
  <c r="AC79" i="44"/>
  <c r="AD79" i="44" a="1"/>
  <c r="AD79" i="44"/>
  <c r="AE79" i="44" a="1"/>
  <c r="AE79" i="44"/>
  <c r="AF79" i="44" a="1"/>
  <c r="AF79" i="44"/>
  <c r="AG79" i="44" a="1"/>
  <c r="AG79" i="44"/>
  <c r="AI79" i="44" a="1"/>
  <c r="AI79" i="44"/>
  <c r="AJ79" i="44" a="1"/>
  <c r="AJ79" i="44"/>
  <c r="AK79" i="44" a="1"/>
  <c r="AK79" i="44"/>
  <c r="AL79" i="44" a="1"/>
  <c r="AL79" i="44"/>
  <c r="AM79" i="44" a="1"/>
  <c r="AM79" i="44"/>
  <c r="AN79" i="44" a="1"/>
  <c r="AN79" i="44"/>
  <c r="AO79" i="44" a="1"/>
  <c r="AO79" i="44"/>
  <c r="AP79" i="44" a="1"/>
  <c r="AP79" i="44"/>
  <c r="AQ79" i="44" a="1"/>
  <c r="AQ79" i="44"/>
  <c r="AS79" i="44" a="1"/>
  <c r="AS79" i="44"/>
  <c r="AT79" i="44" a="1"/>
  <c r="AT79" i="44"/>
  <c r="AU79" i="44" a="1"/>
  <c r="AU79" i="44"/>
  <c r="AV79" i="44" a="1"/>
  <c r="AV79" i="44"/>
  <c r="AW79" i="44" a="1"/>
  <c r="AW79" i="44"/>
  <c r="AX79" i="44" a="1"/>
  <c r="AX79" i="44"/>
  <c r="AY79" i="44" a="1"/>
  <c r="AY79" i="44"/>
  <c r="AZ79" i="44" a="1"/>
  <c r="AZ79" i="44"/>
  <c r="BA79" i="44" a="1"/>
  <c r="BA79" i="44"/>
  <c r="BO79" i="44" a="1"/>
  <c r="BO79" i="44"/>
  <c r="BP79" i="44" a="1"/>
  <c r="BP79" i="44"/>
  <c r="BQ79" i="44" a="1"/>
  <c r="BQ79" i="44"/>
  <c r="BR79" i="44" a="1"/>
  <c r="BR79" i="44"/>
  <c r="BS79" i="44" a="1"/>
  <c r="BS79" i="44"/>
  <c r="BT79" i="44" a="1"/>
  <c r="BT79" i="44"/>
  <c r="BU79" i="44" a="1"/>
  <c r="BU79" i="44"/>
  <c r="BV79" i="44" a="1"/>
  <c r="BV79" i="44"/>
  <c r="BW79" i="44" a="1"/>
  <c r="BW79" i="44"/>
  <c r="BY79" i="44" a="1"/>
  <c r="BY79" i="44"/>
  <c r="BZ79" i="44" a="1"/>
  <c r="BZ79" i="44"/>
  <c r="CA79" i="44" a="1"/>
  <c r="CA79" i="44"/>
  <c r="CB79" i="44" a="1"/>
  <c r="CB79" i="44"/>
  <c r="CC79" i="44" a="1"/>
  <c r="CC79" i="44"/>
  <c r="CD79" i="44" a="1"/>
  <c r="CD79" i="44"/>
  <c r="CE79" i="44" a="1"/>
  <c r="CE79" i="44"/>
  <c r="CF79" i="44" a="1"/>
  <c r="CF79" i="44"/>
  <c r="CG79" i="44" a="1"/>
  <c r="CG79" i="44"/>
  <c r="CI79" i="44" a="1"/>
  <c r="CI79" i="44"/>
  <c r="CJ79" i="44" a="1"/>
  <c r="CJ79" i="44"/>
  <c r="CK79" i="44" a="1"/>
  <c r="CK79" i="44"/>
  <c r="CL79" i="44" a="1"/>
  <c r="CL79" i="44"/>
  <c r="CM79" i="44" a="1"/>
  <c r="CM79" i="44"/>
  <c r="CN79" i="44" a="1"/>
  <c r="CN79" i="44"/>
  <c r="CO79" i="44" a="1"/>
  <c r="CO79" i="44"/>
  <c r="CP79" i="44" a="1"/>
  <c r="CP79" i="44"/>
  <c r="CQ79" i="44" a="1"/>
  <c r="CQ79" i="44"/>
  <c r="CS79" i="44" a="1"/>
  <c r="CS79" i="44"/>
  <c r="CT79" i="44" a="1"/>
  <c r="CT79" i="44"/>
  <c r="CU79" i="44" a="1"/>
  <c r="CU79" i="44"/>
  <c r="CV79" i="44" a="1"/>
  <c r="CV79" i="44"/>
  <c r="CW79" i="44" a="1"/>
  <c r="CW79" i="44"/>
  <c r="CX79" i="44" a="1"/>
  <c r="CX79" i="44"/>
  <c r="CY79" i="44" a="1"/>
  <c r="CY79" i="44"/>
  <c r="CZ79" i="44" a="1"/>
  <c r="CZ79" i="44"/>
  <c r="DA79" i="44" a="1"/>
  <c r="DA79" i="44"/>
  <c r="DB79" i="44" a="1"/>
  <c r="DB79" i="44"/>
  <c r="DC79" i="44" a="1"/>
  <c r="DC79" i="44"/>
  <c r="DD79" i="44" a="1"/>
  <c r="DD79" i="44"/>
  <c r="DE79" i="44" a="1"/>
  <c r="DE79" i="44"/>
  <c r="DF79" i="44" a="1"/>
  <c r="DF79" i="44"/>
  <c r="DG79" i="44" a="1"/>
  <c r="DG79" i="44"/>
  <c r="DH79" i="44" a="1"/>
  <c r="DH79" i="44"/>
  <c r="E80" i="44" a="1"/>
  <c r="E80" i="44"/>
  <c r="F80" i="44" a="1"/>
  <c r="F80" i="44"/>
  <c r="G80" i="44" a="1"/>
  <c r="G80" i="44"/>
  <c r="H80" i="44" a="1"/>
  <c r="H80" i="44"/>
  <c r="I80" i="44" a="1"/>
  <c r="I80" i="44"/>
  <c r="J80" i="44" a="1"/>
  <c r="J80" i="44"/>
  <c r="K80" i="44" a="1"/>
  <c r="K80" i="44"/>
  <c r="L80" i="44" a="1"/>
  <c r="L80" i="44"/>
  <c r="M80" i="44" a="1"/>
  <c r="M80" i="44"/>
  <c r="N80" i="44"/>
  <c r="O80" i="44" a="1"/>
  <c r="O80" i="44"/>
  <c r="P80" i="44" a="1"/>
  <c r="P80" i="44"/>
  <c r="Q80" i="44" a="1"/>
  <c r="Q80" i="44"/>
  <c r="R80" i="44" a="1"/>
  <c r="R80" i="44"/>
  <c r="S80" i="44" a="1"/>
  <c r="S80" i="44"/>
  <c r="T80" i="44" a="1"/>
  <c r="T80" i="44"/>
  <c r="U80" i="44" a="1"/>
  <c r="U80" i="44"/>
  <c r="V80" i="44" a="1"/>
  <c r="V80" i="44"/>
  <c r="W80" i="44" a="1"/>
  <c r="W80" i="44"/>
  <c r="Y80" i="44" a="1"/>
  <c r="Y80" i="44"/>
  <c r="Z80" i="44" a="1"/>
  <c r="Z80" i="44"/>
  <c r="AA80" i="44" a="1"/>
  <c r="AA80" i="44"/>
  <c r="AB80" i="44" a="1"/>
  <c r="AB80" i="44"/>
  <c r="AC80" i="44" a="1"/>
  <c r="AC80" i="44"/>
  <c r="AD80" i="44" a="1"/>
  <c r="AD80" i="44"/>
  <c r="AE80" i="44" a="1"/>
  <c r="AE80" i="44"/>
  <c r="AF80" i="44" a="1"/>
  <c r="AF80" i="44"/>
  <c r="AG80" i="44" a="1"/>
  <c r="AG80" i="44"/>
  <c r="AI80" i="44" a="1"/>
  <c r="AI80" i="44"/>
  <c r="AJ80" i="44" a="1"/>
  <c r="AJ80" i="44"/>
  <c r="AK80" i="44" a="1"/>
  <c r="AK80" i="44"/>
  <c r="AL80" i="44" a="1"/>
  <c r="AL80" i="44"/>
  <c r="AM80" i="44" a="1"/>
  <c r="AM80" i="44"/>
  <c r="AN80" i="44" a="1"/>
  <c r="AN80" i="44"/>
  <c r="AO80" i="44" a="1"/>
  <c r="AO80" i="44"/>
  <c r="AP80" i="44" a="1"/>
  <c r="AP80" i="44"/>
  <c r="AQ80" i="44" a="1"/>
  <c r="AQ80" i="44"/>
  <c r="AS80" i="44" a="1"/>
  <c r="AS80" i="44"/>
  <c r="AT80" i="44" a="1"/>
  <c r="AT80" i="44"/>
  <c r="AU80" i="44" a="1"/>
  <c r="AU80" i="44"/>
  <c r="AV80" i="44" a="1"/>
  <c r="AV80" i="44"/>
  <c r="AW80" i="44" a="1"/>
  <c r="AW80" i="44"/>
  <c r="AX80" i="44" a="1"/>
  <c r="AX80" i="44"/>
  <c r="AY80" i="44" a="1"/>
  <c r="AY80" i="44"/>
  <c r="AZ80" i="44" a="1"/>
  <c r="AZ80" i="44"/>
  <c r="BA80" i="44" a="1"/>
  <c r="BA80" i="44"/>
  <c r="BO80" i="44" a="1"/>
  <c r="BO80" i="44"/>
  <c r="BP80" i="44" a="1"/>
  <c r="BP80" i="44"/>
  <c r="BQ80" i="44" a="1"/>
  <c r="BQ80" i="44"/>
  <c r="BR80" i="44" a="1"/>
  <c r="BR80" i="44"/>
  <c r="BS80" i="44" a="1"/>
  <c r="BS80" i="44"/>
  <c r="BT80" i="44" a="1"/>
  <c r="BT80" i="44"/>
  <c r="BU80" i="44" a="1"/>
  <c r="BU80" i="44"/>
  <c r="BV80" i="44" a="1"/>
  <c r="BV80" i="44"/>
  <c r="BW80" i="44" a="1"/>
  <c r="BW80" i="44"/>
  <c r="BY80" i="44" a="1"/>
  <c r="BY80" i="44"/>
  <c r="BZ80" i="44" a="1"/>
  <c r="BZ80" i="44"/>
  <c r="CA80" i="44" a="1"/>
  <c r="CA80" i="44"/>
  <c r="CB80" i="44" a="1"/>
  <c r="CB80" i="44"/>
  <c r="CC80" i="44" a="1"/>
  <c r="CC80" i="44"/>
  <c r="CD80" i="44" a="1"/>
  <c r="CD80" i="44"/>
  <c r="CE80" i="44" a="1"/>
  <c r="CE80" i="44"/>
  <c r="CF80" i="44" a="1"/>
  <c r="CF80" i="44"/>
  <c r="CG80" i="44" a="1"/>
  <c r="CG80" i="44"/>
  <c r="CI80" i="44" a="1"/>
  <c r="CI80" i="44"/>
  <c r="CJ80" i="44" a="1"/>
  <c r="CJ80" i="44"/>
  <c r="CK80" i="44" a="1"/>
  <c r="CK80" i="44"/>
  <c r="CL80" i="44" a="1"/>
  <c r="CL80" i="44"/>
  <c r="CM80" i="44" a="1"/>
  <c r="CM80" i="44"/>
  <c r="CN80" i="44" a="1"/>
  <c r="CN80" i="44"/>
  <c r="CO80" i="44" a="1"/>
  <c r="CO80" i="44"/>
  <c r="CP80" i="44" a="1"/>
  <c r="CP80" i="44"/>
  <c r="CQ80" i="44" a="1"/>
  <c r="CQ80" i="44"/>
  <c r="CS80" i="44" a="1"/>
  <c r="CS80" i="44"/>
  <c r="CT80" i="44" a="1"/>
  <c r="CT80" i="44"/>
  <c r="CU80" i="44" a="1"/>
  <c r="CU80" i="44"/>
  <c r="CV80" i="44" a="1"/>
  <c r="CV80" i="44"/>
  <c r="CW80" i="44" a="1"/>
  <c r="CW80" i="44"/>
  <c r="CX80" i="44" a="1"/>
  <c r="CX80" i="44"/>
  <c r="CY80" i="44" a="1"/>
  <c r="CY80" i="44"/>
  <c r="CZ80" i="44" a="1"/>
  <c r="CZ80" i="44"/>
  <c r="DA80" i="44" a="1"/>
  <c r="DA80" i="44"/>
  <c r="DB80" i="44" a="1"/>
  <c r="DB80" i="44"/>
  <c r="DC80" i="44" a="1"/>
  <c r="DC80" i="44"/>
  <c r="DD80" i="44" a="1"/>
  <c r="DD80" i="44"/>
  <c r="DE80" i="44" a="1"/>
  <c r="DE80" i="44"/>
  <c r="DF80" i="44" a="1"/>
  <c r="DF80" i="44"/>
  <c r="DG80" i="44" a="1"/>
  <c r="DG80" i="44"/>
  <c r="DH80" i="44" a="1"/>
  <c r="DH80" i="44"/>
  <c r="E81" i="44" a="1"/>
  <c r="E81" i="44"/>
  <c r="F81" i="44" a="1"/>
  <c r="F81" i="44"/>
  <c r="G81" i="44" a="1"/>
  <c r="G81" i="44"/>
  <c r="H81" i="44" a="1"/>
  <c r="H81" i="44"/>
  <c r="I81" i="44" a="1"/>
  <c r="I81" i="44"/>
  <c r="J81" i="44" a="1"/>
  <c r="J81" i="44"/>
  <c r="K81" i="44" a="1"/>
  <c r="K81" i="44"/>
  <c r="L81" i="44" a="1"/>
  <c r="L81" i="44"/>
  <c r="M81" i="44" a="1"/>
  <c r="M81" i="44"/>
  <c r="N81" i="44"/>
  <c r="O81" i="44" a="1"/>
  <c r="O81" i="44"/>
  <c r="P81" i="44" a="1"/>
  <c r="P81" i="44"/>
  <c r="Q81" i="44" a="1"/>
  <c r="Q81" i="44"/>
  <c r="R81" i="44" a="1"/>
  <c r="R81" i="44"/>
  <c r="S81" i="44" a="1"/>
  <c r="S81" i="44"/>
  <c r="T81" i="44" a="1"/>
  <c r="T81" i="44"/>
  <c r="U81" i="44" a="1"/>
  <c r="U81" i="44"/>
  <c r="V81" i="44" a="1"/>
  <c r="V81" i="44"/>
  <c r="W81" i="44" a="1"/>
  <c r="W81" i="44"/>
  <c r="Y81" i="44" a="1"/>
  <c r="Y81" i="44"/>
  <c r="Z81" i="44" a="1"/>
  <c r="Z81" i="44"/>
  <c r="AA81" i="44" a="1"/>
  <c r="AA81" i="44"/>
  <c r="AB81" i="44" a="1"/>
  <c r="AB81" i="44"/>
  <c r="AC81" i="44" a="1"/>
  <c r="AC81" i="44"/>
  <c r="AD81" i="44" a="1"/>
  <c r="AD81" i="44"/>
  <c r="AE81" i="44" a="1"/>
  <c r="AE81" i="44"/>
  <c r="AF81" i="44" a="1"/>
  <c r="AF81" i="44"/>
  <c r="AG81" i="44" a="1"/>
  <c r="AG81" i="44"/>
  <c r="AI81" i="44" a="1"/>
  <c r="AI81" i="44"/>
  <c r="AJ81" i="44" a="1"/>
  <c r="AJ81" i="44"/>
  <c r="AK81" i="44" a="1"/>
  <c r="AK81" i="44"/>
  <c r="AL81" i="44" a="1"/>
  <c r="AL81" i="44"/>
  <c r="AM81" i="44" a="1"/>
  <c r="AM81" i="44"/>
  <c r="AN81" i="44" a="1"/>
  <c r="AN81" i="44"/>
  <c r="AO81" i="44" a="1"/>
  <c r="AO81" i="44"/>
  <c r="AP81" i="44" a="1"/>
  <c r="AP81" i="44"/>
  <c r="AQ81" i="44" a="1"/>
  <c r="AQ81" i="44"/>
  <c r="AS81" i="44" a="1"/>
  <c r="AS81" i="44"/>
  <c r="AT81" i="44" a="1"/>
  <c r="AT81" i="44"/>
  <c r="AU81" i="44" a="1"/>
  <c r="AU81" i="44"/>
  <c r="AV81" i="44" a="1"/>
  <c r="AV81" i="44"/>
  <c r="AW81" i="44" a="1"/>
  <c r="AW81" i="44"/>
  <c r="AX81" i="44" a="1"/>
  <c r="AX81" i="44"/>
  <c r="AY81" i="44" a="1"/>
  <c r="AY81" i="44"/>
  <c r="AZ81" i="44" a="1"/>
  <c r="AZ81" i="44"/>
  <c r="BA81" i="44" a="1"/>
  <c r="BA81" i="44"/>
  <c r="BO81" i="44" a="1"/>
  <c r="BO81" i="44"/>
  <c r="BP81" i="44" a="1"/>
  <c r="BP81" i="44"/>
  <c r="BQ81" i="44" a="1"/>
  <c r="BQ81" i="44"/>
  <c r="BR81" i="44" a="1"/>
  <c r="BR81" i="44"/>
  <c r="BS81" i="44" a="1"/>
  <c r="BS81" i="44"/>
  <c r="BT81" i="44" a="1"/>
  <c r="BT81" i="44"/>
  <c r="BU81" i="44" a="1"/>
  <c r="BU81" i="44"/>
  <c r="BV81" i="44" a="1"/>
  <c r="BV81" i="44"/>
  <c r="BW81" i="44" a="1"/>
  <c r="BW81" i="44"/>
  <c r="BY81" i="44" a="1"/>
  <c r="BY81" i="44"/>
  <c r="BZ81" i="44" a="1"/>
  <c r="BZ81" i="44"/>
  <c r="CA81" i="44" a="1"/>
  <c r="CA81" i="44"/>
  <c r="CB81" i="44" a="1"/>
  <c r="CB81" i="44"/>
  <c r="CC81" i="44" a="1"/>
  <c r="CC81" i="44"/>
  <c r="CD81" i="44" a="1"/>
  <c r="CD81" i="44"/>
  <c r="CE81" i="44" a="1"/>
  <c r="CE81" i="44"/>
  <c r="CF81" i="44" a="1"/>
  <c r="CF81" i="44"/>
  <c r="CG81" i="44" a="1"/>
  <c r="CG81" i="44"/>
  <c r="CI81" i="44" a="1"/>
  <c r="CI81" i="44"/>
  <c r="CJ81" i="44" a="1"/>
  <c r="CJ81" i="44"/>
  <c r="CK81" i="44" a="1"/>
  <c r="CK81" i="44"/>
  <c r="CL81" i="44" a="1"/>
  <c r="CL81" i="44"/>
  <c r="CM81" i="44" a="1"/>
  <c r="CM81" i="44"/>
  <c r="CN81" i="44" a="1"/>
  <c r="CN81" i="44"/>
  <c r="CO81" i="44" a="1"/>
  <c r="CO81" i="44"/>
  <c r="CP81" i="44" a="1"/>
  <c r="CP81" i="44"/>
  <c r="CQ81" i="44" a="1"/>
  <c r="CQ81" i="44"/>
  <c r="CS81" i="44" a="1"/>
  <c r="CS81" i="44"/>
  <c r="CT81" i="44" a="1"/>
  <c r="CT81" i="44"/>
  <c r="CU81" i="44" a="1"/>
  <c r="CU81" i="44"/>
  <c r="CV81" i="44" a="1"/>
  <c r="CV81" i="44"/>
  <c r="CW81" i="44" a="1"/>
  <c r="CW81" i="44"/>
  <c r="CX81" i="44" a="1"/>
  <c r="CX81" i="44"/>
  <c r="CY81" i="44" a="1"/>
  <c r="CY81" i="44"/>
  <c r="CZ81" i="44" a="1"/>
  <c r="CZ81" i="44"/>
  <c r="DA81" i="44" a="1"/>
  <c r="DA81" i="44"/>
  <c r="DB81" i="44" a="1"/>
  <c r="DB81" i="44"/>
  <c r="DC81" i="44" a="1"/>
  <c r="DC81" i="44"/>
  <c r="DD81" i="44" a="1"/>
  <c r="DD81" i="44"/>
  <c r="DE81" i="44" a="1"/>
  <c r="DE81" i="44"/>
  <c r="DF81" i="44" a="1"/>
  <c r="DF81" i="44"/>
  <c r="DG81" i="44" a="1"/>
  <c r="DG81" i="44"/>
  <c r="DH81" i="44" a="1"/>
  <c r="DH81" i="44"/>
  <c r="E82" i="44" a="1"/>
  <c r="E82" i="44"/>
  <c r="F82" i="44" a="1"/>
  <c r="F82" i="44"/>
  <c r="G82" i="44" a="1"/>
  <c r="G82" i="44"/>
  <c r="H82" i="44" a="1"/>
  <c r="H82" i="44"/>
  <c r="I82" i="44" a="1"/>
  <c r="I82" i="44"/>
  <c r="J82" i="44" a="1"/>
  <c r="J82" i="44"/>
  <c r="K82" i="44" a="1"/>
  <c r="K82" i="44"/>
  <c r="L82" i="44" a="1"/>
  <c r="L82" i="44"/>
  <c r="M82" i="44" a="1"/>
  <c r="M82" i="44"/>
  <c r="N82" i="44"/>
  <c r="O82" i="44" a="1"/>
  <c r="O82" i="44"/>
  <c r="P82" i="44" a="1"/>
  <c r="P82" i="44"/>
  <c r="Q82" i="44" a="1"/>
  <c r="Q82" i="44"/>
  <c r="R82" i="44" a="1"/>
  <c r="R82" i="44"/>
  <c r="S82" i="44" a="1"/>
  <c r="S82" i="44"/>
  <c r="T82" i="44" a="1"/>
  <c r="T82" i="44"/>
  <c r="U82" i="44" a="1"/>
  <c r="U82" i="44"/>
  <c r="V82" i="44" a="1"/>
  <c r="V82" i="44"/>
  <c r="W82" i="44" a="1"/>
  <c r="W82" i="44"/>
  <c r="Y82" i="44" a="1"/>
  <c r="Y82" i="44"/>
  <c r="Z82" i="44" a="1"/>
  <c r="Z82" i="44"/>
  <c r="AA82" i="44" a="1"/>
  <c r="AA82" i="44"/>
  <c r="AB82" i="44" a="1"/>
  <c r="AB82" i="44"/>
  <c r="AC82" i="44" a="1"/>
  <c r="AC82" i="44"/>
  <c r="AD82" i="44" a="1"/>
  <c r="AD82" i="44"/>
  <c r="AE82" i="44" a="1"/>
  <c r="AE82" i="44"/>
  <c r="AF82" i="44" a="1"/>
  <c r="AF82" i="44"/>
  <c r="AG82" i="44" a="1"/>
  <c r="AG82" i="44"/>
  <c r="AI82" i="44" a="1"/>
  <c r="AI82" i="44"/>
  <c r="AJ82" i="44" a="1"/>
  <c r="AJ82" i="44"/>
  <c r="AK82" i="44" a="1"/>
  <c r="AK82" i="44"/>
  <c r="AL82" i="44" a="1"/>
  <c r="AL82" i="44"/>
  <c r="AM82" i="44" a="1"/>
  <c r="AM82" i="44"/>
  <c r="AN82" i="44" a="1"/>
  <c r="AN82" i="44"/>
  <c r="AO82" i="44" a="1"/>
  <c r="AO82" i="44"/>
  <c r="AP82" i="44" a="1"/>
  <c r="AP82" i="44"/>
  <c r="AQ82" i="44" a="1"/>
  <c r="AQ82" i="44"/>
  <c r="AS82" i="44" a="1"/>
  <c r="AS82" i="44"/>
  <c r="AT82" i="44" a="1"/>
  <c r="AT82" i="44"/>
  <c r="AU82" i="44" a="1"/>
  <c r="AU82" i="44"/>
  <c r="AV82" i="44" a="1"/>
  <c r="AV82" i="44"/>
  <c r="AW82" i="44" a="1"/>
  <c r="AW82" i="44"/>
  <c r="AX82" i="44" a="1"/>
  <c r="AX82" i="44"/>
  <c r="AY82" i="44" a="1"/>
  <c r="AY82" i="44"/>
  <c r="AZ82" i="44" a="1"/>
  <c r="AZ82" i="44"/>
  <c r="BA82" i="44" a="1"/>
  <c r="BA82" i="44"/>
  <c r="BO82" i="44" a="1"/>
  <c r="BO82" i="44"/>
  <c r="BP82" i="44" a="1"/>
  <c r="BP82" i="44"/>
  <c r="BQ82" i="44" a="1"/>
  <c r="BQ82" i="44"/>
  <c r="BR82" i="44" a="1"/>
  <c r="BR82" i="44"/>
  <c r="BS82" i="44" a="1"/>
  <c r="BS82" i="44"/>
  <c r="BT82" i="44" a="1"/>
  <c r="BT82" i="44"/>
  <c r="BU82" i="44" a="1"/>
  <c r="BU82" i="44"/>
  <c r="BV82" i="44" a="1"/>
  <c r="BV82" i="44"/>
  <c r="BW82" i="44" a="1"/>
  <c r="BW82" i="44"/>
  <c r="BY82" i="44" a="1"/>
  <c r="BY82" i="44"/>
  <c r="BZ82" i="44" a="1"/>
  <c r="BZ82" i="44"/>
  <c r="CA82" i="44" a="1"/>
  <c r="CA82" i="44"/>
  <c r="CB82" i="44" a="1"/>
  <c r="CB82" i="44"/>
  <c r="CC82" i="44" a="1"/>
  <c r="CC82" i="44"/>
  <c r="CD82" i="44" a="1"/>
  <c r="CD82" i="44"/>
  <c r="CE82" i="44" a="1"/>
  <c r="CE82" i="44"/>
  <c r="CF82" i="44" a="1"/>
  <c r="CF82" i="44"/>
  <c r="CG82" i="44" a="1"/>
  <c r="CG82" i="44"/>
  <c r="CI82" i="44" a="1"/>
  <c r="CI82" i="44"/>
  <c r="CJ82" i="44" a="1"/>
  <c r="CJ82" i="44"/>
  <c r="CK82" i="44" a="1"/>
  <c r="CK82" i="44"/>
  <c r="CL82" i="44" a="1"/>
  <c r="CL82" i="44"/>
  <c r="CM82" i="44" a="1"/>
  <c r="CM82" i="44"/>
  <c r="CN82" i="44" a="1"/>
  <c r="CN82" i="44"/>
  <c r="CO82" i="44" a="1"/>
  <c r="CO82" i="44"/>
  <c r="CP82" i="44" a="1"/>
  <c r="CP82" i="44"/>
  <c r="CQ82" i="44" a="1"/>
  <c r="CQ82" i="44"/>
  <c r="CS82" i="44" a="1"/>
  <c r="CS82" i="44"/>
  <c r="CT82" i="44" a="1"/>
  <c r="CT82" i="44"/>
  <c r="CU82" i="44" a="1"/>
  <c r="CU82" i="44"/>
  <c r="CV82" i="44" a="1"/>
  <c r="CV82" i="44"/>
  <c r="CW82" i="44" a="1"/>
  <c r="CW82" i="44"/>
  <c r="CX82" i="44" a="1"/>
  <c r="CX82" i="44"/>
  <c r="CY82" i="44" a="1"/>
  <c r="CY82" i="44"/>
  <c r="CZ82" i="44" a="1"/>
  <c r="CZ82" i="44"/>
  <c r="DA82" i="44" a="1"/>
  <c r="DA82" i="44"/>
  <c r="DB82" i="44" a="1"/>
  <c r="DB82" i="44"/>
  <c r="DC82" i="44" a="1"/>
  <c r="DC82" i="44"/>
  <c r="DD82" i="44" a="1"/>
  <c r="DD82" i="44"/>
  <c r="DE82" i="44" a="1"/>
  <c r="DE82" i="44"/>
  <c r="DF82" i="44" a="1"/>
  <c r="DF82" i="44"/>
  <c r="DG82" i="44" a="1"/>
  <c r="DG82" i="44"/>
  <c r="DH82" i="44" a="1"/>
  <c r="DH82" i="44"/>
  <c r="E83" i="44" a="1"/>
  <c r="E83" i="44"/>
  <c r="F83" i="44" a="1"/>
  <c r="F83" i="44"/>
  <c r="G83" i="44" a="1"/>
  <c r="G83" i="44"/>
  <c r="H83" i="44" a="1"/>
  <c r="H83" i="44"/>
  <c r="I83" i="44" a="1"/>
  <c r="I83" i="44"/>
  <c r="J83" i="44" a="1"/>
  <c r="J83" i="44"/>
  <c r="K83" i="44" a="1"/>
  <c r="K83" i="44"/>
  <c r="L83" i="44" a="1"/>
  <c r="L83" i="44"/>
  <c r="M83" i="44" a="1"/>
  <c r="M83" i="44"/>
  <c r="N83" i="44"/>
  <c r="O83" i="44" a="1"/>
  <c r="O83" i="44"/>
  <c r="P83" i="44" a="1"/>
  <c r="P83" i="44"/>
  <c r="Q83" i="44" a="1"/>
  <c r="Q83" i="44"/>
  <c r="R83" i="44" a="1"/>
  <c r="R83" i="44"/>
  <c r="S83" i="44" a="1"/>
  <c r="S83" i="44"/>
  <c r="T83" i="44" a="1"/>
  <c r="T83" i="44"/>
  <c r="U83" i="44" a="1"/>
  <c r="U83" i="44"/>
  <c r="V83" i="44" a="1"/>
  <c r="V83" i="44"/>
  <c r="W83" i="44" a="1"/>
  <c r="W83" i="44"/>
  <c r="Y83" i="44" a="1"/>
  <c r="Y83" i="44"/>
  <c r="Z83" i="44" a="1"/>
  <c r="Z83" i="44"/>
  <c r="AA83" i="44" a="1"/>
  <c r="AA83" i="44"/>
  <c r="AB83" i="44" a="1"/>
  <c r="AB83" i="44"/>
  <c r="AC83" i="44" a="1"/>
  <c r="AC83" i="44"/>
  <c r="AD83" i="44" a="1"/>
  <c r="AD83" i="44"/>
  <c r="AE83" i="44" a="1"/>
  <c r="AE83" i="44"/>
  <c r="AF83" i="44" a="1"/>
  <c r="AF83" i="44"/>
  <c r="AG83" i="44" a="1"/>
  <c r="AG83" i="44"/>
  <c r="AI83" i="44" a="1"/>
  <c r="AI83" i="44"/>
  <c r="AJ83" i="44" a="1"/>
  <c r="AJ83" i="44"/>
  <c r="AK83" i="44" a="1"/>
  <c r="AK83" i="44"/>
  <c r="AL83" i="44" a="1"/>
  <c r="AL83" i="44"/>
  <c r="AM83" i="44" a="1"/>
  <c r="AM83" i="44"/>
  <c r="AN83" i="44" a="1"/>
  <c r="AN83" i="44"/>
  <c r="AO83" i="44" a="1"/>
  <c r="AO83" i="44"/>
  <c r="AP83" i="44" a="1"/>
  <c r="AP83" i="44"/>
  <c r="AQ83" i="44" a="1"/>
  <c r="AQ83" i="44"/>
  <c r="AS83" i="44" a="1"/>
  <c r="AS83" i="44"/>
  <c r="AT83" i="44" a="1"/>
  <c r="AT83" i="44"/>
  <c r="AU83" i="44" a="1"/>
  <c r="AU83" i="44"/>
  <c r="AV83" i="44" a="1"/>
  <c r="AV83" i="44"/>
  <c r="AW83" i="44" a="1"/>
  <c r="AW83" i="44"/>
  <c r="AX83" i="44" a="1"/>
  <c r="AX83" i="44"/>
  <c r="AY83" i="44" a="1"/>
  <c r="AY83" i="44"/>
  <c r="AZ83" i="44" a="1"/>
  <c r="AZ83" i="44"/>
  <c r="BA83" i="44" a="1"/>
  <c r="BA83" i="44"/>
  <c r="BO83" i="44" a="1"/>
  <c r="BO83" i="44"/>
  <c r="BP83" i="44" a="1"/>
  <c r="BP83" i="44"/>
  <c r="BQ83" i="44" a="1"/>
  <c r="BQ83" i="44"/>
  <c r="BR83" i="44" a="1"/>
  <c r="BR83" i="44"/>
  <c r="BS83" i="44" a="1"/>
  <c r="BS83" i="44"/>
  <c r="BT83" i="44" a="1"/>
  <c r="BT83" i="44"/>
  <c r="BU83" i="44" a="1"/>
  <c r="BU83" i="44"/>
  <c r="BV83" i="44" a="1"/>
  <c r="BV83" i="44"/>
  <c r="BW83" i="44" a="1"/>
  <c r="BW83" i="44"/>
  <c r="BY83" i="44" a="1"/>
  <c r="BY83" i="44"/>
  <c r="BZ83" i="44" a="1"/>
  <c r="BZ83" i="44"/>
  <c r="CA83" i="44" a="1"/>
  <c r="CA83" i="44"/>
  <c r="CB83" i="44" a="1"/>
  <c r="CB83" i="44"/>
  <c r="CC83" i="44" a="1"/>
  <c r="CC83" i="44"/>
  <c r="CD83" i="44" a="1"/>
  <c r="CD83" i="44"/>
  <c r="CE83" i="44" a="1"/>
  <c r="CE83" i="44"/>
  <c r="CF83" i="44" a="1"/>
  <c r="CF83" i="44"/>
  <c r="CG83" i="44" a="1"/>
  <c r="CG83" i="44"/>
  <c r="CI83" i="44" a="1"/>
  <c r="CI83" i="44"/>
  <c r="CJ83" i="44" a="1"/>
  <c r="CJ83" i="44"/>
  <c r="CK83" i="44" a="1"/>
  <c r="CK83" i="44"/>
  <c r="CL83" i="44" a="1"/>
  <c r="CL83" i="44"/>
  <c r="CM83" i="44" a="1"/>
  <c r="CM83" i="44"/>
  <c r="CN83" i="44" a="1"/>
  <c r="CN83" i="44"/>
  <c r="CO83" i="44" a="1"/>
  <c r="CO83" i="44"/>
  <c r="CP83" i="44" a="1"/>
  <c r="CP83" i="44"/>
  <c r="CQ83" i="44" a="1"/>
  <c r="CQ83" i="44"/>
  <c r="CS83" i="44" a="1"/>
  <c r="CS83" i="44"/>
  <c r="CT83" i="44" a="1"/>
  <c r="CT83" i="44"/>
  <c r="CU83" i="44" a="1"/>
  <c r="CU83" i="44"/>
  <c r="CV83" i="44" a="1"/>
  <c r="CV83" i="44"/>
  <c r="CW83" i="44" a="1"/>
  <c r="CW83" i="44"/>
  <c r="CX83" i="44" a="1"/>
  <c r="CX83" i="44"/>
  <c r="CY83" i="44" a="1"/>
  <c r="CY83" i="44"/>
  <c r="CZ83" i="44" a="1"/>
  <c r="CZ83" i="44"/>
  <c r="DA83" i="44" a="1"/>
  <c r="DA83" i="44"/>
  <c r="DB83" i="44" a="1"/>
  <c r="DB83" i="44"/>
  <c r="DC83" i="44" a="1"/>
  <c r="DC83" i="44"/>
  <c r="DD83" i="44" a="1"/>
  <c r="DD83" i="44"/>
  <c r="DE83" i="44" a="1"/>
  <c r="DE83" i="44"/>
  <c r="DF83" i="44" a="1"/>
  <c r="DF83" i="44"/>
  <c r="DG83" i="44" a="1"/>
  <c r="DG83" i="44"/>
  <c r="DH83" i="44" a="1"/>
  <c r="DH83" i="44"/>
  <c r="E84" i="44" a="1"/>
  <c r="E84" i="44"/>
  <c r="F84" i="44" a="1"/>
  <c r="F84" i="44"/>
  <c r="G84" i="44" a="1"/>
  <c r="G84" i="44"/>
  <c r="H84" i="44" a="1"/>
  <c r="H84" i="44"/>
  <c r="I84" i="44" a="1"/>
  <c r="I84" i="44"/>
  <c r="J84" i="44" a="1"/>
  <c r="J84" i="44"/>
  <c r="K84" i="44" a="1"/>
  <c r="K84" i="44"/>
  <c r="L84" i="44" a="1"/>
  <c r="L84" i="44"/>
  <c r="M84" i="44" a="1"/>
  <c r="M84" i="44"/>
  <c r="N84" i="44"/>
  <c r="O84" i="44" a="1"/>
  <c r="O84" i="44"/>
  <c r="P84" i="44" a="1"/>
  <c r="P84" i="44"/>
  <c r="Q84" i="44" a="1"/>
  <c r="Q84" i="44"/>
  <c r="R84" i="44" a="1"/>
  <c r="R84" i="44"/>
  <c r="S84" i="44" a="1"/>
  <c r="S84" i="44"/>
  <c r="T84" i="44" a="1"/>
  <c r="T84" i="44"/>
  <c r="U84" i="44" a="1"/>
  <c r="U84" i="44"/>
  <c r="V84" i="44" a="1"/>
  <c r="V84" i="44"/>
  <c r="W84" i="44" a="1"/>
  <c r="W84" i="44"/>
  <c r="Y84" i="44" a="1"/>
  <c r="Y84" i="44"/>
  <c r="Z84" i="44" a="1"/>
  <c r="Z84" i="44"/>
  <c r="AA84" i="44" a="1"/>
  <c r="AA84" i="44"/>
  <c r="AB84" i="44" a="1"/>
  <c r="AB84" i="44"/>
  <c r="AC84" i="44" a="1"/>
  <c r="AC84" i="44"/>
  <c r="AD84" i="44" a="1"/>
  <c r="AD84" i="44"/>
  <c r="AE84" i="44" a="1"/>
  <c r="AE84" i="44"/>
  <c r="AF84" i="44" a="1"/>
  <c r="AF84" i="44"/>
  <c r="AG84" i="44" a="1"/>
  <c r="AG84" i="44"/>
  <c r="AI84" i="44" a="1"/>
  <c r="AI84" i="44"/>
  <c r="AJ84" i="44" a="1"/>
  <c r="AJ84" i="44"/>
  <c r="AK84" i="44" a="1"/>
  <c r="AK84" i="44"/>
  <c r="AL84" i="44" a="1"/>
  <c r="AL84" i="44"/>
  <c r="AM84" i="44" a="1"/>
  <c r="AM84" i="44"/>
  <c r="AN84" i="44" a="1"/>
  <c r="AN84" i="44"/>
  <c r="AO84" i="44" a="1"/>
  <c r="AO84" i="44"/>
  <c r="AP84" i="44" a="1"/>
  <c r="AP84" i="44"/>
  <c r="AQ84" i="44" a="1"/>
  <c r="AQ84" i="44"/>
  <c r="AS84" i="44" a="1"/>
  <c r="AS84" i="44"/>
  <c r="AT84" i="44" a="1"/>
  <c r="AT84" i="44"/>
  <c r="AU84" i="44" a="1"/>
  <c r="AU84" i="44"/>
  <c r="AV84" i="44" a="1"/>
  <c r="AV84" i="44"/>
  <c r="AW84" i="44" a="1"/>
  <c r="AW84" i="44"/>
  <c r="AX84" i="44" a="1"/>
  <c r="AX84" i="44"/>
  <c r="AY84" i="44" a="1"/>
  <c r="AY84" i="44"/>
  <c r="AZ84" i="44" a="1"/>
  <c r="AZ84" i="44"/>
  <c r="BA84" i="44" a="1"/>
  <c r="BA84" i="44"/>
  <c r="BO84" i="44" a="1"/>
  <c r="BO84" i="44"/>
  <c r="BP84" i="44" a="1"/>
  <c r="BP84" i="44"/>
  <c r="BQ84" i="44" a="1"/>
  <c r="BQ84" i="44"/>
  <c r="BR84" i="44" a="1"/>
  <c r="BR84" i="44"/>
  <c r="BS84" i="44" a="1"/>
  <c r="BS84" i="44"/>
  <c r="BT84" i="44" a="1"/>
  <c r="BT84" i="44"/>
  <c r="BU84" i="44" a="1"/>
  <c r="BU84" i="44"/>
  <c r="BV84" i="44" a="1"/>
  <c r="BV84" i="44"/>
  <c r="BW84" i="44" a="1"/>
  <c r="BW84" i="44"/>
  <c r="BY84" i="44" a="1"/>
  <c r="BY84" i="44"/>
  <c r="BZ84" i="44" a="1"/>
  <c r="BZ84" i="44"/>
  <c r="CA84" i="44" a="1"/>
  <c r="CA84" i="44"/>
  <c r="CB84" i="44" a="1"/>
  <c r="CB84" i="44"/>
  <c r="CC84" i="44" a="1"/>
  <c r="CC84" i="44"/>
  <c r="CD84" i="44" a="1"/>
  <c r="CD84" i="44"/>
  <c r="CE84" i="44" a="1"/>
  <c r="CE84" i="44"/>
  <c r="CF84" i="44" a="1"/>
  <c r="CF84" i="44"/>
  <c r="CG84" i="44" a="1"/>
  <c r="CG84" i="44"/>
  <c r="CI84" i="44" a="1"/>
  <c r="CI84" i="44"/>
  <c r="CJ84" i="44" a="1"/>
  <c r="CJ84" i="44"/>
  <c r="CK84" i="44" a="1"/>
  <c r="CK84" i="44"/>
  <c r="CL84" i="44" a="1"/>
  <c r="CL84" i="44"/>
  <c r="CM84" i="44" a="1"/>
  <c r="CM84" i="44"/>
  <c r="CN84" i="44" a="1"/>
  <c r="CN84" i="44"/>
  <c r="CO84" i="44" a="1"/>
  <c r="CO84" i="44"/>
  <c r="CP84" i="44" a="1"/>
  <c r="CP84" i="44"/>
  <c r="CQ84" i="44" a="1"/>
  <c r="CQ84" i="44"/>
  <c r="CS84" i="44" a="1"/>
  <c r="CS84" i="44"/>
  <c r="CT84" i="44" a="1"/>
  <c r="CT84" i="44"/>
  <c r="CU84" i="44" a="1"/>
  <c r="CU84" i="44"/>
  <c r="CV84" i="44" a="1"/>
  <c r="CV84" i="44"/>
  <c r="CW84" i="44" a="1"/>
  <c r="CW84" i="44"/>
  <c r="CX84" i="44" a="1"/>
  <c r="CX84" i="44"/>
  <c r="CY84" i="44" a="1"/>
  <c r="CY84" i="44"/>
  <c r="CZ84" i="44" a="1"/>
  <c r="CZ84" i="44"/>
  <c r="DA84" i="44" a="1"/>
  <c r="DA84" i="44"/>
  <c r="DB84" i="44" a="1"/>
  <c r="DB84" i="44"/>
  <c r="DC84" i="44" a="1"/>
  <c r="DC84" i="44"/>
  <c r="DD84" i="44" a="1"/>
  <c r="DD84" i="44"/>
  <c r="DE84" i="44" a="1"/>
  <c r="DE84" i="44"/>
  <c r="DF84" i="44" a="1"/>
  <c r="DF84" i="44"/>
  <c r="DG84" i="44" a="1"/>
  <c r="DG84" i="44"/>
  <c r="DH84" i="44" a="1"/>
  <c r="DH84" i="44"/>
  <c r="E85" i="44" a="1"/>
  <c r="E85" i="44"/>
  <c r="F85" i="44" a="1"/>
  <c r="F85" i="44"/>
  <c r="G85" i="44" a="1"/>
  <c r="G85" i="44"/>
  <c r="H85" i="44" a="1"/>
  <c r="H85" i="44"/>
  <c r="I85" i="44" a="1"/>
  <c r="I85" i="44"/>
  <c r="J85" i="44" a="1"/>
  <c r="J85" i="44"/>
  <c r="K85" i="44" a="1"/>
  <c r="K85" i="44"/>
  <c r="L85" i="44" a="1"/>
  <c r="L85" i="44"/>
  <c r="M85" i="44" a="1"/>
  <c r="M85" i="44"/>
  <c r="N85" i="44"/>
  <c r="O85" i="44" a="1"/>
  <c r="O85" i="44"/>
  <c r="P85" i="44" a="1"/>
  <c r="P85" i="44"/>
  <c r="Q85" i="44" a="1"/>
  <c r="Q85" i="44"/>
  <c r="R85" i="44" a="1"/>
  <c r="R85" i="44"/>
  <c r="S85" i="44" a="1"/>
  <c r="S85" i="44"/>
  <c r="T85" i="44" a="1"/>
  <c r="T85" i="44"/>
  <c r="U85" i="44" a="1"/>
  <c r="U85" i="44"/>
  <c r="V85" i="44" a="1"/>
  <c r="V85" i="44"/>
  <c r="W85" i="44" a="1"/>
  <c r="W85" i="44"/>
  <c r="Y85" i="44" a="1"/>
  <c r="Y85" i="44"/>
  <c r="Z85" i="44" a="1"/>
  <c r="Z85" i="44"/>
  <c r="AA85" i="44" a="1"/>
  <c r="AA85" i="44"/>
  <c r="AB85" i="44" a="1"/>
  <c r="AB85" i="44"/>
  <c r="AC85" i="44" a="1"/>
  <c r="AC85" i="44"/>
  <c r="AD85" i="44" a="1"/>
  <c r="AD85" i="44"/>
  <c r="AE85" i="44" a="1"/>
  <c r="AE85" i="44"/>
  <c r="AF85" i="44" a="1"/>
  <c r="AF85" i="44"/>
  <c r="AG85" i="44" a="1"/>
  <c r="AG85" i="44"/>
  <c r="AI85" i="44" a="1"/>
  <c r="AI85" i="44"/>
  <c r="AJ85" i="44" a="1"/>
  <c r="AJ85" i="44"/>
  <c r="AK85" i="44" a="1"/>
  <c r="AK85" i="44"/>
  <c r="AL85" i="44" a="1"/>
  <c r="AL85" i="44"/>
  <c r="AM85" i="44" a="1"/>
  <c r="AM85" i="44"/>
  <c r="AN85" i="44" a="1"/>
  <c r="AN85" i="44"/>
  <c r="AO85" i="44" a="1"/>
  <c r="AO85" i="44"/>
  <c r="AP85" i="44" a="1"/>
  <c r="AP85" i="44"/>
  <c r="AQ85" i="44" a="1"/>
  <c r="AQ85" i="44"/>
  <c r="AS85" i="44" a="1"/>
  <c r="AS85" i="44"/>
  <c r="AT85" i="44" a="1"/>
  <c r="AT85" i="44"/>
  <c r="AU85" i="44" a="1"/>
  <c r="AU85" i="44"/>
  <c r="AV85" i="44" a="1"/>
  <c r="AV85" i="44"/>
  <c r="AW85" i="44" a="1"/>
  <c r="AW85" i="44"/>
  <c r="AX85" i="44" a="1"/>
  <c r="AX85" i="44"/>
  <c r="AY85" i="44" a="1"/>
  <c r="AY85" i="44"/>
  <c r="AZ85" i="44" a="1"/>
  <c r="AZ85" i="44"/>
  <c r="BA85" i="44" a="1"/>
  <c r="BA85" i="44"/>
  <c r="BO85" i="44" a="1"/>
  <c r="BO85" i="44"/>
  <c r="BP85" i="44" a="1"/>
  <c r="BP85" i="44"/>
  <c r="BQ85" i="44" a="1"/>
  <c r="BQ85" i="44"/>
  <c r="BR85" i="44" a="1"/>
  <c r="BR85" i="44"/>
  <c r="BS85" i="44" a="1"/>
  <c r="BS85" i="44"/>
  <c r="BT85" i="44" a="1"/>
  <c r="BT85" i="44"/>
  <c r="BU85" i="44" a="1"/>
  <c r="BU85" i="44"/>
  <c r="BV85" i="44" a="1"/>
  <c r="BV85" i="44"/>
  <c r="BW85" i="44" a="1"/>
  <c r="BW85" i="44"/>
  <c r="BY85" i="44" a="1"/>
  <c r="BY85" i="44"/>
  <c r="BZ85" i="44" a="1"/>
  <c r="BZ85" i="44"/>
  <c r="CA85" i="44" a="1"/>
  <c r="CA85" i="44"/>
  <c r="CB85" i="44" a="1"/>
  <c r="CB85" i="44"/>
  <c r="CC85" i="44" a="1"/>
  <c r="CC85" i="44"/>
  <c r="CD85" i="44" a="1"/>
  <c r="CD85" i="44"/>
  <c r="CE85" i="44" a="1"/>
  <c r="CE85" i="44"/>
  <c r="CF85" i="44" a="1"/>
  <c r="CF85" i="44"/>
  <c r="CG85" i="44" a="1"/>
  <c r="CG85" i="44"/>
  <c r="CI85" i="44" a="1"/>
  <c r="CI85" i="44"/>
  <c r="CJ85" i="44" a="1"/>
  <c r="CJ85" i="44"/>
  <c r="CK85" i="44" a="1"/>
  <c r="CK85" i="44"/>
  <c r="CL85" i="44" a="1"/>
  <c r="CL85" i="44"/>
  <c r="CM85" i="44" a="1"/>
  <c r="CM85" i="44"/>
  <c r="CN85" i="44" a="1"/>
  <c r="CN85" i="44"/>
  <c r="CO85" i="44" a="1"/>
  <c r="CO85" i="44"/>
  <c r="CP85" i="44" a="1"/>
  <c r="CP85" i="44"/>
  <c r="CQ85" i="44" a="1"/>
  <c r="CQ85" i="44"/>
  <c r="CS85" i="44" a="1"/>
  <c r="CS85" i="44"/>
  <c r="CT85" i="44" a="1"/>
  <c r="CT85" i="44"/>
  <c r="CU85" i="44" a="1"/>
  <c r="CU85" i="44"/>
  <c r="CV85" i="44" a="1"/>
  <c r="CV85" i="44"/>
  <c r="CW85" i="44" a="1"/>
  <c r="CW85" i="44"/>
  <c r="CX85" i="44" a="1"/>
  <c r="CX85" i="44"/>
  <c r="CY85" i="44" a="1"/>
  <c r="CY85" i="44"/>
  <c r="CZ85" i="44" a="1"/>
  <c r="CZ85" i="44"/>
  <c r="DA85" i="44" a="1"/>
  <c r="DA85" i="44"/>
  <c r="DB85" i="44" a="1"/>
  <c r="DB85" i="44"/>
  <c r="DC85" i="44" a="1"/>
  <c r="DC85" i="44"/>
  <c r="DD85" i="44" a="1"/>
  <c r="DD85" i="44"/>
  <c r="DE85" i="44" a="1"/>
  <c r="DE85" i="44"/>
  <c r="DF85" i="44" a="1"/>
  <c r="DF85" i="44"/>
  <c r="DG85" i="44" a="1"/>
  <c r="DG85" i="44"/>
  <c r="DH85" i="44" a="1"/>
  <c r="DH85" i="44"/>
  <c r="E86" i="44" a="1"/>
  <c r="E86" i="44"/>
  <c r="F86" i="44" a="1"/>
  <c r="F86" i="44"/>
  <c r="G86" i="44" a="1"/>
  <c r="G86" i="44"/>
  <c r="H86" i="44" a="1"/>
  <c r="H86" i="44"/>
  <c r="I86" i="44" a="1"/>
  <c r="I86" i="44"/>
  <c r="J86" i="44" a="1"/>
  <c r="J86" i="44"/>
  <c r="K86" i="44" a="1"/>
  <c r="K86" i="44"/>
  <c r="L86" i="44" a="1"/>
  <c r="L86" i="44"/>
  <c r="M86" i="44" a="1"/>
  <c r="M86" i="44"/>
  <c r="N86" i="44"/>
  <c r="O86" i="44" a="1"/>
  <c r="O86" i="44"/>
  <c r="P86" i="44" a="1"/>
  <c r="P86" i="44"/>
  <c r="Q86" i="44" a="1"/>
  <c r="Q86" i="44"/>
  <c r="R86" i="44" a="1"/>
  <c r="R86" i="44"/>
  <c r="S86" i="44" a="1"/>
  <c r="S86" i="44"/>
  <c r="T86" i="44" a="1"/>
  <c r="T86" i="44"/>
  <c r="U86" i="44" a="1"/>
  <c r="U86" i="44"/>
  <c r="V86" i="44" a="1"/>
  <c r="V86" i="44"/>
  <c r="W86" i="44" a="1"/>
  <c r="W86" i="44"/>
  <c r="Y86" i="44" a="1"/>
  <c r="Y86" i="44"/>
  <c r="Z86" i="44" a="1"/>
  <c r="Z86" i="44"/>
  <c r="AA86" i="44" a="1"/>
  <c r="AA86" i="44"/>
  <c r="AB86" i="44" a="1"/>
  <c r="AB86" i="44"/>
  <c r="AC86" i="44" a="1"/>
  <c r="AC86" i="44"/>
  <c r="AD86" i="44" a="1"/>
  <c r="AD86" i="44"/>
  <c r="AE86" i="44" a="1"/>
  <c r="AE86" i="44"/>
  <c r="AF86" i="44" a="1"/>
  <c r="AF86" i="44"/>
  <c r="AG86" i="44" a="1"/>
  <c r="AG86" i="44"/>
  <c r="AI86" i="44" a="1"/>
  <c r="AI86" i="44"/>
  <c r="AJ86" i="44" a="1"/>
  <c r="AJ86" i="44"/>
  <c r="AK86" i="44" a="1"/>
  <c r="AK86" i="44"/>
  <c r="AL86" i="44" a="1"/>
  <c r="AL86" i="44"/>
  <c r="AM86" i="44" a="1"/>
  <c r="AM86" i="44"/>
  <c r="AN86" i="44" a="1"/>
  <c r="AN86" i="44"/>
  <c r="AO86" i="44" a="1"/>
  <c r="AO86" i="44"/>
  <c r="AP86" i="44" a="1"/>
  <c r="AP86" i="44"/>
  <c r="AQ86" i="44" a="1"/>
  <c r="AQ86" i="44"/>
  <c r="AS86" i="44" a="1"/>
  <c r="AS86" i="44"/>
  <c r="AT86" i="44" a="1"/>
  <c r="AT86" i="44"/>
  <c r="AU86" i="44" a="1"/>
  <c r="AU86" i="44"/>
  <c r="AV86" i="44" a="1"/>
  <c r="AV86" i="44"/>
  <c r="AW86" i="44" a="1"/>
  <c r="AW86" i="44"/>
  <c r="AX86" i="44" a="1"/>
  <c r="AX86" i="44"/>
  <c r="AY86" i="44" a="1"/>
  <c r="AY86" i="44"/>
  <c r="AZ86" i="44" a="1"/>
  <c r="AZ86" i="44"/>
  <c r="BA86" i="44" a="1"/>
  <c r="BA86" i="44"/>
  <c r="BO86" i="44" a="1"/>
  <c r="BO86" i="44"/>
  <c r="BP86" i="44" a="1"/>
  <c r="BP86" i="44"/>
  <c r="BQ86" i="44" a="1"/>
  <c r="BQ86" i="44"/>
  <c r="BR86" i="44" a="1"/>
  <c r="BR86" i="44"/>
  <c r="BS86" i="44" a="1"/>
  <c r="BS86" i="44"/>
  <c r="BT86" i="44" a="1"/>
  <c r="BT86" i="44"/>
  <c r="BU86" i="44" a="1"/>
  <c r="BU86" i="44"/>
  <c r="BV86" i="44" a="1"/>
  <c r="BV86" i="44"/>
  <c r="BW86" i="44" a="1"/>
  <c r="BW86" i="44"/>
  <c r="BY86" i="44" a="1"/>
  <c r="BY86" i="44"/>
  <c r="BZ86" i="44" a="1"/>
  <c r="BZ86" i="44"/>
  <c r="CA86" i="44" a="1"/>
  <c r="CA86" i="44"/>
  <c r="CB86" i="44" a="1"/>
  <c r="CB86" i="44"/>
  <c r="CC86" i="44" a="1"/>
  <c r="CC86" i="44"/>
  <c r="CD86" i="44" a="1"/>
  <c r="CD86" i="44"/>
  <c r="CE86" i="44" a="1"/>
  <c r="CE86" i="44"/>
  <c r="CF86" i="44" a="1"/>
  <c r="CF86" i="44"/>
  <c r="CG86" i="44" a="1"/>
  <c r="CG86" i="44"/>
  <c r="CI86" i="44" a="1"/>
  <c r="CI86" i="44"/>
  <c r="CJ86" i="44" a="1"/>
  <c r="CJ86" i="44"/>
  <c r="CK86" i="44" a="1"/>
  <c r="CK86" i="44"/>
  <c r="CL86" i="44" a="1"/>
  <c r="CL86" i="44"/>
  <c r="CM86" i="44" a="1"/>
  <c r="CM86" i="44"/>
  <c r="CN86" i="44" a="1"/>
  <c r="CN86" i="44"/>
  <c r="CO86" i="44" a="1"/>
  <c r="CO86" i="44"/>
  <c r="CP86" i="44" a="1"/>
  <c r="CP86" i="44"/>
  <c r="CQ86" i="44" a="1"/>
  <c r="CQ86" i="44"/>
  <c r="CS86" i="44" a="1"/>
  <c r="CS86" i="44"/>
  <c r="CT86" i="44" a="1"/>
  <c r="CT86" i="44"/>
  <c r="CU86" i="44" a="1"/>
  <c r="CU86" i="44"/>
  <c r="CV86" i="44" a="1"/>
  <c r="CV86" i="44"/>
  <c r="CW86" i="44" a="1"/>
  <c r="CW86" i="44"/>
  <c r="CX86" i="44" a="1"/>
  <c r="CX86" i="44"/>
  <c r="CY86" i="44" a="1"/>
  <c r="CY86" i="44"/>
  <c r="CZ86" i="44" a="1"/>
  <c r="CZ86" i="44"/>
  <c r="DA86" i="44" a="1"/>
  <c r="DA86" i="44"/>
  <c r="DB86" i="44" a="1"/>
  <c r="DB86" i="44"/>
  <c r="DC86" i="44" a="1"/>
  <c r="DC86" i="44"/>
  <c r="DD86" i="44" a="1"/>
  <c r="DD86" i="44"/>
  <c r="DE86" i="44" a="1"/>
  <c r="DE86" i="44"/>
  <c r="DF86" i="44" a="1"/>
  <c r="DF86" i="44"/>
  <c r="DG86" i="44" a="1"/>
  <c r="DG86" i="44"/>
  <c r="DH86" i="44" a="1"/>
  <c r="DH86" i="44"/>
  <c r="E87" i="44" a="1"/>
  <c r="E87" i="44"/>
  <c r="F87" i="44" a="1"/>
  <c r="F87" i="44"/>
  <c r="G87" i="44" a="1"/>
  <c r="G87" i="44"/>
  <c r="H87" i="44" a="1"/>
  <c r="H87" i="44"/>
  <c r="I87" i="44" a="1"/>
  <c r="I87" i="44"/>
  <c r="J87" i="44" a="1"/>
  <c r="J87" i="44"/>
  <c r="K87" i="44" a="1"/>
  <c r="K87" i="44"/>
  <c r="L87" i="44" a="1"/>
  <c r="L87" i="44"/>
  <c r="M87" i="44" a="1"/>
  <c r="M87" i="44"/>
  <c r="N87" i="44"/>
  <c r="O87" i="44" a="1"/>
  <c r="O87" i="44"/>
  <c r="P87" i="44" a="1"/>
  <c r="P87" i="44"/>
  <c r="Q87" i="44" a="1"/>
  <c r="Q87" i="44"/>
  <c r="R87" i="44" a="1"/>
  <c r="R87" i="44"/>
  <c r="S87" i="44" a="1"/>
  <c r="S87" i="44"/>
  <c r="T87" i="44" a="1"/>
  <c r="T87" i="44"/>
  <c r="U87" i="44" a="1"/>
  <c r="U87" i="44"/>
  <c r="V87" i="44" a="1"/>
  <c r="V87" i="44"/>
  <c r="W87" i="44" a="1"/>
  <c r="W87" i="44"/>
  <c r="Y87" i="44" a="1"/>
  <c r="Y87" i="44"/>
  <c r="Z87" i="44" a="1"/>
  <c r="Z87" i="44"/>
  <c r="AA87" i="44" a="1"/>
  <c r="AA87" i="44"/>
  <c r="AB87" i="44" a="1"/>
  <c r="AB87" i="44"/>
  <c r="AC87" i="44" a="1"/>
  <c r="AC87" i="44"/>
  <c r="AD87" i="44" a="1"/>
  <c r="AD87" i="44"/>
  <c r="AE87" i="44" a="1"/>
  <c r="AE87" i="44"/>
  <c r="AF87" i="44" a="1"/>
  <c r="AF87" i="44"/>
  <c r="AG87" i="44" a="1"/>
  <c r="AG87" i="44"/>
  <c r="AI87" i="44" a="1"/>
  <c r="AI87" i="44"/>
  <c r="AJ87" i="44" a="1"/>
  <c r="AJ87" i="44"/>
  <c r="AK87" i="44" a="1"/>
  <c r="AK87" i="44"/>
  <c r="AL87" i="44" a="1"/>
  <c r="AL87" i="44"/>
  <c r="AM87" i="44" a="1"/>
  <c r="AM87" i="44"/>
  <c r="AN87" i="44" a="1"/>
  <c r="AN87" i="44"/>
  <c r="AO87" i="44" a="1"/>
  <c r="AO87" i="44"/>
  <c r="AP87" i="44" a="1"/>
  <c r="AP87" i="44"/>
  <c r="AQ87" i="44" a="1"/>
  <c r="AQ87" i="44"/>
  <c r="AS87" i="44" a="1"/>
  <c r="AS87" i="44"/>
  <c r="AT87" i="44" a="1"/>
  <c r="AT87" i="44"/>
  <c r="AU87" i="44" a="1"/>
  <c r="AU87" i="44"/>
  <c r="AV87" i="44" a="1"/>
  <c r="AV87" i="44"/>
  <c r="AW87" i="44" a="1"/>
  <c r="AW87" i="44"/>
  <c r="AX87" i="44" a="1"/>
  <c r="AX87" i="44"/>
  <c r="AY87" i="44" a="1"/>
  <c r="AY87" i="44"/>
  <c r="AZ87" i="44" a="1"/>
  <c r="AZ87" i="44"/>
  <c r="BA87" i="44" a="1"/>
  <c r="BA87" i="44"/>
  <c r="BO87" i="44" a="1"/>
  <c r="BO87" i="44"/>
  <c r="BP87" i="44" a="1"/>
  <c r="BP87" i="44"/>
  <c r="BQ87" i="44" a="1"/>
  <c r="BQ87" i="44"/>
  <c r="BR87" i="44" a="1"/>
  <c r="BR87" i="44"/>
  <c r="BS87" i="44" a="1"/>
  <c r="BS87" i="44"/>
  <c r="BT87" i="44" a="1"/>
  <c r="BT87" i="44"/>
  <c r="BU87" i="44" a="1"/>
  <c r="BU87" i="44"/>
  <c r="BV87" i="44" a="1"/>
  <c r="BV87" i="44"/>
  <c r="BW87" i="44" a="1"/>
  <c r="BW87" i="44"/>
  <c r="BY87" i="44" a="1"/>
  <c r="BY87" i="44"/>
  <c r="BZ87" i="44" a="1"/>
  <c r="BZ87" i="44"/>
  <c r="CA87" i="44" a="1"/>
  <c r="CA87" i="44"/>
  <c r="CB87" i="44" a="1"/>
  <c r="CB87" i="44"/>
  <c r="CC87" i="44" a="1"/>
  <c r="CC87" i="44"/>
  <c r="CD87" i="44" a="1"/>
  <c r="CD87" i="44"/>
  <c r="CE87" i="44" a="1"/>
  <c r="CE87" i="44"/>
  <c r="CF87" i="44" a="1"/>
  <c r="CF87" i="44"/>
  <c r="CG87" i="44" a="1"/>
  <c r="CG87" i="44"/>
  <c r="CI87" i="44" a="1"/>
  <c r="CI87" i="44"/>
  <c r="CJ87" i="44" a="1"/>
  <c r="CJ87" i="44"/>
  <c r="CK87" i="44" a="1"/>
  <c r="CK87" i="44"/>
  <c r="CL87" i="44" a="1"/>
  <c r="CL87" i="44"/>
  <c r="CM87" i="44" a="1"/>
  <c r="CM87" i="44"/>
  <c r="CN87" i="44" a="1"/>
  <c r="CN87" i="44"/>
  <c r="CO87" i="44" a="1"/>
  <c r="CO87" i="44"/>
  <c r="CP87" i="44" a="1"/>
  <c r="CP87" i="44"/>
  <c r="CQ87" i="44" a="1"/>
  <c r="CQ87" i="44"/>
  <c r="CS87" i="44" a="1"/>
  <c r="CS87" i="44"/>
  <c r="CT87" i="44" a="1"/>
  <c r="CT87" i="44"/>
  <c r="CU87" i="44" a="1"/>
  <c r="CU87" i="44"/>
  <c r="CV87" i="44" a="1"/>
  <c r="CV87" i="44"/>
  <c r="CW87" i="44" a="1"/>
  <c r="CW87" i="44"/>
  <c r="CX87" i="44" a="1"/>
  <c r="CX87" i="44"/>
  <c r="CY87" i="44" a="1"/>
  <c r="CY87" i="44"/>
  <c r="CZ87" i="44" a="1"/>
  <c r="CZ87" i="44"/>
  <c r="DA87" i="44" a="1"/>
  <c r="DA87" i="44"/>
  <c r="DB87" i="44" a="1"/>
  <c r="DB87" i="44"/>
  <c r="DC87" i="44" a="1"/>
  <c r="DC87" i="44"/>
  <c r="DD87" i="44" a="1"/>
  <c r="DD87" i="44"/>
  <c r="DE87" i="44" a="1"/>
  <c r="DE87" i="44"/>
  <c r="DF87" i="44" a="1"/>
  <c r="DF87" i="44"/>
  <c r="DG87" i="44" a="1"/>
  <c r="DG87" i="44"/>
  <c r="DH87" i="44" a="1"/>
  <c r="DH87" i="44"/>
  <c r="E88" i="44" a="1"/>
  <c r="E88" i="44"/>
  <c r="F88" i="44" a="1"/>
  <c r="F88" i="44"/>
  <c r="G88" i="44" a="1"/>
  <c r="G88" i="44"/>
  <c r="H88" i="44" a="1"/>
  <c r="H88" i="44"/>
  <c r="I88" i="44" a="1"/>
  <c r="I88" i="44"/>
  <c r="J88" i="44" a="1"/>
  <c r="J88" i="44"/>
  <c r="K88" i="44" a="1"/>
  <c r="K88" i="44"/>
  <c r="L88" i="44" a="1"/>
  <c r="L88" i="44"/>
  <c r="M88" i="44" a="1"/>
  <c r="M88" i="44"/>
  <c r="N88" i="44"/>
  <c r="O88" i="44" a="1"/>
  <c r="O88" i="44"/>
  <c r="P88" i="44" a="1"/>
  <c r="P88" i="44"/>
  <c r="Q88" i="44" a="1"/>
  <c r="Q88" i="44"/>
  <c r="R88" i="44" a="1"/>
  <c r="R88" i="44"/>
  <c r="S88" i="44" a="1"/>
  <c r="S88" i="44"/>
  <c r="T88" i="44" a="1"/>
  <c r="T88" i="44"/>
  <c r="U88" i="44" a="1"/>
  <c r="U88" i="44"/>
  <c r="V88" i="44" a="1"/>
  <c r="V88" i="44"/>
  <c r="W88" i="44" a="1"/>
  <c r="W88" i="44"/>
  <c r="Y88" i="44" a="1"/>
  <c r="Y88" i="44"/>
  <c r="Z88" i="44" a="1"/>
  <c r="Z88" i="44"/>
  <c r="AA88" i="44" a="1"/>
  <c r="AA88" i="44"/>
  <c r="AB88" i="44" a="1"/>
  <c r="AB88" i="44"/>
  <c r="AC88" i="44" a="1"/>
  <c r="AC88" i="44"/>
  <c r="AD88" i="44" a="1"/>
  <c r="AD88" i="44"/>
  <c r="AE88" i="44" a="1"/>
  <c r="AE88" i="44"/>
  <c r="AF88" i="44" a="1"/>
  <c r="AF88" i="44"/>
  <c r="AG88" i="44" a="1"/>
  <c r="AG88" i="44"/>
  <c r="AI88" i="44" a="1"/>
  <c r="AI88" i="44"/>
  <c r="AJ88" i="44" a="1"/>
  <c r="AJ88" i="44"/>
  <c r="AK88" i="44" a="1"/>
  <c r="AK88" i="44"/>
  <c r="AL88" i="44" a="1"/>
  <c r="AL88" i="44"/>
  <c r="AM88" i="44" a="1"/>
  <c r="AM88" i="44"/>
  <c r="AN88" i="44" a="1"/>
  <c r="AN88" i="44"/>
  <c r="AO88" i="44" a="1"/>
  <c r="AO88" i="44"/>
  <c r="AP88" i="44" a="1"/>
  <c r="AP88" i="44"/>
  <c r="AQ88" i="44" a="1"/>
  <c r="AQ88" i="44"/>
  <c r="AS88" i="44" a="1"/>
  <c r="AS88" i="44"/>
  <c r="AT88" i="44" a="1"/>
  <c r="AT88" i="44"/>
  <c r="AU88" i="44" a="1"/>
  <c r="AU88" i="44"/>
  <c r="AV88" i="44" a="1"/>
  <c r="AV88" i="44"/>
  <c r="AW88" i="44" a="1"/>
  <c r="AW88" i="44"/>
  <c r="AX88" i="44" a="1"/>
  <c r="AX88" i="44"/>
  <c r="AY88" i="44" a="1"/>
  <c r="AY88" i="44"/>
  <c r="AZ88" i="44" a="1"/>
  <c r="AZ88" i="44"/>
  <c r="BA88" i="44" a="1"/>
  <c r="BA88" i="44"/>
  <c r="BO88" i="44" a="1"/>
  <c r="BO88" i="44"/>
  <c r="BP88" i="44" a="1"/>
  <c r="BP88" i="44"/>
  <c r="BQ88" i="44" a="1"/>
  <c r="BQ88" i="44"/>
  <c r="BR88" i="44" a="1"/>
  <c r="BR88" i="44"/>
  <c r="BS88" i="44" a="1"/>
  <c r="BS88" i="44"/>
  <c r="BT88" i="44" a="1"/>
  <c r="BT88" i="44"/>
  <c r="BU88" i="44" a="1"/>
  <c r="BU88" i="44"/>
  <c r="BV88" i="44" a="1"/>
  <c r="BV88" i="44"/>
  <c r="BW88" i="44" a="1"/>
  <c r="BW88" i="44"/>
  <c r="BY88" i="44" a="1"/>
  <c r="BY88" i="44"/>
  <c r="BZ88" i="44" a="1"/>
  <c r="BZ88" i="44"/>
  <c r="CA88" i="44" a="1"/>
  <c r="CA88" i="44"/>
  <c r="CB88" i="44" a="1"/>
  <c r="CB88" i="44"/>
  <c r="CC88" i="44" a="1"/>
  <c r="CC88" i="44"/>
  <c r="CD88" i="44" a="1"/>
  <c r="CD88" i="44"/>
  <c r="CE88" i="44" a="1"/>
  <c r="CE88" i="44"/>
  <c r="CF88" i="44" a="1"/>
  <c r="CF88" i="44"/>
  <c r="CG88" i="44" a="1"/>
  <c r="CG88" i="44"/>
  <c r="CI88" i="44" a="1"/>
  <c r="CI88" i="44"/>
  <c r="CJ88" i="44" a="1"/>
  <c r="CJ88" i="44"/>
  <c r="CK88" i="44" a="1"/>
  <c r="CK88" i="44"/>
  <c r="CL88" i="44" a="1"/>
  <c r="CL88" i="44"/>
  <c r="CM88" i="44" a="1"/>
  <c r="CM88" i="44"/>
  <c r="CN88" i="44" a="1"/>
  <c r="CN88" i="44"/>
  <c r="CO88" i="44" a="1"/>
  <c r="CO88" i="44"/>
  <c r="CP88" i="44" a="1"/>
  <c r="CP88" i="44"/>
  <c r="CQ88" i="44" a="1"/>
  <c r="CQ88" i="44"/>
  <c r="CS88" i="44" a="1"/>
  <c r="CS88" i="44"/>
  <c r="CT88" i="44" a="1"/>
  <c r="CT88" i="44"/>
  <c r="CU88" i="44" a="1"/>
  <c r="CU88" i="44"/>
  <c r="CV88" i="44" a="1"/>
  <c r="CV88" i="44"/>
  <c r="CW88" i="44" a="1"/>
  <c r="CW88" i="44"/>
  <c r="CX88" i="44" a="1"/>
  <c r="CX88" i="44"/>
  <c r="CY88" i="44" a="1"/>
  <c r="CY88" i="44"/>
  <c r="CZ88" i="44" a="1"/>
  <c r="CZ88" i="44"/>
  <c r="DA88" i="44" a="1"/>
  <c r="DA88" i="44"/>
  <c r="DB88" i="44" a="1"/>
  <c r="DB88" i="44"/>
  <c r="DC88" i="44" a="1"/>
  <c r="DC88" i="44"/>
  <c r="DD88" i="44" a="1"/>
  <c r="DD88" i="44"/>
  <c r="DE88" i="44" a="1"/>
  <c r="DE88" i="44"/>
  <c r="DF88" i="44" a="1"/>
  <c r="DF88" i="44"/>
  <c r="DG88" i="44" a="1"/>
  <c r="DG88" i="44"/>
  <c r="DH88" i="44" a="1"/>
  <c r="DH88" i="44"/>
  <c r="E89" i="44" a="1"/>
  <c r="E89" i="44"/>
  <c r="F89" i="44" a="1"/>
  <c r="F89" i="44"/>
  <c r="G89" i="44" a="1"/>
  <c r="G89" i="44"/>
  <c r="H89" i="44" a="1"/>
  <c r="H89" i="44"/>
  <c r="I89" i="44" a="1"/>
  <c r="I89" i="44"/>
  <c r="J89" i="44" a="1"/>
  <c r="J89" i="44"/>
  <c r="K89" i="44" a="1"/>
  <c r="K89" i="44"/>
  <c r="L89" i="44" a="1"/>
  <c r="L89" i="44"/>
  <c r="M89" i="44" a="1"/>
  <c r="M89" i="44"/>
  <c r="N89" i="44"/>
  <c r="O89" i="44" a="1"/>
  <c r="O89" i="44"/>
  <c r="P89" i="44" a="1"/>
  <c r="P89" i="44"/>
  <c r="Q89" i="44" a="1"/>
  <c r="Q89" i="44"/>
  <c r="R89" i="44" a="1"/>
  <c r="R89" i="44"/>
  <c r="S89" i="44" a="1"/>
  <c r="S89" i="44"/>
  <c r="T89" i="44" a="1"/>
  <c r="T89" i="44"/>
  <c r="U89" i="44" a="1"/>
  <c r="U89" i="44"/>
  <c r="V89" i="44" a="1"/>
  <c r="V89" i="44"/>
  <c r="W89" i="44" a="1"/>
  <c r="W89" i="44"/>
  <c r="Y89" i="44" a="1"/>
  <c r="Y89" i="44"/>
  <c r="Z89" i="44" a="1"/>
  <c r="Z89" i="44"/>
  <c r="AA89" i="44" a="1"/>
  <c r="AA89" i="44"/>
  <c r="AB89" i="44" a="1"/>
  <c r="AB89" i="44"/>
  <c r="AC89" i="44" a="1"/>
  <c r="AC89" i="44"/>
  <c r="AD89" i="44" a="1"/>
  <c r="AD89" i="44"/>
  <c r="AE89" i="44" a="1"/>
  <c r="AE89" i="44"/>
  <c r="AF89" i="44" a="1"/>
  <c r="AF89" i="44"/>
  <c r="AG89" i="44" a="1"/>
  <c r="AG89" i="44"/>
  <c r="AI89" i="44" a="1"/>
  <c r="AI89" i="44"/>
  <c r="AJ89" i="44" a="1"/>
  <c r="AJ89" i="44"/>
  <c r="AK89" i="44" a="1"/>
  <c r="AK89" i="44"/>
  <c r="AL89" i="44" a="1"/>
  <c r="AL89" i="44"/>
  <c r="AM89" i="44" a="1"/>
  <c r="AM89" i="44"/>
  <c r="AN89" i="44" a="1"/>
  <c r="AN89" i="44"/>
  <c r="AO89" i="44" a="1"/>
  <c r="AO89" i="44"/>
  <c r="AP89" i="44" a="1"/>
  <c r="AP89" i="44"/>
  <c r="AQ89" i="44" a="1"/>
  <c r="AQ89" i="44"/>
  <c r="AS89" i="44" a="1"/>
  <c r="AS89" i="44"/>
  <c r="AT89" i="44" a="1"/>
  <c r="AT89" i="44"/>
  <c r="AU89" i="44" a="1"/>
  <c r="AU89" i="44"/>
  <c r="AV89" i="44" a="1"/>
  <c r="AV89" i="44"/>
  <c r="AW89" i="44" a="1"/>
  <c r="AW89" i="44"/>
  <c r="AX89" i="44" a="1"/>
  <c r="AX89" i="44"/>
  <c r="AY89" i="44" a="1"/>
  <c r="AY89" i="44"/>
  <c r="AZ89" i="44" a="1"/>
  <c r="AZ89" i="44"/>
  <c r="BA89" i="44" a="1"/>
  <c r="BA89" i="44"/>
  <c r="BO89" i="44" a="1"/>
  <c r="BO89" i="44"/>
  <c r="BP89" i="44" a="1"/>
  <c r="BP89" i="44"/>
  <c r="BQ89" i="44" a="1"/>
  <c r="BQ89" i="44"/>
  <c r="BR89" i="44" a="1"/>
  <c r="BR89" i="44"/>
  <c r="BS89" i="44" a="1"/>
  <c r="BS89" i="44"/>
  <c r="BT89" i="44" a="1"/>
  <c r="BT89" i="44"/>
  <c r="BU89" i="44" a="1"/>
  <c r="BU89" i="44"/>
  <c r="BV89" i="44" a="1"/>
  <c r="BV89" i="44"/>
  <c r="BW89" i="44" a="1"/>
  <c r="BW89" i="44"/>
  <c r="BY89" i="44" a="1"/>
  <c r="BY89" i="44"/>
  <c r="BZ89" i="44" a="1"/>
  <c r="BZ89" i="44"/>
  <c r="CA89" i="44" a="1"/>
  <c r="CA89" i="44"/>
  <c r="CB89" i="44" a="1"/>
  <c r="CB89" i="44"/>
  <c r="CC89" i="44" a="1"/>
  <c r="CC89" i="44"/>
  <c r="CD89" i="44" a="1"/>
  <c r="CD89" i="44"/>
  <c r="CE89" i="44" a="1"/>
  <c r="CE89" i="44"/>
  <c r="CF89" i="44" a="1"/>
  <c r="CF89" i="44"/>
  <c r="CG89" i="44" a="1"/>
  <c r="CG89" i="44"/>
  <c r="CI89" i="44" a="1"/>
  <c r="CI89" i="44"/>
  <c r="CJ89" i="44" a="1"/>
  <c r="CJ89" i="44"/>
  <c r="CK89" i="44" a="1"/>
  <c r="CK89" i="44"/>
  <c r="CL89" i="44" a="1"/>
  <c r="CL89" i="44"/>
  <c r="CM89" i="44" a="1"/>
  <c r="CM89" i="44"/>
  <c r="CN89" i="44" a="1"/>
  <c r="CN89" i="44"/>
  <c r="CO89" i="44" a="1"/>
  <c r="CO89" i="44"/>
  <c r="CP89" i="44" a="1"/>
  <c r="CP89" i="44"/>
  <c r="CQ89" i="44" a="1"/>
  <c r="CQ89" i="44"/>
  <c r="CS89" i="44" a="1"/>
  <c r="CS89" i="44"/>
  <c r="CT89" i="44" a="1"/>
  <c r="CT89" i="44"/>
  <c r="CU89" i="44" a="1"/>
  <c r="CU89" i="44"/>
  <c r="CV89" i="44" a="1"/>
  <c r="CV89" i="44"/>
  <c r="CW89" i="44" a="1"/>
  <c r="CW89" i="44"/>
  <c r="CX89" i="44" a="1"/>
  <c r="CX89" i="44"/>
  <c r="CY89" i="44" a="1"/>
  <c r="CY89" i="44"/>
  <c r="CZ89" i="44" a="1"/>
  <c r="CZ89" i="44"/>
  <c r="DA89" i="44" a="1"/>
  <c r="DA89" i="44"/>
  <c r="DB89" i="44" a="1"/>
  <c r="DB89" i="44"/>
  <c r="DC89" i="44" a="1"/>
  <c r="DC89" i="44"/>
  <c r="DD89" i="44" a="1"/>
  <c r="DD89" i="44"/>
  <c r="DE89" i="44" a="1"/>
  <c r="DE89" i="44"/>
  <c r="DF89" i="44" a="1"/>
  <c r="DF89" i="44"/>
  <c r="DG89" i="44" a="1"/>
  <c r="DG89" i="44"/>
  <c r="DH89" i="44" a="1"/>
  <c r="DH89" i="44"/>
  <c r="E90" i="44" a="1"/>
  <c r="E90" i="44"/>
  <c r="F90" i="44" a="1"/>
  <c r="F90" i="44"/>
  <c r="G90" i="44" a="1"/>
  <c r="G90" i="44"/>
  <c r="H90" i="44" a="1"/>
  <c r="H90" i="44"/>
  <c r="I90" i="44" a="1"/>
  <c r="I90" i="44"/>
  <c r="J90" i="44" a="1"/>
  <c r="J90" i="44"/>
  <c r="K90" i="44" a="1"/>
  <c r="K90" i="44"/>
  <c r="L90" i="44" a="1"/>
  <c r="L90" i="44"/>
  <c r="M90" i="44" a="1"/>
  <c r="M90" i="44"/>
  <c r="N90" i="44"/>
  <c r="O90" i="44" a="1"/>
  <c r="O90" i="44"/>
  <c r="P90" i="44" a="1"/>
  <c r="P90" i="44"/>
  <c r="Q90" i="44" a="1"/>
  <c r="Q90" i="44"/>
  <c r="R90" i="44" a="1"/>
  <c r="R90" i="44"/>
  <c r="S90" i="44" a="1"/>
  <c r="S90" i="44"/>
  <c r="T90" i="44" a="1"/>
  <c r="T90" i="44"/>
  <c r="U90" i="44" a="1"/>
  <c r="U90" i="44"/>
  <c r="V90" i="44" a="1"/>
  <c r="V90" i="44"/>
  <c r="W90" i="44" a="1"/>
  <c r="W90" i="44"/>
  <c r="Y90" i="44" a="1"/>
  <c r="Y90" i="44"/>
  <c r="Z90" i="44" a="1"/>
  <c r="Z90" i="44"/>
  <c r="AA90" i="44" a="1"/>
  <c r="AA90" i="44"/>
  <c r="AB90" i="44" a="1"/>
  <c r="AB90" i="44"/>
  <c r="AC90" i="44" a="1"/>
  <c r="AC90" i="44"/>
  <c r="AD90" i="44" a="1"/>
  <c r="AD90" i="44"/>
  <c r="AE90" i="44" a="1"/>
  <c r="AE90" i="44"/>
  <c r="AF90" i="44" a="1"/>
  <c r="AF90" i="44"/>
  <c r="AG90" i="44" a="1"/>
  <c r="AG90" i="44"/>
  <c r="AI90" i="44" a="1"/>
  <c r="AI90" i="44"/>
  <c r="AJ90" i="44" a="1"/>
  <c r="AJ90" i="44"/>
  <c r="AK90" i="44" a="1"/>
  <c r="AK90" i="44"/>
  <c r="AL90" i="44" a="1"/>
  <c r="AL90" i="44"/>
  <c r="AM90" i="44" a="1"/>
  <c r="AM90" i="44"/>
  <c r="AN90" i="44" a="1"/>
  <c r="AN90" i="44"/>
  <c r="AO90" i="44" a="1"/>
  <c r="AO90" i="44"/>
  <c r="AP90" i="44" a="1"/>
  <c r="AP90" i="44"/>
  <c r="AQ90" i="44" a="1"/>
  <c r="AQ90" i="44"/>
  <c r="AS90" i="44" a="1"/>
  <c r="AS90" i="44"/>
  <c r="AT90" i="44" a="1"/>
  <c r="AT90" i="44"/>
  <c r="AU90" i="44" a="1"/>
  <c r="AU90" i="44"/>
  <c r="AV90" i="44" a="1"/>
  <c r="AV90" i="44"/>
  <c r="AW90" i="44" a="1"/>
  <c r="AW90" i="44"/>
  <c r="AX90" i="44" a="1"/>
  <c r="AX90" i="44"/>
  <c r="AY90" i="44" a="1"/>
  <c r="AY90" i="44"/>
  <c r="AZ90" i="44" a="1"/>
  <c r="AZ90" i="44"/>
  <c r="BA90" i="44" a="1"/>
  <c r="BA90" i="44"/>
  <c r="BO90" i="44" a="1"/>
  <c r="BO90" i="44"/>
  <c r="BP90" i="44" a="1"/>
  <c r="BP90" i="44"/>
  <c r="BQ90" i="44" a="1"/>
  <c r="BQ90" i="44"/>
  <c r="BR90" i="44" a="1"/>
  <c r="BR90" i="44"/>
  <c r="BS90" i="44" a="1"/>
  <c r="BS90" i="44"/>
  <c r="BT90" i="44" a="1"/>
  <c r="BT90" i="44"/>
  <c r="BU90" i="44" a="1"/>
  <c r="BU90" i="44"/>
  <c r="BV90" i="44" a="1"/>
  <c r="BV90" i="44"/>
  <c r="BW90" i="44" a="1"/>
  <c r="BW90" i="44"/>
  <c r="BY90" i="44" a="1"/>
  <c r="BY90" i="44"/>
  <c r="BZ90" i="44" a="1"/>
  <c r="BZ90" i="44"/>
  <c r="CA90" i="44" a="1"/>
  <c r="CA90" i="44"/>
  <c r="CB90" i="44" a="1"/>
  <c r="CB90" i="44"/>
  <c r="CC90" i="44" a="1"/>
  <c r="CC90" i="44"/>
  <c r="CD90" i="44" a="1"/>
  <c r="CD90" i="44"/>
  <c r="CE90" i="44" a="1"/>
  <c r="CE90" i="44"/>
  <c r="CF90" i="44" a="1"/>
  <c r="CF90" i="44"/>
  <c r="CG90" i="44" a="1"/>
  <c r="CG90" i="44"/>
  <c r="CI90" i="44" a="1"/>
  <c r="CI90" i="44"/>
  <c r="CJ90" i="44" a="1"/>
  <c r="CJ90" i="44"/>
  <c r="CK90" i="44" a="1"/>
  <c r="CK90" i="44"/>
  <c r="CL90" i="44" a="1"/>
  <c r="CL90" i="44"/>
  <c r="CM90" i="44" a="1"/>
  <c r="CM90" i="44"/>
  <c r="CN90" i="44" a="1"/>
  <c r="CN90" i="44"/>
  <c r="CO90" i="44" a="1"/>
  <c r="CO90" i="44"/>
  <c r="CP90" i="44" a="1"/>
  <c r="CP90" i="44"/>
  <c r="CQ90" i="44" a="1"/>
  <c r="CQ90" i="44"/>
  <c r="CS90" i="44" a="1"/>
  <c r="CS90" i="44"/>
  <c r="CT90" i="44" a="1"/>
  <c r="CT90" i="44"/>
  <c r="CU90" i="44" a="1"/>
  <c r="CU90" i="44"/>
  <c r="CV90" i="44" a="1"/>
  <c r="CV90" i="44"/>
  <c r="CW90" i="44" a="1"/>
  <c r="CW90" i="44"/>
  <c r="CX90" i="44" a="1"/>
  <c r="CX90" i="44"/>
  <c r="CY90" i="44" a="1"/>
  <c r="CY90" i="44"/>
  <c r="CZ90" i="44" a="1"/>
  <c r="CZ90" i="44"/>
  <c r="DA90" i="44" a="1"/>
  <c r="DA90" i="44"/>
  <c r="DB90" i="44" a="1"/>
  <c r="DB90" i="44"/>
  <c r="DC90" i="44" a="1"/>
  <c r="DC90" i="44"/>
  <c r="DD90" i="44" a="1"/>
  <c r="DD90" i="44"/>
  <c r="DE90" i="44" a="1"/>
  <c r="DE90" i="44"/>
  <c r="DF90" i="44" a="1"/>
  <c r="DF90" i="44"/>
  <c r="DG90" i="44" a="1"/>
  <c r="DG90" i="44"/>
  <c r="DH90" i="44" a="1"/>
  <c r="DH90" i="44"/>
  <c r="E91" i="44" a="1"/>
  <c r="E91" i="44"/>
  <c r="F91" i="44" a="1"/>
  <c r="F91" i="44"/>
  <c r="G91" i="44" a="1"/>
  <c r="G91" i="44"/>
  <c r="H91" i="44" a="1"/>
  <c r="H91" i="44"/>
  <c r="I91" i="44" a="1"/>
  <c r="I91" i="44"/>
  <c r="J91" i="44" a="1"/>
  <c r="J91" i="44"/>
  <c r="K91" i="44" a="1"/>
  <c r="K91" i="44"/>
  <c r="L91" i="44" a="1"/>
  <c r="L91" i="44"/>
  <c r="M91" i="44" a="1"/>
  <c r="M91" i="44"/>
  <c r="N91" i="44"/>
  <c r="O91" i="44" a="1"/>
  <c r="O91" i="44"/>
  <c r="P91" i="44" a="1"/>
  <c r="P91" i="44"/>
  <c r="Q91" i="44" a="1"/>
  <c r="Q91" i="44"/>
  <c r="R91" i="44" a="1"/>
  <c r="R91" i="44"/>
  <c r="S91" i="44" a="1"/>
  <c r="S91" i="44"/>
  <c r="T91" i="44" a="1"/>
  <c r="T91" i="44"/>
  <c r="U91" i="44" a="1"/>
  <c r="U91" i="44"/>
  <c r="V91" i="44" a="1"/>
  <c r="V91" i="44"/>
  <c r="W91" i="44" a="1"/>
  <c r="W91" i="44"/>
  <c r="Y91" i="44" a="1"/>
  <c r="Y91" i="44"/>
  <c r="Z91" i="44" a="1"/>
  <c r="Z91" i="44"/>
  <c r="AA91" i="44" a="1"/>
  <c r="AA91" i="44"/>
  <c r="AB91" i="44" a="1"/>
  <c r="AB91" i="44"/>
  <c r="AC91" i="44" a="1"/>
  <c r="AC91" i="44"/>
  <c r="AD91" i="44" a="1"/>
  <c r="AD91" i="44"/>
  <c r="AE91" i="44" a="1"/>
  <c r="AE91" i="44"/>
  <c r="AF91" i="44" a="1"/>
  <c r="AF91" i="44"/>
  <c r="AG91" i="44" a="1"/>
  <c r="AG91" i="44"/>
  <c r="AI91" i="44" a="1"/>
  <c r="AI91" i="44"/>
  <c r="AJ91" i="44" a="1"/>
  <c r="AJ91" i="44"/>
  <c r="AK91" i="44" a="1"/>
  <c r="AK91" i="44"/>
  <c r="AL91" i="44" a="1"/>
  <c r="AL91" i="44"/>
  <c r="AM91" i="44" a="1"/>
  <c r="AM91" i="44"/>
  <c r="AN91" i="44" a="1"/>
  <c r="AN91" i="44"/>
  <c r="AO91" i="44" a="1"/>
  <c r="AO91" i="44"/>
  <c r="AP91" i="44" a="1"/>
  <c r="AP91" i="44"/>
  <c r="AQ91" i="44" a="1"/>
  <c r="AQ91" i="44"/>
  <c r="AS91" i="44" a="1"/>
  <c r="AS91" i="44"/>
  <c r="AT91" i="44" a="1"/>
  <c r="AT91" i="44"/>
  <c r="AU91" i="44" a="1"/>
  <c r="AU91" i="44"/>
  <c r="AV91" i="44" a="1"/>
  <c r="AV91" i="44"/>
  <c r="AW91" i="44" a="1"/>
  <c r="AW91" i="44"/>
  <c r="AX91" i="44" a="1"/>
  <c r="AX91" i="44"/>
  <c r="AY91" i="44" a="1"/>
  <c r="AY91" i="44"/>
  <c r="AZ91" i="44" a="1"/>
  <c r="AZ91" i="44"/>
  <c r="BA91" i="44" a="1"/>
  <c r="BA91" i="44"/>
  <c r="BO91" i="44" a="1"/>
  <c r="BO91" i="44"/>
  <c r="BP91" i="44" a="1"/>
  <c r="BP91" i="44"/>
  <c r="BQ91" i="44" a="1"/>
  <c r="BQ91" i="44"/>
  <c r="BR91" i="44" a="1"/>
  <c r="BR91" i="44"/>
  <c r="BS91" i="44" a="1"/>
  <c r="BS91" i="44"/>
  <c r="BT91" i="44" a="1"/>
  <c r="BT91" i="44"/>
  <c r="BU91" i="44" a="1"/>
  <c r="BU91" i="44"/>
  <c r="BV91" i="44" a="1"/>
  <c r="BV91" i="44"/>
  <c r="BW91" i="44" a="1"/>
  <c r="BW91" i="44"/>
  <c r="BY91" i="44" a="1"/>
  <c r="BY91" i="44"/>
  <c r="BZ91" i="44" a="1"/>
  <c r="BZ91" i="44"/>
  <c r="CA91" i="44" a="1"/>
  <c r="CA91" i="44"/>
  <c r="CB91" i="44" a="1"/>
  <c r="CB91" i="44"/>
  <c r="CC91" i="44" a="1"/>
  <c r="CC91" i="44"/>
  <c r="CD91" i="44" a="1"/>
  <c r="CD91" i="44"/>
  <c r="CE91" i="44" a="1"/>
  <c r="CE91" i="44"/>
  <c r="CF91" i="44" a="1"/>
  <c r="CF91" i="44"/>
  <c r="CG91" i="44" a="1"/>
  <c r="CG91" i="44"/>
  <c r="CI91" i="44" a="1"/>
  <c r="CI91" i="44"/>
  <c r="CJ91" i="44" a="1"/>
  <c r="CJ91" i="44"/>
  <c r="CK91" i="44" a="1"/>
  <c r="CK91" i="44"/>
  <c r="CL91" i="44" a="1"/>
  <c r="CL91" i="44"/>
  <c r="CM91" i="44" a="1"/>
  <c r="CM91" i="44"/>
  <c r="CN91" i="44" a="1"/>
  <c r="CN91" i="44"/>
  <c r="CO91" i="44" a="1"/>
  <c r="CO91" i="44"/>
  <c r="CP91" i="44" a="1"/>
  <c r="CP91" i="44"/>
  <c r="CQ91" i="44" a="1"/>
  <c r="CQ91" i="44"/>
  <c r="CS91" i="44" a="1"/>
  <c r="CS91" i="44"/>
  <c r="CT91" i="44" a="1"/>
  <c r="CT91" i="44"/>
  <c r="CU91" i="44" a="1"/>
  <c r="CU91" i="44"/>
  <c r="CV91" i="44" a="1"/>
  <c r="CV91" i="44"/>
  <c r="CW91" i="44" a="1"/>
  <c r="CW91" i="44"/>
  <c r="CX91" i="44" a="1"/>
  <c r="CX91" i="44"/>
  <c r="CY91" i="44" a="1"/>
  <c r="CY91" i="44"/>
  <c r="CZ91" i="44" a="1"/>
  <c r="CZ91" i="44"/>
  <c r="DA91" i="44" a="1"/>
  <c r="DA91" i="44"/>
  <c r="DB91" i="44" a="1"/>
  <c r="DB91" i="44"/>
  <c r="DC91" i="44" a="1"/>
  <c r="DC91" i="44"/>
  <c r="DD91" i="44" a="1"/>
  <c r="DD91" i="44"/>
  <c r="DE91" i="44" a="1"/>
  <c r="DE91" i="44"/>
  <c r="DF91" i="44" a="1"/>
  <c r="DF91" i="44"/>
  <c r="DG91" i="44" a="1"/>
  <c r="DG91" i="44"/>
  <c r="DH91" i="44" a="1"/>
  <c r="DH91" i="44"/>
  <c r="E92" i="44" a="1"/>
  <c r="E92" i="44"/>
  <c r="F92" i="44" a="1"/>
  <c r="F92" i="44"/>
  <c r="G92" i="44" a="1"/>
  <c r="G92" i="44"/>
  <c r="H92" i="44" a="1"/>
  <c r="H92" i="44"/>
  <c r="I92" i="44" a="1"/>
  <c r="I92" i="44"/>
  <c r="J92" i="44" a="1"/>
  <c r="J92" i="44"/>
  <c r="K92" i="44" a="1"/>
  <c r="K92" i="44"/>
  <c r="L92" i="44" a="1"/>
  <c r="L92" i="44"/>
  <c r="M92" i="44" a="1"/>
  <c r="M92" i="44"/>
  <c r="N92" i="44"/>
  <c r="O92" i="44" a="1"/>
  <c r="O92" i="44"/>
  <c r="P92" i="44" a="1"/>
  <c r="P92" i="44"/>
  <c r="Q92" i="44" a="1"/>
  <c r="Q92" i="44"/>
  <c r="R92" i="44" a="1"/>
  <c r="R92" i="44"/>
  <c r="S92" i="44" a="1"/>
  <c r="S92" i="44"/>
  <c r="T92" i="44" a="1"/>
  <c r="T92" i="44"/>
  <c r="U92" i="44" a="1"/>
  <c r="U92" i="44"/>
  <c r="V92" i="44" a="1"/>
  <c r="V92" i="44"/>
  <c r="W92" i="44" a="1"/>
  <c r="W92" i="44"/>
  <c r="Y92" i="44" a="1"/>
  <c r="Y92" i="44"/>
  <c r="Z92" i="44" a="1"/>
  <c r="Z92" i="44"/>
  <c r="AA92" i="44" a="1"/>
  <c r="AA92" i="44"/>
  <c r="AB92" i="44" a="1"/>
  <c r="AB92" i="44"/>
  <c r="AC92" i="44" a="1"/>
  <c r="AC92" i="44"/>
  <c r="AD92" i="44" a="1"/>
  <c r="AD92" i="44"/>
  <c r="AE92" i="44" a="1"/>
  <c r="AE92" i="44"/>
  <c r="AF92" i="44" a="1"/>
  <c r="AF92" i="44"/>
  <c r="AG92" i="44" a="1"/>
  <c r="AG92" i="44"/>
  <c r="AI92" i="44" a="1"/>
  <c r="AI92" i="44"/>
  <c r="AJ92" i="44" a="1"/>
  <c r="AJ92" i="44"/>
  <c r="AK92" i="44" a="1"/>
  <c r="AK92" i="44"/>
  <c r="AL92" i="44" a="1"/>
  <c r="AL92" i="44"/>
  <c r="AM92" i="44" a="1"/>
  <c r="AM92" i="44"/>
  <c r="AN92" i="44" a="1"/>
  <c r="AN92" i="44"/>
  <c r="AO92" i="44" a="1"/>
  <c r="AO92" i="44"/>
  <c r="AP92" i="44" a="1"/>
  <c r="AP92" i="44"/>
  <c r="AQ92" i="44" a="1"/>
  <c r="AQ92" i="44"/>
  <c r="AS92" i="44" a="1"/>
  <c r="AS92" i="44"/>
  <c r="AT92" i="44" a="1"/>
  <c r="AT92" i="44"/>
  <c r="AU92" i="44" a="1"/>
  <c r="AU92" i="44"/>
  <c r="AV92" i="44" a="1"/>
  <c r="AV92" i="44"/>
  <c r="AW92" i="44" a="1"/>
  <c r="AW92" i="44"/>
  <c r="AX92" i="44" a="1"/>
  <c r="AX92" i="44"/>
  <c r="AY92" i="44" a="1"/>
  <c r="AY92" i="44"/>
  <c r="AZ92" i="44" a="1"/>
  <c r="AZ92" i="44"/>
  <c r="BA92" i="44" a="1"/>
  <c r="BA92" i="44"/>
  <c r="BO92" i="44" a="1"/>
  <c r="BO92" i="44"/>
  <c r="BP92" i="44" a="1"/>
  <c r="BP92" i="44"/>
  <c r="BQ92" i="44" a="1"/>
  <c r="BQ92" i="44"/>
  <c r="BR92" i="44" a="1"/>
  <c r="BR92" i="44"/>
  <c r="BS92" i="44" a="1"/>
  <c r="BS92" i="44"/>
  <c r="BT92" i="44" a="1"/>
  <c r="BT92" i="44"/>
  <c r="BU92" i="44" a="1"/>
  <c r="BU92" i="44"/>
  <c r="BV92" i="44" a="1"/>
  <c r="BV92" i="44"/>
  <c r="BW92" i="44" a="1"/>
  <c r="BW92" i="44"/>
  <c r="BY92" i="44" a="1"/>
  <c r="BY92" i="44"/>
  <c r="BZ92" i="44" a="1"/>
  <c r="BZ92" i="44"/>
  <c r="CA92" i="44" a="1"/>
  <c r="CA92" i="44"/>
  <c r="CB92" i="44" a="1"/>
  <c r="CB92" i="44"/>
  <c r="CC92" i="44" a="1"/>
  <c r="CC92" i="44"/>
  <c r="CD92" i="44" a="1"/>
  <c r="CD92" i="44"/>
  <c r="CE92" i="44" a="1"/>
  <c r="CE92" i="44"/>
  <c r="CF92" i="44" a="1"/>
  <c r="CF92" i="44"/>
  <c r="CG92" i="44" a="1"/>
  <c r="CG92" i="44"/>
  <c r="CI92" i="44" a="1"/>
  <c r="CI92" i="44"/>
  <c r="CJ92" i="44" a="1"/>
  <c r="CJ92" i="44"/>
  <c r="CK92" i="44" a="1"/>
  <c r="CK92" i="44"/>
  <c r="CL92" i="44" a="1"/>
  <c r="CL92" i="44"/>
  <c r="CM92" i="44" a="1"/>
  <c r="CM92" i="44"/>
  <c r="CN92" i="44" a="1"/>
  <c r="CN92" i="44"/>
  <c r="CO92" i="44" a="1"/>
  <c r="CO92" i="44"/>
  <c r="CP92" i="44" a="1"/>
  <c r="CP92" i="44"/>
  <c r="CQ92" i="44" a="1"/>
  <c r="CQ92" i="44"/>
  <c r="CS92" i="44" a="1"/>
  <c r="CS92" i="44"/>
  <c r="CT92" i="44" a="1"/>
  <c r="CT92" i="44"/>
  <c r="CU92" i="44" a="1"/>
  <c r="CU92" i="44"/>
  <c r="CV92" i="44" a="1"/>
  <c r="CV92" i="44"/>
  <c r="CW92" i="44" a="1"/>
  <c r="CW92" i="44"/>
  <c r="CX92" i="44" a="1"/>
  <c r="CX92" i="44"/>
  <c r="CY92" i="44" a="1"/>
  <c r="CY92" i="44"/>
  <c r="CZ92" i="44" a="1"/>
  <c r="CZ92" i="44"/>
  <c r="DA92" i="44" a="1"/>
  <c r="DA92" i="44"/>
  <c r="DB92" i="44" a="1"/>
  <c r="DB92" i="44"/>
  <c r="DC92" i="44" a="1"/>
  <c r="DC92" i="44"/>
  <c r="DD92" i="44" a="1"/>
  <c r="DD92" i="44"/>
  <c r="DE92" i="44" a="1"/>
  <c r="DE92" i="44"/>
  <c r="DF92" i="44" a="1"/>
  <c r="DF92" i="44"/>
  <c r="DG92" i="44" a="1"/>
  <c r="DG92" i="44"/>
  <c r="DH92" i="44" a="1"/>
  <c r="DH92" i="44"/>
  <c r="E93" i="44" a="1"/>
  <c r="E93" i="44"/>
  <c r="F93" i="44" a="1"/>
  <c r="F93" i="44"/>
  <c r="G93" i="44" a="1"/>
  <c r="G93" i="44"/>
  <c r="H93" i="44" a="1"/>
  <c r="H93" i="44"/>
  <c r="I93" i="44" a="1"/>
  <c r="I93" i="44"/>
  <c r="J93" i="44" a="1"/>
  <c r="J93" i="44"/>
  <c r="K93" i="44" a="1"/>
  <c r="K93" i="44"/>
  <c r="L93" i="44" a="1"/>
  <c r="L93" i="44"/>
  <c r="M93" i="44" a="1"/>
  <c r="M93" i="44"/>
  <c r="N93" i="44"/>
  <c r="O93" i="44" a="1"/>
  <c r="O93" i="44"/>
  <c r="P93" i="44" a="1"/>
  <c r="P93" i="44"/>
  <c r="Q93" i="44" a="1"/>
  <c r="Q93" i="44"/>
  <c r="R93" i="44" a="1"/>
  <c r="R93" i="44"/>
  <c r="S93" i="44" a="1"/>
  <c r="S93" i="44"/>
  <c r="T93" i="44" a="1"/>
  <c r="T93" i="44"/>
  <c r="U93" i="44" a="1"/>
  <c r="U93" i="44"/>
  <c r="V93" i="44" a="1"/>
  <c r="V93" i="44"/>
  <c r="W93" i="44" a="1"/>
  <c r="W93" i="44"/>
  <c r="Y93" i="44" a="1"/>
  <c r="Y93" i="44"/>
  <c r="Z93" i="44" a="1"/>
  <c r="Z93" i="44"/>
  <c r="AA93" i="44" a="1"/>
  <c r="AA93" i="44"/>
  <c r="AB93" i="44" a="1"/>
  <c r="AB93" i="44"/>
  <c r="AC93" i="44" a="1"/>
  <c r="AC93" i="44"/>
  <c r="AD93" i="44" a="1"/>
  <c r="AD93" i="44"/>
  <c r="AE93" i="44" a="1"/>
  <c r="AE93" i="44"/>
  <c r="AF93" i="44" a="1"/>
  <c r="AF93" i="44"/>
  <c r="AG93" i="44" a="1"/>
  <c r="AG93" i="44"/>
  <c r="AI93" i="44" a="1"/>
  <c r="AI93" i="44"/>
  <c r="AJ93" i="44" a="1"/>
  <c r="AJ93" i="44"/>
  <c r="AK93" i="44" a="1"/>
  <c r="AK93" i="44"/>
  <c r="AL93" i="44" a="1"/>
  <c r="AL93" i="44"/>
  <c r="AM93" i="44" a="1"/>
  <c r="AM93" i="44"/>
  <c r="AN93" i="44" a="1"/>
  <c r="AN93" i="44"/>
  <c r="AO93" i="44" a="1"/>
  <c r="AO93" i="44"/>
  <c r="AP93" i="44" a="1"/>
  <c r="AP93" i="44"/>
  <c r="AQ93" i="44" a="1"/>
  <c r="AQ93" i="44"/>
  <c r="AS93" i="44" a="1"/>
  <c r="AS93" i="44"/>
  <c r="AT93" i="44" a="1"/>
  <c r="AT93" i="44"/>
  <c r="AU93" i="44" a="1"/>
  <c r="AU93" i="44"/>
  <c r="AV93" i="44" a="1"/>
  <c r="AV93" i="44"/>
  <c r="AW93" i="44" a="1"/>
  <c r="AW93" i="44"/>
  <c r="AX93" i="44" a="1"/>
  <c r="AX93" i="44"/>
  <c r="AY93" i="44" a="1"/>
  <c r="AY93" i="44"/>
  <c r="AZ93" i="44" a="1"/>
  <c r="AZ93" i="44"/>
  <c r="BA93" i="44" a="1"/>
  <c r="BA93" i="44"/>
  <c r="BO93" i="44" a="1"/>
  <c r="BO93" i="44"/>
  <c r="BP93" i="44" a="1"/>
  <c r="BP93" i="44"/>
  <c r="BQ93" i="44" a="1"/>
  <c r="BQ93" i="44"/>
  <c r="BR93" i="44" a="1"/>
  <c r="BR93" i="44"/>
  <c r="BS93" i="44" a="1"/>
  <c r="BS93" i="44"/>
  <c r="BT93" i="44" a="1"/>
  <c r="BT93" i="44"/>
  <c r="BU93" i="44" a="1"/>
  <c r="BU93" i="44"/>
  <c r="BV93" i="44" a="1"/>
  <c r="BV93" i="44"/>
  <c r="BW93" i="44" a="1"/>
  <c r="BW93" i="44"/>
  <c r="BY93" i="44" a="1"/>
  <c r="BY93" i="44"/>
  <c r="BZ93" i="44" a="1"/>
  <c r="BZ93" i="44"/>
  <c r="CA93" i="44" a="1"/>
  <c r="CA93" i="44"/>
  <c r="CB93" i="44" a="1"/>
  <c r="CB93" i="44"/>
  <c r="CC93" i="44" a="1"/>
  <c r="CC93" i="44"/>
  <c r="CD93" i="44" a="1"/>
  <c r="CD93" i="44"/>
  <c r="CE93" i="44" a="1"/>
  <c r="CE93" i="44"/>
  <c r="CF93" i="44" a="1"/>
  <c r="CF93" i="44"/>
  <c r="CG93" i="44" a="1"/>
  <c r="CG93" i="44"/>
  <c r="CI93" i="44" a="1"/>
  <c r="CI93" i="44"/>
  <c r="CJ93" i="44" a="1"/>
  <c r="CJ93" i="44"/>
  <c r="CK93" i="44" a="1"/>
  <c r="CK93" i="44"/>
  <c r="CL93" i="44" a="1"/>
  <c r="CL93" i="44"/>
  <c r="CM93" i="44" a="1"/>
  <c r="CM93" i="44"/>
  <c r="CN93" i="44" a="1"/>
  <c r="CN93" i="44"/>
  <c r="CO93" i="44" a="1"/>
  <c r="CO93" i="44"/>
  <c r="CP93" i="44" a="1"/>
  <c r="CP93" i="44"/>
  <c r="CQ93" i="44" a="1"/>
  <c r="CQ93" i="44"/>
  <c r="CS93" i="44" a="1"/>
  <c r="CS93" i="44"/>
  <c r="CT93" i="44" a="1"/>
  <c r="CT93" i="44"/>
  <c r="CU93" i="44" a="1"/>
  <c r="CU93" i="44"/>
  <c r="CV93" i="44" a="1"/>
  <c r="CV93" i="44"/>
  <c r="CW93" i="44" a="1"/>
  <c r="CW93" i="44"/>
  <c r="CX93" i="44" a="1"/>
  <c r="CX93" i="44"/>
  <c r="CY93" i="44" a="1"/>
  <c r="CY93" i="44"/>
  <c r="CZ93" i="44" a="1"/>
  <c r="CZ93" i="44"/>
  <c r="DA93" i="44" a="1"/>
  <c r="DA93" i="44"/>
  <c r="DB93" i="44" a="1"/>
  <c r="DB93" i="44"/>
  <c r="DC93" i="44" a="1"/>
  <c r="DC93" i="44"/>
  <c r="DD93" i="44" a="1"/>
  <c r="DD93" i="44"/>
  <c r="DE93" i="44" a="1"/>
  <c r="DE93" i="44"/>
  <c r="DF93" i="44" a="1"/>
  <c r="DF93" i="44"/>
  <c r="DG93" i="44" a="1"/>
  <c r="DG93" i="44"/>
  <c r="DH93" i="44" a="1"/>
  <c r="DH93" i="44"/>
  <c r="E94" i="44" a="1"/>
  <c r="E94" i="44"/>
  <c r="F94" i="44" a="1"/>
  <c r="F94" i="44"/>
  <c r="G94" i="44" a="1"/>
  <c r="G94" i="44"/>
  <c r="H94" i="44" a="1"/>
  <c r="H94" i="44"/>
  <c r="I94" i="44" a="1"/>
  <c r="I94" i="44"/>
  <c r="J94" i="44" a="1"/>
  <c r="J94" i="44"/>
  <c r="K94" i="44" a="1"/>
  <c r="K94" i="44"/>
  <c r="L94" i="44" a="1"/>
  <c r="L94" i="44"/>
  <c r="M94" i="44" a="1"/>
  <c r="M94" i="44"/>
  <c r="N94" i="44"/>
  <c r="O94" i="44" a="1"/>
  <c r="O94" i="44"/>
  <c r="P94" i="44" a="1"/>
  <c r="P94" i="44"/>
  <c r="Q94" i="44" a="1"/>
  <c r="Q94" i="44"/>
  <c r="R94" i="44" a="1"/>
  <c r="R94" i="44"/>
  <c r="S94" i="44" a="1"/>
  <c r="S94" i="44"/>
  <c r="T94" i="44" a="1"/>
  <c r="T94" i="44"/>
  <c r="U94" i="44" a="1"/>
  <c r="U94" i="44"/>
  <c r="V94" i="44" a="1"/>
  <c r="V94" i="44"/>
  <c r="W94" i="44" a="1"/>
  <c r="W94" i="44"/>
  <c r="Y94" i="44" a="1"/>
  <c r="Y94" i="44"/>
  <c r="Z94" i="44" a="1"/>
  <c r="Z94" i="44"/>
  <c r="AA94" i="44" a="1"/>
  <c r="AA94" i="44"/>
  <c r="AB94" i="44" a="1"/>
  <c r="AB94" i="44"/>
  <c r="AC94" i="44" a="1"/>
  <c r="AC94" i="44"/>
  <c r="AD94" i="44" a="1"/>
  <c r="AD94" i="44"/>
  <c r="AE94" i="44" a="1"/>
  <c r="AE94" i="44"/>
  <c r="AF94" i="44" a="1"/>
  <c r="AF94" i="44"/>
  <c r="AG94" i="44" a="1"/>
  <c r="AG94" i="44"/>
  <c r="AI94" i="44" a="1"/>
  <c r="AI94" i="44"/>
  <c r="AJ94" i="44" a="1"/>
  <c r="AJ94" i="44"/>
  <c r="AK94" i="44" a="1"/>
  <c r="AK94" i="44"/>
  <c r="AL94" i="44" a="1"/>
  <c r="AL94" i="44"/>
  <c r="AM94" i="44" a="1"/>
  <c r="AM94" i="44"/>
  <c r="AN94" i="44" a="1"/>
  <c r="AN94" i="44"/>
  <c r="AO94" i="44" a="1"/>
  <c r="AO94" i="44"/>
  <c r="AP94" i="44" a="1"/>
  <c r="AP94" i="44"/>
  <c r="AQ94" i="44" a="1"/>
  <c r="AQ94" i="44"/>
  <c r="AS94" i="44" a="1"/>
  <c r="AS94" i="44"/>
  <c r="AT94" i="44" a="1"/>
  <c r="AT94" i="44"/>
  <c r="AU94" i="44" a="1"/>
  <c r="AU94" i="44"/>
  <c r="AV94" i="44" a="1"/>
  <c r="AV94" i="44"/>
  <c r="AW94" i="44" a="1"/>
  <c r="AW94" i="44"/>
  <c r="AX94" i="44" a="1"/>
  <c r="AX94" i="44"/>
  <c r="AY94" i="44" a="1"/>
  <c r="AY94" i="44"/>
  <c r="AZ94" i="44" a="1"/>
  <c r="AZ94" i="44"/>
  <c r="BA94" i="44" a="1"/>
  <c r="BA94" i="44"/>
  <c r="BO94" i="44" a="1"/>
  <c r="BO94" i="44"/>
  <c r="BP94" i="44" a="1"/>
  <c r="BP94" i="44"/>
  <c r="BQ94" i="44" a="1"/>
  <c r="BQ94" i="44"/>
  <c r="BR94" i="44" a="1"/>
  <c r="BR94" i="44"/>
  <c r="BS94" i="44" a="1"/>
  <c r="BS94" i="44"/>
  <c r="BT94" i="44" a="1"/>
  <c r="BT94" i="44"/>
  <c r="BU94" i="44" a="1"/>
  <c r="BU94" i="44"/>
  <c r="BV94" i="44" a="1"/>
  <c r="BV94" i="44"/>
  <c r="BW94" i="44" a="1"/>
  <c r="BW94" i="44"/>
  <c r="BY94" i="44" a="1"/>
  <c r="BY94" i="44"/>
  <c r="BZ94" i="44" a="1"/>
  <c r="BZ94" i="44"/>
  <c r="CA94" i="44" a="1"/>
  <c r="CA94" i="44"/>
  <c r="CB94" i="44" a="1"/>
  <c r="CB94" i="44"/>
  <c r="CC94" i="44" a="1"/>
  <c r="CC94" i="44"/>
  <c r="CD94" i="44" a="1"/>
  <c r="CD94" i="44"/>
  <c r="CE94" i="44" a="1"/>
  <c r="CE94" i="44"/>
  <c r="CF94" i="44" a="1"/>
  <c r="CF94" i="44"/>
  <c r="CG94" i="44" a="1"/>
  <c r="CG94" i="44"/>
  <c r="CI94" i="44" a="1"/>
  <c r="CI94" i="44"/>
  <c r="CJ94" i="44" a="1"/>
  <c r="CJ94" i="44"/>
  <c r="CK94" i="44" a="1"/>
  <c r="CK94" i="44"/>
  <c r="CL94" i="44" a="1"/>
  <c r="CL94" i="44"/>
  <c r="CM94" i="44" a="1"/>
  <c r="CM94" i="44"/>
  <c r="CN94" i="44" a="1"/>
  <c r="CN94" i="44"/>
  <c r="CO94" i="44" a="1"/>
  <c r="CO94" i="44"/>
  <c r="CP94" i="44" a="1"/>
  <c r="CP94" i="44"/>
  <c r="CQ94" i="44" a="1"/>
  <c r="CQ94" i="44"/>
  <c r="CS94" i="44" a="1"/>
  <c r="CS94" i="44"/>
  <c r="CT94" i="44" a="1"/>
  <c r="CT94" i="44"/>
  <c r="CU94" i="44" a="1"/>
  <c r="CU94" i="44"/>
  <c r="CV94" i="44" a="1"/>
  <c r="CV94" i="44"/>
  <c r="CW94" i="44" a="1"/>
  <c r="CW94" i="44"/>
  <c r="CX94" i="44" a="1"/>
  <c r="CX94" i="44"/>
  <c r="CY94" i="44" a="1"/>
  <c r="CY94" i="44"/>
  <c r="CZ94" i="44" a="1"/>
  <c r="CZ94" i="44"/>
  <c r="DA94" i="44" a="1"/>
  <c r="DA94" i="44"/>
  <c r="DB94" i="44" a="1"/>
  <c r="DB94" i="44"/>
  <c r="DC94" i="44" a="1"/>
  <c r="DC94" i="44"/>
  <c r="DD94" i="44" a="1"/>
  <c r="DD94" i="44"/>
  <c r="DE94" i="44" a="1"/>
  <c r="DE94" i="44"/>
  <c r="DF94" i="44" a="1"/>
  <c r="DF94" i="44"/>
  <c r="DG94" i="44" a="1"/>
  <c r="DG94" i="44"/>
  <c r="DH94" i="44" a="1"/>
  <c r="DH94" i="44"/>
  <c r="E95" i="44" a="1"/>
  <c r="E95" i="44"/>
  <c r="F95" i="44" a="1"/>
  <c r="F95" i="44"/>
  <c r="G95" i="44" a="1"/>
  <c r="G95" i="44"/>
  <c r="H95" i="44" a="1"/>
  <c r="H95" i="44"/>
  <c r="I95" i="44" a="1"/>
  <c r="I95" i="44"/>
  <c r="J95" i="44" a="1"/>
  <c r="J95" i="44"/>
  <c r="K95" i="44" a="1"/>
  <c r="K95" i="44"/>
  <c r="L95" i="44" a="1"/>
  <c r="L95" i="44"/>
  <c r="M95" i="44" a="1"/>
  <c r="M95" i="44"/>
  <c r="N95" i="44"/>
  <c r="O95" i="44" a="1"/>
  <c r="O95" i="44"/>
  <c r="P95" i="44" a="1"/>
  <c r="P95" i="44"/>
  <c r="Q95" i="44" a="1"/>
  <c r="Q95" i="44"/>
  <c r="R95" i="44" a="1"/>
  <c r="R95" i="44"/>
  <c r="S95" i="44" a="1"/>
  <c r="S95" i="44"/>
  <c r="T95" i="44" a="1"/>
  <c r="T95" i="44"/>
  <c r="U95" i="44" a="1"/>
  <c r="U95" i="44"/>
  <c r="V95" i="44" a="1"/>
  <c r="V95" i="44"/>
  <c r="W95" i="44" a="1"/>
  <c r="W95" i="44"/>
  <c r="Y95" i="44" a="1"/>
  <c r="Y95" i="44"/>
  <c r="Z95" i="44" a="1"/>
  <c r="Z95" i="44"/>
  <c r="AA95" i="44" a="1"/>
  <c r="AA95" i="44"/>
  <c r="AB95" i="44" a="1"/>
  <c r="AB95" i="44"/>
  <c r="AC95" i="44" a="1"/>
  <c r="AC95" i="44"/>
  <c r="AD95" i="44" a="1"/>
  <c r="AD95" i="44"/>
  <c r="AE95" i="44" a="1"/>
  <c r="AE95" i="44"/>
  <c r="AF95" i="44" a="1"/>
  <c r="AF95" i="44"/>
  <c r="AG95" i="44" a="1"/>
  <c r="AG95" i="44"/>
  <c r="AI95" i="44" a="1"/>
  <c r="AI95" i="44"/>
  <c r="AJ95" i="44" a="1"/>
  <c r="AJ95" i="44"/>
  <c r="AK95" i="44" a="1"/>
  <c r="AK95" i="44"/>
  <c r="AL95" i="44" a="1"/>
  <c r="AL95" i="44"/>
  <c r="AM95" i="44" a="1"/>
  <c r="AM95" i="44"/>
  <c r="AN95" i="44" a="1"/>
  <c r="AN95" i="44"/>
  <c r="AO95" i="44" a="1"/>
  <c r="AO95" i="44"/>
  <c r="AP95" i="44" a="1"/>
  <c r="AP95" i="44"/>
  <c r="AQ95" i="44" a="1"/>
  <c r="AQ95" i="44"/>
  <c r="AS95" i="44" a="1"/>
  <c r="AS95" i="44"/>
  <c r="AT95" i="44" a="1"/>
  <c r="AT95" i="44"/>
  <c r="AU95" i="44" a="1"/>
  <c r="AU95" i="44"/>
  <c r="AV95" i="44" a="1"/>
  <c r="AV95" i="44"/>
  <c r="AW95" i="44" a="1"/>
  <c r="AW95" i="44"/>
  <c r="AX95" i="44" a="1"/>
  <c r="AX95" i="44"/>
  <c r="AY95" i="44" a="1"/>
  <c r="AY95" i="44"/>
  <c r="AZ95" i="44" a="1"/>
  <c r="AZ95" i="44"/>
  <c r="BA95" i="44" a="1"/>
  <c r="BA95" i="44"/>
  <c r="BO95" i="44" a="1"/>
  <c r="BO95" i="44"/>
  <c r="BP95" i="44" a="1"/>
  <c r="BP95" i="44"/>
  <c r="BQ95" i="44" a="1"/>
  <c r="BQ95" i="44"/>
  <c r="BR95" i="44" a="1"/>
  <c r="BR95" i="44"/>
  <c r="BS95" i="44" a="1"/>
  <c r="BS95" i="44"/>
  <c r="BT95" i="44" a="1"/>
  <c r="BT95" i="44"/>
  <c r="BU95" i="44" a="1"/>
  <c r="BU95" i="44"/>
  <c r="BV95" i="44" a="1"/>
  <c r="BV95" i="44"/>
  <c r="BW95" i="44" a="1"/>
  <c r="BW95" i="44"/>
  <c r="BY95" i="44" a="1"/>
  <c r="BY95" i="44"/>
  <c r="BZ95" i="44" a="1"/>
  <c r="BZ95" i="44"/>
  <c r="CA95" i="44" a="1"/>
  <c r="CA95" i="44"/>
  <c r="CB95" i="44" a="1"/>
  <c r="CB95" i="44"/>
  <c r="CC95" i="44" a="1"/>
  <c r="CC95" i="44"/>
  <c r="CD95" i="44" a="1"/>
  <c r="CD95" i="44"/>
  <c r="CE95" i="44" a="1"/>
  <c r="CE95" i="44"/>
  <c r="CF95" i="44" a="1"/>
  <c r="CF95" i="44"/>
  <c r="CG95" i="44" a="1"/>
  <c r="CG95" i="44"/>
  <c r="CI95" i="44" a="1"/>
  <c r="CI95" i="44"/>
  <c r="CJ95" i="44" a="1"/>
  <c r="CJ95" i="44"/>
  <c r="CK95" i="44" a="1"/>
  <c r="CK95" i="44"/>
  <c r="CL95" i="44" a="1"/>
  <c r="CL95" i="44"/>
  <c r="CM95" i="44" a="1"/>
  <c r="CM95" i="44"/>
  <c r="CN95" i="44" a="1"/>
  <c r="CN95" i="44"/>
  <c r="CO95" i="44" a="1"/>
  <c r="CO95" i="44"/>
  <c r="CP95" i="44" a="1"/>
  <c r="CP95" i="44"/>
  <c r="CQ95" i="44" a="1"/>
  <c r="CQ95" i="44"/>
  <c r="CS95" i="44" a="1"/>
  <c r="CS95" i="44"/>
  <c r="CT95" i="44" a="1"/>
  <c r="CT95" i="44"/>
  <c r="CU95" i="44" a="1"/>
  <c r="CU95" i="44"/>
  <c r="CV95" i="44" a="1"/>
  <c r="CV95" i="44"/>
  <c r="CW95" i="44" a="1"/>
  <c r="CW95" i="44"/>
  <c r="CX95" i="44" a="1"/>
  <c r="CX95" i="44"/>
  <c r="CY95" i="44" a="1"/>
  <c r="CY95" i="44"/>
  <c r="CZ95" i="44" a="1"/>
  <c r="CZ95" i="44"/>
  <c r="DA95" i="44" a="1"/>
  <c r="DA95" i="44"/>
  <c r="DB95" i="44" a="1"/>
  <c r="DB95" i="44"/>
  <c r="DC95" i="44" a="1"/>
  <c r="DC95" i="44"/>
  <c r="DD95" i="44" a="1"/>
  <c r="DD95" i="44"/>
  <c r="DE95" i="44" a="1"/>
  <c r="DE95" i="44"/>
  <c r="DF95" i="44" a="1"/>
  <c r="DF95" i="44"/>
  <c r="DG95" i="44" a="1"/>
  <c r="DG95" i="44"/>
  <c r="DH95" i="44" a="1"/>
  <c r="DH95" i="44"/>
  <c r="E96" i="44" a="1"/>
  <c r="E96" i="44"/>
  <c r="F96" i="44" a="1"/>
  <c r="F96" i="44"/>
  <c r="G96" i="44" a="1"/>
  <c r="G96" i="44"/>
  <c r="H96" i="44" a="1"/>
  <c r="H96" i="44"/>
  <c r="I96" i="44" a="1"/>
  <c r="I96" i="44"/>
  <c r="J96" i="44" a="1"/>
  <c r="J96" i="44"/>
  <c r="K96" i="44" a="1"/>
  <c r="K96" i="44"/>
  <c r="L96" i="44" a="1"/>
  <c r="L96" i="44"/>
  <c r="M96" i="44" a="1"/>
  <c r="M96" i="44"/>
  <c r="N96" i="44"/>
  <c r="O96" i="44" a="1"/>
  <c r="O96" i="44"/>
  <c r="P96" i="44" a="1"/>
  <c r="P96" i="44"/>
  <c r="Q96" i="44" a="1"/>
  <c r="Q96" i="44"/>
  <c r="R96" i="44" a="1"/>
  <c r="R96" i="44"/>
  <c r="S96" i="44" a="1"/>
  <c r="S96" i="44"/>
  <c r="T96" i="44" a="1"/>
  <c r="T96" i="44"/>
  <c r="U96" i="44" a="1"/>
  <c r="U96" i="44"/>
  <c r="V96" i="44" a="1"/>
  <c r="V96" i="44"/>
  <c r="W96" i="44" a="1"/>
  <c r="W96" i="44"/>
  <c r="Y96" i="44" a="1"/>
  <c r="Y96" i="44"/>
  <c r="Z96" i="44" a="1"/>
  <c r="Z96" i="44"/>
  <c r="AA96" i="44" a="1"/>
  <c r="AA96" i="44"/>
  <c r="AB96" i="44" a="1"/>
  <c r="AB96" i="44"/>
  <c r="AC96" i="44" a="1"/>
  <c r="AC96" i="44"/>
  <c r="AD96" i="44" a="1"/>
  <c r="AD96" i="44"/>
  <c r="AE96" i="44" a="1"/>
  <c r="AE96" i="44"/>
  <c r="AF96" i="44" a="1"/>
  <c r="AF96" i="44"/>
  <c r="AG96" i="44" a="1"/>
  <c r="AG96" i="44"/>
  <c r="AI96" i="44" a="1"/>
  <c r="AI96" i="44"/>
  <c r="AJ96" i="44" a="1"/>
  <c r="AJ96" i="44"/>
  <c r="AK96" i="44" a="1"/>
  <c r="AK96" i="44"/>
  <c r="AL96" i="44" a="1"/>
  <c r="AL96" i="44"/>
  <c r="AM96" i="44" a="1"/>
  <c r="AM96" i="44"/>
  <c r="AN96" i="44" a="1"/>
  <c r="AN96" i="44"/>
  <c r="AO96" i="44" a="1"/>
  <c r="AO96" i="44"/>
  <c r="AP96" i="44" a="1"/>
  <c r="AP96" i="44"/>
  <c r="AQ96" i="44" a="1"/>
  <c r="AQ96" i="44"/>
  <c r="AS96" i="44" a="1"/>
  <c r="AS96" i="44"/>
  <c r="AT96" i="44" a="1"/>
  <c r="AT96" i="44"/>
  <c r="AU96" i="44" a="1"/>
  <c r="AU96" i="44"/>
  <c r="AV96" i="44" a="1"/>
  <c r="AV96" i="44"/>
  <c r="AW96" i="44" a="1"/>
  <c r="AW96" i="44"/>
  <c r="AX96" i="44" a="1"/>
  <c r="AX96" i="44"/>
  <c r="AY96" i="44" a="1"/>
  <c r="AY96" i="44"/>
  <c r="AZ96" i="44" a="1"/>
  <c r="AZ96" i="44"/>
  <c r="BA96" i="44" a="1"/>
  <c r="BA96" i="44"/>
  <c r="BO96" i="44" a="1"/>
  <c r="BO96" i="44"/>
  <c r="BP96" i="44" a="1"/>
  <c r="BP96" i="44"/>
  <c r="BQ96" i="44" a="1"/>
  <c r="BQ96" i="44"/>
  <c r="BR96" i="44" a="1"/>
  <c r="BR96" i="44"/>
  <c r="BS96" i="44" a="1"/>
  <c r="BS96" i="44"/>
  <c r="BT96" i="44" a="1"/>
  <c r="BT96" i="44"/>
  <c r="BU96" i="44" a="1"/>
  <c r="BU96" i="44"/>
  <c r="BV96" i="44" a="1"/>
  <c r="BV96" i="44"/>
  <c r="BW96" i="44" a="1"/>
  <c r="BW96" i="44"/>
  <c r="BY96" i="44" a="1"/>
  <c r="BY96" i="44"/>
  <c r="BZ96" i="44" a="1"/>
  <c r="BZ96" i="44"/>
  <c r="CA96" i="44" a="1"/>
  <c r="CA96" i="44"/>
  <c r="CB96" i="44" a="1"/>
  <c r="CB96" i="44"/>
  <c r="CC96" i="44" a="1"/>
  <c r="CC96" i="44"/>
  <c r="CD96" i="44" a="1"/>
  <c r="CD96" i="44"/>
  <c r="CE96" i="44" a="1"/>
  <c r="CE96" i="44"/>
  <c r="CF96" i="44" a="1"/>
  <c r="CF96" i="44"/>
  <c r="CG96" i="44" a="1"/>
  <c r="CG96" i="44"/>
  <c r="CI96" i="44" a="1"/>
  <c r="CI96" i="44"/>
  <c r="CJ96" i="44" a="1"/>
  <c r="CJ96" i="44"/>
  <c r="CK96" i="44" a="1"/>
  <c r="CK96" i="44"/>
  <c r="CL96" i="44" a="1"/>
  <c r="CL96" i="44"/>
  <c r="CM96" i="44" a="1"/>
  <c r="CM96" i="44"/>
  <c r="CN96" i="44" a="1"/>
  <c r="CN96" i="44"/>
  <c r="CO96" i="44" a="1"/>
  <c r="CO96" i="44"/>
  <c r="CP96" i="44" a="1"/>
  <c r="CP96" i="44"/>
  <c r="CQ96" i="44" a="1"/>
  <c r="CQ96" i="44"/>
  <c r="CS96" i="44" a="1"/>
  <c r="CS96" i="44"/>
  <c r="CT96" i="44" a="1"/>
  <c r="CT96" i="44"/>
  <c r="CU96" i="44" a="1"/>
  <c r="CU96" i="44"/>
  <c r="CV96" i="44" a="1"/>
  <c r="CV96" i="44"/>
  <c r="CW96" i="44" a="1"/>
  <c r="CW96" i="44"/>
  <c r="CX96" i="44" a="1"/>
  <c r="CX96" i="44"/>
  <c r="CY96" i="44" a="1"/>
  <c r="CY96" i="44"/>
  <c r="CZ96" i="44" a="1"/>
  <c r="CZ96" i="44"/>
  <c r="DA96" i="44" a="1"/>
  <c r="DA96" i="44"/>
  <c r="DB96" i="44" a="1"/>
  <c r="DB96" i="44"/>
  <c r="DC96" i="44" a="1"/>
  <c r="DC96" i="44"/>
  <c r="DD96" i="44" a="1"/>
  <c r="DD96" i="44"/>
  <c r="DE96" i="44" a="1"/>
  <c r="DE96" i="44"/>
  <c r="DF96" i="44" a="1"/>
  <c r="DF96" i="44"/>
  <c r="DG96" i="44" a="1"/>
  <c r="DG96" i="44"/>
  <c r="DH96" i="44" a="1"/>
  <c r="DH96" i="44"/>
  <c r="E97" i="44" a="1"/>
  <c r="E97" i="44"/>
  <c r="F97" i="44" a="1"/>
  <c r="F97" i="44"/>
  <c r="G97" i="44" a="1"/>
  <c r="G97" i="44"/>
  <c r="H97" i="44" a="1"/>
  <c r="H97" i="44"/>
  <c r="I97" i="44" a="1"/>
  <c r="I97" i="44"/>
  <c r="J97" i="44" a="1"/>
  <c r="J97" i="44"/>
  <c r="K97" i="44" a="1"/>
  <c r="K97" i="44"/>
  <c r="L97" i="44" a="1"/>
  <c r="L97" i="44"/>
  <c r="M97" i="44" a="1"/>
  <c r="M97" i="44"/>
  <c r="N97" i="44"/>
  <c r="O97" i="44" a="1"/>
  <c r="O97" i="44"/>
  <c r="P97" i="44" a="1"/>
  <c r="P97" i="44"/>
  <c r="Q97" i="44" a="1"/>
  <c r="Q97" i="44"/>
  <c r="R97" i="44" a="1"/>
  <c r="R97" i="44"/>
  <c r="S97" i="44" a="1"/>
  <c r="S97" i="44"/>
  <c r="T97" i="44" a="1"/>
  <c r="T97" i="44"/>
  <c r="U97" i="44" a="1"/>
  <c r="U97" i="44"/>
  <c r="V97" i="44" a="1"/>
  <c r="V97" i="44"/>
  <c r="W97" i="44" a="1"/>
  <c r="W97" i="44"/>
  <c r="Y97" i="44" a="1"/>
  <c r="Y97" i="44"/>
  <c r="Z97" i="44" a="1"/>
  <c r="Z97" i="44"/>
  <c r="AA97" i="44" a="1"/>
  <c r="AA97" i="44"/>
  <c r="AB97" i="44" a="1"/>
  <c r="AB97" i="44"/>
  <c r="AC97" i="44" a="1"/>
  <c r="AC97" i="44"/>
  <c r="AD97" i="44" a="1"/>
  <c r="AD97" i="44"/>
  <c r="AE97" i="44" a="1"/>
  <c r="AE97" i="44"/>
  <c r="AF97" i="44" a="1"/>
  <c r="AF97" i="44"/>
  <c r="AG97" i="44" a="1"/>
  <c r="AG97" i="44"/>
  <c r="AI97" i="44" a="1"/>
  <c r="AI97" i="44"/>
  <c r="AJ97" i="44" a="1"/>
  <c r="AJ97" i="44"/>
  <c r="AK97" i="44" a="1"/>
  <c r="AK97" i="44"/>
  <c r="AL97" i="44" a="1"/>
  <c r="AL97" i="44"/>
  <c r="AM97" i="44" a="1"/>
  <c r="AM97" i="44"/>
  <c r="AN97" i="44" a="1"/>
  <c r="AN97" i="44"/>
  <c r="AO97" i="44" a="1"/>
  <c r="AO97" i="44"/>
  <c r="AP97" i="44" a="1"/>
  <c r="AP97" i="44"/>
  <c r="AQ97" i="44" a="1"/>
  <c r="AQ97" i="44"/>
  <c r="AS97" i="44" a="1"/>
  <c r="AS97" i="44"/>
  <c r="AT97" i="44" a="1"/>
  <c r="AT97" i="44"/>
  <c r="AU97" i="44" a="1"/>
  <c r="AU97" i="44"/>
  <c r="AV97" i="44" a="1"/>
  <c r="AV97" i="44"/>
  <c r="AW97" i="44" a="1"/>
  <c r="AW97" i="44"/>
  <c r="AX97" i="44" a="1"/>
  <c r="AX97" i="44"/>
  <c r="AY97" i="44" a="1"/>
  <c r="AY97" i="44"/>
  <c r="AZ97" i="44" a="1"/>
  <c r="AZ97" i="44"/>
  <c r="BA97" i="44" a="1"/>
  <c r="BA97" i="44"/>
  <c r="BO97" i="44" a="1"/>
  <c r="BO97" i="44"/>
  <c r="BP97" i="44" a="1"/>
  <c r="BP97" i="44"/>
  <c r="BQ97" i="44" a="1"/>
  <c r="BQ97" i="44"/>
  <c r="BR97" i="44" a="1"/>
  <c r="BR97" i="44"/>
  <c r="BS97" i="44" a="1"/>
  <c r="BS97" i="44"/>
  <c r="BT97" i="44" a="1"/>
  <c r="BT97" i="44"/>
  <c r="BU97" i="44" a="1"/>
  <c r="BU97" i="44"/>
  <c r="BV97" i="44" a="1"/>
  <c r="BV97" i="44"/>
  <c r="BW97" i="44" a="1"/>
  <c r="BW97" i="44"/>
  <c r="BY97" i="44" a="1"/>
  <c r="BY97" i="44"/>
  <c r="BZ97" i="44" a="1"/>
  <c r="BZ97" i="44"/>
  <c r="CA97" i="44" a="1"/>
  <c r="CA97" i="44"/>
  <c r="CB97" i="44" a="1"/>
  <c r="CB97" i="44"/>
  <c r="CC97" i="44" a="1"/>
  <c r="CC97" i="44"/>
  <c r="CD97" i="44" a="1"/>
  <c r="CD97" i="44"/>
  <c r="CE97" i="44" a="1"/>
  <c r="CE97" i="44"/>
  <c r="CF97" i="44" a="1"/>
  <c r="CF97" i="44"/>
  <c r="CG97" i="44" a="1"/>
  <c r="CG97" i="44"/>
  <c r="CI97" i="44" a="1"/>
  <c r="CI97" i="44"/>
  <c r="CJ97" i="44" a="1"/>
  <c r="CJ97" i="44"/>
  <c r="CK97" i="44" a="1"/>
  <c r="CK97" i="44"/>
  <c r="CL97" i="44" a="1"/>
  <c r="CL97" i="44"/>
  <c r="CM97" i="44" a="1"/>
  <c r="CM97" i="44"/>
  <c r="CN97" i="44" a="1"/>
  <c r="CN97" i="44"/>
  <c r="CO97" i="44" a="1"/>
  <c r="CO97" i="44"/>
  <c r="CP97" i="44" a="1"/>
  <c r="CP97" i="44"/>
  <c r="CQ97" i="44" a="1"/>
  <c r="CQ97" i="44"/>
  <c r="CS97" i="44" a="1"/>
  <c r="CS97" i="44"/>
  <c r="CT97" i="44" a="1"/>
  <c r="CT97" i="44"/>
  <c r="CU97" i="44" a="1"/>
  <c r="CU97" i="44"/>
  <c r="CV97" i="44" a="1"/>
  <c r="CV97" i="44"/>
  <c r="CW97" i="44" a="1"/>
  <c r="CW97" i="44"/>
  <c r="CX97" i="44" a="1"/>
  <c r="CX97" i="44"/>
  <c r="CY97" i="44" a="1"/>
  <c r="CY97" i="44"/>
  <c r="CZ97" i="44" a="1"/>
  <c r="CZ97" i="44"/>
  <c r="DA97" i="44" a="1"/>
  <c r="DA97" i="44"/>
  <c r="DB97" i="44" a="1"/>
  <c r="DB97" i="44"/>
  <c r="DC97" i="44" a="1"/>
  <c r="DC97" i="44"/>
  <c r="DD97" i="44" a="1"/>
  <c r="DD97" i="44"/>
  <c r="DE97" i="44" a="1"/>
  <c r="DE97" i="44"/>
  <c r="DF97" i="44" a="1"/>
  <c r="DF97" i="44"/>
  <c r="DG97" i="44" a="1"/>
  <c r="DG97" i="44"/>
  <c r="DH97" i="44" a="1"/>
  <c r="DH97" i="44"/>
  <c r="E98" i="44" a="1"/>
  <c r="E98" i="44"/>
  <c r="F98" i="44" a="1"/>
  <c r="F98" i="44"/>
  <c r="G98" i="44" a="1"/>
  <c r="G98" i="44"/>
  <c r="H98" i="44" a="1"/>
  <c r="H98" i="44"/>
  <c r="I98" i="44" a="1"/>
  <c r="I98" i="44"/>
  <c r="J98" i="44" a="1"/>
  <c r="J98" i="44"/>
  <c r="K98" i="44" a="1"/>
  <c r="K98" i="44"/>
  <c r="L98" i="44" a="1"/>
  <c r="L98" i="44"/>
  <c r="M98" i="44" a="1"/>
  <c r="M98" i="44"/>
  <c r="N98" i="44"/>
  <c r="O98" i="44" a="1"/>
  <c r="O98" i="44"/>
  <c r="P98" i="44" a="1"/>
  <c r="P98" i="44"/>
  <c r="Q98" i="44" a="1"/>
  <c r="Q98" i="44"/>
  <c r="R98" i="44" a="1"/>
  <c r="R98" i="44"/>
  <c r="S98" i="44" a="1"/>
  <c r="S98" i="44"/>
  <c r="T98" i="44" a="1"/>
  <c r="T98" i="44"/>
  <c r="U98" i="44" a="1"/>
  <c r="U98" i="44"/>
  <c r="V98" i="44" a="1"/>
  <c r="V98" i="44"/>
  <c r="W98" i="44" a="1"/>
  <c r="W98" i="44"/>
  <c r="Y98" i="44" a="1"/>
  <c r="Y98" i="44"/>
  <c r="Z98" i="44" a="1"/>
  <c r="Z98" i="44"/>
  <c r="AA98" i="44" a="1"/>
  <c r="AA98" i="44"/>
  <c r="AB98" i="44" a="1"/>
  <c r="AB98" i="44"/>
  <c r="AC98" i="44" a="1"/>
  <c r="AC98" i="44"/>
  <c r="AD98" i="44" a="1"/>
  <c r="AD98" i="44"/>
  <c r="AE98" i="44" a="1"/>
  <c r="AE98" i="44"/>
  <c r="AF98" i="44" a="1"/>
  <c r="AF98" i="44"/>
  <c r="AG98" i="44" a="1"/>
  <c r="AG98" i="44"/>
  <c r="AI98" i="44" a="1"/>
  <c r="AI98" i="44"/>
  <c r="AJ98" i="44" a="1"/>
  <c r="AJ98" i="44"/>
  <c r="AK98" i="44" a="1"/>
  <c r="AK98" i="44"/>
  <c r="AL98" i="44" a="1"/>
  <c r="AL98" i="44"/>
  <c r="AM98" i="44" a="1"/>
  <c r="AM98" i="44"/>
  <c r="AN98" i="44" a="1"/>
  <c r="AN98" i="44"/>
  <c r="AO98" i="44" a="1"/>
  <c r="AO98" i="44"/>
  <c r="AP98" i="44" a="1"/>
  <c r="AP98" i="44"/>
  <c r="AQ98" i="44" a="1"/>
  <c r="AQ98" i="44"/>
  <c r="AS98" i="44" a="1"/>
  <c r="AS98" i="44"/>
  <c r="AT98" i="44" a="1"/>
  <c r="AT98" i="44"/>
  <c r="AU98" i="44" a="1"/>
  <c r="AU98" i="44"/>
  <c r="AV98" i="44" a="1"/>
  <c r="AV98" i="44"/>
  <c r="AW98" i="44" a="1"/>
  <c r="AW98" i="44"/>
  <c r="AX98" i="44" a="1"/>
  <c r="AX98" i="44"/>
  <c r="AY98" i="44" a="1"/>
  <c r="AY98" i="44"/>
  <c r="AZ98" i="44" a="1"/>
  <c r="AZ98" i="44"/>
  <c r="BA98" i="44" a="1"/>
  <c r="BA98" i="44"/>
  <c r="BO98" i="44" a="1"/>
  <c r="BO98" i="44"/>
  <c r="BP98" i="44" a="1"/>
  <c r="BP98" i="44"/>
  <c r="BQ98" i="44" a="1"/>
  <c r="BQ98" i="44"/>
  <c r="BR98" i="44" a="1"/>
  <c r="BR98" i="44"/>
  <c r="BS98" i="44" a="1"/>
  <c r="BS98" i="44"/>
  <c r="BT98" i="44" a="1"/>
  <c r="BT98" i="44"/>
  <c r="BU98" i="44" a="1"/>
  <c r="BU98" i="44"/>
  <c r="BV98" i="44" a="1"/>
  <c r="BV98" i="44"/>
  <c r="BW98" i="44" a="1"/>
  <c r="BW98" i="44"/>
  <c r="BY98" i="44" a="1"/>
  <c r="BY98" i="44"/>
  <c r="BZ98" i="44" a="1"/>
  <c r="BZ98" i="44"/>
  <c r="CA98" i="44" a="1"/>
  <c r="CA98" i="44"/>
  <c r="CB98" i="44" a="1"/>
  <c r="CB98" i="44"/>
  <c r="CC98" i="44" a="1"/>
  <c r="CC98" i="44"/>
  <c r="CD98" i="44" a="1"/>
  <c r="CD98" i="44"/>
  <c r="CE98" i="44" a="1"/>
  <c r="CE98" i="44"/>
  <c r="CF98" i="44" a="1"/>
  <c r="CF98" i="44"/>
  <c r="CG98" i="44" a="1"/>
  <c r="CG98" i="44"/>
  <c r="CI98" i="44" a="1"/>
  <c r="CI98" i="44"/>
  <c r="CJ98" i="44" a="1"/>
  <c r="CJ98" i="44"/>
  <c r="CK98" i="44" a="1"/>
  <c r="CK98" i="44"/>
  <c r="CL98" i="44" a="1"/>
  <c r="CL98" i="44"/>
  <c r="CM98" i="44" a="1"/>
  <c r="CM98" i="44"/>
  <c r="CN98" i="44" a="1"/>
  <c r="CN98" i="44"/>
  <c r="CO98" i="44" a="1"/>
  <c r="CO98" i="44"/>
  <c r="CP98" i="44" a="1"/>
  <c r="CP98" i="44"/>
  <c r="CQ98" i="44" a="1"/>
  <c r="CQ98" i="44"/>
  <c r="CS98" i="44" a="1"/>
  <c r="CS98" i="44"/>
  <c r="CT98" i="44" a="1"/>
  <c r="CT98" i="44"/>
  <c r="CU98" i="44" a="1"/>
  <c r="CU98" i="44"/>
  <c r="CV98" i="44" a="1"/>
  <c r="CV98" i="44"/>
  <c r="CW98" i="44" a="1"/>
  <c r="CW98" i="44"/>
  <c r="CX98" i="44" a="1"/>
  <c r="CX98" i="44"/>
  <c r="CY98" i="44" a="1"/>
  <c r="CY98" i="44"/>
  <c r="CZ98" i="44" a="1"/>
  <c r="CZ98" i="44"/>
  <c r="DA98" i="44" a="1"/>
  <c r="DA98" i="44"/>
  <c r="DB98" i="44" a="1"/>
  <c r="DB98" i="44"/>
  <c r="DC98" i="44" a="1"/>
  <c r="DC98" i="44"/>
  <c r="DD98" i="44" a="1"/>
  <c r="DD98" i="44"/>
  <c r="DE98" i="44" a="1"/>
  <c r="DE98" i="44"/>
  <c r="DF98" i="44" a="1"/>
  <c r="DF98" i="44"/>
  <c r="DG98" i="44" a="1"/>
  <c r="DG98" i="44"/>
  <c r="DH98" i="44" a="1"/>
  <c r="DH98" i="44"/>
  <c r="E99" i="44" a="1"/>
  <c r="E99" i="44"/>
  <c r="F99" i="44" a="1"/>
  <c r="F99" i="44"/>
  <c r="G99" i="44" a="1"/>
  <c r="G99" i="44"/>
  <c r="H99" i="44" a="1"/>
  <c r="H99" i="44"/>
  <c r="I99" i="44" a="1"/>
  <c r="I99" i="44"/>
  <c r="J99" i="44" a="1"/>
  <c r="J99" i="44"/>
  <c r="K99" i="44" a="1"/>
  <c r="K99" i="44"/>
  <c r="L99" i="44" a="1"/>
  <c r="L99" i="44"/>
  <c r="M99" i="44" a="1"/>
  <c r="M99" i="44"/>
  <c r="N99" i="44"/>
  <c r="O99" i="44" a="1"/>
  <c r="O99" i="44"/>
  <c r="P99" i="44" a="1"/>
  <c r="P99" i="44"/>
  <c r="Q99" i="44" a="1"/>
  <c r="Q99" i="44"/>
  <c r="R99" i="44" a="1"/>
  <c r="R99" i="44"/>
  <c r="S99" i="44" a="1"/>
  <c r="S99" i="44"/>
  <c r="T99" i="44" a="1"/>
  <c r="T99" i="44"/>
  <c r="U99" i="44" a="1"/>
  <c r="U99" i="44"/>
  <c r="V99" i="44" a="1"/>
  <c r="V99" i="44"/>
  <c r="W99" i="44" a="1"/>
  <c r="W99" i="44"/>
  <c r="Y99" i="44" a="1"/>
  <c r="Y99" i="44"/>
  <c r="Z99" i="44" a="1"/>
  <c r="Z99" i="44"/>
  <c r="AA99" i="44" a="1"/>
  <c r="AA99" i="44"/>
  <c r="AB99" i="44" a="1"/>
  <c r="AB99" i="44"/>
  <c r="AC99" i="44" a="1"/>
  <c r="AC99" i="44"/>
  <c r="AD99" i="44" a="1"/>
  <c r="AD99" i="44"/>
  <c r="AE99" i="44" a="1"/>
  <c r="AE99" i="44"/>
  <c r="AF99" i="44" a="1"/>
  <c r="AF99" i="44"/>
  <c r="AG99" i="44" a="1"/>
  <c r="AG99" i="44"/>
  <c r="AI99" i="44" a="1"/>
  <c r="AI99" i="44"/>
  <c r="AJ99" i="44" a="1"/>
  <c r="AJ99" i="44"/>
  <c r="AK99" i="44" a="1"/>
  <c r="AK99" i="44"/>
  <c r="AL99" i="44" a="1"/>
  <c r="AL99" i="44"/>
  <c r="AM99" i="44" a="1"/>
  <c r="AM99" i="44"/>
  <c r="AN99" i="44" a="1"/>
  <c r="AN99" i="44"/>
  <c r="AO99" i="44" a="1"/>
  <c r="AO99" i="44"/>
  <c r="AP99" i="44" a="1"/>
  <c r="AP99" i="44"/>
  <c r="AQ99" i="44" a="1"/>
  <c r="AQ99" i="44"/>
  <c r="AS99" i="44" a="1"/>
  <c r="AS99" i="44"/>
  <c r="AT99" i="44" a="1"/>
  <c r="AT99" i="44"/>
  <c r="AU99" i="44" a="1"/>
  <c r="AU99" i="44"/>
  <c r="AV99" i="44" a="1"/>
  <c r="AV99" i="44"/>
  <c r="AW99" i="44" a="1"/>
  <c r="AW99" i="44"/>
  <c r="AX99" i="44" a="1"/>
  <c r="AX99" i="44"/>
  <c r="AY99" i="44" a="1"/>
  <c r="AY99" i="44"/>
  <c r="AZ99" i="44" a="1"/>
  <c r="AZ99" i="44"/>
  <c r="BA99" i="44" a="1"/>
  <c r="BA99" i="44"/>
  <c r="BO99" i="44" a="1"/>
  <c r="BO99" i="44"/>
  <c r="BP99" i="44" a="1"/>
  <c r="BP99" i="44"/>
  <c r="BQ99" i="44" a="1"/>
  <c r="BQ99" i="44"/>
  <c r="BR99" i="44" a="1"/>
  <c r="BR99" i="44"/>
  <c r="BS99" i="44" a="1"/>
  <c r="BS99" i="44"/>
  <c r="BT99" i="44" a="1"/>
  <c r="BT99" i="44"/>
  <c r="BU99" i="44" a="1"/>
  <c r="BU99" i="44"/>
  <c r="BV99" i="44" a="1"/>
  <c r="BV99" i="44"/>
  <c r="BW99" i="44" a="1"/>
  <c r="BW99" i="44"/>
  <c r="BY99" i="44" a="1"/>
  <c r="BY99" i="44"/>
  <c r="BZ99" i="44" a="1"/>
  <c r="BZ99" i="44"/>
  <c r="CA99" i="44" a="1"/>
  <c r="CA99" i="44"/>
  <c r="CB99" i="44" a="1"/>
  <c r="CB99" i="44"/>
  <c r="CC99" i="44" a="1"/>
  <c r="CC99" i="44"/>
  <c r="CD99" i="44" a="1"/>
  <c r="CD99" i="44"/>
  <c r="CE99" i="44" a="1"/>
  <c r="CE99" i="44"/>
  <c r="CF99" i="44" a="1"/>
  <c r="CF99" i="44"/>
  <c r="CG99" i="44" a="1"/>
  <c r="CG99" i="44"/>
  <c r="CI99" i="44" a="1"/>
  <c r="CI99" i="44"/>
  <c r="CJ99" i="44" a="1"/>
  <c r="CJ99" i="44"/>
  <c r="CK99" i="44" a="1"/>
  <c r="CK99" i="44"/>
  <c r="CL99" i="44" a="1"/>
  <c r="CL99" i="44"/>
  <c r="CM99" i="44" a="1"/>
  <c r="CM99" i="44"/>
  <c r="CN99" i="44" a="1"/>
  <c r="CN99" i="44"/>
  <c r="CO99" i="44" a="1"/>
  <c r="CO99" i="44"/>
  <c r="CP99" i="44" a="1"/>
  <c r="CP99" i="44"/>
  <c r="CQ99" i="44" a="1"/>
  <c r="CQ99" i="44"/>
  <c r="CS99" i="44" a="1"/>
  <c r="CS99" i="44"/>
  <c r="CT99" i="44" a="1"/>
  <c r="CT99" i="44"/>
  <c r="CU99" i="44" a="1"/>
  <c r="CU99" i="44"/>
  <c r="CV99" i="44" a="1"/>
  <c r="CV99" i="44"/>
  <c r="CW99" i="44" a="1"/>
  <c r="CW99" i="44"/>
  <c r="CX99" i="44" a="1"/>
  <c r="CX99" i="44"/>
  <c r="CY99" i="44" a="1"/>
  <c r="CY99" i="44"/>
  <c r="CZ99" i="44" a="1"/>
  <c r="CZ99" i="44"/>
  <c r="DA99" i="44" a="1"/>
  <c r="DA99" i="44"/>
  <c r="DB99" i="44" a="1"/>
  <c r="DB99" i="44"/>
  <c r="DC99" i="44" a="1"/>
  <c r="DC99" i="44"/>
  <c r="DD99" i="44" a="1"/>
  <c r="DD99" i="44"/>
  <c r="DE99" i="44" a="1"/>
  <c r="DE99" i="44"/>
  <c r="DF99" i="44" a="1"/>
  <c r="DF99" i="44"/>
  <c r="DG99" i="44" a="1"/>
  <c r="DG99" i="44"/>
  <c r="DH99" i="44" a="1"/>
  <c r="DH99" i="44"/>
  <c r="E100" i="44" a="1"/>
  <c r="E100" i="44"/>
  <c r="F100" i="44" a="1"/>
  <c r="F100" i="44"/>
  <c r="G100" i="44" a="1"/>
  <c r="G100" i="44"/>
  <c r="H100" i="44" a="1"/>
  <c r="H100" i="44"/>
  <c r="I100" i="44" a="1"/>
  <c r="I100" i="44"/>
  <c r="J100" i="44" a="1"/>
  <c r="J100" i="44"/>
  <c r="K100" i="44" a="1"/>
  <c r="K100" i="44"/>
  <c r="L100" i="44" a="1"/>
  <c r="L100" i="44"/>
  <c r="M100" i="44" a="1"/>
  <c r="M100" i="44"/>
  <c r="N100" i="44"/>
  <c r="O100" i="44" a="1"/>
  <c r="O100" i="44"/>
  <c r="P100" i="44" a="1"/>
  <c r="P100" i="44"/>
  <c r="Q100" i="44" a="1"/>
  <c r="Q100" i="44"/>
  <c r="R100" i="44" a="1"/>
  <c r="R100" i="44"/>
  <c r="S100" i="44" a="1"/>
  <c r="S100" i="44"/>
  <c r="T100" i="44" a="1"/>
  <c r="T100" i="44"/>
  <c r="U100" i="44" a="1"/>
  <c r="U100" i="44"/>
  <c r="V100" i="44" a="1"/>
  <c r="V100" i="44"/>
  <c r="W100" i="44" a="1"/>
  <c r="W100" i="44"/>
  <c r="Y100" i="44" a="1"/>
  <c r="Y100" i="44"/>
  <c r="Z100" i="44" a="1"/>
  <c r="Z100" i="44"/>
  <c r="AA100" i="44" a="1"/>
  <c r="AA100" i="44"/>
  <c r="AB100" i="44" a="1"/>
  <c r="AB100" i="44"/>
  <c r="AC100" i="44" a="1"/>
  <c r="AC100" i="44"/>
  <c r="AD100" i="44" a="1"/>
  <c r="AD100" i="44"/>
  <c r="AE100" i="44" a="1"/>
  <c r="AE100" i="44"/>
  <c r="AF100" i="44" a="1"/>
  <c r="AF100" i="44"/>
  <c r="AG100" i="44" a="1"/>
  <c r="AG100" i="44"/>
  <c r="AI100" i="44" a="1"/>
  <c r="AI100" i="44"/>
  <c r="AJ100" i="44" a="1"/>
  <c r="AJ100" i="44"/>
  <c r="AK100" i="44" a="1"/>
  <c r="AK100" i="44"/>
  <c r="AL100" i="44" a="1"/>
  <c r="AL100" i="44"/>
  <c r="AM100" i="44" a="1"/>
  <c r="AM100" i="44"/>
  <c r="AN100" i="44" a="1"/>
  <c r="AN100" i="44"/>
  <c r="AO100" i="44" a="1"/>
  <c r="AO100" i="44"/>
  <c r="AP100" i="44" a="1"/>
  <c r="AP100" i="44"/>
  <c r="AQ100" i="44" a="1"/>
  <c r="AQ100" i="44"/>
  <c r="AS100" i="44" a="1"/>
  <c r="AS100" i="44"/>
  <c r="AT100" i="44" a="1"/>
  <c r="AT100" i="44"/>
  <c r="AU100" i="44" a="1"/>
  <c r="AU100" i="44"/>
  <c r="AV100" i="44" a="1"/>
  <c r="AV100" i="44"/>
  <c r="AW100" i="44" a="1"/>
  <c r="AW100" i="44"/>
  <c r="AX100" i="44" a="1"/>
  <c r="AX100" i="44"/>
  <c r="AY100" i="44" a="1"/>
  <c r="AY100" i="44"/>
  <c r="AZ100" i="44" a="1"/>
  <c r="AZ100" i="44"/>
  <c r="BA100" i="44" a="1"/>
  <c r="BA100" i="44"/>
  <c r="BO100" i="44" a="1"/>
  <c r="BO100" i="44"/>
  <c r="BP100" i="44" a="1"/>
  <c r="BP100" i="44"/>
  <c r="BQ100" i="44" a="1"/>
  <c r="BQ100" i="44"/>
  <c r="BR100" i="44" a="1"/>
  <c r="BR100" i="44"/>
  <c r="BS100" i="44" a="1"/>
  <c r="BS100" i="44"/>
  <c r="BT100" i="44" a="1"/>
  <c r="BT100" i="44"/>
  <c r="BU100" i="44" a="1"/>
  <c r="BU100" i="44"/>
  <c r="BV100" i="44" a="1"/>
  <c r="BV100" i="44"/>
  <c r="BW100" i="44" a="1"/>
  <c r="BW100" i="44"/>
  <c r="BY100" i="44" a="1"/>
  <c r="BY100" i="44"/>
  <c r="BZ100" i="44" a="1"/>
  <c r="BZ100" i="44"/>
  <c r="CA100" i="44" a="1"/>
  <c r="CA100" i="44"/>
  <c r="CB100" i="44" a="1"/>
  <c r="CB100" i="44"/>
  <c r="CC100" i="44" a="1"/>
  <c r="CC100" i="44"/>
  <c r="CD100" i="44" a="1"/>
  <c r="CD100" i="44"/>
  <c r="CE100" i="44" a="1"/>
  <c r="CE100" i="44"/>
  <c r="CF100" i="44" a="1"/>
  <c r="CF100" i="44"/>
  <c r="CG100" i="44" a="1"/>
  <c r="CG100" i="44"/>
  <c r="CI100" i="44" a="1"/>
  <c r="CI100" i="44"/>
  <c r="CJ100" i="44" a="1"/>
  <c r="CJ100" i="44"/>
  <c r="CK100" i="44" a="1"/>
  <c r="CK100" i="44"/>
  <c r="CL100" i="44" a="1"/>
  <c r="CL100" i="44"/>
  <c r="CM100" i="44" a="1"/>
  <c r="CM100" i="44"/>
  <c r="CN100" i="44" a="1"/>
  <c r="CN100" i="44"/>
  <c r="CO100" i="44" a="1"/>
  <c r="CO100" i="44"/>
  <c r="CP100" i="44" a="1"/>
  <c r="CP100" i="44"/>
  <c r="CQ100" i="44" a="1"/>
  <c r="CQ100" i="44"/>
  <c r="CS100" i="44" a="1"/>
  <c r="CS100" i="44"/>
  <c r="CT100" i="44" a="1"/>
  <c r="CT100" i="44"/>
  <c r="CU100" i="44" a="1"/>
  <c r="CU100" i="44"/>
  <c r="CV100" i="44" a="1"/>
  <c r="CV100" i="44"/>
  <c r="CW100" i="44" a="1"/>
  <c r="CW100" i="44"/>
  <c r="CX100" i="44" a="1"/>
  <c r="CX100" i="44"/>
  <c r="CY100" i="44" a="1"/>
  <c r="CY100" i="44"/>
  <c r="CZ100" i="44" a="1"/>
  <c r="CZ100" i="44"/>
  <c r="DA100" i="44" a="1"/>
  <c r="DA100" i="44"/>
  <c r="DB100" i="44" a="1"/>
  <c r="DB100" i="44"/>
  <c r="DC100" i="44" a="1"/>
  <c r="DC100" i="44"/>
  <c r="DD100" i="44" a="1"/>
  <c r="DD100" i="44"/>
  <c r="DE100" i="44" a="1"/>
  <c r="DE100" i="44"/>
  <c r="DF100" i="44" a="1"/>
  <c r="DF100" i="44"/>
  <c r="DG100" i="44" a="1"/>
  <c r="DG100" i="44"/>
  <c r="DH100" i="44" a="1"/>
  <c r="DH100" i="44"/>
  <c r="E101" i="44" a="1"/>
  <c r="E101" i="44"/>
  <c r="F101" i="44" a="1"/>
  <c r="F101" i="44"/>
  <c r="G101" i="44" a="1"/>
  <c r="G101" i="44"/>
  <c r="H101" i="44" a="1"/>
  <c r="H101" i="44"/>
  <c r="I101" i="44" a="1"/>
  <c r="I101" i="44"/>
  <c r="J101" i="44" a="1"/>
  <c r="J101" i="44"/>
  <c r="K101" i="44" a="1"/>
  <c r="K101" i="44"/>
  <c r="L101" i="44" a="1"/>
  <c r="L101" i="44"/>
  <c r="M101" i="44" a="1"/>
  <c r="M101" i="44"/>
  <c r="N101" i="44"/>
  <c r="O101" i="44" a="1"/>
  <c r="O101" i="44"/>
  <c r="P101" i="44" a="1"/>
  <c r="P101" i="44"/>
  <c r="Q101" i="44" a="1"/>
  <c r="Q101" i="44"/>
  <c r="R101" i="44" a="1"/>
  <c r="R101" i="44"/>
  <c r="S101" i="44" a="1"/>
  <c r="S101" i="44"/>
  <c r="T101" i="44" a="1"/>
  <c r="T101" i="44"/>
  <c r="U101" i="44" a="1"/>
  <c r="U101" i="44"/>
  <c r="V101" i="44" a="1"/>
  <c r="V101" i="44"/>
  <c r="W101" i="44" a="1"/>
  <c r="W101" i="44"/>
  <c r="Y101" i="44" a="1"/>
  <c r="Y101" i="44"/>
  <c r="Z101" i="44" a="1"/>
  <c r="Z101" i="44"/>
  <c r="AA101" i="44" a="1"/>
  <c r="AA101" i="44"/>
  <c r="AB101" i="44" a="1"/>
  <c r="AB101" i="44"/>
  <c r="AC101" i="44" a="1"/>
  <c r="AC101" i="44"/>
  <c r="AD101" i="44" a="1"/>
  <c r="AD101" i="44"/>
  <c r="AE101" i="44" a="1"/>
  <c r="AE101" i="44"/>
  <c r="AF101" i="44" a="1"/>
  <c r="AF101" i="44"/>
  <c r="AG101" i="44" a="1"/>
  <c r="AG101" i="44"/>
  <c r="AI101" i="44" a="1"/>
  <c r="AI101" i="44"/>
  <c r="AJ101" i="44" a="1"/>
  <c r="AJ101" i="44"/>
  <c r="AK101" i="44" a="1"/>
  <c r="AK101" i="44"/>
  <c r="AL101" i="44" a="1"/>
  <c r="AL101" i="44"/>
  <c r="AM101" i="44" a="1"/>
  <c r="AM101" i="44"/>
  <c r="AN101" i="44" a="1"/>
  <c r="AN101" i="44"/>
  <c r="AO101" i="44" a="1"/>
  <c r="AO101" i="44"/>
  <c r="AP101" i="44" a="1"/>
  <c r="AP101" i="44"/>
  <c r="AQ101" i="44" a="1"/>
  <c r="AQ101" i="44"/>
  <c r="AS101" i="44" a="1"/>
  <c r="AS101" i="44"/>
  <c r="AT101" i="44" a="1"/>
  <c r="AT101" i="44"/>
  <c r="AU101" i="44" a="1"/>
  <c r="AU101" i="44"/>
  <c r="AV101" i="44" a="1"/>
  <c r="AV101" i="44"/>
  <c r="AW101" i="44" a="1"/>
  <c r="AW101" i="44"/>
  <c r="AX101" i="44" a="1"/>
  <c r="AX101" i="44"/>
  <c r="AY101" i="44" a="1"/>
  <c r="AY101" i="44"/>
  <c r="AZ101" i="44" a="1"/>
  <c r="AZ101" i="44"/>
  <c r="BA101" i="44" a="1"/>
  <c r="BA101" i="44"/>
  <c r="BO101" i="44" a="1"/>
  <c r="BO101" i="44"/>
  <c r="BP101" i="44" a="1"/>
  <c r="BP101" i="44"/>
  <c r="BQ101" i="44" a="1"/>
  <c r="BQ101" i="44"/>
  <c r="BR101" i="44" a="1"/>
  <c r="BR101" i="44"/>
  <c r="BS101" i="44" a="1"/>
  <c r="BS101" i="44"/>
  <c r="BT101" i="44" a="1"/>
  <c r="BT101" i="44"/>
  <c r="BU101" i="44" a="1"/>
  <c r="BU101" i="44"/>
  <c r="BV101" i="44" a="1"/>
  <c r="BV101" i="44"/>
  <c r="BW101" i="44" a="1"/>
  <c r="BW101" i="44"/>
  <c r="BY101" i="44" a="1"/>
  <c r="BY101" i="44"/>
  <c r="BZ101" i="44" a="1"/>
  <c r="BZ101" i="44"/>
  <c r="CA101" i="44" a="1"/>
  <c r="CA101" i="44"/>
  <c r="CB101" i="44" a="1"/>
  <c r="CB101" i="44"/>
  <c r="CC101" i="44" a="1"/>
  <c r="CC101" i="44"/>
  <c r="CD101" i="44" a="1"/>
  <c r="CD101" i="44"/>
  <c r="CE101" i="44" a="1"/>
  <c r="CE101" i="44"/>
  <c r="CF101" i="44" a="1"/>
  <c r="CF101" i="44"/>
  <c r="CG101" i="44" a="1"/>
  <c r="CG101" i="44"/>
  <c r="CI101" i="44" a="1"/>
  <c r="CI101" i="44"/>
  <c r="CJ101" i="44" a="1"/>
  <c r="CJ101" i="44"/>
  <c r="CK101" i="44" a="1"/>
  <c r="CK101" i="44"/>
  <c r="CL101" i="44" a="1"/>
  <c r="CL101" i="44"/>
  <c r="CM101" i="44" a="1"/>
  <c r="CM101" i="44"/>
  <c r="CN101" i="44" a="1"/>
  <c r="CN101" i="44"/>
  <c r="CO101" i="44" a="1"/>
  <c r="CO101" i="44"/>
  <c r="CP101" i="44" a="1"/>
  <c r="CP101" i="44"/>
  <c r="CQ101" i="44" a="1"/>
  <c r="CQ101" i="44"/>
  <c r="CS101" i="44" a="1"/>
  <c r="CS101" i="44"/>
  <c r="CT101" i="44" a="1"/>
  <c r="CT101" i="44"/>
  <c r="CU101" i="44" a="1"/>
  <c r="CU101" i="44"/>
  <c r="CV101" i="44" a="1"/>
  <c r="CV101" i="44"/>
  <c r="CW101" i="44" a="1"/>
  <c r="CW101" i="44"/>
  <c r="CX101" i="44" a="1"/>
  <c r="CX101" i="44"/>
  <c r="CY101" i="44" a="1"/>
  <c r="CY101" i="44"/>
  <c r="CZ101" i="44" a="1"/>
  <c r="CZ101" i="44"/>
  <c r="DA101" i="44" a="1"/>
  <c r="DA101" i="44"/>
  <c r="DB101" i="44" a="1"/>
  <c r="DB101" i="44"/>
  <c r="DC101" i="44" a="1"/>
  <c r="DC101" i="44"/>
  <c r="DD101" i="44" a="1"/>
  <c r="DD101" i="44"/>
  <c r="DE101" i="44" a="1"/>
  <c r="DE101" i="44"/>
  <c r="DF101" i="44" a="1"/>
  <c r="DF101" i="44"/>
  <c r="DG101" i="44" a="1"/>
  <c r="DG101" i="44"/>
  <c r="DH101" i="44" a="1"/>
  <c r="DH101" i="44"/>
  <c r="E102" i="44" a="1"/>
  <c r="E102" i="44"/>
  <c r="F102" i="44" a="1"/>
  <c r="F102" i="44"/>
  <c r="G102" i="44" a="1"/>
  <c r="G102" i="44"/>
  <c r="H102" i="44" a="1"/>
  <c r="H102" i="44"/>
  <c r="I102" i="44" a="1"/>
  <c r="I102" i="44"/>
  <c r="J102" i="44" a="1"/>
  <c r="J102" i="44"/>
  <c r="K102" i="44" a="1"/>
  <c r="K102" i="44"/>
  <c r="L102" i="44" a="1"/>
  <c r="L102" i="44"/>
  <c r="M102" i="44" a="1"/>
  <c r="M102" i="44"/>
  <c r="N102" i="44"/>
  <c r="O102" i="44" a="1"/>
  <c r="O102" i="44"/>
  <c r="P102" i="44" a="1"/>
  <c r="P102" i="44"/>
  <c r="Q102" i="44" a="1"/>
  <c r="Q102" i="44"/>
  <c r="R102" i="44" a="1"/>
  <c r="R102" i="44"/>
  <c r="S102" i="44" a="1"/>
  <c r="S102" i="44"/>
  <c r="T102" i="44" a="1"/>
  <c r="T102" i="44"/>
  <c r="U102" i="44" a="1"/>
  <c r="U102" i="44"/>
  <c r="V102" i="44" a="1"/>
  <c r="V102" i="44"/>
  <c r="W102" i="44" a="1"/>
  <c r="W102" i="44"/>
  <c r="Y102" i="44" a="1"/>
  <c r="Y102" i="44"/>
  <c r="Z102" i="44" a="1"/>
  <c r="Z102" i="44"/>
  <c r="AA102" i="44" a="1"/>
  <c r="AA102" i="44"/>
  <c r="AB102" i="44" a="1"/>
  <c r="AB102" i="44"/>
  <c r="AC102" i="44" a="1"/>
  <c r="AC102" i="44"/>
  <c r="AD102" i="44" a="1"/>
  <c r="AD102" i="44"/>
  <c r="AE102" i="44" a="1"/>
  <c r="AE102" i="44"/>
  <c r="AF102" i="44" a="1"/>
  <c r="AF102" i="44"/>
  <c r="AG102" i="44" a="1"/>
  <c r="AG102" i="44"/>
  <c r="AI102" i="44" a="1"/>
  <c r="AI102" i="44"/>
  <c r="AJ102" i="44" a="1"/>
  <c r="AJ102" i="44"/>
  <c r="AK102" i="44" a="1"/>
  <c r="AK102" i="44"/>
  <c r="AL102" i="44" a="1"/>
  <c r="AL102" i="44"/>
  <c r="AM102" i="44" a="1"/>
  <c r="AM102" i="44"/>
  <c r="AN102" i="44" a="1"/>
  <c r="AN102" i="44"/>
  <c r="AO102" i="44" a="1"/>
  <c r="AO102" i="44"/>
  <c r="AP102" i="44" a="1"/>
  <c r="AP102" i="44"/>
  <c r="AQ102" i="44" a="1"/>
  <c r="AQ102" i="44"/>
  <c r="AS102" i="44" a="1"/>
  <c r="AS102" i="44"/>
  <c r="AT102" i="44" a="1"/>
  <c r="AT102" i="44"/>
  <c r="AU102" i="44" a="1"/>
  <c r="AU102" i="44"/>
  <c r="AV102" i="44" a="1"/>
  <c r="AV102" i="44"/>
  <c r="AW102" i="44" a="1"/>
  <c r="AW102" i="44"/>
  <c r="AX102" i="44" a="1"/>
  <c r="AX102" i="44"/>
  <c r="AY102" i="44" a="1"/>
  <c r="AY102" i="44"/>
  <c r="AZ102" i="44" a="1"/>
  <c r="AZ102" i="44"/>
  <c r="BA102" i="44" a="1"/>
  <c r="BA102" i="44"/>
  <c r="BO102" i="44" a="1"/>
  <c r="BO102" i="44"/>
  <c r="BP102" i="44" a="1"/>
  <c r="BP102" i="44"/>
  <c r="BQ102" i="44" a="1"/>
  <c r="BQ102" i="44"/>
  <c r="BR102" i="44" a="1"/>
  <c r="BR102" i="44"/>
  <c r="BS102" i="44" a="1"/>
  <c r="BS102" i="44"/>
  <c r="BT102" i="44" a="1"/>
  <c r="BT102" i="44"/>
  <c r="BU102" i="44" a="1"/>
  <c r="BU102" i="44"/>
  <c r="BV102" i="44" a="1"/>
  <c r="BV102" i="44"/>
  <c r="BW102" i="44" a="1"/>
  <c r="BW102" i="44"/>
  <c r="BY102" i="44" a="1"/>
  <c r="BY102" i="44"/>
  <c r="BZ102" i="44" a="1"/>
  <c r="BZ102" i="44"/>
  <c r="CA102" i="44" a="1"/>
  <c r="CA102" i="44"/>
  <c r="CB102" i="44" a="1"/>
  <c r="CB102" i="44"/>
  <c r="CC102" i="44" a="1"/>
  <c r="CC102" i="44"/>
  <c r="CD102" i="44" a="1"/>
  <c r="CD102" i="44"/>
  <c r="CE102" i="44" a="1"/>
  <c r="CE102" i="44"/>
  <c r="CF102" i="44" a="1"/>
  <c r="CF102" i="44"/>
  <c r="CG102" i="44" a="1"/>
  <c r="CG102" i="44"/>
  <c r="CI102" i="44" a="1"/>
  <c r="CI102" i="44"/>
  <c r="CJ102" i="44" a="1"/>
  <c r="CJ102" i="44"/>
  <c r="CK102" i="44" a="1"/>
  <c r="CK102" i="44"/>
  <c r="CL102" i="44" a="1"/>
  <c r="CL102" i="44"/>
  <c r="CM102" i="44" a="1"/>
  <c r="CM102" i="44"/>
  <c r="CN102" i="44" a="1"/>
  <c r="CN102" i="44"/>
  <c r="CO102" i="44" a="1"/>
  <c r="CO102" i="44"/>
  <c r="CP102" i="44" a="1"/>
  <c r="CP102" i="44"/>
  <c r="CQ102" i="44" a="1"/>
  <c r="CQ102" i="44"/>
  <c r="CS102" i="44" a="1"/>
  <c r="CS102" i="44"/>
  <c r="CT102" i="44" a="1"/>
  <c r="CT102" i="44"/>
  <c r="CU102" i="44" a="1"/>
  <c r="CU102" i="44"/>
  <c r="CV102" i="44" a="1"/>
  <c r="CV102" i="44"/>
  <c r="CW102" i="44" a="1"/>
  <c r="CW102" i="44"/>
  <c r="CX102" i="44" a="1"/>
  <c r="CX102" i="44"/>
  <c r="CY102" i="44" a="1"/>
  <c r="CY102" i="44"/>
  <c r="CZ102" i="44" a="1"/>
  <c r="CZ102" i="44"/>
  <c r="DA102" i="44" a="1"/>
  <c r="DA102" i="44"/>
  <c r="DB102" i="44" a="1"/>
  <c r="DB102" i="44"/>
  <c r="DC102" i="44" a="1"/>
  <c r="DC102" i="44"/>
  <c r="DD102" i="44" a="1"/>
  <c r="DD102" i="44"/>
  <c r="DE102" i="44" a="1"/>
  <c r="DE102" i="44"/>
  <c r="DF102" i="44" a="1"/>
  <c r="DF102" i="44"/>
  <c r="DG102" i="44" a="1"/>
  <c r="DG102" i="44"/>
  <c r="DH102" i="44" a="1"/>
  <c r="DH102" i="44"/>
  <c r="E103" i="44" a="1"/>
  <c r="E103" i="44"/>
  <c r="F103" i="44" a="1"/>
  <c r="F103" i="44"/>
  <c r="G103" i="44" a="1"/>
  <c r="G103" i="44"/>
  <c r="H103" i="44" a="1"/>
  <c r="H103" i="44"/>
  <c r="I103" i="44" a="1"/>
  <c r="I103" i="44"/>
  <c r="J103" i="44" a="1"/>
  <c r="J103" i="44"/>
  <c r="K103" i="44" a="1"/>
  <c r="K103" i="44"/>
  <c r="L103" i="44" a="1"/>
  <c r="L103" i="44"/>
  <c r="M103" i="44" a="1"/>
  <c r="M103" i="44"/>
  <c r="N103" i="44"/>
  <c r="O103" i="44" a="1"/>
  <c r="O103" i="44"/>
  <c r="P103" i="44" a="1"/>
  <c r="P103" i="44"/>
  <c r="Q103" i="44" a="1"/>
  <c r="Q103" i="44"/>
  <c r="R103" i="44" a="1"/>
  <c r="R103" i="44"/>
  <c r="S103" i="44" a="1"/>
  <c r="S103" i="44"/>
  <c r="T103" i="44" a="1"/>
  <c r="T103" i="44"/>
  <c r="U103" i="44" a="1"/>
  <c r="U103" i="44"/>
  <c r="V103" i="44" a="1"/>
  <c r="V103" i="44"/>
  <c r="W103" i="44" a="1"/>
  <c r="W103" i="44"/>
  <c r="Y103" i="44" a="1"/>
  <c r="Y103" i="44"/>
  <c r="Z103" i="44" a="1"/>
  <c r="Z103" i="44"/>
  <c r="AA103" i="44" a="1"/>
  <c r="AA103" i="44"/>
  <c r="AB103" i="44" a="1"/>
  <c r="AB103" i="44"/>
  <c r="AC103" i="44" a="1"/>
  <c r="AC103" i="44"/>
  <c r="AD103" i="44" a="1"/>
  <c r="AD103" i="44"/>
  <c r="AE103" i="44" a="1"/>
  <c r="AE103" i="44"/>
  <c r="AF103" i="44" a="1"/>
  <c r="AF103" i="44"/>
  <c r="AG103" i="44" a="1"/>
  <c r="AG103" i="44"/>
  <c r="AI103" i="44" a="1"/>
  <c r="AI103" i="44"/>
  <c r="AJ103" i="44" a="1"/>
  <c r="AJ103" i="44"/>
  <c r="AK103" i="44" a="1"/>
  <c r="AK103" i="44"/>
  <c r="AL103" i="44" a="1"/>
  <c r="AL103" i="44"/>
  <c r="AM103" i="44" a="1"/>
  <c r="AM103" i="44"/>
  <c r="AN103" i="44" a="1"/>
  <c r="AN103" i="44"/>
  <c r="AO103" i="44" a="1"/>
  <c r="AO103" i="44"/>
  <c r="AP103" i="44" a="1"/>
  <c r="AP103" i="44"/>
  <c r="AQ103" i="44" a="1"/>
  <c r="AQ103" i="44"/>
  <c r="AS103" i="44" a="1"/>
  <c r="AS103" i="44"/>
  <c r="AT103" i="44" a="1"/>
  <c r="AT103" i="44"/>
  <c r="AU103" i="44" a="1"/>
  <c r="AU103" i="44"/>
  <c r="AV103" i="44" a="1"/>
  <c r="AV103" i="44"/>
  <c r="AW103" i="44" a="1"/>
  <c r="AW103" i="44"/>
  <c r="AX103" i="44" a="1"/>
  <c r="AX103" i="44"/>
  <c r="AY103" i="44" a="1"/>
  <c r="AY103" i="44"/>
  <c r="AZ103" i="44" a="1"/>
  <c r="AZ103" i="44"/>
  <c r="BA103" i="44" a="1"/>
  <c r="BA103" i="44"/>
  <c r="BO103" i="44" a="1"/>
  <c r="BO103" i="44"/>
  <c r="BP103" i="44" a="1"/>
  <c r="BP103" i="44"/>
  <c r="BQ103" i="44" a="1"/>
  <c r="BQ103" i="44"/>
  <c r="BR103" i="44" a="1"/>
  <c r="BR103" i="44"/>
  <c r="BS103" i="44" a="1"/>
  <c r="BS103" i="44"/>
  <c r="BT103" i="44" a="1"/>
  <c r="BT103" i="44"/>
  <c r="BU103" i="44" a="1"/>
  <c r="BU103" i="44"/>
  <c r="BV103" i="44" a="1"/>
  <c r="BV103" i="44"/>
  <c r="BW103" i="44" a="1"/>
  <c r="BW103" i="44"/>
  <c r="BY103" i="44" a="1"/>
  <c r="BY103" i="44"/>
  <c r="BZ103" i="44" a="1"/>
  <c r="BZ103" i="44"/>
  <c r="CA103" i="44" a="1"/>
  <c r="CA103" i="44"/>
  <c r="CB103" i="44" a="1"/>
  <c r="CB103" i="44"/>
  <c r="CC103" i="44" a="1"/>
  <c r="CC103" i="44"/>
  <c r="CD103" i="44" a="1"/>
  <c r="CD103" i="44"/>
  <c r="CE103" i="44" a="1"/>
  <c r="CE103" i="44"/>
  <c r="CF103" i="44" a="1"/>
  <c r="CF103" i="44"/>
  <c r="CG103" i="44" a="1"/>
  <c r="CG103" i="44"/>
  <c r="CI103" i="44" a="1"/>
  <c r="CI103" i="44"/>
  <c r="CJ103" i="44" a="1"/>
  <c r="CJ103" i="44"/>
  <c r="CK103" i="44" a="1"/>
  <c r="CK103" i="44"/>
  <c r="CL103" i="44" a="1"/>
  <c r="CL103" i="44"/>
  <c r="CM103" i="44" a="1"/>
  <c r="CM103" i="44"/>
  <c r="CN103" i="44" a="1"/>
  <c r="CN103" i="44"/>
  <c r="CO103" i="44" a="1"/>
  <c r="CO103" i="44"/>
  <c r="CP103" i="44" a="1"/>
  <c r="CP103" i="44"/>
  <c r="CQ103" i="44" a="1"/>
  <c r="CQ103" i="44"/>
  <c r="CS103" i="44" a="1"/>
  <c r="CS103" i="44"/>
  <c r="CT103" i="44" a="1"/>
  <c r="CT103" i="44"/>
  <c r="CU103" i="44" a="1"/>
  <c r="CU103" i="44"/>
  <c r="CV103" i="44" a="1"/>
  <c r="CV103" i="44"/>
  <c r="CW103" i="44" a="1"/>
  <c r="CW103" i="44"/>
  <c r="CX103" i="44" a="1"/>
  <c r="CX103" i="44"/>
  <c r="CY103" i="44" a="1"/>
  <c r="CY103" i="44"/>
  <c r="CZ103" i="44" a="1"/>
  <c r="CZ103" i="44"/>
  <c r="DA103" i="44" a="1"/>
  <c r="DA103" i="44"/>
  <c r="DB103" i="44" a="1"/>
  <c r="DB103" i="44"/>
  <c r="DC103" i="44" a="1"/>
  <c r="DC103" i="44"/>
  <c r="DD103" i="44" a="1"/>
  <c r="DD103" i="44"/>
  <c r="DE103" i="44" a="1"/>
  <c r="DE103" i="44"/>
  <c r="DF103" i="44" a="1"/>
  <c r="DF103" i="44"/>
  <c r="DG103" i="44" a="1"/>
  <c r="DG103" i="44"/>
  <c r="DH103" i="44" a="1"/>
  <c r="DH103" i="44"/>
  <c r="E104" i="44" a="1"/>
  <c r="E104" i="44"/>
  <c r="F104" i="44" a="1"/>
  <c r="F104" i="44"/>
  <c r="G104" i="44" a="1"/>
  <c r="G104" i="44"/>
  <c r="H104" i="44" a="1"/>
  <c r="H104" i="44"/>
  <c r="I104" i="44" a="1"/>
  <c r="I104" i="44"/>
  <c r="J104" i="44" a="1"/>
  <c r="J104" i="44"/>
  <c r="K104" i="44" a="1"/>
  <c r="K104" i="44"/>
  <c r="L104" i="44" a="1"/>
  <c r="L104" i="44"/>
  <c r="M104" i="44" a="1"/>
  <c r="M104" i="44"/>
  <c r="N104" i="44"/>
  <c r="O104" i="44" a="1"/>
  <c r="O104" i="44"/>
  <c r="P104" i="44" a="1"/>
  <c r="P104" i="44"/>
  <c r="Q104" i="44" a="1"/>
  <c r="Q104" i="44"/>
  <c r="R104" i="44" a="1"/>
  <c r="R104" i="44"/>
  <c r="S104" i="44" a="1"/>
  <c r="S104" i="44"/>
  <c r="T104" i="44" a="1"/>
  <c r="T104" i="44"/>
  <c r="U104" i="44" a="1"/>
  <c r="U104" i="44"/>
  <c r="V104" i="44" a="1"/>
  <c r="V104" i="44"/>
  <c r="W104" i="44" a="1"/>
  <c r="W104" i="44"/>
  <c r="Y104" i="44" a="1"/>
  <c r="Y104" i="44"/>
  <c r="Z104" i="44" a="1"/>
  <c r="Z104" i="44"/>
  <c r="AA104" i="44" a="1"/>
  <c r="AA104" i="44"/>
  <c r="AB104" i="44" a="1"/>
  <c r="AB104" i="44"/>
  <c r="AC104" i="44" a="1"/>
  <c r="AC104" i="44"/>
  <c r="AD104" i="44" a="1"/>
  <c r="AD104" i="44"/>
  <c r="AE104" i="44" a="1"/>
  <c r="AE104" i="44"/>
  <c r="AF104" i="44" a="1"/>
  <c r="AF104" i="44"/>
  <c r="AG104" i="44" a="1"/>
  <c r="AG104" i="44"/>
  <c r="AI104" i="44" a="1"/>
  <c r="AI104" i="44"/>
  <c r="AJ104" i="44" a="1"/>
  <c r="AJ104" i="44"/>
  <c r="AK104" i="44" a="1"/>
  <c r="AK104" i="44"/>
  <c r="AL104" i="44" a="1"/>
  <c r="AL104" i="44"/>
  <c r="AM104" i="44" a="1"/>
  <c r="AM104" i="44"/>
  <c r="AN104" i="44" a="1"/>
  <c r="AN104" i="44"/>
  <c r="AO104" i="44" a="1"/>
  <c r="AO104" i="44"/>
  <c r="AP104" i="44" a="1"/>
  <c r="AP104" i="44"/>
  <c r="AQ104" i="44" a="1"/>
  <c r="AQ104" i="44"/>
  <c r="AS104" i="44" a="1"/>
  <c r="AS104" i="44"/>
  <c r="AT104" i="44" a="1"/>
  <c r="AT104" i="44"/>
  <c r="AU104" i="44" a="1"/>
  <c r="AU104" i="44"/>
  <c r="AV104" i="44" a="1"/>
  <c r="AV104" i="44"/>
  <c r="AW104" i="44" a="1"/>
  <c r="AW104" i="44"/>
  <c r="AX104" i="44" a="1"/>
  <c r="AX104" i="44"/>
  <c r="AY104" i="44" a="1"/>
  <c r="AY104" i="44"/>
  <c r="AZ104" i="44" a="1"/>
  <c r="AZ104" i="44"/>
  <c r="BA104" i="44" a="1"/>
  <c r="BA104" i="44"/>
  <c r="BO104" i="44" a="1"/>
  <c r="BO104" i="44"/>
  <c r="BP104" i="44" a="1"/>
  <c r="BP104" i="44"/>
  <c r="BQ104" i="44" a="1"/>
  <c r="BQ104" i="44"/>
  <c r="BR104" i="44" a="1"/>
  <c r="BR104" i="44"/>
  <c r="BS104" i="44" a="1"/>
  <c r="BS104" i="44"/>
  <c r="BT104" i="44" a="1"/>
  <c r="BT104" i="44"/>
  <c r="BU104" i="44" a="1"/>
  <c r="BU104" i="44"/>
  <c r="BV104" i="44" a="1"/>
  <c r="BV104" i="44"/>
  <c r="BW104" i="44" a="1"/>
  <c r="BW104" i="44"/>
  <c r="BY104" i="44" a="1"/>
  <c r="BY104" i="44"/>
  <c r="BZ104" i="44" a="1"/>
  <c r="BZ104" i="44"/>
  <c r="CA104" i="44" a="1"/>
  <c r="CA104" i="44"/>
  <c r="CB104" i="44" a="1"/>
  <c r="CB104" i="44"/>
  <c r="CC104" i="44" a="1"/>
  <c r="CC104" i="44"/>
  <c r="CD104" i="44" a="1"/>
  <c r="CD104" i="44"/>
  <c r="CE104" i="44" a="1"/>
  <c r="CE104" i="44"/>
  <c r="CF104" i="44" a="1"/>
  <c r="CF104" i="44"/>
  <c r="CG104" i="44" a="1"/>
  <c r="CG104" i="44"/>
  <c r="CI104" i="44" a="1"/>
  <c r="CI104" i="44"/>
  <c r="CJ104" i="44" a="1"/>
  <c r="CJ104" i="44"/>
  <c r="CK104" i="44" a="1"/>
  <c r="CK104" i="44"/>
  <c r="CL104" i="44" a="1"/>
  <c r="CL104" i="44"/>
  <c r="CM104" i="44" a="1"/>
  <c r="CM104" i="44"/>
  <c r="CN104" i="44" a="1"/>
  <c r="CN104" i="44"/>
  <c r="CO104" i="44" a="1"/>
  <c r="CO104" i="44"/>
  <c r="CP104" i="44" a="1"/>
  <c r="CP104" i="44"/>
  <c r="CQ104" i="44" a="1"/>
  <c r="CQ104" i="44"/>
  <c r="CS104" i="44" a="1"/>
  <c r="CS104" i="44"/>
  <c r="CT104" i="44" a="1"/>
  <c r="CT104" i="44"/>
  <c r="CU104" i="44" a="1"/>
  <c r="CU104" i="44"/>
  <c r="CV104" i="44" a="1"/>
  <c r="CV104" i="44"/>
  <c r="CW104" i="44" a="1"/>
  <c r="CW104" i="44"/>
  <c r="CX104" i="44" a="1"/>
  <c r="CX104" i="44"/>
  <c r="CY104" i="44" a="1"/>
  <c r="CY104" i="44"/>
  <c r="CZ104" i="44" a="1"/>
  <c r="CZ104" i="44"/>
  <c r="DA104" i="44" a="1"/>
  <c r="DA104" i="44"/>
  <c r="DB104" i="44" a="1"/>
  <c r="DB104" i="44"/>
  <c r="DC104" i="44" a="1"/>
  <c r="DC104" i="44"/>
  <c r="DD104" i="44" a="1"/>
  <c r="DD104" i="44"/>
  <c r="DE104" i="44" a="1"/>
  <c r="DE104" i="44"/>
  <c r="DF104" i="44" a="1"/>
  <c r="DF104" i="44"/>
  <c r="DG104" i="44" a="1"/>
  <c r="DG104" i="44"/>
  <c r="DH104" i="44" a="1"/>
  <c r="DH104" i="44"/>
  <c r="E105" i="44" a="1"/>
  <c r="E105" i="44"/>
  <c r="F105" i="44" a="1"/>
  <c r="F105" i="44"/>
  <c r="G105" i="44" a="1"/>
  <c r="G105" i="44"/>
  <c r="H105" i="44" a="1"/>
  <c r="H105" i="44"/>
  <c r="I105" i="44" a="1"/>
  <c r="I105" i="44"/>
  <c r="J105" i="44" a="1"/>
  <c r="J105" i="44"/>
  <c r="K105" i="44" a="1"/>
  <c r="K105" i="44"/>
  <c r="L105" i="44" a="1"/>
  <c r="L105" i="44"/>
  <c r="M105" i="44" a="1"/>
  <c r="M105" i="44"/>
  <c r="N105" i="44"/>
  <c r="O105" i="44" a="1"/>
  <c r="O105" i="44"/>
  <c r="P105" i="44" a="1"/>
  <c r="P105" i="44"/>
  <c r="Q105" i="44" a="1"/>
  <c r="Q105" i="44"/>
  <c r="R105" i="44" a="1"/>
  <c r="R105" i="44"/>
  <c r="S105" i="44" a="1"/>
  <c r="S105" i="44"/>
  <c r="T105" i="44" a="1"/>
  <c r="T105" i="44"/>
  <c r="U105" i="44" a="1"/>
  <c r="U105" i="44"/>
  <c r="V105" i="44" a="1"/>
  <c r="V105" i="44"/>
  <c r="W105" i="44" a="1"/>
  <c r="W105" i="44"/>
  <c r="Y105" i="44" a="1"/>
  <c r="Y105" i="44"/>
  <c r="Z105" i="44" a="1"/>
  <c r="Z105" i="44"/>
  <c r="AA105" i="44" a="1"/>
  <c r="AA105" i="44"/>
  <c r="AB105" i="44" a="1"/>
  <c r="AB105" i="44"/>
  <c r="AC105" i="44" a="1"/>
  <c r="AC105" i="44"/>
  <c r="AD105" i="44" a="1"/>
  <c r="AD105" i="44"/>
  <c r="AE105" i="44" a="1"/>
  <c r="AE105" i="44"/>
  <c r="AF105" i="44" a="1"/>
  <c r="AF105" i="44"/>
  <c r="AG105" i="44" a="1"/>
  <c r="AG105" i="44"/>
  <c r="AI105" i="44" a="1"/>
  <c r="AI105" i="44"/>
  <c r="AJ105" i="44" a="1"/>
  <c r="AJ105" i="44"/>
  <c r="AK105" i="44" a="1"/>
  <c r="AK105" i="44"/>
  <c r="AL105" i="44" a="1"/>
  <c r="AL105" i="44"/>
  <c r="AM105" i="44" a="1"/>
  <c r="AM105" i="44"/>
  <c r="AN105" i="44" a="1"/>
  <c r="AN105" i="44"/>
  <c r="AO105" i="44" a="1"/>
  <c r="AO105" i="44"/>
  <c r="AP105" i="44" a="1"/>
  <c r="AP105" i="44"/>
  <c r="AQ105" i="44" a="1"/>
  <c r="AQ105" i="44"/>
  <c r="AS105" i="44" a="1"/>
  <c r="AS105" i="44"/>
  <c r="AT105" i="44" a="1"/>
  <c r="AT105" i="44"/>
  <c r="AU105" i="44" a="1"/>
  <c r="AU105" i="44"/>
  <c r="AV105" i="44" a="1"/>
  <c r="AV105" i="44"/>
  <c r="AW105" i="44" a="1"/>
  <c r="AW105" i="44"/>
  <c r="AX105" i="44" a="1"/>
  <c r="AX105" i="44"/>
  <c r="AY105" i="44" a="1"/>
  <c r="AY105" i="44"/>
  <c r="AZ105" i="44" a="1"/>
  <c r="AZ105" i="44"/>
  <c r="BA105" i="44" a="1"/>
  <c r="BA105" i="44"/>
  <c r="BO105" i="44" a="1"/>
  <c r="BO105" i="44"/>
  <c r="BP105" i="44" a="1"/>
  <c r="BP105" i="44"/>
  <c r="BQ105" i="44" a="1"/>
  <c r="BQ105" i="44"/>
  <c r="BR105" i="44" a="1"/>
  <c r="BR105" i="44"/>
  <c r="BS105" i="44" a="1"/>
  <c r="BS105" i="44"/>
  <c r="BT105" i="44" a="1"/>
  <c r="BT105" i="44"/>
  <c r="BU105" i="44" a="1"/>
  <c r="BU105" i="44"/>
  <c r="BV105" i="44" a="1"/>
  <c r="BV105" i="44"/>
  <c r="BW105" i="44" a="1"/>
  <c r="BW105" i="44"/>
  <c r="BY105" i="44" a="1"/>
  <c r="BY105" i="44"/>
  <c r="BZ105" i="44" a="1"/>
  <c r="BZ105" i="44"/>
  <c r="CA105" i="44" a="1"/>
  <c r="CA105" i="44"/>
  <c r="CB105" i="44" a="1"/>
  <c r="CB105" i="44"/>
  <c r="CC105" i="44" a="1"/>
  <c r="CC105" i="44"/>
  <c r="CD105" i="44" a="1"/>
  <c r="CD105" i="44"/>
  <c r="CE105" i="44" a="1"/>
  <c r="CE105" i="44"/>
  <c r="CF105" i="44" a="1"/>
  <c r="CF105" i="44"/>
  <c r="CG105" i="44" a="1"/>
  <c r="CG105" i="44"/>
  <c r="CI105" i="44" a="1"/>
  <c r="CI105" i="44"/>
  <c r="CJ105" i="44" a="1"/>
  <c r="CJ105" i="44"/>
  <c r="CK105" i="44" a="1"/>
  <c r="CK105" i="44"/>
  <c r="CL105" i="44" a="1"/>
  <c r="CL105" i="44"/>
  <c r="CM105" i="44" a="1"/>
  <c r="CM105" i="44"/>
  <c r="CN105" i="44" a="1"/>
  <c r="CN105" i="44"/>
  <c r="CO105" i="44" a="1"/>
  <c r="CO105" i="44"/>
  <c r="CP105" i="44" a="1"/>
  <c r="CP105" i="44"/>
  <c r="CQ105" i="44" a="1"/>
  <c r="CQ105" i="44"/>
  <c r="CS105" i="44" a="1"/>
  <c r="CS105" i="44"/>
  <c r="CT105" i="44" a="1"/>
  <c r="CT105" i="44"/>
  <c r="CU105" i="44" a="1"/>
  <c r="CU105" i="44"/>
  <c r="CV105" i="44" a="1"/>
  <c r="CV105" i="44"/>
  <c r="CW105" i="44" a="1"/>
  <c r="CW105" i="44"/>
  <c r="CX105" i="44" a="1"/>
  <c r="CX105" i="44"/>
  <c r="CY105" i="44" a="1"/>
  <c r="CY105" i="44"/>
  <c r="CZ105" i="44" a="1"/>
  <c r="CZ105" i="44"/>
  <c r="DA105" i="44" a="1"/>
  <c r="DA105" i="44"/>
  <c r="DB105" i="44" a="1"/>
  <c r="DB105" i="44"/>
  <c r="DC105" i="44" a="1"/>
  <c r="DC105" i="44"/>
  <c r="DD105" i="44" a="1"/>
  <c r="DD105" i="44"/>
  <c r="DE105" i="44" a="1"/>
  <c r="DE105" i="44"/>
  <c r="DF105" i="44" a="1"/>
  <c r="DF105" i="44"/>
  <c r="DG105" i="44" a="1"/>
  <c r="DG105" i="44"/>
  <c r="DH105" i="44" a="1"/>
  <c r="DH105" i="44"/>
  <c r="E106" i="44" a="1"/>
  <c r="E106" i="44"/>
  <c r="F106" i="44" a="1"/>
  <c r="F106" i="44"/>
  <c r="G106" i="44" a="1"/>
  <c r="G106" i="44"/>
  <c r="H106" i="44" a="1"/>
  <c r="H106" i="44"/>
  <c r="I106" i="44" a="1"/>
  <c r="I106" i="44"/>
  <c r="J106" i="44" a="1"/>
  <c r="J106" i="44"/>
  <c r="K106" i="44" a="1"/>
  <c r="K106" i="44"/>
  <c r="L106" i="44" a="1"/>
  <c r="L106" i="44"/>
  <c r="M106" i="44" a="1"/>
  <c r="M106" i="44"/>
  <c r="N106" i="44"/>
  <c r="O106" i="44" a="1"/>
  <c r="O106" i="44"/>
  <c r="P106" i="44" a="1"/>
  <c r="P106" i="44"/>
  <c r="Q106" i="44" a="1"/>
  <c r="Q106" i="44"/>
  <c r="R106" i="44" a="1"/>
  <c r="R106" i="44"/>
  <c r="S106" i="44" a="1"/>
  <c r="S106" i="44"/>
  <c r="T106" i="44" a="1"/>
  <c r="T106" i="44"/>
  <c r="U106" i="44" a="1"/>
  <c r="U106" i="44"/>
  <c r="V106" i="44" a="1"/>
  <c r="V106" i="44"/>
  <c r="W106" i="44" a="1"/>
  <c r="W106" i="44"/>
  <c r="Y106" i="44" a="1"/>
  <c r="Y106" i="44"/>
  <c r="Z106" i="44" a="1"/>
  <c r="Z106" i="44"/>
  <c r="AA106" i="44" a="1"/>
  <c r="AA106" i="44"/>
  <c r="AB106" i="44" a="1"/>
  <c r="AB106" i="44"/>
  <c r="AC106" i="44" a="1"/>
  <c r="AC106" i="44"/>
  <c r="AD106" i="44" a="1"/>
  <c r="AD106" i="44"/>
  <c r="AE106" i="44" a="1"/>
  <c r="AE106" i="44"/>
  <c r="AF106" i="44" a="1"/>
  <c r="AF106" i="44"/>
  <c r="AG106" i="44" a="1"/>
  <c r="AG106" i="44"/>
  <c r="AI106" i="44" a="1"/>
  <c r="AI106" i="44"/>
  <c r="AJ106" i="44" a="1"/>
  <c r="AJ106" i="44"/>
  <c r="AK106" i="44" a="1"/>
  <c r="AK106" i="44"/>
  <c r="AL106" i="44" a="1"/>
  <c r="AL106" i="44"/>
  <c r="AM106" i="44" a="1"/>
  <c r="AM106" i="44"/>
  <c r="AN106" i="44" a="1"/>
  <c r="AN106" i="44"/>
  <c r="AO106" i="44" a="1"/>
  <c r="AO106" i="44"/>
  <c r="AP106" i="44" a="1"/>
  <c r="AP106" i="44"/>
  <c r="AQ106" i="44" a="1"/>
  <c r="AQ106" i="44"/>
  <c r="AS106" i="44" a="1"/>
  <c r="AS106" i="44"/>
  <c r="AT106" i="44" a="1"/>
  <c r="AT106" i="44"/>
  <c r="AU106" i="44" a="1"/>
  <c r="AU106" i="44"/>
  <c r="AV106" i="44" a="1"/>
  <c r="AV106" i="44"/>
  <c r="AW106" i="44" a="1"/>
  <c r="AW106" i="44"/>
  <c r="AX106" i="44" a="1"/>
  <c r="AX106" i="44"/>
  <c r="AY106" i="44" a="1"/>
  <c r="AY106" i="44"/>
  <c r="AZ106" i="44" a="1"/>
  <c r="AZ106" i="44"/>
  <c r="BA106" i="44" a="1"/>
  <c r="BA106" i="44"/>
  <c r="BO106" i="44" a="1"/>
  <c r="BO106" i="44"/>
  <c r="BP106" i="44" a="1"/>
  <c r="BP106" i="44"/>
  <c r="BQ106" i="44" a="1"/>
  <c r="BQ106" i="44"/>
  <c r="BR106" i="44" a="1"/>
  <c r="BR106" i="44"/>
  <c r="BS106" i="44" a="1"/>
  <c r="BS106" i="44"/>
  <c r="BT106" i="44" a="1"/>
  <c r="BT106" i="44"/>
  <c r="BU106" i="44" a="1"/>
  <c r="BU106" i="44"/>
  <c r="BV106" i="44" a="1"/>
  <c r="BV106" i="44"/>
  <c r="BW106" i="44" a="1"/>
  <c r="BW106" i="44"/>
  <c r="BY106" i="44" a="1"/>
  <c r="BY106" i="44"/>
  <c r="BZ106" i="44" a="1"/>
  <c r="BZ106" i="44"/>
  <c r="CA106" i="44" a="1"/>
  <c r="CA106" i="44"/>
  <c r="CB106" i="44" a="1"/>
  <c r="CB106" i="44"/>
  <c r="CC106" i="44" a="1"/>
  <c r="CC106" i="44"/>
  <c r="CD106" i="44" a="1"/>
  <c r="CD106" i="44"/>
  <c r="CE106" i="44" a="1"/>
  <c r="CE106" i="44"/>
  <c r="CF106" i="44" a="1"/>
  <c r="CF106" i="44"/>
  <c r="CG106" i="44" a="1"/>
  <c r="CG106" i="44"/>
  <c r="CI106" i="44" a="1"/>
  <c r="CI106" i="44"/>
  <c r="CJ106" i="44" a="1"/>
  <c r="CJ106" i="44"/>
  <c r="CK106" i="44" a="1"/>
  <c r="CK106" i="44"/>
  <c r="CL106" i="44" a="1"/>
  <c r="CL106" i="44"/>
  <c r="CM106" i="44" a="1"/>
  <c r="CM106" i="44"/>
  <c r="CN106" i="44" a="1"/>
  <c r="CN106" i="44"/>
  <c r="CO106" i="44" a="1"/>
  <c r="CO106" i="44"/>
  <c r="CP106" i="44" a="1"/>
  <c r="CP106" i="44"/>
  <c r="CQ106" i="44" a="1"/>
  <c r="CQ106" i="44"/>
  <c r="CS106" i="44" a="1"/>
  <c r="CS106" i="44"/>
  <c r="CT106" i="44" a="1"/>
  <c r="CT106" i="44"/>
  <c r="CU106" i="44" a="1"/>
  <c r="CU106" i="44"/>
  <c r="CV106" i="44" a="1"/>
  <c r="CV106" i="44"/>
  <c r="CW106" i="44" a="1"/>
  <c r="CW106" i="44"/>
  <c r="CX106" i="44" a="1"/>
  <c r="CX106" i="44"/>
  <c r="CY106" i="44" a="1"/>
  <c r="CY106" i="44"/>
  <c r="CZ106" i="44" a="1"/>
  <c r="CZ106" i="44"/>
  <c r="DA106" i="44" a="1"/>
  <c r="DA106" i="44"/>
  <c r="DB106" i="44" a="1"/>
  <c r="DB106" i="44"/>
  <c r="DC106" i="44" a="1"/>
  <c r="DC106" i="44"/>
  <c r="DD106" i="44" a="1"/>
  <c r="DD106" i="44"/>
  <c r="DE106" i="44" a="1"/>
  <c r="DE106" i="44"/>
  <c r="DF106" i="44" a="1"/>
  <c r="DF106" i="44"/>
  <c r="DG106" i="44" a="1"/>
  <c r="DG106" i="44"/>
  <c r="DH106" i="44" a="1"/>
  <c r="DH106" i="44"/>
  <c r="E107" i="44" a="1"/>
  <c r="E107" i="44"/>
  <c r="F107" i="44" a="1"/>
  <c r="F107" i="44"/>
  <c r="G107" i="44" a="1"/>
  <c r="G107" i="44"/>
  <c r="H107" i="44" a="1"/>
  <c r="H107" i="44"/>
  <c r="I107" i="44" a="1"/>
  <c r="I107" i="44"/>
  <c r="J107" i="44" a="1"/>
  <c r="J107" i="44"/>
  <c r="K107" i="44" a="1"/>
  <c r="K107" i="44"/>
  <c r="L107" i="44" a="1"/>
  <c r="L107" i="44"/>
  <c r="M107" i="44" a="1"/>
  <c r="M107" i="44"/>
  <c r="N107" i="44"/>
  <c r="O107" i="44" a="1"/>
  <c r="O107" i="44"/>
  <c r="P107" i="44" a="1"/>
  <c r="P107" i="44"/>
  <c r="Q107" i="44" a="1"/>
  <c r="Q107" i="44"/>
  <c r="R107" i="44" a="1"/>
  <c r="R107" i="44"/>
  <c r="S107" i="44" a="1"/>
  <c r="S107" i="44"/>
  <c r="T107" i="44" a="1"/>
  <c r="T107" i="44"/>
  <c r="U107" i="44" a="1"/>
  <c r="U107" i="44"/>
  <c r="V107" i="44" a="1"/>
  <c r="V107" i="44"/>
  <c r="W107" i="44" a="1"/>
  <c r="W107" i="44"/>
  <c r="Y107" i="44" a="1"/>
  <c r="Y107" i="44"/>
  <c r="Z107" i="44" a="1"/>
  <c r="Z107" i="44"/>
  <c r="AA107" i="44" a="1"/>
  <c r="AA107" i="44"/>
  <c r="AB107" i="44" a="1"/>
  <c r="AB107" i="44"/>
  <c r="AC107" i="44" a="1"/>
  <c r="AC107" i="44"/>
  <c r="AD107" i="44" a="1"/>
  <c r="AD107" i="44"/>
  <c r="AE107" i="44" a="1"/>
  <c r="AE107" i="44"/>
  <c r="AF107" i="44" a="1"/>
  <c r="AF107" i="44"/>
  <c r="AG107" i="44" a="1"/>
  <c r="AG107" i="44"/>
  <c r="AI107" i="44" a="1"/>
  <c r="AI107" i="44"/>
  <c r="AJ107" i="44" a="1"/>
  <c r="AJ107" i="44"/>
  <c r="AK107" i="44" a="1"/>
  <c r="AK107" i="44"/>
  <c r="AL107" i="44" a="1"/>
  <c r="AL107" i="44"/>
  <c r="AM107" i="44" a="1"/>
  <c r="AM107" i="44"/>
  <c r="AN107" i="44" a="1"/>
  <c r="AN107" i="44"/>
  <c r="AO107" i="44" a="1"/>
  <c r="AO107" i="44"/>
  <c r="AP107" i="44" a="1"/>
  <c r="AP107" i="44"/>
  <c r="AQ107" i="44" a="1"/>
  <c r="AQ107" i="44"/>
  <c r="AS107" i="44" a="1"/>
  <c r="AS107" i="44"/>
  <c r="AT107" i="44" a="1"/>
  <c r="AT107" i="44"/>
  <c r="AU107" i="44" a="1"/>
  <c r="AU107" i="44"/>
  <c r="AV107" i="44" a="1"/>
  <c r="AV107" i="44"/>
  <c r="AW107" i="44" a="1"/>
  <c r="AW107" i="44"/>
  <c r="AX107" i="44" a="1"/>
  <c r="AX107" i="44"/>
  <c r="AY107" i="44" a="1"/>
  <c r="AY107" i="44"/>
  <c r="AZ107" i="44" a="1"/>
  <c r="AZ107" i="44"/>
  <c r="BA107" i="44" a="1"/>
  <c r="BA107" i="44"/>
  <c r="BO107" i="44" a="1"/>
  <c r="BO107" i="44"/>
  <c r="BP107" i="44" a="1"/>
  <c r="BP107" i="44"/>
  <c r="BQ107" i="44" a="1"/>
  <c r="BQ107" i="44"/>
  <c r="BR107" i="44" a="1"/>
  <c r="BR107" i="44"/>
  <c r="BS107" i="44" a="1"/>
  <c r="BS107" i="44"/>
  <c r="BT107" i="44" a="1"/>
  <c r="BT107" i="44"/>
  <c r="BU107" i="44" a="1"/>
  <c r="BU107" i="44"/>
  <c r="BV107" i="44" a="1"/>
  <c r="BV107" i="44"/>
  <c r="BW107" i="44" a="1"/>
  <c r="BW107" i="44"/>
  <c r="BY107" i="44" a="1"/>
  <c r="BY107" i="44"/>
  <c r="BZ107" i="44" a="1"/>
  <c r="BZ107" i="44"/>
  <c r="CA107" i="44" a="1"/>
  <c r="CA107" i="44"/>
  <c r="CB107" i="44" a="1"/>
  <c r="CB107" i="44"/>
  <c r="CC107" i="44" a="1"/>
  <c r="CC107" i="44"/>
  <c r="CD107" i="44" a="1"/>
  <c r="CD107" i="44"/>
  <c r="CE107" i="44" a="1"/>
  <c r="CE107" i="44"/>
  <c r="CF107" i="44" a="1"/>
  <c r="CF107" i="44"/>
  <c r="CG107" i="44" a="1"/>
  <c r="CG107" i="44"/>
  <c r="CI107" i="44" a="1"/>
  <c r="CI107" i="44"/>
  <c r="CJ107" i="44" a="1"/>
  <c r="CJ107" i="44"/>
  <c r="CK107" i="44" a="1"/>
  <c r="CK107" i="44"/>
  <c r="CL107" i="44" a="1"/>
  <c r="CL107" i="44"/>
  <c r="CM107" i="44" a="1"/>
  <c r="CM107" i="44"/>
  <c r="CN107" i="44" a="1"/>
  <c r="CN107" i="44"/>
  <c r="CO107" i="44" a="1"/>
  <c r="CO107" i="44"/>
  <c r="CP107" i="44" a="1"/>
  <c r="CP107" i="44"/>
  <c r="CQ107" i="44" a="1"/>
  <c r="CQ107" i="44"/>
  <c r="CS107" i="44" a="1"/>
  <c r="CS107" i="44"/>
  <c r="CT107" i="44" a="1"/>
  <c r="CT107" i="44"/>
  <c r="CU107" i="44" a="1"/>
  <c r="CU107" i="44"/>
  <c r="CV107" i="44" a="1"/>
  <c r="CV107" i="44"/>
  <c r="CW107" i="44" a="1"/>
  <c r="CW107" i="44"/>
  <c r="CX107" i="44" a="1"/>
  <c r="CX107" i="44"/>
  <c r="CY107" i="44" a="1"/>
  <c r="CY107" i="44"/>
  <c r="CZ107" i="44" a="1"/>
  <c r="CZ107" i="44"/>
  <c r="DA107" i="44" a="1"/>
  <c r="DA107" i="44"/>
  <c r="DB107" i="44" a="1"/>
  <c r="DB107" i="44"/>
  <c r="DC107" i="44" a="1"/>
  <c r="DC107" i="44"/>
  <c r="DD107" i="44" a="1"/>
  <c r="DD107" i="44"/>
  <c r="DE107" i="44" a="1"/>
  <c r="DE107" i="44"/>
  <c r="DF107" i="44" a="1"/>
  <c r="DF107" i="44"/>
  <c r="DG107" i="44" a="1"/>
  <c r="DG107" i="44"/>
  <c r="DH107" i="44" a="1"/>
  <c r="DH107" i="44"/>
  <c r="L109" i="44"/>
  <c r="CS109" i="44"/>
  <c r="CT109" i="44"/>
  <c r="CU109" i="44"/>
  <c r="CV109" i="44"/>
  <c r="CW109" i="44"/>
  <c r="CX109" i="44"/>
  <c r="CY109" i="44"/>
  <c r="CZ109" i="44"/>
  <c r="DA109" i="44"/>
  <c r="DB109" i="44"/>
  <c r="DC109" i="44"/>
  <c r="DD109" i="44"/>
  <c r="DE109" i="44"/>
  <c r="DF109" i="44"/>
  <c r="DG109" i="44"/>
  <c r="DH109" i="44"/>
  <c r="L110" i="44"/>
  <c r="H111" i="44"/>
  <c r="J111" i="44"/>
  <c r="L111" i="44"/>
  <c r="AI111" i="44"/>
  <c r="AJ111" i="44"/>
  <c r="AK111" i="44"/>
  <c r="AL111" i="44"/>
  <c r="AM111" i="44"/>
  <c r="AN111" i="44"/>
  <c r="AO111" i="44"/>
  <c r="AP111" i="44"/>
  <c r="AQ111" i="44"/>
  <c r="H112" i="44"/>
  <c r="J112" i="44"/>
  <c r="L112" i="44"/>
  <c r="AI112" i="44"/>
  <c r="AJ112" i="44"/>
  <c r="AK112" i="44"/>
  <c r="AL112" i="44"/>
  <c r="AM112" i="44"/>
  <c r="AN112" i="44"/>
  <c r="AO112" i="44"/>
  <c r="AP112" i="44"/>
  <c r="AQ112" i="44"/>
  <c r="H113" i="44"/>
  <c r="J113" i="44"/>
  <c r="L113" i="44"/>
  <c r="AI113" i="44"/>
  <c r="AJ113" i="44"/>
  <c r="AK113" i="44"/>
  <c r="AL113" i="44"/>
  <c r="AM113" i="44"/>
  <c r="AN113" i="44"/>
  <c r="AO113" i="44"/>
  <c r="AP113" i="44"/>
  <c r="AQ113" i="44"/>
  <c r="H114" i="44"/>
  <c r="J114" i="44"/>
  <c r="L114" i="44"/>
  <c r="AI114" i="44"/>
  <c r="AJ114" i="44"/>
  <c r="AK114" i="44"/>
  <c r="AL114" i="44"/>
  <c r="AM114" i="44"/>
  <c r="AN114" i="44"/>
  <c r="AO114" i="44"/>
  <c r="AP114" i="44"/>
  <c r="AQ114" i="44"/>
  <c r="H115" i="44"/>
  <c r="J115" i="44"/>
  <c r="L115" i="44"/>
  <c r="AI115" i="44"/>
  <c r="AJ115" i="44"/>
  <c r="AK115" i="44"/>
  <c r="AL115" i="44"/>
  <c r="AM115" i="44"/>
  <c r="AN115" i="44"/>
  <c r="AO115" i="44"/>
  <c r="AP115" i="44"/>
  <c r="AQ115" i="44"/>
  <c r="H116" i="44"/>
  <c r="J116" i="44"/>
  <c r="L116" i="44"/>
  <c r="AI116" i="44"/>
  <c r="AJ116" i="44"/>
  <c r="AK116" i="44"/>
  <c r="AL116" i="44"/>
  <c r="AM116" i="44"/>
  <c r="AN116" i="44"/>
  <c r="AO116" i="44"/>
  <c r="AP116" i="44"/>
  <c r="AQ116" i="44"/>
  <c r="H117" i="44"/>
  <c r="J117" i="44"/>
  <c r="L117" i="44"/>
  <c r="AI117" i="44"/>
  <c r="AJ117" i="44"/>
  <c r="AK117" i="44"/>
  <c r="AL117" i="44"/>
  <c r="AM117" i="44"/>
  <c r="AN117" i="44"/>
  <c r="AO117" i="44"/>
  <c r="AP117" i="44"/>
  <c r="AQ117" i="44"/>
  <c r="H118" i="44"/>
  <c r="J118" i="44"/>
  <c r="L118" i="44"/>
  <c r="AI118" i="44"/>
  <c r="AJ118" i="44"/>
  <c r="AK118" i="44"/>
  <c r="AL118" i="44"/>
  <c r="AM118" i="44"/>
  <c r="AN118" i="44"/>
  <c r="AO118" i="44"/>
  <c r="AP118" i="44"/>
  <c r="AQ118" i="44"/>
  <c r="H119" i="44"/>
  <c r="J119" i="44"/>
  <c r="L119" i="44"/>
  <c r="AI119" i="44"/>
  <c r="AJ119" i="44"/>
  <c r="AK119" i="44"/>
  <c r="AL119" i="44"/>
  <c r="AM119" i="44"/>
  <c r="AN119" i="44"/>
  <c r="AO119" i="44"/>
  <c r="AP119" i="44"/>
  <c r="AQ119" i="44"/>
  <c r="H120" i="44"/>
  <c r="J120" i="44"/>
  <c r="L120" i="44"/>
  <c r="AI120" i="44"/>
  <c r="AJ120" i="44"/>
  <c r="AK120" i="44"/>
  <c r="AL120" i="44"/>
  <c r="AM120" i="44"/>
  <c r="AN120" i="44"/>
  <c r="AO120" i="44"/>
  <c r="AP120" i="44"/>
  <c r="AQ120" i="44"/>
  <c r="H121" i="44"/>
  <c r="J121" i="44"/>
  <c r="L121" i="44"/>
  <c r="AI121" i="44"/>
  <c r="AJ121" i="44"/>
  <c r="AK121" i="44"/>
  <c r="AL121" i="44"/>
  <c r="AM121" i="44"/>
  <c r="AN121" i="44"/>
  <c r="AO121" i="44"/>
  <c r="AP121" i="44"/>
  <c r="AQ121" i="44"/>
  <c r="H122" i="44"/>
  <c r="J122" i="44"/>
  <c r="L122" i="44"/>
  <c r="AI122" i="44"/>
  <c r="AJ122" i="44"/>
  <c r="AK122" i="44"/>
  <c r="AL122" i="44"/>
  <c r="AM122" i="44"/>
  <c r="AN122" i="44"/>
  <c r="AO122" i="44"/>
  <c r="AP122" i="44"/>
  <c r="AQ122" i="44"/>
  <c r="H123" i="44"/>
  <c r="J123" i="44"/>
  <c r="L123" i="44"/>
  <c r="AI123" i="44"/>
  <c r="AJ123" i="44"/>
  <c r="AK123" i="44"/>
  <c r="AL123" i="44"/>
  <c r="AM123" i="44"/>
  <c r="AN123" i="44"/>
  <c r="AO123" i="44"/>
  <c r="AP123" i="44"/>
  <c r="AQ123" i="44"/>
  <c r="H124" i="44"/>
  <c r="J124" i="44"/>
  <c r="L124" i="44"/>
  <c r="AI124" i="44"/>
  <c r="AJ124" i="44"/>
  <c r="AK124" i="44"/>
  <c r="AL124" i="44"/>
  <c r="AM124" i="44"/>
  <c r="AN124" i="44"/>
  <c r="AO124" i="44"/>
  <c r="AP124" i="44"/>
  <c r="AQ124" i="44"/>
  <c r="H125" i="44"/>
  <c r="J125" i="44"/>
  <c r="L125" i="44"/>
  <c r="AI125" i="44"/>
  <c r="AJ125" i="44"/>
  <c r="AK125" i="44"/>
  <c r="AL125" i="44"/>
  <c r="AM125" i="44"/>
  <c r="AN125" i="44"/>
  <c r="AO125" i="44"/>
  <c r="AP125" i="44"/>
  <c r="AQ125" i="44"/>
  <c r="H126" i="44"/>
  <c r="J126" i="44"/>
  <c r="L126" i="44"/>
  <c r="AI126" i="44"/>
  <c r="AJ126" i="44"/>
  <c r="AK126" i="44"/>
  <c r="AL126" i="44"/>
  <c r="AM126" i="44"/>
  <c r="AN126" i="44"/>
  <c r="AO126" i="44"/>
  <c r="AP126" i="44"/>
  <c r="AQ126" i="44"/>
  <c r="H127" i="44"/>
  <c r="L127" i="44"/>
  <c r="AI127" i="44"/>
  <c r="AJ127" i="44"/>
  <c r="AK127" i="44"/>
  <c r="AL127" i="44"/>
  <c r="AM127" i="44"/>
  <c r="AN127" i="44"/>
  <c r="AO127" i="44"/>
  <c r="AP127" i="44"/>
  <c r="AQ127" i="44"/>
  <c r="H128" i="44"/>
  <c r="L128" i="44"/>
  <c r="AI128" i="44"/>
  <c r="AJ128" i="44"/>
  <c r="AK128" i="44"/>
  <c r="AL128" i="44"/>
  <c r="AM128" i="44"/>
  <c r="AN128" i="44"/>
  <c r="AO128" i="44"/>
  <c r="AP128" i="44"/>
  <c r="AQ128" i="44"/>
  <c r="H129" i="44"/>
  <c r="L129" i="44"/>
  <c r="AI129" i="44"/>
  <c r="AJ129" i="44"/>
  <c r="AK129" i="44"/>
  <c r="AL129" i="44"/>
  <c r="AM129" i="44"/>
  <c r="AN129" i="44"/>
  <c r="AO129" i="44"/>
  <c r="AP129" i="44"/>
  <c r="AQ129" i="44"/>
  <c r="H130" i="44"/>
  <c r="L130" i="44"/>
  <c r="AI130" i="44"/>
  <c r="AJ130" i="44"/>
  <c r="AK130" i="44"/>
  <c r="AL130" i="44"/>
  <c r="AM130" i="44"/>
  <c r="AN130" i="44"/>
  <c r="AO130" i="44"/>
  <c r="AP130" i="44"/>
  <c r="AQ130" i="44"/>
  <c r="L131" i="44"/>
  <c r="AI131" i="44"/>
  <c r="AJ131" i="44"/>
  <c r="AK131" i="44"/>
  <c r="AL131" i="44"/>
  <c r="AM131" i="44"/>
  <c r="AN131" i="44"/>
  <c r="AO131" i="44"/>
  <c r="AP131" i="44"/>
  <c r="AQ131" i="44"/>
  <c r="J132" i="44"/>
  <c r="L132" i="44"/>
  <c r="AI132" i="44"/>
  <c r="AJ132" i="44"/>
  <c r="AK132" i="44"/>
  <c r="AL132" i="44"/>
  <c r="AM132" i="44"/>
  <c r="AN132" i="44"/>
  <c r="AO132" i="44"/>
  <c r="AP132" i="44"/>
  <c r="AQ132" i="44"/>
  <c r="H133" i="44"/>
  <c r="J133" i="44"/>
  <c r="L133" i="44"/>
  <c r="AI133" i="44"/>
  <c r="AJ133" i="44"/>
  <c r="AK133" i="44"/>
  <c r="AL133" i="44"/>
  <c r="AM133" i="44"/>
  <c r="AN133" i="44"/>
  <c r="AO133" i="44"/>
  <c r="AP133" i="44"/>
  <c r="AQ133" i="44"/>
  <c r="H134" i="44"/>
  <c r="J134" i="44"/>
  <c r="L134" i="44"/>
  <c r="AI134" i="44"/>
  <c r="AJ134" i="44"/>
  <c r="AK134" i="44"/>
  <c r="AL134" i="44"/>
  <c r="AM134" i="44"/>
  <c r="AN134" i="44"/>
  <c r="AO134" i="44"/>
  <c r="AP134" i="44"/>
  <c r="AQ134" i="44"/>
  <c r="L135" i="44"/>
  <c r="AI135" i="44"/>
  <c r="AJ135" i="44"/>
  <c r="AK135" i="44"/>
  <c r="AL135" i="44"/>
  <c r="AM135" i="44"/>
  <c r="AN135" i="44"/>
  <c r="AO135" i="44"/>
  <c r="AP135" i="44"/>
  <c r="AQ135" i="44"/>
  <c r="H136" i="44"/>
  <c r="J136" i="44"/>
  <c r="L136" i="44"/>
  <c r="AI136" i="44"/>
  <c r="AJ136" i="44"/>
  <c r="AK136" i="44"/>
  <c r="AL136" i="44"/>
  <c r="AM136" i="44"/>
  <c r="AN136" i="44"/>
  <c r="AO136" i="44"/>
  <c r="AP136" i="44"/>
  <c r="AQ136" i="44"/>
  <c r="L137" i="44"/>
  <c r="AI137" i="44"/>
  <c r="AJ137" i="44"/>
  <c r="AK137" i="44"/>
  <c r="AL137" i="44"/>
  <c r="AM137" i="44"/>
  <c r="AN137" i="44"/>
  <c r="AO137" i="44"/>
  <c r="AP137" i="44"/>
  <c r="AQ137" i="44"/>
  <c r="H138" i="44"/>
  <c r="L138" i="44"/>
  <c r="AI138" i="44"/>
  <c r="AJ138" i="44"/>
  <c r="AK138" i="44"/>
  <c r="AL138" i="44"/>
  <c r="AM138" i="44"/>
  <c r="AN138" i="44"/>
  <c r="AO138" i="44"/>
  <c r="AP138" i="44"/>
  <c r="AQ138" i="44"/>
  <c r="H139" i="44"/>
  <c r="J139" i="44"/>
  <c r="L139" i="44"/>
  <c r="AI139" i="44"/>
  <c r="AJ139" i="44"/>
  <c r="AK139" i="44"/>
  <c r="AL139" i="44"/>
  <c r="AM139" i="44"/>
  <c r="AN139" i="44"/>
  <c r="AO139" i="44"/>
  <c r="AP139" i="44"/>
  <c r="AQ139" i="44"/>
  <c r="H140" i="44"/>
  <c r="J140" i="44"/>
  <c r="L140" i="44"/>
  <c r="AI140" i="44"/>
  <c r="AJ140" i="44"/>
  <c r="AK140" i="44"/>
  <c r="AL140" i="44"/>
  <c r="AM140" i="44"/>
  <c r="AN140" i="44"/>
  <c r="AO140" i="44"/>
  <c r="AP140" i="44"/>
  <c r="AQ140" i="44"/>
  <c r="H141" i="44"/>
  <c r="J141" i="44"/>
  <c r="L141" i="44"/>
  <c r="AI141" i="44"/>
  <c r="AJ141" i="44"/>
  <c r="AK141" i="44"/>
  <c r="AL141" i="44"/>
  <c r="AM141" i="44"/>
  <c r="AN141" i="44"/>
  <c r="AO141" i="44"/>
  <c r="AP141" i="44"/>
  <c r="AQ141" i="44"/>
  <c r="H142" i="44"/>
  <c r="J142" i="44"/>
  <c r="L142" i="44"/>
  <c r="AI142" i="44"/>
  <c r="AJ142" i="44"/>
  <c r="AK142" i="44"/>
  <c r="AL142" i="44"/>
  <c r="AM142" i="44"/>
  <c r="AN142" i="44"/>
  <c r="AO142" i="44"/>
  <c r="AP142" i="44"/>
  <c r="AQ142" i="44"/>
  <c r="H143" i="44"/>
  <c r="J143" i="44"/>
  <c r="L143" i="44"/>
  <c r="AI143" i="44"/>
  <c r="AJ143" i="44"/>
  <c r="AK143" i="44"/>
  <c r="AL143" i="44"/>
  <c r="AM143" i="44"/>
  <c r="AN143" i="44"/>
  <c r="AO143" i="44"/>
  <c r="AP143" i="44"/>
  <c r="AQ143" i="44"/>
  <c r="H144" i="44"/>
  <c r="J144" i="44"/>
  <c r="L144" i="44"/>
  <c r="AI144" i="44"/>
  <c r="AJ144" i="44"/>
  <c r="AK144" i="44"/>
  <c r="AL144" i="44"/>
  <c r="AM144" i="44"/>
  <c r="AN144" i="44"/>
  <c r="AO144" i="44"/>
  <c r="AP144" i="44"/>
  <c r="AQ144" i="44"/>
  <c r="H145" i="44"/>
  <c r="J145" i="44"/>
  <c r="L145" i="44"/>
  <c r="AI145" i="44"/>
  <c r="AJ145" i="44"/>
  <c r="AK145" i="44"/>
  <c r="AL145" i="44"/>
  <c r="AM145" i="44"/>
  <c r="AN145" i="44"/>
  <c r="AO145" i="44"/>
  <c r="AP145" i="44"/>
  <c r="AQ145" i="44"/>
  <c r="H146" i="44"/>
  <c r="J146" i="44"/>
  <c r="L146" i="44"/>
  <c r="AI146" i="44"/>
  <c r="AJ146" i="44"/>
  <c r="AK146" i="44"/>
  <c r="AL146" i="44"/>
  <c r="AM146" i="44"/>
  <c r="AN146" i="44"/>
  <c r="AO146" i="44"/>
  <c r="AP146" i="44"/>
  <c r="AQ146" i="44"/>
  <c r="H147" i="44"/>
  <c r="J147" i="44"/>
  <c r="L147" i="44"/>
  <c r="AI147" i="44"/>
  <c r="AJ147" i="44"/>
  <c r="AK147" i="44"/>
  <c r="AL147" i="44"/>
  <c r="AM147" i="44"/>
  <c r="AN147" i="44"/>
  <c r="AO147" i="44"/>
  <c r="AP147" i="44"/>
  <c r="AQ147" i="44"/>
  <c r="H148" i="44"/>
  <c r="J148" i="44"/>
  <c r="L148" i="44"/>
  <c r="AI148" i="44"/>
  <c r="AJ148" i="44"/>
  <c r="AK148" i="44"/>
  <c r="AL148" i="44"/>
  <c r="AM148" i="44"/>
  <c r="AN148" i="44"/>
  <c r="AO148" i="44"/>
  <c r="AP148" i="44"/>
  <c r="AQ148" i="44"/>
  <c r="H149" i="44"/>
  <c r="J149" i="44"/>
  <c r="L149" i="44"/>
  <c r="AI149" i="44"/>
  <c r="AJ149" i="44"/>
  <c r="AK149" i="44"/>
  <c r="AL149" i="44"/>
  <c r="AM149" i="44"/>
  <c r="AN149" i="44"/>
  <c r="AO149" i="44"/>
  <c r="AP149" i="44"/>
  <c r="AQ149" i="44"/>
  <c r="H150" i="44"/>
  <c r="J150" i="44"/>
  <c r="L150" i="44"/>
  <c r="AI150" i="44"/>
  <c r="AJ150" i="44"/>
  <c r="AK150" i="44"/>
  <c r="AL150" i="44"/>
  <c r="AM150" i="44"/>
  <c r="AN150" i="44"/>
  <c r="AO150" i="44"/>
  <c r="AP150" i="44"/>
  <c r="AQ150" i="44"/>
  <c r="H151" i="44"/>
  <c r="J151" i="44"/>
  <c r="L151" i="44"/>
  <c r="AI151" i="44"/>
  <c r="AJ151" i="44"/>
  <c r="AK151" i="44"/>
  <c r="AL151" i="44"/>
  <c r="AM151" i="44"/>
  <c r="AN151" i="44"/>
  <c r="AO151" i="44"/>
  <c r="AP151" i="44"/>
  <c r="AQ151" i="44"/>
  <c r="H152" i="44"/>
  <c r="J152" i="44"/>
  <c r="L152" i="44"/>
  <c r="AI152" i="44"/>
  <c r="AJ152" i="44"/>
  <c r="AK152" i="44"/>
  <c r="AL152" i="44"/>
  <c r="AM152" i="44"/>
  <c r="AN152" i="44"/>
  <c r="AO152" i="44"/>
  <c r="AP152" i="44"/>
  <c r="AQ152" i="44"/>
  <c r="H153" i="44"/>
  <c r="J153" i="44"/>
  <c r="L153" i="44"/>
  <c r="AI153" i="44"/>
  <c r="AJ153" i="44"/>
  <c r="AK153" i="44"/>
  <c r="AL153" i="44"/>
  <c r="AM153" i="44"/>
  <c r="AN153" i="44"/>
  <c r="AO153" i="44"/>
  <c r="AP153" i="44"/>
  <c r="AQ153" i="44"/>
  <c r="H154" i="44"/>
  <c r="J154" i="44"/>
  <c r="L154" i="44"/>
  <c r="AI154" i="44"/>
  <c r="AJ154" i="44"/>
  <c r="AK154" i="44"/>
  <c r="AL154" i="44"/>
  <c r="AM154" i="44"/>
  <c r="AN154" i="44"/>
  <c r="AO154" i="44"/>
  <c r="AP154" i="44"/>
  <c r="AQ154" i="44"/>
  <c r="H155" i="44"/>
  <c r="L155" i="44"/>
  <c r="AI155" i="44"/>
  <c r="AJ155" i="44"/>
  <c r="AK155" i="44"/>
  <c r="AL155" i="44"/>
  <c r="AM155" i="44"/>
  <c r="AN155" i="44"/>
  <c r="AO155" i="44"/>
  <c r="AP155" i="44"/>
  <c r="AQ155" i="44"/>
  <c r="H156" i="44"/>
  <c r="L156" i="44"/>
  <c r="AI156" i="44"/>
  <c r="AJ156" i="44"/>
  <c r="AK156" i="44"/>
  <c r="AL156" i="44"/>
  <c r="AM156" i="44"/>
  <c r="AN156" i="44"/>
  <c r="AO156" i="44"/>
  <c r="AP156" i="44"/>
  <c r="AQ156" i="44"/>
  <c r="L157" i="44"/>
  <c r="AI157" i="44"/>
  <c r="AJ157" i="44"/>
  <c r="AK157" i="44"/>
  <c r="AL157" i="44"/>
  <c r="AM157" i="44"/>
  <c r="AN157" i="44"/>
  <c r="AO157" i="44"/>
  <c r="AP157" i="44"/>
  <c r="AQ157" i="44"/>
  <c r="L158" i="44"/>
  <c r="AI158" i="44"/>
  <c r="AJ158" i="44"/>
  <c r="AK158" i="44"/>
  <c r="AL158" i="44"/>
  <c r="AM158" i="44"/>
  <c r="AN158" i="44"/>
  <c r="AO158" i="44"/>
  <c r="AP158" i="44"/>
  <c r="AQ158" i="44"/>
  <c r="J159" i="44"/>
  <c r="L159" i="44"/>
  <c r="AI159" i="44"/>
  <c r="AJ159" i="44"/>
  <c r="AK159" i="44"/>
  <c r="AL159" i="44"/>
  <c r="AM159" i="44"/>
  <c r="AN159" i="44"/>
  <c r="AO159" i="44"/>
  <c r="AP159" i="44"/>
  <c r="AQ159" i="44"/>
  <c r="L160" i="44"/>
  <c r="AI160" i="44"/>
  <c r="AJ160" i="44"/>
  <c r="AK160" i="44"/>
  <c r="AL160" i="44"/>
  <c r="AM160" i="44"/>
  <c r="AN160" i="44"/>
  <c r="AO160" i="44"/>
  <c r="AP160" i="44"/>
  <c r="AQ160" i="44"/>
  <c r="L161" i="44"/>
  <c r="AI161" i="44"/>
  <c r="AJ161" i="44"/>
  <c r="AK161" i="44"/>
  <c r="AL161" i="44"/>
  <c r="AM161" i="44"/>
  <c r="AN161" i="44"/>
  <c r="AO161" i="44"/>
  <c r="AP161" i="44"/>
  <c r="AQ161" i="44"/>
  <c r="L162" i="44"/>
  <c r="AI162" i="44"/>
  <c r="AJ162" i="44"/>
  <c r="AK162" i="44"/>
  <c r="AL162" i="44"/>
  <c r="AM162" i="44"/>
  <c r="AN162" i="44"/>
  <c r="AO162" i="44"/>
  <c r="AP162" i="44"/>
  <c r="AQ162" i="44"/>
  <c r="L163" i="44"/>
  <c r="AI163" i="44"/>
  <c r="AJ163" i="44"/>
  <c r="AK163" i="44"/>
  <c r="AL163" i="44"/>
  <c r="AM163" i="44"/>
  <c r="AN163" i="44"/>
  <c r="AO163" i="44"/>
  <c r="AP163" i="44"/>
  <c r="AQ163" i="44"/>
  <c r="L164" i="44"/>
  <c r="AI164" i="44"/>
  <c r="AJ164" i="44"/>
  <c r="AK164" i="44"/>
  <c r="AL164" i="44"/>
  <c r="AM164" i="44"/>
  <c r="AN164" i="44"/>
  <c r="AO164" i="44"/>
  <c r="AP164" i="44"/>
  <c r="AQ164" i="44"/>
  <c r="L165" i="44"/>
  <c r="AI165" i="44"/>
  <c r="AJ165" i="44"/>
  <c r="AK165" i="44"/>
  <c r="AL165" i="44"/>
  <c r="AM165" i="44"/>
  <c r="AN165" i="44"/>
  <c r="AO165" i="44"/>
  <c r="AP165" i="44"/>
  <c r="AQ165" i="44"/>
  <c r="L166" i="44"/>
  <c r="AI166" i="44"/>
  <c r="AJ166" i="44"/>
  <c r="AK166" i="44"/>
  <c r="AL166" i="44"/>
  <c r="AM166" i="44"/>
  <c r="AN166" i="44"/>
  <c r="AO166" i="44"/>
  <c r="AP166" i="44"/>
  <c r="AQ166" i="44"/>
  <c r="L167" i="44"/>
  <c r="AI167" i="44"/>
  <c r="AJ167" i="44"/>
  <c r="AK167" i="44"/>
  <c r="AL167" i="44"/>
  <c r="AM167" i="44"/>
  <c r="AN167" i="44"/>
  <c r="AO167" i="44"/>
  <c r="AP167" i="44"/>
  <c r="AQ167" i="44"/>
  <c r="L168" i="44"/>
  <c r="AI168" i="44"/>
  <c r="AJ168" i="44"/>
  <c r="AK168" i="44"/>
  <c r="AL168" i="44"/>
  <c r="AM168" i="44"/>
  <c r="AN168" i="44"/>
  <c r="AO168" i="44"/>
  <c r="AP168" i="44"/>
  <c r="AQ168" i="44"/>
  <c r="L169" i="44"/>
  <c r="AI169" i="44"/>
  <c r="AJ169" i="44"/>
  <c r="AK169" i="44"/>
  <c r="AL169" i="44"/>
  <c r="AM169" i="44"/>
  <c r="AN169" i="44"/>
  <c r="AO169" i="44"/>
  <c r="AP169" i="44"/>
  <c r="AQ169" i="44"/>
  <c r="L170" i="44"/>
  <c r="AI170" i="44"/>
  <c r="AJ170" i="44"/>
  <c r="AK170" i="44"/>
  <c r="AL170" i="44"/>
  <c r="AM170" i="44"/>
  <c r="AN170" i="44"/>
  <c r="AO170" i="44"/>
  <c r="AP170" i="44"/>
  <c r="AQ170" i="44"/>
  <c r="L171" i="44"/>
  <c r="AI171" i="44"/>
  <c r="AJ171" i="44"/>
  <c r="AK171" i="44"/>
  <c r="AL171" i="44"/>
  <c r="AM171" i="44"/>
  <c r="AN171" i="44"/>
  <c r="AO171" i="44"/>
  <c r="AP171" i="44"/>
  <c r="AQ171" i="44"/>
  <c r="L172" i="44"/>
  <c r="AI172" i="44"/>
  <c r="AJ172" i="44"/>
  <c r="AK172" i="44"/>
  <c r="AL172" i="44"/>
  <c r="AM172" i="44"/>
  <c r="AN172" i="44"/>
  <c r="AO172" i="44"/>
  <c r="AP172" i="44"/>
  <c r="AQ172" i="44"/>
  <c r="L173" i="44"/>
  <c r="AI173" i="44"/>
  <c r="AJ173" i="44"/>
  <c r="AK173" i="44"/>
  <c r="AL173" i="44"/>
  <c r="AM173" i="44"/>
  <c r="AN173" i="44"/>
  <c r="AO173" i="44"/>
  <c r="AP173" i="44"/>
  <c r="AQ173" i="44"/>
  <c r="L174" i="44"/>
  <c r="AI174" i="44"/>
  <c r="AJ174" i="44"/>
  <c r="AK174" i="44"/>
  <c r="AL174" i="44"/>
  <c r="AM174" i="44"/>
  <c r="AN174" i="44"/>
  <c r="AO174" i="44"/>
  <c r="AP174" i="44"/>
  <c r="AQ174" i="44"/>
  <c r="L175" i="44"/>
  <c r="AI175" i="44"/>
  <c r="AJ175" i="44"/>
  <c r="AK175" i="44"/>
  <c r="AL175" i="44"/>
  <c r="AM175" i="44"/>
  <c r="AN175" i="44"/>
  <c r="AO175" i="44"/>
  <c r="AP175" i="44"/>
  <c r="AQ175" i="44"/>
  <c r="L176" i="44"/>
  <c r="AI176" i="44"/>
  <c r="AJ176" i="44"/>
  <c r="AK176" i="44"/>
  <c r="AL176" i="44"/>
  <c r="AM176" i="44"/>
  <c r="AN176" i="44"/>
  <c r="AO176" i="44"/>
  <c r="AP176" i="44"/>
  <c r="AQ176" i="44"/>
  <c r="L177" i="44"/>
  <c r="AI177" i="44"/>
  <c r="AJ177" i="44"/>
  <c r="AK177" i="44"/>
  <c r="AL177" i="44"/>
  <c r="AM177" i="44"/>
  <c r="AN177" i="44"/>
  <c r="AO177" i="44"/>
  <c r="AP177" i="44"/>
  <c r="AQ177" i="44"/>
  <c r="L178" i="44"/>
  <c r="AI178" i="44"/>
  <c r="AJ178" i="44"/>
  <c r="AK178" i="44"/>
  <c r="AL178" i="44"/>
  <c r="AM178" i="44"/>
  <c r="AN178" i="44"/>
  <c r="AO178" i="44"/>
  <c r="AP178" i="44"/>
  <c r="AQ178" i="44"/>
  <c r="L179" i="44"/>
  <c r="AI179" i="44"/>
  <c r="AJ179" i="44"/>
  <c r="AK179" i="44"/>
  <c r="AL179" i="44"/>
  <c r="AM179" i="44"/>
  <c r="AN179" i="44"/>
  <c r="AO179" i="44"/>
  <c r="AP179" i="44"/>
  <c r="AQ179" i="44"/>
  <c r="L180" i="44"/>
  <c r="AI180" i="44"/>
  <c r="AJ180" i="44"/>
  <c r="AK180" i="44"/>
  <c r="AL180" i="44"/>
  <c r="AM180" i="44"/>
  <c r="AN180" i="44"/>
  <c r="AO180" i="44"/>
  <c r="AP180" i="44"/>
  <c r="AQ180" i="44"/>
  <c r="L181" i="44"/>
  <c r="AI181" i="44"/>
  <c r="AJ181" i="44"/>
  <c r="AK181" i="44"/>
  <c r="AL181" i="44"/>
  <c r="AM181" i="44"/>
  <c r="AN181" i="44"/>
  <c r="AO181" i="44"/>
  <c r="AP181" i="44"/>
  <c r="AQ181" i="44"/>
  <c r="L182" i="44"/>
  <c r="AI182" i="44"/>
  <c r="AJ182" i="44"/>
  <c r="AK182" i="44"/>
  <c r="AL182" i="44"/>
  <c r="AM182" i="44"/>
  <c r="AN182" i="44"/>
  <c r="AO182" i="44"/>
  <c r="AP182" i="44"/>
  <c r="AQ182" i="44"/>
  <c r="L183" i="44"/>
  <c r="AI183" i="44"/>
  <c r="AJ183" i="44"/>
  <c r="AK183" i="44"/>
  <c r="AL183" i="44"/>
  <c r="AM183" i="44"/>
  <c r="AN183" i="44"/>
  <c r="AO183" i="44"/>
  <c r="AP183" i="44"/>
  <c r="AQ183" i="44"/>
  <c r="L184" i="44"/>
  <c r="AI184" i="44"/>
  <c r="AJ184" i="44"/>
  <c r="AK184" i="44"/>
  <c r="AL184" i="44"/>
  <c r="AM184" i="44"/>
  <c r="AN184" i="44"/>
  <c r="AO184" i="44"/>
  <c r="AP184" i="44"/>
  <c r="AQ184" i="44"/>
  <c r="L185" i="44"/>
  <c r="AI185" i="44"/>
  <c r="AJ185" i="44"/>
  <c r="AK185" i="44"/>
  <c r="AL185" i="44"/>
  <c r="AM185" i="44"/>
  <c r="AN185" i="44"/>
  <c r="AO185" i="44"/>
  <c r="AP185" i="44"/>
  <c r="AQ185" i="44"/>
  <c r="L186" i="44"/>
  <c r="AI186" i="44"/>
  <c r="AJ186" i="44"/>
  <c r="AK186" i="44"/>
  <c r="AL186" i="44"/>
  <c r="AM186" i="44"/>
  <c r="AN186" i="44"/>
  <c r="AO186" i="44"/>
  <c r="AP186" i="44"/>
  <c r="AQ186" i="44"/>
  <c r="L187" i="44"/>
  <c r="AI187" i="44"/>
  <c r="AJ187" i="44"/>
  <c r="AK187" i="44"/>
  <c r="AL187" i="44"/>
  <c r="AM187" i="44"/>
  <c r="AN187" i="44"/>
  <c r="AO187" i="44"/>
  <c r="AP187" i="44"/>
  <c r="AQ187" i="44"/>
  <c r="L188" i="44"/>
  <c r="AI188" i="44"/>
  <c r="AJ188" i="44"/>
  <c r="AK188" i="44"/>
  <c r="AL188" i="44"/>
  <c r="AM188" i="44"/>
  <c r="AN188" i="44"/>
  <c r="AO188" i="44"/>
  <c r="AP188" i="44"/>
  <c r="AQ188" i="44"/>
  <c r="L189" i="44"/>
  <c r="AI189" i="44"/>
  <c r="AJ189" i="44"/>
  <c r="AK189" i="44"/>
  <c r="AL189" i="44"/>
  <c r="AM189" i="44"/>
  <c r="AN189" i="44"/>
  <c r="AO189" i="44"/>
  <c r="AP189" i="44"/>
  <c r="AQ189" i="44"/>
  <c r="L190" i="44"/>
  <c r="AI190" i="44"/>
  <c r="AJ190" i="44"/>
  <c r="AK190" i="44"/>
  <c r="AL190" i="44"/>
  <c r="AM190" i="44"/>
  <c r="AN190" i="44"/>
  <c r="AO190" i="44"/>
  <c r="AP190" i="44"/>
  <c r="AQ190" i="44"/>
  <c r="AI191" i="44"/>
  <c r="AJ191" i="44"/>
  <c r="AK191" i="44"/>
  <c r="AL191" i="44"/>
  <c r="AM191" i="44"/>
  <c r="AN191" i="44"/>
  <c r="AO191" i="44"/>
  <c r="AP191" i="44"/>
  <c r="AQ191" i="44"/>
  <c r="AI192" i="44"/>
  <c r="AJ192" i="44"/>
  <c r="AK192" i="44"/>
  <c r="AL192" i="44"/>
  <c r="AM192" i="44"/>
  <c r="AN192" i="44"/>
  <c r="AO192" i="44"/>
  <c r="AP192" i="44"/>
  <c r="AQ192" i="44"/>
  <c r="AI193" i="44"/>
  <c r="AJ193" i="44"/>
  <c r="AK193" i="44"/>
  <c r="AL193" i="44"/>
  <c r="AM193" i="44"/>
  <c r="AN193" i="44"/>
  <c r="AO193" i="44"/>
  <c r="AP193" i="44"/>
  <c r="AQ193" i="44"/>
  <c r="AI194" i="44"/>
  <c r="AJ194" i="44"/>
  <c r="AK194" i="44"/>
  <c r="AL194" i="44"/>
  <c r="AM194" i="44"/>
  <c r="AN194" i="44"/>
  <c r="AO194" i="44"/>
  <c r="AP194" i="44"/>
  <c r="AQ194" i="44"/>
  <c r="AI195" i="44"/>
  <c r="AJ195" i="44"/>
  <c r="AK195" i="44"/>
  <c r="AL195" i="44"/>
  <c r="AM195" i="44"/>
  <c r="AN195" i="44"/>
  <c r="AO195" i="44"/>
  <c r="AP195" i="44"/>
  <c r="AQ195" i="44"/>
  <c r="AI196" i="44"/>
  <c r="AJ196" i="44"/>
  <c r="AK196" i="44"/>
  <c r="AL196" i="44"/>
  <c r="AM196" i="44"/>
  <c r="AN196" i="44"/>
  <c r="AO196" i="44"/>
  <c r="AP196" i="44"/>
  <c r="AQ196" i="44"/>
  <c r="AI197" i="44"/>
  <c r="AJ197" i="44"/>
  <c r="AK197" i="44"/>
  <c r="AL197" i="44"/>
  <c r="AM197" i="44"/>
  <c r="AN197" i="44"/>
  <c r="AO197" i="44"/>
  <c r="AP197" i="44"/>
  <c r="AQ197" i="44"/>
  <c r="AI198" i="44"/>
  <c r="AJ198" i="44"/>
  <c r="AK198" i="44"/>
  <c r="AL198" i="44"/>
  <c r="AM198" i="44"/>
  <c r="AN198" i="44"/>
  <c r="AO198" i="44"/>
  <c r="AP198" i="44"/>
  <c r="AQ198" i="44"/>
  <c r="E11" i="41" a="1"/>
  <c r="E11" i="41"/>
  <c r="F11" i="41" a="1"/>
  <c r="F11" i="41"/>
  <c r="G11" i="41" a="1"/>
  <c r="G11" i="41"/>
  <c r="H11" i="41" a="1"/>
  <c r="H11" i="41"/>
  <c r="I11" i="41" a="1"/>
  <c r="I11" i="41"/>
  <c r="J11" i="41" a="1"/>
  <c r="J11" i="41"/>
  <c r="K11" i="41" a="1"/>
  <c r="K11" i="41"/>
  <c r="L11" i="41" a="1"/>
  <c r="L11" i="41"/>
  <c r="M11" i="41" a="1"/>
  <c r="M11" i="41"/>
  <c r="P11" i="41" a="1"/>
  <c r="P11" i="41"/>
  <c r="Q11" i="41" a="1"/>
  <c r="Q11" i="41"/>
  <c r="R11" i="41" a="1"/>
  <c r="R11" i="41"/>
  <c r="S11" i="41" a="1"/>
  <c r="S11" i="41"/>
  <c r="T11" i="41" a="1"/>
  <c r="T11" i="41"/>
  <c r="U11" i="41" a="1"/>
  <c r="U11" i="41"/>
  <c r="V11" i="41" a="1"/>
  <c r="V11" i="41"/>
  <c r="W11" i="41" a="1"/>
  <c r="W11" i="41"/>
  <c r="X11" i="41" a="1"/>
  <c r="X11" i="41"/>
  <c r="Z11" i="41" a="1"/>
  <c r="Z11" i="41"/>
  <c r="AA11" i="41" a="1"/>
  <c r="AA11" i="41"/>
  <c r="AB11" i="41" a="1"/>
  <c r="AB11" i="41"/>
  <c r="AC11" i="41" a="1"/>
  <c r="AC11" i="41"/>
  <c r="AD11" i="41" a="1"/>
  <c r="AD11" i="41"/>
  <c r="AE11" i="41" a="1"/>
  <c r="AE11" i="41"/>
  <c r="AF11" i="41" a="1"/>
  <c r="AF11" i="41"/>
  <c r="AG11" i="41" a="1"/>
  <c r="AG11" i="41"/>
  <c r="AH11" i="41" a="1"/>
  <c r="AH11" i="41"/>
  <c r="AT11" i="41" a="1"/>
  <c r="AT11" i="41"/>
  <c r="AU11" i="41" a="1"/>
  <c r="AU11" i="41"/>
  <c r="AV11" i="41" a="1"/>
  <c r="AV11" i="41"/>
  <c r="AW11" i="41" a="1"/>
  <c r="AW11" i="41"/>
  <c r="AX11" i="41" a="1"/>
  <c r="AX11" i="41"/>
  <c r="AY11" i="41" a="1"/>
  <c r="AY11" i="41"/>
  <c r="AZ11" i="41" a="1"/>
  <c r="AZ11" i="41"/>
  <c r="BA11" i="41" a="1"/>
  <c r="BA11" i="41"/>
  <c r="BB11" i="41" a="1"/>
  <c r="BB11" i="41"/>
  <c r="BE11" i="41" a="1"/>
  <c r="BE11" i="41"/>
  <c r="BF11" i="41" a="1"/>
  <c r="BF11" i="41"/>
  <c r="BG11" i="41" a="1"/>
  <c r="BG11" i="41"/>
  <c r="BH11" i="41" a="1"/>
  <c r="BH11" i="41"/>
  <c r="BI11" i="41" a="1"/>
  <c r="BI11" i="41"/>
  <c r="BJ11" i="41" a="1"/>
  <c r="BJ11" i="41"/>
  <c r="BK11" i="41" a="1"/>
  <c r="BK11" i="41"/>
  <c r="BL11" i="41" a="1"/>
  <c r="BL11" i="41"/>
  <c r="BM11" i="41" a="1"/>
  <c r="BM11" i="41"/>
  <c r="AT13" i="41"/>
  <c r="AU13" i="41"/>
  <c r="AV13" i="41"/>
  <c r="AW13" i="41"/>
  <c r="AX13" i="41"/>
  <c r="AY13" i="41"/>
  <c r="AZ13" i="41"/>
  <c r="BA13" i="41"/>
  <c r="BB13" i="41"/>
  <c r="BE13" i="41"/>
  <c r="BF13" i="41"/>
  <c r="BG13" i="41"/>
  <c r="BH13" i="41"/>
  <c r="BI13" i="41"/>
  <c r="BJ13" i="41"/>
  <c r="BK13" i="41"/>
  <c r="BL13" i="41"/>
  <c r="BM13" i="41"/>
  <c r="P14" i="41"/>
  <c r="Q14" i="41"/>
  <c r="R14" i="41"/>
  <c r="S14" i="41"/>
  <c r="T14" i="41"/>
  <c r="U14" i="41"/>
  <c r="V14" i="41"/>
  <c r="W14" i="41"/>
  <c r="X14" i="41"/>
  <c r="Z14" i="41"/>
  <c r="AA14" i="41"/>
  <c r="AB14" i="41"/>
  <c r="AC14" i="41"/>
  <c r="AD14" i="41"/>
  <c r="AE14" i="41"/>
  <c r="AF14" i="41"/>
  <c r="AG14" i="41"/>
  <c r="AH14" i="41"/>
  <c r="AT14" i="41"/>
  <c r="AU14" i="41"/>
  <c r="AV14" i="41"/>
  <c r="AW14" i="41"/>
  <c r="AX14" i="41"/>
  <c r="AY14" i="41"/>
  <c r="AZ14" i="41"/>
  <c r="BA14" i="41"/>
  <c r="BB14" i="41"/>
  <c r="BE14" i="41"/>
  <c r="BF14" i="41"/>
  <c r="BG14" i="41"/>
  <c r="BH14" i="41"/>
  <c r="BI14" i="41"/>
  <c r="BJ14" i="41"/>
  <c r="BK14" i="41"/>
  <c r="BL14" i="41"/>
  <c r="BM14" i="41"/>
  <c r="E16" i="41"/>
  <c r="F16" i="41"/>
  <c r="G16" i="41"/>
  <c r="H16" i="41"/>
  <c r="I16" i="41"/>
  <c r="J16" i="41"/>
  <c r="K16" i="41"/>
  <c r="L16" i="41"/>
  <c r="M16" i="41"/>
  <c r="P16" i="41"/>
  <c r="Q16" i="41"/>
  <c r="R16" i="41"/>
  <c r="S16" i="41"/>
  <c r="T16" i="41"/>
  <c r="U16" i="41"/>
  <c r="V16" i="41"/>
  <c r="W16" i="41"/>
  <c r="X16" i="41"/>
  <c r="Z16" i="41"/>
  <c r="AA16" i="41"/>
  <c r="AB16" i="41"/>
  <c r="AC16" i="41"/>
  <c r="AD16" i="41"/>
  <c r="AE16" i="41"/>
  <c r="AF16" i="41"/>
  <c r="AG16" i="41"/>
  <c r="AH16" i="41"/>
  <c r="AT16" i="41"/>
  <c r="AU16" i="41"/>
  <c r="AV16" i="41"/>
  <c r="AW16" i="41"/>
  <c r="AX16" i="41"/>
  <c r="AY16" i="41"/>
  <c r="AZ16" i="41"/>
  <c r="BA16" i="41"/>
  <c r="BB16" i="41"/>
  <c r="BE16" i="41"/>
  <c r="BF16" i="41"/>
  <c r="BG16" i="41"/>
  <c r="BH16" i="41"/>
  <c r="BI16" i="41"/>
  <c r="BJ16" i="41"/>
  <c r="BK16" i="41"/>
  <c r="BL16" i="41"/>
  <c r="BM16" i="41"/>
  <c r="E17" i="41" a="1"/>
  <c r="E17" i="41"/>
  <c r="F17" i="41" a="1"/>
  <c r="F17" i="41"/>
  <c r="G17" i="41" a="1"/>
  <c r="G17" i="41"/>
  <c r="H17" i="41" a="1"/>
  <c r="H17" i="41"/>
  <c r="I17" i="41" a="1"/>
  <c r="I17" i="41"/>
  <c r="J17" i="41" a="1"/>
  <c r="J17" i="41"/>
  <c r="K17" i="41" a="1"/>
  <c r="K17" i="41"/>
  <c r="L17" i="41" a="1"/>
  <c r="L17" i="41"/>
  <c r="M17" i="41" a="1"/>
  <c r="M17" i="41"/>
  <c r="P17" i="41" a="1"/>
  <c r="P17" i="41"/>
  <c r="Q17" i="41" a="1"/>
  <c r="Q17" i="41"/>
  <c r="R17" i="41" a="1"/>
  <c r="R17" i="41"/>
  <c r="S17" i="41" a="1"/>
  <c r="S17" i="41"/>
  <c r="T17" i="41" a="1"/>
  <c r="T17" i="41"/>
  <c r="U17" i="41" a="1"/>
  <c r="U17" i="41"/>
  <c r="V17" i="41" a="1"/>
  <c r="V17" i="41"/>
  <c r="W17" i="41" a="1"/>
  <c r="W17" i="41"/>
  <c r="X17" i="41" a="1"/>
  <c r="X17" i="41"/>
  <c r="Z17" i="41" a="1"/>
  <c r="Z17" i="41"/>
  <c r="AA17" i="41" a="1"/>
  <c r="AA17" i="41"/>
  <c r="AB17" i="41" a="1"/>
  <c r="AB17" i="41"/>
  <c r="AC17" i="41" a="1"/>
  <c r="AC17" i="41"/>
  <c r="AD17" i="41" a="1"/>
  <c r="AD17" i="41"/>
  <c r="AE17" i="41" a="1"/>
  <c r="AE17" i="41"/>
  <c r="AF17" i="41" a="1"/>
  <c r="AF17" i="41"/>
  <c r="AG17" i="41" a="1"/>
  <c r="AG17" i="41"/>
  <c r="AH17" i="41" a="1"/>
  <c r="AH17" i="41"/>
  <c r="AT17" i="41" a="1"/>
  <c r="AT17" i="41"/>
  <c r="AU17" i="41" a="1"/>
  <c r="AU17" i="41"/>
  <c r="AV17" i="41" a="1"/>
  <c r="AV17" i="41"/>
  <c r="AW17" i="41" a="1"/>
  <c r="AW17" i="41"/>
  <c r="AX17" i="41" a="1"/>
  <c r="AX17" i="41"/>
  <c r="AY17" i="41" a="1"/>
  <c r="AY17" i="41"/>
  <c r="AZ17" i="41" a="1"/>
  <c r="AZ17" i="41"/>
  <c r="BA17" i="41" a="1"/>
  <c r="BA17" i="41"/>
  <c r="BB17" i="41" a="1"/>
  <c r="BB17" i="41"/>
  <c r="BE17" i="41" a="1"/>
  <c r="BE17" i="41"/>
  <c r="BF17" i="41" a="1"/>
  <c r="BF17" i="41"/>
  <c r="BG17" i="41" a="1"/>
  <c r="BG17" i="41"/>
  <c r="BH17" i="41" a="1"/>
  <c r="BH17" i="41"/>
  <c r="BI17" i="41" a="1"/>
  <c r="BI17" i="41"/>
  <c r="BJ17" i="41" a="1"/>
  <c r="BJ17" i="41"/>
  <c r="BK17" i="41" a="1"/>
  <c r="BK17" i="41"/>
  <c r="BL17" i="41" a="1"/>
  <c r="BL17" i="41"/>
  <c r="BM17" i="41" a="1"/>
  <c r="BM17" i="41"/>
  <c r="E18" i="41" a="1"/>
  <c r="E18" i="41"/>
  <c r="F18" i="41" a="1"/>
  <c r="F18" i="41"/>
  <c r="G18" i="41" a="1"/>
  <c r="G18" i="41"/>
  <c r="H18" i="41" a="1"/>
  <c r="H18" i="41"/>
  <c r="I18" i="41" a="1"/>
  <c r="I18" i="41"/>
  <c r="J18" i="41" a="1"/>
  <c r="J18" i="41"/>
  <c r="K18" i="41" a="1"/>
  <c r="K18" i="41"/>
  <c r="L18" i="41" a="1"/>
  <c r="L18" i="41"/>
  <c r="M18" i="41" a="1"/>
  <c r="M18" i="41"/>
  <c r="P18" i="41" a="1"/>
  <c r="P18" i="41"/>
  <c r="Q18" i="41" a="1"/>
  <c r="Q18" i="41"/>
  <c r="R18" i="41" a="1"/>
  <c r="R18" i="41"/>
  <c r="S18" i="41" a="1"/>
  <c r="S18" i="41"/>
  <c r="T18" i="41" a="1"/>
  <c r="T18" i="41"/>
  <c r="U18" i="41" a="1"/>
  <c r="U18" i="41"/>
  <c r="V18" i="41" a="1"/>
  <c r="V18" i="41"/>
  <c r="W18" i="41" a="1"/>
  <c r="W18" i="41"/>
  <c r="X18" i="41" a="1"/>
  <c r="X18" i="41"/>
  <c r="Z18" i="41" a="1"/>
  <c r="Z18" i="41"/>
  <c r="AA18" i="41" a="1"/>
  <c r="AA18" i="41"/>
  <c r="AB18" i="41" a="1"/>
  <c r="AB18" i="41"/>
  <c r="AC18" i="41" a="1"/>
  <c r="AC18" i="41"/>
  <c r="AD18" i="41" a="1"/>
  <c r="AD18" i="41"/>
  <c r="AE18" i="41" a="1"/>
  <c r="AE18" i="41"/>
  <c r="AF18" i="41" a="1"/>
  <c r="AF18" i="41"/>
  <c r="AG18" i="41" a="1"/>
  <c r="AG18" i="41"/>
  <c r="AH18" i="41" a="1"/>
  <c r="AH18" i="41"/>
  <c r="AT18" i="41" a="1"/>
  <c r="AT18" i="41"/>
  <c r="AU18" i="41" a="1"/>
  <c r="AU18" i="41"/>
  <c r="AV18" i="41" a="1"/>
  <c r="AV18" i="41"/>
  <c r="AW18" i="41" a="1"/>
  <c r="AW18" i="41"/>
  <c r="AX18" i="41" a="1"/>
  <c r="AX18" i="41"/>
  <c r="AY18" i="41" a="1"/>
  <c r="AY18" i="41"/>
  <c r="AZ18" i="41" a="1"/>
  <c r="AZ18" i="41"/>
  <c r="BA18" i="41" a="1"/>
  <c r="BA18" i="41"/>
  <c r="BB18" i="41" a="1"/>
  <c r="BB18" i="41"/>
  <c r="BE18" i="41" a="1"/>
  <c r="BE18" i="41"/>
  <c r="BF18" i="41" a="1"/>
  <c r="BF18" i="41"/>
  <c r="BG18" i="41" a="1"/>
  <c r="BG18" i="41"/>
  <c r="BH18" i="41" a="1"/>
  <c r="BH18" i="41"/>
  <c r="BI18" i="41" a="1"/>
  <c r="BI18" i="41"/>
  <c r="BJ18" i="41" a="1"/>
  <c r="BJ18" i="41"/>
  <c r="BK18" i="41" a="1"/>
  <c r="BK18" i="41"/>
  <c r="BL18" i="41" a="1"/>
  <c r="BL18" i="41"/>
  <c r="BM18" i="41" a="1"/>
  <c r="BM18" i="41"/>
  <c r="E20" i="41" a="1"/>
  <c r="E20" i="41"/>
  <c r="F20" i="41" a="1"/>
  <c r="F20" i="41"/>
  <c r="G20" i="41" a="1"/>
  <c r="G20" i="41"/>
  <c r="H20" i="41" a="1"/>
  <c r="H20" i="41"/>
  <c r="I20" i="41" a="1"/>
  <c r="I20" i="41"/>
  <c r="J20" i="41" a="1"/>
  <c r="J20" i="41"/>
  <c r="K20" i="41" a="1"/>
  <c r="K20" i="41"/>
  <c r="L20" i="41" a="1"/>
  <c r="L20" i="41"/>
  <c r="M20" i="41" a="1"/>
  <c r="M20" i="41"/>
  <c r="P20" i="41" a="1"/>
  <c r="P20" i="41"/>
  <c r="Q20" i="41" a="1"/>
  <c r="Q20" i="41"/>
  <c r="R20" i="41" a="1"/>
  <c r="R20" i="41"/>
  <c r="S20" i="41" a="1"/>
  <c r="S20" i="41"/>
  <c r="T20" i="41" a="1"/>
  <c r="T20" i="41"/>
  <c r="U20" i="41" a="1"/>
  <c r="U20" i="41"/>
  <c r="V20" i="41" a="1"/>
  <c r="V20" i="41"/>
  <c r="W20" i="41" a="1"/>
  <c r="W20" i="41"/>
  <c r="X20" i="41" a="1"/>
  <c r="X20" i="41"/>
  <c r="Z20" i="41" a="1"/>
  <c r="Z20" i="41"/>
  <c r="AA20" i="41" a="1"/>
  <c r="AA20" i="41"/>
  <c r="AB20" i="41" a="1"/>
  <c r="AB20" i="41"/>
  <c r="AC20" i="41" a="1"/>
  <c r="AC20" i="41"/>
  <c r="AD20" i="41" a="1"/>
  <c r="AD20" i="41"/>
  <c r="AE20" i="41" a="1"/>
  <c r="AE20" i="41"/>
  <c r="AF20" i="41" a="1"/>
  <c r="AF20" i="41"/>
  <c r="AG20" i="41" a="1"/>
  <c r="AG20" i="41"/>
  <c r="AH20" i="41" a="1"/>
  <c r="AH20" i="41"/>
  <c r="AJ20" i="41"/>
  <c r="AK20" i="41"/>
  <c r="AL20" i="41"/>
  <c r="AM20" i="41"/>
  <c r="AN20" i="41"/>
  <c r="AO20" i="41"/>
  <c r="AP20" i="41"/>
  <c r="AQ20" i="41"/>
  <c r="AR20" i="41"/>
  <c r="AT20" i="41" a="1"/>
  <c r="AT20" i="41"/>
  <c r="AU20" i="41" a="1"/>
  <c r="AU20" i="41"/>
  <c r="AV20" i="41" a="1"/>
  <c r="AV20" i="41"/>
  <c r="AW20" i="41" a="1"/>
  <c r="AW20" i="41"/>
  <c r="AX20" i="41" a="1"/>
  <c r="AX20" i="41"/>
  <c r="AY20" i="41" a="1"/>
  <c r="AY20" i="41"/>
  <c r="AZ20" i="41" a="1"/>
  <c r="AZ20" i="41"/>
  <c r="BA20" i="41" a="1"/>
  <c r="BA20" i="41"/>
  <c r="BB20" i="41" a="1"/>
  <c r="BB20" i="41"/>
  <c r="E21" i="41" a="1"/>
  <c r="E21" i="41"/>
  <c r="F21" i="41" a="1"/>
  <c r="F21" i="41"/>
  <c r="G21" i="41" a="1"/>
  <c r="G21" i="41"/>
  <c r="H21" i="41" a="1"/>
  <c r="H21" i="41"/>
  <c r="I21" i="41" a="1"/>
  <c r="I21" i="41"/>
  <c r="J21" i="41" a="1"/>
  <c r="J21" i="41"/>
  <c r="K21" i="41" a="1"/>
  <c r="K21" i="41"/>
  <c r="L21" i="41" a="1"/>
  <c r="L21" i="41"/>
  <c r="M21" i="41" a="1"/>
  <c r="M21" i="41"/>
  <c r="P21" i="41" a="1"/>
  <c r="P21" i="41"/>
  <c r="Q21" i="41" a="1"/>
  <c r="Q21" i="41"/>
  <c r="R21" i="41" a="1"/>
  <c r="R21" i="41"/>
  <c r="S21" i="41" a="1"/>
  <c r="S21" i="41"/>
  <c r="T21" i="41" a="1"/>
  <c r="T21" i="41"/>
  <c r="U21" i="41" a="1"/>
  <c r="U21" i="41"/>
  <c r="V21" i="41" a="1"/>
  <c r="V21" i="41"/>
  <c r="W21" i="41" a="1"/>
  <c r="W21" i="41"/>
  <c r="X21" i="41" a="1"/>
  <c r="X21" i="41"/>
  <c r="Z21" i="41" a="1"/>
  <c r="Z21" i="41"/>
  <c r="AA21" i="41" a="1"/>
  <c r="AA21" i="41"/>
  <c r="AB21" i="41" a="1"/>
  <c r="AB21" i="41"/>
  <c r="AC21" i="41" a="1"/>
  <c r="AC21" i="41"/>
  <c r="AD21" i="41" a="1"/>
  <c r="AD21" i="41"/>
  <c r="AE21" i="41" a="1"/>
  <c r="AE21" i="41"/>
  <c r="AF21" i="41" a="1"/>
  <c r="AF21" i="41"/>
  <c r="AG21" i="41" a="1"/>
  <c r="AG21" i="41"/>
  <c r="AH21" i="41" a="1"/>
  <c r="AH21" i="41"/>
  <c r="AJ21" i="41"/>
  <c r="AK21" i="41"/>
  <c r="AL21" i="41"/>
  <c r="AM21" i="41"/>
  <c r="AN21" i="41"/>
  <c r="AO21" i="41"/>
  <c r="AP21" i="41"/>
  <c r="AQ21" i="41"/>
  <c r="AR21" i="41"/>
  <c r="AT21" i="41" a="1"/>
  <c r="AT21" i="41"/>
  <c r="AU21" i="41" a="1"/>
  <c r="AU21" i="41"/>
  <c r="AV21" i="41" a="1"/>
  <c r="AV21" i="41"/>
  <c r="AW21" i="41" a="1"/>
  <c r="AW21" i="41"/>
  <c r="AX21" i="41" a="1"/>
  <c r="AX21" i="41"/>
  <c r="AY21" i="41" a="1"/>
  <c r="AY21" i="41"/>
  <c r="AZ21" i="41" a="1"/>
  <c r="AZ21" i="41"/>
  <c r="BA21" i="41" a="1"/>
  <c r="BA21" i="41"/>
  <c r="BB21" i="41" a="1"/>
  <c r="BB21" i="41"/>
  <c r="E22" i="41" a="1"/>
  <c r="E22" i="41"/>
  <c r="F22" i="41" a="1"/>
  <c r="F22" i="41"/>
  <c r="G22" i="41" a="1"/>
  <c r="G22" i="41"/>
  <c r="H22" i="41" a="1"/>
  <c r="H22" i="41"/>
  <c r="I22" i="41" a="1"/>
  <c r="I22" i="41"/>
  <c r="J22" i="41" a="1"/>
  <c r="J22" i="41"/>
  <c r="K22" i="41" a="1"/>
  <c r="K22" i="41"/>
  <c r="L22" i="41" a="1"/>
  <c r="L22" i="41"/>
  <c r="M22" i="41" a="1"/>
  <c r="M22" i="41"/>
  <c r="P22" i="41" a="1"/>
  <c r="P22" i="41"/>
  <c r="Q22" i="41" a="1"/>
  <c r="Q22" i="41"/>
  <c r="R22" i="41" a="1"/>
  <c r="R22" i="41"/>
  <c r="S22" i="41" a="1"/>
  <c r="S22" i="41"/>
  <c r="T22" i="41" a="1"/>
  <c r="T22" i="41"/>
  <c r="U22" i="41" a="1"/>
  <c r="U22" i="41"/>
  <c r="V22" i="41" a="1"/>
  <c r="V22" i="41"/>
  <c r="W22" i="41" a="1"/>
  <c r="W22" i="41"/>
  <c r="X22" i="41" a="1"/>
  <c r="X22" i="41"/>
  <c r="Z22" i="41" a="1"/>
  <c r="Z22" i="41"/>
  <c r="AA22" i="41" a="1"/>
  <c r="AA22" i="41"/>
  <c r="AB22" i="41" a="1"/>
  <c r="AB22" i="41"/>
  <c r="AC22" i="41" a="1"/>
  <c r="AC22" i="41"/>
  <c r="AD22" i="41" a="1"/>
  <c r="AD22" i="41"/>
  <c r="AE22" i="41" a="1"/>
  <c r="AE22" i="41"/>
  <c r="AF22" i="41" a="1"/>
  <c r="AF22" i="41"/>
  <c r="AG22" i="41" a="1"/>
  <c r="AG22" i="41"/>
  <c r="AH22" i="41" a="1"/>
  <c r="AH22" i="41"/>
  <c r="AJ22" i="41"/>
  <c r="AK22" i="41"/>
  <c r="AL22" i="41"/>
  <c r="AM22" i="41"/>
  <c r="AN22" i="41"/>
  <c r="AO22" i="41"/>
  <c r="AP22" i="41"/>
  <c r="AQ22" i="41"/>
  <c r="AR22" i="41"/>
  <c r="AT22" i="41" a="1"/>
  <c r="AT22" i="41"/>
  <c r="AU22" i="41" a="1"/>
  <c r="AU22" i="41"/>
  <c r="AV22" i="41" a="1"/>
  <c r="AV22" i="41"/>
  <c r="AW22" i="41" a="1"/>
  <c r="AW22" i="41"/>
  <c r="AX22" i="41" a="1"/>
  <c r="AX22" i="41"/>
  <c r="AY22" i="41" a="1"/>
  <c r="AY22" i="41"/>
  <c r="AZ22" i="41" a="1"/>
  <c r="AZ22" i="41"/>
  <c r="BA22" i="41" a="1"/>
  <c r="BA22" i="41"/>
  <c r="BB22" i="41" a="1"/>
  <c r="BB22" i="41"/>
  <c r="E23" i="41" a="1"/>
  <c r="E23" i="41"/>
  <c r="F23" i="41" a="1"/>
  <c r="F23" i="41"/>
  <c r="G23" i="41" a="1"/>
  <c r="G23" i="41"/>
  <c r="H23" i="41" a="1"/>
  <c r="H23" i="41"/>
  <c r="I23" i="41" a="1"/>
  <c r="I23" i="41"/>
  <c r="J23" i="41" a="1"/>
  <c r="J23" i="41"/>
  <c r="K23" i="41" a="1"/>
  <c r="K23" i="41"/>
  <c r="L23" i="41" a="1"/>
  <c r="L23" i="41"/>
  <c r="M23" i="41" a="1"/>
  <c r="M23" i="41"/>
  <c r="P23" i="41" a="1"/>
  <c r="P23" i="41"/>
  <c r="Q23" i="41" a="1"/>
  <c r="Q23" i="41"/>
  <c r="R23" i="41" a="1"/>
  <c r="R23" i="41"/>
  <c r="S23" i="41" a="1"/>
  <c r="S23" i="41"/>
  <c r="T23" i="41" a="1"/>
  <c r="T23" i="41"/>
  <c r="U23" i="41" a="1"/>
  <c r="U23" i="41"/>
  <c r="V23" i="41" a="1"/>
  <c r="V23" i="41"/>
  <c r="W23" i="41" a="1"/>
  <c r="W23" i="41"/>
  <c r="X23" i="41" a="1"/>
  <c r="X23" i="41"/>
  <c r="Z23" i="41" a="1"/>
  <c r="Z23" i="41"/>
  <c r="AA23" i="41" a="1"/>
  <c r="AA23" i="41"/>
  <c r="AB23" i="41" a="1"/>
  <c r="AB23" i="41"/>
  <c r="AC23" i="41" a="1"/>
  <c r="AC23" i="41"/>
  <c r="AD23" i="41" a="1"/>
  <c r="AD23" i="41"/>
  <c r="AE23" i="41" a="1"/>
  <c r="AE23" i="41"/>
  <c r="AF23" i="41" a="1"/>
  <c r="AF23" i="41"/>
  <c r="AG23" i="41" a="1"/>
  <c r="AG23" i="41"/>
  <c r="AH23" i="41" a="1"/>
  <c r="AH23" i="41"/>
  <c r="AJ23" i="41"/>
  <c r="AK23" i="41"/>
  <c r="AL23" i="41"/>
  <c r="AM23" i="41"/>
  <c r="AN23" i="41"/>
  <c r="AO23" i="41"/>
  <c r="AP23" i="41"/>
  <c r="AQ23" i="41"/>
  <c r="AR23" i="41"/>
  <c r="AT23" i="41" a="1"/>
  <c r="AT23" i="41"/>
  <c r="AU23" i="41" a="1"/>
  <c r="AU23" i="41"/>
  <c r="AV23" i="41" a="1"/>
  <c r="AV23" i="41"/>
  <c r="AW23" i="41" a="1"/>
  <c r="AW23" i="41"/>
  <c r="AX23" i="41" a="1"/>
  <c r="AX23" i="41"/>
  <c r="AY23" i="41" a="1"/>
  <c r="AY23" i="41"/>
  <c r="AZ23" i="41" a="1"/>
  <c r="AZ23" i="41"/>
  <c r="BA23" i="41" a="1"/>
  <c r="BA23" i="41"/>
  <c r="BB23" i="41" a="1"/>
  <c r="BB23" i="41"/>
  <c r="E24" i="41" a="1"/>
  <c r="E24" i="41"/>
  <c r="F24" i="41" a="1"/>
  <c r="F24" i="41"/>
  <c r="G24" i="41" a="1"/>
  <c r="G24" i="41"/>
  <c r="H24" i="41" a="1"/>
  <c r="H24" i="41"/>
  <c r="I24" i="41" a="1"/>
  <c r="I24" i="41"/>
  <c r="J24" i="41" a="1"/>
  <c r="J24" i="41"/>
  <c r="K24" i="41" a="1"/>
  <c r="K24" i="41"/>
  <c r="L24" i="41" a="1"/>
  <c r="L24" i="41"/>
  <c r="M24" i="41" a="1"/>
  <c r="M24" i="41"/>
  <c r="P24" i="41" a="1"/>
  <c r="P24" i="41"/>
  <c r="Q24" i="41" a="1"/>
  <c r="Q24" i="41"/>
  <c r="R24" i="41" a="1"/>
  <c r="R24" i="41"/>
  <c r="S24" i="41" a="1"/>
  <c r="S24" i="41"/>
  <c r="T24" i="41" a="1"/>
  <c r="T24" i="41"/>
  <c r="U24" i="41" a="1"/>
  <c r="U24" i="41"/>
  <c r="V24" i="41" a="1"/>
  <c r="V24" i="41"/>
  <c r="W24" i="41" a="1"/>
  <c r="W24" i="41"/>
  <c r="X24" i="41" a="1"/>
  <c r="X24" i="41"/>
  <c r="Z24" i="41" a="1"/>
  <c r="Z24" i="41"/>
  <c r="AA24" i="41" a="1"/>
  <c r="AA24" i="41"/>
  <c r="AB24" i="41" a="1"/>
  <c r="AB24" i="41"/>
  <c r="AC24" i="41" a="1"/>
  <c r="AC24" i="41"/>
  <c r="AD24" i="41" a="1"/>
  <c r="AD24" i="41"/>
  <c r="AE24" i="41" a="1"/>
  <c r="AE24" i="41"/>
  <c r="AF24" i="41" a="1"/>
  <c r="AF24" i="41"/>
  <c r="AG24" i="41" a="1"/>
  <c r="AG24" i="41"/>
  <c r="AH24" i="41" a="1"/>
  <c r="AH24" i="41"/>
  <c r="AJ24" i="41"/>
  <c r="AK24" i="41"/>
  <c r="AL24" i="41"/>
  <c r="AM24" i="41"/>
  <c r="AN24" i="41"/>
  <c r="AO24" i="41"/>
  <c r="AP24" i="41"/>
  <c r="AQ24" i="41"/>
  <c r="AR24" i="41"/>
  <c r="AT24" i="41" a="1"/>
  <c r="AT24" i="41"/>
  <c r="AU24" i="41" a="1"/>
  <c r="AU24" i="41"/>
  <c r="AV24" i="41" a="1"/>
  <c r="AV24" i="41"/>
  <c r="AW24" i="41" a="1"/>
  <c r="AW24" i="41"/>
  <c r="AX24" i="41" a="1"/>
  <c r="AX24" i="41"/>
  <c r="AY24" i="41" a="1"/>
  <c r="AY24" i="41"/>
  <c r="AZ24" i="41" a="1"/>
  <c r="AZ24" i="41"/>
  <c r="BA24" i="41" a="1"/>
  <c r="BA24" i="41"/>
  <c r="BB24" i="41" a="1"/>
  <c r="BB24" i="41"/>
  <c r="E25" i="41" a="1"/>
  <c r="E25" i="41"/>
  <c r="F25" i="41" a="1"/>
  <c r="F25" i="41"/>
  <c r="G25" i="41" a="1"/>
  <c r="G25" i="41"/>
  <c r="H25" i="41" a="1"/>
  <c r="H25" i="41"/>
  <c r="I25" i="41" a="1"/>
  <c r="I25" i="41"/>
  <c r="J25" i="41" a="1"/>
  <c r="J25" i="41"/>
  <c r="K25" i="41" a="1"/>
  <c r="K25" i="41"/>
  <c r="L25" i="41" a="1"/>
  <c r="L25" i="41"/>
  <c r="M25" i="41" a="1"/>
  <c r="M25" i="41"/>
  <c r="P25" i="41" a="1"/>
  <c r="P25" i="41"/>
  <c r="Q25" i="41" a="1"/>
  <c r="Q25" i="41"/>
  <c r="R25" i="41" a="1"/>
  <c r="R25" i="41"/>
  <c r="S25" i="41" a="1"/>
  <c r="S25" i="41"/>
  <c r="T25" i="41" a="1"/>
  <c r="T25" i="41"/>
  <c r="U25" i="41" a="1"/>
  <c r="U25" i="41"/>
  <c r="V25" i="41" a="1"/>
  <c r="V25" i="41"/>
  <c r="W25" i="41" a="1"/>
  <c r="W25" i="41"/>
  <c r="X25" i="41" a="1"/>
  <c r="X25" i="41"/>
  <c r="Z25" i="41" a="1"/>
  <c r="Z25" i="41"/>
  <c r="AA25" i="41" a="1"/>
  <c r="AA25" i="41"/>
  <c r="AB25" i="41" a="1"/>
  <c r="AB25" i="41"/>
  <c r="AC25" i="41" a="1"/>
  <c r="AC25" i="41"/>
  <c r="AD25" i="41" a="1"/>
  <c r="AD25" i="41"/>
  <c r="AE25" i="41" a="1"/>
  <c r="AE25" i="41"/>
  <c r="AF25" i="41" a="1"/>
  <c r="AF25" i="41"/>
  <c r="AG25" i="41" a="1"/>
  <c r="AG25" i="41"/>
  <c r="AH25" i="41" a="1"/>
  <c r="AH25" i="41"/>
  <c r="AJ25" i="41"/>
  <c r="AK25" i="41"/>
  <c r="AL25" i="41"/>
  <c r="AM25" i="41"/>
  <c r="AN25" i="41"/>
  <c r="AO25" i="41"/>
  <c r="AP25" i="41"/>
  <c r="AQ25" i="41"/>
  <c r="AR25" i="41"/>
  <c r="AT25" i="41" a="1"/>
  <c r="AT25" i="41"/>
  <c r="AU25" i="41" a="1"/>
  <c r="AU25" i="41"/>
  <c r="AV25" i="41" a="1"/>
  <c r="AV25" i="41"/>
  <c r="AW25" i="41" a="1"/>
  <c r="AW25" i="41"/>
  <c r="AX25" i="41" a="1"/>
  <c r="AX25" i="41"/>
  <c r="AY25" i="41" a="1"/>
  <c r="AY25" i="41"/>
  <c r="AZ25" i="41" a="1"/>
  <c r="AZ25" i="41"/>
  <c r="BA25" i="41" a="1"/>
  <c r="BA25" i="41"/>
  <c r="BB25" i="41" a="1"/>
  <c r="BB25" i="41"/>
  <c r="E26" i="41" a="1"/>
  <c r="E26" i="41"/>
  <c r="F26" i="41" a="1"/>
  <c r="F26" i="41"/>
  <c r="G26" i="41" a="1"/>
  <c r="G26" i="41"/>
  <c r="H26" i="41" a="1"/>
  <c r="H26" i="41"/>
  <c r="I26" i="41" a="1"/>
  <c r="I26" i="41"/>
  <c r="J26" i="41" a="1"/>
  <c r="J26" i="41"/>
  <c r="K26" i="41" a="1"/>
  <c r="K26" i="41"/>
  <c r="L26" i="41" a="1"/>
  <c r="L26" i="41"/>
  <c r="M26" i="41" a="1"/>
  <c r="M26" i="41"/>
  <c r="P26" i="41" a="1"/>
  <c r="P26" i="41"/>
  <c r="Q26" i="41" a="1"/>
  <c r="Q26" i="41"/>
  <c r="R26" i="41" a="1"/>
  <c r="R26" i="41"/>
  <c r="S26" i="41" a="1"/>
  <c r="S26" i="41"/>
  <c r="T26" i="41" a="1"/>
  <c r="T26" i="41"/>
  <c r="U26" i="41" a="1"/>
  <c r="U26" i="41"/>
  <c r="V26" i="41" a="1"/>
  <c r="V26" i="41"/>
  <c r="W26" i="41" a="1"/>
  <c r="W26" i="41"/>
  <c r="X26" i="41" a="1"/>
  <c r="X26" i="41"/>
  <c r="Z26" i="41" a="1"/>
  <c r="Z26" i="41"/>
  <c r="AA26" i="41" a="1"/>
  <c r="AA26" i="41"/>
  <c r="AB26" i="41" a="1"/>
  <c r="AB26" i="41"/>
  <c r="AC26" i="41" a="1"/>
  <c r="AC26" i="41"/>
  <c r="AD26" i="41" a="1"/>
  <c r="AD26" i="41"/>
  <c r="AE26" i="41" a="1"/>
  <c r="AE26" i="41"/>
  <c r="AF26" i="41" a="1"/>
  <c r="AF26" i="41"/>
  <c r="AG26" i="41" a="1"/>
  <c r="AG26" i="41"/>
  <c r="AH26" i="41" a="1"/>
  <c r="AH26" i="41"/>
  <c r="AJ26" i="41"/>
  <c r="AK26" i="41"/>
  <c r="AL26" i="41"/>
  <c r="AM26" i="41"/>
  <c r="AN26" i="41"/>
  <c r="AO26" i="41"/>
  <c r="AP26" i="41"/>
  <c r="AQ26" i="41"/>
  <c r="AR26" i="41"/>
  <c r="AT26" i="41" a="1"/>
  <c r="AT26" i="41"/>
  <c r="AU26" i="41" a="1"/>
  <c r="AU26" i="41"/>
  <c r="AV26" i="41" a="1"/>
  <c r="AV26" i="41"/>
  <c r="AW26" i="41" a="1"/>
  <c r="AW26" i="41"/>
  <c r="AX26" i="41" a="1"/>
  <c r="AX26" i="41"/>
  <c r="AY26" i="41" a="1"/>
  <c r="AY26" i="41"/>
  <c r="AZ26" i="41" a="1"/>
  <c r="AZ26" i="41"/>
  <c r="BA26" i="41" a="1"/>
  <c r="BA26" i="41"/>
  <c r="BB26" i="41" a="1"/>
  <c r="BB26" i="41"/>
  <c r="E27" i="41" a="1"/>
  <c r="E27" i="41"/>
  <c r="F27" i="41" a="1"/>
  <c r="F27" i="41"/>
  <c r="G27" i="41" a="1"/>
  <c r="G27" i="41"/>
  <c r="H27" i="41" a="1"/>
  <c r="H27" i="41"/>
  <c r="I27" i="41" a="1"/>
  <c r="I27" i="41"/>
  <c r="J27" i="41" a="1"/>
  <c r="J27" i="41"/>
  <c r="K27" i="41" a="1"/>
  <c r="K27" i="41"/>
  <c r="L27" i="41" a="1"/>
  <c r="L27" i="41"/>
  <c r="M27" i="41" a="1"/>
  <c r="M27" i="41"/>
  <c r="P27" i="41" a="1"/>
  <c r="P27" i="41"/>
  <c r="Q27" i="41" a="1"/>
  <c r="Q27" i="41"/>
  <c r="R27" i="41" a="1"/>
  <c r="R27" i="41"/>
  <c r="S27" i="41" a="1"/>
  <c r="S27" i="41"/>
  <c r="T27" i="41" a="1"/>
  <c r="T27" i="41"/>
  <c r="U27" i="41" a="1"/>
  <c r="U27" i="41"/>
  <c r="V27" i="41" a="1"/>
  <c r="V27" i="41"/>
  <c r="W27" i="41" a="1"/>
  <c r="W27" i="41"/>
  <c r="X27" i="41" a="1"/>
  <c r="X27" i="41"/>
  <c r="Z27" i="41" a="1"/>
  <c r="Z27" i="41"/>
  <c r="AA27" i="41" a="1"/>
  <c r="AA27" i="41"/>
  <c r="AB27" i="41" a="1"/>
  <c r="AB27" i="41"/>
  <c r="AC27" i="41" a="1"/>
  <c r="AC27" i="41"/>
  <c r="AD27" i="41" a="1"/>
  <c r="AD27" i="41"/>
  <c r="AE27" i="41" a="1"/>
  <c r="AE27" i="41"/>
  <c r="AF27" i="41" a="1"/>
  <c r="AF27" i="41"/>
  <c r="AG27" i="41" a="1"/>
  <c r="AG27" i="41"/>
  <c r="AH27" i="41" a="1"/>
  <c r="AH27" i="41"/>
  <c r="AJ27" i="41"/>
  <c r="AK27" i="41"/>
  <c r="AL27" i="41"/>
  <c r="AM27" i="41"/>
  <c r="AN27" i="41"/>
  <c r="AO27" i="41"/>
  <c r="AP27" i="41"/>
  <c r="AQ27" i="41"/>
  <c r="AR27" i="41"/>
  <c r="AT27" i="41" a="1"/>
  <c r="AT27" i="41"/>
  <c r="AU27" i="41" a="1"/>
  <c r="AU27" i="41"/>
  <c r="AV27" i="41" a="1"/>
  <c r="AV27" i="41"/>
  <c r="AW27" i="41" a="1"/>
  <c r="AW27" i="41"/>
  <c r="AX27" i="41" a="1"/>
  <c r="AX27" i="41"/>
  <c r="AY27" i="41" a="1"/>
  <c r="AY27" i="41"/>
  <c r="AZ27" i="41" a="1"/>
  <c r="AZ27" i="41"/>
  <c r="BA27" i="41" a="1"/>
  <c r="BA27" i="41"/>
  <c r="BB27" i="41" a="1"/>
  <c r="BB27" i="41"/>
  <c r="E28" i="41" a="1"/>
  <c r="E28" i="41"/>
  <c r="F28" i="41" a="1"/>
  <c r="F28" i="41"/>
  <c r="G28" i="41" a="1"/>
  <c r="G28" i="41"/>
  <c r="H28" i="41" a="1"/>
  <c r="H28" i="41"/>
  <c r="I28" i="41" a="1"/>
  <c r="I28" i="41"/>
  <c r="J28" i="41" a="1"/>
  <c r="J28" i="41"/>
  <c r="K28" i="41" a="1"/>
  <c r="K28" i="41"/>
  <c r="L28" i="41" a="1"/>
  <c r="L28" i="41"/>
  <c r="M28" i="41" a="1"/>
  <c r="M28" i="41"/>
  <c r="P28" i="41" a="1"/>
  <c r="P28" i="41"/>
  <c r="Q28" i="41" a="1"/>
  <c r="Q28" i="41"/>
  <c r="R28" i="41" a="1"/>
  <c r="R28" i="41"/>
  <c r="S28" i="41" a="1"/>
  <c r="S28" i="41"/>
  <c r="T28" i="41" a="1"/>
  <c r="T28" i="41"/>
  <c r="U28" i="41" a="1"/>
  <c r="U28" i="41"/>
  <c r="V28" i="41" a="1"/>
  <c r="V28" i="41"/>
  <c r="W28" i="41" a="1"/>
  <c r="W28" i="41"/>
  <c r="X28" i="41" a="1"/>
  <c r="X28" i="41"/>
  <c r="Z28" i="41" a="1"/>
  <c r="Z28" i="41"/>
  <c r="AA28" i="41" a="1"/>
  <c r="AA28" i="41"/>
  <c r="AB28" i="41" a="1"/>
  <c r="AB28" i="41"/>
  <c r="AC28" i="41" a="1"/>
  <c r="AC28" i="41"/>
  <c r="AD28" i="41" a="1"/>
  <c r="AD28" i="41"/>
  <c r="AE28" i="41" a="1"/>
  <c r="AE28" i="41"/>
  <c r="AF28" i="41" a="1"/>
  <c r="AF28" i="41"/>
  <c r="AG28" i="41" a="1"/>
  <c r="AG28" i="41"/>
  <c r="AH28" i="41" a="1"/>
  <c r="AH28" i="41"/>
  <c r="AJ28" i="41"/>
  <c r="AK28" i="41"/>
  <c r="AL28" i="41"/>
  <c r="AM28" i="41"/>
  <c r="AN28" i="41"/>
  <c r="AO28" i="41"/>
  <c r="AP28" i="41"/>
  <c r="AQ28" i="41"/>
  <c r="AR28" i="41"/>
  <c r="AT28" i="41" a="1"/>
  <c r="AT28" i="41"/>
  <c r="AU28" i="41" a="1"/>
  <c r="AU28" i="41"/>
  <c r="AV28" i="41" a="1"/>
  <c r="AV28" i="41"/>
  <c r="AW28" i="41" a="1"/>
  <c r="AW28" i="41"/>
  <c r="AX28" i="41" a="1"/>
  <c r="AX28" i="41"/>
  <c r="AY28" i="41" a="1"/>
  <c r="AY28" i="41"/>
  <c r="AZ28" i="41" a="1"/>
  <c r="AZ28" i="41"/>
  <c r="BA28" i="41" a="1"/>
  <c r="BA28" i="41"/>
  <c r="BB28" i="41" a="1"/>
  <c r="BB28" i="41"/>
  <c r="E29" i="41" a="1"/>
  <c r="E29" i="41"/>
  <c r="F29" i="41" a="1"/>
  <c r="F29" i="41"/>
  <c r="G29" i="41" a="1"/>
  <c r="G29" i="41"/>
  <c r="H29" i="41" a="1"/>
  <c r="H29" i="41"/>
  <c r="I29" i="41" a="1"/>
  <c r="I29" i="41"/>
  <c r="J29" i="41" a="1"/>
  <c r="J29" i="41"/>
  <c r="K29" i="41" a="1"/>
  <c r="K29" i="41"/>
  <c r="L29" i="41" a="1"/>
  <c r="L29" i="41"/>
  <c r="M29" i="41" a="1"/>
  <c r="M29" i="41"/>
  <c r="P29" i="41" a="1"/>
  <c r="P29" i="41"/>
  <c r="Q29" i="41" a="1"/>
  <c r="Q29" i="41"/>
  <c r="R29" i="41" a="1"/>
  <c r="R29" i="41"/>
  <c r="S29" i="41" a="1"/>
  <c r="S29" i="41"/>
  <c r="T29" i="41" a="1"/>
  <c r="T29" i="41"/>
  <c r="U29" i="41" a="1"/>
  <c r="U29" i="41"/>
  <c r="V29" i="41" a="1"/>
  <c r="V29" i="41"/>
  <c r="W29" i="41" a="1"/>
  <c r="W29" i="41"/>
  <c r="X29" i="41" a="1"/>
  <c r="X29" i="41"/>
  <c r="Z29" i="41" a="1"/>
  <c r="Z29" i="41"/>
  <c r="AA29" i="41" a="1"/>
  <c r="AA29" i="41"/>
  <c r="AB29" i="41" a="1"/>
  <c r="AB29" i="41"/>
  <c r="AC29" i="41" a="1"/>
  <c r="AC29" i="41"/>
  <c r="AD29" i="41" a="1"/>
  <c r="AD29" i="41"/>
  <c r="AE29" i="41" a="1"/>
  <c r="AE29" i="41"/>
  <c r="AF29" i="41" a="1"/>
  <c r="AF29" i="41"/>
  <c r="AG29" i="41" a="1"/>
  <c r="AG29" i="41"/>
  <c r="AH29" i="41" a="1"/>
  <c r="AH29" i="41"/>
  <c r="AJ29" i="41"/>
  <c r="AK29" i="41"/>
  <c r="AL29" i="41"/>
  <c r="AM29" i="41"/>
  <c r="AN29" i="41"/>
  <c r="AO29" i="41"/>
  <c r="AP29" i="41"/>
  <c r="AQ29" i="41"/>
  <c r="AR29" i="41"/>
  <c r="AT29" i="41" a="1"/>
  <c r="AT29" i="41"/>
  <c r="AU29" i="41" a="1"/>
  <c r="AU29" i="41"/>
  <c r="AV29" i="41" a="1"/>
  <c r="AV29" i="41"/>
  <c r="AW29" i="41" a="1"/>
  <c r="AW29" i="41"/>
  <c r="AX29" i="41" a="1"/>
  <c r="AX29" i="41"/>
  <c r="AY29" i="41" a="1"/>
  <c r="AY29" i="41"/>
  <c r="AZ29" i="41" a="1"/>
  <c r="AZ29" i="41"/>
  <c r="BA29" i="41" a="1"/>
  <c r="BA29" i="41"/>
  <c r="BB29" i="41" a="1"/>
  <c r="BB29" i="41"/>
  <c r="E30" i="41" a="1"/>
  <c r="E30" i="41"/>
  <c r="F30" i="41" a="1"/>
  <c r="F30" i="41"/>
  <c r="G30" i="41" a="1"/>
  <c r="G30" i="41"/>
  <c r="H30" i="41" a="1"/>
  <c r="H30" i="41"/>
  <c r="I30" i="41" a="1"/>
  <c r="I30" i="41"/>
  <c r="J30" i="41" a="1"/>
  <c r="J30" i="41"/>
  <c r="K30" i="41" a="1"/>
  <c r="K30" i="41"/>
  <c r="L30" i="41" a="1"/>
  <c r="L30" i="41"/>
  <c r="M30" i="41" a="1"/>
  <c r="M30" i="41"/>
  <c r="P30" i="41" a="1"/>
  <c r="P30" i="41"/>
  <c r="Q30" i="41" a="1"/>
  <c r="Q30" i="41"/>
  <c r="R30" i="41" a="1"/>
  <c r="R30" i="41"/>
  <c r="S30" i="41" a="1"/>
  <c r="S30" i="41"/>
  <c r="T30" i="41" a="1"/>
  <c r="T30" i="41"/>
  <c r="U30" i="41" a="1"/>
  <c r="U30" i="41"/>
  <c r="V30" i="41" a="1"/>
  <c r="V30" i="41"/>
  <c r="W30" i="41" a="1"/>
  <c r="W30" i="41"/>
  <c r="X30" i="41" a="1"/>
  <c r="X30" i="41"/>
  <c r="Z30" i="41" a="1"/>
  <c r="Z30" i="41"/>
  <c r="AA30" i="41" a="1"/>
  <c r="AA30" i="41"/>
  <c r="AB30" i="41" a="1"/>
  <c r="AB30" i="41"/>
  <c r="AC30" i="41" a="1"/>
  <c r="AC30" i="41"/>
  <c r="AD30" i="41" a="1"/>
  <c r="AD30" i="41"/>
  <c r="AE30" i="41" a="1"/>
  <c r="AE30" i="41"/>
  <c r="AF30" i="41" a="1"/>
  <c r="AF30" i="41"/>
  <c r="AG30" i="41" a="1"/>
  <c r="AG30" i="41"/>
  <c r="AH30" i="41" a="1"/>
  <c r="AH30" i="41"/>
  <c r="AJ30" i="41"/>
  <c r="AK30" i="41"/>
  <c r="AL30" i="41"/>
  <c r="AM30" i="41"/>
  <c r="AN30" i="41"/>
  <c r="AO30" i="41"/>
  <c r="AP30" i="41"/>
  <c r="AQ30" i="41"/>
  <c r="AR30" i="41"/>
  <c r="AT30" i="41" a="1"/>
  <c r="AT30" i="41"/>
  <c r="AU30" i="41" a="1"/>
  <c r="AU30" i="41"/>
  <c r="AV30" i="41" a="1"/>
  <c r="AV30" i="41"/>
  <c r="AW30" i="41" a="1"/>
  <c r="AW30" i="41"/>
  <c r="AX30" i="41" a="1"/>
  <c r="AX30" i="41"/>
  <c r="AY30" i="41" a="1"/>
  <c r="AY30" i="41"/>
  <c r="AZ30" i="41" a="1"/>
  <c r="AZ30" i="41"/>
  <c r="BA30" i="41" a="1"/>
  <c r="BA30" i="41"/>
  <c r="BB30" i="41" a="1"/>
  <c r="BB30" i="41"/>
  <c r="E31" i="41" a="1"/>
  <c r="E31" i="41"/>
  <c r="F31" i="41" a="1"/>
  <c r="F31" i="41"/>
  <c r="G31" i="41" a="1"/>
  <c r="G31" i="41"/>
  <c r="H31" i="41" a="1"/>
  <c r="H31" i="41"/>
  <c r="I31" i="41" a="1"/>
  <c r="I31" i="41"/>
  <c r="J31" i="41" a="1"/>
  <c r="J31" i="41"/>
  <c r="K31" i="41" a="1"/>
  <c r="K31" i="41"/>
  <c r="L31" i="41" a="1"/>
  <c r="L31" i="41"/>
  <c r="M31" i="41" a="1"/>
  <c r="M31" i="41"/>
  <c r="P31" i="41" a="1"/>
  <c r="P31" i="41"/>
  <c r="Q31" i="41" a="1"/>
  <c r="Q31" i="41"/>
  <c r="R31" i="41" a="1"/>
  <c r="R31" i="41"/>
  <c r="S31" i="41" a="1"/>
  <c r="S31" i="41"/>
  <c r="T31" i="41" a="1"/>
  <c r="T31" i="41"/>
  <c r="U31" i="41" a="1"/>
  <c r="U31" i="41"/>
  <c r="V31" i="41" a="1"/>
  <c r="V31" i="41"/>
  <c r="W31" i="41" a="1"/>
  <c r="W31" i="41"/>
  <c r="X31" i="41" a="1"/>
  <c r="X31" i="41"/>
  <c r="Z31" i="41" a="1"/>
  <c r="Z31" i="41"/>
  <c r="AA31" i="41" a="1"/>
  <c r="AA31" i="41"/>
  <c r="AB31" i="41" a="1"/>
  <c r="AB31" i="41"/>
  <c r="AC31" i="41" a="1"/>
  <c r="AC31" i="41"/>
  <c r="AD31" i="41" a="1"/>
  <c r="AD31" i="41"/>
  <c r="AE31" i="41" a="1"/>
  <c r="AE31" i="41"/>
  <c r="AF31" i="41" a="1"/>
  <c r="AF31" i="41"/>
  <c r="AG31" i="41" a="1"/>
  <c r="AG31" i="41"/>
  <c r="AH31" i="41" a="1"/>
  <c r="AH31" i="41"/>
  <c r="AJ31" i="41"/>
  <c r="AK31" i="41"/>
  <c r="AL31" i="41"/>
  <c r="AM31" i="41"/>
  <c r="AN31" i="41"/>
  <c r="AO31" i="41"/>
  <c r="AP31" i="41"/>
  <c r="AQ31" i="41"/>
  <c r="AR31" i="41"/>
  <c r="AT31" i="41" a="1"/>
  <c r="AT31" i="41"/>
  <c r="AU31" i="41" a="1"/>
  <c r="AU31" i="41"/>
  <c r="AV31" i="41" a="1"/>
  <c r="AV31" i="41"/>
  <c r="AW31" i="41" a="1"/>
  <c r="AW31" i="41"/>
  <c r="AX31" i="41" a="1"/>
  <c r="AX31" i="41"/>
  <c r="AY31" i="41" a="1"/>
  <c r="AY31" i="41"/>
  <c r="AZ31" i="41" a="1"/>
  <c r="AZ31" i="41"/>
  <c r="BA31" i="41" a="1"/>
  <c r="BA31" i="41"/>
  <c r="BB31" i="41" a="1"/>
  <c r="BB31" i="41"/>
  <c r="E32" i="41" a="1"/>
  <c r="E32" i="41"/>
  <c r="F32" i="41" a="1"/>
  <c r="F32" i="41"/>
  <c r="G32" i="41" a="1"/>
  <c r="G32" i="41"/>
  <c r="H32" i="41" a="1"/>
  <c r="H32" i="41"/>
  <c r="I32" i="41" a="1"/>
  <c r="I32" i="41"/>
  <c r="J32" i="41" a="1"/>
  <c r="J32" i="41"/>
  <c r="K32" i="41" a="1"/>
  <c r="K32" i="41"/>
  <c r="L32" i="41" a="1"/>
  <c r="L32" i="41"/>
  <c r="M32" i="41" a="1"/>
  <c r="M32" i="41"/>
  <c r="P32" i="41" a="1"/>
  <c r="P32" i="41"/>
  <c r="Q32" i="41" a="1"/>
  <c r="Q32" i="41"/>
  <c r="R32" i="41" a="1"/>
  <c r="R32" i="41"/>
  <c r="S32" i="41" a="1"/>
  <c r="S32" i="41"/>
  <c r="T32" i="41" a="1"/>
  <c r="T32" i="41"/>
  <c r="U32" i="41" a="1"/>
  <c r="U32" i="41"/>
  <c r="V32" i="41" a="1"/>
  <c r="V32" i="41"/>
  <c r="W32" i="41" a="1"/>
  <c r="W32" i="41"/>
  <c r="X32" i="41" a="1"/>
  <c r="X32" i="41"/>
  <c r="Z32" i="41" a="1"/>
  <c r="Z32" i="41"/>
  <c r="AA32" i="41" a="1"/>
  <c r="AA32" i="41"/>
  <c r="AB32" i="41" a="1"/>
  <c r="AB32" i="41"/>
  <c r="AC32" i="41" a="1"/>
  <c r="AC32" i="41"/>
  <c r="AD32" i="41" a="1"/>
  <c r="AD32" i="41"/>
  <c r="AE32" i="41" a="1"/>
  <c r="AE32" i="41"/>
  <c r="AF32" i="41" a="1"/>
  <c r="AF32" i="41"/>
  <c r="AG32" i="41" a="1"/>
  <c r="AG32" i="41"/>
  <c r="AH32" i="41" a="1"/>
  <c r="AH32" i="41"/>
  <c r="AJ32" i="41"/>
  <c r="AK32" i="41"/>
  <c r="AL32" i="41"/>
  <c r="AM32" i="41"/>
  <c r="AN32" i="41"/>
  <c r="AO32" i="41"/>
  <c r="AP32" i="41"/>
  <c r="AQ32" i="41"/>
  <c r="AR32" i="41"/>
  <c r="AT32" i="41" a="1"/>
  <c r="AT32" i="41"/>
  <c r="AU32" i="41" a="1"/>
  <c r="AU32" i="41"/>
  <c r="AV32" i="41" a="1"/>
  <c r="AV32" i="41"/>
  <c r="AW32" i="41" a="1"/>
  <c r="AW32" i="41"/>
  <c r="AX32" i="41" a="1"/>
  <c r="AX32" i="41"/>
  <c r="AY32" i="41" a="1"/>
  <c r="AY32" i="41"/>
  <c r="AZ32" i="41" a="1"/>
  <c r="AZ32" i="41"/>
  <c r="BA32" i="41" a="1"/>
  <c r="BA32" i="41"/>
  <c r="BB32" i="41" a="1"/>
  <c r="BB32" i="41"/>
  <c r="E33" i="41" a="1"/>
  <c r="E33" i="41"/>
  <c r="F33" i="41" a="1"/>
  <c r="F33" i="41"/>
  <c r="G33" i="41" a="1"/>
  <c r="G33" i="41"/>
  <c r="H33" i="41" a="1"/>
  <c r="H33" i="41"/>
  <c r="I33" i="41" a="1"/>
  <c r="I33" i="41"/>
  <c r="J33" i="41" a="1"/>
  <c r="J33" i="41"/>
  <c r="K33" i="41" a="1"/>
  <c r="K33" i="41"/>
  <c r="L33" i="41" a="1"/>
  <c r="L33" i="41"/>
  <c r="M33" i="41" a="1"/>
  <c r="M33" i="41"/>
  <c r="P33" i="41" a="1"/>
  <c r="P33" i="41"/>
  <c r="Q33" i="41" a="1"/>
  <c r="Q33" i="41"/>
  <c r="R33" i="41" a="1"/>
  <c r="R33" i="41"/>
  <c r="S33" i="41" a="1"/>
  <c r="S33" i="41"/>
  <c r="T33" i="41" a="1"/>
  <c r="T33" i="41"/>
  <c r="U33" i="41" a="1"/>
  <c r="U33" i="41"/>
  <c r="V33" i="41" a="1"/>
  <c r="V33" i="41"/>
  <c r="W33" i="41" a="1"/>
  <c r="W33" i="41"/>
  <c r="X33" i="41" a="1"/>
  <c r="X33" i="41"/>
  <c r="Z33" i="41" a="1"/>
  <c r="Z33" i="41"/>
  <c r="AA33" i="41" a="1"/>
  <c r="AA33" i="41"/>
  <c r="AB33" i="41" a="1"/>
  <c r="AB33" i="41"/>
  <c r="AC33" i="41" a="1"/>
  <c r="AC33" i="41"/>
  <c r="AD33" i="41" a="1"/>
  <c r="AD33" i="41"/>
  <c r="AE33" i="41" a="1"/>
  <c r="AE33" i="41"/>
  <c r="AF33" i="41" a="1"/>
  <c r="AF33" i="41"/>
  <c r="AG33" i="41" a="1"/>
  <c r="AG33" i="41"/>
  <c r="AH33" i="41" a="1"/>
  <c r="AH33" i="41"/>
  <c r="AJ33" i="41"/>
  <c r="AK33" i="41"/>
  <c r="AL33" i="41"/>
  <c r="AM33" i="41"/>
  <c r="AN33" i="41"/>
  <c r="AO33" i="41"/>
  <c r="AP33" i="41"/>
  <c r="AQ33" i="41"/>
  <c r="AR33" i="41"/>
  <c r="AT33" i="41" a="1"/>
  <c r="AT33" i="41"/>
  <c r="AU33" i="41" a="1"/>
  <c r="AU33" i="41"/>
  <c r="AV33" i="41" a="1"/>
  <c r="AV33" i="41"/>
  <c r="AW33" i="41" a="1"/>
  <c r="AW33" i="41"/>
  <c r="AX33" i="41" a="1"/>
  <c r="AX33" i="41"/>
  <c r="AY33" i="41" a="1"/>
  <c r="AY33" i="41"/>
  <c r="AZ33" i="41" a="1"/>
  <c r="AZ33" i="41"/>
  <c r="BA33" i="41" a="1"/>
  <c r="BA33" i="41"/>
  <c r="BB33" i="41" a="1"/>
  <c r="BB33" i="41"/>
  <c r="E34" i="41" a="1"/>
  <c r="E34" i="41"/>
  <c r="F34" i="41" a="1"/>
  <c r="F34" i="41"/>
  <c r="G34" i="41" a="1"/>
  <c r="G34" i="41"/>
  <c r="H34" i="41" a="1"/>
  <c r="H34" i="41"/>
  <c r="I34" i="41" a="1"/>
  <c r="I34" i="41"/>
  <c r="J34" i="41" a="1"/>
  <c r="J34" i="41"/>
  <c r="K34" i="41" a="1"/>
  <c r="K34" i="41"/>
  <c r="L34" i="41" a="1"/>
  <c r="L34" i="41"/>
  <c r="M34" i="41" a="1"/>
  <c r="M34" i="41"/>
  <c r="P34" i="41" a="1"/>
  <c r="P34" i="41"/>
  <c r="Q34" i="41" a="1"/>
  <c r="Q34" i="41"/>
  <c r="R34" i="41" a="1"/>
  <c r="R34" i="41"/>
  <c r="S34" i="41" a="1"/>
  <c r="S34" i="41"/>
  <c r="T34" i="41" a="1"/>
  <c r="T34" i="41"/>
  <c r="U34" i="41" a="1"/>
  <c r="U34" i="41"/>
  <c r="V34" i="41" a="1"/>
  <c r="V34" i="41"/>
  <c r="W34" i="41" a="1"/>
  <c r="W34" i="41"/>
  <c r="X34" i="41" a="1"/>
  <c r="X34" i="41"/>
  <c r="Z34" i="41" a="1"/>
  <c r="Z34" i="41"/>
  <c r="AA34" i="41" a="1"/>
  <c r="AA34" i="41"/>
  <c r="AB34" i="41" a="1"/>
  <c r="AB34" i="41"/>
  <c r="AC34" i="41" a="1"/>
  <c r="AC34" i="41"/>
  <c r="AD34" i="41" a="1"/>
  <c r="AD34" i="41"/>
  <c r="AE34" i="41" a="1"/>
  <c r="AE34" i="41"/>
  <c r="AF34" i="41" a="1"/>
  <c r="AF34" i="41"/>
  <c r="AG34" i="41" a="1"/>
  <c r="AG34" i="41"/>
  <c r="AH34" i="41" a="1"/>
  <c r="AH34" i="41"/>
  <c r="AJ34" i="41"/>
  <c r="AK34" i="41"/>
  <c r="AL34" i="41"/>
  <c r="AM34" i="41"/>
  <c r="AN34" i="41"/>
  <c r="AO34" i="41"/>
  <c r="AP34" i="41"/>
  <c r="AQ34" i="41"/>
  <c r="AR34" i="41"/>
  <c r="AT34" i="41" a="1"/>
  <c r="AT34" i="41"/>
  <c r="AU34" i="41" a="1"/>
  <c r="AU34" i="41"/>
  <c r="AV34" i="41" a="1"/>
  <c r="AV34" i="41"/>
  <c r="AW34" i="41" a="1"/>
  <c r="AW34" i="41"/>
  <c r="AX34" i="41" a="1"/>
  <c r="AX34" i="41"/>
  <c r="AY34" i="41" a="1"/>
  <c r="AY34" i="41"/>
  <c r="AZ34" i="41" a="1"/>
  <c r="AZ34" i="41"/>
  <c r="BA34" i="41" a="1"/>
  <c r="BA34" i="41"/>
  <c r="BB34" i="41" a="1"/>
  <c r="BB34" i="41"/>
  <c r="E35" i="41" a="1"/>
  <c r="E35" i="41"/>
  <c r="F35" i="41" a="1"/>
  <c r="F35" i="41"/>
  <c r="G35" i="41" a="1"/>
  <c r="G35" i="41"/>
  <c r="H35" i="41" a="1"/>
  <c r="H35" i="41"/>
  <c r="I35" i="41" a="1"/>
  <c r="I35" i="41"/>
  <c r="J35" i="41" a="1"/>
  <c r="J35" i="41"/>
  <c r="K35" i="41" a="1"/>
  <c r="K35" i="41"/>
  <c r="L35" i="41" a="1"/>
  <c r="L35" i="41"/>
  <c r="M35" i="41" a="1"/>
  <c r="M35" i="41"/>
  <c r="P35" i="41" a="1"/>
  <c r="P35" i="41"/>
  <c r="Q35" i="41" a="1"/>
  <c r="Q35" i="41"/>
  <c r="R35" i="41" a="1"/>
  <c r="R35" i="41"/>
  <c r="S35" i="41" a="1"/>
  <c r="S35" i="41"/>
  <c r="T35" i="41" a="1"/>
  <c r="T35" i="41"/>
  <c r="U35" i="41" a="1"/>
  <c r="U35" i="41"/>
  <c r="V35" i="41" a="1"/>
  <c r="V35" i="41"/>
  <c r="W35" i="41" a="1"/>
  <c r="W35" i="41"/>
  <c r="X35" i="41" a="1"/>
  <c r="X35" i="41"/>
  <c r="Z35" i="41" a="1"/>
  <c r="Z35" i="41"/>
  <c r="AA35" i="41" a="1"/>
  <c r="AA35" i="41"/>
  <c r="AB35" i="41" a="1"/>
  <c r="AB35" i="41"/>
  <c r="AC35" i="41" a="1"/>
  <c r="AC35" i="41"/>
  <c r="AD35" i="41" a="1"/>
  <c r="AD35" i="41"/>
  <c r="AE35" i="41" a="1"/>
  <c r="AE35" i="41"/>
  <c r="AF35" i="41" a="1"/>
  <c r="AF35" i="41"/>
  <c r="AG35" i="41" a="1"/>
  <c r="AG35" i="41"/>
  <c r="AH35" i="41" a="1"/>
  <c r="AH35" i="41"/>
  <c r="AJ35" i="41"/>
  <c r="AK35" i="41"/>
  <c r="AL35" i="41"/>
  <c r="AM35" i="41"/>
  <c r="AN35" i="41"/>
  <c r="AO35" i="41"/>
  <c r="AP35" i="41"/>
  <c r="AQ35" i="41"/>
  <c r="AR35" i="41"/>
  <c r="AT35" i="41" a="1"/>
  <c r="AT35" i="41"/>
  <c r="AU35" i="41" a="1"/>
  <c r="AU35" i="41"/>
  <c r="AV35" i="41" a="1"/>
  <c r="AV35" i="41"/>
  <c r="AW35" i="41" a="1"/>
  <c r="AW35" i="41"/>
  <c r="AX35" i="41" a="1"/>
  <c r="AX35" i="41"/>
  <c r="AY35" i="41" a="1"/>
  <c r="AY35" i="41"/>
  <c r="AZ35" i="41" a="1"/>
  <c r="AZ35" i="41"/>
  <c r="BA35" i="41" a="1"/>
  <c r="BA35" i="41"/>
  <c r="BB35" i="41" a="1"/>
  <c r="BB35" i="41"/>
  <c r="E36" i="41" a="1"/>
  <c r="E36" i="41"/>
  <c r="F36" i="41" a="1"/>
  <c r="F36" i="41"/>
  <c r="G36" i="41" a="1"/>
  <c r="G36" i="41"/>
  <c r="H36" i="41" a="1"/>
  <c r="H36" i="41"/>
  <c r="I36" i="41" a="1"/>
  <c r="I36" i="41"/>
  <c r="J36" i="41" a="1"/>
  <c r="J36" i="41"/>
  <c r="K36" i="41" a="1"/>
  <c r="K36" i="41"/>
  <c r="L36" i="41" a="1"/>
  <c r="L36" i="41"/>
  <c r="M36" i="41" a="1"/>
  <c r="M36" i="41"/>
  <c r="P36" i="41" a="1"/>
  <c r="P36" i="41"/>
  <c r="Q36" i="41" a="1"/>
  <c r="Q36" i="41"/>
  <c r="R36" i="41" a="1"/>
  <c r="R36" i="41"/>
  <c r="S36" i="41" a="1"/>
  <c r="S36" i="41"/>
  <c r="T36" i="41" a="1"/>
  <c r="T36" i="41"/>
  <c r="U36" i="41" a="1"/>
  <c r="U36" i="41"/>
  <c r="V36" i="41" a="1"/>
  <c r="V36" i="41"/>
  <c r="W36" i="41" a="1"/>
  <c r="W36" i="41"/>
  <c r="X36" i="41" a="1"/>
  <c r="X36" i="41"/>
  <c r="Z36" i="41" a="1"/>
  <c r="Z36" i="41"/>
  <c r="AA36" i="41" a="1"/>
  <c r="AA36" i="41"/>
  <c r="AB36" i="41" a="1"/>
  <c r="AB36" i="41"/>
  <c r="AC36" i="41" a="1"/>
  <c r="AC36" i="41"/>
  <c r="AD36" i="41" a="1"/>
  <c r="AD36" i="41"/>
  <c r="AE36" i="41" a="1"/>
  <c r="AE36" i="41"/>
  <c r="AF36" i="41" a="1"/>
  <c r="AF36" i="41"/>
  <c r="AG36" i="41" a="1"/>
  <c r="AG36" i="41"/>
  <c r="AH36" i="41" a="1"/>
  <c r="AH36" i="41"/>
  <c r="AJ36" i="41"/>
  <c r="AK36" i="41"/>
  <c r="AL36" i="41"/>
  <c r="AM36" i="41"/>
  <c r="AN36" i="41"/>
  <c r="AO36" i="41"/>
  <c r="AP36" i="41"/>
  <c r="AQ36" i="41"/>
  <c r="AR36" i="41"/>
  <c r="AT36" i="41" a="1"/>
  <c r="AT36" i="41"/>
  <c r="AU36" i="41" a="1"/>
  <c r="AU36" i="41"/>
  <c r="AV36" i="41" a="1"/>
  <c r="AV36" i="41"/>
  <c r="AW36" i="41" a="1"/>
  <c r="AW36" i="41"/>
  <c r="AX36" i="41" a="1"/>
  <c r="AX36" i="41"/>
  <c r="AY36" i="41" a="1"/>
  <c r="AY36" i="41"/>
  <c r="AZ36" i="41" a="1"/>
  <c r="AZ36" i="41"/>
  <c r="BA36" i="41" a="1"/>
  <c r="BA36" i="41"/>
  <c r="BB36" i="41" a="1"/>
  <c r="BB36" i="41"/>
  <c r="E37" i="41" a="1"/>
  <c r="E37" i="41"/>
  <c r="F37" i="41" a="1"/>
  <c r="F37" i="41"/>
  <c r="G37" i="41" a="1"/>
  <c r="G37" i="41"/>
  <c r="H37" i="41" a="1"/>
  <c r="H37" i="41"/>
  <c r="I37" i="41" a="1"/>
  <c r="I37" i="41"/>
  <c r="J37" i="41" a="1"/>
  <c r="J37" i="41"/>
  <c r="K37" i="41" a="1"/>
  <c r="K37" i="41"/>
  <c r="L37" i="41" a="1"/>
  <c r="L37" i="41"/>
  <c r="M37" i="41" a="1"/>
  <c r="M37" i="41"/>
  <c r="P37" i="41" a="1"/>
  <c r="P37" i="41"/>
  <c r="Q37" i="41" a="1"/>
  <c r="Q37" i="41"/>
  <c r="R37" i="41" a="1"/>
  <c r="R37" i="41"/>
  <c r="S37" i="41" a="1"/>
  <c r="S37" i="41"/>
  <c r="T37" i="41" a="1"/>
  <c r="T37" i="41"/>
  <c r="U37" i="41" a="1"/>
  <c r="U37" i="41"/>
  <c r="V37" i="41" a="1"/>
  <c r="V37" i="41"/>
  <c r="W37" i="41" a="1"/>
  <c r="W37" i="41"/>
  <c r="X37" i="41" a="1"/>
  <c r="X37" i="41"/>
  <c r="Z37" i="41" a="1"/>
  <c r="Z37" i="41"/>
  <c r="AA37" i="41" a="1"/>
  <c r="AA37" i="41"/>
  <c r="AB37" i="41" a="1"/>
  <c r="AB37" i="41"/>
  <c r="AC37" i="41" a="1"/>
  <c r="AC37" i="41"/>
  <c r="AD37" i="41" a="1"/>
  <c r="AD37" i="41"/>
  <c r="AE37" i="41" a="1"/>
  <c r="AE37" i="41"/>
  <c r="AF37" i="41" a="1"/>
  <c r="AF37" i="41"/>
  <c r="AG37" i="41" a="1"/>
  <c r="AG37" i="41"/>
  <c r="AH37" i="41" a="1"/>
  <c r="AH37" i="41"/>
  <c r="AJ37" i="41"/>
  <c r="AK37" i="41"/>
  <c r="AL37" i="41"/>
  <c r="AM37" i="41"/>
  <c r="AN37" i="41"/>
  <c r="AO37" i="41"/>
  <c r="AP37" i="41"/>
  <c r="AQ37" i="41"/>
  <c r="AR37" i="41"/>
  <c r="AT37" i="41" a="1"/>
  <c r="AT37" i="41"/>
  <c r="AU37" i="41" a="1"/>
  <c r="AU37" i="41"/>
  <c r="AV37" i="41" a="1"/>
  <c r="AV37" i="41"/>
  <c r="AW37" i="41" a="1"/>
  <c r="AW37" i="41"/>
  <c r="AX37" i="41" a="1"/>
  <c r="AX37" i="41"/>
  <c r="AY37" i="41" a="1"/>
  <c r="AY37" i="41"/>
  <c r="AZ37" i="41" a="1"/>
  <c r="AZ37" i="41"/>
  <c r="BA37" i="41" a="1"/>
  <c r="BA37" i="41"/>
  <c r="BB37" i="41" a="1"/>
  <c r="BB37" i="41"/>
  <c r="E38" i="41" a="1"/>
  <c r="E38" i="41"/>
  <c r="F38" i="41" a="1"/>
  <c r="F38" i="41"/>
  <c r="G38" i="41" a="1"/>
  <c r="G38" i="41"/>
  <c r="H38" i="41" a="1"/>
  <c r="H38" i="41"/>
  <c r="I38" i="41" a="1"/>
  <c r="I38" i="41"/>
  <c r="J38" i="41" a="1"/>
  <c r="J38" i="41"/>
  <c r="K38" i="41" a="1"/>
  <c r="K38" i="41"/>
  <c r="L38" i="41" a="1"/>
  <c r="L38" i="41"/>
  <c r="M38" i="41" a="1"/>
  <c r="M38" i="41"/>
  <c r="P38" i="41" a="1"/>
  <c r="P38" i="41"/>
  <c r="Q38" i="41" a="1"/>
  <c r="Q38" i="41"/>
  <c r="R38" i="41" a="1"/>
  <c r="R38" i="41"/>
  <c r="S38" i="41" a="1"/>
  <c r="S38" i="41"/>
  <c r="T38" i="41" a="1"/>
  <c r="T38" i="41"/>
  <c r="U38" i="41" a="1"/>
  <c r="U38" i="41"/>
  <c r="V38" i="41" a="1"/>
  <c r="V38" i="41"/>
  <c r="W38" i="41" a="1"/>
  <c r="W38" i="41"/>
  <c r="X38" i="41" a="1"/>
  <c r="X38" i="41"/>
  <c r="Z38" i="41" a="1"/>
  <c r="Z38" i="41"/>
  <c r="AA38" i="41" a="1"/>
  <c r="AA38" i="41"/>
  <c r="AB38" i="41" a="1"/>
  <c r="AB38" i="41"/>
  <c r="AC38" i="41" a="1"/>
  <c r="AC38" i="41"/>
  <c r="AD38" i="41" a="1"/>
  <c r="AD38" i="41"/>
  <c r="AE38" i="41" a="1"/>
  <c r="AE38" i="41"/>
  <c r="AF38" i="41" a="1"/>
  <c r="AF38" i="41"/>
  <c r="AG38" i="41" a="1"/>
  <c r="AG38" i="41"/>
  <c r="AH38" i="41" a="1"/>
  <c r="AH38" i="41"/>
  <c r="AJ38" i="41"/>
  <c r="AK38" i="41"/>
  <c r="AL38" i="41"/>
  <c r="AM38" i="41"/>
  <c r="AN38" i="41"/>
  <c r="AO38" i="41"/>
  <c r="AP38" i="41"/>
  <c r="AQ38" i="41"/>
  <c r="AR38" i="41"/>
  <c r="AT38" i="41" a="1"/>
  <c r="AT38" i="41"/>
  <c r="AU38" i="41" a="1"/>
  <c r="AU38" i="41"/>
  <c r="AV38" i="41" a="1"/>
  <c r="AV38" i="41"/>
  <c r="AW38" i="41" a="1"/>
  <c r="AW38" i="41"/>
  <c r="AX38" i="41" a="1"/>
  <c r="AX38" i="41"/>
  <c r="AY38" i="41" a="1"/>
  <c r="AY38" i="41"/>
  <c r="AZ38" i="41" a="1"/>
  <c r="AZ38" i="41"/>
  <c r="BA38" i="41" a="1"/>
  <c r="BA38" i="41"/>
  <c r="BB38" i="41" a="1"/>
  <c r="BB38" i="41"/>
  <c r="E39" i="41" a="1"/>
  <c r="E39" i="41"/>
  <c r="F39" i="41" a="1"/>
  <c r="F39" i="41"/>
  <c r="G39" i="41" a="1"/>
  <c r="G39" i="41"/>
  <c r="H39" i="41" a="1"/>
  <c r="H39" i="41"/>
  <c r="I39" i="41" a="1"/>
  <c r="I39" i="41"/>
  <c r="J39" i="41" a="1"/>
  <c r="J39" i="41"/>
  <c r="K39" i="41" a="1"/>
  <c r="K39" i="41"/>
  <c r="L39" i="41" a="1"/>
  <c r="L39" i="41"/>
  <c r="M39" i="41" a="1"/>
  <c r="M39" i="41"/>
  <c r="P39" i="41" a="1"/>
  <c r="P39" i="41"/>
  <c r="Q39" i="41" a="1"/>
  <c r="Q39" i="41"/>
  <c r="R39" i="41" a="1"/>
  <c r="R39" i="41"/>
  <c r="S39" i="41" a="1"/>
  <c r="S39" i="41"/>
  <c r="T39" i="41" a="1"/>
  <c r="T39" i="41"/>
  <c r="U39" i="41" a="1"/>
  <c r="U39" i="41"/>
  <c r="V39" i="41" a="1"/>
  <c r="V39" i="41"/>
  <c r="W39" i="41" a="1"/>
  <c r="W39" i="41"/>
  <c r="X39" i="41" a="1"/>
  <c r="X39" i="41"/>
  <c r="Z39" i="41" a="1"/>
  <c r="Z39" i="41"/>
  <c r="AA39" i="41" a="1"/>
  <c r="AA39" i="41"/>
  <c r="AB39" i="41" a="1"/>
  <c r="AB39" i="41"/>
  <c r="AC39" i="41" a="1"/>
  <c r="AC39" i="41"/>
  <c r="AD39" i="41" a="1"/>
  <c r="AD39" i="41"/>
  <c r="AE39" i="41" a="1"/>
  <c r="AE39" i="41"/>
  <c r="AF39" i="41" a="1"/>
  <c r="AF39" i="41"/>
  <c r="AG39" i="41" a="1"/>
  <c r="AG39" i="41"/>
  <c r="AH39" i="41" a="1"/>
  <c r="AH39" i="41"/>
  <c r="AJ39" i="41"/>
  <c r="AK39" i="41"/>
  <c r="AL39" i="41"/>
  <c r="AM39" i="41"/>
  <c r="AN39" i="41"/>
  <c r="AO39" i="41"/>
  <c r="AP39" i="41"/>
  <c r="AQ39" i="41"/>
  <c r="AR39" i="41"/>
  <c r="AT39" i="41" a="1"/>
  <c r="AT39" i="41"/>
  <c r="AU39" i="41" a="1"/>
  <c r="AU39" i="41"/>
  <c r="AV39" i="41" a="1"/>
  <c r="AV39" i="41"/>
  <c r="AW39" i="41" a="1"/>
  <c r="AW39" i="41"/>
  <c r="AX39" i="41" a="1"/>
  <c r="AX39" i="41"/>
  <c r="AY39" i="41" a="1"/>
  <c r="AY39" i="41"/>
  <c r="AZ39" i="41" a="1"/>
  <c r="AZ39" i="41"/>
  <c r="BA39" i="41" a="1"/>
  <c r="BA39" i="41"/>
  <c r="BB39" i="41" a="1"/>
  <c r="BB39" i="41"/>
  <c r="E40" i="41" a="1"/>
  <c r="E40" i="41"/>
  <c r="F40" i="41" a="1"/>
  <c r="F40" i="41"/>
  <c r="G40" i="41" a="1"/>
  <c r="G40" i="41"/>
  <c r="H40" i="41" a="1"/>
  <c r="H40" i="41"/>
  <c r="I40" i="41" a="1"/>
  <c r="I40" i="41"/>
  <c r="J40" i="41" a="1"/>
  <c r="J40" i="41"/>
  <c r="K40" i="41" a="1"/>
  <c r="K40" i="41"/>
  <c r="L40" i="41" a="1"/>
  <c r="L40" i="41"/>
  <c r="M40" i="41" a="1"/>
  <c r="M40" i="41"/>
  <c r="P40" i="41" a="1"/>
  <c r="P40" i="41"/>
  <c r="Q40" i="41" a="1"/>
  <c r="Q40" i="41"/>
  <c r="R40" i="41" a="1"/>
  <c r="R40" i="41"/>
  <c r="S40" i="41" a="1"/>
  <c r="S40" i="41"/>
  <c r="T40" i="41" a="1"/>
  <c r="T40" i="41"/>
  <c r="U40" i="41" a="1"/>
  <c r="U40" i="41"/>
  <c r="V40" i="41" a="1"/>
  <c r="V40" i="41"/>
  <c r="W40" i="41" a="1"/>
  <c r="W40" i="41"/>
  <c r="X40" i="41" a="1"/>
  <c r="X40" i="41"/>
  <c r="Z40" i="41" a="1"/>
  <c r="Z40" i="41"/>
  <c r="AA40" i="41" a="1"/>
  <c r="AA40" i="41"/>
  <c r="AB40" i="41" a="1"/>
  <c r="AB40" i="41"/>
  <c r="AC40" i="41" a="1"/>
  <c r="AC40" i="41"/>
  <c r="AD40" i="41" a="1"/>
  <c r="AD40" i="41"/>
  <c r="AE40" i="41" a="1"/>
  <c r="AE40" i="41"/>
  <c r="AF40" i="41" a="1"/>
  <c r="AF40" i="41"/>
  <c r="AG40" i="41" a="1"/>
  <c r="AG40" i="41"/>
  <c r="AH40" i="41" a="1"/>
  <c r="AH40" i="41"/>
  <c r="AJ40" i="41"/>
  <c r="AK40" i="41"/>
  <c r="AL40" i="41"/>
  <c r="AM40" i="41"/>
  <c r="AN40" i="41"/>
  <c r="AO40" i="41"/>
  <c r="AP40" i="41"/>
  <c r="AQ40" i="41"/>
  <c r="AR40" i="41"/>
  <c r="AT40" i="41" a="1"/>
  <c r="AT40" i="41"/>
  <c r="AU40" i="41" a="1"/>
  <c r="AU40" i="41"/>
  <c r="AV40" i="41" a="1"/>
  <c r="AV40" i="41"/>
  <c r="AW40" i="41" a="1"/>
  <c r="AW40" i="41"/>
  <c r="AX40" i="41" a="1"/>
  <c r="AX40" i="41"/>
  <c r="AY40" i="41" a="1"/>
  <c r="AY40" i="41"/>
  <c r="AZ40" i="41" a="1"/>
  <c r="AZ40" i="41"/>
  <c r="BA40" i="41" a="1"/>
  <c r="BA40" i="41"/>
  <c r="BB40" i="41" a="1"/>
  <c r="BB40" i="41"/>
  <c r="E41" i="41" a="1"/>
  <c r="E41" i="41"/>
  <c r="F41" i="41" a="1"/>
  <c r="F41" i="41"/>
  <c r="G41" i="41" a="1"/>
  <c r="G41" i="41"/>
  <c r="H41" i="41" a="1"/>
  <c r="H41" i="41"/>
  <c r="I41" i="41" a="1"/>
  <c r="I41" i="41"/>
  <c r="J41" i="41" a="1"/>
  <c r="J41" i="41"/>
  <c r="K41" i="41" a="1"/>
  <c r="K41" i="41"/>
  <c r="L41" i="41" a="1"/>
  <c r="L41" i="41"/>
  <c r="M41" i="41" a="1"/>
  <c r="M41" i="41"/>
  <c r="P41" i="41" a="1"/>
  <c r="P41" i="41"/>
  <c r="Q41" i="41" a="1"/>
  <c r="Q41" i="41"/>
  <c r="R41" i="41" a="1"/>
  <c r="R41" i="41"/>
  <c r="S41" i="41" a="1"/>
  <c r="S41" i="41"/>
  <c r="T41" i="41" a="1"/>
  <c r="T41" i="41"/>
  <c r="U41" i="41" a="1"/>
  <c r="U41" i="41"/>
  <c r="V41" i="41" a="1"/>
  <c r="V41" i="41"/>
  <c r="W41" i="41" a="1"/>
  <c r="W41" i="41"/>
  <c r="X41" i="41" a="1"/>
  <c r="X41" i="41"/>
  <c r="Z41" i="41" a="1"/>
  <c r="Z41" i="41"/>
  <c r="AA41" i="41" a="1"/>
  <c r="AA41" i="41"/>
  <c r="AB41" i="41" a="1"/>
  <c r="AB41" i="41"/>
  <c r="AC41" i="41" a="1"/>
  <c r="AC41" i="41"/>
  <c r="AD41" i="41" a="1"/>
  <c r="AD41" i="41"/>
  <c r="AE41" i="41" a="1"/>
  <c r="AE41" i="41"/>
  <c r="AF41" i="41" a="1"/>
  <c r="AF41" i="41"/>
  <c r="AG41" i="41" a="1"/>
  <c r="AG41" i="41"/>
  <c r="AH41" i="41" a="1"/>
  <c r="AH41" i="41"/>
  <c r="AJ41" i="41"/>
  <c r="AK41" i="41"/>
  <c r="AL41" i="41"/>
  <c r="AM41" i="41"/>
  <c r="AN41" i="41"/>
  <c r="AO41" i="41"/>
  <c r="AP41" i="41"/>
  <c r="AQ41" i="41"/>
  <c r="AR41" i="41"/>
  <c r="AT41" i="41" a="1"/>
  <c r="AT41" i="41"/>
  <c r="AU41" i="41" a="1"/>
  <c r="AU41" i="41"/>
  <c r="AV41" i="41" a="1"/>
  <c r="AV41" i="41"/>
  <c r="AW41" i="41" a="1"/>
  <c r="AW41" i="41"/>
  <c r="AX41" i="41" a="1"/>
  <c r="AX41" i="41"/>
  <c r="AY41" i="41" a="1"/>
  <c r="AY41" i="41"/>
  <c r="AZ41" i="41" a="1"/>
  <c r="AZ41" i="41"/>
  <c r="BA41" i="41" a="1"/>
  <c r="BA41" i="41"/>
  <c r="BB41" i="41" a="1"/>
  <c r="BB41" i="41"/>
  <c r="E42" i="41" a="1"/>
  <c r="E42" i="41"/>
  <c r="F42" i="41" a="1"/>
  <c r="F42" i="41"/>
  <c r="G42" i="41" a="1"/>
  <c r="G42" i="41"/>
  <c r="H42" i="41" a="1"/>
  <c r="H42" i="41"/>
  <c r="I42" i="41" a="1"/>
  <c r="I42" i="41"/>
  <c r="J42" i="41" a="1"/>
  <c r="J42" i="41"/>
  <c r="K42" i="41" a="1"/>
  <c r="K42" i="41"/>
  <c r="L42" i="41" a="1"/>
  <c r="L42" i="41"/>
  <c r="M42" i="41" a="1"/>
  <c r="M42" i="41"/>
  <c r="P42" i="41" a="1"/>
  <c r="P42" i="41"/>
  <c r="Q42" i="41" a="1"/>
  <c r="Q42" i="41"/>
  <c r="R42" i="41" a="1"/>
  <c r="R42" i="41"/>
  <c r="S42" i="41" a="1"/>
  <c r="S42" i="41"/>
  <c r="T42" i="41" a="1"/>
  <c r="T42" i="41"/>
  <c r="U42" i="41" a="1"/>
  <c r="U42" i="41"/>
  <c r="V42" i="41" a="1"/>
  <c r="V42" i="41"/>
  <c r="W42" i="41" a="1"/>
  <c r="W42" i="41"/>
  <c r="X42" i="41" a="1"/>
  <c r="X42" i="41"/>
  <c r="Z42" i="41" a="1"/>
  <c r="Z42" i="41"/>
  <c r="AA42" i="41" a="1"/>
  <c r="AA42" i="41"/>
  <c r="AB42" i="41" a="1"/>
  <c r="AB42" i="41"/>
  <c r="AC42" i="41" a="1"/>
  <c r="AC42" i="41"/>
  <c r="AD42" i="41" a="1"/>
  <c r="AD42" i="41"/>
  <c r="AE42" i="41" a="1"/>
  <c r="AE42" i="41"/>
  <c r="AF42" i="41" a="1"/>
  <c r="AF42" i="41"/>
  <c r="AG42" i="41" a="1"/>
  <c r="AG42" i="41"/>
  <c r="AH42" i="41" a="1"/>
  <c r="AH42" i="41"/>
  <c r="AJ42" i="41"/>
  <c r="AK42" i="41"/>
  <c r="AL42" i="41"/>
  <c r="AM42" i="41"/>
  <c r="AN42" i="41"/>
  <c r="AO42" i="41"/>
  <c r="AP42" i="41"/>
  <c r="AQ42" i="41"/>
  <c r="AR42" i="41"/>
  <c r="AT42" i="41" a="1"/>
  <c r="AT42" i="41"/>
  <c r="AU42" i="41" a="1"/>
  <c r="AU42" i="41"/>
  <c r="AV42" i="41" a="1"/>
  <c r="AV42" i="41"/>
  <c r="AW42" i="41" a="1"/>
  <c r="AW42" i="41"/>
  <c r="AX42" i="41" a="1"/>
  <c r="AX42" i="41"/>
  <c r="AY42" i="41" a="1"/>
  <c r="AY42" i="41"/>
  <c r="AZ42" i="41" a="1"/>
  <c r="AZ42" i="41"/>
  <c r="BA42" i="41" a="1"/>
  <c r="BA42" i="41"/>
  <c r="BB42" i="41" a="1"/>
  <c r="BB42" i="41"/>
  <c r="E43" i="41" a="1"/>
  <c r="E43" i="41"/>
  <c r="F43" i="41" a="1"/>
  <c r="F43" i="41"/>
  <c r="G43" i="41" a="1"/>
  <c r="G43" i="41"/>
  <c r="H43" i="41" a="1"/>
  <c r="H43" i="41"/>
  <c r="I43" i="41" a="1"/>
  <c r="I43" i="41"/>
  <c r="J43" i="41" a="1"/>
  <c r="J43" i="41"/>
  <c r="K43" i="41" a="1"/>
  <c r="K43" i="41"/>
  <c r="L43" i="41" a="1"/>
  <c r="L43" i="41"/>
  <c r="M43" i="41" a="1"/>
  <c r="M43" i="41"/>
  <c r="P43" i="41" a="1"/>
  <c r="P43" i="41"/>
  <c r="Q43" i="41" a="1"/>
  <c r="Q43" i="41"/>
  <c r="R43" i="41" a="1"/>
  <c r="R43" i="41"/>
  <c r="S43" i="41" a="1"/>
  <c r="S43" i="41"/>
  <c r="T43" i="41" a="1"/>
  <c r="T43" i="41"/>
  <c r="U43" i="41" a="1"/>
  <c r="U43" i="41"/>
  <c r="V43" i="41" a="1"/>
  <c r="V43" i="41"/>
  <c r="W43" i="41" a="1"/>
  <c r="W43" i="41"/>
  <c r="X43" i="41" a="1"/>
  <c r="X43" i="41"/>
  <c r="Z43" i="41" a="1"/>
  <c r="Z43" i="41"/>
  <c r="AA43" i="41" a="1"/>
  <c r="AA43" i="41"/>
  <c r="AB43" i="41" a="1"/>
  <c r="AB43" i="41"/>
  <c r="AC43" i="41" a="1"/>
  <c r="AC43" i="41"/>
  <c r="AD43" i="41" a="1"/>
  <c r="AD43" i="41"/>
  <c r="AE43" i="41" a="1"/>
  <c r="AE43" i="41"/>
  <c r="AF43" i="41" a="1"/>
  <c r="AF43" i="41"/>
  <c r="AG43" i="41" a="1"/>
  <c r="AG43" i="41"/>
  <c r="AH43" i="41" a="1"/>
  <c r="AH43" i="41"/>
  <c r="AJ43" i="41"/>
  <c r="AK43" i="41"/>
  <c r="AL43" i="41"/>
  <c r="AM43" i="41"/>
  <c r="AN43" i="41"/>
  <c r="AO43" i="41"/>
  <c r="AP43" i="41"/>
  <c r="AQ43" i="41"/>
  <c r="AR43" i="41"/>
  <c r="AT43" i="41" a="1"/>
  <c r="AT43" i="41"/>
  <c r="AU43" i="41" a="1"/>
  <c r="AU43" i="41"/>
  <c r="AV43" i="41" a="1"/>
  <c r="AV43" i="41"/>
  <c r="AW43" i="41" a="1"/>
  <c r="AW43" i="41"/>
  <c r="AX43" i="41" a="1"/>
  <c r="AX43" i="41"/>
  <c r="AY43" i="41" a="1"/>
  <c r="AY43" i="41"/>
  <c r="AZ43" i="41" a="1"/>
  <c r="AZ43" i="41"/>
  <c r="BA43" i="41" a="1"/>
  <c r="BA43" i="41"/>
  <c r="BB43" i="41" a="1"/>
  <c r="BB43" i="41"/>
  <c r="E44" i="41" a="1"/>
  <c r="E44" i="41"/>
  <c r="F44" i="41" a="1"/>
  <c r="F44" i="41"/>
  <c r="G44" i="41" a="1"/>
  <c r="G44" i="41"/>
  <c r="H44" i="41" a="1"/>
  <c r="H44" i="41"/>
  <c r="I44" i="41" a="1"/>
  <c r="I44" i="41"/>
  <c r="J44" i="41" a="1"/>
  <c r="J44" i="41"/>
  <c r="K44" i="41" a="1"/>
  <c r="K44" i="41"/>
  <c r="L44" i="41" a="1"/>
  <c r="L44" i="41"/>
  <c r="M44" i="41" a="1"/>
  <c r="M44" i="41"/>
  <c r="P44" i="41" a="1"/>
  <c r="P44" i="41"/>
  <c r="Q44" i="41" a="1"/>
  <c r="Q44" i="41"/>
  <c r="R44" i="41" a="1"/>
  <c r="R44" i="41"/>
  <c r="S44" i="41" a="1"/>
  <c r="S44" i="41"/>
  <c r="T44" i="41" a="1"/>
  <c r="T44" i="41"/>
  <c r="U44" i="41" a="1"/>
  <c r="U44" i="41"/>
  <c r="V44" i="41" a="1"/>
  <c r="V44" i="41"/>
  <c r="W44" i="41" a="1"/>
  <c r="W44" i="41"/>
  <c r="X44" i="41" a="1"/>
  <c r="X44" i="41"/>
  <c r="Z44" i="41" a="1"/>
  <c r="Z44" i="41"/>
  <c r="AA44" i="41" a="1"/>
  <c r="AA44" i="41"/>
  <c r="AB44" i="41" a="1"/>
  <c r="AB44" i="41"/>
  <c r="AC44" i="41" a="1"/>
  <c r="AC44" i="41"/>
  <c r="AD44" i="41" a="1"/>
  <c r="AD44" i="41"/>
  <c r="AE44" i="41" a="1"/>
  <c r="AE44" i="41"/>
  <c r="AF44" i="41" a="1"/>
  <c r="AF44" i="41"/>
  <c r="AG44" i="41" a="1"/>
  <c r="AG44" i="41"/>
  <c r="AH44" i="41" a="1"/>
  <c r="AH44" i="41"/>
  <c r="AJ44" i="41"/>
  <c r="AK44" i="41"/>
  <c r="AL44" i="41"/>
  <c r="AM44" i="41"/>
  <c r="AN44" i="41"/>
  <c r="AO44" i="41"/>
  <c r="AP44" i="41"/>
  <c r="AQ44" i="41"/>
  <c r="AR44" i="41"/>
  <c r="AT44" i="41" a="1"/>
  <c r="AT44" i="41"/>
  <c r="AU44" i="41" a="1"/>
  <c r="AU44" i="41"/>
  <c r="AV44" i="41" a="1"/>
  <c r="AV44" i="41"/>
  <c r="AW44" i="41" a="1"/>
  <c r="AW44" i="41"/>
  <c r="AX44" i="41" a="1"/>
  <c r="AX44" i="41"/>
  <c r="AY44" i="41" a="1"/>
  <c r="AY44" i="41"/>
  <c r="AZ44" i="41" a="1"/>
  <c r="AZ44" i="41"/>
  <c r="BA44" i="41" a="1"/>
  <c r="BA44" i="41"/>
  <c r="BB44" i="41" a="1"/>
  <c r="BB44" i="41"/>
  <c r="E45" i="41" a="1"/>
  <c r="E45" i="41"/>
  <c r="F45" i="41" a="1"/>
  <c r="F45" i="41"/>
  <c r="G45" i="41" a="1"/>
  <c r="G45" i="41"/>
  <c r="H45" i="41" a="1"/>
  <c r="H45" i="41"/>
  <c r="I45" i="41" a="1"/>
  <c r="I45" i="41"/>
  <c r="J45" i="41" a="1"/>
  <c r="J45" i="41"/>
  <c r="K45" i="41" a="1"/>
  <c r="K45" i="41"/>
  <c r="L45" i="41" a="1"/>
  <c r="L45" i="41"/>
  <c r="M45" i="41" a="1"/>
  <c r="M45" i="41"/>
  <c r="P45" i="41" a="1"/>
  <c r="P45" i="41"/>
  <c r="Q45" i="41" a="1"/>
  <c r="Q45" i="41"/>
  <c r="R45" i="41" a="1"/>
  <c r="R45" i="41"/>
  <c r="S45" i="41" a="1"/>
  <c r="S45" i="41"/>
  <c r="T45" i="41" a="1"/>
  <c r="T45" i="41"/>
  <c r="U45" i="41" a="1"/>
  <c r="U45" i="41"/>
  <c r="V45" i="41" a="1"/>
  <c r="V45" i="41"/>
  <c r="W45" i="41" a="1"/>
  <c r="W45" i="41"/>
  <c r="X45" i="41" a="1"/>
  <c r="X45" i="41"/>
  <c r="Z45" i="41" a="1"/>
  <c r="Z45" i="41"/>
  <c r="AA45" i="41" a="1"/>
  <c r="AA45" i="41"/>
  <c r="AB45" i="41" a="1"/>
  <c r="AB45" i="41"/>
  <c r="AC45" i="41" a="1"/>
  <c r="AC45" i="41"/>
  <c r="AD45" i="41" a="1"/>
  <c r="AD45" i="41"/>
  <c r="AE45" i="41" a="1"/>
  <c r="AE45" i="41"/>
  <c r="AF45" i="41" a="1"/>
  <c r="AF45" i="41"/>
  <c r="AG45" i="41" a="1"/>
  <c r="AG45" i="41"/>
  <c r="AH45" i="41" a="1"/>
  <c r="AH45" i="41"/>
  <c r="AJ45" i="41"/>
  <c r="AK45" i="41"/>
  <c r="AL45" i="41"/>
  <c r="AM45" i="41"/>
  <c r="AN45" i="41"/>
  <c r="AO45" i="41"/>
  <c r="AP45" i="41"/>
  <c r="AQ45" i="41"/>
  <c r="AR45" i="41"/>
  <c r="AT45" i="41" a="1"/>
  <c r="AT45" i="41"/>
  <c r="AU45" i="41" a="1"/>
  <c r="AU45" i="41"/>
  <c r="AV45" i="41" a="1"/>
  <c r="AV45" i="41"/>
  <c r="AW45" i="41" a="1"/>
  <c r="AW45" i="41"/>
  <c r="AX45" i="41" a="1"/>
  <c r="AX45" i="41"/>
  <c r="AY45" i="41" a="1"/>
  <c r="AY45" i="41"/>
  <c r="AZ45" i="41" a="1"/>
  <c r="AZ45" i="41"/>
  <c r="BA45" i="41" a="1"/>
  <c r="BA45" i="41"/>
  <c r="BB45" i="41" a="1"/>
  <c r="BB45" i="41"/>
  <c r="E46" i="41" a="1"/>
  <c r="E46" i="41"/>
  <c r="F46" i="41" a="1"/>
  <c r="F46" i="41"/>
  <c r="G46" i="41" a="1"/>
  <c r="G46" i="41"/>
  <c r="H46" i="41" a="1"/>
  <c r="H46" i="41"/>
  <c r="I46" i="41" a="1"/>
  <c r="I46" i="41"/>
  <c r="J46" i="41" a="1"/>
  <c r="J46" i="41"/>
  <c r="K46" i="41" a="1"/>
  <c r="K46" i="41"/>
  <c r="L46" i="41" a="1"/>
  <c r="L46" i="41"/>
  <c r="M46" i="41" a="1"/>
  <c r="M46" i="41"/>
  <c r="P46" i="41" a="1"/>
  <c r="P46" i="41"/>
  <c r="Q46" i="41" a="1"/>
  <c r="Q46" i="41"/>
  <c r="R46" i="41" a="1"/>
  <c r="R46" i="41"/>
  <c r="S46" i="41" a="1"/>
  <c r="S46" i="41"/>
  <c r="T46" i="41" a="1"/>
  <c r="T46" i="41"/>
  <c r="U46" i="41" a="1"/>
  <c r="U46" i="41"/>
  <c r="V46" i="41" a="1"/>
  <c r="V46" i="41"/>
  <c r="W46" i="41" a="1"/>
  <c r="W46" i="41"/>
  <c r="X46" i="41" a="1"/>
  <c r="X46" i="41"/>
  <c r="Z46" i="41" a="1"/>
  <c r="Z46" i="41"/>
  <c r="AA46" i="41" a="1"/>
  <c r="AA46" i="41"/>
  <c r="AB46" i="41" a="1"/>
  <c r="AB46" i="41"/>
  <c r="AC46" i="41" a="1"/>
  <c r="AC46" i="41"/>
  <c r="AD46" i="41" a="1"/>
  <c r="AD46" i="41"/>
  <c r="AE46" i="41" a="1"/>
  <c r="AE46" i="41"/>
  <c r="AF46" i="41" a="1"/>
  <c r="AF46" i="41"/>
  <c r="AG46" i="41" a="1"/>
  <c r="AG46" i="41"/>
  <c r="AH46" i="41" a="1"/>
  <c r="AH46" i="41"/>
  <c r="AJ46" i="41"/>
  <c r="AK46" i="41"/>
  <c r="AL46" i="41"/>
  <c r="AM46" i="41"/>
  <c r="AN46" i="41"/>
  <c r="AO46" i="41"/>
  <c r="AP46" i="41"/>
  <c r="AQ46" i="41"/>
  <c r="AR46" i="41"/>
  <c r="AT46" i="41" a="1"/>
  <c r="AT46" i="41"/>
  <c r="AU46" i="41" a="1"/>
  <c r="AU46" i="41"/>
  <c r="AV46" i="41" a="1"/>
  <c r="AV46" i="41"/>
  <c r="AW46" i="41" a="1"/>
  <c r="AW46" i="41"/>
  <c r="AX46" i="41" a="1"/>
  <c r="AX46" i="41"/>
  <c r="AY46" i="41" a="1"/>
  <c r="AY46" i="41"/>
  <c r="AZ46" i="41" a="1"/>
  <c r="AZ46" i="41"/>
  <c r="BA46" i="41" a="1"/>
  <c r="BA46" i="41"/>
  <c r="BB46" i="41" a="1"/>
  <c r="BB46" i="41"/>
  <c r="E47" i="41" a="1"/>
  <c r="E47" i="41"/>
  <c r="F47" i="41" a="1"/>
  <c r="F47" i="41"/>
  <c r="G47" i="41" a="1"/>
  <c r="G47" i="41"/>
  <c r="H47" i="41" a="1"/>
  <c r="H47" i="41"/>
  <c r="I47" i="41" a="1"/>
  <c r="I47" i="41"/>
  <c r="J47" i="41" a="1"/>
  <c r="J47" i="41"/>
  <c r="K47" i="41" a="1"/>
  <c r="K47" i="41"/>
  <c r="L47" i="41" a="1"/>
  <c r="L47" i="41"/>
  <c r="M47" i="41" a="1"/>
  <c r="M47" i="41"/>
  <c r="P47" i="41" a="1"/>
  <c r="P47" i="41"/>
  <c r="Q47" i="41" a="1"/>
  <c r="Q47" i="41"/>
  <c r="R47" i="41" a="1"/>
  <c r="R47" i="41"/>
  <c r="S47" i="41" a="1"/>
  <c r="S47" i="41"/>
  <c r="T47" i="41" a="1"/>
  <c r="T47" i="41"/>
  <c r="U47" i="41" a="1"/>
  <c r="U47" i="41"/>
  <c r="V47" i="41" a="1"/>
  <c r="V47" i="41"/>
  <c r="W47" i="41" a="1"/>
  <c r="W47" i="41"/>
  <c r="X47" i="41" a="1"/>
  <c r="X47" i="41"/>
  <c r="Z47" i="41" a="1"/>
  <c r="Z47" i="41"/>
  <c r="AA47" i="41" a="1"/>
  <c r="AA47" i="41"/>
  <c r="AB47" i="41" a="1"/>
  <c r="AB47" i="41"/>
  <c r="AC47" i="41" a="1"/>
  <c r="AC47" i="41"/>
  <c r="AD47" i="41" a="1"/>
  <c r="AD47" i="41"/>
  <c r="AE47" i="41" a="1"/>
  <c r="AE47" i="41"/>
  <c r="AF47" i="41" a="1"/>
  <c r="AF47" i="41"/>
  <c r="AG47" i="41" a="1"/>
  <c r="AG47" i="41"/>
  <c r="AH47" i="41" a="1"/>
  <c r="AH47" i="41"/>
  <c r="AJ47" i="41"/>
  <c r="AK47" i="41"/>
  <c r="AL47" i="41"/>
  <c r="AM47" i="41"/>
  <c r="AN47" i="41"/>
  <c r="AO47" i="41"/>
  <c r="AP47" i="41"/>
  <c r="AQ47" i="41"/>
  <c r="AR47" i="41"/>
  <c r="AT47" i="41" a="1"/>
  <c r="AT47" i="41"/>
  <c r="AU47" i="41" a="1"/>
  <c r="AU47" i="41"/>
  <c r="AV47" i="41" a="1"/>
  <c r="AV47" i="41"/>
  <c r="AW47" i="41" a="1"/>
  <c r="AW47" i="41"/>
  <c r="AX47" i="41" a="1"/>
  <c r="AX47" i="41"/>
  <c r="AY47" i="41" a="1"/>
  <c r="AY47" i="41"/>
  <c r="AZ47" i="41" a="1"/>
  <c r="AZ47" i="41"/>
  <c r="BA47" i="41" a="1"/>
  <c r="BA47" i="41"/>
  <c r="BB47" i="41" a="1"/>
  <c r="BB47" i="41"/>
  <c r="E48" i="41" a="1"/>
  <c r="E48" i="41"/>
  <c r="F48" i="41" a="1"/>
  <c r="F48" i="41"/>
  <c r="G48" i="41" a="1"/>
  <c r="G48" i="41"/>
  <c r="H48" i="41" a="1"/>
  <c r="H48" i="41"/>
  <c r="I48" i="41" a="1"/>
  <c r="I48" i="41"/>
  <c r="J48" i="41" a="1"/>
  <c r="J48" i="41"/>
  <c r="K48" i="41" a="1"/>
  <c r="K48" i="41"/>
  <c r="L48" i="41" a="1"/>
  <c r="L48" i="41"/>
  <c r="M48" i="41" a="1"/>
  <c r="M48" i="41"/>
  <c r="P48" i="41" a="1"/>
  <c r="P48" i="41"/>
  <c r="Q48" i="41" a="1"/>
  <c r="Q48" i="41"/>
  <c r="R48" i="41" a="1"/>
  <c r="R48" i="41"/>
  <c r="S48" i="41" a="1"/>
  <c r="S48" i="41"/>
  <c r="T48" i="41" a="1"/>
  <c r="T48" i="41"/>
  <c r="U48" i="41" a="1"/>
  <c r="U48" i="41"/>
  <c r="V48" i="41" a="1"/>
  <c r="V48" i="41"/>
  <c r="W48" i="41" a="1"/>
  <c r="W48" i="41"/>
  <c r="X48" i="41" a="1"/>
  <c r="X48" i="41"/>
  <c r="Z48" i="41" a="1"/>
  <c r="Z48" i="41"/>
  <c r="AA48" i="41" a="1"/>
  <c r="AA48" i="41"/>
  <c r="AB48" i="41" a="1"/>
  <c r="AB48" i="41"/>
  <c r="AC48" i="41" a="1"/>
  <c r="AC48" i="41"/>
  <c r="AD48" i="41" a="1"/>
  <c r="AD48" i="41"/>
  <c r="AE48" i="41" a="1"/>
  <c r="AE48" i="41"/>
  <c r="AF48" i="41" a="1"/>
  <c r="AF48" i="41"/>
  <c r="AG48" i="41" a="1"/>
  <c r="AG48" i="41"/>
  <c r="AH48" i="41" a="1"/>
  <c r="AH48" i="41"/>
  <c r="AJ48" i="41"/>
  <c r="AK48" i="41"/>
  <c r="AL48" i="41"/>
  <c r="AM48" i="41"/>
  <c r="AN48" i="41"/>
  <c r="AO48" i="41"/>
  <c r="AP48" i="41"/>
  <c r="AQ48" i="41"/>
  <c r="AR48" i="41"/>
  <c r="AT48" i="41" a="1"/>
  <c r="AT48" i="41"/>
  <c r="AU48" i="41" a="1"/>
  <c r="AU48" i="41"/>
  <c r="AV48" i="41" a="1"/>
  <c r="AV48" i="41"/>
  <c r="AW48" i="41" a="1"/>
  <c r="AW48" i="41"/>
  <c r="AX48" i="41" a="1"/>
  <c r="AX48" i="41"/>
  <c r="AY48" i="41" a="1"/>
  <c r="AY48" i="41"/>
  <c r="AZ48" i="41" a="1"/>
  <c r="AZ48" i="41"/>
  <c r="BA48" i="41" a="1"/>
  <c r="BA48" i="41"/>
  <c r="BB48" i="41" a="1"/>
  <c r="BB48" i="41"/>
  <c r="E49" i="41" a="1"/>
  <c r="E49" i="41"/>
  <c r="F49" i="41" a="1"/>
  <c r="F49" i="41"/>
  <c r="G49" i="41" a="1"/>
  <c r="G49" i="41"/>
  <c r="H49" i="41" a="1"/>
  <c r="H49" i="41"/>
  <c r="I49" i="41" a="1"/>
  <c r="I49" i="41"/>
  <c r="J49" i="41" a="1"/>
  <c r="J49" i="41"/>
  <c r="K49" i="41" a="1"/>
  <c r="K49" i="41"/>
  <c r="L49" i="41" a="1"/>
  <c r="L49" i="41"/>
  <c r="M49" i="41" a="1"/>
  <c r="M49" i="41"/>
  <c r="P49" i="41" a="1"/>
  <c r="P49" i="41"/>
  <c r="Q49" i="41" a="1"/>
  <c r="Q49" i="41"/>
  <c r="R49" i="41" a="1"/>
  <c r="R49" i="41"/>
  <c r="S49" i="41" a="1"/>
  <c r="S49" i="41"/>
  <c r="T49" i="41" a="1"/>
  <c r="T49" i="41"/>
  <c r="U49" i="41" a="1"/>
  <c r="U49" i="41"/>
  <c r="V49" i="41" a="1"/>
  <c r="V49" i="41"/>
  <c r="W49" i="41" a="1"/>
  <c r="W49" i="41"/>
  <c r="X49" i="41" a="1"/>
  <c r="X49" i="41"/>
  <c r="Z49" i="41" a="1"/>
  <c r="Z49" i="41"/>
  <c r="AA49" i="41" a="1"/>
  <c r="AA49" i="41"/>
  <c r="AB49" i="41" a="1"/>
  <c r="AB49" i="41"/>
  <c r="AC49" i="41" a="1"/>
  <c r="AC49" i="41"/>
  <c r="AD49" i="41" a="1"/>
  <c r="AD49" i="41"/>
  <c r="AE49" i="41" a="1"/>
  <c r="AE49" i="41"/>
  <c r="AF49" i="41" a="1"/>
  <c r="AF49" i="41"/>
  <c r="AG49" i="41" a="1"/>
  <c r="AG49" i="41"/>
  <c r="AH49" i="41" a="1"/>
  <c r="AH49" i="41"/>
  <c r="AJ49" i="41"/>
  <c r="AK49" i="41"/>
  <c r="AL49" i="41"/>
  <c r="AM49" i="41"/>
  <c r="AN49" i="41"/>
  <c r="AO49" i="41"/>
  <c r="AP49" i="41"/>
  <c r="AQ49" i="41"/>
  <c r="AR49" i="41"/>
  <c r="AT49" i="41" a="1"/>
  <c r="AT49" i="41"/>
  <c r="AU49" i="41" a="1"/>
  <c r="AU49" i="41"/>
  <c r="AV49" i="41" a="1"/>
  <c r="AV49" i="41"/>
  <c r="AW49" i="41" a="1"/>
  <c r="AW49" i="41"/>
  <c r="AX49" i="41" a="1"/>
  <c r="AX49" i="41"/>
  <c r="AY49" i="41" a="1"/>
  <c r="AY49" i="41"/>
  <c r="AZ49" i="41" a="1"/>
  <c r="AZ49" i="41"/>
  <c r="BA49" i="41" a="1"/>
  <c r="BA49" i="41"/>
  <c r="BB49" i="41" a="1"/>
  <c r="BB49" i="41"/>
  <c r="E50" i="41" a="1"/>
  <c r="E50" i="41"/>
  <c r="F50" i="41" a="1"/>
  <c r="F50" i="41"/>
  <c r="G50" i="41" a="1"/>
  <c r="G50" i="41"/>
  <c r="H50" i="41" a="1"/>
  <c r="H50" i="41"/>
  <c r="I50" i="41" a="1"/>
  <c r="I50" i="41"/>
  <c r="J50" i="41" a="1"/>
  <c r="J50" i="41"/>
  <c r="K50" i="41" a="1"/>
  <c r="K50" i="41"/>
  <c r="L50" i="41" a="1"/>
  <c r="L50" i="41"/>
  <c r="M50" i="41" a="1"/>
  <c r="M50" i="41"/>
  <c r="P50" i="41" a="1"/>
  <c r="P50" i="41"/>
  <c r="Q50" i="41" a="1"/>
  <c r="Q50" i="41"/>
  <c r="R50" i="41" a="1"/>
  <c r="R50" i="41"/>
  <c r="S50" i="41" a="1"/>
  <c r="S50" i="41"/>
  <c r="T50" i="41" a="1"/>
  <c r="T50" i="41"/>
  <c r="U50" i="41" a="1"/>
  <c r="U50" i="41"/>
  <c r="V50" i="41" a="1"/>
  <c r="V50" i="41"/>
  <c r="W50" i="41" a="1"/>
  <c r="W50" i="41"/>
  <c r="X50" i="41" a="1"/>
  <c r="X50" i="41"/>
  <c r="Z50" i="41" a="1"/>
  <c r="Z50" i="41"/>
  <c r="AA50" i="41" a="1"/>
  <c r="AA50" i="41"/>
  <c r="AB50" i="41" a="1"/>
  <c r="AB50" i="41"/>
  <c r="AC50" i="41" a="1"/>
  <c r="AC50" i="41"/>
  <c r="AD50" i="41" a="1"/>
  <c r="AD50" i="41"/>
  <c r="AE50" i="41" a="1"/>
  <c r="AE50" i="41"/>
  <c r="AF50" i="41" a="1"/>
  <c r="AF50" i="41"/>
  <c r="AG50" i="41" a="1"/>
  <c r="AG50" i="41"/>
  <c r="AH50" i="41" a="1"/>
  <c r="AH50" i="41"/>
  <c r="AJ50" i="41"/>
  <c r="AK50" i="41"/>
  <c r="AL50" i="41"/>
  <c r="AM50" i="41"/>
  <c r="AN50" i="41"/>
  <c r="AO50" i="41"/>
  <c r="AP50" i="41"/>
  <c r="AQ50" i="41"/>
  <c r="AR50" i="41"/>
  <c r="AT50" i="41" a="1"/>
  <c r="AT50" i="41"/>
  <c r="AU50" i="41" a="1"/>
  <c r="AU50" i="41"/>
  <c r="AV50" i="41" a="1"/>
  <c r="AV50" i="41"/>
  <c r="AW50" i="41" a="1"/>
  <c r="AW50" i="41"/>
  <c r="AX50" i="41" a="1"/>
  <c r="AX50" i="41"/>
  <c r="AY50" i="41" a="1"/>
  <c r="AY50" i="41"/>
  <c r="AZ50" i="41" a="1"/>
  <c r="AZ50" i="41"/>
  <c r="BA50" i="41" a="1"/>
  <c r="BA50" i="41"/>
  <c r="BB50" i="41" a="1"/>
  <c r="BB50" i="41"/>
  <c r="E51" i="41" a="1"/>
  <c r="E51" i="41"/>
  <c r="F51" i="41" a="1"/>
  <c r="F51" i="41"/>
  <c r="G51" i="41" a="1"/>
  <c r="G51" i="41"/>
  <c r="H51" i="41" a="1"/>
  <c r="H51" i="41"/>
  <c r="I51" i="41" a="1"/>
  <c r="I51" i="41"/>
  <c r="J51" i="41" a="1"/>
  <c r="J51" i="41"/>
  <c r="K51" i="41" a="1"/>
  <c r="K51" i="41"/>
  <c r="L51" i="41" a="1"/>
  <c r="L51" i="41"/>
  <c r="M51" i="41" a="1"/>
  <c r="M51" i="41"/>
  <c r="P51" i="41" a="1"/>
  <c r="P51" i="41"/>
  <c r="Q51" i="41" a="1"/>
  <c r="Q51" i="41"/>
  <c r="R51" i="41" a="1"/>
  <c r="R51" i="41"/>
  <c r="S51" i="41" a="1"/>
  <c r="S51" i="41"/>
  <c r="T51" i="41" a="1"/>
  <c r="T51" i="41"/>
  <c r="U51" i="41" a="1"/>
  <c r="U51" i="41"/>
  <c r="V51" i="41" a="1"/>
  <c r="V51" i="41"/>
  <c r="W51" i="41" a="1"/>
  <c r="W51" i="41"/>
  <c r="X51" i="41" a="1"/>
  <c r="X51" i="41"/>
  <c r="Z51" i="41" a="1"/>
  <c r="Z51" i="41"/>
  <c r="AA51" i="41" a="1"/>
  <c r="AA51" i="41"/>
  <c r="AB51" i="41" a="1"/>
  <c r="AB51" i="41"/>
  <c r="AC51" i="41" a="1"/>
  <c r="AC51" i="41"/>
  <c r="AD51" i="41" a="1"/>
  <c r="AD51" i="41"/>
  <c r="AE51" i="41" a="1"/>
  <c r="AE51" i="41"/>
  <c r="AF51" i="41" a="1"/>
  <c r="AF51" i="41"/>
  <c r="AG51" i="41" a="1"/>
  <c r="AG51" i="41"/>
  <c r="AH51" i="41" a="1"/>
  <c r="AH51" i="41"/>
  <c r="AJ51" i="41"/>
  <c r="AK51" i="41"/>
  <c r="AL51" i="41"/>
  <c r="AM51" i="41"/>
  <c r="AN51" i="41"/>
  <c r="AO51" i="41"/>
  <c r="AP51" i="41"/>
  <c r="AQ51" i="41"/>
  <c r="AR51" i="41"/>
  <c r="AT51" i="41" a="1"/>
  <c r="AT51" i="41"/>
  <c r="AU51" i="41" a="1"/>
  <c r="AU51" i="41"/>
  <c r="AV51" i="41" a="1"/>
  <c r="AV51" i="41"/>
  <c r="AW51" i="41" a="1"/>
  <c r="AW51" i="41"/>
  <c r="AX51" i="41" a="1"/>
  <c r="AX51" i="41"/>
  <c r="AY51" i="41" a="1"/>
  <c r="AY51" i="41"/>
  <c r="AZ51" i="41" a="1"/>
  <c r="AZ51" i="41"/>
  <c r="BA51" i="41" a="1"/>
  <c r="BA51" i="41"/>
  <c r="BB51" i="41" a="1"/>
  <c r="BB51" i="41"/>
  <c r="BE51" i="41" a="1"/>
  <c r="BE51" i="41"/>
  <c r="BF51" i="41" a="1"/>
  <c r="BF51" i="41"/>
  <c r="BG51" i="41" a="1"/>
  <c r="BG51" i="41"/>
  <c r="BH51" i="41" a="1"/>
  <c r="BH51" i="41"/>
  <c r="BI51" i="41" a="1"/>
  <c r="BI51" i="41"/>
  <c r="BJ51" i="41" a="1"/>
  <c r="BJ51" i="41"/>
  <c r="BK51" i="41" a="1"/>
  <c r="BK51" i="41"/>
  <c r="BL51" i="41" a="1"/>
  <c r="BL51" i="41"/>
  <c r="BM51" i="41" a="1"/>
  <c r="BM51" i="41"/>
  <c r="E52" i="41" a="1"/>
  <c r="E52" i="41"/>
  <c r="F52" i="41" a="1"/>
  <c r="F52" i="41"/>
  <c r="G52" i="41" a="1"/>
  <c r="G52" i="41"/>
  <c r="H52" i="41" a="1"/>
  <c r="H52" i="41"/>
  <c r="I52" i="41" a="1"/>
  <c r="I52" i="41"/>
  <c r="J52" i="41" a="1"/>
  <c r="J52" i="41"/>
  <c r="K52" i="41" a="1"/>
  <c r="K52" i="41"/>
  <c r="L52" i="41" a="1"/>
  <c r="L52" i="41"/>
  <c r="M52" i="41" a="1"/>
  <c r="M52" i="41"/>
  <c r="P52" i="41" a="1"/>
  <c r="P52" i="41"/>
  <c r="Q52" i="41" a="1"/>
  <c r="Q52" i="41"/>
  <c r="R52" i="41" a="1"/>
  <c r="R52" i="41"/>
  <c r="S52" i="41" a="1"/>
  <c r="S52" i="41"/>
  <c r="T52" i="41" a="1"/>
  <c r="T52" i="41"/>
  <c r="U52" i="41" a="1"/>
  <c r="U52" i="41"/>
  <c r="V52" i="41" a="1"/>
  <c r="V52" i="41"/>
  <c r="W52" i="41" a="1"/>
  <c r="W52" i="41"/>
  <c r="X52" i="41" a="1"/>
  <c r="X52" i="41"/>
  <c r="Z52" i="41" a="1"/>
  <c r="Z52" i="41"/>
  <c r="AA52" i="41" a="1"/>
  <c r="AA52" i="41"/>
  <c r="AB52" i="41" a="1"/>
  <c r="AB52" i="41"/>
  <c r="AC52" i="41" a="1"/>
  <c r="AC52" i="41"/>
  <c r="AD52" i="41" a="1"/>
  <c r="AD52" i="41"/>
  <c r="AE52" i="41" a="1"/>
  <c r="AE52" i="41"/>
  <c r="AF52" i="41" a="1"/>
  <c r="AF52" i="41"/>
  <c r="AG52" i="41" a="1"/>
  <c r="AG52" i="41"/>
  <c r="AH52" i="41" a="1"/>
  <c r="AH52" i="41"/>
  <c r="AJ52" i="41"/>
  <c r="AK52" i="41"/>
  <c r="AL52" i="41"/>
  <c r="AM52" i="41"/>
  <c r="AN52" i="41"/>
  <c r="AO52" i="41"/>
  <c r="AP52" i="41"/>
  <c r="AQ52" i="41"/>
  <c r="AR52" i="41"/>
  <c r="AT52" i="41" a="1"/>
  <c r="AT52" i="41"/>
  <c r="AU52" i="41" a="1"/>
  <c r="AU52" i="41"/>
  <c r="AV52" i="41" a="1"/>
  <c r="AV52" i="41"/>
  <c r="AW52" i="41" a="1"/>
  <c r="AW52" i="41"/>
  <c r="AX52" i="41" a="1"/>
  <c r="AX52" i="41"/>
  <c r="AY52" i="41" a="1"/>
  <c r="AY52" i="41"/>
  <c r="AZ52" i="41" a="1"/>
  <c r="AZ52" i="41"/>
  <c r="BA52" i="41" a="1"/>
  <c r="BA52" i="41"/>
  <c r="BB52" i="41" a="1"/>
  <c r="BB52" i="41"/>
  <c r="BE52" i="41" a="1"/>
  <c r="BE52" i="41"/>
  <c r="BF52" i="41" a="1"/>
  <c r="BF52" i="41"/>
  <c r="BG52" i="41" a="1"/>
  <c r="BG52" i="41"/>
  <c r="BH52" i="41" a="1"/>
  <c r="BH52" i="41"/>
  <c r="BI52" i="41" a="1"/>
  <c r="BI52" i="41"/>
  <c r="BJ52" i="41" a="1"/>
  <c r="BJ52" i="41"/>
  <c r="BK52" i="41" a="1"/>
  <c r="BK52" i="41"/>
  <c r="BL52" i="41" a="1"/>
  <c r="BL52" i="41"/>
  <c r="BM52" i="41" a="1"/>
  <c r="BM52" i="41"/>
  <c r="E53" i="41" a="1"/>
  <c r="E53" i="41"/>
  <c r="F53" i="41" a="1"/>
  <c r="F53" i="41"/>
  <c r="G53" i="41" a="1"/>
  <c r="G53" i="41"/>
  <c r="H53" i="41" a="1"/>
  <c r="H53" i="41"/>
  <c r="I53" i="41" a="1"/>
  <c r="I53" i="41"/>
  <c r="J53" i="41" a="1"/>
  <c r="J53" i="41"/>
  <c r="K53" i="41" a="1"/>
  <c r="K53" i="41"/>
  <c r="L53" i="41" a="1"/>
  <c r="L53" i="41"/>
  <c r="M53" i="41" a="1"/>
  <c r="M53" i="41"/>
  <c r="P53" i="41" a="1"/>
  <c r="P53" i="41"/>
  <c r="Q53" i="41" a="1"/>
  <c r="Q53" i="41"/>
  <c r="R53" i="41" a="1"/>
  <c r="R53" i="41"/>
  <c r="S53" i="41" a="1"/>
  <c r="S53" i="41"/>
  <c r="T53" i="41" a="1"/>
  <c r="T53" i="41"/>
  <c r="U53" i="41" a="1"/>
  <c r="U53" i="41"/>
  <c r="V53" i="41" a="1"/>
  <c r="V53" i="41"/>
  <c r="W53" i="41" a="1"/>
  <c r="W53" i="41"/>
  <c r="X53" i="41" a="1"/>
  <c r="X53" i="41"/>
  <c r="Z53" i="41" a="1"/>
  <c r="Z53" i="41"/>
  <c r="AA53" i="41" a="1"/>
  <c r="AA53" i="41"/>
  <c r="AB53" i="41" a="1"/>
  <c r="AB53" i="41"/>
  <c r="AC53" i="41" a="1"/>
  <c r="AC53" i="41"/>
  <c r="AD53" i="41" a="1"/>
  <c r="AD53" i="41"/>
  <c r="AE53" i="41" a="1"/>
  <c r="AE53" i="41"/>
  <c r="AF53" i="41" a="1"/>
  <c r="AF53" i="41"/>
  <c r="AG53" i="41" a="1"/>
  <c r="AG53" i="41"/>
  <c r="AH53" i="41" a="1"/>
  <c r="AH53" i="41"/>
  <c r="AJ53" i="41"/>
  <c r="AK53" i="41"/>
  <c r="AL53" i="41"/>
  <c r="AM53" i="41"/>
  <c r="AN53" i="41"/>
  <c r="AO53" i="41"/>
  <c r="AP53" i="41"/>
  <c r="AQ53" i="41"/>
  <c r="AR53" i="41"/>
  <c r="AT53" i="41" a="1"/>
  <c r="AT53" i="41"/>
  <c r="AU53" i="41" a="1"/>
  <c r="AU53" i="41"/>
  <c r="AV53" i="41" a="1"/>
  <c r="AV53" i="41"/>
  <c r="AW53" i="41" a="1"/>
  <c r="AW53" i="41"/>
  <c r="AX53" i="41" a="1"/>
  <c r="AX53" i="41"/>
  <c r="AY53" i="41" a="1"/>
  <c r="AY53" i="41"/>
  <c r="AZ53" i="41" a="1"/>
  <c r="AZ53" i="41"/>
  <c r="BA53" i="41" a="1"/>
  <c r="BA53" i="41"/>
  <c r="BB53" i="41" a="1"/>
  <c r="BB53" i="41"/>
  <c r="BE53" i="41" a="1"/>
  <c r="BE53" i="41"/>
  <c r="BF53" i="41" a="1"/>
  <c r="BF53" i="41"/>
  <c r="BG53" i="41" a="1"/>
  <c r="BG53" i="41"/>
  <c r="BH53" i="41" a="1"/>
  <c r="BH53" i="41"/>
  <c r="BI53" i="41" a="1"/>
  <c r="BI53" i="41"/>
  <c r="BJ53" i="41" a="1"/>
  <c r="BJ53" i="41"/>
  <c r="BK53" i="41" a="1"/>
  <c r="BK53" i="41"/>
  <c r="BL53" i="41" a="1"/>
  <c r="BL53" i="41"/>
  <c r="BM53" i="41" a="1"/>
  <c r="BM53" i="41"/>
  <c r="E54" i="41" a="1"/>
  <c r="E54" i="41"/>
  <c r="F54" i="41" a="1"/>
  <c r="F54" i="41"/>
  <c r="G54" i="41" a="1"/>
  <c r="G54" i="41"/>
  <c r="H54" i="41" a="1"/>
  <c r="H54" i="41"/>
  <c r="I54" i="41" a="1"/>
  <c r="I54" i="41"/>
  <c r="J54" i="41" a="1"/>
  <c r="J54" i="41"/>
  <c r="K54" i="41" a="1"/>
  <c r="K54" i="41"/>
  <c r="L54" i="41" a="1"/>
  <c r="L54" i="41"/>
  <c r="M54" i="41" a="1"/>
  <c r="M54" i="41"/>
  <c r="P54" i="41" a="1"/>
  <c r="P54" i="41"/>
  <c r="Q54" i="41" a="1"/>
  <c r="Q54" i="41"/>
  <c r="R54" i="41" a="1"/>
  <c r="R54" i="41"/>
  <c r="S54" i="41" a="1"/>
  <c r="S54" i="41"/>
  <c r="T54" i="41" a="1"/>
  <c r="T54" i="41"/>
  <c r="U54" i="41" a="1"/>
  <c r="U54" i="41"/>
  <c r="V54" i="41" a="1"/>
  <c r="V54" i="41"/>
  <c r="W54" i="41" a="1"/>
  <c r="W54" i="41"/>
  <c r="X54" i="41" a="1"/>
  <c r="X54" i="41"/>
  <c r="Z54" i="41" a="1"/>
  <c r="Z54" i="41"/>
  <c r="AA54" i="41" a="1"/>
  <c r="AA54" i="41"/>
  <c r="AB54" i="41" a="1"/>
  <c r="AB54" i="41"/>
  <c r="AC54" i="41" a="1"/>
  <c r="AC54" i="41"/>
  <c r="AD54" i="41" a="1"/>
  <c r="AD54" i="41"/>
  <c r="AE54" i="41" a="1"/>
  <c r="AE54" i="41"/>
  <c r="AF54" i="41" a="1"/>
  <c r="AF54" i="41"/>
  <c r="AG54" i="41" a="1"/>
  <c r="AG54" i="41"/>
  <c r="AH54" i="41" a="1"/>
  <c r="AH54" i="41"/>
  <c r="AJ54" i="41"/>
  <c r="AK54" i="41"/>
  <c r="AL54" i="41"/>
  <c r="AM54" i="41"/>
  <c r="AN54" i="41"/>
  <c r="AO54" i="41"/>
  <c r="AP54" i="41"/>
  <c r="AQ54" i="41"/>
  <c r="AR54" i="41"/>
  <c r="AT54" i="41" a="1"/>
  <c r="AT54" i="41"/>
  <c r="AU54" i="41" a="1"/>
  <c r="AU54" i="41"/>
  <c r="AV54" i="41" a="1"/>
  <c r="AV54" i="41"/>
  <c r="AW54" i="41" a="1"/>
  <c r="AW54" i="41"/>
  <c r="AX54" i="41" a="1"/>
  <c r="AX54" i="41"/>
  <c r="AY54" i="41" a="1"/>
  <c r="AY54" i="41"/>
  <c r="AZ54" i="41" a="1"/>
  <c r="AZ54" i="41"/>
  <c r="BA54" i="41" a="1"/>
  <c r="BA54" i="41"/>
  <c r="BB54" i="41" a="1"/>
  <c r="BB54" i="41"/>
  <c r="BE54" i="41" a="1"/>
  <c r="BE54" i="41"/>
  <c r="BF54" i="41" a="1"/>
  <c r="BF54" i="41"/>
  <c r="BG54" i="41" a="1"/>
  <c r="BG54" i="41"/>
  <c r="BH54" i="41" a="1"/>
  <c r="BH54" i="41"/>
  <c r="BI54" i="41" a="1"/>
  <c r="BI54" i="41"/>
  <c r="BJ54" i="41" a="1"/>
  <c r="BJ54" i="41"/>
  <c r="BK54" i="41" a="1"/>
  <c r="BK54" i="41"/>
  <c r="BL54" i="41" a="1"/>
  <c r="BL54" i="41"/>
  <c r="BM54" i="41" a="1"/>
  <c r="BM54" i="41"/>
  <c r="E55" i="41" a="1"/>
  <c r="E55" i="41"/>
  <c r="F55" i="41" a="1"/>
  <c r="F55" i="41"/>
  <c r="G55" i="41" a="1"/>
  <c r="G55" i="41"/>
  <c r="H55" i="41" a="1"/>
  <c r="H55" i="41"/>
  <c r="I55" i="41" a="1"/>
  <c r="I55" i="41"/>
  <c r="J55" i="41" a="1"/>
  <c r="J55" i="41"/>
  <c r="K55" i="41" a="1"/>
  <c r="K55" i="41"/>
  <c r="L55" i="41" a="1"/>
  <c r="L55" i="41"/>
  <c r="M55" i="41" a="1"/>
  <c r="M55" i="41"/>
  <c r="P55" i="41" a="1"/>
  <c r="P55" i="41"/>
  <c r="Q55" i="41" a="1"/>
  <c r="Q55" i="41"/>
  <c r="R55" i="41" a="1"/>
  <c r="R55" i="41"/>
  <c r="S55" i="41" a="1"/>
  <c r="S55" i="41"/>
  <c r="T55" i="41" a="1"/>
  <c r="T55" i="41"/>
  <c r="U55" i="41" a="1"/>
  <c r="U55" i="41"/>
  <c r="V55" i="41" a="1"/>
  <c r="V55" i="41"/>
  <c r="W55" i="41" a="1"/>
  <c r="W55" i="41"/>
  <c r="X55" i="41" a="1"/>
  <c r="X55" i="41"/>
  <c r="Z55" i="41" a="1"/>
  <c r="Z55" i="41"/>
  <c r="AA55" i="41" a="1"/>
  <c r="AA55" i="41"/>
  <c r="AB55" i="41" a="1"/>
  <c r="AB55" i="41"/>
  <c r="AC55" i="41" a="1"/>
  <c r="AC55" i="41"/>
  <c r="AD55" i="41" a="1"/>
  <c r="AD55" i="41"/>
  <c r="AE55" i="41" a="1"/>
  <c r="AE55" i="41"/>
  <c r="AF55" i="41" a="1"/>
  <c r="AF55" i="41"/>
  <c r="AG55" i="41" a="1"/>
  <c r="AG55" i="41"/>
  <c r="AH55" i="41" a="1"/>
  <c r="AH55" i="41"/>
  <c r="AJ55" i="41"/>
  <c r="AK55" i="41"/>
  <c r="AL55" i="41"/>
  <c r="AM55" i="41"/>
  <c r="AN55" i="41"/>
  <c r="AO55" i="41"/>
  <c r="AP55" i="41"/>
  <c r="AQ55" i="41"/>
  <c r="AR55" i="41"/>
  <c r="AT55" i="41" a="1"/>
  <c r="AT55" i="41"/>
  <c r="AU55" i="41" a="1"/>
  <c r="AU55" i="41"/>
  <c r="AV55" i="41" a="1"/>
  <c r="AV55" i="41"/>
  <c r="AW55" i="41" a="1"/>
  <c r="AW55" i="41"/>
  <c r="AX55" i="41" a="1"/>
  <c r="AX55" i="41"/>
  <c r="AY55" i="41" a="1"/>
  <c r="AY55" i="41"/>
  <c r="AZ55" i="41" a="1"/>
  <c r="AZ55" i="41"/>
  <c r="BA55" i="41" a="1"/>
  <c r="BA55" i="41"/>
  <c r="BB55" i="41" a="1"/>
  <c r="BB55" i="41"/>
  <c r="BE55" i="41" a="1"/>
  <c r="BE55" i="41"/>
  <c r="BF55" i="41" a="1"/>
  <c r="BF55" i="41"/>
  <c r="BG55" i="41" a="1"/>
  <c r="BG55" i="41"/>
  <c r="BH55" i="41" a="1"/>
  <c r="BH55" i="41"/>
  <c r="BI55" i="41" a="1"/>
  <c r="BI55" i="41"/>
  <c r="BJ55" i="41" a="1"/>
  <c r="BJ55" i="41"/>
  <c r="BK55" i="41" a="1"/>
  <c r="BK55" i="41"/>
  <c r="BL55" i="41" a="1"/>
  <c r="BL55" i="41"/>
  <c r="BM55" i="41" a="1"/>
  <c r="BM55" i="41"/>
  <c r="E56" i="41" a="1"/>
  <c r="E56" i="41"/>
  <c r="F56" i="41" a="1"/>
  <c r="F56" i="41"/>
  <c r="G56" i="41" a="1"/>
  <c r="G56" i="41"/>
  <c r="H56" i="41" a="1"/>
  <c r="H56" i="41"/>
  <c r="I56" i="41" a="1"/>
  <c r="I56" i="41"/>
  <c r="J56" i="41" a="1"/>
  <c r="J56" i="41"/>
  <c r="K56" i="41" a="1"/>
  <c r="K56" i="41"/>
  <c r="L56" i="41" a="1"/>
  <c r="L56" i="41"/>
  <c r="M56" i="41" a="1"/>
  <c r="M56" i="41"/>
  <c r="P56" i="41" a="1"/>
  <c r="P56" i="41"/>
  <c r="Q56" i="41" a="1"/>
  <c r="Q56" i="41"/>
  <c r="R56" i="41" a="1"/>
  <c r="R56" i="41"/>
  <c r="S56" i="41" a="1"/>
  <c r="S56" i="41"/>
  <c r="T56" i="41" a="1"/>
  <c r="T56" i="41"/>
  <c r="U56" i="41" a="1"/>
  <c r="U56" i="41"/>
  <c r="V56" i="41" a="1"/>
  <c r="V56" i="41"/>
  <c r="W56" i="41" a="1"/>
  <c r="W56" i="41"/>
  <c r="X56" i="41" a="1"/>
  <c r="X56" i="41"/>
  <c r="Z56" i="41" a="1"/>
  <c r="Z56" i="41"/>
  <c r="AA56" i="41" a="1"/>
  <c r="AA56" i="41"/>
  <c r="AB56" i="41" a="1"/>
  <c r="AB56" i="41"/>
  <c r="AC56" i="41" a="1"/>
  <c r="AC56" i="41"/>
  <c r="AD56" i="41" a="1"/>
  <c r="AD56" i="41"/>
  <c r="AE56" i="41" a="1"/>
  <c r="AE56" i="41"/>
  <c r="AF56" i="41" a="1"/>
  <c r="AF56" i="41"/>
  <c r="AG56" i="41" a="1"/>
  <c r="AG56" i="41"/>
  <c r="AH56" i="41" a="1"/>
  <c r="AH56" i="41"/>
  <c r="AJ56" i="41"/>
  <c r="AK56" i="41"/>
  <c r="AL56" i="41"/>
  <c r="AM56" i="41"/>
  <c r="AN56" i="41"/>
  <c r="AO56" i="41"/>
  <c r="AP56" i="41"/>
  <c r="AQ56" i="41"/>
  <c r="AR56" i="41"/>
  <c r="AT56" i="41" a="1"/>
  <c r="AT56" i="41"/>
  <c r="AU56" i="41" a="1"/>
  <c r="AU56" i="41"/>
  <c r="AV56" i="41" a="1"/>
  <c r="AV56" i="41"/>
  <c r="AW56" i="41" a="1"/>
  <c r="AW56" i="41"/>
  <c r="AX56" i="41" a="1"/>
  <c r="AX56" i="41"/>
  <c r="AY56" i="41" a="1"/>
  <c r="AY56" i="41"/>
  <c r="AZ56" i="41" a="1"/>
  <c r="AZ56" i="41"/>
  <c r="BA56" i="41" a="1"/>
  <c r="BA56" i="41"/>
  <c r="BB56" i="41" a="1"/>
  <c r="BB56" i="41"/>
  <c r="BE56" i="41" a="1"/>
  <c r="BE56" i="41"/>
  <c r="BF56" i="41" a="1"/>
  <c r="BF56" i="41"/>
  <c r="BG56" i="41" a="1"/>
  <c r="BG56" i="41"/>
  <c r="BH56" i="41" a="1"/>
  <c r="BH56" i="41"/>
  <c r="BI56" i="41" a="1"/>
  <c r="BI56" i="41"/>
  <c r="BJ56" i="41" a="1"/>
  <c r="BJ56" i="41"/>
  <c r="BK56" i="41" a="1"/>
  <c r="BK56" i="41"/>
  <c r="BL56" i="41" a="1"/>
  <c r="BL56" i="41"/>
  <c r="BM56" i="41" a="1"/>
  <c r="BM56" i="41"/>
  <c r="E57" i="41" a="1"/>
  <c r="E57" i="41"/>
  <c r="F57" i="41" a="1"/>
  <c r="F57" i="41"/>
  <c r="G57" i="41" a="1"/>
  <c r="G57" i="41"/>
  <c r="H57" i="41" a="1"/>
  <c r="H57" i="41"/>
  <c r="I57" i="41" a="1"/>
  <c r="I57" i="41"/>
  <c r="J57" i="41" a="1"/>
  <c r="J57" i="41"/>
  <c r="K57" i="41" a="1"/>
  <c r="K57" i="41"/>
  <c r="L57" i="41" a="1"/>
  <c r="L57" i="41"/>
  <c r="M57" i="41" a="1"/>
  <c r="M57" i="41"/>
  <c r="P57" i="41" a="1"/>
  <c r="P57" i="41"/>
  <c r="Q57" i="41" a="1"/>
  <c r="Q57" i="41"/>
  <c r="R57" i="41" a="1"/>
  <c r="R57" i="41"/>
  <c r="S57" i="41" a="1"/>
  <c r="S57" i="41"/>
  <c r="T57" i="41" a="1"/>
  <c r="T57" i="41"/>
  <c r="U57" i="41" a="1"/>
  <c r="U57" i="41"/>
  <c r="V57" i="41" a="1"/>
  <c r="V57" i="41"/>
  <c r="W57" i="41" a="1"/>
  <c r="W57" i="41"/>
  <c r="X57" i="41" a="1"/>
  <c r="X57" i="41"/>
  <c r="Z57" i="41" a="1"/>
  <c r="Z57" i="41"/>
  <c r="AA57" i="41" a="1"/>
  <c r="AA57" i="41"/>
  <c r="AB57" i="41" a="1"/>
  <c r="AB57" i="41"/>
  <c r="AC57" i="41" a="1"/>
  <c r="AC57" i="41"/>
  <c r="AD57" i="41" a="1"/>
  <c r="AD57" i="41"/>
  <c r="AE57" i="41" a="1"/>
  <c r="AE57" i="41"/>
  <c r="AF57" i="41" a="1"/>
  <c r="AF57" i="41"/>
  <c r="AG57" i="41" a="1"/>
  <c r="AG57" i="41"/>
  <c r="AH57" i="41" a="1"/>
  <c r="AH57" i="41"/>
  <c r="AJ57" i="41"/>
  <c r="AK57" i="41"/>
  <c r="AL57" i="41"/>
  <c r="AM57" i="41"/>
  <c r="AN57" i="41"/>
  <c r="AO57" i="41"/>
  <c r="AP57" i="41"/>
  <c r="AQ57" i="41"/>
  <c r="AR57" i="41"/>
  <c r="AT57" i="41" a="1"/>
  <c r="AT57" i="41"/>
  <c r="AU57" i="41" a="1"/>
  <c r="AU57" i="41"/>
  <c r="AV57" i="41" a="1"/>
  <c r="AV57" i="41"/>
  <c r="AW57" i="41" a="1"/>
  <c r="AW57" i="41"/>
  <c r="AX57" i="41" a="1"/>
  <c r="AX57" i="41"/>
  <c r="AY57" i="41" a="1"/>
  <c r="AY57" i="41"/>
  <c r="AZ57" i="41" a="1"/>
  <c r="AZ57" i="41"/>
  <c r="BA57" i="41" a="1"/>
  <c r="BA57" i="41"/>
  <c r="BB57" i="41" a="1"/>
  <c r="BB57" i="41"/>
  <c r="BE57" i="41" a="1"/>
  <c r="BE57" i="41"/>
  <c r="BF57" i="41" a="1"/>
  <c r="BF57" i="41"/>
  <c r="BG57" i="41" a="1"/>
  <c r="BG57" i="41"/>
  <c r="BH57" i="41" a="1"/>
  <c r="BH57" i="41"/>
  <c r="BI57" i="41" a="1"/>
  <c r="BI57" i="41"/>
  <c r="BJ57" i="41" a="1"/>
  <c r="BJ57" i="41"/>
  <c r="BK57" i="41" a="1"/>
  <c r="BK57" i="41"/>
  <c r="BL57" i="41" a="1"/>
  <c r="BL57" i="41"/>
  <c r="BM57" i="41" a="1"/>
  <c r="BM57" i="41"/>
  <c r="E58" i="41" a="1"/>
  <c r="E58" i="41"/>
  <c r="F58" i="41" a="1"/>
  <c r="F58" i="41"/>
  <c r="G58" i="41" a="1"/>
  <c r="G58" i="41"/>
  <c r="H58" i="41" a="1"/>
  <c r="H58" i="41"/>
  <c r="I58" i="41" a="1"/>
  <c r="I58" i="41"/>
  <c r="J58" i="41" a="1"/>
  <c r="J58" i="41"/>
  <c r="K58" i="41" a="1"/>
  <c r="K58" i="41"/>
  <c r="L58" i="41" a="1"/>
  <c r="L58" i="41"/>
  <c r="M58" i="41" a="1"/>
  <c r="M58" i="41"/>
  <c r="P58" i="41" a="1"/>
  <c r="P58" i="41"/>
  <c r="Q58" i="41" a="1"/>
  <c r="Q58" i="41"/>
  <c r="R58" i="41" a="1"/>
  <c r="R58" i="41"/>
  <c r="S58" i="41" a="1"/>
  <c r="S58" i="41"/>
  <c r="T58" i="41" a="1"/>
  <c r="T58" i="41"/>
  <c r="U58" i="41" a="1"/>
  <c r="U58" i="41"/>
  <c r="V58" i="41" a="1"/>
  <c r="V58" i="41"/>
  <c r="W58" i="41" a="1"/>
  <c r="W58" i="41"/>
  <c r="X58" i="41" a="1"/>
  <c r="X58" i="41"/>
  <c r="Z58" i="41" a="1"/>
  <c r="Z58" i="41"/>
  <c r="AA58" i="41" a="1"/>
  <c r="AA58" i="41"/>
  <c r="AB58" i="41" a="1"/>
  <c r="AB58" i="41"/>
  <c r="AC58" i="41" a="1"/>
  <c r="AC58" i="41"/>
  <c r="AD58" i="41" a="1"/>
  <c r="AD58" i="41"/>
  <c r="AE58" i="41" a="1"/>
  <c r="AE58" i="41"/>
  <c r="AF58" i="41" a="1"/>
  <c r="AF58" i="41"/>
  <c r="AG58" i="41" a="1"/>
  <c r="AG58" i="41"/>
  <c r="AH58" i="41" a="1"/>
  <c r="AH58" i="41"/>
  <c r="AJ58" i="41"/>
  <c r="AK58" i="41"/>
  <c r="AL58" i="41"/>
  <c r="AM58" i="41"/>
  <c r="AN58" i="41"/>
  <c r="AO58" i="41"/>
  <c r="AP58" i="41"/>
  <c r="AQ58" i="41"/>
  <c r="AR58" i="41"/>
  <c r="AT58" i="41" a="1"/>
  <c r="AT58" i="41"/>
  <c r="AU58" i="41" a="1"/>
  <c r="AU58" i="41"/>
  <c r="AV58" i="41" a="1"/>
  <c r="AV58" i="41"/>
  <c r="AW58" i="41" a="1"/>
  <c r="AW58" i="41"/>
  <c r="AX58" i="41" a="1"/>
  <c r="AX58" i="41"/>
  <c r="AY58" i="41" a="1"/>
  <c r="AY58" i="41"/>
  <c r="AZ58" i="41" a="1"/>
  <c r="AZ58" i="41"/>
  <c r="BA58" i="41" a="1"/>
  <c r="BA58" i="41"/>
  <c r="BB58" i="41" a="1"/>
  <c r="BB58" i="41"/>
  <c r="BE58" i="41" a="1"/>
  <c r="BE58" i="41"/>
  <c r="BF58" i="41" a="1"/>
  <c r="BF58" i="41"/>
  <c r="BG58" i="41" a="1"/>
  <c r="BG58" i="41"/>
  <c r="BH58" i="41" a="1"/>
  <c r="BH58" i="41"/>
  <c r="BI58" i="41" a="1"/>
  <c r="BI58" i="41"/>
  <c r="BJ58" i="41" a="1"/>
  <c r="BJ58" i="41"/>
  <c r="BK58" i="41" a="1"/>
  <c r="BK58" i="41"/>
  <c r="BL58" i="41" a="1"/>
  <c r="BL58" i="41"/>
  <c r="BM58" i="41" a="1"/>
  <c r="BM58" i="41"/>
  <c r="E59" i="41" a="1"/>
  <c r="E59" i="41"/>
  <c r="F59" i="41" a="1"/>
  <c r="F59" i="41"/>
  <c r="G59" i="41" a="1"/>
  <c r="G59" i="41"/>
  <c r="H59" i="41" a="1"/>
  <c r="H59" i="41"/>
  <c r="I59" i="41" a="1"/>
  <c r="I59" i="41"/>
  <c r="J59" i="41" a="1"/>
  <c r="J59" i="41"/>
  <c r="K59" i="41" a="1"/>
  <c r="K59" i="41"/>
  <c r="L59" i="41" a="1"/>
  <c r="L59" i="41"/>
  <c r="M59" i="41" a="1"/>
  <c r="M59" i="41"/>
  <c r="P59" i="41" a="1"/>
  <c r="P59" i="41"/>
  <c r="Q59" i="41" a="1"/>
  <c r="Q59" i="41"/>
  <c r="R59" i="41" a="1"/>
  <c r="R59" i="41"/>
  <c r="S59" i="41" a="1"/>
  <c r="S59" i="41"/>
  <c r="T59" i="41" a="1"/>
  <c r="T59" i="41"/>
  <c r="U59" i="41" a="1"/>
  <c r="U59" i="41"/>
  <c r="V59" i="41" a="1"/>
  <c r="V59" i="41"/>
  <c r="W59" i="41" a="1"/>
  <c r="W59" i="41"/>
  <c r="X59" i="41" a="1"/>
  <c r="X59" i="41"/>
  <c r="Z59" i="41" a="1"/>
  <c r="Z59" i="41"/>
  <c r="AA59" i="41" a="1"/>
  <c r="AA59" i="41"/>
  <c r="AB59" i="41" a="1"/>
  <c r="AB59" i="41"/>
  <c r="AC59" i="41" a="1"/>
  <c r="AC59" i="41"/>
  <c r="AD59" i="41" a="1"/>
  <c r="AD59" i="41"/>
  <c r="AE59" i="41" a="1"/>
  <c r="AE59" i="41"/>
  <c r="AF59" i="41" a="1"/>
  <c r="AF59" i="41"/>
  <c r="AG59" i="41" a="1"/>
  <c r="AG59" i="41"/>
  <c r="AH59" i="41" a="1"/>
  <c r="AH59" i="41"/>
  <c r="AJ59" i="41"/>
  <c r="AK59" i="41"/>
  <c r="AL59" i="41"/>
  <c r="AM59" i="41"/>
  <c r="AN59" i="41"/>
  <c r="AO59" i="41"/>
  <c r="AP59" i="41"/>
  <c r="AQ59" i="41"/>
  <c r="AR59" i="41"/>
  <c r="AT59" i="41" a="1"/>
  <c r="AT59" i="41"/>
  <c r="AU59" i="41" a="1"/>
  <c r="AU59" i="41"/>
  <c r="AV59" i="41" a="1"/>
  <c r="AV59" i="41"/>
  <c r="AW59" i="41" a="1"/>
  <c r="AW59" i="41"/>
  <c r="AX59" i="41" a="1"/>
  <c r="AX59" i="41"/>
  <c r="AY59" i="41" a="1"/>
  <c r="AY59" i="41"/>
  <c r="AZ59" i="41" a="1"/>
  <c r="AZ59" i="41"/>
  <c r="BA59" i="41" a="1"/>
  <c r="BA59" i="41"/>
  <c r="BB59" i="41" a="1"/>
  <c r="BB59" i="41"/>
  <c r="BE59" i="41" a="1"/>
  <c r="BE59" i="41"/>
  <c r="BF59" i="41" a="1"/>
  <c r="BF59" i="41"/>
  <c r="BG59" i="41" a="1"/>
  <c r="BG59" i="41"/>
  <c r="BH59" i="41" a="1"/>
  <c r="BH59" i="41"/>
  <c r="BI59" i="41" a="1"/>
  <c r="BI59" i="41"/>
  <c r="BJ59" i="41" a="1"/>
  <c r="BJ59" i="41"/>
  <c r="BK59" i="41" a="1"/>
  <c r="BK59" i="41"/>
  <c r="BL59" i="41" a="1"/>
  <c r="BL59" i="41"/>
  <c r="BM59" i="41" a="1"/>
  <c r="BM59" i="41"/>
  <c r="E60" i="41" a="1"/>
  <c r="E60" i="41"/>
  <c r="F60" i="41" a="1"/>
  <c r="F60" i="41"/>
  <c r="G60" i="41" a="1"/>
  <c r="G60" i="41"/>
  <c r="H60" i="41" a="1"/>
  <c r="H60" i="41"/>
  <c r="I60" i="41" a="1"/>
  <c r="I60" i="41"/>
  <c r="J60" i="41" a="1"/>
  <c r="J60" i="41"/>
  <c r="K60" i="41" a="1"/>
  <c r="K60" i="41"/>
  <c r="L60" i="41" a="1"/>
  <c r="L60" i="41"/>
  <c r="M60" i="41" a="1"/>
  <c r="M60" i="41"/>
  <c r="P60" i="41" a="1"/>
  <c r="P60" i="41"/>
  <c r="Q60" i="41" a="1"/>
  <c r="Q60" i="41"/>
  <c r="R60" i="41" a="1"/>
  <c r="R60" i="41"/>
  <c r="S60" i="41" a="1"/>
  <c r="S60" i="41"/>
  <c r="T60" i="41" a="1"/>
  <c r="T60" i="41"/>
  <c r="U60" i="41" a="1"/>
  <c r="U60" i="41"/>
  <c r="V60" i="41" a="1"/>
  <c r="V60" i="41"/>
  <c r="W60" i="41" a="1"/>
  <c r="W60" i="41"/>
  <c r="X60" i="41" a="1"/>
  <c r="X60" i="41"/>
  <c r="Z60" i="41" a="1"/>
  <c r="Z60" i="41"/>
  <c r="AA60" i="41" a="1"/>
  <c r="AA60" i="41"/>
  <c r="AB60" i="41" a="1"/>
  <c r="AB60" i="41"/>
  <c r="AC60" i="41" a="1"/>
  <c r="AC60" i="41"/>
  <c r="AD60" i="41" a="1"/>
  <c r="AD60" i="41"/>
  <c r="AE60" i="41" a="1"/>
  <c r="AE60" i="41"/>
  <c r="AF60" i="41" a="1"/>
  <c r="AF60" i="41"/>
  <c r="AG60" i="41" a="1"/>
  <c r="AG60" i="41"/>
  <c r="AH60" i="41" a="1"/>
  <c r="AH60" i="41"/>
  <c r="AJ60" i="41"/>
  <c r="AK60" i="41"/>
  <c r="AL60" i="41"/>
  <c r="AM60" i="41"/>
  <c r="AN60" i="41"/>
  <c r="AO60" i="41"/>
  <c r="AP60" i="41"/>
  <c r="AQ60" i="41"/>
  <c r="AR60" i="41"/>
  <c r="AT60" i="41" a="1"/>
  <c r="AT60" i="41"/>
  <c r="AU60" i="41" a="1"/>
  <c r="AU60" i="41"/>
  <c r="AV60" i="41" a="1"/>
  <c r="AV60" i="41"/>
  <c r="AW60" i="41" a="1"/>
  <c r="AW60" i="41"/>
  <c r="AX60" i="41" a="1"/>
  <c r="AX60" i="41"/>
  <c r="AY60" i="41" a="1"/>
  <c r="AY60" i="41"/>
  <c r="AZ60" i="41" a="1"/>
  <c r="AZ60" i="41"/>
  <c r="BA60" i="41" a="1"/>
  <c r="BA60" i="41"/>
  <c r="BB60" i="41" a="1"/>
  <c r="BB60" i="41"/>
  <c r="BE60" i="41" a="1"/>
  <c r="BE60" i="41"/>
  <c r="BF60" i="41" a="1"/>
  <c r="BF60" i="41"/>
  <c r="BG60" i="41" a="1"/>
  <c r="BG60" i="41"/>
  <c r="BH60" i="41" a="1"/>
  <c r="BH60" i="41"/>
  <c r="BI60" i="41" a="1"/>
  <c r="BI60" i="41"/>
  <c r="BJ60" i="41" a="1"/>
  <c r="BJ60" i="41"/>
  <c r="BK60" i="41" a="1"/>
  <c r="BK60" i="41"/>
  <c r="BL60" i="41" a="1"/>
  <c r="BL60" i="41"/>
  <c r="BM60" i="41" a="1"/>
  <c r="BM60" i="41"/>
  <c r="AT63" i="41"/>
  <c r="AU63" i="41"/>
  <c r="AV63" i="41"/>
  <c r="AW63" i="41"/>
  <c r="AX63" i="41"/>
  <c r="AY63" i="41"/>
  <c r="AZ63" i="41"/>
  <c r="BA63" i="41"/>
  <c r="BB63" i="41"/>
  <c r="BE63" i="41"/>
  <c r="BE64" i="41"/>
  <c r="BE65" i="41"/>
  <c r="BE66" i="41"/>
  <c r="BE67" i="41"/>
  <c r="BE68" i="41"/>
  <c r="BE69" i="41"/>
  <c r="BE70" i="41"/>
  <c r="BE71" i="41"/>
  <c r="C12" i="10"/>
  <c r="E12" i="10"/>
  <c r="F12" i="10"/>
  <c r="G12" i="10"/>
  <c r="H12" i="10"/>
  <c r="I12" i="10"/>
  <c r="J12" i="10"/>
  <c r="K12" i="10"/>
  <c r="L12" i="10"/>
  <c r="M12" i="10"/>
  <c r="N12" i="10"/>
  <c r="O12" i="10"/>
  <c r="P12" i="10"/>
  <c r="Q12" i="10"/>
  <c r="R12" i="10"/>
  <c r="S12" i="10"/>
  <c r="T12" i="10"/>
  <c r="V12" i="10"/>
  <c r="W12" i="10"/>
  <c r="X12" i="10"/>
  <c r="Y12" i="10"/>
  <c r="Z12" i="10"/>
  <c r="AA12" i="10"/>
  <c r="AB12" i="10"/>
  <c r="AC12" i="10"/>
  <c r="AD12" i="10"/>
  <c r="AE12" i="10"/>
  <c r="AF12" i="10"/>
  <c r="AG12" i="10"/>
  <c r="AH12" i="10"/>
  <c r="AI12" i="10"/>
  <c r="AJ12" i="10"/>
  <c r="C13" i="10"/>
  <c r="E13" i="10"/>
  <c r="F13" i="10"/>
  <c r="G13" i="10"/>
  <c r="H13" i="10"/>
  <c r="I13" i="10"/>
  <c r="J13" i="10"/>
  <c r="K13" i="10"/>
  <c r="L13" i="10"/>
  <c r="M13" i="10"/>
  <c r="N13" i="10"/>
  <c r="O13" i="10"/>
  <c r="P13" i="10"/>
  <c r="Q13" i="10"/>
  <c r="R13" i="10"/>
  <c r="S13" i="10"/>
  <c r="T13" i="10"/>
  <c r="V13" i="10"/>
  <c r="W13" i="10"/>
  <c r="X13" i="10"/>
  <c r="Y13" i="10"/>
  <c r="Z13" i="10"/>
  <c r="AA13" i="10"/>
  <c r="AB13" i="10"/>
  <c r="AC13" i="10"/>
  <c r="AD13" i="10"/>
  <c r="AE13" i="10"/>
  <c r="AF13" i="10"/>
  <c r="AG13" i="10"/>
  <c r="AH13" i="10"/>
  <c r="AI13" i="10"/>
  <c r="AJ13" i="10"/>
  <c r="C14" i="10"/>
  <c r="E14" i="10"/>
  <c r="F14" i="10"/>
  <c r="G14" i="10"/>
  <c r="H14" i="10"/>
  <c r="I14" i="10"/>
  <c r="J14" i="10"/>
  <c r="K14" i="10"/>
  <c r="L14" i="10"/>
  <c r="M14" i="10"/>
  <c r="N14" i="10"/>
  <c r="O14" i="10"/>
  <c r="P14" i="10"/>
  <c r="Q14" i="10"/>
  <c r="R14" i="10"/>
  <c r="S14" i="10"/>
  <c r="T14" i="10"/>
  <c r="V14" i="10"/>
  <c r="W14" i="10"/>
  <c r="X14" i="10"/>
  <c r="Y14" i="10"/>
  <c r="Z14" i="10"/>
  <c r="AA14" i="10"/>
  <c r="AB14" i="10"/>
  <c r="AC14" i="10"/>
  <c r="AD14" i="10"/>
  <c r="AE14" i="10"/>
  <c r="AF14" i="10"/>
  <c r="AG14" i="10"/>
  <c r="AH14" i="10"/>
  <c r="AI14" i="10"/>
  <c r="AJ14" i="10"/>
  <c r="C15" i="10"/>
  <c r="E15" i="10"/>
  <c r="F15" i="10"/>
  <c r="G15" i="10"/>
  <c r="H15" i="10"/>
  <c r="I15" i="10"/>
  <c r="J15" i="10"/>
  <c r="K15" i="10"/>
  <c r="L15" i="10"/>
  <c r="M15" i="10"/>
  <c r="N15" i="10"/>
  <c r="O15" i="10"/>
  <c r="P15" i="10"/>
  <c r="Q15" i="10"/>
  <c r="R15" i="10"/>
  <c r="S15" i="10"/>
  <c r="T15" i="10"/>
  <c r="V15" i="10"/>
  <c r="W15" i="10"/>
  <c r="X15" i="10"/>
  <c r="Y15" i="10"/>
  <c r="Z15" i="10"/>
  <c r="AA15" i="10"/>
  <c r="AB15" i="10"/>
  <c r="AC15" i="10"/>
  <c r="AD15" i="10"/>
  <c r="AE15" i="10"/>
  <c r="AF15" i="10"/>
  <c r="AG15" i="10"/>
  <c r="AH15" i="10"/>
  <c r="AI15" i="10"/>
  <c r="AJ15" i="10"/>
  <c r="C16" i="10"/>
  <c r="E16" i="10"/>
  <c r="F16" i="10"/>
  <c r="G16" i="10"/>
  <c r="H16" i="10"/>
  <c r="I16" i="10"/>
  <c r="J16" i="10"/>
  <c r="K16" i="10"/>
  <c r="L16" i="10"/>
  <c r="M16" i="10"/>
  <c r="N16" i="10"/>
  <c r="O16" i="10"/>
  <c r="P16" i="10"/>
  <c r="Q16" i="10"/>
  <c r="R16" i="10"/>
  <c r="S16" i="10"/>
  <c r="T16" i="10"/>
  <c r="V16" i="10"/>
  <c r="W16" i="10"/>
  <c r="X16" i="10"/>
  <c r="Y16" i="10"/>
  <c r="Z16" i="10"/>
  <c r="AA16" i="10"/>
  <c r="AB16" i="10"/>
  <c r="AC16" i="10"/>
  <c r="AD16" i="10"/>
  <c r="AE16" i="10"/>
  <c r="AF16" i="10"/>
  <c r="AG16" i="10"/>
  <c r="AH16" i="10"/>
  <c r="AI16" i="10"/>
  <c r="AJ16" i="10"/>
  <c r="C17" i="10"/>
  <c r="E17" i="10"/>
  <c r="F17" i="10"/>
  <c r="G17" i="10"/>
  <c r="H17" i="10"/>
  <c r="I17" i="10"/>
  <c r="J17" i="10"/>
  <c r="K17" i="10"/>
  <c r="L17" i="10"/>
  <c r="M17" i="10"/>
  <c r="N17" i="10"/>
  <c r="O17" i="10"/>
  <c r="P17" i="10"/>
  <c r="Q17" i="10"/>
  <c r="R17" i="10"/>
  <c r="S17" i="10"/>
  <c r="T17" i="10"/>
  <c r="V17" i="10"/>
  <c r="W17" i="10"/>
  <c r="X17" i="10"/>
  <c r="Y17" i="10"/>
  <c r="Z17" i="10"/>
  <c r="AA17" i="10"/>
  <c r="AB17" i="10"/>
  <c r="AC17" i="10"/>
  <c r="AD17" i="10"/>
  <c r="AE17" i="10"/>
  <c r="AF17" i="10"/>
  <c r="AG17" i="10"/>
  <c r="AH17" i="10"/>
  <c r="AI17" i="10"/>
  <c r="AJ17" i="10"/>
  <c r="C18" i="10"/>
  <c r="E18" i="10"/>
  <c r="F18" i="10"/>
  <c r="G18" i="10"/>
  <c r="H18" i="10"/>
  <c r="I18" i="10"/>
  <c r="J18" i="10"/>
  <c r="K18" i="10"/>
  <c r="L18" i="10"/>
  <c r="M18" i="10"/>
  <c r="N18" i="10"/>
  <c r="O18" i="10"/>
  <c r="P18" i="10"/>
  <c r="Q18" i="10"/>
  <c r="R18" i="10"/>
  <c r="S18" i="10"/>
  <c r="T18" i="10"/>
  <c r="V18" i="10"/>
  <c r="W18" i="10"/>
  <c r="X18" i="10"/>
  <c r="Y18" i="10"/>
  <c r="Z18" i="10"/>
  <c r="AA18" i="10"/>
  <c r="AB18" i="10"/>
  <c r="AC18" i="10"/>
  <c r="AD18" i="10"/>
  <c r="AE18" i="10"/>
  <c r="AF18" i="10"/>
  <c r="AG18" i="10"/>
  <c r="AH18" i="10"/>
  <c r="AI18" i="10"/>
  <c r="AJ18" i="10"/>
  <c r="C21" i="10"/>
  <c r="E21" i="10"/>
  <c r="F21" i="10"/>
  <c r="G21" i="10"/>
  <c r="H21" i="10"/>
  <c r="I21" i="10"/>
  <c r="J21" i="10"/>
  <c r="K21" i="10"/>
  <c r="L21" i="10"/>
  <c r="M21" i="10"/>
  <c r="N21" i="10"/>
  <c r="O21" i="10"/>
  <c r="P21" i="10"/>
  <c r="Q21" i="10"/>
  <c r="R21" i="10"/>
  <c r="S21" i="10"/>
  <c r="T21" i="10"/>
  <c r="V21" i="10"/>
  <c r="W21" i="10"/>
  <c r="X21" i="10"/>
  <c r="Y21" i="10"/>
  <c r="Z21" i="10"/>
  <c r="AA21" i="10"/>
  <c r="AB21" i="10"/>
  <c r="AC21" i="10"/>
  <c r="AD21" i="10"/>
  <c r="AE21" i="10"/>
  <c r="AF21" i="10"/>
  <c r="AG21" i="10"/>
  <c r="AH21" i="10"/>
  <c r="AI21" i="10"/>
  <c r="AJ21" i="10"/>
  <c r="AM21" i="10"/>
  <c r="AN21" i="10"/>
  <c r="C22" i="10"/>
  <c r="E22" i="10"/>
  <c r="F22" i="10"/>
  <c r="G22" i="10"/>
  <c r="H22" i="10"/>
  <c r="I22" i="10"/>
  <c r="J22" i="10"/>
  <c r="K22" i="10"/>
  <c r="L22" i="10"/>
  <c r="M22" i="10"/>
  <c r="N22" i="10"/>
  <c r="O22" i="10"/>
  <c r="P22" i="10"/>
  <c r="Q22" i="10"/>
  <c r="R22" i="10"/>
  <c r="S22" i="10"/>
  <c r="T22" i="10"/>
  <c r="V22" i="10"/>
  <c r="W22" i="10"/>
  <c r="X22" i="10"/>
  <c r="Y22" i="10"/>
  <c r="Z22" i="10"/>
  <c r="AA22" i="10"/>
  <c r="AB22" i="10"/>
  <c r="AC22" i="10"/>
  <c r="AD22" i="10"/>
  <c r="AE22" i="10"/>
  <c r="AF22" i="10"/>
  <c r="AG22" i="10"/>
  <c r="AH22" i="10"/>
  <c r="AI22" i="10"/>
  <c r="AJ22" i="10"/>
  <c r="AL22" i="10"/>
  <c r="AM22" i="10"/>
  <c r="AN22" i="10"/>
  <c r="C23" i="10"/>
  <c r="E23" i="10"/>
  <c r="F23" i="10"/>
  <c r="G23" i="10"/>
  <c r="H23" i="10"/>
  <c r="I23" i="10"/>
  <c r="J23" i="10"/>
  <c r="K23" i="10"/>
  <c r="L23" i="10"/>
  <c r="M23" i="10"/>
  <c r="N23" i="10"/>
  <c r="O23" i="10"/>
  <c r="P23" i="10"/>
  <c r="Q23" i="10"/>
  <c r="R23" i="10"/>
  <c r="S23" i="10"/>
  <c r="T23" i="10"/>
  <c r="V23" i="10"/>
  <c r="W23" i="10"/>
  <c r="X23" i="10"/>
  <c r="Y23" i="10"/>
  <c r="Z23" i="10"/>
  <c r="AA23" i="10"/>
  <c r="AB23" i="10"/>
  <c r="AC23" i="10"/>
  <c r="AD23" i="10"/>
  <c r="AE23" i="10"/>
  <c r="AF23" i="10"/>
  <c r="AG23" i="10"/>
  <c r="AH23" i="10"/>
  <c r="AI23" i="10"/>
  <c r="AJ23" i="10"/>
  <c r="AL23" i="10"/>
  <c r="AM23" i="10"/>
  <c r="AN23" i="10"/>
  <c r="C24" i="10"/>
  <c r="E24" i="10"/>
  <c r="F24" i="10"/>
  <c r="G24" i="10"/>
  <c r="H24" i="10"/>
  <c r="I24" i="10"/>
  <c r="J24" i="10"/>
  <c r="K24" i="10"/>
  <c r="L24" i="10"/>
  <c r="M24" i="10"/>
  <c r="N24" i="10"/>
  <c r="O24" i="10"/>
  <c r="P24" i="10"/>
  <c r="Q24" i="10"/>
  <c r="R24" i="10"/>
  <c r="S24" i="10"/>
  <c r="T24" i="10"/>
  <c r="V24" i="10"/>
  <c r="W24" i="10"/>
  <c r="X24" i="10"/>
  <c r="Y24" i="10"/>
  <c r="Z24" i="10"/>
  <c r="AA24" i="10"/>
  <c r="AB24" i="10"/>
  <c r="AC24" i="10"/>
  <c r="AD24" i="10"/>
  <c r="AE24" i="10"/>
  <c r="AF24" i="10"/>
  <c r="AG24" i="10"/>
  <c r="AH24" i="10"/>
  <c r="AI24" i="10"/>
  <c r="AJ24" i="10"/>
  <c r="AL25" i="10"/>
  <c r="AM25" i="10"/>
  <c r="AN25" i="10"/>
  <c r="E26" i="10"/>
  <c r="F26" i="10"/>
  <c r="G26" i="10"/>
  <c r="H26" i="10"/>
  <c r="I26" i="10"/>
  <c r="J26" i="10"/>
  <c r="K26" i="10"/>
  <c r="L26" i="10"/>
  <c r="M26" i="10"/>
  <c r="N26" i="10"/>
  <c r="O26" i="10"/>
  <c r="P26" i="10"/>
  <c r="Q26" i="10"/>
  <c r="R26" i="10"/>
  <c r="S26" i="10"/>
  <c r="T26" i="10"/>
  <c r="V26" i="10"/>
  <c r="W26" i="10"/>
  <c r="X26" i="10"/>
  <c r="Y26" i="10"/>
  <c r="Z26" i="10"/>
  <c r="AA26" i="10"/>
  <c r="AB26" i="10"/>
  <c r="AC26" i="10"/>
  <c r="AD26" i="10"/>
  <c r="AE26" i="10"/>
  <c r="AF26" i="10"/>
  <c r="AG26" i="10"/>
  <c r="AH26" i="10"/>
  <c r="AI26" i="10"/>
  <c r="AJ26" i="10"/>
  <c r="E27" i="10"/>
  <c r="F27" i="10"/>
  <c r="G27" i="10"/>
  <c r="H27" i="10"/>
  <c r="I27" i="10"/>
  <c r="J27" i="10"/>
  <c r="K27" i="10"/>
  <c r="L27" i="10"/>
  <c r="M27" i="10"/>
  <c r="N27" i="10"/>
  <c r="O27" i="10"/>
  <c r="P27" i="10"/>
  <c r="Q27" i="10"/>
  <c r="R27" i="10"/>
  <c r="S27" i="10"/>
  <c r="T27" i="10"/>
  <c r="V27" i="10"/>
  <c r="W27" i="10"/>
  <c r="X27" i="10"/>
  <c r="Y27" i="10"/>
  <c r="Z27" i="10"/>
  <c r="AA27" i="10"/>
  <c r="AB27" i="10"/>
  <c r="AC27" i="10"/>
  <c r="AD27" i="10"/>
  <c r="AE27" i="10"/>
  <c r="AF27" i="10"/>
  <c r="AG27" i="10"/>
  <c r="AH27" i="10"/>
  <c r="AI27" i="10"/>
  <c r="AJ27" i="10"/>
  <c r="C32" i="10"/>
  <c r="E32" i="10"/>
  <c r="F32" i="10"/>
  <c r="G32" i="10"/>
  <c r="H32" i="10"/>
  <c r="I32" i="10"/>
  <c r="J32" i="10"/>
  <c r="K32" i="10"/>
  <c r="L32" i="10"/>
  <c r="M32" i="10"/>
  <c r="N32" i="10"/>
  <c r="O32" i="10"/>
  <c r="P32" i="10"/>
  <c r="Q32" i="10"/>
  <c r="R32" i="10"/>
  <c r="S32" i="10"/>
  <c r="T32" i="10"/>
  <c r="V32" i="10"/>
  <c r="W32" i="10"/>
  <c r="X32" i="10"/>
  <c r="Y32" i="10"/>
  <c r="Z32" i="10"/>
  <c r="AA32" i="10"/>
  <c r="AB32" i="10"/>
  <c r="AC32" i="10"/>
  <c r="AD32" i="10"/>
  <c r="AE32" i="10"/>
  <c r="AF32" i="10"/>
  <c r="AG32" i="10"/>
  <c r="AH32" i="10"/>
  <c r="AI32" i="10"/>
  <c r="AJ32" i="10"/>
  <c r="C33" i="10"/>
  <c r="E33" i="10"/>
  <c r="F33" i="10"/>
  <c r="G33" i="10"/>
  <c r="H33" i="10"/>
  <c r="I33" i="10"/>
  <c r="J33" i="10"/>
  <c r="K33" i="10"/>
  <c r="L33" i="10"/>
  <c r="M33" i="10"/>
  <c r="N33" i="10"/>
  <c r="O33" i="10"/>
  <c r="P33" i="10"/>
  <c r="Q33" i="10"/>
  <c r="R33" i="10"/>
  <c r="S33" i="10"/>
  <c r="T33" i="10"/>
  <c r="V33" i="10"/>
  <c r="W33" i="10"/>
  <c r="X33" i="10"/>
  <c r="Y33" i="10"/>
  <c r="Z33" i="10"/>
  <c r="AA33" i="10"/>
  <c r="AB33" i="10"/>
  <c r="AC33" i="10"/>
  <c r="AD33" i="10"/>
  <c r="AE33" i="10"/>
  <c r="AF33" i="10"/>
  <c r="AG33" i="10"/>
  <c r="AH33" i="10"/>
  <c r="AI33" i="10"/>
  <c r="AJ33" i="10"/>
  <c r="C34" i="10"/>
  <c r="E34" i="10"/>
  <c r="F34" i="10"/>
  <c r="G34" i="10"/>
  <c r="H34" i="10"/>
  <c r="I34" i="10"/>
  <c r="J34" i="10"/>
  <c r="K34" i="10"/>
  <c r="L34" i="10"/>
  <c r="M34" i="10"/>
  <c r="N34" i="10"/>
  <c r="O34" i="10"/>
  <c r="P34" i="10"/>
  <c r="Q34" i="10"/>
  <c r="R34" i="10"/>
  <c r="S34" i="10"/>
  <c r="T34" i="10"/>
  <c r="V34" i="10"/>
  <c r="W34" i="10"/>
  <c r="X34" i="10"/>
  <c r="Y34" i="10"/>
  <c r="Z34" i="10"/>
  <c r="AA34" i="10"/>
  <c r="AB34" i="10"/>
  <c r="AC34" i="10"/>
  <c r="AD34" i="10"/>
  <c r="AE34" i="10"/>
  <c r="AF34" i="10"/>
  <c r="AG34" i="10"/>
  <c r="AH34" i="10"/>
  <c r="AI34" i="10"/>
  <c r="AJ34" i="10"/>
  <c r="C35" i="10"/>
  <c r="E35" i="10"/>
  <c r="F35" i="10"/>
  <c r="G35" i="10"/>
  <c r="H35" i="10"/>
  <c r="I35" i="10"/>
  <c r="J35" i="10"/>
  <c r="K35" i="10"/>
  <c r="L35" i="10"/>
  <c r="M35" i="10"/>
  <c r="N35" i="10"/>
  <c r="O35" i="10"/>
  <c r="P35" i="10"/>
  <c r="Q35" i="10"/>
  <c r="R35" i="10"/>
  <c r="S35" i="10"/>
  <c r="T35" i="10"/>
  <c r="V35" i="10"/>
  <c r="W35" i="10"/>
  <c r="X35" i="10"/>
  <c r="Y35" i="10"/>
  <c r="Z35" i="10"/>
  <c r="AA35" i="10"/>
  <c r="AB35" i="10"/>
  <c r="AC35" i="10"/>
  <c r="AD35" i="10"/>
  <c r="AE35" i="10"/>
  <c r="AF35" i="10"/>
  <c r="AG35" i="10"/>
  <c r="AH35" i="10"/>
  <c r="AI35" i="10"/>
  <c r="AJ35" i="10"/>
  <c r="C36" i="10"/>
  <c r="E36" i="10"/>
  <c r="F36" i="10"/>
  <c r="G36" i="10"/>
  <c r="H36" i="10"/>
  <c r="I36" i="10"/>
  <c r="J36" i="10"/>
  <c r="K36" i="10"/>
  <c r="L36" i="10"/>
  <c r="M36" i="10"/>
  <c r="N36" i="10"/>
  <c r="O36" i="10"/>
  <c r="P36" i="10"/>
  <c r="Q36" i="10"/>
  <c r="R36" i="10"/>
  <c r="S36" i="10"/>
  <c r="T36" i="10"/>
  <c r="V36" i="10"/>
  <c r="W36" i="10"/>
  <c r="X36" i="10"/>
  <c r="Y36" i="10"/>
  <c r="Z36" i="10"/>
  <c r="AA36" i="10"/>
  <c r="AB36" i="10"/>
  <c r="AC36" i="10"/>
  <c r="AD36" i="10"/>
  <c r="AE36" i="10"/>
  <c r="AF36" i="10"/>
  <c r="AG36" i="10"/>
  <c r="AH36" i="10"/>
  <c r="AI36" i="10"/>
  <c r="AJ36" i="10"/>
  <c r="C37" i="10"/>
  <c r="E37" i="10"/>
  <c r="F37" i="10"/>
  <c r="G37" i="10"/>
  <c r="H37" i="10"/>
  <c r="I37" i="10"/>
  <c r="J37" i="10"/>
  <c r="K37" i="10"/>
  <c r="L37" i="10"/>
  <c r="M37" i="10"/>
  <c r="N37" i="10"/>
  <c r="O37" i="10"/>
  <c r="P37" i="10"/>
  <c r="Q37" i="10"/>
  <c r="R37" i="10"/>
  <c r="S37" i="10"/>
  <c r="T37" i="10"/>
  <c r="V37" i="10"/>
  <c r="W37" i="10"/>
  <c r="X37" i="10"/>
  <c r="Y37" i="10"/>
  <c r="Z37" i="10"/>
  <c r="AA37" i="10"/>
  <c r="AB37" i="10"/>
  <c r="AC37" i="10"/>
  <c r="AD37" i="10"/>
  <c r="AE37" i="10"/>
  <c r="AF37" i="10"/>
  <c r="AG37" i="10"/>
  <c r="AH37" i="10"/>
  <c r="AI37" i="10"/>
  <c r="AJ37" i="10"/>
  <c r="C38" i="10"/>
  <c r="E38" i="10"/>
  <c r="F38" i="10"/>
  <c r="G38" i="10"/>
  <c r="H38" i="10"/>
  <c r="I38" i="10"/>
  <c r="J38" i="10"/>
  <c r="K38" i="10"/>
  <c r="L38" i="10"/>
  <c r="M38" i="10"/>
  <c r="N38" i="10"/>
  <c r="O38" i="10"/>
  <c r="P38" i="10"/>
  <c r="Q38" i="10"/>
  <c r="R38" i="10"/>
  <c r="S38" i="10"/>
  <c r="T38" i="10"/>
  <c r="V38" i="10"/>
  <c r="W38" i="10"/>
  <c r="X38" i="10"/>
  <c r="Y38" i="10"/>
  <c r="Z38" i="10"/>
  <c r="AA38" i="10"/>
  <c r="AB38" i="10"/>
  <c r="AC38" i="10"/>
  <c r="AD38" i="10"/>
  <c r="AE38" i="10"/>
  <c r="AF38" i="10"/>
  <c r="AG38" i="10"/>
  <c r="AH38" i="10"/>
  <c r="AI38" i="10"/>
  <c r="AJ38" i="10"/>
  <c r="C41" i="10"/>
  <c r="E41" i="10"/>
  <c r="F41" i="10"/>
  <c r="G41" i="10"/>
  <c r="H41" i="10"/>
  <c r="I41" i="10"/>
  <c r="J41" i="10"/>
  <c r="K41" i="10"/>
  <c r="L41" i="10"/>
  <c r="M41" i="10"/>
  <c r="N41" i="10"/>
  <c r="O41" i="10"/>
  <c r="P41" i="10"/>
  <c r="Q41" i="10"/>
  <c r="R41" i="10"/>
  <c r="S41" i="10"/>
  <c r="T41" i="10"/>
  <c r="V41" i="10"/>
  <c r="W41" i="10"/>
  <c r="X41" i="10"/>
  <c r="Y41" i="10"/>
  <c r="Z41" i="10"/>
  <c r="AA41" i="10"/>
  <c r="AB41" i="10"/>
  <c r="AC41" i="10"/>
  <c r="AD41" i="10"/>
  <c r="AE41" i="10"/>
  <c r="AF41" i="10"/>
  <c r="AG41" i="10"/>
  <c r="AH41" i="10"/>
  <c r="AI41" i="10"/>
  <c r="AJ41" i="10"/>
  <c r="C42" i="10"/>
  <c r="E42" i="10"/>
  <c r="F42" i="10"/>
  <c r="G42" i="10"/>
  <c r="H42" i="10"/>
  <c r="I42" i="10"/>
  <c r="J42" i="10"/>
  <c r="K42" i="10"/>
  <c r="L42" i="10"/>
  <c r="M42" i="10"/>
  <c r="N42" i="10"/>
  <c r="O42" i="10"/>
  <c r="P42" i="10"/>
  <c r="Q42" i="10"/>
  <c r="R42" i="10"/>
  <c r="S42" i="10"/>
  <c r="T42" i="10"/>
  <c r="V42" i="10"/>
  <c r="W42" i="10"/>
  <c r="X42" i="10"/>
  <c r="Y42" i="10"/>
  <c r="Z42" i="10"/>
  <c r="AA42" i="10"/>
  <c r="AB42" i="10"/>
  <c r="AC42" i="10"/>
  <c r="AD42" i="10"/>
  <c r="AE42" i="10"/>
  <c r="AF42" i="10"/>
  <c r="AG42" i="10"/>
  <c r="AH42" i="10"/>
  <c r="AI42" i="10"/>
  <c r="AJ42" i="10"/>
  <c r="C43" i="10"/>
  <c r="E43" i="10"/>
  <c r="F43" i="10"/>
  <c r="G43" i="10"/>
  <c r="H43" i="10"/>
  <c r="I43" i="10"/>
  <c r="J43" i="10"/>
  <c r="K43" i="10"/>
  <c r="L43" i="10"/>
  <c r="M43" i="10"/>
  <c r="N43" i="10"/>
  <c r="O43" i="10"/>
  <c r="P43" i="10"/>
  <c r="Q43" i="10"/>
  <c r="R43" i="10"/>
  <c r="S43" i="10"/>
  <c r="T43" i="10"/>
  <c r="V43" i="10"/>
  <c r="W43" i="10"/>
  <c r="X43" i="10"/>
  <c r="Y43" i="10"/>
  <c r="Z43" i="10"/>
  <c r="AA43" i="10"/>
  <c r="AB43" i="10"/>
  <c r="AC43" i="10"/>
  <c r="AD43" i="10"/>
  <c r="AE43" i="10"/>
  <c r="AF43" i="10"/>
  <c r="AG43" i="10"/>
  <c r="AH43" i="10"/>
  <c r="AI43" i="10"/>
  <c r="AJ43" i="10"/>
  <c r="C44" i="10"/>
  <c r="E44" i="10"/>
  <c r="F44" i="10"/>
  <c r="G44" i="10"/>
  <c r="H44" i="10"/>
  <c r="I44" i="10"/>
  <c r="J44" i="10"/>
  <c r="K44" i="10"/>
  <c r="L44" i="10"/>
  <c r="M44" i="10"/>
  <c r="N44" i="10"/>
  <c r="O44" i="10"/>
  <c r="P44" i="10"/>
  <c r="Q44" i="10"/>
  <c r="R44" i="10"/>
  <c r="S44" i="10"/>
  <c r="T44" i="10"/>
  <c r="V44" i="10"/>
  <c r="W44" i="10"/>
  <c r="X44" i="10"/>
  <c r="Y44" i="10"/>
  <c r="Z44" i="10"/>
  <c r="AA44" i="10"/>
  <c r="AB44" i="10"/>
  <c r="AC44" i="10"/>
  <c r="AD44" i="10"/>
  <c r="AE44" i="10"/>
  <c r="AF44" i="10"/>
  <c r="AG44" i="10"/>
  <c r="AH44" i="10"/>
  <c r="AI44" i="10"/>
  <c r="AJ44" i="10"/>
  <c r="E46" i="10"/>
  <c r="F46" i="10"/>
  <c r="G46" i="10"/>
  <c r="H46" i="10"/>
  <c r="I46" i="10"/>
  <c r="J46" i="10"/>
  <c r="K46" i="10"/>
  <c r="L46" i="10"/>
  <c r="M46" i="10"/>
  <c r="N46" i="10"/>
  <c r="O46" i="10"/>
  <c r="P46" i="10"/>
  <c r="Q46" i="10"/>
  <c r="R46" i="10"/>
  <c r="S46" i="10"/>
  <c r="T46" i="10"/>
  <c r="V46" i="10"/>
  <c r="W46" i="10"/>
  <c r="X46" i="10"/>
  <c r="Y46" i="10"/>
  <c r="Z46" i="10"/>
  <c r="AA46" i="10"/>
  <c r="AB46" i="10"/>
  <c r="AC46" i="10"/>
  <c r="AD46" i="10"/>
  <c r="AE46" i="10"/>
  <c r="AF46" i="10"/>
  <c r="AG46" i="10"/>
  <c r="AH46" i="10"/>
  <c r="AI46" i="10"/>
  <c r="AJ46" i="10"/>
  <c r="E47" i="10"/>
  <c r="F47" i="10"/>
  <c r="G47" i="10"/>
  <c r="H47" i="10"/>
  <c r="I47" i="10"/>
  <c r="J47" i="10"/>
  <c r="K47" i="10"/>
  <c r="L47" i="10"/>
  <c r="M47" i="10"/>
  <c r="N47" i="10"/>
  <c r="O47" i="10"/>
  <c r="P47" i="10"/>
  <c r="Q47" i="10"/>
  <c r="R47" i="10"/>
  <c r="S47" i="10"/>
  <c r="T47" i="10"/>
  <c r="V47" i="10"/>
  <c r="W47" i="10"/>
  <c r="X47" i="10"/>
  <c r="Y47" i="10"/>
  <c r="Z47" i="10"/>
  <c r="AA47" i="10"/>
  <c r="AB47" i="10"/>
  <c r="AC47" i="10"/>
  <c r="AD47" i="10"/>
  <c r="AE47" i="10"/>
  <c r="AF47" i="10"/>
  <c r="AG47" i="10"/>
  <c r="AH47" i="10"/>
  <c r="AI47" i="10"/>
  <c r="AJ47" i="10"/>
  <c r="C52" i="10"/>
  <c r="E52" i="10"/>
  <c r="F52" i="10"/>
  <c r="G52" i="10"/>
  <c r="H52" i="10"/>
  <c r="I52" i="10"/>
  <c r="J52" i="10"/>
  <c r="K52" i="10"/>
  <c r="L52" i="10"/>
  <c r="M52" i="10"/>
  <c r="N52" i="10"/>
  <c r="O52" i="10"/>
  <c r="P52" i="10"/>
  <c r="Q52" i="10"/>
  <c r="R52" i="10"/>
  <c r="S52" i="10"/>
  <c r="T52" i="10"/>
  <c r="V52" i="10"/>
  <c r="W52" i="10"/>
  <c r="X52" i="10"/>
  <c r="Y52" i="10"/>
  <c r="Z52" i="10"/>
  <c r="AA52" i="10"/>
  <c r="AB52" i="10"/>
  <c r="AC52" i="10"/>
  <c r="AD52" i="10"/>
  <c r="AE52" i="10"/>
  <c r="AF52" i="10"/>
  <c r="AG52" i="10"/>
  <c r="AH52" i="10"/>
  <c r="AI52" i="10"/>
  <c r="AJ52" i="10"/>
  <c r="C53" i="10"/>
  <c r="E53" i="10"/>
  <c r="F53" i="10"/>
  <c r="G53" i="10"/>
  <c r="H53" i="10"/>
  <c r="I53" i="10"/>
  <c r="J53" i="10"/>
  <c r="K53" i="10"/>
  <c r="L53" i="10"/>
  <c r="M53" i="10"/>
  <c r="N53" i="10"/>
  <c r="O53" i="10"/>
  <c r="P53" i="10"/>
  <c r="Q53" i="10"/>
  <c r="R53" i="10"/>
  <c r="S53" i="10"/>
  <c r="T53" i="10"/>
  <c r="V53" i="10"/>
  <c r="W53" i="10"/>
  <c r="X53" i="10"/>
  <c r="Y53" i="10"/>
  <c r="Z53" i="10"/>
  <c r="AA53" i="10"/>
  <c r="AB53" i="10"/>
  <c r="AC53" i="10"/>
  <c r="AD53" i="10"/>
  <c r="AE53" i="10"/>
  <c r="AF53" i="10"/>
  <c r="AG53" i="10"/>
  <c r="AH53" i="10"/>
  <c r="AI53" i="10"/>
  <c r="AJ53" i="10"/>
  <c r="C54" i="10"/>
  <c r="E54" i="10"/>
  <c r="F54" i="10"/>
  <c r="G54" i="10"/>
  <c r="H54" i="10"/>
  <c r="I54" i="10"/>
  <c r="J54" i="10"/>
  <c r="K54" i="10"/>
  <c r="L54" i="10"/>
  <c r="M54" i="10"/>
  <c r="N54" i="10"/>
  <c r="O54" i="10"/>
  <c r="P54" i="10"/>
  <c r="Q54" i="10"/>
  <c r="R54" i="10"/>
  <c r="S54" i="10"/>
  <c r="T54" i="10"/>
  <c r="V54" i="10"/>
  <c r="W54" i="10"/>
  <c r="X54" i="10"/>
  <c r="Y54" i="10"/>
  <c r="Z54" i="10"/>
  <c r="AA54" i="10"/>
  <c r="AB54" i="10"/>
  <c r="AC54" i="10"/>
  <c r="AD54" i="10"/>
  <c r="AE54" i="10"/>
  <c r="AF54" i="10"/>
  <c r="AG54" i="10"/>
  <c r="AH54" i="10"/>
  <c r="AI54" i="10"/>
  <c r="AJ54" i="10"/>
  <c r="C55" i="10"/>
  <c r="E55" i="10"/>
  <c r="F55" i="10"/>
  <c r="G55" i="10"/>
  <c r="H55" i="10"/>
  <c r="I55" i="10"/>
  <c r="J55" i="10"/>
  <c r="K55" i="10"/>
  <c r="L55" i="10"/>
  <c r="M55" i="10"/>
  <c r="N55" i="10"/>
  <c r="O55" i="10"/>
  <c r="P55" i="10"/>
  <c r="Q55" i="10"/>
  <c r="R55" i="10"/>
  <c r="S55" i="10"/>
  <c r="T55" i="10"/>
  <c r="V55" i="10"/>
  <c r="W55" i="10"/>
  <c r="X55" i="10"/>
  <c r="Y55" i="10"/>
  <c r="Z55" i="10"/>
  <c r="AA55" i="10"/>
  <c r="AB55" i="10"/>
  <c r="AC55" i="10"/>
  <c r="AD55" i="10"/>
  <c r="AE55" i="10"/>
  <c r="AF55" i="10"/>
  <c r="AG55" i="10"/>
  <c r="AH55" i="10"/>
  <c r="AI55" i="10"/>
  <c r="AJ55" i="10"/>
  <c r="C56" i="10"/>
  <c r="E56" i="10"/>
  <c r="F56" i="10"/>
  <c r="G56" i="10"/>
  <c r="H56" i="10"/>
  <c r="I56" i="10"/>
  <c r="J56" i="10"/>
  <c r="K56" i="10"/>
  <c r="L56" i="10"/>
  <c r="M56" i="10"/>
  <c r="N56" i="10"/>
  <c r="O56" i="10"/>
  <c r="P56" i="10"/>
  <c r="Q56" i="10"/>
  <c r="R56" i="10"/>
  <c r="S56" i="10"/>
  <c r="T56" i="10"/>
  <c r="V56" i="10"/>
  <c r="W56" i="10"/>
  <c r="X56" i="10"/>
  <c r="Y56" i="10"/>
  <c r="Z56" i="10"/>
  <c r="AA56" i="10"/>
  <c r="AB56" i="10"/>
  <c r="AC56" i="10"/>
  <c r="AD56" i="10"/>
  <c r="AE56" i="10"/>
  <c r="AF56" i="10"/>
  <c r="AG56" i="10"/>
  <c r="AH56" i="10"/>
  <c r="AI56" i="10"/>
  <c r="AJ56" i="10"/>
  <c r="C57" i="10"/>
  <c r="E57" i="10"/>
  <c r="F57" i="10"/>
  <c r="G57" i="10"/>
  <c r="H57" i="10"/>
  <c r="I57" i="10"/>
  <c r="J57" i="10"/>
  <c r="K57" i="10"/>
  <c r="L57" i="10"/>
  <c r="M57" i="10"/>
  <c r="N57" i="10"/>
  <c r="O57" i="10"/>
  <c r="P57" i="10"/>
  <c r="Q57" i="10"/>
  <c r="R57" i="10"/>
  <c r="S57" i="10"/>
  <c r="T57" i="10"/>
  <c r="V57" i="10"/>
  <c r="W57" i="10"/>
  <c r="X57" i="10"/>
  <c r="Y57" i="10"/>
  <c r="Z57" i="10"/>
  <c r="AA57" i="10"/>
  <c r="AB57" i="10"/>
  <c r="AC57" i="10"/>
  <c r="AD57" i="10"/>
  <c r="AE57" i="10"/>
  <c r="AF57" i="10"/>
  <c r="AG57" i="10"/>
  <c r="AH57" i="10"/>
  <c r="AI57" i="10"/>
  <c r="AJ57" i="10"/>
  <c r="C58" i="10"/>
  <c r="E58" i="10"/>
  <c r="F58" i="10"/>
  <c r="G58" i="10"/>
  <c r="H58" i="10"/>
  <c r="I58" i="10"/>
  <c r="J58" i="10"/>
  <c r="K58" i="10"/>
  <c r="L58" i="10"/>
  <c r="M58" i="10"/>
  <c r="N58" i="10"/>
  <c r="O58" i="10"/>
  <c r="P58" i="10"/>
  <c r="Q58" i="10"/>
  <c r="R58" i="10"/>
  <c r="S58" i="10"/>
  <c r="T58" i="10"/>
  <c r="V58" i="10"/>
  <c r="W58" i="10"/>
  <c r="X58" i="10"/>
  <c r="Y58" i="10"/>
  <c r="Z58" i="10"/>
  <c r="AA58" i="10"/>
  <c r="AB58" i="10"/>
  <c r="AC58" i="10"/>
  <c r="AD58" i="10"/>
  <c r="AE58" i="10"/>
  <c r="AF58" i="10"/>
  <c r="AG58" i="10"/>
  <c r="AH58" i="10"/>
  <c r="AI58" i="10"/>
  <c r="AJ58" i="10"/>
  <c r="C61" i="10"/>
  <c r="E61" i="10"/>
  <c r="F61" i="10"/>
  <c r="G61" i="10"/>
  <c r="H61" i="10"/>
  <c r="I61" i="10"/>
  <c r="J61" i="10"/>
  <c r="K61" i="10"/>
  <c r="L61" i="10"/>
  <c r="M61" i="10"/>
  <c r="N61" i="10"/>
  <c r="O61" i="10"/>
  <c r="P61" i="10"/>
  <c r="Q61" i="10"/>
  <c r="R61" i="10"/>
  <c r="S61" i="10"/>
  <c r="T61" i="10"/>
  <c r="V61" i="10"/>
  <c r="W61" i="10"/>
  <c r="X61" i="10"/>
  <c r="Y61" i="10"/>
  <c r="Z61" i="10"/>
  <c r="AA61" i="10"/>
  <c r="AB61" i="10"/>
  <c r="AC61" i="10"/>
  <c r="AD61" i="10"/>
  <c r="AE61" i="10"/>
  <c r="AF61" i="10"/>
  <c r="AG61" i="10"/>
  <c r="AH61" i="10"/>
  <c r="AI61" i="10"/>
  <c r="AJ61" i="10"/>
  <c r="AK61" i="10"/>
  <c r="AL61" i="10"/>
  <c r="AM61" i="10"/>
  <c r="C62" i="10"/>
  <c r="E62" i="10"/>
  <c r="F62" i="10"/>
  <c r="G62" i="10"/>
  <c r="H62" i="10"/>
  <c r="I62" i="10"/>
  <c r="J62" i="10"/>
  <c r="K62" i="10"/>
  <c r="L62" i="10"/>
  <c r="M62" i="10"/>
  <c r="N62" i="10"/>
  <c r="O62" i="10"/>
  <c r="P62" i="10"/>
  <c r="Q62" i="10"/>
  <c r="R62" i="10"/>
  <c r="S62" i="10"/>
  <c r="T62" i="10"/>
  <c r="V62" i="10"/>
  <c r="W62" i="10"/>
  <c r="X62" i="10"/>
  <c r="Y62" i="10"/>
  <c r="Z62" i="10"/>
  <c r="AA62" i="10"/>
  <c r="AB62" i="10"/>
  <c r="AC62" i="10"/>
  <c r="AD62" i="10"/>
  <c r="AE62" i="10"/>
  <c r="AF62" i="10"/>
  <c r="AG62" i="10"/>
  <c r="AH62" i="10"/>
  <c r="AI62" i="10"/>
  <c r="AJ62" i="10"/>
  <c r="C63" i="10"/>
  <c r="E63" i="10"/>
  <c r="F63" i="10"/>
  <c r="G63" i="10"/>
  <c r="H63" i="10"/>
  <c r="I63" i="10"/>
  <c r="J63" i="10"/>
  <c r="K63" i="10"/>
  <c r="L63" i="10"/>
  <c r="M63" i="10"/>
  <c r="N63" i="10"/>
  <c r="O63" i="10"/>
  <c r="P63" i="10"/>
  <c r="Q63" i="10"/>
  <c r="R63" i="10"/>
  <c r="S63" i="10"/>
  <c r="T63" i="10"/>
  <c r="V63" i="10"/>
  <c r="W63" i="10"/>
  <c r="X63" i="10"/>
  <c r="Y63" i="10"/>
  <c r="Z63" i="10"/>
  <c r="AA63" i="10"/>
  <c r="AB63" i="10"/>
  <c r="AC63" i="10"/>
  <c r="AD63" i="10"/>
  <c r="AE63" i="10"/>
  <c r="AF63" i="10"/>
  <c r="AG63" i="10"/>
  <c r="AH63" i="10"/>
  <c r="AI63" i="10"/>
  <c r="AJ63" i="10"/>
  <c r="C64" i="10"/>
  <c r="E64" i="10"/>
  <c r="F64" i="10"/>
  <c r="G64" i="10"/>
  <c r="H64" i="10"/>
  <c r="I64" i="10"/>
  <c r="J64" i="10"/>
  <c r="K64" i="10"/>
  <c r="L64" i="10"/>
  <c r="M64" i="10"/>
  <c r="N64" i="10"/>
  <c r="O64" i="10"/>
  <c r="P64" i="10"/>
  <c r="Q64" i="10"/>
  <c r="R64" i="10"/>
  <c r="S64" i="10"/>
  <c r="T64" i="10"/>
  <c r="V64" i="10"/>
  <c r="W64" i="10"/>
  <c r="X64" i="10"/>
  <c r="Y64" i="10"/>
  <c r="Z64" i="10"/>
  <c r="AA64" i="10"/>
  <c r="AB64" i="10"/>
  <c r="AC64" i="10"/>
  <c r="AD64" i="10"/>
  <c r="AE64" i="10"/>
  <c r="AF64" i="10"/>
  <c r="AG64" i="10"/>
  <c r="AH64" i="10"/>
  <c r="AI64" i="10"/>
  <c r="AJ64" i="10"/>
  <c r="E66" i="10"/>
  <c r="F66" i="10"/>
  <c r="G66" i="10"/>
  <c r="H66" i="10"/>
  <c r="I66" i="10"/>
  <c r="J66" i="10"/>
  <c r="K66" i="10"/>
  <c r="L66" i="10"/>
  <c r="M66" i="10"/>
  <c r="N66" i="10"/>
  <c r="O66" i="10"/>
  <c r="P66" i="10"/>
  <c r="Q66" i="10"/>
  <c r="R66" i="10"/>
  <c r="S66" i="10"/>
  <c r="T66" i="10"/>
  <c r="V66" i="10"/>
  <c r="W66" i="10"/>
  <c r="X66" i="10"/>
  <c r="Y66" i="10"/>
  <c r="Z66" i="10"/>
  <c r="AA66" i="10"/>
  <c r="AB66" i="10"/>
  <c r="AC66" i="10"/>
  <c r="AD66" i="10"/>
  <c r="AE66" i="10"/>
  <c r="AF66" i="10"/>
  <c r="AG66" i="10"/>
  <c r="AH66" i="10"/>
  <c r="AI66" i="10"/>
  <c r="AJ66" i="10"/>
  <c r="E67" i="10"/>
  <c r="F67" i="10"/>
  <c r="G67" i="10"/>
  <c r="H67" i="10"/>
  <c r="I67" i="10"/>
  <c r="J67" i="10"/>
  <c r="K67" i="10"/>
  <c r="L67" i="10"/>
  <c r="M67" i="10"/>
  <c r="N67" i="10"/>
  <c r="O67" i="10"/>
  <c r="P67" i="10"/>
  <c r="Q67" i="10"/>
  <c r="R67" i="10"/>
  <c r="S67" i="10"/>
  <c r="T67" i="10"/>
  <c r="V67" i="10"/>
  <c r="W67" i="10"/>
  <c r="X67" i="10"/>
  <c r="Y67" i="10"/>
  <c r="Z67" i="10"/>
  <c r="AA67" i="10"/>
  <c r="AB67" i="10"/>
  <c r="AC67" i="10"/>
  <c r="AD67" i="10"/>
  <c r="AE67" i="10"/>
  <c r="AF67" i="10"/>
  <c r="AG67" i="10"/>
  <c r="AH67" i="10"/>
  <c r="AI67" i="10"/>
  <c r="AJ67" i="10"/>
  <c r="C72" i="10"/>
  <c r="E72" i="10"/>
  <c r="F72" i="10"/>
  <c r="G72" i="10"/>
  <c r="H72" i="10"/>
  <c r="I72" i="10"/>
  <c r="J72" i="10"/>
  <c r="K72" i="10"/>
  <c r="L72" i="10"/>
  <c r="M72" i="10"/>
  <c r="N72" i="10"/>
  <c r="O72" i="10"/>
  <c r="P72" i="10"/>
  <c r="V72" i="10"/>
  <c r="W72" i="10"/>
  <c r="X72" i="10"/>
  <c r="Y72" i="10"/>
  <c r="Z72" i="10"/>
  <c r="AA72" i="10"/>
  <c r="AB72" i="10"/>
  <c r="AC72" i="10"/>
  <c r="AD72" i="10"/>
  <c r="AE72" i="10"/>
  <c r="AF72" i="10"/>
  <c r="AG72" i="10"/>
  <c r="C73" i="10"/>
  <c r="E73" i="10"/>
  <c r="F73" i="10"/>
  <c r="G73" i="10"/>
  <c r="H73" i="10"/>
  <c r="I73" i="10"/>
  <c r="J73" i="10"/>
  <c r="K73" i="10"/>
  <c r="L73" i="10"/>
  <c r="M73" i="10"/>
  <c r="N73" i="10"/>
  <c r="O73" i="10"/>
  <c r="P73" i="10"/>
  <c r="V73" i="10"/>
  <c r="W73" i="10"/>
  <c r="X73" i="10"/>
  <c r="Y73" i="10"/>
  <c r="Z73" i="10"/>
  <c r="AA73" i="10"/>
  <c r="AB73" i="10"/>
  <c r="AC73" i="10"/>
  <c r="AD73" i="10"/>
  <c r="AE73" i="10"/>
  <c r="AF73" i="10"/>
  <c r="AG73" i="10"/>
  <c r="C74" i="10"/>
  <c r="E74" i="10"/>
  <c r="F74" i="10"/>
  <c r="G74" i="10"/>
  <c r="H74" i="10"/>
  <c r="I74" i="10"/>
  <c r="J74" i="10"/>
  <c r="K74" i="10"/>
  <c r="L74" i="10"/>
  <c r="M74" i="10"/>
  <c r="N74" i="10"/>
  <c r="O74" i="10"/>
  <c r="P74" i="10"/>
  <c r="V74" i="10"/>
  <c r="W74" i="10"/>
  <c r="X74" i="10"/>
  <c r="Y74" i="10"/>
  <c r="Z74" i="10"/>
  <c r="AA74" i="10"/>
  <c r="AB74" i="10"/>
  <c r="AC74" i="10"/>
  <c r="AD74" i="10"/>
  <c r="AE74" i="10"/>
  <c r="AF74" i="10"/>
  <c r="AG74" i="10"/>
  <c r="C75" i="10"/>
  <c r="E75" i="10"/>
  <c r="F75" i="10"/>
  <c r="G75" i="10"/>
  <c r="H75" i="10"/>
  <c r="I75" i="10"/>
  <c r="J75" i="10"/>
  <c r="K75" i="10"/>
  <c r="L75" i="10"/>
  <c r="M75" i="10"/>
  <c r="N75" i="10"/>
  <c r="O75" i="10"/>
  <c r="P75" i="10"/>
  <c r="V75" i="10"/>
  <c r="W75" i="10"/>
  <c r="X75" i="10"/>
  <c r="Y75" i="10"/>
  <c r="Z75" i="10"/>
  <c r="AA75" i="10"/>
  <c r="AB75" i="10"/>
  <c r="AC75" i="10"/>
  <c r="AD75" i="10"/>
  <c r="AE75" i="10"/>
  <c r="AF75" i="10"/>
  <c r="AG75" i="10"/>
  <c r="C76" i="10"/>
  <c r="E76" i="10"/>
  <c r="F76" i="10"/>
  <c r="G76" i="10"/>
  <c r="H76" i="10"/>
  <c r="I76" i="10"/>
  <c r="J76" i="10"/>
  <c r="K76" i="10"/>
  <c r="L76" i="10"/>
  <c r="M76" i="10"/>
  <c r="N76" i="10"/>
  <c r="O76" i="10"/>
  <c r="P76" i="10"/>
  <c r="V76" i="10"/>
  <c r="W76" i="10"/>
  <c r="X76" i="10"/>
  <c r="Y76" i="10"/>
  <c r="Z76" i="10"/>
  <c r="AA76" i="10"/>
  <c r="AB76" i="10"/>
  <c r="AC76" i="10"/>
  <c r="AD76" i="10"/>
  <c r="AE76" i="10"/>
  <c r="AF76" i="10"/>
  <c r="AG76" i="10"/>
  <c r="C77" i="10"/>
  <c r="E77" i="10"/>
  <c r="F77" i="10"/>
  <c r="G77" i="10"/>
  <c r="H77" i="10"/>
  <c r="I77" i="10"/>
  <c r="J77" i="10"/>
  <c r="K77" i="10"/>
  <c r="L77" i="10"/>
  <c r="M77" i="10"/>
  <c r="N77" i="10"/>
  <c r="O77" i="10"/>
  <c r="P77" i="10"/>
  <c r="V77" i="10"/>
  <c r="W77" i="10"/>
  <c r="X77" i="10"/>
  <c r="Y77" i="10"/>
  <c r="Z77" i="10"/>
  <c r="AA77" i="10"/>
  <c r="AB77" i="10"/>
  <c r="AC77" i="10"/>
  <c r="AD77" i="10"/>
  <c r="AE77" i="10"/>
  <c r="AF77" i="10"/>
  <c r="AG77" i="10"/>
  <c r="C78" i="10"/>
  <c r="E78" i="10"/>
  <c r="F78" i="10"/>
  <c r="G78" i="10"/>
  <c r="H78" i="10"/>
  <c r="I78" i="10"/>
  <c r="J78" i="10"/>
  <c r="K78" i="10"/>
  <c r="L78" i="10"/>
  <c r="M78" i="10"/>
  <c r="N78" i="10"/>
  <c r="O78" i="10"/>
  <c r="P78" i="10"/>
  <c r="V78" i="10"/>
  <c r="W78" i="10"/>
  <c r="X78" i="10"/>
  <c r="Y78" i="10"/>
  <c r="Z78" i="10"/>
  <c r="AA78" i="10"/>
  <c r="AB78" i="10"/>
  <c r="AC78" i="10"/>
  <c r="AD78" i="10"/>
  <c r="AE78" i="10"/>
  <c r="AF78" i="10"/>
  <c r="AG78" i="10"/>
  <c r="AK78" i="10"/>
  <c r="AL78" i="10"/>
  <c r="AM78" i="10"/>
  <c r="C81" i="10"/>
  <c r="E81" i="10"/>
  <c r="F81" i="10"/>
  <c r="G81" i="10"/>
  <c r="H81" i="10"/>
  <c r="I81" i="10"/>
  <c r="J81" i="10"/>
  <c r="K81" i="10"/>
  <c r="L81" i="10"/>
  <c r="M81" i="10"/>
  <c r="N81" i="10"/>
  <c r="O81" i="10"/>
  <c r="P81" i="10"/>
  <c r="V81" i="10"/>
  <c r="W81" i="10"/>
  <c r="X81" i="10"/>
  <c r="Y81" i="10"/>
  <c r="Z81" i="10"/>
  <c r="AA81" i="10"/>
  <c r="AB81" i="10"/>
  <c r="AC81" i="10"/>
  <c r="AD81" i="10"/>
  <c r="AE81" i="10"/>
  <c r="AF81" i="10"/>
  <c r="AG81" i="10"/>
  <c r="C82" i="10"/>
  <c r="E82" i="10"/>
  <c r="F82" i="10"/>
  <c r="G82" i="10"/>
  <c r="H82" i="10"/>
  <c r="I82" i="10"/>
  <c r="J82" i="10"/>
  <c r="K82" i="10"/>
  <c r="L82" i="10"/>
  <c r="M82" i="10"/>
  <c r="N82" i="10"/>
  <c r="O82" i="10"/>
  <c r="P82" i="10"/>
  <c r="V82" i="10"/>
  <c r="W82" i="10"/>
  <c r="X82" i="10"/>
  <c r="Y82" i="10"/>
  <c r="Z82" i="10"/>
  <c r="AA82" i="10"/>
  <c r="AB82" i="10"/>
  <c r="AC82" i="10"/>
  <c r="AD82" i="10"/>
  <c r="AE82" i="10"/>
  <c r="AF82" i="10"/>
  <c r="AG82" i="10"/>
  <c r="C83" i="10"/>
  <c r="E83" i="10"/>
  <c r="F83" i="10"/>
  <c r="G83" i="10"/>
  <c r="H83" i="10"/>
  <c r="I83" i="10"/>
  <c r="J83" i="10"/>
  <c r="K83" i="10"/>
  <c r="L83" i="10"/>
  <c r="M83" i="10"/>
  <c r="N83" i="10"/>
  <c r="O83" i="10"/>
  <c r="P83" i="10"/>
  <c r="V83" i="10"/>
  <c r="W83" i="10"/>
  <c r="X83" i="10"/>
  <c r="Y83" i="10"/>
  <c r="Z83" i="10"/>
  <c r="AA83" i="10"/>
  <c r="AB83" i="10"/>
  <c r="AC83" i="10"/>
  <c r="AD83" i="10"/>
  <c r="AE83" i="10"/>
  <c r="AF83" i="10"/>
  <c r="AG83" i="10"/>
  <c r="C84" i="10"/>
  <c r="E84" i="10"/>
  <c r="F84" i="10"/>
  <c r="G84" i="10"/>
  <c r="H84" i="10"/>
  <c r="I84" i="10"/>
  <c r="J84" i="10"/>
  <c r="K84" i="10"/>
  <c r="L84" i="10"/>
  <c r="M84" i="10"/>
  <c r="N84" i="10"/>
  <c r="O84" i="10"/>
  <c r="P84" i="10"/>
  <c r="V84" i="10"/>
  <c r="W84" i="10"/>
  <c r="X84" i="10"/>
  <c r="Y84" i="10"/>
  <c r="Z84" i="10"/>
  <c r="AA84" i="10"/>
  <c r="AB84" i="10"/>
  <c r="AC84" i="10"/>
  <c r="AD84" i="10"/>
  <c r="AE84" i="10"/>
  <c r="AF84" i="10"/>
  <c r="AG84" i="10"/>
  <c r="E86" i="10"/>
  <c r="F86" i="10"/>
  <c r="G86" i="10"/>
  <c r="H86" i="10"/>
  <c r="I86" i="10"/>
  <c r="J86" i="10"/>
  <c r="K86" i="10"/>
  <c r="L86" i="10"/>
  <c r="M86" i="10"/>
  <c r="N86" i="10"/>
  <c r="O86" i="10"/>
  <c r="P86" i="10"/>
  <c r="V86" i="10"/>
  <c r="W86" i="10"/>
  <c r="X86" i="10"/>
  <c r="Y86" i="10"/>
  <c r="Z86" i="10"/>
  <c r="AA86" i="10"/>
  <c r="AB86" i="10"/>
  <c r="AC86" i="10"/>
  <c r="AD86" i="10"/>
  <c r="AE86" i="10"/>
  <c r="AF86" i="10"/>
  <c r="AG86" i="10"/>
  <c r="E87" i="10"/>
  <c r="F87" i="10"/>
  <c r="G87" i="10"/>
  <c r="H87" i="10"/>
  <c r="I87" i="10"/>
  <c r="J87" i="10"/>
  <c r="K87" i="10"/>
  <c r="L87" i="10"/>
  <c r="M87" i="10"/>
  <c r="N87" i="10"/>
  <c r="O87" i="10"/>
  <c r="P87" i="10"/>
  <c r="V87" i="10"/>
  <c r="W87" i="10"/>
  <c r="X87" i="10"/>
  <c r="Y87" i="10"/>
  <c r="Z87" i="10"/>
  <c r="AA87" i="10"/>
  <c r="AB87" i="10"/>
  <c r="AC87" i="10"/>
  <c r="AD87" i="10"/>
  <c r="AE87" i="10"/>
  <c r="AF87" i="10"/>
  <c r="AG87" i="10"/>
  <c r="C92" i="10"/>
  <c r="E92" i="10"/>
  <c r="F92" i="10"/>
  <c r="G92" i="10"/>
  <c r="H92" i="10"/>
  <c r="I92" i="10"/>
  <c r="J92" i="10"/>
  <c r="K92" i="10"/>
  <c r="L92" i="10"/>
  <c r="M92" i="10"/>
  <c r="N92" i="10"/>
  <c r="O92" i="10"/>
  <c r="P92" i="10"/>
  <c r="V92" i="10"/>
  <c r="W92" i="10"/>
  <c r="X92" i="10"/>
  <c r="Y92" i="10"/>
  <c r="Z92" i="10"/>
  <c r="AA92" i="10"/>
  <c r="AB92" i="10"/>
  <c r="AC92" i="10"/>
  <c r="AD92" i="10"/>
  <c r="AE92" i="10"/>
  <c r="AF92" i="10"/>
  <c r="C93" i="10"/>
  <c r="E93" i="10"/>
  <c r="F93" i="10"/>
  <c r="G93" i="10"/>
  <c r="H93" i="10"/>
  <c r="I93" i="10"/>
  <c r="J93" i="10"/>
  <c r="K93" i="10"/>
  <c r="L93" i="10"/>
  <c r="M93" i="10"/>
  <c r="N93" i="10"/>
  <c r="O93" i="10"/>
  <c r="P93" i="10"/>
  <c r="V93" i="10"/>
  <c r="W93" i="10"/>
  <c r="X93" i="10"/>
  <c r="Y93" i="10"/>
  <c r="Z93" i="10"/>
  <c r="AA93" i="10"/>
  <c r="AB93" i="10"/>
  <c r="AC93" i="10"/>
  <c r="AD93" i="10"/>
  <c r="AE93" i="10"/>
  <c r="AF93" i="10"/>
  <c r="C94" i="10"/>
  <c r="E94" i="10"/>
  <c r="F94" i="10"/>
  <c r="G94" i="10"/>
  <c r="H94" i="10"/>
  <c r="I94" i="10"/>
  <c r="J94" i="10"/>
  <c r="K94" i="10"/>
  <c r="L94" i="10"/>
  <c r="M94" i="10"/>
  <c r="N94" i="10"/>
  <c r="O94" i="10"/>
  <c r="P94" i="10"/>
  <c r="V94" i="10"/>
  <c r="W94" i="10"/>
  <c r="X94" i="10"/>
  <c r="Y94" i="10"/>
  <c r="Z94" i="10"/>
  <c r="AA94" i="10"/>
  <c r="AB94" i="10"/>
  <c r="AC94" i="10"/>
  <c r="AD94" i="10"/>
  <c r="AE94" i="10"/>
  <c r="AF94" i="10"/>
  <c r="C95" i="10"/>
  <c r="E95" i="10"/>
  <c r="F95" i="10"/>
  <c r="G95" i="10"/>
  <c r="H95" i="10"/>
  <c r="I95" i="10"/>
  <c r="J95" i="10"/>
  <c r="K95" i="10"/>
  <c r="L95" i="10"/>
  <c r="M95" i="10"/>
  <c r="N95" i="10"/>
  <c r="O95" i="10"/>
  <c r="P95" i="10"/>
  <c r="V95" i="10"/>
  <c r="W95" i="10"/>
  <c r="X95" i="10"/>
  <c r="Y95" i="10"/>
  <c r="Z95" i="10"/>
  <c r="AA95" i="10"/>
  <c r="AB95" i="10"/>
  <c r="AC95" i="10"/>
  <c r="AD95" i="10"/>
  <c r="AE95" i="10"/>
  <c r="AF95" i="10"/>
  <c r="C96" i="10"/>
  <c r="E96" i="10"/>
  <c r="F96" i="10"/>
  <c r="G96" i="10"/>
  <c r="H96" i="10"/>
  <c r="I96" i="10"/>
  <c r="J96" i="10"/>
  <c r="K96" i="10"/>
  <c r="L96" i="10"/>
  <c r="M96" i="10"/>
  <c r="N96" i="10"/>
  <c r="O96" i="10"/>
  <c r="P96" i="10"/>
  <c r="V96" i="10"/>
  <c r="W96" i="10"/>
  <c r="X96" i="10"/>
  <c r="Y96" i="10"/>
  <c r="Z96" i="10"/>
  <c r="AA96" i="10"/>
  <c r="AB96" i="10"/>
  <c r="AC96" i="10"/>
  <c r="AD96" i="10"/>
  <c r="AE96" i="10"/>
  <c r="AF96" i="10"/>
  <c r="C97" i="10"/>
  <c r="E97" i="10"/>
  <c r="F97" i="10"/>
  <c r="G97" i="10"/>
  <c r="H97" i="10"/>
  <c r="I97" i="10"/>
  <c r="J97" i="10"/>
  <c r="K97" i="10"/>
  <c r="L97" i="10"/>
  <c r="M97" i="10"/>
  <c r="N97" i="10"/>
  <c r="O97" i="10"/>
  <c r="P97" i="10"/>
  <c r="V97" i="10"/>
  <c r="W97" i="10"/>
  <c r="X97" i="10"/>
  <c r="Y97" i="10"/>
  <c r="Z97" i="10"/>
  <c r="AA97" i="10"/>
  <c r="AB97" i="10"/>
  <c r="AC97" i="10"/>
  <c r="AD97" i="10"/>
  <c r="AE97" i="10"/>
  <c r="AF97" i="10"/>
  <c r="C98" i="10"/>
  <c r="E98" i="10"/>
  <c r="F98" i="10"/>
  <c r="G98" i="10"/>
  <c r="H98" i="10"/>
  <c r="I98" i="10"/>
  <c r="J98" i="10"/>
  <c r="K98" i="10"/>
  <c r="L98" i="10"/>
  <c r="M98" i="10"/>
  <c r="N98" i="10"/>
  <c r="O98" i="10"/>
  <c r="P98" i="10"/>
  <c r="V98" i="10"/>
  <c r="W98" i="10"/>
  <c r="X98" i="10"/>
  <c r="Y98" i="10"/>
  <c r="Z98" i="10"/>
  <c r="AA98" i="10"/>
  <c r="AB98" i="10"/>
  <c r="AC98" i="10"/>
  <c r="AD98" i="10"/>
  <c r="AE98" i="10"/>
  <c r="AF98" i="10"/>
  <c r="C101" i="10"/>
  <c r="E101" i="10"/>
  <c r="F101" i="10"/>
  <c r="G101" i="10"/>
  <c r="H101" i="10"/>
  <c r="I101" i="10"/>
  <c r="J101" i="10"/>
  <c r="K101" i="10"/>
  <c r="L101" i="10"/>
  <c r="M101" i="10"/>
  <c r="N101" i="10"/>
  <c r="O101" i="10"/>
  <c r="P101" i="10"/>
  <c r="V101" i="10"/>
  <c r="W101" i="10"/>
  <c r="X101" i="10"/>
  <c r="Y101" i="10"/>
  <c r="Z101" i="10"/>
  <c r="AA101" i="10"/>
  <c r="AB101" i="10"/>
  <c r="AC101" i="10"/>
  <c r="AD101" i="10"/>
  <c r="AE101" i="10"/>
  <c r="AF101" i="10"/>
  <c r="C102" i="10"/>
  <c r="E102" i="10"/>
  <c r="F102" i="10"/>
  <c r="G102" i="10"/>
  <c r="H102" i="10"/>
  <c r="I102" i="10"/>
  <c r="J102" i="10"/>
  <c r="K102" i="10"/>
  <c r="L102" i="10"/>
  <c r="M102" i="10"/>
  <c r="N102" i="10"/>
  <c r="O102" i="10"/>
  <c r="P102" i="10"/>
  <c r="V102" i="10"/>
  <c r="W102" i="10"/>
  <c r="X102" i="10"/>
  <c r="Y102" i="10"/>
  <c r="Z102" i="10"/>
  <c r="AA102" i="10"/>
  <c r="AB102" i="10"/>
  <c r="AC102" i="10"/>
  <c r="AD102" i="10"/>
  <c r="AE102" i="10"/>
  <c r="AF102" i="10"/>
  <c r="C103" i="10"/>
  <c r="E103" i="10"/>
  <c r="F103" i="10"/>
  <c r="G103" i="10"/>
  <c r="H103" i="10"/>
  <c r="I103" i="10"/>
  <c r="J103" i="10"/>
  <c r="K103" i="10"/>
  <c r="L103" i="10"/>
  <c r="M103" i="10"/>
  <c r="N103" i="10"/>
  <c r="O103" i="10"/>
  <c r="P103" i="10"/>
  <c r="V103" i="10"/>
  <c r="W103" i="10"/>
  <c r="X103" i="10"/>
  <c r="Y103" i="10"/>
  <c r="Z103" i="10"/>
  <c r="AA103" i="10"/>
  <c r="AB103" i="10"/>
  <c r="AC103" i="10"/>
  <c r="AD103" i="10"/>
  <c r="AE103" i="10"/>
  <c r="AF103" i="10"/>
  <c r="C104" i="10"/>
  <c r="E104" i="10"/>
  <c r="F104" i="10"/>
  <c r="G104" i="10"/>
  <c r="H104" i="10"/>
  <c r="I104" i="10"/>
  <c r="J104" i="10"/>
  <c r="K104" i="10"/>
  <c r="L104" i="10"/>
  <c r="M104" i="10"/>
  <c r="N104" i="10"/>
  <c r="O104" i="10"/>
  <c r="P104" i="10"/>
  <c r="V104" i="10"/>
  <c r="W104" i="10"/>
  <c r="X104" i="10"/>
  <c r="Y104" i="10"/>
  <c r="Z104" i="10"/>
  <c r="AA104" i="10"/>
  <c r="AB104" i="10"/>
  <c r="AC104" i="10"/>
  <c r="AD104" i="10"/>
  <c r="AE104" i="10"/>
  <c r="AF104" i="10"/>
  <c r="E106" i="10"/>
  <c r="F106" i="10"/>
  <c r="G106" i="10"/>
  <c r="H106" i="10"/>
  <c r="I106" i="10"/>
  <c r="J106" i="10"/>
  <c r="K106" i="10"/>
  <c r="L106" i="10"/>
  <c r="M106" i="10"/>
  <c r="N106" i="10"/>
  <c r="O106" i="10"/>
  <c r="P106" i="10"/>
  <c r="V106" i="10"/>
  <c r="W106" i="10"/>
  <c r="X106" i="10"/>
  <c r="Y106" i="10"/>
  <c r="Z106" i="10"/>
  <c r="AA106" i="10"/>
  <c r="AB106" i="10"/>
  <c r="AC106" i="10"/>
  <c r="AD106" i="10"/>
  <c r="AE106" i="10"/>
  <c r="AF106" i="10"/>
  <c r="E107" i="10"/>
  <c r="F107" i="10"/>
  <c r="G107" i="10"/>
  <c r="H107" i="10"/>
  <c r="I107" i="10"/>
  <c r="J107" i="10"/>
  <c r="K107" i="10"/>
  <c r="L107" i="10"/>
  <c r="M107" i="10"/>
  <c r="N107" i="10"/>
  <c r="O107" i="10"/>
  <c r="P107" i="10"/>
  <c r="V107" i="10"/>
  <c r="W107" i="10"/>
  <c r="X107" i="10"/>
  <c r="Y107" i="10"/>
  <c r="Z107" i="10"/>
  <c r="AA107" i="10"/>
  <c r="AB107" i="10"/>
  <c r="AC107" i="10"/>
  <c r="AD107" i="10"/>
  <c r="AE107" i="10"/>
  <c r="AF107" i="10"/>
  <c r="C112" i="10"/>
  <c r="E112" i="10"/>
  <c r="F112" i="10"/>
  <c r="G112" i="10"/>
  <c r="H112" i="10"/>
  <c r="I112" i="10"/>
  <c r="J112" i="10"/>
  <c r="K112" i="10"/>
  <c r="L112" i="10"/>
  <c r="M112" i="10"/>
  <c r="N112" i="10"/>
  <c r="O112" i="10"/>
  <c r="P112" i="10"/>
  <c r="V112" i="10"/>
  <c r="W112" i="10"/>
  <c r="X112" i="10"/>
  <c r="Y112" i="10"/>
  <c r="Z112" i="10"/>
  <c r="AA112" i="10"/>
  <c r="AB112" i="10"/>
  <c r="AC112" i="10"/>
  <c r="AD112" i="10"/>
  <c r="AE112" i="10"/>
  <c r="AF112" i="10"/>
  <c r="C113" i="10"/>
  <c r="E113" i="10"/>
  <c r="F113" i="10"/>
  <c r="G113" i="10"/>
  <c r="H113" i="10"/>
  <c r="I113" i="10"/>
  <c r="J113" i="10"/>
  <c r="K113" i="10"/>
  <c r="L113" i="10"/>
  <c r="M113" i="10"/>
  <c r="N113" i="10"/>
  <c r="O113" i="10"/>
  <c r="P113" i="10"/>
  <c r="V113" i="10"/>
  <c r="W113" i="10"/>
  <c r="X113" i="10"/>
  <c r="Y113" i="10"/>
  <c r="Z113" i="10"/>
  <c r="AA113" i="10"/>
  <c r="AB113" i="10"/>
  <c r="AC113" i="10"/>
  <c r="AD113" i="10"/>
  <c r="AE113" i="10"/>
  <c r="AF113" i="10"/>
  <c r="C114" i="10"/>
  <c r="E114" i="10"/>
  <c r="F114" i="10"/>
  <c r="G114" i="10"/>
  <c r="H114" i="10"/>
  <c r="I114" i="10"/>
  <c r="J114" i="10"/>
  <c r="K114" i="10"/>
  <c r="L114" i="10"/>
  <c r="M114" i="10"/>
  <c r="N114" i="10"/>
  <c r="O114" i="10"/>
  <c r="P114" i="10"/>
  <c r="V114" i="10"/>
  <c r="W114" i="10"/>
  <c r="X114" i="10"/>
  <c r="Y114" i="10"/>
  <c r="Z114" i="10"/>
  <c r="AA114" i="10"/>
  <c r="AB114" i="10"/>
  <c r="AC114" i="10"/>
  <c r="AD114" i="10"/>
  <c r="AE114" i="10"/>
  <c r="AF114" i="10"/>
  <c r="C115" i="10"/>
  <c r="E115" i="10"/>
  <c r="F115" i="10"/>
  <c r="G115" i="10"/>
  <c r="H115" i="10"/>
  <c r="I115" i="10"/>
  <c r="J115" i="10"/>
  <c r="K115" i="10"/>
  <c r="L115" i="10"/>
  <c r="M115" i="10"/>
  <c r="N115" i="10"/>
  <c r="O115" i="10"/>
  <c r="P115" i="10"/>
  <c r="V115" i="10"/>
  <c r="W115" i="10"/>
  <c r="X115" i="10"/>
  <c r="Y115" i="10"/>
  <c r="Z115" i="10"/>
  <c r="AA115" i="10"/>
  <c r="AB115" i="10"/>
  <c r="AC115" i="10"/>
  <c r="AD115" i="10"/>
  <c r="AE115" i="10"/>
  <c r="AF115" i="10"/>
  <c r="C116" i="10"/>
  <c r="E116" i="10"/>
  <c r="F116" i="10"/>
  <c r="G116" i="10"/>
  <c r="H116" i="10"/>
  <c r="I116" i="10"/>
  <c r="J116" i="10"/>
  <c r="K116" i="10"/>
  <c r="L116" i="10"/>
  <c r="M116" i="10"/>
  <c r="N116" i="10"/>
  <c r="O116" i="10"/>
  <c r="P116" i="10"/>
  <c r="V116" i="10"/>
  <c r="W116" i="10"/>
  <c r="X116" i="10"/>
  <c r="Y116" i="10"/>
  <c r="Z116" i="10"/>
  <c r="AA116" i="10"/>
  <c r="AB116" i="10"/>
  <c r="AC116" i="10"/>
  <c r="AD116" i="10"/>
  <c r="AE116" i="10"/>
  <c r="AF116" i="10"/>
  <c r="C117" i="10"/>
  <c r="E117" i="10"/>
  <c r="F117" i="10"/>
  <c r="G117" i="10"/>
  <c r="H117" i="10"/>
  <c r="I117" i="10"/>
  <c r="J117" i="10"/>
  <c r="K117" i="10"/>
  <c r="L117" i="10"/>
  <c r="M117" i="10"/>
  <c r="N117" i="10"/>
  <c r="O117" i="10"/>
  <c r="P117" i="10"/>
  <c r="V117" i="10"/>
  <c r="W117" i="10"/>
  <c r="X117" i="10"/>
  <c r="Y117" i="10"/>
  <c r="Z117" i="10"/>
  <c r="AA117" i="10"/>
  <c r="AB117" i="10"/>
  <c r="AC117" i="10"/>
  <c r="AD117" i="10"/>
  <c r="AE117" i="10"/>
  <c r="AF117" i="10"/>
  <c r="C118" i="10"/>
  <c r="E118" i="10"/>
  <c r="F118" i="10"/>
  <c r="G118" i="10"/>
  <c r="H118" i="10"/>
  <c r="I118" i="10"/>
  <c r="J118" i="10"/>
  <c r="K118" i="10"/>
  <c r="L118" i="10"/>
  <c r="M118" i="10"/>
  <c r="N118" i="10"/>
  <c r="O118" i="10"/>
  <c r="P118" i="10"/>
  <c r="V118" i="10"/>
  <c r="W118" i="10"/>
  <c r="X118" i="10"/>
  <c r="Y118" i="10"/>
  <c r="Z118" i="10"/>
  <c r="AA118" i="10"/>
  <c r="AB118" i="10"/>
  <c r="AC118" i="10"/>
  <c r="AD118" i="10"/>
  <c r="AE118" i="10"/>
  <c r="AF118" i="10"/>
  <c r="C121" i="10"/>
  <c r="E121" i="10"/>
  <c r="F121" i="10"/>
  <c r="G121" i="10"/>
  <c r="H121" i="10"/>
  <c r="I121" i="10"/>
  <c r="J121" i="10"/>
  <c r="K121" i="10"/>
  <c r="L121" i="10"/>
  <c r="M121" i="10"/>
  <c r="N121" i="10"/>
  <c r="O121" i="10"/>
  <c r="P121" i="10"/>
  <c r="V121" i="10"/>
  <c r="W121" i="10"/>
  <c r="X121" i="10"/>
  <c r="Y121" i="10"/>
  <c r="Z121" i="10"/>
  <c r="AA121" i="10"/>
  <c r="AB121" i="10"/>
  <c r="AC121" i="10"/>
  <c r="AD121" i="10"/>
  <c r="AE121" i="10"/>
  <c r="AF121" i="10"/>
  <c r="C122" i="10"/>
  <c r="E122" i="10"/>
  <c r="F122" i="10"/>
  <c r="G122" i="10"/>
  <c r="H122" i="10"/>
  <c r="I122" i="10"/>
  <c r="J122" i="10"/>
  <c r="K122" i="10"/>
  <c r="L122" i="10"/>
  <c r="M122" i="10"/>
  <c r="N122" i="10"/>
  <c r="O122" i="10"/>
  <c r="P122" i="10"/>
  <c r="V122" i="10"/>
  <c r="W122" i="10"/>
  <c r="X122" i="10"/>
  <c r="Y122" i="10"/>
  <c r="Z122" i="10"/>
  <c r="AA122" i="10"/>
  <c r="AB122" i="10"/>
  <c r="AC122" i="10"/>
  <c r="AD122" i="10"/>
  <c r="AE122" i="10"/>
  <c r="AF122" i="10"/>
  <c r="C123" i="10"/>
  <c r="E123" i="10"/>
  <c r="F123" i="10"/>
  <c r="G123" i="10"/>
  <c r="H123" i="10"/>
  <c r="I123" i="10"/>
  <c r="J123" i="10"/>
  <c r="K123" i="10"/>
  <c r="L123" i="10"/>
  <c r="M123" i="10"/>
  <c r="N123" i="10"/>
  <c r="O123" i="10"/>
  <c r="P123" i="10"/>
  <c r="V123" i="10"/>
  <c r="W123" i="10"/>
  <c r="X123" i="10"/>
  <c r="Y123" i="10"/>
  <c r="Z123" i="10"/>
  <c r="AA123" i="10"/>
  <c r="AB123" i="10"/>
  <c r="AC123" i="10"/>
  <c r="AD123" i="10"/>
  <c r="AE123" i="10"/>
  <c r="AF123" i="10"/>
  <c r="C124" i="10"/>
  <c r="E124" i="10"/>
  <c r="F124" i="10"/>
  <c r="G124" i="10"/>
  <c r="H124" i="10"/>
  <c r="I124" i="10"/>
  <c r="J124" i="10"/>
  <c r="K124" i="10"/>
  <c r="L124" i="10"/>
  <c r="M124" i="10"/>
  <c r="N124" i="10"/>
  <c r="O124" i="10"/>
  <c r="P124" i="10"/>
  <c r="V124" i="10"/>
  <c r="W124" i="10"/>
  <c r="X124" i="10"/>
  <c r="Y124" i="10"/>
  <c r="Z124" i="10"/>
  <c r="AA124" i="10"/>
  <c r="AB124" i="10"/>
  <c r="AC124" i="10"/>
  <c r="AD124" i="10"/>
  <c r="AE124" i="10"/>
  <c r="AF124" i="10"/>
  <c r="E126" i="10"/>
  <c r="F126" i="10"/>
  <c r="G126" i="10"/>
  <c r="H126" i="10"/>
  <c r="I126" i="10"/>
  <c r="J126" i="10"/>
  <c r="K126" i="10"/>
  <c r="L126" i="10"/>
  <c r="M126" i="10"/>
  <c r="N126" i="10"/>
  <c r="O126" i="10"/>
  <c r="P126" i="10"/>
  <c r="V126" i="10"/>
  <c r="W126" i="10"/>
  <c r="X126" i="10"/>
  <c r="Y126" i="10"/>
  <c r="Z126" i="10"/>
  <c r="AA126" i="10"/>
  <c r="AB126" i="10"/>
  <c r="AC126" i="10"/>
  <c r="AD126" i="10"/>
  <c r="AE126" i="10"/>
  <c r="AF126" i="10"/>
  <c r="E127" i="10"/>
  <c r="F127" i="10"/>
  <c r="G127" i="10"/>
  <c r="H127" i="10"/>
  <c r="I127" i="10"/>
  <c r="J127" i="10"/>
  <c r="K127" i="10"/>
  <c r="L127" i="10"/>
  <c r="M127" i="10"/>
  <c r="N127" i="10"/>
  <c r="O127" i="10"/>
  <c r="P127" i="10"/>
  <c r="V127" i="10"/>
  <c r="W127" i="10"/>
  <c r="X127" i="10"/>
  <c r="Y127" i="10"/>
  <c r="Z127" i="10"/>
  <c r="AA127" i="10"/>
  <c r="AB127" i="10"/>
  <c r="AC127" i="10"/>
  <c r="AD127" i="10"/>
  <c r="AE127" i="10"/>
  <c r="AF127" i="10"/>
  <c r="C132" i="10"/>
  <c r="E132" i="10"/>
  <c r="F132" i="10"/>
  <c r="G132" i="10"/>
  <c r="H132" i="10"/>
  <c r="I132" i="10"/>
  <c r="J132" i="10"/>
  <c r="K132" i="10"/>
  <c r="L132" i="10"/>
  <c r="M132" i="10"/>
  <c r="N132" i="10"/>
  <c r="O132" i="10"/>
  <c r="P132" i="10"/>
  <c r="V132" i="10"/>
  <c r="W132" i="10"/>
  <c r="X132" i="10"/>
  <c r="Y132" i="10"/>
  <c r="Z132" i="10"/>
  <c r="AA132" i="10"/>
  <c r="AB132" i="10"/>
  <c r="AC132" i="10"/>
  <c r="AD132" i="10"/>
  <c r="AE132" i="10"/>
  <c r="C133" i="10"/>
  <c r="E133" i="10"/>
  <c r="F133" i="10"/>
  <c r="G133" i="10"/>
  <c r="H133" i="10"/>
  <c r="I133" i="10"/>
  <c r="J133" i="10"/>
  <c r="K133" i="10"/>
  <c r="L133" i="10"/>
  <c r="M133" i="10"/>
  <c r="N133" i="10"/>
  <c r="O133" i="10"/>
  <c r="P133" i="10"/>
  <c r="V133" i="10"/>
  <c r="W133" i="10"/>
  <c r="X133" i="10"/>
  <c r="Y133" i="10"/>
  <c r="Z133" i="10"/>
  <c r="AA133" i="10"/>
  <c r="AB133" i="10"/>
  <c r="AC133" i="10"/>
  <c r="AD133" i="10"/>
  <c r="AE133" i="10"/>
  <c r="C134" i="10"/>
  <c r="E134" i="10"/>
  <c r="F134" i="10"/>
  <c r="G134" i="10"/>
  <c r="H134" i="10"/>
  <c r="I134" i="10"/>
  <c r="J134" i="10"/>
  <c r="K134" i="10"/>
  <c r="L134" i="10"/>
  <c r="M134" i="10"/>
  <c r="N134" i="10"/>
  <c r="O134" i="10"/>
  <c r="P134" i="10"/>
  <c r="V134" i="10"/>
  <c r="W134" i="10"/>
  <c r="X134" i="10"/>
  <c r="Y134" i="10"/>
  <c r="Z134" i="10"/>
  <c r="AA134" i="10"/>
  <c r="AB134" i="10"/>
  <c r="AC134" i="10"/>
  <c r="AD134" i="10"/>
  <c r="AE134" i="10"/>
  <c r="C135" i="10"/>
  <c r="E135" i="10"/>
  <c r="F135" i="10"/>
  <c r="G135" i="10"/>
  <c r="H135" i="10"/>
  <c r="I135" i="10"/>
  <c r="J135" i="10"/>
  <c r="K135" i="10"/>
  <c r="L135" i="10"/>
  <c r="M135" i="10"/>
  <c r="N135" i="10"/>
  <c r="O135" i="10"/>
  <c r="P135" i="10"/>
  <c r="V135" i="10"/>
  <c r="W135" i="10"/>
  <c r="X135" i="10"/>
  <c r="Y135" i="10"/>
  <c r="Z135" i="10"/>
  <c r="AA135" i="10"/>
  <c r="AB135" i="10"/>
  <c r="AC135" i="10"/>
  <c r="AD135" i="10"/>
  <c r="AE135" i="10"/>
  <c r="C136" i="10"/>
  <c r="E136" i="10"/>
  <c r="F136" i="10"/>
  <c r="G136" i="10"/>
  <c r="H136" i="10"/>
  <c r="I136" i="10"/>
  <c r="J136" i="10"/>
  <c r="K136" i="10"/>
  <c r="L136" i="10"/>
  <c r="M136" i="10"/>
  <c r="N136" i="10"/>
  <c r="O136" i="10"/>
  <c r="P136" i="10"/>
  <c r="V136" i="10"/>
  <c r="W136" i="10"/>
  <c r="X136" i="10"/>
  <c r="Y136" i="10"/>
  <c r="Z136" i="10"/>
  <c r="AA136" i="10"/>
  <c r="AB136" i="10"/>
  <c r="AC136" i="10"/>
  <c r="AD136" i="10"/>
  <c r="AE136" i="10"/>
  <c r="C137" i="10"/>
  <c r="E137" i="10"/>
  <c r="F137" i="10"/>
  <c r="G137" i="10"/>
  <c r="H137" i="10"/>
  <c r="I137" i="10"/>
  <c r="J137" i="10"/>
  <c r="K137" i="10"/>
  <c r="L137" i="10"/>
  <c r="M137" i="10"/>
  <c r="N137" i="10"/>
  <c r="O137" i="10"/>
  <c r="P137" i="10"/>
  <c r="V137" i="10"/>
  <c r="W137" i="10"/>
  <c r="X137" i="10"/>
  <c r="Y137" i="10"/>
  <c r="Z137" i="10"/>
  <c r="AA137" i="10"/>
  <c r="AB137" i="10"/>
  <c r="AC137" i="10"/>
  <c r="AD137" i="10"/>
  <c r="AE137" i="10"/>
  <c r="C138" i="10"/>
  <c r="E138" i="10"/>
  <c r="F138" i="10"/>
  <c r="G138" i="10"/>
  <c r="H138" i="10"/>
  <c r="I138" i="10"/>
  <c r="J138" i="10"/>
  <c r="K138" i="10"/>
  <c r="L138" i="10"/>
  <c r="M138" i="10"/>
  <c r="N138" i="10"/>
  <c r="O138" i="10"/>
  <c r="P138" i="10"/>
  <c r="V138" i="10"/>
  <c r="W138" i="10"/>
  <c r="X138" i="10"/>
  <c r="Y138" i="10"/>
  <c r="Z138" i="10"/>
  <c r="AA138" i="10"/>
  <c r="AB138" i="10"/>
  <c r="AC138" i="10"/>
  <c r="AD138" i="10"/>
  <c r="AE138" i="10"/>
  <c r="C141" i="10"/>
  <c r="E141" i="10"/>
  <c r="F141" i="10"/>
  <c r="G141" i="10"/>
  <c r="H141" i="10"/>
  <c r="I141" i="10"/>
  <c r="J141" i="10"/>
  <c r="K141" i="10"/>
  <c r="L141" i="10"/>
  <c r="M141" i="10"/>
  <c r="N141" i="10"/>
  <c r="O141" i="10"/>
  <c r="P141" i="10"/>
  <c r="V141" i="10"/>
  <c r="W141" i="10"/>
  <c r="X141" i="10"/>
  <c r="Y141" i="10"/>
  <c r="Z141" i="10"/>
  <c r="AA141" i="10"/>
  <c r="AB141" i="10"/>
  <c r="AC141" i="10"/>
  <c r="AD141" i="10"/>
  <c r="AE141" i="10"/>
  <c r="C142" i="10"/>
  <c r="E142" i="10"/>
  <c r="F142" i="10"/>
  <c r="G142" i="10"/>
  <c r="H142" i="10"/>
  <c r="I142" i="10"/>
  <c r="J142" i="10"/>
  <c r="K142" i="10"/>
  <c r="L142" i="10"/>
  <c r="M142" i="10"/>
  <c r="N142" i="10"/>
  <c r="O142" i="10"/>
  <c r="P142" i="10"/>
  <c r="V142" i="10"/>
  <c r="W142" i="10"/>
  <c r="X142" i="10"/>
  <c r="Y142" i="10"/>
  <c r="Z142" i="10"/>
  <c r="AA142" i="10"/>
  <c r="AB142" i="10"/>
  <c r="AC142" i="10"/>
  <c r="AD142" i="10"/>
  <c r="AE142" i="10"/>
  <c r="C143" i="10"/>
  <c r="E143" i="10"/>
  <c r="F143" i="10"/>
  <c r="G143" i="10"/>
  <c r="H143" i="10"/>
  <c r="I143" i="10"/>
  <c r="J143" i="10"/>
  <c r="K143" i="10"/>
  <c r="L143" i="10"/>
  <c r="M143" i="10"/>
  <c r="N143" i="10"/>
  <c r="O143" i="10"/>
  <c r="P143" i="10"/>
  <c r="V143" i="10"/>
  <c r="W143" i="10"/>
  <c r="X143" i="10"/>
  <c r="Y143" i="10"/>
  <c r="Z143" i="10"/>
  <c r="AA143" i="10"/>
  <c r="AB143" i="10"/>
  <c r="AC143" i="10"/>
  <c r="AD143" i="10"/>
  <c r="AE143" i="10"/>
  <c r="C144" i="10"/>
  <c r="E144" i="10"/>
  <c r="F144" i="10"/>
  <c r="G144" i="10"/>
  <c r="H144" i="10"/>
  <c r="I144" i="10"/>
  <c r="J144" i="10"/>
  <c r="K144" i="10"/>
  <c r="L144" i="10"/>
  <c r="M144" i="10"/>
  <c r="N144" i="10"/>
  <c r="O144" i="10"/>
  <c r="P144" i="10"/>
  <c r="V144" i="10"/>
  <c r="W144" i="10"/>
  <c r="X144" i="10"/>
  <c r="Y144" i="10"/>
  <c r="Z144" i="10"/>
  <c r="AA144" i="10"/>
  <c r="AB144" i="10"/>
  <c r="AC144" i="10"/>
  <c r="AD144" i="10"/>
  <c r="AE144" i="10"/>
  <c r="E146" i="10"/>
  <c r="F146" i="10"/>
  <c r="G146" i="10"/>
  <c r="H146" i="10"/>
  <c r="I146" i="10"/>
  <c r="J146" i="10"/>
  <c r="K146" i="10"/>
  <c r="L146" i="10"/>
  <c r="M146" i="10"/>
  <c r="N146" i="10"/>
  <c r="O146" i="10"/>
  <c r="P146" i="10"/>
  <c r="V146" i="10"/>
  <c r="W146" i="10"/>
  <c r="X146" i="10"/>
  <c r="Y146" i="10"/>
  <c r="Z146" i="10"/>
  <c r="AA146" i="10"/>
  <c r="AB146" i="10"/>
  <c r="AC146" i="10"/>
  <c r="AD146" i="10"/>
  <c r="AE146" i="10"/>
  <c r="E147" i="10"/>
  <c r="F147" i="10"/>
  <c r="G147" i="10"/>
  <c r="H147" i="10"/>
  <c r="I147" i="10"/>
  <c r="J147" i="10"/>
  <c r="K147" i="10"/>
  <c r="L147" i="10"/>
  <c r="M147" i="10"/>
  <c r="N147" i="10"/>
  <c r="O147" i="10"/>
  <c r="P147" i="10"/>
  <c r="V147" i="10"/>
  <c r="W147" i="10"/>
  <c r="X147" i="10"/>
  <c r="Y147" i="10"/>
  <c r="Z147" i="10"/>
  <c r="AA147" i="10"/>
  <c r="AB147" i="10"/>
  <c r="AC147" i="10"/>
  <c r="AD147" i="10"/>
  <c r="AE147" i="10"/>
  <c r="C152" i="10"/>
  <c r="E152" i="10"/>
  <c r="F152" i="10"/>
  <c r="G152" i="10"/>
  <c r="H152" i="10"/>
  <c r="I152" i="10"/>
  <c r="J152" i="10"/>
  <c r="K152" i="10"/>
  <c r="L152" i="10"/>
  <c r="M152" i="10"/>
  <c r="N152" i="10"/>
  <c r="O152" i="10"/>
  <c r="P152" i="10"/>
  <c r="V152" i="10"/>
  <c r="W152" i="10"/>
  <c r="X152" i="10"/>
  <c r="Y152" i="10"/>
  <c r="Z152" i="10"/>
  <c r="AA152" i="10"/>
  <c r="AB152" i="10"/>
  <c r="AC152" i="10"/>
  <c r="AD152" i="10"/>
  <c r="AE152" i="10"/>
  <c r="AF152" i="10"/>
  <c r="C153" i="10"/>
  <c r="E153" i="10"/>
  <c r="F153" i="10"/>
  <c r="G153" i="10"/>
  <c r="H153" i="10"/>
  <c r="I153" i="10"/>
  <c r="J153" i="10"/>
  <c r="K153" i="10"/>
  <c r="L153" i="10"/>
  <c r="M153" i="10"/>
  <c r="N153" i="10"/>
  <c r="O153" i="10"/>
  <c r="P153" i="10"/>
  <c r="V153" i="10"/>
  <c r="W153" i="10"/>
  <c r="X153" i="10"/>
  <c r="Y153" i="10"/>
  <c r="Z153" i="10"/>
  <c r="AA153" i="10"/>
  <c r="AB153" i="10"/>
  <c r="AC153" i="10"/>
  <c r="AD153" i="10"/>
  <c r="AE153" i="10"/>
  <c r="AF153" i="10"/>
  <c r="C154" i="10"/>
  <c r="E154" i="10"/>
  <c r="F154" i="10"/>
  <c r="G154" i="10"/>
  <c r="H154" i="10"/>
  <c r="I154" i="10"/>
  <c r="J154" i="10"/>
  <c r="K154" i="10"/>
  <c r="L154" i="10"/>
  <c r="M154" i="10"/>
  <c r="N154" i="10"/>
  <c r="O154" i="10"/>
  <c r="P154" i="10"/>
  <c r="V154" i="10"/>
  <c r="W154" i="10"/>
  <c r="X154" i="10"/>
  <c r="Y154" i="10"/>
  <c r="Z154" i="10"/>
  <c r="AA154" i="10"/>
  <c r="AB154" i="10"/>
  <c r="AC154" i="10"/>
  <c r="AD154" i="10"/>
  <c r="AE154" i="10"/>
  <c r="AF154" i="10"/>
  <c r="C155" i="10"/>
  <c r="E155" i="10"/>
  <c r="F155" i="10"/>
  <c r="G155" i="10"/>
  <c r="H155" i="10"/>
  <c r="I155" i="10"/>
  <c r="J155" i="10"/>
  <c r="K155" i="10"/>
  <c r="L155" i="10"/>
  <c r="M155" i="10"/>
  <c r="N155" i="10"/>
  <c r="O155" i="10"/>
  <c r="P155" i="10"/>
  <c r="V155" i="10"/>
  <c r="W155" i="10"/>
  <c r="X155" i="10"/>
  <c r="Y155" i="10"/>
  <c r="Z155" i="10"/>
  <c r="AA155" i="10"/>
  <c r="AB155" i="10"/>
  <c r="AC155" i="10"/>
  <c r="AD155" i="10"/>
  <c r="AE155" i="10"/>
  <c r="AF155" i="10"/>
  <c r="C156" i="10"/>
  <c r="E156" i="10"/>
  <c r="F156" i="10"/>
  <c r="G156" i="10"/>
  <c r="H156" i="10"/>
  <c r="I156" i="10"/>
  <c r="J156" i="10"/>
  <c r="K156" i="10"/>
  <c r="L156" i="10"/>
  <c r="M156" i="10"/>
  <c r="N156" i="10"/>
  <c r="O156" i="10"/>
  <c r="P156" i="10"/>
  <c r="V156" i="10"/>
  <c r="W156" i="10"/>
  <c r="X156" i="10"/>
  <c r="Y156" i="10"/>
  <c r="Z156" i="10"/>
  <c r="AA156" i="10"/>
  <c r="AB156" i="10"/>
  <c r="AC156" i="10"/>
  <c r="AD156" i="10"/>
  <c r="AE156" i="10"/>
  <c r="AF156" i="10"/>
  <c r="C157" i="10"/>
  <c r="E157" i="10"/>
  <c r="F157" i="10"/>
  <c r="G157" i="10"/>
  <c r="H157" i="10"/>
  <c r="I157" i="10"/>
  <c r="J157" i="10"/>
  <c r="K157" i="10"/>
  <c r="L157" i="10"/>
  <c r="M157" i="10"/>
  <c r="N157" i="10"/>
  <c r="O157" i="10"/>
  <c r="P157" i="10"/>
  <c r="V157" i="10"/>
  <c r="W157" i="10"/>
  <c r="X157" i="10"/>
  <c r="Y157" i="10"/>
  <c r="Z157" i="10"/>
  <c r="AA157" i="10"/>
  <c r="AB157" i="10"/>
  <c r="AC157" i="10"/>
  <c r="AD157" i="10"/>
  <c r="AE157" i="10"/>
  <c r="AF157" i="10"/>
  <c r="C158" i="10"/>
  <c r="E158" i="10"/>
  <c r="F158" i="10"/>
  <c r="G158" i="10"/>
  <c r="H158" i="10"/>
  <c r="I158" i="10"/>
  <c r="J158" i="10"/>
  <c r="K158" i="10"/>
  <c r="L158" i="10"/>
  <c r="M158" i="10"/>
  <c r="N158" i="10"/>
  <c r="O158" i="10"/>
  <c r="P158" i="10"/>
  <c r="V158" i="10"/>
  <c r="W158" i="10"/>
  <c r="X158" i="10"/>
  <c r="Y158" i="10"/>
  <c r="Z158" i="10"/>
  <c r="AA158" i="10"/>
  <c r="AB158" i="10"/>
  <c r="AC158" i="10"/>
  <c r="AD158" i="10"/>
  <c r="AE158" i="10"/>
  <c r="AF158" i="10"/>
  <c r="C161" i="10"/>
  <c r="E161" i="10"/>
  <c r="F161" i="10"/>
  <c r="G161" i="10"/>
  <c r="H161" i="10"/>
  <c r="I161" i="10"/>
  <c r="J161" i="10"/>
  <c r="K161" i="10"/>
  <c r="L161" i="10"/>
  <c r="M161" i="10"/>
  <c r="N161" i="10"/>
  <c r="O161" i="10"/>
  <c r="P161" i="10"/>
  <c r="V161" i="10"/>
  <c r="W161" i="10"/>
  <c r="X161" i="10"/>
  <c r="Y161" i="10"/>
  <c r="Z161" i="10"/>
  <c r="AA161" i="10"/>
  <c r="AB161" i="10"/>
  <c r="AC161" i="10"/>
  <c r="AD161" i="10"/>
  <c r="AE161" i="10"/>
  <c r="AF161" i="10"/>
  <c r="C162" i="10"/>
  <c r="E162" i="10"/>
  <c r="F162" i="10"/>
  <c r="G162" i="10"/>
  <c r="H162" i="10"/>
  <c r="I162" i="10"/>
  <c r="J162" i="10"/>
  <c r="K162" i="10"/>
  <c r="L162" i="10"/>
  <c r="M162" i="10"/>
  <c r="N162" i="10"/>
  <c r="O162" i="10"/>
  <c r="P162" i="10"/>
  <c r="V162" i="10"/>
  <c r="W162" i="10"/>
  <c r="X162" i="10"/>
  <c r="Y162" i="10"/>
  <c r="Z162" i="10"/>
  <c r="AA162" i="10"/>
  <c r="AB162" i="10"/>
  <c r="AC162" i="10"/>
  <c r="AD162" i="10"/>
  <c r="AE162" i="10"/>
  <c r="AF162" i="10"/>
  <c r="C163" i="10"/>
  <c r="E163" i="10"/>
  <c r="F163" i="10"/>
  <c r="G163" i="10"/>
  <c r="H163" i="10"/>
  <c r="I163" i="10"/>
  <c r="J163" i="10"/>
  <c r="K163" i="10"/>
  <c r="L163" i="10"/>
  <c r="M163" i="10"/>
  <c r="N163" i="10"/>
  <c r="O163" i="10"/>
  <c r="P163" i="10"/>
  <c r="V163" i="10"/>
  <c r="W163" i="10"/>
  <c r="X163" i="10"/>
  <c r="Y163" i="10"/>
  <c r="Z163" i="10"/>
  <c r="AA163" i="10"/>
  <c r="AB163" i="10"/>
  <c r="AC163" i="10"/>
  <c r="AD163" i="10"/>
  <c r="AE163" i="10"/>
  <c r="AF163" i="10"/>
  <c r="C164" i="10"/>
  <c r="E164" i="10"/>
  <c r="F164" i="10"/>
  <c r="G164" i="10"/>
  <c r="H164" i="10"/>
  <c r="I164" i="10"/>
  <c r="J164" i="10"/>
  <c r="K164" i="10"/>
  <c r="L164" i="10"/>
  <c r="M164" i="10"/>
  <c r="N164" i="10"/>
  <c r="O164" i="10"/>
  <c r="P164" i="10"/>
  <c r="V164" i="10"/>
  <c r="W164" i="10"/>
  <c r="X164" i="10"/>
  <c r="Y164" i="10"/>
  <c r="Z164" i="10"/>
  <c r="AA164" i="10"/>
  <c r="AB164" i="10"/>
  <c r="AC164" i="10"/>
  <c r="AD164" i="10"/>
  <c r="AE164" i="10"/>
  <c r="AF164" i="10"/>
  <c r="E166" i="10"/>
  <c r="F166" i="10"/>
  <c r="G166" i="10"/>
  <c r="H166" i="10"/>
  <c r="I166" i="10"/>
  <c r="J166" i="10"/>
  <c r="K166" i="10"/>
  <c r="L166" i="10"/>
  <c r="M166" i="10"/>
  <c r="N166" i="10"/>
  <c r="O166" i="10"/>
  <c r="P166" i="10"/>
  <c r="V166" i="10"/>
  <c r="W166" i="10"/>
  <c r="X166" i="10"/>
  <c r="Y166" i="10"/>
  <c r="Z166" i="10"/>
  <c r="AA166" i="10"/>
  <c r="AB166" i="10"/>
  <c r="AC166" i="10"/>
  <c r="AD166" i="10"/>
  <c r="AE166" i="10"/>
  <c r="AF166" i="10"/>
  <c r="E167" i="10"/>
  <c r="F167" i="10"/>
  <c r="G167" i="10"/>
  <c r="H167" i="10"/>
  <c r="I167" i="10"/>
  <c r="J167" i="10"/>
  <c r="K167" i="10"/>
  <c r="L167" i="10"/>
  <c r="M167" i="10"/>
  <c r="N167" i="10"/>
  <c r="O167" i="10"/>
  <c r="P167" i="10"/>
  <c r="V167" i="10"/>
  <c r="W167" i="10"/>
  <c r="X167" i="10"/>
  <c r="Y167" i="10"/>
  <c r="Z167" i="10"/>
  <c r="AA167" i="10"/>
  <c r="AB167" i="10"/>
  <c r="AC167" i="10"/>
  <c r="AD167" i="10"/>
  <c r="AE167" i="10"/>
  <c r="AF167" i="10"/>
  <c r="C172" i="10"/>
  <c r="E172" i="10"/>
  <c r="F172" i="10"/>
  <c r="G172" i="10"/>
  <c r="H172" i="10"/>
  <c r="I172" i="10"/>
  <c r="J172" i="10"/>
  <c r="K172" i="10"/>
  <c r="L172" i="10"/>
  <c r="M172" i="10"/>
  <c r="N172" i="10"/>
  <c r="O172" i="10"/>
  <c r="P172" i="10"/>
  <c r="V172" i="10"/>
  <c r="W172" i="10"/>
  <c r="X172" i="10"/>
  <c r="Y172" i="10"/>
  <c r="Z172" i="10"/>
  <c r="AA172" i="10"/>
  <c r="AB172" i="10"/>
  <c r="AC172" i="10"/>
  <c r="AD172" i="10"/>
  <c r="AE172" i="10"/>
  <c r="C173" i="10"/>
  <c r="E173" i="10"/>
  <c r="F173" i="10"/>
  <c r="G173" i="10"/>
  <c r="H173" i="10"/>
  <c r="I173" i="10"/>
  <c r="J173" i="10"/>
  <c r="K173" i="10"/>
  <c r="L173" i="10"/>
  <c r="M173" i="10"/>
  <c r="N173" i="10"/>
  <c r="O173" i="10"/>
  <c r="P173" i="10"/>
  <c r="V173" i="10"/>
  <c r="W173" i="10"/>
  <c r="X173" i="10"/>
  <c r="Y173" i="10"/>
  <c r="Z173" i="10"/>
  <c r="AA173" i="10"/>
  <c r="AB173" i="10"/>
  <c r="AC173" i="10"/>
  <c r="AD173" i="10"/>
  <c r="AE173" i="10"/>
  <c r="AF173" i="10"/>
  <c r="C174" i="10"/>
  <c r="E174" i="10"/>
  <c r="F174" i="10"/>
  <c r="G174" i="10"/>
  <c r="H174" i="10"/>
  <c r="I174" i="10"/>
  <c r="J174" i="10"/>
  <c r="K174" i="10"/>
  <c r="L174" i="10"/>
  <c r="M174" i="10"/>
  <c r="N174" i="10"/>
  <c r="O174" i="10"/>
  <c r="P174" i="10"/>
  <c r="V174" i="10"/>
  <c r="W174" i="10"/>
  <c r="X174" i="10"/>
  <c r="Y174" i="10"/>
  <c r="Z174" i="10"/>
  <c r="AA174" i="10"/>
  <c r="AB174" i="10"/>
  <c r="AC174" i="10"/>
  <c r="AD174" i="10"/>
  <c r="AE174" i="10"/>
  <c r="AF174" i="10"/>
  <c r="C175" i="10"/>
  <c r="E175" i="10"/>
  <c r="F175" i="10"/>
  <c r="G175" i="10"/>
  <c r="H175" i="10"/>
  <c r="I175" i="10"/>
  <c r="J175" i="10"/>
  <c r="K175" i="10"/>
  <c r="L175" i="10"/>
  <c r="M175" i="10"/>
  <c r="N175" i="10"/>
  <c r="O175" i="10"/>
  <c r="P175" i="10"/>
  <c r="V175" i="10"/>
  <c r="W175" i="10"/>
  <c r="X175" i="10"/>
  <c r="Y175" i="10"/>
  <c r="Z175" i="10"/>
  <c r="AA175" i="10"/>
  <c r="AB175" i="10"/>
  <c r="AC175" i="10"/>
  <c r="AD175" i="10"/>
  <c r="AE175" i="10"/>
  <c r="AF175" i="10"/>
  <c r="C176" i="10"/>
  <c r="E176" i="10"/>
  <c r="F176" i="10"/>
  <c r="G176" i="10"/>
  <c r="H176" i="10"/>
  <c r="I176" i="10"/>
  <c r="J176" i="10"/>
  <c r="K176" i="10"/>
  <c r="L176" i="10"/>
  <c r="M176" i="10"/>
  <c r="N176" i="10"/>
  <c r="O176" i="10"/>
  <c r="P176" i="10"/>
  <c r="V176" i="10"/>
  <c r="W176" i="10"/>
  <c r="X176" i="10"/>
  <c r="Y176" i="10"/>
  <c r="Z176" i="10"/>
  <c r="AA176" i="10"/>
  <c r="AB176" i="10"/>
  <c r="AC176" i="10"/>
  <c r="AD176" i="10"/>
  <c r="AE176" i="10"/>
  <c r="AF176" i="10"/>
  <c r="C177" i="10"/>
  <c r="E177" i="10"/>
  <c r="F177" i="10"/>
  <c r="G177" i="10"/>
  <c r="H177" i="10"/>
  <c r="I177" i="10"/>
  <c r="J177" i="10"/>
  <c r="K177" i="10"/>
  <c r="L177" i="10"/>
  <c r="M177" i="10"/>
  <c r="N177" i="10"/>
  <c r="O177" i="10"/>
  <c r="P177" i="10"/>
  <c r="V177" i="10"/>
  <c r="W177" i="10"/>
  <c r="X177" i="10"/>
  <c r="Y177" i="10"/>
  <c r="Z177" i="10"/>
  <c r="AA177" i="10"/>
  <c r="AB177" i="10"/>
  <c r="AC177" i="10"/>
  <c r="AD177" i="10"/>
  <c r="AE177" i="10"/>
  <c r="AF177" i="10"/>
  <c r="C178" i="10"/>
  <c r="E178" i="10"/>
  <c r="F178" i="10"/>
  <c r="G178" i="10"/>
  <c r="H178" i="10"/>
  <c r="I178" i="10"/>
  <c r="J178" i="10"/>
  <c r="K178" i="10"/>
  <c r="L178" i="10"/>
  <c r="M178" i="10"/>
  <c r="N178" i="10"/>
  <c r="O178" i="10"/>
  <c r="P178" i="10"/>
  <c r="V178" i="10"/>
  <c r="W178" i="10"/>
  <c r="X178" i="10"/>
  <c r="Y178" i="10"/>
  <c r="Z178" i="10"/>
  <c r="AA178" i="10"/>
  <c r="AB178" i="10"/>
  <c r="AC178" i="10"/>
  <c r="AD178" i="10"/>
  <c r="AE178" i="10"/>
  <c r="C181" i="10"/>
  <c r="E181" i="10"/>
  <c r="F181" i="10"/>
  <c r="G181" i="10"/>
  <c r="H181" i="10"/>
  <c r="I181" i="10"/>
  <c r="J181" i="10"/>
  <c r="K181" i="10"/>
  <c r="L181" i="10"/>
  <c r="M181" i="10"/>
  <c r="N181" i="10"/>
  <c r="O181" i="10"/>
  <c r="P181" i="10"/>
  <c r="V181" i="10"/>
  <c r="W181" i="10"/>
  <c r="X181" i="10"/>
  <c r="Y181" i="10"/>
  <c r="Z181" i="10"/>
  <c r="AA181" i="10"/>
  <c r="AB181" i="10"/>
  <c r="AC181" i="10"/>
  <c r="AD181" i="10"/>
  <c r="AE181" i="10"/>
  <c r="AF181" i="10"/>
  <c r="C182" i="10"/>
  <c r="E182" i="10"/>
  <c r="F182" i="10"/>
  <c r="G182" i="10"/>
  <c r="H182" i="10"/>
  <c r="I182" i="10"/>
  <c r="J182" i="10"/>
  <c r="K182" i="10"/>
  <c r="L182" i="10"/>
  <c r="M182" i="10"/>
  <c r="N182" i="10"/>
  <c r="O182" i="10"/>
  <c r="P182" i="10"/>
  <c r="V182" i="10"/>
  <c r="W182" i="10"/>
  <c r="X182" i="10"/>
  <c r="Y182" i="10"/>
  <c r="Z182" i="10"/>
  <c r="AA182" i="10"/>
  <c r="AB182" i="10"/>
  <c r="AC182" i="10"/>
  <c r="AD182" i="10"/>
  <c r="AE182" i="10"/>
  <c r="AF182" i="10"/>
  <c r="C183" i="10"/>
  <c r="E183" i="10"/>
  <c r="F183" i="10"/>
  <c r="G183" i="10"/>
  <c r="H183" i="10"/>
  <c r="I183" i="10"/>
  <c r="J183" i="10"/>
  <c r="K183" i="10"/>
  <c r="L183" i="10"/>
  <c r="M183" i="10"/>
  <c r="N183" i="10"/>
  <c r="O183" i="10"/>
  <c r="P183" i="10"/>
  <c r="V183" i="10"/>
  <c r="W183" i="10"/>
  <c r="X183" i="10"/>
  <c r="Y183" i="10"/>
  <c r="Z183" i="10"/>
  <c r="AA183" i="10"/>
  <c r="AB183" i="10"/>
  <c r="AC183" i="10"/>
  <c r="AD183" i="10"/>
  <c r="AE183" i="10"/>
  <c r="AF183" i="10"/>
  <c r="C184" i="10"/>
  <c r="E184" i="10"/>
  <c r="F184" i="10"/>
  <c r="G184" i="10"/>
  <c r="H184" i="10"/>
  <c r="I184" i="10"/>
  <c r="J184" i="10"/>
  <c r="K184" i="10"/>
  <c r="L184" i="10"/>
  <c r="M184" i="10"/>
  <c r="N184" i="10"/>
  <c r="O184" i="10"/>
  <c r="P184" i="10"/>
  <c r="V184" i="10"/>
  <c r="W184" i="10"/>
  <c r="X184" i="10"/>
  <c r="Y184" i="10"/>
  <c r="Z184" i="10"/>
  <c r="AA184" i="10"/>
  <c r="AB184" i="10"/>
  <c r="AC184" i="10"/>
  <c r="AD184" i="10"/>
  <c r="AE184" i="10"/>
  <c r="AF184" i="10"/>
  <c r="E186" i="10"/>
  <c r="F186" i="10"/>
  <c r="G186" i="10"/>
  <c r="H186" i="10"/>
  <c r="I186" i="10"/>
  <c r="J186" i="10"/>
  <c r="K186" i="10"/>
  <c r="L186" i="10"/>
  <c r="M186" i="10"/>
  <c r="N186" i="10"/>
  <c r="O186" i="10"/>
  <c r="P186" i="10"/>
  <c r="V186" i="10"/>
  <c r="W186" i="10"/>
  <c r="X186" i="10"/>
  <c r="Y186" i="10"/>
  <c r="Z186" i="10"/>
  <c r="AA186" i="10"/>
  <c r="AB186" i="10"/>
  <c r="AC186" i="10"/>
  <c r="AD186" i="10"/>
  <c r="AE186" i="10"/>
  <c r="E187" i="10"/>
  <c r="F187" i="10"/>
  <c r="G187" i="10"/>
  <c r="H187" i="10"/>
  <c r="I187" i="10"/>
  <c r="J187" i="10"/>
  <c r="K187" i="10"/>
  <c r="L187" i="10"/>
  <c r="M187" i="10"/>
  <c r="N187" i="10"/>
  <c r="O187" i="10"/>
  <c r="P187" i="10"/>
  <c r="V187" i="10"/>
  <c r="W187" i="10"/>
  <c r="X187" i="10"/>
  <c r="Y187" i="10"/>
  <c r="Z187" i="10"/>
  <c r="AA187" i="10"/>
  <c r="AB187" i="10"/>
  <c r="AC187" i="10"/>
  <c r="AD187" i="10"/>
  <c r="AE187" i="10"/>
  <c r="C192" i="10"/>
  <c r="E192" i="10"/>
  <c r="F192" i="10"/>
  <c r="G192" i="10"/>
  <c r="H192" i="10"/>
  <c r="I192" i="10"/>
  <c r="J192" i="10"/>
  <c r="K192" i="10"/>
  <c r="L192" i="10"/>
  <c r="M192" i="10"/>
  <c r="N192" i="10"/>
  <c r="O192" i="10"/>
  <c r="P192" i="10"/>
  <c r="V192" i="10"/>
  <c r="W192" i="10"/>
  <c r="X192" i="10"/>
  <c r="Y192" i="10"/>
  <c r="Z192" i="10"/>
  <c r="AA192" i="10"/>
  <c r="AB192" i="10"/>
  <c r="AC192" i="10"/>
  <c r="AD192" i="10"/>
  <c r="AE192" i="10"/>
  <c r="C193" i="10"/>
  <c r="E193" i="10"/>
  <c r="F193" i="10"/>
  <c r="G193" i="10"/>
  <c r="H193" i="10"/>
  <c r="I193" i="10"/>
  <c r="J193" i="10"/>
  <c r="K193" i="10"/>
  <c r="L193" i="10"/>
  <c r="M193" i="10"/>
  <c r="N193" i="10"/>
  <c r="O193" i="10"/>
  <c r="P193" i="10"/>
  <c r="V193" i="10"/>
  <c r="W193" i="10"/>
  <c r="X193" i="10"/>
  <c r="Y193" i="10"/>
  <c r="Z193" i="10"/>
  <c r="AA193" i="10"/>
  <c r="AB193" i="10"/>
  <c r="AC193" i="10"/>
  <c r="AD193" i="10"/>
  <c r="AE193" i="10"/>
  <c r="AF193" i="10"/>
  <c r="C194" i="10"/>
  <c r="E194" i="10"/>
  <c r="F194" i="10"/>
  <c r="G194" i="10"/>
  <c r="H194" i="10"/>
  <c r="I194" i="10"/>
  <c r="J194" i="10"/>
  <c r="K194" i="10"/>
  <c r="L194" i="10"/>
  <c r="M194" i="10"/>
  <c r="N194" i="10"/>
  <c r="O194" i="10"/>
  <c r="P194" i="10"/>
  <c r="V194" i="10"/>
  <c r="W194" i="10"/>
  <c r="X194" i="10"/>
  <c r="Y194" i="10"/>
  <c r="Z194" i="10"/>
  <c r="AA194" i="10"/>
  <c r="AB194" i="10"/>
  <c r="AC194" i="10"/>
  <c r="AD194" i="10"/>
  <c r="AE194" i="10"/>
  <c r="AF194" i="10"/>
  <c r="C195" i="10"/>
  <c r="E195" i="10"/>
  <c r="F195" i="10"/>
  <c r="G195" i="10"/>
  <c r="H195" i="10"/>
  <c r="I195" i="10"/>
  <c r="J195" i="10"/>
  <c r="K195" i="10"/>
  <c r="L195" i="10"/>
  <c r="M195" i="10"/>
  <c r="N195" i="10"/>
  <c r="O195" i="10"/>
  <c r="P195" i="10"/>
  <c r="V195" i="10"/>
  <c r="W195" i="10"/>
  <c r="X195" i="10"/>
  <c r="Y195" i="10"/>
  <c r="Z195" i="10"/>
  <c r="AA195" i="10"/>
  <c r="AB195" i="10"/>
  <c r="AC195" i="10"/>
  <c r="AD195" i="10"/>
  <c r="AE195" i="10"/>
  <c r="AF195" i="10"/>
  <c r="C196" i="10"/>
  <c r="E196" i="10"/>
  <c r="F196" i="10"/>
  <c r="G196" i="10"/>
  <c r="H196" i="10"/>
  <c r="I196" i="10"/>
  <c r="J196" i="10"/>
  <c r="K196" i="10"/>
  <c r="L196" i="10"/>
  <c r="M196" i="10"/>
  <c r="N196" i="10"/>
  <c r="O196" i="10"/>
  <c r="P196" i="10"/>
  <c r="V196" i="10"/>
  <c r="W196" i="10"/>
  <c r="X196" i="10"/>
  <c r="Y196" i="10"/>
  <c r="Z196" i="10"/>
  <c r="AA196" i="10"/>
  <c r="AB196" i="10"/>
  <c r="AC196" i="10"/>
  <c r="AD196" i="10"/>
  <c r="AE196" i="10"/>
  <c r="AF196" i="10"/>
  <c r="C197" i="10"/>
  <c r="E197" i="10"/>
  <c r="F197" i="10"/>
  <c r="G197" i="10"/>
  <c r="H197" i="10"/>
  <c r="I197" i="10"/>
  <c r="J197" i="10"/>
  <c r="K197" i="10"/>
  <c r="L197" i="10"/>
  <c r="M197" i="10"/>
  <c r="N197" i="10"/>
  <c r="O197" i="10"/>
  <c r="P197" i="10"/>
  <c r="V197" i="10"/>
  <c r="W197" i="10"/>
  <c r="X197" i="10"/>
  <c r="Y197" i="10"/>
  <c r="Z197" i="10"/>
  <c r="AA197" i="10"/>
  <c r="AB197" i="10"/>
  <c r="AC197" i="10"/>
  <c r="AD197" i="10"/>
  <c r="AE197" i="10"/>
  <c r="AF197" i="10"/>
  <c r="C198" i="10"/>
  <c r="E198" i="10"/>
  <c r="F198" i="10"/>
  <c r="G198" i="10"/>
  <c r="H198" i="10"/>
  <c r="I198" i="10"/>
  <c r="J198" i="10"/>
  <c r="K198" i="10"/>
  <c r="L198" i="10"/>
  <c r="M198" i="10"/>
  <c r="N198" i="10"/>
  <c r="O198" i="10"/>
  <c r="P198" i="10"/>
  <c r="V198" i="10"/>
  <c r="W198" i="10"/>
  <c r="X198" i="10"/>
  <c r="Y198" i="10"/>
  <c r="Z198" i="10"/>
  <c r="AA198" i="10"/>
  <c r="AB198" i="10"/>
  <c r="AC198" i="10"/>
  <c r="AD198" i="10"/>
  <c r="AE198" i="10"/>
  <c r="C201" i="10"/>
  <c r="E201" i="10"/>
  <c r="F201" i="10"/>
  <c r="G201" i="10"/>
  <c r="H201" i="10"/>
  <c r="I201" i="10"/>
  <c r="J201" i="10"/>
  <c r="K201" i="10"/>
  <c r="L201" i="10"/>
  <c r="M201" i="10"/>
  <c r="N201" i="10"/>
  <c r="O201" i="10"/>
  <c r="P201" i="10"/>
  <c r="V201" i="10"/>
  <c r="W201" i="10"/>
  <c r="X201" i="10"/>
  <c r="Y201" i="10"/>
  <c r="Z201" i="10"/>
  <c r="AA201" i="10"/>
  <c r="AB201" i="10"/>
  <c r="AC201" i="10"/>
  <c r="AD201" i="10"/>
  <c r="AE201" i="10"/>
  <c r="AF201" i="10"/>
  <c r="C202" i="10"/>
  <c r="E202" i="10"/>
  <c r="F202" i="10"/>
  <c r="G202" i="10"/>
  <c r="H202" i="10"/>
  <c r="I202" i="10"/>
  <c r="J202" i="10"/>
  <c r="K202" i="10"/>
  <c r="L202" i="10"/>
  <c r="M202" i="10"/>
  <c r="N202" i="10"/>
  <c r="O202" i="10"/>
  <c r="P202" i="10"/>
  <c r="V202" i="10"/>
  <c r="W202" i="10"/>
  <c r="X202" i="10"/>
  <c r="Y202" i="10"/>
  <c r="Z202" i="10"/>
  <c r="AA202" i="10"/>
  <c r="AB202" i="10"/>
  <c r="AC202" i="10"/>
  <c r="AD202" i="10"/>
  <c r="AE202" i="10"/>
  <c r="AF202" i="10"/>
  <c r="C203" i="10"/>
  <c r="E203" i="10"/>
  <c r="F203" i="10"/>
  <c r="G203" i="10"/>
  <c r="H203" i="10"/>
  <c r="I203" i="10"/>
  <c r="J203" i="10"/>
  <c r="K203" i="10"/>
  <c r="L203" i="10"/>
  <c r="M203" i="10"/>
  <c r="N203" i="10"/>
  <c r="O203" i="10"/>
  <c r="P203" i="10"/>
  <c r="V203" i="10"/>
  <c r="W203" i="10"/>
  <c r="X203" i="10"/>
  <c r="Y203" i="10"/>
  <c r="Z203" i="10"/>
  <c r="AA203" i="10"/>
  <c r="AB203" i="10"/>
  <c r="AC203" i="10"/>
  <c r="AD203" i="10"/>
  <c r="AE203" i="10"/>
  <c r="AF203" i="10"/>
  <c r="C204" i="10"/>
  <c r="E204" i="10"/>
  <c r="F204" i="10"/>
  <c r="G204" i="10"/>
  <c r="H204" i="10"/>
  <c r="I204" i="10"/>
  <c r="J204" i="10"/>
  <c r="K204" i="10"/>
  <c r="L204" i="10"/>
  <c r="M204" i="10"/>
  <c r="N204" i="10"/>
  <c r="O204" i="10"/>
  <c r="P204" i="10"/>
  <c r="V204" i="10"/>
  <c r="W204" i="10"/>
  <c r="X204" i="10"/>
  <c r="Y204" i="10"/>
  <c r="Z204" i="10"/>
  <c r="AA204" i="10"/>
  <c r="AB204" i="10"/>
  <c r="AC204" i="10"/>
  <c r="AD204" i="10"/>
  <c r="AE204" i="10"/>
  <c r="AF204" i="10"/>
  <c r="E206" i="10"/>
  <c r="F206" i="10"/>
  <c r="G206" i="10"/>
  <c r="H206" i="10"/>
  <c r="I206" i="10"/>
  <c r="J206" i="10"/>
  <c r="K206" i="10"/>
  <c r="L206" i="10"/>
  <c r="M206" i="10"/>
  <c r="N206" i="10"/>
  <c r="O206" i="10"/>
  <c r="P206" i="10"/>
  <c r="V206" i="10"/>
  <c r="W206" i="10"/>
  <c r="X206" i="10"/>
  <c r="Y206" i="10"/>
  <c r="Z206" i="10"/>
  <c r="AA206" i="10"/>
  <c r="AB206" i="10"/>
  <c r="AC206" i="10"/>
  <c r="AD206" i="10"/>
  <c r="AE206" i="10"/>
  <c r="AF206" i="10"/>
  <c r="E207" i="10"/>
  <c r="F207" i="10"/>
  <c r="G207" i="10"/>
  <c r="H207" i="10"/>
  <c r="I207" i="10"/>
  <c r="J207" i="10"/>
  <c r="K207" i="10"/>
  <c r="L207" i="10"/>
  <c r="M207" i="10"/>
  <c r="N207" i="10"/>
  <c r="O207" i="10"/>
  <c r="P207" i="10"/>
  <c r="V207" i="10"/>
  <c r="W207" i="10"/>
  <c r="X207" i="10"/>
  <c r="Y207" i="10"/>
  <c r="Z207" i="10"/>
  <c r="AA207" i="10"/>
  <c r="AB207" i="10"/>
  <c r="AC207" i="10"/>
  <c r="AD207" i="10"/>
  <c r="AE207" i="10"/>
  <c r="AF207" i="10"/>
  <c r="C212" i="10"/>
  <c r="E212" i="10"/>
  <c r="F212" i="10"/>
  <c r="G212" i="10"/>
  <c r="H212" i="10"/>
  <c r="I212" i="10"/>
  <c r="J212" i="10"/>
  <c r="K212" i="10"/>
  <c r="L212" i="10"/>
  <c r="M212" i="10"/>
  <c r="N212" i="10"/>
  <c r="O212" i="10"/>
  <c r="P212" i="10"/>
  <c r="V212" i="10"/>
  <c r="W212" i="10"/>
  <c r="X212" i="10"/>
  <c r="Y212" i="10"/>
  <c r="Z212" i="10"/>
  <c r="AA212" i="10"/>
  <c r="AB212" i="10"/>
  <c r="AC212" i="10"/>
  <c r="AD212" i="10"/>
  <c r="AE212" i="10"/>
  <c r="AF212" i="10"/>
  <c r="AG212" i="10"/>
  <c r="C213" i="10"/>
  <c r="E213" i="10"/>
  <c r="F213" i="10"/>
  <c r="G213" i="10"/>
  <c r="H213" i="10"/>
  <c r="I213" i="10"/>
  <c r="J213" i="10"/>
  <c r="K213" i="10"/>
  <c r="L213" i="10"/>
  <c r="M213" i="10"/>
  <c r="N213" i="10"/>
  <c r="O213" i="10"/>
  <c r="P213" i="10"/>
  <c r="V213" i="10"/>
  <c r="W213" i="10"/>
  <c r="X213" i="10"/>
  <c r="Y213" i="10"/>
  <c r="Z213" i="10"/>
  <c r="AA213" i="10"/>
  <c r="AB213" i="10"/>
  <c r="AC213" i="10"/>
  <c r="AD213" i="10"/>
  <c r="AE213" i="10"/>
  <c r="AF213" i="10"/>
  <c r="AG213" i="10"/>
  <c r="C214" i="10"/>
  <c r="E214" i="10"/>
  <c r="F214" i="10"/>
  <c r="G214" i="10"/>
  <c r="H214" i="10"/>
  <c r="I214" i="10"/>
  <c r="J214" i="10"/>
  <c r="K214" i="10"/>
  <c r="L214" i="10"/>
  <c r="M214" i="10"/>
  <c r="N214" i="10"/>
  <c r="O214" i="10"/>
  <c r="P214" i="10"/>
  <c r="V214" i="10"/>
  <c r="W214" i="10"/>
  <c r="X214" i="10"/>
  <c r="Y214" i="10"/>
  <c r="Z214" i="10"/>
  <c r="AA214" i="10"/>
  <c r="AB214" i="10"/>
  <c r="AC214" i="10"/>
  <c r="AD214" i="10"/>
  <c r="AE214" i="10"/>
  <c r="AF214" i="10"/>
  <c r="AG214" i="10"/>
  <c r="C215" i="10"/>
  <c r="E215" i="10"/>
  <c r="F215" i="10"/>
  <c r="G215" i="10"/>
  <c r="H215" i="10"/>
  <c r="I215" i="10"/>
  <c r="J215" i="10"/>
  <c r="K215" i="10"/>
  <c r="L215" i="10"/>
  <c r="M215" i="10"/>
  <c r="N215" i="10"/>
  <c r="O215" i="10"/>
  <c r="P215" i="10"/>
  <c r="V215" i="10"/>
  <c r="W215" i="10"/>
  <c r="X215" i="10"/>
  <c r="Y215" i="10"/>
  <c r="Z215" i="10"/>
  <c r="AA215" i="10"/>
  <c r="AB215" i="10"/>
  <c r="AC215" i="10"/>
  <c r="AD215" i="10"/>
  <c r="AE215" i="10"/>
  <c r="AF215" i="10"/>
  <c r="AG215" i="10"/>
  <c r="C216" i="10"/>
  <c r="E216" i="10"/>
  <c r="F216" i="10"/>
  <c r="G216" i="10"/>
  <c r="H216" i="10"/>
  <c r="I216" i="10"/>
  <c r="J216" i="10"/>
  <c r="K216" i="10"/>
  <c r="L216" i="10"/>
  <c r="M216" i="10"/>
  <c r="N216" i="10"/>
  <c r="O216" i="10"/>
  <c r="P216" i="10"/>
  <c r="V216" i="10"/>
  <c r="W216" i="10"/>
  <c r="X216" i="10"/>
  <c r="Y216" i="10"/>
  <c r="Z216" i="10"/>
  <c r="AA216" i="10"/>
  <c r="AB216" i="10"/>
  <c r="AC216" i="10"/>
  <c r="AD216" i="10"/>
  <c r="AE216" i="10"/>
  <c r="AF216" i="10"/>
  <c r="AG216" i="10"/>
  <c r="C217" i="10"/>
  <c r="E217" i="10"/>
  <c r="F217" i="10"/>
  <c r="G217" i="10"/>
  <c r="H217" i="10"/>
  <c r="I217" i="10"/>
  <c r="J217" i="10"/>
  <c r="K217" i="10"/>
  <c r="L217" i="10"/>
  <c r="M217" i="10"/>
  <c r="N217" i="10"/>
  <c r="O217" i="10"/>
  <c r="P217" i="10"/>
  <c r="V217" i="10"/>
  <c r="W217" i="10"/>
  <c r="X217" i="10"/>
  <c r="Y217" i="10"/>
  <c r="Z217" i="10"/>
  <c r="AA217" i="10"/>
  <c r="AB217" i="10"/>
  <c r="AC217" i="10"/>
  <c r="AD217" i="10"/>
  <c r="AE217" i="10"/>
  <c r="AF217" i="10"/>
  <c r="AG217" i="10"/>
  <c r="C218" i="10"/>
  <c r="E218" i="10"/>
  <c r="F218" i="10"/>
  <c r="G218" i="10"/>
  <c r="H218" i="10"/>
  <c r="I218" i="10"/>
  <c r="J218" i="10"/>
  <c r="K218" i="10"/>
  <c r="L218" i="10"/>
  <c r="M218" i="10"/>
  <c r="N218" i="10"/>
  <c r="O218" i="10"/>
  <c r="P218" i="10"/>
  <c r="V218" i="10"/>
  <c r="W218" i="10"/>
  <c r="X218" i="10"/>
  <c r="Y218" i="10"/>
  <c r="Z218" i="10"/>
  <c r="AA218" i="10"/>
  <c r="AB218" i="10"/>
  <c r="AC218" i="10"/>
  <c r="AD218" i="10"/>
  <c r="AE218" i="10"/>
  <c r="AF218" i="10"/>
  <c r="AG218" i="10"/>
  <c r="C221" i="10"/>
  <c r="E221" i="10"/>
  <c r="F221" i="10"/>
  <c r="G221" i="10"/>
  <c r="H221" i="10"/>
  <c r="I221" i="10"/>
  <c r="J221" i="10"/>
  <c r="K221" i="10"/>
  <c r="L221" i="10"/>
  <c r="M221" i="10"/>
  <c r="N221" i="10"/>
  <c r="O221" i="10"/>
  <c r="P221" i="10"/>
  <c r="V221" i="10"/>
  <c r="W221" i="10"/>
  <c r="X221" i="10"/>
  <c r="Y221" i="10"/>
  <c r="Z221" i="10"/>
  <c r="AA221" i="10"/>
  <c r="AB221" i="10"/>
  <c r="AC221" i="10"/>
  <c r="AD221" i="10"/>
  <c r="AE221" i="10"/>
  <c r="AF221" i="10"/>
  <c r="AG221" i="10"/>
  <c r="C222" i="10"/>
  <c r="E222" i="10"/>
  <c r="F222" i="10"/>
  <c r="G222" i="10"/>
  <c r="H222" i="10"/>
  <c r="I222" i="10"/>
  <c r="J222" i="10"/>
  <c r="K222" i="10"/>
  <c r="L222" i="10"/>
  <c r="M222" i="10"/>
  <c r="N222" i="10"/>
  <c r="O222" i="10"/>
  <c r="P222" i="10"/>
  <c r="V222" i="10"/>
  <c r="W222" i="10"/>
  <c r="X222" i="10"/>
  <c r="Y222" i="10"/>
  <c r="Z222" i="10"/>
  <c r="AA222" i="10"/>
  <c r="AB222" i="10"/>
  <c r="AC222" i="10"/>
  <c r="AD222" i="10"/>
  <c r="AE222" i="10"/>
  <c r="AF222" i="10"/>
  <c r="AG222" i="10"/>
  <c r="C223" i="10"/>
  <c r="E223" i="10"/>
  <c r="F223" i="10"/>
  <c r="G223" i="10"/>
  <c r="H223" i="10"/>
  <c r="I223" i="10"/>
  <c r="J223" i="10"/>
  <c r="K223" i="10"/>
  <c r="L223" i="10"/>
  <c r="M223" i="10"/>
  <c r="N223" i="10"/>
  <c r="O223" i="10"/>
  <c r="P223" i="10"/>
  <c r="V223" i="10"/>
  <c r="W223" i="10"/>
  <c r="X223" i="10"/>
  <c r="Y223" i="10"/>
  <c r="Z223" i="10"/>
  <c r="AA223" i="10"/>
  <c r="AB223" i="10"/>
  <c r="AC223" i="10"/>
  <c r="AD223" i="10"/>
  <c r="AE223" i="10"/>
  <c r="AF223" i="10"/>
  <c r="AG223" i="10"/>
  <c r="C224" i="10"/>
  <c r="E224" i="10"/>
  <c r="F224" i="10"/>
  <c r="G224" i="10"/>
  <c r="H224" i="10"/>
  <c r="I224" i="10"/>
  <c r="J224" i="10"/>
  <c r="K224" i="10"/>
  <c r="L224" i="10"/>
  <c r="M224" i="10"/>
  <c r="N224" i="10"/>
  <c r="O224" i="10"/>
  <c r="P224" i="10"/>
  <c r="V224" i="10"/>
  <c r="W224" i="10"/>
  <c r="X224" i="10"/>
  <c r="Y224" i="10"/>
  <c r="Z224" i="10"/>
  <c r="AA224" i="10"/>
  <c r="AB224" i="10"/>
  <c r="AC224" i="10"/>
  <c r="AD224" i="10"/>
  <c r="AE224" i="10"/>
  <c r="AF224" i="10"/>
  <c r="AG224" i="10"/>
  <c r="E226" i="10"/>
  <c r="F226" i="10"/>
  <c r="G226" i="10"/>
  <c r="H226" i="10"/>
  <c r="I226" i="10"/>
  <c r="J226" i="10"/>
  <c r="K226" i="10"/>
  <c r="L226" i="10"/>
  <c r="M226" i="10"/>
  <c r="N226" i="10"/>
  <c r="O226" i="10"/>
  <c r="P226" i="10"/>
  <c r="V226" i="10"/>
  <c r="W226" i="10"/>
  <c r="X226" i="10"/>
  <c r="Y226" i="10"/>
  <c r="Z226" i="10"/>
  <c r="AA226" i="10"/>
  <c r="AB226" i="10"/>
  <c r="AC226" i="10"/>
  <c r="AD226" i="10"/>
  <c r="AE226" i="10"/>
  <c r="AF226" i="10"/>
  <c r="AG226" i="10"/>
  <c r="E227" i="10"/>
  <c r="F227" i="10"/>
  <c r="G227" i="10"/>
  <c r="H227" i="10"/>
  <c r="I227" i="10"/>
  <c r="J227" i="10"/>
  <c r="K227" i="10"/>
  <c r="L227" i="10"/>
  <c r="M227" i="10"/>
  <c r="N227" i="10"/>
  <c r="O227" i="10"/>
  <c r="P227" i="10"/>
  <c r="V227" i="10"/>
  <c r="W227" i="10"/>
  <c r="X227" i="10"/>
  <c r="Y227" i="10"/>
  <c r="Z227" i="10"/>
  <c r="AA227" i="10"/>
  <c r="AB227" i="10"/>
  <c r="AC227" i="10"/>
  <c r="AD227" i="10"/>
  <c r="AE227" i="10"/>
  <c r="AF227" i="10"/>
  <c r="AG227" i="10"/>
  <c r="C232" i="10"/>
  <c r="F232" i="10"/>
  <c r="G232" i="10"/>
  <c r="H232" i="10"/>
  <c r="I232" i="10"/>
  <c r="J232" i="10"/>
  <c r="K232" i="10"/>
  <c r="L232" i="10"/>
  <c r="M232" i="10"/>
  <c r="N232" i="10"/>
  <c r="O232" i="10"/>
  <c r="P232" i="10"/>
  <c r="W232" i="10"/>
  <c r="X232" i="10"/>
  <c r="Y232" i="10"/>
  <c r="Z232" i="10"/>
  <c r="AA232" i="10"/>
  <c r="AB232" i="10"/>
  <c r="AC232" i="10"/>
  <c r="AD232" i="10"/>
  <c r="AE232" i="10"/>
  <c r="C233" i="10"/>
  <c r="F233" i="10"/>
  <c r="G233" i="10"/>
  <c r="H233" i="10"/>
  <c r="I233" i="10"/>
  <c r="J233" i="10"/>
  <c r="K233" i="10"/>
  <c r="L233" i="10"/>
  <c r="M233" i="10"/>
  <c r="N233" i="10"/>
  <c r="O233" i="10"/>
  <c r="P233" i="10"/>
  <c r="W233" i="10"/>
  <c r="X233" i="10"/>
  <c r="Y233" i="10"/>
  <c r="Z233" i="10"/>
  <c r="AA233" i="10"/>
  <c r="AB233" i="10"/>
  <c r="AC233" i="10"/>
  <c r="AD233" i="10"/>
  <c r="AE233" i="10"/>
  <c r="C234" i="10"/>
  <c r="F234" i="10"/>
  <c r="G234" i="10"/>
  <c r="H234" i="10"/>
  <c r="I234" i="10"/>
  <c r="J234" i="10"/>
  <c r="K234" i="10"/>
  <c r="L234" i="10"/>
  <c r="M234" i="10"/>
  <c r="N234" i="10"/>
  <c r="O234" i="10"/>
  <c r="P234" i="10"/>
  <c r="W234" i="10"/>
  <c r="X234" i="10"/>
  <c r="Y234" i="10"/>
  <c r="Z234" i="10"/>
  <c r="AA234" i="10"/>
  <c r="AB234" i="10"/>
  <c r="AC234" i="10"/>
  <c r="AD234" i="10"/>
  <c r="AE234" i="10"/>
  <c r="C235" i="10"/>
  <c r="F235" i="10"/>
  <c r="G235" i="10"/>
  <c r="H235" i="10"/>
  <c r="I235" i="10"/>
  <c r="J235" i="10"/>
  <c r="K235" i="10"/>
  <c r="L235" i="10"/>
  <c r="M235" i="10"/>
  <c r="N235" i="10"/>
  <c r="O235" i="10"/>
  <c r="P235" i="10"/>
  <c r="W235" i="10"/>
  <c r="X235" i="10"/>
  <c r="Y235" i="10"/>
  <c r="Z235" i="10"/>
  <c r="AA235" i="10"/>
  <c r="AB235" i="10"/>
  <c r="AC235" i="10"/>
  <c r="AD235" i="10"/>
  <c r="AE235" i="10"/>
  <c r="C236" i="10"/>
  <c r="F236" i="10"/>
  <c r="G236" i="10"/>
  <c r="H236" i="10"/>
  <c r="I236" i="10"/>
  <c r="J236" i="10"/>
  <c r="K236" i="10"/>
  <c r="L236" i="10"/>
  <c r="M236" i="10"/>
  <c r="N236" i="10"/>
  <c r="O236" i="10"/>
  <c r="P236" i="10"/>
  <c r="W236" i="10"/>
  <c r="X236" i="10"/>
  <c r="Y236" i="10"/>
  <c r="Z236" i="10"/>
  <c r="AA236" i="10"/>
  <c r="AB236" i="10"/>
  <c r="AC236" i="10"/>
  <c r="AD236" i="10"/>
  <c r="AE236" i="10"/>
  <c r="C237" i="10"/>
  <c r="F237" i="10"/>
  <c r="G237" i="10"/>
  <c r="H237" i="10"/>
  <c r="I237" i="10"/>
  <c r="J237" i="10"/>
  <c r="K237" i="10"/>
  <c r="L237" i="10"/>
  <c r="M237" i="10"/>
  <c r="N237" i="10"/>
  <c r="O237" i="10"/>
  <c r="P237" i="10"/>
  <c r="W237" i="10"/>
  <c r="X237" i="10"/>
  <c r="Y237" i="10"/>
  <c r="Z237" i="10"/>
  <c r="AA237" i="10"/>
  <c r="AB237" i="10"/>
  <c r="AC237" i="10"/>
  <c r="AD237" i="10"/>
  <c r="AE237" i="10"/>
  <c r="C238" i="10"/>
  <c r="F238" i="10"/>
  <c r="G238" i="10"/>
  <c r="H238" i="10"/>
  <c r="I238" i="10"/>
  <c r="J238" i="10"/>
  <c r="K238" i="10"/>
  <c r="L238" i="10"/>
  <c r="M238" i="10"/>
  <c r="N238" i="10"/>
  <c r="O238" i="10"/>
  <c r="P238" i="10"/>
  <c r="W238" i="10"/>
  <c r="X238" i="10"/>
  <c r="Y238" i="10"/>
  <c r="Z238" i="10"/>
  <c r="AA238" i="10"/>
  <c r="AB238" i="10"/>
  <c r="AC238" i="10"/>
  <c r="AD238" i="10"/>
  <c r="AE238" i="10"/>
  <c r="C241" i="10"/>
  <c r="F241" i="10"/>
  <c r="G241" i="10"/>
  <c r="H241" i="10"/>
  <c r="I241" i="10"/>
  <c r="J241" i="10"/>
  <c r="K241" i="10"/>
  <c r="L241" i="10"/>
  <c r="M241" i="10"/>
  <c r="N241" i="10"/>
  <c r="O241" i="10"/>
  <c r="P241" i="10"/>
  <c r="W241" i="10"/>
  <c r="X241" i="10"/>
  <c r="Y241" i="10"/>
  <c r="Z241" i="10"/>
  <c r="AA241" i="10"/>
  <c r="AB241" i="10"/>
  <c r="AC241" i="10"/>
  <c r="AD241" i="10"/>
  <c r="AE241" i="10"/>
  <c r="C242" i="10"/>
  <c r="F242" i="10"/>
  <c r="G242" i="10"/>
  <c r="H242" i="10"/>
  <c r="I242" i="10"/>
  <c r="J242" i="10"/>
  <c r="K242" i="10"/>
  <c r="L242" i="10"/>
  <c r="M242" i="10"/>
  <c r="N242" i="10"/>
  <c r="O242" i="10"/>
  <c r="P242" i="10"/>
  <c r="W242" i="10"/>
  <c r="X242" i="10"/>
  <c r="Y242" i="10"/>
  <c r="Z242" i="10"/>
  <c r="AA242" i="10"/>
  <c r="AB242" i="10"/>
  <c r="AC242" i="10"/>
  <c r="AD242" i="10"/>
  <c r="AE242" i="10"/>
  <c r="C243" i="10"/>
  <c r="F243" i="10"/>
  <c r="G243" i="10"/>
  <c r="H243" i="10"/>
  <c r="I243" i="10"/>
  <c r="J243" i="10"/>
  <c r="K243" i="10"/>
  <c r="L243" i="10"/>
  <c r="M243" i="10"/>
  <c r="N243" i="10"/>
  <c r="O243" i="10"/>
  <c r="P243" i="10"/>
  <c r="W243" i="10"/>
  <c r="X243" i="10"/>
  <c r="Y243" i="10"/>
  <c r="Z243" i="10"/>
  <c r="AA243" i="10"/>
  <c r="AB243" i="10"/>
  <c r="AC243" i="10"/>
  <c r="AD243" i="10"/>
  <c r="AE243" i="10"/>
  <c r="C244" i="10"/>
  <c r="F244" i="10"/>
  <c r="G244" i="10"/>
  <c r="H244" i="10"/>
  <c r="I244" i="10"/>
  <c r="J244" i="10"/>
  <c r="K244" i="10"/>
  <c r="L244" i="10"/>
  <c r="M244" i="10"/>
  <c r="N244" i="10"/>
  <c r="O244" i="10"/>
  <c r="P244" i="10"/>
  <c r="W244" i="10"/>
  <c r="X244" i="10"/>
  <c r="Y244" i="10"/>
  <c r="Z244" i="10"/>
  <c r="AA244" i="10"/>
  <c r="AB244" i="10"/>
  <c r="AC244" i="10"/>
  <c r="AD244" i="10"/>
  <c r="AE244" i="10"/>
  <c r="F246" i="10"/>
  <c r="G246" i="10"/>
  <c r="H246" i="10"/>
  <c r="I246" i="10"/>
  <c r="J246" i="10"/>
  <c r="K246" i="10"/>
  <c r="L246" i="10"/>
  <c r="M246" i="10"/>
  <c r="N246" i="10"/>
  <c r="O246" i="10"/>
  <c r="P246" i="10"/>
  <c r="W246" i="10"/>
  <c r="X246" i="10"/>
  <c r="Y246" i="10"/>
  <c r="Z246" i="10"/>
  <c r="AA246" i="10"/>
  <c r="AB246" i="10"/>
  <c r="AC246" i="10"/>
  <c r="AD246" i="10"/>
  <c r="AE246" i="10"/>
  <c r="F247" i="10"/>
  <c r="G247" i="10"/>
  <c r="H247" i="10"/>
  <c r="I247" i="10"/>
  <c r="J247" i="10"/>
  <c r="K247" i="10"/>
  <c r="L247" i="10"/>
  <c r="M247" i="10"/>
  <c r="N247" i="10"/>
  <c r="O247" i="10"/>
  <c r="P247" i="10"/>
  <c r="W247" i="10"/>
  <c r="X247" i="10"/>
  <c r="Y247" i="10"/>
  <c r="Z247" i="10"/>
  <c r="AA247" i="10"/>
  <c r="AB247" i="10"/>
  <c r="AC247" i="10"/>
  <c r="AD247" i="10"/>
  <c r="AE247" i="10"/>
  <c r="C252" i="10"/>
  <c r="F252" i="10"/>
  <c r="G252" i="10"/>
  <c r="H252" i="10"/>
  <c r="I252" i="10"/>
  <c r="J252" i="10"/>
  <c r="K252" i="10"/>
  <c r="L252" i="10"/>
  <c r="M252" i="10"/>
  <c r="N252" i="10"/>
  <c r="O252" i="10"/>
  <c r="P252" i="10"/>
  <c r="W252" i="10"/>
  <c r="X252" i="10"/>
  <c r="Y252" i="10"/>
  <c r="Z252" i="10"/>
  <c r="AA252" i="10"/>
  <c r="AB252" i="10"/>
  <c r="AC252" i="10"/>
  <c r="AD252" i="10"/>
  <c r="AE252" i="10"/>
  <c r="C253" i="10"/>
  <c r="F253" i="10"/>
  <c r="G253" i="10"/>
  <c r="H253" i="10"/>
  <c r="I253" i="10"/>
  <c r="J253" i="10"/>
  <c r="K253" i="10"/>
  <c r="L253" i="10"/>
  <c r="M253" i="10"/>
  <c r="N253" i="10"/>
  <c r="O253" i="10"/>
  <c r="P253" i="10"/>
  <c r="W253" i="10"/>
  <c r="X253" i="10"/>
  <c r="Y253" i="10"/>
  <c r="Z253" i="10"/>
  <c r="AA253" i="10"/>
  <c r="AB253" i="10"/>
  <c r="AC253" i="10"/>
  <c r="AD253" i="10"/>
  <c r="AE253" i="10"/>
  <c r="C254" i="10"/>
  <c r="F254" i="10"/>
  <c r="G254" i="10"/>
  <c r="H254" i="10"/>
  <c r="I254" i="10"/>
  <c r="J254" i="10"/>
  <c r="K254" i="10"/>
  <c r="L254" i="10"/>
  <c r="M254" i="10"/>
  <c r="N254" i="10"/>
  <c r="O254" i="10"/>
  <c r="P254" i="10"/>
  <c r="W254" i="10"/>
  <c r="X254" i="10"/>
  <c r="Y254" i="10"/>
  <c r="Z254" i="10"/>
  <c r="AA254" i="10"/>
  <c r="AB254" i="10"/>
  <c r="AC254" i="10"/>
  <c r="AD254" i="10"/>
  <c r="AE254" i="10"/>
  <c r="C255" i="10"/>
  <c r="F255" i="10"/>
  <c r="G255" i="10"/>
  <c r="H255" i="10"/>
  <c r="I255" i="10"/>
  <c r="J255" i="10"/>
  <c r="K255" i="10"/>
  <c r="L255" i="10"/>
  <c r="M255" i="10"/>
  <c r="N255" i="10"/>
  <c r="O255" i="10"/>
  <c r="P255" i="10"/>
  <c r="W255" i="10"/>
  <c r="X255" i="10"/>
  <c r="Y255" i="10"/>
  <c r="Z255" i="10"/>
  <c r="AA255" i="10"/>
  <c r="AB255" i="10"/>
  <c r="AC255" i="10"/>
  <c r="AD255" i="10"/>
  <c r="AE255" i="10"/>
  <c r="C256" i="10"/>
  <c r="F256" i="10"/>
  <c r="G256" i="10"/>
  <c r="H256" i="10"/>
  <c r="I256" i="10"/>
  <c r="J256" i="10"/>
  <c r="K256" i="10"/>
  <c r="L256" i="10"/>
  <c r="M256" i="10"/>
  <c r="N256" i="10"/>
  <c r="O256" i="10"/>
  <c r="P256" i="10"/>
  <c r="W256" i="10"/>
  <c r="X256" i="10"/>
  <c r="Y256" i="10"/>
  <c r="Z256" i="10"/>
  <c r="AA256" i="10"/>
  <c r="AB256" i="10"/>
  <c r="AC256" i="10"/>
  <c r="AD256" i="10"/>
  <c r="AE256" i="10"/>
  <c r="C257" i="10"/>
  <c r="F257" i="10"/>
  <c r="G257" i="10"/>
  <c r="H257" i="10"/>
  <c r="I257" i="10"/>
  <c r="J257" i="10"/>
  <c r="K257" i="10"/>
  <c r="L257" i="10"/>
  <c r="M257" i="10"/>
  <c r="N257" i="10"/>
  <c r="O257" i="10"/>
  <c r="P257" i="10"/>
  <c r="W257" i="10"/>
  <c r="X257" i="10"/>
  <c r="Y257" i="10"/>
  <c r="Z257" i="10"/>
  <c r="AA257" i="10"/>
  <c r="AB257" i="10"/>
  <c r="AC257" i="10"/>
  <c r="AD257" i="10"/>
  <c r="AE257" i="10"/>
  <c r="C258" i="10"/>
  <c r="F258" i="10"/>
  <c r="G258" i="10"/>
  <c r="H258" i="10"/>
  <c r="I258" i="10"/>
  <c r="J258" i="10"/>
  <c r="K258" i="10"/>
  <c r="L258" i="10"/>
  <c r="M258" i="10"/>
  <c r="N258" i="10"/>
  <c r="O258" i="10"/>
  <c r="P258" i="10"/>
  <c r="W258" i="10"/>
  <c r="X258" i="10"/>
  <c r="Y258" i="10"/>
  <c r="Z258" i="10"/>
  <c r="AA258" i="10"/>
  <c r="AB258" i="10"/>
  <c r="AC258" i="10"/>
  <c r="AD258" i="10"/>
  <c r="AE258" i="10"/>
  <c r="C261" i="10"/>
  <c r="F261" i="10"/>
  <c r="G261" i="10"/>
  <c r="H261" i="10"/>
  <c r="I261" i="10"/>
  <c r="J261" i="10"/>
  <c r="K261" i="10"/>
  <c r="L261" i="10"/>
  <c r="M261" i="10"/>
  <c r="N261" i="10"/>
  <c r="O261" i="10"/>
  <c r="P261" i="10"/>
  <c r="W261" i="10"/>
  <c r="X261" i="10"/>
  <c r="Y261" i="10"/>
  <c r="Z261" i="10"/>
  <c r="AA261" i="10"/>
  <c r="AB261" i="10"/>
  <c r="AC261" i="10"/>
  <c r="AD261" i="10"/>
  <c r="AE261" i="10"/>
  <c r="C262" i="10"/>
  <c r="F262" i="10"/>
  <c r="G262" i="10"/>
  <c r="H262" i="10"/>
  <c r="I262" i="10"/>
  <c r="J262" i="10"/>
  <c r="K262" i="10"/>
  <c r="L262" i="10"/>
  <c r="M262" i="10"/>
  <c r="N262" i="10"/>
  <c r="O262" i="10"/>
  <c r="P262" i="10"/>
  <c r="W262" i="10"/>
  <c r="X262" i="10"/>
  <c r="Y262" i="10"/>
  <c r="Z262" i="10"/>
  <c r="AA262" i="10"/>
  <c r="AB262" i="10"/>
  <c r="AC262" i="10"/>
  <c r="AD262" i="10"/>
  <c r="AE262" i="10"/>
  <c r="C263" i="10"/>
  <c r="F263" i="10"/>
  <c r="G263" i="10"/>
  <c r="H263" i="10"/>
  <c r="I263" i="10"/>
  <c r="J263" i="10"/>
  <c r="K263" i="10"/>
  <c r="L263" i="10"/>
  <c r="M263" i="10"/>
  <c r="N263" i="10"/>
  <c r="O263" i="10"/>
  <c r="P263" i="10"/>
  <c r="W263" i="10"/>
  <c r="X263" i="10"/>
  <c r="Y263" i="10"/>
  <c r="Z263" i="10"/>
  <c r="AA263" i="10"/>
  <c r="AB263" i="10"/>
  <c r="AC263" i="10"/>
  <c r="AD263" i="10"/>
  <c r="AE263" i="10"/>
  <c r="C264" i="10"/>
  <c r="F264" i="10"/>
  <c r="G264" i="10"/>
  <c r="H264" i="10"/>
  <c r="I264" i="10"/>
  <c r="J264" i="10"/>
  <c r="K264" i="10"/>
  <c r="L264" i="10"/>
  <c r="M264" i="10"/>
  <c r="N264" i="10"/>
  <c r="O264" i="10"/>
  <c r="P264" i="10"/>
  <c r="W264" i="10"/>
  <c r="X264" i="10"/>
  <c r="Y264" i="10"/>
  <c r="Z264" i="10"/>
  <c r="AA264" i="10"/>
  <c r="AB264" i="10"/>
  <c r="AC264" i="10"/>
  <c r="AD264" i="10"/>
  <c r="AE264" i="10"/>
  <c r="F266" i="10"/>
  <c r="G266" i="10"/>
  <c r="H266" i="10"/>
  <c r="I266" i="10"/>
  <c r="J266" i="10"/>
  <c r="K266" i="10"/>
  <c r="L266" i="10"/>
  <c r="M266" i="10"/>
  <c r="N266" i="10"/>
  <c r="O266" i="10"/>
  <c r="P266" i="10"/>
  <c r="W266" i="10"/>
  <c r="X266" i="10"/>
  <c r="Y266" i="10"/>
  <c r="Z266" i="10"/>
  <c r="AA266" i="10"/>
  <c r="AB266" i="10"/>
  <c r="AC266" i="10"/>
  <c r="AD266" i="10"/>
  <c r="AE266" i="10"/>
  <c r="F267" i="10"/>
  <c r="G267" i="10"/>
  <c r="H267" i="10"/>
  <c r="I267" i="10"/>
  <c r="J267" i="10"/>
  <c r="K267" i="10"/>
  <c r="L267" i="10"/>
  <c r="M267" i="10"/>
  <c r="N267" i="10"/>
  <c r="O267" i="10"/>
  <c r="P267" i="10"/>
  <c r="W267" i="10"/>
  <c r="X267" i="10"/>
  <c r="Y267" i="10"/>
  <c r="Z267" i="10"/>
  <c r="AA267" i="10"/>
  <c r="AB267" i="10"/>
  <c r="AC267" i="10"/>
  <c r="AD267" i="10"/>
  <c r="AE267" i="10"/>
  <c r="C273" i="10"/>
  <c r="E273" i="10"/>
  <c r="F273" i="10"/>
  <c r="G273" i="10"/>
  <c r="H273" i="10"/>
  <c r="I273" i="10"/>
  <c r="J273" i="10"/>
  <c r="K273" i="10"/>
  <c r="L273" i="10"/>
  <c r="M273" i="10"/>
  <c r="N273" i="10"/>
  <c r="O273" i="10"/>
  <c r="P273" i="10"/>
  <c r="V273" i="10"/>
  <c r="W273" i="10"/>
  <c r="X273" i="10"/>
  <c r="Y273" i="10"/>
  <c r="Z273" i="10"/>
  <c r="AA273" i="10"/>
  <c r="AB273" i="10"/>
  <c r="AC273" i="10"/>
  <c r="AD273" i="10"/>
  <c r="AE273" i="10"/>
  <c r="AG273" i="10"/>
  <c r="C274" i="10"/>
  <c r="E274" i="10"/>
  <c r="F274" i="10"/>
  <c r="G274" i="10"/>
  <c r="H274" i="10"/>
  <c r="I274" i="10"/>
  <c r="J274" i="10"/>
  <c r="K274" i="10"/>
  <c r="L274" i="10"/>
  <c r="M274" i="10"/>
  <c r="N274" i="10"/>
  <c r="O274" i="10"/>
  <c r="P274" i="10"/>
  <c r="V274" i="10"/>
  <c r="W274" i="10"/>
  <c r="X274" i="10"/>
  <c r="Y274" i="10"/>
  <c r="Z274" i="10"/>
  <c r="AA274" i="10"/>
  <c r="AB274" i="10"/>
  <c r="AC274" i="10"/>
  <c r="AD274" i="10"/>
  <c r="AE274" i="10"/>
  <c r="AG274" i="10"/>
  <c r="C275" i="10"/>
  <c r="E275" i="10"/>
  <c r="F275" i="10"/>
  <c r="G275" i="10"/>
  <c r="H275" i="10"/>
  <c r="I275" i="10"/>
  <c r="J275" i="10"/>
  <c r="K275" i="10"/>
  <c r="L275" i="10"/>
  <c r="M275" i="10"/>
  <c r="N275" i="10"/>
  <c r="O275" i="10"/>
  <c r="P275" i="10"/>
  <c r="V275" i="10"/>
  <c r="W275" i="10"/>
  <c r="X275" i="10"/>
  <c r="Y275" i="10"/>
  <c r="Z275" i="10"/>
  <c r="AA275" i="10"/>
  <c r="AB275" i="10"/>
  <c r="AC275" i="10"/>
  <c r="AD275" i="10"/>
  <c r="AE275" i="10"/>
  <c r="AG275" i="10"/>
  <c r="C276" i="10"/>
  <c r="E276" i="10"/>
  <c r="F276" i="10"/>
  <c r="G276" i="10"/>
  <c r="H276" i="10"/>
  <c r="I276" i="10"/>
  <c r="J276" i="10"/>
  <c r="K276" i="10"/>
  <c r="L276" i="10"/>
  <c r="M276" i="10"/>
  <c r="N276" i="10"/>
  <c r="O276" i="10"/>
  <c r="P276" i="10"/>
  <c r="V276" i="10"/>
  <c r="W276" i="10"/>
  <c r="X276" i="10"/>
  <c r="Y276" i="10"/>
  <c r="Z276" i="10"/>
  <c r="AA276" i="10"/>
  <c r="AB276" i="10"/>
  <c r="AC276" i="10"/>
  <c r="AD276" i="10"/>
  <c r="AE276" i="10"/>
  <c r="AG276" i="10"/>
  <c r="C277" i="10"/>
  <c r="E277" i="10"/>
  <c r="F277" i="10"/>
  <c r="G277" i="10"/>
  <c r="H277" i="10"/>
  <c r="I277" i="10"/>
  <c r="J277" i="10"/>
  <c r="K277" i="10"/>
  <c r="L277" i="10"/>
  <c r="M277" i="10"/>
  <c r="N277" i="10"/>
  <c r="O277" i="10"/>
  <c r="P277" i="10"/>
  <c r="V277" i="10"/>
  <c r="W277" i="10"/>
  <c r="X277" i="10"/>
  <c r="Y277" i="10"/>
  <c r="Z277" i="10"/>
  <c r="AA277" i="10"/>
  <c r="AB277" i="10"/>
  <c r="AC277" i="10"/>
  <c r="AD277" i="10"/>
  <c r="AE277" i="10"/>
  <c r="AG277" i="10"/>
  <c r="C278" i="10"/>
  <c r="E278" i="10"/>
  <c r="F278" i="10"/>
  <c r="G278" i="10"/>
  <c r="H278" i="10"/>
  <c r="I278" i="10"/>
  <c r="J278" i="10"/>
  <c r="K278" i="10"/>
  <c r="L278" i="10"/>
  <c r="M278" i="10"/>
  <c r="N278" i="10"/>
  <c r="O278" i="10"/>
  <c r="P278" i="10"/>
  <c r="V278" i="10"/>
  <c r="W278" i="10"/>
  <c r="X278" i="10"/>
  <c r="Y278" i="10"/>
  <c r="Z278" i="10"/>
  <c r="AA278" i="10"/>
  <c r="AB278" i="10"/>
  <c r="AC278" i="10"/>
  <c r="AD278" i="10"/>
  <c r="AE278" i="10"/>
  <c r="AG278" i="10"/>
  <c r="C279" i="10"/>
  <c r="E279" i="10"/>
  <c r="F279" i="10"/>
  <c r="G279" i="10"/>
  <c r="H279" i="10"/>
  <c r="I279" i="10"/>
  <c r="J279" i="10"/>
  <c r="K279" i="10"/>
  <c r="L279" i="10"/>
  <c r="M279" i="10"/>
  <c r="N279" i="10"/>
  <c r="O279" i="10"/>
  <c r="P279" i="10"/>
  <c r="V279" i="10"/>
  <c r="W279" i="10"/>
  <c r="X279" i="10"/>
  <c r="Y279" i="10"/>
  <c r="Z279" i="10"/>
  <c r="AA279" i="10"/>
  <c r="AB279" i="10"/>
  <c r="AC279" i="10"/>
  <c r="AD279" i="10"/>
  <c r="AE279" i="10"/>
  <c r="AG279" i="10"/>
  <c r="C282" i="10"/>
  <c r="E282" i="10"/>
  <c r="F282" i="10"/>
  <c r="G282" i="10"/>
  <c r="H282" i="10"/>
  <c r="I282" i="10"/>
  <c r="J282" i="10"/>
  <c r="K282" i="10"/>
  <c r="L282" i="10"/>
  <c r="M282" i="10"/>
  <c r="N282" i="10"/>
  <c r="O282" i="10"/>
  <c r="P282" i="10"/>
  <c r="V282" i="10"/>
  <c r="W282" i="10"/>
  <c r="X282" i="10"/>
  <c r="Y282" i="10"/>
  <c r="Z282" i="10"/>
  <c r="AA282" i="10"/>
  <c r="AB282" i="10"/>
  <c r="AC282" i="10"/>
  <c r="AD282" i="10"/>
  <c r="AE282" i="10"/>
  <c r="AG282" i="10"/>
  <c r="C283" i="10"/>
  <c r="E283" i="10"/>
  <c r="F283" i="10"/>
  <c r="G283" i="10"/>
  <c r="H283" i="10"/>
  <c r="I283" i="10"/>
  <c r="J283" i="10"/>
  <c r="K283" i="10"/>
  <c r="L283" i="10"/>
  <c r="M283" i="10"/>
  <c r="N283" i="10"/>
  <c r="O283" i="10"/>
  <c r="P283" i="10"/>
  <c r="V283" i="10"/>
  <c r="W283" i="10"/>
  <c r="X283" i="10"/>
  <c r="Y283" i="10"/>
  <c r="Z283" i="10"/>
  <c r="AA283" i="10"/>
  <c r="AB283" i="10"/>
  <c r="AC283" i="10"/>
  <c r="AD283" i="10"/>
  <c r="AE283" i="10"/>
  <c r="AG283" i="10"/>
  <c r="C284" i="10"/>
  <c r="E284" i="10"/>
  <c r="F284" i="10"/>
  <c r="G284" i="10"/>
  <c r="H284" i="10"/>
  <c r="I284" i="10"/>
  <c r="J284" i="10"/>
  <c r="K284" i="10"/>
  <c r="L284" i="10"/>
  <c r="M284" i="10"/>
  <c r="N284" i="10"/>
  <c r="O284" i="10"/>
  <c r="P284" i="10"/>
  <c r="V284" i="10"/>
  <c r="W284" i="10"/>
  <c r="X284" i="10"/>
  <c r="Y284" i="10"/>
  <c r="Z284" i="10"/>
  <c r="AA284" i="10"/>
  <c r="AB284" i="10"/>
  <c r="AC284" i="10"/>
  <c r="AD284" i="10"/>
  <c r="AE284" i="10"/>
  <c r="AG284" i="10"/>
  <c r="C285" i="10"/>
  <c r="E285" i="10"/>
  <c r="F285" i="10"/>
  <c r="G285" i="10"/>
  <c r="H285" i="10"/>
  <c r="I285" i="10"/>
  <c r="J285" i="10"/>
  <c r="K285" i="10"/>
  <c r="L285" i="10"/>
  <c r="M285" i="10"/>
  <c r="N285" i="10"/>
  <c r="O285" i="10"/>
  <c r="P285" i="10"/>
  <c r="V285" i="10"/>
  <c r="W285" i="10"/>
  <c r="X285" i="10"/>
  <c r="Y285" i="10"/>
  <c r="Z285" i="10"/>
  <c r="AA285" i="10"/>
  <c r="AB285" i="10"/>
  <c r="AC285" i="10"/>
  <c r="AD285" i="10"/>
  <c r="AE285" i="10"/>
  <c r="AG285" i="10"/>
  <c r="AG287" i="10"/>
  <c r="AG288" i="10"/>
  <c r="C293" i="10"/>
  <c r="E293" i="10"/>
  <c r="F293" i="10"/>
  <c r="G293" i="10"/>
  <c r="H293" i="10"/>
  <c r="I293" i="10"/>
  <c r="J293" i="10"/>
  <c r="K293" i="10"/>
  <c r="L293" i="10"/>
  <c r="M293" i="10"/>
  <c r="N293" i="10"/>
  <c r="O293" i="10"/>
  <c r="P293" i="10"/>
  <c r="V293" i="10"/>
  <c r="W293" i="10"/>
  <c r="X293" i="10"/>
  <c r="Y293" i="10"/>
  <c r="Z293" i="10"/>
  <c r="AA293" i="10"/>
  <c r="AB293" i="10"/>
  <c r="AC293" i="10"/>
  <c r="AD293" i="10"/>
  <c r="AE293" i="10"/>
  <c r="AG293" i="10"/>
  <c r="C294" i="10"/>
  <c r="E294" i="10"/>
  <c r="F294" i="10"/>
  <c r="G294" i="10"/>
  <c r="H294" i="10"/>
  <c r="I294" i="10"/>
  <c r="J294" i="10"/>
  <c r="K294" i="10"/>
  <c r="L294" i="10"/>
  <c r="M294" i="10"/>
  <c r="N294" i="10"/>
  <c r="O294" i="10"/>
  <c r="P294" i="10"/>
  <c r="V294" i="10"/>
  <c r="W294" i="10"/>
  <c r="X294" i="10"/>
  <c r="Y294" i="10"/>
  <c r="Z294" i="10"/>
  <c r="AA294" i="10"/>
  <c r="AB294" i="10"/>
  <c r="AC294" i="10"/>
  <c r="AD294" i="10"/>
  <c r="AE294" i="10"/>
  <c r="AG294" i="10"/>
  <c r="C295" i="10"/>
  <c r="E295" i="10"/>
  <c r="F295" i="10"/>
  <c r="G295" i="10"/>
  <c r="H295" i="10"/>
  <c r="I295" i="10"/>
  <c r="J295" i="10"/>
  <c r="K295" i="10"/>
  <c r="L295" i="10"/>
  <c r="M295" i="10"/>
  <c r="N295" i="10"/>
  <c r="O295" i="10"/>
  <c r="P295" i="10"/>
  <c r="V295" i="10"/>
  <c r="W295" i="10"/>
  <c r="X295" i="10"/>
  <c r="Y295" i="10"/>
  <c r="Z295" i="10"/>
  <c r="AA295" i="10"/>
  <c r="AB295" i="10"/>
  <c r="AC295" i="10"/>
  <c r="AD295" i="10"/>
  <c r="AE295" i="10"/>
  <c r="AG295" i="10"/>
  <c r="C296" i="10"/>
  <c r="E296" i="10"/>
  <c r="F296" i="10"/>
  <c r="G296" i="10"/>
  <c r="H296" i="10"/>
  <c r="I296" i="10"/>
  <c r="J296" i="10"/>
  <c r="K296" i="10"/>
  <c r="L296" i="10"/>
  <c r="M296" i="10"/>
  <c r="N296" i="10"/>
  <c r="O296" i="10"/>
  <c r="P296" i="10"/>
  <c r="V296" i="10"/>
  <c r="W296" i="10"/>
  <c r="X296" i="10"/>
  <c r="Y296" i="10"/>
  <c r="Z296" i="10"/>
  <c r="AA296" i="10"/>
  <c r="AB296" i="10"/>
  <c r="AC296" i="10"/>
  <c r="AD296" i="10"/>
  <c r="AE296" i="10"/>
  <c r="AG296" i="10"/>
  <c r="C297" i="10"/>
  <c r="E297" i="10"/>
  <c r="F297" i="10"/>
  <c r="G297" i="10"/>
  <c r="H297" i="10"/>
  <c r="I297" i="10"/>
  <c r="J297" i="10"/>
  <c r="K297" i="10"/>
  <c r="L297" i="10"/>
  <c r="M297" i="10"/>
  <c r="N297" i="10"/>
  <c r="O297" i="10"/>
  <c r="P297" i="10"/>
  <c r="V297" i="10"/>
  <c r="W297" i="10"/>
  <c r="X297" i="10"/>
  <c r="Y297" i="10"/>
  <c r="Z297" i="10"/>
  <c r="AA297" i="10"/>
  <c r="AB297" i="10"/>
  <c r="AC297" i="10"/>
  <c r="AD297" i="10"/>
  <c r="AE297" i="10"/>
  <c r="AG297" i="10"/>
  <c r="C298" i="10"/>
  <c r="E298" i="10"/>
  <c r="F298" i="10"/>
  <c r="G298" i="10"/>
  <c r="H298" i="10"/>
  <c r="I298" i="10"/>
  <c r="J298" i="10"/>
  <c r="K298" i="10"/>
  <c r="L298" i="10"/>
  <c r="M298" i="10"/>
  <c r="N298" i="10"/>
  <c r="O298" i="10"/>
  <c r="P298" i="10"/>
  <c r="V298" i="10"/>
  <c r="W298" i="10"/>
  <c r="X298" i="10"/>
  <c r="Y298" i="10"/>
  <c r="Z298" i="10"/>
  <c r="AA298" i="10"/>
  <c r="AB298" i="10"/>
  <c r="AC298" i="10"/>
  <c r="AD298" i="10"/>
  <c r="AE298" i="10"/>
  <c r="AG298" i="10"/>
  <c r="C299" i="10"/>
  <c r="E299" i="10"/>
  <c r="F299" i="10"/>
  <c r="G299" i="10"/>
  <c r="H299" i="10"/>
  <c r="I299" i="10"/>
  <c r="J299" i="10"/>
  <c r="K299" i="10"/>
  <c r="L299" i="10"/>
  <c r="M299" i="10"/>
  <c r="N299" i="10"/>
  <c r="O299" i="10"/>
  <c r="P299" i="10"/>
  <c r="V299" i="10"/>
  <c r="W299" i="10"/>
  <c r="X299" i="10"/>
  <c r="Y299" i="10"/>
  <c r="Z299" i="10"/>
  <c r="AA299" i="10"/>
  <c r="AB299" i="10"/>
  <c r="AC299" i="10"/>
  <c r="AD299" i="10"/>
  <c r="AE299" i="10"/>
  <c r="AG299" i="10"/>
  <c r="C302" i="10"/>
  <c r="E302" i="10"/>
  <c r="F302" i="10"/>
  <c r="G302" i="10"/>
  <c r="H302" i="10"/>
  <c r="I302" i="10"/>
  <c r="J302" i="10"/>
  <c r="K302" i="10"/>
  <c r="L302" i="10"/>
  <c r="M302" i="10"/>
  <c r="N302" i="10"/>
  <c r="O302" i="10"/>
  <c r="P302" i="10"/>
  <c r="V302" i="10"/>
  <c r="W302" i="10"/>
  <c r="X302" i="10"/>
  <c r="Y302" i="10"/>
  <c r="Z302" i="10"/>
  <c r="AA302" i="10"/>
  <c r="AB302" i="10"/>
  <c r="AC302" i="10"/>
  <c r="AD302" i="10"/>
  <c r="AE302" i="10"/>
  <c r="AG302" i="10"/>
  <c r="C303" i="10"/>
  <c r="E303" i="10"/>
  <c r="F303" i="10"/>
  <c r="G303" i="10"/>
  <c r="H303" i="10"/>
  <c r="I303" i="10"/>
  <c r="J303" i="10"/>
  <c r="K303" i="10"/>
  <c r="L303" i="10"/>
  <c r="M303" i="10"/>
  <c r="N303" i="10"/>
  <c r="O303" i="10"/>
  <c r="P303" i="10"/>
  <c r="V303" i="10"/>
  <c r="W303" i="10"/>
  <c r="X303" i="10"/>
  <c r="Y303" i="10"/>
  <c r="Z303" i="10"/>
  <c r="AA303" i="10"/>
  <c r="AB303" i="10"/>
  <c r="AC303" i="10"/>
  <c r="AD303" i="10"/>
  <c r="AE303" i="10"/>
  <c r="AG303" i="10"/>
  <c r="C304" i="10"/>
  <c r="E304" i="10"/>
  <c r="F304" i="10"/>
  <c r="G304" i="10"/>
  <c r="H304" i="10"/>
  <c r="I304" i="10"/>
  <c r="J304" i="10"/>
  <c r="K304" i="10"/>
  <c r="L304" i="10"/>
  <c r="M304" i="10"/>
  <c r="N304" i="10"/>
  <c r="O304" i="10"/>
  <c r="P304" i="10"/>
  <c r="V304" i="10"/>
  <c r="W304" i="10"/>
  <c r="X304" i="10"/>
  <c r="Y304" i="10"/>
  <c r="Z304" i="10"/>
  <c r="AA304" i="10"/>
  <c r="AB304" i="10"/>
  <c r="AC304" i="10"/>
  <c r="AD304" i="10"/>
  <c r="AE304" i="10"/>
  <c r="AG304" i="10"/>
  <c r="C305" i="10"/>
  <c r="E305" i="10"/>
  <c r="F305" i="10"/>
  <c r="G305" i="10"/>
  <c r="H305" i="10"/>
  <c r="I305" i="10"/>
  <c r="J305" i="10"/>
  <c r="K305" i="10"/>
  <c r="L305" i="10"/>
  <c r="M305" i="10"/>
  <c r="N305" i="10"/>
  <c r="O305" i="10"/>
  <c r="P305" i="10"/>
  <c r="V305" i="10"/>
  <c r="W305" i="10"/>
  <c r="X305" i="10"/>
  <c r="Y305" i="10"/>
  <c r="Z305" i="10"/>
  <c r="AA305" i="10"/>
  <c r="AB305" i="10"/>
  <c r="AC305" i="10"/>
  <c r="AD305" i="10"/>
  <c r="AE305" i="10"/>
  <c r="AG305" i="10"/>
  <c r="AG307" i="10"/>
  <c r="AG308" i="10"/>
  <c r="C313" i="10"/>
  <c r="E313" i="10"/>
  <c r="F313" i="10"/>
  <c r="G313" i="10"/>
  <c r="H313" i="10"/>
  <c r="I313" i="10"/>
  <c r="J313" i="10"/>
  <c r="K313" i="10"/>
  <c r="L313" i="10"/>
  <c r="M313" i="10"/>
  <c r="N313" i="10"/>
  <c r="O313" i="10"/>
  <c r="P313" i="10"/>
  <c r="Q313" i="10"/>
  <c r="R313" i="10"/>
  <c r="S313" i="10"/>
  <c r="T313" i="10"/>
  <c r="V313" i="10"/>
  <c r="W313" i="10"/>
  <c r="X313" i="10"/>
  <c r="Y313" i="10"/>
  <c r="Z313" i="10"/>
  <c r="AA313" i="10"/>
  <c r="AB313" i="10"/>
  <c r="AC313" i="10"/>
  <c r="AD313" i="10"/>
  <c r="AE313" i="10"/>
  <c r="AG313" i="10"/>
  <c r="AH313" i="10"/>
  <c r="AI313" i="10"/>
  <c r="AJ313" i="10"/>
  <c r="C314" i="10"/>
  <c r="E314" i="10"/>
  <c r="F314" i="10"/>
  <c r="G314" i="10"/>
  <c r="H314" i="10"/>
  <c r="I314" i="10"/>
  <c r="J314" i="10"/>
  <c r="K314" i="10"/>
  <c r="L314" i="10"/>
  <c r="M314" i="10"/>
  <c r="N314" i="10"/>
  <c r="O314" i="10"/>
  <c r="P314" i="10"/>
  <c r="Q314" i="10"/>
  <c r="R314" i="10"/>
  <c r="S314" i="10"/>
  <c r="T314" i="10"/>
  <c r="V314" i="10"/>
  <c r="W314" i="10"/>
  <c r="X314" i="10"/>
  <c r="Y314" i="10"/>
  <c r="Z314" i="10"/>
  <c r="AA314" i="10"/>
  <c r="AB314" i="10"/>
  <c r="AC314" i="10"/>
  <c r="AD314" i="10"/>
  <c r="AE314" i="10"/>
  <c r="AG314" i="10"/>
  <c r="AH314" i="10"/>
  <c r="AI314" i="10"/>
  <c r="AJ314" i="10"/>
  <c r="C315" i="10"/>
  <c r="E315" i="10"/>
  <c r="F315" i="10"/>
  <c r="G315" i="10"/>
  <c r="H315" i="10"/>
  <c r="I315" i="10"/>
  <c r="J315" i="10"/>
  <c r="K315" i="10"/>
  <c r="L315" i="10"/>
  <c r="M315" i="10"/>
  <c r="N315" i="10"/>
  <c r="O315" i="10"/>
  <c r="P315" i="10"/>
  <c r="Q315" i="10"/>
  <c r="R315" i="10"/>
  <c r="S315" i="10"/>
  <c r="T315" i="10"/>
  <c r="V315" i="10"/>
  <c r="W315" i="10"/>
  <c r="X315" i="10"/>
  <c r="Y315" i="10"/>
  <c r="Z315" i="10"/>
  <c r="AA315" i="10"/>
  <c r="AB315" i="10"/>
  <c r="AC315" i="10"/>
  <c r="AD315" i="10"/>
  <c r="AE315" i="10"/>
  <c r="AG315" i="10"/>
  <c r="AH315" i="10"/>
  <c r="AI315" i="10"/>
  <c r="AJ315" i="10"/>
  <c r="C316" i="10"/>
  <c r="E316" i="10"/>
  <c r="F316" i="10"/>
  <c r="G316" i="10"/>
  <c r="H316" i="10"/>
  <c r="I316" i="10"/>
  <c r="J316" i="10"/>
  <c r="K316" i="10"/>
  <c r="L316" i="10"/>
  <c r="M316" i="10"/>
  <c r="N316" i="10"/>
  <c r="O316" i="10"/>
  <c r="P316" i="10"/>
  <c r="Q316" i="10"/>
  <c r="R316" i="10"/>
  <c r="S316" i="10"/>
  <c r="T316" i="10"/>
  <c r="V316" i="10"/>
  <c r="W316" i="10"/>
  <c r="X316" i="10"/>
  <c r="Y316" i="10"/>
  <c r="Z316" i="10"/>
  <c r="AA316" i="10"/>
  <c r="AB316" i="10"/>
  <c r="AC316" i="10"/>
  <c r="AD316" i="10"/>
  <c r="AE316" i="10"/>
  <c r="AG316" i="10"/>
  <c r="AH316" i="10"/>
  <c r="AI316" i="10"/>
  <c r="AJ316" i="10"/>
  <c r="C317" i="10"/>
  <c r="E317" i="10"/>
  <c r="F317" i="10"/>
  <c r="G317" i="10"/>
  <c r="H317" i="10"/>
  <c r="I317" i="10"/>
  <c r="J317" i="10"/>
  <c r="K317" i="10"/>
  <c r="L317" i="10"/>
  <c r="M317" i="10"/>
  <c r="N317" i="10"/>
  <c r="O317" i="10"/>
  <c r="P317" i="10"/>
  <c r="Q317" i="10"/>
  <c r="R317" i="10"/>
  <c r="S317" i="10"/>
  <c r="T317" i="10"/>
  <c r="V317" i="10"/>
  <c r="W317" i="10"/>
  <c r="X317" i="10"/>
  <c r="Y317" i="10"/>
  <c r="Z317" i="10"/>
  <c r="AA317" i="10"/>
  <c r="AB317" i="10"/>
  <c r="AC317" i="10"/>
  <c r="AD317" i="10"/>
  <c r="AE317" i="10"/>
  <c r="AG317" i="10"/>
  <c r="AH317" i="10"/>
  <c r="AI317" i="10"/>
  <c r="AJ317" i="10"/>
  <c r="C318" i="10"/>
  <c r="E318" i="10"/>
  <c r="F318" i="10"/>
  <c r="G318" i="10"/>
  <c r="H318" i="10"/>
  <c r="I318" i="10"/>
  <c r="J318" i="10"/>
  <c r="K318" i="10"/>
  <c r="L318" i="10"/>
  <c r="M318" i="10"/>
  <c r="N318" i="10"/>
  <c r="O318" i="10"/>
  <c r="P318" i="10"/>
  <c r="Q318" i="10"/>
  <c r="R318" i="10"/>
  <c r="S318" i="10"/>
  <c r="T318" i="10"/>
  <c r="V318" i="10"/>
  <c r="W318" i="10"/>
  <c r="X318" i="10"/>
  <c r="Y318" i="10"/>
  <c r="Z318" i="10"/>
  <c r="AA318" i="10"/>
  <c r="AB318" i="10"/>
  <c r="AC318" i="10"/>
  <c r="AD318" i="10"/>
  <c r="AE318" i="10"/>
  <c r="AG318" i="10"/>
  <c r="AH318" i="10"/>
  <c r="AI318" i="10"/>
  <c r="AJ318" i="10"/>
  <c r="C319" i="10"/>
  <c r="E319" i="10"/>
  <c r="F319" i="10"/>
  <c r="G319" i="10"/>
  <c r="H319" i="10"/>
  <c r="I319" i="10"/>
  <c r="J319" i="10"/>
  <c r="K319" i="10"/>
  <c r="L319" i="10"/>
  <c r="M319" i="10"/>
  <c r="N319" i="10"/>
  <c r="O319" i="10"/>
  <c r="P319" i="10"/>
  <c r="Q319" i="10"/>
  <c r="R319" i="10"/>
  <c r="S319" i="10"/>
  <c r="T319" i="10"/>
  <c r="V319" i="10"/>
  <c r="W319" i="10"/>
  <c r="X319" i="10"/>
  <c r="Y319" i="10"/>
  <c r="Z319" i="10"/>
  <c r="AA319" i="10"/>
  <c r="AB319" i="10"/>
  <c r="AC319" i="10"/>
  <c r="AD319" i="10"/>
  <c r="AE319" i="10"/>
  <c r="AG319" i="10"/>
  <c r="AH319" i="10"/>
  <c r="AI319" i="10"/>
  <c r="AJ319" i="10"/>
  <c r="C322" i="10"/>
  <c r="E322" i="10"/>
  <c r="F322" i="10"/>
  <c r="G322" i="10"/>
  <c r="H322" i="10"/>
  <c r="I322" i="10"/>
  <c r="J322" i="10"/>
  <c r="K322" i="10"/>
  <c r="L322" i="10"/>
  <c r="M322" i="10"/>
  <c r="N322" i="10"/>
  <c r="O322" i="10"/>
  <c r="P322" i="10"/>
  <c r="Q322" i="10"/>
  <c r="R322" i="10"/>
  <c r="S322" i="10"/>
  <c r="T322" i="10"/>
  <c r="V322" i="10"/>
  <c r="W322" i="10"/>
  <c r="X322" i="10"/>
  <c r="Y322" i="10"/>
  <c r="Z322" i="10"/>
  <c r="AA322" i="10"/>
  <c r="AB322" i="10"/>
  <c r="AC322" i="10"/>
  <c r="AD322" i="10"/>
  <c r="AE322" i="10"/>
  <c r="AG322" i="10"/>
  <c r="AH322" i="10"/>
  <c r="AI322" i="10"/>
  <c r="AJ322" i="10"/>
  <c r="C323" i="10"/>
  <c r="E323" i="10"/>
  <c r="F323" i="10"/>
  <c r="G323" i="10"/>
  <c r="H323" i="10"/>
  <c r="I323" i="10"/>
  <c r="J323" i="10"/>
  <c r="K323" i="10"/>
  <c r="L323" i="10"/>
  <c r="M323" i="10"/>
  <c r="N323" i="10"/>
  <c r="O323" i="10"/>
  <c r="P323" i="10"/>
  <c r="Q323" i="10"/>
  <c r="R323" i="10"/>
  <c r="S323" i="10"/>
  <c r="T323" i="10"/>
  <c r="V323" i="10"/>
  <c r="W323" i="10"/>
  <c r="X323" i="10"/>
  <c r="Y323" i="10"/>
  <c r="Z323" i="10"/>
  <c r="AA323" i="10"/>
  <c r="AB323" i="10"/>
  <c r="AC323" i="10"/>
  <c r="AD323" i="10"/>
  <c r="AE323" i="10"/>
  <c r="AG323" i="10"/>
  <c r="AH323" i="10"/>
  <c r="AI323" i="10"/>
  <c r="AJ323" i="10"/>
  <c r="C324" i="10"/>
  <c r="E324" i="10"/>
  <c r="F324" i="10"/>
  <c r="G324" i="10"/>
  <c r="H324" i="10"/>
  <c r="I324" i="10"/>
  <c r="J324" i="10"/>
  <c r="K324" i="10"/>
  <c r="L324" i="10"/>
  <c r="M324" i="10"/>
  <c r="N324" i="10"/>
  <c r="O324" i="10"/>
  <c r="P324" i="10"/>
  <c r="Q324" i="10"/>
  <c r="R324" i="10"/>
  <c r="S324" i="10"/>
  <c r="T324" i="10"/>
  <c r="V324" i="10"/>
  <c r="W324" i="10"/>
  <c r="X324" i="10"/>
  <c r="Y324" i="10"/>
  <c r="Z324" i="10"/>
  <c r="AA324" i="10"/>
  <c r="AB324" i="10"/>
  <c r="AC324" i="10"/>
  <c r="AD324" i="10"/>
  <c r="AE324" i="10"/>
  <c r="AG324" i="10"/>
  <c r="AH324" i="10"/>
  <c r="AI324" i="10"/>
  <c r="AJ324" i="10"/>
  <c r="C325" i="10"/>
  <c r="E325" i="10"/>
  <c r="F325" i="10"/>
  <c r="G325" i="10"/>
  <c r="H325" i="10"/>
  <c r="I325" i="10"/>
  <c r="J325" i="10"/>
  <c r="K325" i="10"/>
  <c r="L325" i="10"/>
  <c r="M325" i="10"/>
  <c r="N325" i="10"/>
  <c r="O325" i="10"/>
  <c r="P325" i="10"/>
  <c r="Q325" i="10"/>
  <c r="R325" i="10"/>
  <c r="S325" i="10"/>
  <c r="T325" i="10"/>
  <c r="V325" i="10"/>
  <c r="W325" i="10"/>
  <c r="X325" i="10"/>
  <c r="Y325" i="10"/>
  <c r="Z325" i="10"/>
  <c r="AA325" i="10"/>
  <c r="AB325" i="10"/>
  <c r="AC325" i="10"/>
  <c r="AD325" i="10"/>
  <c r="AE325" i="10"/>
  <c r="AG325" i="10"/>
  <c r="AH325" i="10"/>
  <c r="AI325" i="10"/>
  <c r="AJ325" i="10"/>
  <c r="C333" i="10"/>
  <c r="E333" i="10"/>
  <c r="F333" i="10"/>
  <c r="G333" i="10"/>
  <c r="H333" i="10"/>
  <c r="I333" i="10"/>
  <c r="J333" i="10"/>
  <c r="K333" i="10"/>
  <c r="L333" i="10"/>
  <c r="M333" i="10"/>
  <c r="N333" i="10"/>
  <c r="O333" i="10"/>
  <c r="P333" i="10"/>
  <c r="V333" i="10"/>
  <c r="W333" i="10"/>
  <c r="X333" i="10"/>
  <c r="Y333" i="10"/>
  <c r="Z333" i="10"/>
  <c r="AA333" i="10"/>
  <c r="AB333" i="10"/>
  <c r="AC333" i="10"/>
  <c r="AD333" i="10"/>
  <c r="AE333" i="10"/>
  <c r="AG333" i="10"/>
  <c r="AH333" i="10"/>
  <c r="AI333" i="10"/>
  <c r="AJ333" i="10"/>
  <c r="C334" i="10"/>
  <c r="E334" i="10"/>
  <c r="F334" i="10"/>
  <c r="G334" i="10"/>
  <c r="H334" i="10"/>
  <c r="I334" i="10"/>
  <c r="J334" i="10"/>
  <c r="K334" i="10"/>
  <c r="L334" i="10"/>
  <c r="M334" i="10"/>
  <c r="N334" i="10"/>
  <c r="O334" i="10"/>
  <c r="P334" i="10"/>
  <c r="V334" i="10"/>
  <c r="W334" i="10"/>
  <c r="X334" i="10"/>
  <c r="Y334" i="10"/>
  <c r="Z334" i="10"/>
  <c r="AA334" i="10"/>
  <c r="AB334" i="10"/>
  <c r="AC334" i="10"/>
  <c r="AD334" i="10"/>
  <c r="AE334" i="10"/>
  <c r="AG334" i="10"/>
  <c r="AH334" i="10"/>
  <c r="AI334" i="10"/>
  <c r="AJ334" i="10"/>
  <c r="C335" i="10"/>
  <c r="E335" i="10"/>
  <c r="F335" i="10"/>
  <c r="G335" i="10"/>
  <c r="H335" i="10"/>
  <c r="I335" i="10"/>
  <c r="J335" i="10"/>
  <c r="K335" i="10"/>
  <c r="L335" i="10"/>
  <c r="M335" i="10"/>
  <c r="N335" i="10"/>
  <c r="O335" i="10"/>
  <c r="P335" i="10"/>
  <c r="V335" i="10"/>
  <c r="W335" i="10"/>
  <c r="X335" i="10"/>
  <c r="Y335" i="10"/>
  <c r="Z335" i="10"/>
  <c r="AA335" i="10"/>
  <c r="AB335" i="10"/>
  <c r="AC335" i="10"/>
  <c r="AD335" i="10"/>
  <c r="AE335" i="10"/>
  <c r="AG335" i="10"/>
  <c r="AH335" i="10"/>
  <c r="AI335" i="10"/>
  <c r="AJ335" i="10"/>
  <c r="C336" i="10"/>
  <c r="E336" i="10"/>
  <c r="F336" i="10"/>
  <c r="G336" i="10"/>
  <c r="H336" i="10"/>
  <c r="I336" i="10"/>
  <c r="J336" i="10"/>
  <c r="K336" i="10"/>
  <c r="L336" i="10"/>
  <c r="M336" i="10"/>
  <c r="N336" i="10"/>
  <c r="O336" i="10"/>
  <c r="P336" i="10"/>
  <c r="V336" i="10"/>
  <c r="W336" i="10"/>
  <c r="X336" i="10"/>
  <c r="Y336" i="10"/>
  <c r="Z336" i="10"/>
  <c r="AA336" i="10"/>
  <c r="AB336" i="10"/>
  <c r="AC336" i="10"/>
  <c r="AD336" i="10"/>
  <c r="AE336" i="10"/>
  <c r="AG336" i="10"/>
  <c r="AH336" i="10"/>
  <c r="AI336" i="10"/>
  <c r="AJ336" i="10"/>
  <c r="C337" i="10"/>
  <c r="E337" i="10"/>
  <c r="F337" i="10"/>
  <c r="G337" i="10"/>
  <c r="H337" i="10"/>
  <c r="I337" i="10"/>
  <c r="J337" i="10"/>
  <c r="K337" i="10"/>
  <c r="L337" i="10"/>
  <c r="M337" i="10"/>
  <c r="N337" i="10"/>
  <c r="O337" i="10"/>
  <c r="P337" i="10"/>
  <c r="V337" i="10"/>
  <c r="W337" i="10"/>
  <c r="X337" i="10"/>
  <c r="Y337" i="10"/>
  <c r="Z337" i="10"/>
  <c r="AA337" i="10"/>
  <c r="AB337" i="10"/>
  <c r="AC337" i="10"/>
  <c r="AD337" i="10"/>
  <c r="AE337" i="10"/>
  <c r="AG337" i="10"/>
  <c r="AH337" i="10"/>
  <c r="AI337" i="10"/>
  <c r="AJ337" i="10"/>
  <c r="C338" i="10"/>
  <c r="E338" i="10"/>
  <c r="F338" i="10"/>
  <c r="G338" i="10"/>
  <c r="H338" i="10"/>
  <c r="I338" i="10"/>
  <c r="J338" i="10"/>
  <c r="K338" i="10"/>
  <c r="L338" i="10"/>
  <c r="M338" i="10"/>
  <c r="N338" i="10"/>
  <c r="O338" i="10"/>
  <c r="P338" i="10"/>
  <c r="V338" i="10"/>
  <c r="W338" i="10"/>
  <c r="X338" i="10"/>
  <c r="Y338" i="10"/>
  <c r="Z338" i="10"/>
  <c r="AA338" i="10"/>
  <c r="AB338" i="10"/>
  <c r="AC338" i="10"/>
  <c r="AD338" i="10"/>
  <c r="AE338" i="10"/>
  <c r="AG338" i="10"/>
  <c r="AH338" i="10"/>
  <c r="AI338" i="10"/>
  <c r="AJ338" i="10"/>
  <c r="C339" i="10"/>
  <c r="E339" i="10"/>
  <c r="F339" i="10"/>
  <c r="G339" i="10"/>
  <c r="H339" i="10"/>
  <c r="I339" i="10"/>
  <c r="J339" i="10"/>
  <c r="K339" i="10"/>
  <c r="L339" i="10"/>
  <c r="M339" i="10"/>
  <c r="N339" i="10"/>
  <c r="O339" i="10"/>
  <c r="P339" i="10"/>
  <c r="V339" i="10"/>
  <c r="W339" i="10"/>
  <c r="X339" i="10"/>
  <c r="Y339" i="10"/>
  <c r="Z339" i="10"/>
  <c r="AA339" i="10"/>
  <c r="AB339" i="10"/>
  <c r="AC339" i="10"/>
  <c r="AD339" i="10"/>
  <c r="AE339" i="10"/>
  <c r="AG339" i="10"/>
  <c r="AH339" i="10"/>
  <c r="AI339" i="10"/>
  <c r="AJ339" i="10"/>
  <c r="C342" i="10"/>
  <c r="E342" i="10"/>
  <c r="F342" i="10"/>
  <c r="G342" i="10"/>
  <c r="H342" i="10"/>
  <c r="I342" i="10"/>
  <c r="J342" i="10"/>
  <c r="K342" i="10"/>
  <c r="L342" i="10"/>
  <c r="M342" i="10"/>
  <c r="N342" i="10"/>
  <c r="O342" i="10"/>
  <c r="P342" i="10"/>
  <c r="V342" i="10"/>
  <c r="W342" i="10"/>
  <c r="X342" i="10"/>
  <c r="Y342" i="10"/>
  <c r="Z342" i="10"/>
  <c r="AA342" i="10"/>
  <c r="AB342" i="10"/>
  <c r="AC342" i="10"/>
  <c r="AD342" i="10"/>
  <c r="AE342" i="10"/>
  <c r="AG342" i="10"/>
  <c r="AH342" i="10"/>
  <c r="AI342" i="10"/>
  <c r="AJ342" i="10"/>
  <c r="C343" i="10"/>
  <c r="E343" i="10"/>
  <c r="F343" i="10"/>
  <c r="G343" i="10"/>
  <c r="H343" i="10"/>
  <c r="I343" i="10"/>
  <c r="J343" i="10"/>
  <c r="K343" i="10"/>
  <c r="L343" i="10"/>
  <c r="M343" i="10"/>
  <c r="N343" i="10"/>
  <c r="O343" i="10"/>
  <c r="P343" i="10"/>
  <c r="V343" i="10"/>
  <c r="W343" i="10"/>
  <c r="X343" i="10"/>
  <c r="Y343" i="10"/>
  <c r="Z343" i="10"/>
  <c r="AA343" i="10"/>
  <c r="AB343" i="10"/>
  <c r="AC343" i="10"/>
  <c r="AD343" i="10"/>
  <c r="AE343" i="10"/>
  <c r="AG343" i="10"/>
  <c r="AH343" i="10"/>
  <c r="AI343" i="10"/>
  <c r="AJ343" i="10"/>
  <c r="C344" i="10"/>
  <c r="E344" i="10"/>
  <c r="F344" i="10"/>
  <c r="G344" i="10"/>
  <c r="H344" i="10"/>
  <c r="I344" i="10"/>
  <c r="J344" i="10"/>
  <c r="K344" i="10"/>
  <c r="L344" i="10"/>
  <c r="M344" i="10"/>
  <c r="N344" i="10"/>
  <c r="O344" i="10"/>
  <c r="P344" i="10"/>
  <c r="V344" i="10"/>
  <c r="W344" i="10"/>
  <c r="X344" i="10"/>
  <c r="Y344" i="10"/>
  <c r="Z344" i="10"/>
  <c r="AA344" i="10"/>
  <c r="AB344" i="10"/>
  <c r="AC344" i="10"/>
  <c r="AD344" i="10"/>
  <c r="AE344" i="10"/>
  <c r="AG344" i="10"/>
  <c r="AH344" i="10"/>
  <c r="AI344" i="10"/>
  <c r="AJ344" i="10"/>
  <c r="C345" i="10"/>
  <c r="E345" i="10"/>
  <c r="F345" i="10"/>
  <c r="G345" i="10"/>
  <c r="H345" i="10"/>
  <c r="I345" i="10"/>
  <c r="J345" i="10"/>
  <c r="K345" i="10"/>
  <c r="L345" i="10"/>
  <c r="M345" i="10"/>
  <c r="N345" i="10"/>
  <c r="O345" i="10"/>
  <c r="P345" i="10"/>
  <c r="V345" i="10"/>
  <c r="W345" i="10"/>
  <c r="X345" i="10"/>
  <c r="Y345" i="10"/>
  <c r="Z345" i="10"/>
  <c r="AA345" i="10"/>
  <c r="AB345" i="10"/>
  <c r="AC345" i="10"/>
  <c r="AD345" i="10"/>
  <c r="AE345" i="10"/>
  <c r="AG345" i="10"/>
  <c r="AH345" i="10"/>
  <c r="AI345" i="10"/>
  <c r="AJ345" i="10"/>
  <c r="C353" i="10"/>
  <c r="E353" i="10"/>
  <c r="F353" i="10"/>
  <c r="G353" i="10"/>
  <c r="H353" i="10"/>
  <c r="I353" i="10"/>
  <c r="J353" i="10"/>
  <c r="K353" i="10"/>
  <c r="L353" i="10"/>
  <c r="M353" i="10"/>
  <c r="N353" i="10"/>
  <c r="O353" i="10"/>
  <c r="P353" i="10"/>
  <c r="V353" i="10"/>
  <c r="W353" i="10"/>
  <c r="X353" i="10"/>
  <c r="Y353" i="10"/>
  <c r="Z353" i="10"/>
  <c r="AA353" i="10"/>
  <c r="AB353" i="10"/>
  <c r="AC353" i="10"/>
  <c r="AD353" i="10"/>
  <c r="AE353" i="10"/>
  <c r="AG353" i="10"/>
  <c r="C354" i="10"/>
  <c r="E354" i="10"/>
  <c r="F354" i="10"/>
  <c r="G354" i="10"/>
  <c r="H354" i="10"/>
  <c r="I354" i="10"/>
  <c r="J354" i="10"/>
  <c r="K354" i="10"/>
  <c r="L354" i="10"/>
  <c r="M354" i="10"/>
  <c r="N354" i="10"/>
  <c r="O354" i="10"/>
  <c r="P354" i="10"/>
  <c r="V354" i="10"/>
  <c r="W354" i="10"/>
  <c r="X354" i="10"/>
  <c r="Y354" i="10"/>
  <c r="Z354" i="10"/>
  <c r="AA354" i="10"/>
  <c r="AB354" i="10"/>
  <c r="AC354" i="10"/>
  <c r="AD354" i="10"/>
  <c r="AE354" i="10"/>
  <c r="AG354" i="10"/>
  <c r="C355" i="10"/>
  <c r="E355" i="10"/>
  <c r="F355" i="10"/>
  <c r="G355" i="10"/>
  <c r="H355" i="10"/>
  <c r="I355" i="10"/>
  <c r="J355" i="10"/>
  <c r="K355" i="10"/>
  <c r="L355" i="10"/>
  <c r="M355" i="10"/>
  <c r="N355" i="10"/>
  <c r="O355" i="10"/>
  <c r="P355" i="10"/>
  <c r="V355" i="10"/>
  <c r="W355" i="10"/>
  <c r="X355" i="10"/>
  <c r="Y355" i="10"/>
  <c r="Z355" i="10"/>
  <c r="AA355" i="10"/>
  <c r="AB355" i="10"/>
  <c r="AC355" i="10"/>
  <c r="AD355" i="10"/>
  <c r="AE355" i="10"/>
  <c r="AG355" i="10"/>
  <c r="C356" i="10"/>
  <c r="E356" i="10"/>
  <c r="F356" i="10"/>
  <c r="G356" i="10"/>
  <c r="H356" i="10"/>
  <c r="I356" i="10"/>
  <c r="J356" i="10"/>
  <c r="K356" i="10"/>
  <c r="L356" i="10"/>
  <c r="M356" i="10"/>
  <c r="N356" i="10"/>
  <c r="O356" i="10"/>
  <c r="P356" i="10"/>
  <c r="V356" i="10"/>
  <c r="W356" i="10"/>
  <c r="X356" i="10"/>
  <c r="Y356" i="10"/>
  <c r="Z356" i="10"/>
  <c r="AA356" i="10"/>
  <c r="AB356" i="10"/>
  <c r="AC356" i="10"/>
  <c r="AD356" i="10"/>
  <c r="AE356" i="10"/>
  <c r="AG356" i="10"/>
  <c r="C357" i="10"/>
  <c r="E357" i="10"/>
  <c r="F357" i="10"/>
  <c r="G357" i="10"/>
  <c r="H357" i="10"/>
  <c r="I357" i="10"/>
  <c r="J357" i="10"/>
  <c r="K357" i="10"/>
  <c r="L357" i="10"/>
  <c r="M357" i="10"/>
  <c r="N357" i="10"/>
  <c r="O357" i="10"/>
  <c r="P357" i="10"/>
  <c r="V357" i="10"/>
  <c r="W357" i="10"/>
  <c r="X357" i="10"/>
  <c r="Y357" i="10"/>
  <c r="Z357" i="10"/>
  <c r="AA357" i="10"/>
  <c r="AB357" i="10"/>
  <c r="AC357" i="10"/>
  <c r="AD357" i="10"/>
  <c r="AE357" i="10"/>
  <c r="AG357" i="10"/>
  <c r="C358" i="10"/>
  <c r="E358" i="10"/>
  <c r="F358" i="10"/>
  <c r="G358" i="10"/>
  <c r="H358" i="10"/>
  <c r="I358" i="10"/>
  <c r="J358" i="10"/>
  <c r="K358" i="10"/>
  <c r="L358" i="10"/>
  <c r="M358" i="10"/>
  <c r="N358" i="10"/>
  <c r="O358" i="10"/>
  <c r="P358" i="10"/>
  <c r="V358" i="10"/>
  <c r="W358" i="10"/>
  <c r="X358" i="10"/>
  <c r="Y358" i="10"/>
  <c r="Z358" i="10"/>
  <c r="AA358" i="10"/>
  <c r="AB358" i="10"/>
  <c r="AC358" i="10"/>
  <c r="AD358" i="10"/>
  <c r="AE358" i="10"/>
  <c r="AG358" i="10"/>
  <c r="C359" i="10"/>
  <c r="E359" i="10"/>
  <c r="F359" i="10"/>
  <c r="G359" i="10"/>
  <c r="H359" i="10"/>
  <c r="I359" i="10"/>
  <c r="J359" i="10"/>
  <c r="K359" i="10"/>
  <c r="L359" i="10"/>
  <c r="M359" i="10"/>
  <c r="N359" i="10"/>
  <c r="O359" i="10"/>
  <c r="P359" i="10"/>
  <c r="V359" i="10"/>
  <c r="W359" i="10"/>
  <c r="X359" i="10"/>
  <c r="Y359" i="10"/>
  <c r="Z359" i="10"/>
  <c r="AA359" i="10"/>
  <c r="AB359" i="10"/>
  <c r="AC359" i="10"/>
  <c r="AD359" i="10"/>
  <c r="AE359" i="10"/>
  <c r="AG359" i="10"/>
  <c r="C362" i="10"/>
  <c r="E362" i="10"/>
  <c r="F362" i="10"/>
  <c r="G362" i="10"/>
  <c r="H362" i="10"/>
  <c r="I362" i="10"/>
  <c r="J362" i="10"/>
  <c r="K362" i="10"/>
  <c r="L362" i="10"/>
  <c r="M362" i="10"/>
  <c r="N362" i="10"/>
  <c r="O362" i="10"/>
  <c r="P362" i="10"/>
  <c r="V362" i="10"/>
  <c r="W362" i="10"/>
  <c r="X362" i="10"/>
  <c r="Y362" i="10"/>
  <c r="Z362" i="10"/>
  <c r="AA362" i="10"/>
  <c r="AB362" i="10"/>
  <c r="AC362" i="10"/>
  <c r="AD362" i="10"/>
  <c r="AE362" i="10"/>
  <c r="AG362" i="10"/>
  <c r="C363" i="10"/>
  <c r="E363" i="10"/>
  <c r="F363" i="10"/>
  <c r="G363" i="10"/>
  <c r="H363" i="10"/>
  <c r="I363" i="10"/>
  <c r="J363" i="10"/>
  <c r="K363" i="10"/>
  <c r="L363" i="10"/>
  <c r="M363" i="10"/>
  <c r="N363" i="10"/>
  <c r="O363" i="10"/>
  <c r="P363" i="10"/>
  <c r="V363" i="10"/>
  <c r="W363" i="10"/>
  <c r="X363" i="10"/>
  <c r="Y363" i="10"/>
  <c r="Z363" i="10"/>
  <c r="AA363" i="10"/>
  <c r="AB363" i="10"/>
  <c r="AC363" i="10"/>
  <c r="AD363" i="10"/>
  <c r="AE363" i="10"/>
  <c r="AG363" i="10"/>
  <c r="C364" i="10"/>
  <c r="E364" i="10"/>
  <c r="F364" i="10"/>
  <c r="G364" i="10"/>
  <c r="H364" i="10"/>
  <c r="I364" i="10"/>
  <c r="J364" i="10"/>
  <c r="K364" i="10"/>
  <c r="L364" i="10"/>
  <c r="M364" i="10"/>
  <c r="N364" i="10"/>
  <c r="O364" i="10"/>
  <c r="P364" i="10"/>
  <c r="V364" i="10"/>
  <c r="W364" i="10"/>
  <c r="X364" i="10"/>
  <c r="Y364" i="10"/>
  <c r="Z364" i="10"/>
  <c r="AA364" i="10"/>
  <c r="AB364" i="10"/>
  <c r="AC364" i="10"/>
  <c r="AD364" i="10"/>
  <c r="AE364" i="10"/>
  <c r="AG364" i="10"/>
  <c r="C365" i="10"/>
  <c r="E365" i="10"/>
  <c r="F365" i="10"/>
  <c r="G365" i="10"/>
  <c r="H365" i="10"/>
  <c r="I365" i="10"/>
  <c r="J365" i="10"/>
  <c r="K365" i="10"/>
  <c r="L365" i="10"/>
  <c r="M365" i="10"/>
  <c r="N365" i="10"/>
  <c r="O365" i="10"/>
  <c r="P365" i="10"/>
  <c r="V365" i="10"/>
  <c r="W365" i="10"/>
  <c r="X365" i="10"/>
  <c r="Y365" i="10"/>
  <c r="Z365" i="10"/>
  <c r="AA365" i="10"/>
  <c r="AB365" i="10"/>
  <c r="AC365" i="10"/>
  <c r="AD365" i="10"/>
  <c r="AE365" i="10"/>
  <c r="AG365" i="10"/>
  <c r="AG367" i="10"/>
  <c r="AG368" i="10"/>
  <c r="C373" i="10"/>
  <c r="E373" i="10"/>
  <c r="F373" i="10"/>
  <c r="G373" i="10"/>
  <c r="H373" i="10"/>
  <c r="I373" i="10"/>
  <c r="J373" i="10"/>
  <c r="K373" i="10"/>
  <c r="L373" i="10"/>
  <c r="M373" i="10"/>
  <c r="N373" i="10"/>
  <c r="O373" i="10"/>
  <c r="P373" i="10"/>
  <c r="V373" i="10"/>
  <c r="W373" i="10"/>
  <c r="X373" i="10"/>
  <c r="Y373" i="10"/>
  <c r="Z373" i="10"/>
  <c r="AA373" i="10"/>
  <c r="AB373" i="10"/>
  <c r="AC373" i="10"/>
  <c r="AD373" i="10"/>
  <c r="AE373" i="10"/>
  <c r="AG373" i="10"/>
  <c r="C374" i="10"/>
  <c r="E374" i="10"/>
  <c r="F374" i="10"/>
  <c r="G374" i="10"/>
  <c r="H374" i="10"/>
  <c r="I374" i="10"/>
  <c r="J374" i="10"/>
  <c r="K374" i="10"/>
  <c r="L374" i="10"/>
  <c r="M374" i="10"/>
  <c r="N374" i="10"/>
  <c r="O374" i="10"/>
  <c r="P374" i="10"/>
  <c r="V374" i="10"/>
  <c r="W374" i="10"/>
  <c r="X374" i="10"/>
  <c r="Y374" i="10"/>
  <c r="Z374" i="10"/>
  <c r="AA374" i="10"/>
  <c r="AB374" i="10"/>
  <c r="AC374" i="10"/>
  <c r="AD374" i="10"/>
  <c r="AE374" i="10"/>
  <c r="AG374" i="10"/>
  <c r="C375" i="10"/>
  <c r="E375" i="10"/>
  <c r="F375" i="10"/>
  <c r="G375" i="10"/>
  <c r="H375" i="10"/>
  <c r="I375" i="10"/>
  <c r="J375" i="10"/>
  <c r="K375" i="10"/>
  <c r="L375" i="10"/>
  <c r="M375" i="10"/>
  <c r="N375" i="10"/>
  <c r="O375" i="10"/>
  <c r="P375" i="10"/>
  <c r="V375" i="10"/>
  <c r="W375" i="10"/>
  <c r="X375" i="10"/>
  <c r="Y375" i="10"/>
  <c r="Z375" i="10"/>
  <c r="AA375" i="10"/>
  <c r="AB375" i="10"/>
  <c r="AC375" i="10"/>
  <c r="AD375" i="10"/>
  <c r="AE375" i="10"/>
  <c r="AG375" i="10"/>
  <c r="C376" i="10"/>
  <c r="E376" i="10"/>
  <c r="F376" i="10"/>
  <c r="G376" i="10"/>
  <c r="H376" i="10"/>
  <c r="I376" i="10"/>
  <c r="J376" i="10"/>
  <c r="K376" i="10"/>
  <c r="L376" i="10"/>
  <c r="M376" i="10"/>
  <c r="N376" i="10"/>
  <c r="O376" i="10"/>
  <c r="P376" i="10"/>
  <c r="V376" i="10"/>
  <c r="W376" i="10"/>
  <c r="X376" i="10"/>
  <c r="Y376" i="10"/>
  <c r="Z376" i="10"/>
  <c r="AA376" i="10"/>
  <c r="AB376" i="10"/>
  <c r="AC376" i="10"/>
  <c r="AD376" i="10"/>
  <c r="AE376" i="10"/>
  <c r="AG376" i="10"/>
  <c r="C377" i="10"/>
  <c r="E377" i="10"/>
  <c r="F377" i="10"/>
  <c r="G377" i="10"/>
  <c r="H377" i="10"/>
  <c r="I377" i="10"/>
  <c r="J377" i="10"/>
  <c r="K377" i="10"/>
  <c r="L377" i="10"/>
  <c r="M377" i="10"/>
  <c r="N377" i="10"/>
  <c r="O377" i="10"/>
  <c r="P377" i="10"/>
  <c r="V377" i="10"/>
  <c r="W377" i="10"/>
  <c r="X377" i="10"/>
  <c r="Y377" i="10"/>
  <c r="Z377" i="10"/>
  <c r="AA377" i="10"/>
  <c r="AB377" i="10"/>
  <c r="AC377" i="10"/>
  <c r="AD377" i="10"/>
  <c r="AE377" i="10"/>
  <c r="AG377" i="10"/>
  <c r="C378" i="10"/>
  <c r="E378" i="10"/>
  <c r="F378" i="10"/>
  <c r="G378" i="10"/>
  <c r="H378" i="10"/>
  <c r="I378" i="10"/>
  <c r="J378" i="10"/>
  <c r="K378" i="10"/>
  <c r="L378" i="10"/>
  <c r="M378" i="10"/>
  <c r="N378" i="10"/>
  <c r="O378" i="10"/>
  <c r="P378" i="10"/>
  <c r="V378" i="10"/>
  <c r="W378" i="10"/>
  <c r="X378" i="10"/>
  <c r="Y378" i="10"/>
  <c r="Z378" i="10"/>
  <c r="AA378" i="10"/>
  <c r="AB378" i="10"/>
  <c r="AC378" i="10"/>
  <c r="AD378" i="10"/>
  <c r="AE378" i="10"/>
  <c r="AG378" i="10"/>
  <c r="C379" i="10"/>
  <c r="E379" i="10"/>
  <c r="F379" i="10"/>
  <c r="G379" i="10"/>
  <c r="H379" i="10"/>
  <c r="I379" i="10"/>
  <c r="J379" i="10"/>
  <c r="K379" i="10"/>
  <c r="L379" i="10"/>
  <c r="M379" i="10"/>
  <c r="N379" i="10"/>
  <c r="O379" i="10"/>
  <c r="P379" i="10"/>
  <c r="V379" i="10"/>
  <c r="W379" i="10"/>
  <c r="X379" i="10"/>
  <c r="Y379" i="10"/>
  <c r="Z379" i="10"/>
  <c r="AA379" i="10"/>
  <c r="AB379" i="10"/>
  <c r="AC379" i="10"/>
  <c r="AD379" i="10"/>
  <c r="AE379" i="10"/>
  <c r="AG379" i="10"/>
  <c r="C382" i="10"/>
  <c r="E382" i="10"/>
  <c r="F382" i="10"/>
  <c r="G382" i="10"/>
  <c r="H382" i="10"/>
  <c r="I382" i="10"/>
  <c r="J382" i="10"/>
  <c r="K382" i="10"/>
  <c r="L382" i="10"/>
  <c r="M382" i="10"/>
  <c r="N382" i="10"/>
  <c r="O382" i="10"/>
  <c r="P382" i="10"/>
  <c r="V382" i="10"/>
  <c r="W382" i="10"/>
  <c r="X382" i="10"/>
  <c r="Y382" i="10"/>
  <c r="Z382" i="10"/>
  <c r="AA382" i="10"/>
  <c r="AB382" i="10"/>
  <c r="AC382" i="10"/>
  <c r="AD382" i="10"/>
  <c r="AE382" i="10"/>
  <c r="AG382" i="10"/>
  <c r="C383" i="10"/>
  <c r="E383" i="10"/>
  <c r="F383" i="10"/>
  <c r="G383" i="10"/>
  <c r="H383" i="10"/>
  <c r="I383" i="10"/>
  <c r="J383" i="10"/>
  <c r="K383" i="10"/>
  <c r="L383" i="10"/>
  <c r="M383" i="10"/>
  <c r="N383" i="10"/>
  <c r="O383" i="10"/>
  <c r="P383" i="10"/>
  <c r="V383" i="10"/>
  <c r="W383" i="10"/>
  <c r="X383" i="10"/>
  <c r="Y383" i="10"/>
  <c r="Z383" i="10"/>
  <c r="AA383" i="10"/>
  <c r="AB383" i="10"/>
  <c r="AC383" i="10"/>
  <c r="AD383" i="10"/>
  <c r="AE383" i="10"/>
  <c r="AG383" i="10"/>
  <c r="C384" i="10"/>
  <c r="E384" i="10"/>
  <c r="F384" i="10"/>
  <c r="G384" i="10"/>
  <c r="H384" i="10"/>
  <c r="I384" i="10"/>
  <c r="J384" i="10"/>
  <c r="K384" i="10"/>
  <c r="L384" i="10"/>
  <c r="M384" i="10"/>
  <c r="N384" i="10"/>
  <c r="O384" i="10"/>
  <c r="P384" i="10"/>
  <c r="V384" i="10"/>
  <c r="W384" i="10"/>
  <c r="X384" i="10"/>
  <c r="Y384" i="10"/>
  <c r="Z384" i="10"/>
  <c r="AA384" i="10"/>
  <c r="AB384" i="10"/>
  <c r="AC384" i="10"/>
  <c r="AD384" i="10"/>
  <c r="AE384" i="10"/>
  <c r="AG384" i="10"/>
  <c r="C385" i="10"/>
  <c r="E385" i="10"/>
  <c r="F385" i="10"/>
  <c r="G385" i="10"/>
  <c r="H385" i="10"/>
  <c r="I385" i="10"/>
  <c r="J385" i="10"/>
  <c r="K385" i="10"/>
  <c r="L385" i="10"/>
  <c r="M385" i="10"/>
  <c r="N385" i="10"/>
  <c r="O385" i="10"/>
  <c r="P385" i="10"/>
  <c r="V385" i="10"/>
  <c r="W385" i="10"/>
  <c r="X385" i="10"/>
  <c r="Y385" i="10"/>
  <c r="Z385" i="10"/>
  <c r="AA385" i="10"/>
  <c r="AB385" i="10"/>
  <c r="AC385" i="10"/>
  <c r="AD385" i="10"/>
  <c r="AE385" i="10"/>
  <c r="AG385" i="10"/>
  <c r="AG387" i="10"/>
  <c r="AG388" i="10"/>
  <c r="C393" i="10"/>
  <c r="E393" i="10"/>
  <c r="F393" i="10"/>
  <c r="G393" i="10"/>
  <c r="H393" i="10"/>
  <c r="I393" i="10"/>
  <c r="J393" i="10"/>
  <c r="K393" i="10"/>
  <c r="L393" i="10"/>
  <c r="M393" i="10"/>
  <c r="N393" i="10"/>
  <c r="O393" i="10"/>
  <c r="P393" i="10"/>
  <c r="V393" i="10"/>
  <c r="W393" i="10"/>
  <c r="X393" i="10"/>
  <c r="Y393" i="10"/>
  <c r="Z393" i="10"/>
  <c r="AA393" i="10"/>
  <c r="AB393" i="10"/>
  <c r="AC393" i="10"/>
  <c r="AD393" i="10"/>
  <c r="AE393" i="10"/>
  <c r="AF393" i="10"/>
  <c r="C394" i="10"/>
  <c r="E394" i="10"/>
  <c r="F394" i="10"/>
  <c r="G394" i="10"/>
  <c r="H394" i="10"/>
  <c r="I394" i="10"/>
  <c r="J394" i="10"/>
  <c r="K394" i="10"/>
  <c r="L394" i="10"/>
  <c r="M394" i="10"/>
  <c r="N394" i="10"/>
  <c r="O394" i="10"/>
  <c r="P394" i="10"/>
  <c r="V394" i="10"/>
  <c r="W394" i="10"/>
  <c r="X394" i="10"/>
  <c r="Y394" i="10"/>
  <c r="Z394" i="10"/>
  <c r="AA394" i="10"/>
  <c r="AB394" i="10"/>
  <c r="AC394" i="10"/>
  <c r="AD394" i="10"/>
  <c r="AE394" i="10"/>
  <c r="AF394" i="10"/>
  <c r="C395" i="10"/>
  <c r="E395" i="10"/>
  <c r="F395" i="10"/>
  <c r="G395" i="10"/>
  <c r="H395" i="10"/>
  <c r="I395" i="10"/>
  <c r="J395" i="10"/>
  <c r="K395" i="10"/>
  <c r="L395" i="10"/>
  <c r="M395" i="10"/>
  <c r="N395" i="10"/>
  <c r="O395" i="10"/>
  <c r="P395" i="10"/>
  <c r="V395" i="10"/>
  <c r="W395" i="10"/>
  <c r="X395" i="10"/>
  <c r="Y395" i="10"/>
  <c r="Z395" i="10"/>
  <c r="AA395" i="10"/>
  <c r="AB395" i="10"/>
  <c r="AC395" i="10"/>
  <c r="AD395" i="10"/>
  <c r="AE395" i="10"/>
  <c r="AF395" i="10"/>
  <c r="C396" i="10"/>
  <c r="E396" i="10"/>
  <c r="F396" i="10"/>
  <c r="G396" i="10"/>
  <c r="H396" i="10"/>
  <c r="I396" i="10"/>
  <c r="J396" i="10"/>
  <c r="K396" i="10"/>
  <c r="L396" i="10"/>
  <c r="M396" i="10"/>
  <c r="N396" i="10"/>
  <c r="O396" i="10"/>
  <c r="P396" i="10"/>
  <c r="V396" i="10"/>
  <c r="W396" i="10"/>
  <c r="X396" i="10"/>
  <c r="Y396" i="10"/>
  <c r="Z396" i="10"/>
  <c r="AA396" i="10"/>
  <c r="AB396" i="10"/>
  <c r="AC396" i="10"/>
  <c r="AD396" i="10"/>
  <c r="AE396" i="10"/>
  <c r="AF396" i="10"/>
  <c r="C397" i="10"/>
  <c r="E397" i="10"/>
  <c r="F397" i="10"/>
  <c r="G397" i="10"/>
  <c r="H397" i="10"/>
  <c r="I397" i="10"/>
  <c r="J397" i="10"/>
  <c r="K397" i="10"/>
  <c r="L397" i="10"/>
  <c r="M397" i="10"/>
  <c r="N397" i="10"/>
  <c r="O397" i="10"/>
  <c r="P397" i="10"/>
  <c r="V397" i="10"/>
  <c r="W397" i="10"/>
  <c r="X397" i="10"/>
  <c r="Y397" i="10"/>
  <c r="Z397" i="10"/>
  <c r="AA397" i="10"/>
  <c r="AB397" i="10"/>
  <c r="AC397" i="10"/>
  <c r="AD397" i="10"/>
  <c r="AE397" i="10"/>
  <c r="AF397" i="10"/>
  <c r="C398" i="10"/>
  <c r="E398" i="10"/>
  <c r="F398" i="10"/>
  <c r="G398" i="10"/>
  <c r="H398" i="10"/>
  <c r="I398" i="10"/>
  <c r="J398" i="10"/>
  <c r="K398" i="10"/>
  <c r="L398" i="10"/>
  <c r="M398" i="10"/>
  <c r="N398" i="10"/>
  <c r="O398" i="10"/>
  <c r="P398" i="10"/>
  <c r="V398" i="10"/>
  <c r="W398" i="10"/>
  <c r="X398" i="10"/>
  <c r="Y398" i="10"/>
  <c r="Z398" i="10"/>
  <c r="AA398" i="10"/>
  <c r="AB398" i="10"/>
  <c r="AC398" i="10"/>
  <c r="AD398" i="10"/>
  <c r="AE398" i="10"/>
  <c r="AF398" i="10"/>
  <c r="C399" i="10"/>
  <c r="E399" i="10"/>
  <c r="F399" i="10"/>
  <c r="G399" i="10"/>
  <c r="H399" i="10"/>
  <c r="I399" i="10"/>
  <c r="J399" i="10"/>
  <c r="K399" i="10"/>
  <c r="L399" i="10"/>
  <c r="M399" i="10"/>
  <c r="N399" i="10"/>
  <c r="O399" i="10"/>
  <c r="P399" i="10"/>
  <c r="V399" i="10"/>
  <c r="W399" i="10"/>
  <c r="X399" i="10"/>
  <c r="Y399" i="10"/>
  <c r="Z399" i="10"/>
  <c r="AA399" i="10"/>
  <c r="AB399" i="10"/>
  <c r="AC399" i="10"/>
  <c r="AD399" i="10"/>
  <c r="AE399" i="10"/>
  <c r="AF399" i="10"/>
  <c r="C402" i="10"/>
  <c r="E402" i="10"/>
  <c r="F402" i="10"/>
  <c r="G402" i="10"/>
  <c r="H402" i="10"/>
  <c r="I402" i="10"/>
  <c r="J402" i="10"/>
  <c r="K402" i="10"/>
  <c r="L402" i="10"/>
  <c r="M402" i="10"/>
  <c r="N402" i="10"/>
  <c r="O402" i="10"/>
  <c r="P402" i="10"/>
  <c r="V402" i="10"/>
  <c r="W402" i="10"/>
  <c r="X402" i="10"/>
  <c r="Y402" i="10"/>
  <c r="Z402" i="10"/>
  <c r="AA402" i="10"/>
  <c r="AB402" i="10"/>
  <c r="AC402" i="10"/>
  <c r="AD402" i="10"/>
  <c r="AE402" i="10"/>
  <c r="AF402" i="10"/>
  <c r="C403" i="10"/>
  <c r="E403" i="10"/>
  <c r="F403" i="10"/>
  <c r="G403" i="10"/>
  <c r="H403" i="10"/>
  <c r="I403" i="10"/>
  <c r="J403" i="10"/>
  <c r="K403" i="10"/>
  <c r="L403" i="10"/>
  <c r="M403" i="10"/>
  <c r="N403" i="10"/>
  <c r="O403" i="10"/>
  <c r="P403" i="10"/>
  <c r="V403" i="10"/>
  <c r="W403" i="10"/>
  <c r="X403" i="10"/>
  <c r="Y403" i="10"/>
  <c r="Z403" i="10"/>
  <c r="AA403" i="10"/>
  <c r="AB403" i="10"/>
  <c r="AC403" i="10"/>
  <c r="AD403" i="10"/>
  <c r="AE403" i="10"/>
  <c r="AF403" i="10"/>
  <c r="C404" i="10"/>
  <c r="E404" i="10"/>
  <c r="F404" i="10"/>
  <c r="G404" i="10"/>
  <c r="H404" i="10"/>
  <c r="I404" i="10"/>
  <c r="J404" i="10"/>
  <c r="K404" i="10"/>
  <c r="L404" i="10"/>
  <c r="M404" i="10"/>
  <c r="N404" i="10"/>
  <c r="O404" i="10"/>
  <c r="P404" i="10"/>
  <c r="V404" i="10"/>
  <c r="W404" i="10"/>
  <c r="X404" i="10"/>
  <c r="Y404" i="10"/>
  <c r="Z404" i="10"/>
  <c r="AA404" i="10"/>
  <c r="AB404" i="10"/>
  <c r="AC404" i="10"/>
  <c r="AD404" i="10"/>
  <c r="AE404" i="10"/>
  <c r="AF404" i="10"/>
  <c r="C405" i="10"/>
  <c r="E405" i="10"/>
  <c r="F405" i="10"/>
  <c r="G405" i="10"/>
  <c r="H405" i="10"/>
  <c r="I405" i="10"/>
  <c r="J405" i="10"/>
  <c r="K405" i="10"/>
  <c r="L405" i="10"/>
  <c r="M405" i="10"/>
  <c r="N405" i="10"/>
  <c r="O405" i="10"/>
  <c r="P405" i="10"/>
  <c r="V405" i="10"/>
  <c r="W405" i="10"/>
  <c r="X405" i="10"/>
  <c r="Y405" i="10"/>
  <c r="Z405" i="10"/>
  <c r="AA405" i="10"/>
  <c r="AB405" i="10"/>
  <c r="AC405" i="10"/>
  <c r="AD405" i="10"/>
  <c r="AE405" i="10"/>
  <c r="AF405" i="10"/>
  <c r="E407" i="10"/>
  <c r="F407" i="10"/>
  <c r="G407" i="10"/>
  <c r="H407" i="10"/>
  <c r="I407" i="10"/>
  <c r="J407" i="10"/>
  <c r="K407" i="10"/>
  <c r="L407" i="10"/>
  <c r="M407" i="10"/>
  <c r="N407" i="10"/>
  <c r="O407" i="10"/>
  <c r="P407" i="10"/>
  <c r="V407" i="10"/>
  <c r="W407" i="10"/>
  <c r="X407" i="10"/>
  <c r="Y407" i="10"/>
  <c r="Z407" i="10"/>
  <c r="AA407" i="10"/>
  <c r="AB407" i="10"/>
  <c r="AC407" i="10"/>
  <c r="AD407" i="10"/>
  <c r="AE407" i="10"/>
  <c r="AF407" i="10"/>
  <c r="E408" i="10"/>
  <c r="F408" i="10"/>
  <c r="G408" i="10"/>
  <c r="H408" i="10"/>
  <c r="I408" i="10"/>
  <c r="J408" i="10"/>
  <c r="K408" i="10"/>
  <c r="L408" i="10"/>
  <c r="M408" i="10"/>
  <c r="N408" i="10"/>
  <c r="O408" i="10"/>
  <c r="P408" i="10"/>
  <c r="V408" i="10"/>
  <c r="W408" i="10"/>
  <c r="X408" i="10"/>
  <c r="Y408" i="10"/>
  <c r="Z408" i="10"/>
  <c r="AA408" i="10"/>
  <c r="AB408" i="10"/>
  <c r="AC408" i="10"/>
  <c r="AD408" i="10"/>
  <c r="AE408" i="10"/>
  <c r="AF408" i="10"/>
  <c r="X81" i="2"/>
  <c r="AN81" i="2"/>
  <c r="X82" i="2"/>
  <c r="AN82" i="2"/>
  <c r="T138" i="2"/>
  <c r="U138" i="2"/>
  <c r="Y138" i="2"/>
  <c r="Z138" i="2"/>
  <c r="AA138" i="2"/>
  <c r="AB138" i="2"/>
  <c r="AM138" i="2"/>
  <c r="AN138" i="2"/>
  <c r="T146" i="2"/>
  <c r="U146" i="2"/>
  <c r="Y146" i="2"/>
  <c r="Z146" i="2"/>
  <c r="AA146" i="2"/>
  <c r="AB146" i="2"/>
  <c r="AM146" i="2"/>
  <c r="AN146" i="2"/>
  <c r="G16" i="20"/>
  <c r="G17" i="20"/>
  <c r="G22" i="20"/>
  <c r="G25" i="20"/>
  <c r="G27" i="20"/>
  <c r="G31" i="20"/>
  <c r="H11" i="43"/>
  <c r="J11" i="43"/>
  <c r="I15" i="43"/>
  <c r="J15" i="43"/>
  <c r="K15" i="43"/>
  <c r="L15" i="43"/>
  <c r="M15" i="43"/>
  <c r="N15" i="43"/>
  <c r="O15" i="43"/>
  <c r="I18" i="43"/>
  <c r="J18" i="43"/>
  <c r="K18" i="43"/>
  <c r="L18" i="43"/>
  <c r="M18" i="43"/>
  <c r="N18" i="43"/>
  <c r="O18" i="43"/>
  <c r="P18" i="43"/>
  <c r="D26" i="43" a="1"/>
  <c r="D26" i="43"/>
  <c r="E26" i="43" a="1"/>
  <c r="E26" i="43"/>
  <c r="H26" i="43"/>
  <c r="J26" i="43"/>
  <c r="D27" i="43" a="1"/>
  <c r="D27" i="43"/>
  <c r="E27" i="43" a="1"/>
  <c r="E27" i="43"/>
  <c r="D29" i="43"/>
  <c r="E29" i="43"/>
  <c r="H29" i="43"/>
  <c r="I29" i="43"/>
  <c r="J29" i="43"/>
  <c r="D31" i="43" a="1"/>
  <c r="D31" i="43"/>
  <c r="E31" i="43" a="1"/>
  <c r="E31" i="43"/>
  <c r="D32" i="43"/>
  <c r="E32" i="43"/>
  <c r="H32" i="43"/>
  <c r="J32" i="43"/>
  <c r="D34" i="43"/>
  <c r="E34" i="43"/>
  <c r="D35" i="43" a="1"/>
  <c r="D35" i="43"/>
  <c r="E35" i="43" a="1"/>
  <c r="E35" i="43"/>
  <c r="D38" i="43"/>
  <c r="E38" i="43"/>
  <c r="D40" i="43" a="1"/>
  <c r="D40" i="43"/>
  <c r="E40" i="43" a="1"/>
  <c r="E40" i="43"/>
  <c r="D43" i="43" a="1"/>
  <c r="D43" i="43"/>
  <c r="E43" i="43" a="1"/>
  <c r="E43" i="43"/>
  <c r="D45" i="43" a="1"/>
  <c r="D45" i="43"/>
  <c r="E45" i="43" a="1"/>
  <c r="E45" i="43"/>
  <c r="D46" i="43"/>
  <c r="E46" i="43"/>
  <c r="AA48" i="43"/>
  <c r="AB48" i="43"/>
  <c r="D49" i="43"/>
  <c r="E49" i="43"/>
  <c r="H49" i="43"/>
  <c r="I49" i="43"/>
  <c r="J49" i="43"/>
  <c r="AB49" i="43"/>
  <c r="D50" i="43"/>
  <c r="E50" i="43"/>
  <c r="D51" i="43"/>
  <c r="E51" i="43"/>
  <c r="H51" i="43"/>
  <c r="J51" i="43"/>
  <c r="E53" i="43"/>
  <c r="E54" i="43"/>
  <c r="AA54" i="43"/>
  <c r="AB54" i="43"/>
  <c r="E55" i="43"/>
  <c r="H55" i="43"/>
  <c r="J55" i="43"/>
  <c r="AA55" i="43"/>
  <c r="AB55" i="43"/>
  <c r="AC55" i="43"/>
  <c r="H57" i="43"/>
  <c r="H58" i="43"/>
  <c r="AB59" i="43"/>
  <c r="H60" i="43"/>
  <c r="J60" i="43"/>
  <c r="H62" i="43"/>
  <c r="J62" i="43"/>
  <c r="Z62" i="43"/>
  <c r="AF62" i="43"/>
  <c r="AF63" i="43"/>
  <c r="AF64" i="43"/>
  <c r="AF65" i="43"/>
  <c r="AF66" i="43"/>
  <c r="AF67" i="43"/>
  <c r="AF68" i="43"/>
  <c r="AF69" i="43"/>
  <c r="AF70" i="43"/>
  <c r="AF71" i="43"/>
  <c r="AF72" i="43"/>
  <c r="AF73" i="43"/>
  <c r="AF74" i="43"/>
  <c r="AF75" i="43"/>
  <c r="AF76" i="43"/>
  <c r="AF77" i="43"/>
  <c r="AF78" i="43"/>
  <c r="AF79" i="43"/>
  <c r="AF80" i="43"/>
  <c r="AF81" i="43"/>
  <c r="AF82" i="43"/>
  <c r="AF83" i="43"/>
  <c r="AF84" i="43"/>
  <c r="AF85" i="43"/>
  <c r="AF86" i="43"/>
  <c r="AF87" i="43"/>
  <c r="AF88" i="43"/>
  <c r="AF89" i="43"/>
  <c r="AF90" i="43"/>
  <c r="AF91" i="43"/>
  <c r="AF92" i="43"/>
  <c r="AF93" i="43"/>
  <c r="AF94" i="43"/>
  <c r="AF95" i="43"/>
  <c r="AF96" i="43"/>
  <c r="AF97" i="43"/>
  <c r="AF98" i="43"/>
  <c r="AF99" i="43"/>
  <c r="AF100" i="43"/>
  <c r="AF101" i="43"/>
  <c r="AF102" i="43"/>
  <c r="AF103" i="43"/>
  <c r="AF104" i="43"/>
  <c r="AF105" i="43"/>
  <c r="AF106" i="43"/>
  <c r="AF107" i="43"/>
  <c r="AF108" i="43"/>
  <c r="AF109" i="43"/>
  <c r="AF110" i="43"/>
  <c r="AF111" i="43"/>
  <c r="AF112" i="43"/>
  <c r="AF113" i="43"/>
  <c r="AF114" i="43"/>
  <c r="AF115" i="43"/>
  <c r="AF116" i="43"/>
  <c r="AF117" i="43"/>
  <c r="AF118" i="43"/>
  <c r="AF119" i="43"/>
  <c r="AF120" i="43"/>
  <c r="AF121" i="43"/>
  <c r="AF122" i="43"/>
  <c r="AF123" i="43"/>
  <c r="AF124" i="43"/>
  <c r="AF125" i="43"/>
  <c r="AF126" i="43"/>
  <c r="AF127" i="43"/>
  <c r="AF128" i="43"/>
  <c r="AF129" i="43"/>
  <c r="AF130" i="43"/>
  <c r="AF131" i="43"/>
  <c r="AF132" i="43"/>
  <c r="AF133" i="43"/>
  <c r="AF134" i="43"/>
  <c r="AF135" i="43"/>
  <c r="AF136" i="43"/>
  <c r="AF137" i="43"/>
  <c r="AF138" i="43"/>
  <c r="AF139" i="43"/>
  <c r="AF140" i="43"/>
  <c r="AF141" i="43"/>
  <c r="AF142" i="43"/>
  <c r="AF143" i="43"/>
  <c r="AF144" i="43"/>
  <c r="AF145" i="43"/>
  <c r="AF146" i="43"/>
  <c r="AF147" i="43"/>
  <c r="AF148" i="43"/>
  <c r="AF149" i="43"/>
  <c r="AF1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Vedang Poddar</author>
    <author>Gaurang Grover</author>
  </authors>
  <commentList>
    <comment ref="J16" authorId="0" shapeId="0" xr:uid="{41C4A1FC-6B2B-4FF5-AD41-E08306778ACB}">
      <text>
        <r>
          <rPr>
            <sz val="9"/>
            <color indexed="81"/>
            <rFont val="Tahoma"/>
            <family val="2"/>
          </rPr>
          <t xml:space="preserve">Removing capex for molecular recycling:
The strategy around our core transformation in our specialty business that requires $500 million to $600 million of capital to support that growth, </t>
        </r>
        <r>
          <rPr>
            <b/>
            <sz val="9"/>
            <color indexed="81"/>
            <rFont val="Tahoma"/>
            <family val="2"/>
          </rPr>
          <t xml:space="preserve">including $300 million of maintenance is intact </t>
        </r>
        <r>
          <rPr>
            <sz val="9"/>
            <color indexed="81"/>
            <rFont val="Tahoma"/>
            <family val="2"/>
          </rPr>
          <t>and stays the same</t>
        </r>
      </text>
    </comment>
    <comment ref="M36" authorId="1" shapeId="0" xr:uid="{D63DE284-04C9-4A49-9454-98FBD0EDF447}">
      <text>
        <r>
          <rPr>
            <sz val="9"/>
            <color indexed="81"/>
            <rFont val="Tahoma"/>
            <family val="2"/>
          </rPr>
          <t xml:space="preserve"> At December 31, 2022 and 2021, the Company's total investment in these joint ventures was $111 million and $96 million, respectively, included in "Other noncurrent assets" in the Consolidated Statements of Financial Position. </t>
        </r>
      </text>
    </comment>
    <comment ref="M37" authorId="1" shapeId="0" xr:uid="{F398F1B6-1994-4340-9620-E24201458FDD}">
      <text>
        <r>
          <rPr>
            <sz val="9"/>
            <color indexed="81"/>
            <rFont val="Tahoma"/>
            <family val="2"/>
          </rPr>
          <t>Estimated future environmental expenditures for undiscounted remediation costs ranged from the best estimate or minimum of $245 million to the maximum of $457 million at December 31, 2022</t>
        </r>
      </text>
    </comment>
    <comment ref="M38" authorId="0" shapeId="0" xr:uid="{327ED3FF-F63E-4B53-B239-CD7DBF9B0676}">
      <text>
        <r>
          <rPr>
            <sz val="9"/>
            <color indexed="81"/>
            <rFont val="Tahoma"/>
            <family val="2"/>
          </rPr>
          <t>These non-environmental asset retirement obligations were
$51 million at both December 31, 2022 and 2021, and are included in "Other long-term liabilities" on the Consolidated Statements of Financial Position</t>
        </r>
      </text>
    </comment>
    <comment ref="C100" authorId="1" shapeId="0" xr:uid="{57C0A284-5073-4C17-BAF8-8DEBEB32865D}">
      <text>
        <r>
          <rPr>
            <b/>
            <sz val="9"/>
            <color indexed="81"/>
            <rFont val="Tahoma"/>
            <family val="2"/>
          </rPr>
          <t xml:space="preserve">ROIC Definition: </t>
        </r>
        <r>
          <rPr>
            <sz val="9"/>
            <color indexed="81"/>
            <rFont val="Tahoma"/>
            <family val="2"/>
          </rPr>
          <t>“ROIC” is return on invested capital, calculated as adjusted net earnings plus interest expense after tax divided by average total borrowings plus average stockholders' equity for the periods presented</t>
        </r>
      </text>
    </comment>
    <comment ref="C117" authorId="1" shapeId="0" xr:uid="{55A32C4A-5512-4A33-BFE2-9666B5D16D44}">
      <text>
        <r>
          <rPr>
            <b/>
            <sz val="9"/>
            <color indexed="81"/>
            <rFont val="Tahoma"/>
            <family val="2"/>
          </rPr>
          <t xml:space="preserve">ROIC Definition: </t>
        </r>
        <r>
          <rPr>
            <sz val="9"/>
            <color indexed="81"/>
            <rFont val="Tahoma"/>
            <family val="2"/>
          </rPr>
          <t>“ROIC” is return on invested capital, calculated as adjusted net earnings plus interest expense after tax divided by average total borrowings plus average stockholders' equity for the periods presented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Vedang Poddar</author>
    <author>Shivam Gupta</author>
    <author>Gaurang Grover</author>
    <author>TresVista</author>
  </authors>
  <commentList>
    <comment ref="AQ1" authorId="0" shapeId="0" xr:uid="{E75E07AF-864E-4DF2-816B-DDDF65E3B218}">
      <text>
        <r>
          <rPr>
            <sz val="9"/>
            <color indexed="81"/>
            <rFont val="Tahoma"/>
            <family val="2"/>
          </rPr>
          <t>Across all of our markets, we are not projecting any substantial restocking activity in 2023. We are instead assuming that destocking is substantially fin ished across all of our markets by the end of the first quarter</t>
        </r>
      </text>
    </comment>
    <comment ref="AR1" authorId="0" shapeId="0" xr:uid="{52F52FC6-FB37-4E94-9910-46D32E0036CF}">
      <text>
        <r>
          <rPr>
            <sz val="9"/>
            <color indexed="81"/>
            <rFont val="Tahoma"/>
            <family val="2"/>
          </rPr>
          <t>In markets more sensitive to consumer spending and the housing market, including consumer durables and building and construction, we are still experiencing significant destocking in the first quarter. We are currently assuming that this destocking predominantly ends at the close of the first quarter.</t>
        </r>
      </text>
    </comment>
    <comment ref="AU1" authorId="0" shapeId="0" xr:uid="{B53EEB1B-568C-45FF-A86F-ACAA08AC9F47}">
      <text>
        <r>
          <rPr>
            <sz val="9"/>
            <color indexed="81"/>
            <rFont val="Tahoma"/>
            <family val="2"/>
          </rPr>
          <t>businesses. In keeping with our balanced capital allocation strategy, priorities for future uses of cash remain the same. We first look to invest in organic growth, especially for our circular economy initiatives. We also remain committed to our di vidend, which was increased for the 13 th consecutive year. And finally, we are always evaluating bolt on acquisitions that will support our specialty businesses In the absence of bolt on acquisitions, we expect to repurchase shares with remaining cash gen erated.</t>
        </r>
      </text>
    </comment>
    <comment ref="AR2" authorId="0" shapeId="0" xr:uid="{AB6564A0-3AE3-4AA4-B0C2-F9C92D4D67E9}">
      <text>
        <r>
          <rPr>
            <sz val="9"/>
            <color indexed="81"/>
            <rFont val="Tahoma"/>
            <family val="2"/>
          </rPr>
          <t>In transportation, we expect full year auto builds to be mo destly better compared to 2022, with first quarter demand sligh tly below fourth quarter, mostly due to weak market condition s in China associated with the rapid spread of COVID 19.</t>
        </r>
      </text>
    </comment>
    <comment ref="AU2" authorId="0" shapeId="0" xr:uid="{B1B35F6F-C309-4864-AB9A-F0C69A84F341}">
      <text>
        <r>
          <rPr>
            <sz val="9"/>
            <color indexed="81"/>
            <rFont val="Tahoma"/>
            <family val="2"/>
          </rPr>
          <t>As we look to the ful l year, there are several reasons why we expect that the earnings run rate in the final three quarters should meaningfully improve compared to the first quarter. 
First, the benefit of the $200 million of cost savings will mostly impact the final nine months of the year 
Second, continued commercial excellence in our specialty businesses should improve spreads as lower raw material, energy, and distribution costs flow thro ugh inventory particularly in Advanced Materials. 
Third we are projecting that destocking is substantially complete by the end of the first quarter. On that basis, sales volume should improve sequentially even assuming weak underlying demand. 
Fourth, innovation should drive growth above our underlying markets. We are not assuming any substantial restocking of our supply chains in 2023, and we currently expect demand levels in China to improve in the second half of the year. 
Other tailwinds include the full year impact of shares repurchased throughout 2022. In our forecast, we are assuming energy prices do not escalate in any meaningful way in connection with geopolitical events, including the war in Ukraine.</t>
        </r>
      </text>
    </comment>
    <comment ref="AV2" authorId="0" shapeId="0" xr:uid="{9F1D8BA6-E496-430B-8042-CAD9889ACD2A}">
      <text>
        <r>
          <rPr>
            <sz val="9"/>
            <color indexed="81"/>
            <rFont val="Tahoma"/>
            <family val="2"/>
          </rPr>
          <t>There are also some headwinds to consider. Firs t, we built our plan based on a manufacturing recession scenario that started with a substantial drop in demand and aggressive destocking in the fourth quarter that continue s through the first quarter, especially in consumer discretionary end markets Our plan also assumes that stability return s to these markets in the back half of the year There are several macroeconomic factors that could change this scenario for better or for worse Second foreign currency exchange rates net of hedging, are expected be a n approximately $50 million headwind this year. And finally, pension costs higher interest expense and variable compensation expense returning to normal levels are addit ional headwinds to 2023 EPS. Based on our economic scenario and the actions we are taking we expect adjusted EPS to grow by between 5 and 15 percent, excluding an approximately $0.75 pension headwind.</t>
        </r>
      </text>
    </comment>
    <comment ref="AW2" authorId="0" shapeId="0" xr:uid="{7126F786-F17C-4C83-A133-58164C68AE86}">
      <text>
        <r>
          <rPr>
            <sz val="9"/>
            <color indexed="81"/>
            <rFont val="Tahoma"/>
            <family val="2"/>
          </rPr>
          <t>Given the weak demand backdrop in the fourth quarter and the slow start to 2023, we have increased this year’s cost reduction target to more than $200 million net of inflation Over the last couple years, certain costs have increased significantly as a result of supply chain inefficiencies attributed to strong deman d after the COVID 19 pandemic These inefficiencies were compounded by operational challenges in the early part of 2022 during a period of very strong demand. As a result, we are taking decisive actions to return our cost structure to a more normal level. About $125 million net of inflation, of these cost savings will be focused on manufacturing and supply chain and will stem from a few key areas. First, we expect more efficient operations resulting from a slower demand environment. Second, we expect to ha ve a more efficient mix of distribution modes associated with an optimized supply chain network and lower overall demand Third we expect lower costs from both planned and unplanned shutdowns. And finally, we are always evaluating our asset footprint to serve our customers and lower our operating costs. The remaining $75 million net of inflation, of savings is planned to come from non manufa cturing across two main areas: a reduced spending on consultants and third party services and a workfo rce reduction As we consider the cadence of these savings, much of our actions will ramp up early in the year so the benefit of the savings will be limited in the first quarter, with a more even distribution of the $200 million in the final nine months of the year.</t>
        </r>
      </text>
    </comment>
    <comment ref="AR3" authorId="0" shapeId="0" xr:uid="{0562A517-CE0F-4B79-BB60-FE887C96BE2B}">
      <text>
        <r>
          <rPr>
            <sz val="9"/>
            <color indexed="81"/>
            <rFont val="Tahoma"/>
            <family val="2"/>
          </rPr>
          <t>In more stable end markets like agriculture, water treatment, personal care, and pharma, we think destocking mostly stopped at the end of the fourth quarter, with volumes somewhat better in first quarter due to the lack of this destocking. Across</t>
        </r>
      </text>
    </comment>
    <comment ref="AV3" authorId="0" shapeId="0" xr:uid="{D9D94B83-6A91-436B-9503-733079973F83}">
      <text>
        <r>
          <rPr>
            <sz val="9"/>
            <color indexed="81"/>
            <rFont val="Tahoma"/>
            <family val="2"/>
          </rPr>
          <t>Pension and other post
employment benefits headwind
~$110M</t>
        </r>
      </text>
    </comment>
    <comment ref="AW3" authorId="0" shapeId="0" xr:uid="{A647373E-5E20-4595-90F0-A6A4D8B8B148}">
      <text>
        <r>
          <rPr>
            <sz val="9"/>
            <color indexed="81"/>
            <rFont val="Tahoma"/>
            <family val="2"/>
          </rPr>
          <t>Annualized impact of a stronger U.S. dollar: ~$50 million</t>
        </r>
      </text>
    </comment>
    <comment ref="S12" authorId="1" shapeId="0" xr:uid="{D4E09EE5-10EE-466D-A7C5-0A687C2147D5}">
      <text>
        <r>
          <rPr>
            <sz val="9"/>
            <color indexed="81"/>
            <rFont val="Tahoma"/>
            <family val="2"/>
          </rPr>
          <t>Revenue declined due to lower selling prices, lower sales volume and mix, and the stronger dollar.</t>
        </r>
      </text>
    </comment>
    <comment ref="AG12" authorId="0" shapeId="0" xr:uid="{D9BFD183-2DE3-4D15-A55C-4849524256D0}">
      <text>
        <r>
          <rPr>
            <sz val="9"/>
            <color indexed="81"/>
            <rFont val="Tahoma"/>
            <family val="2"/>
          </rPr>
          <t xml:space="preserve">In the first quarter, end market trends are mixed. 
In short, we think destocking has mostly ended across several stable end markets but is persisting in consumer durables and building and construction. 
</t>
        </r>
      </text>
    </comment>
    <comment ref="AQ12" authorId="2" shapeId="0" xr:uid="{100D6D93-B932-460A-B417-BAFFA2D3E0A4}">
      <text>
        <r>
          <rPr>
            <b/>
            <sz val="9"/>
            <color indexed="81"/>
            <rFont val="Tahoma"/>
            <family val="2"/>
          </rPr>
          <t>Due to divestments</t>
        </r>
      </text>
    </comment>
    <comment ref="AG16" authorId="0" shapeId="0" xr:uid="{63DDBA9B-04E0-4117-A92B-ED700005D195}">
      <text>
        <r>
          <rPr>
            <sz val="9"/>
            <color indexed="81"/>
            <rFont val="Tahoma"/>
            <family val="2"/>
          </rPr>
          <t>On costs, raw materials are trending lower, but we a re still working through seasonally higher energy costs. All in, spreads should be a tailwind in the first quarter compared to the fourth quarter as we remain focused on disciplined pricing as variable costs continue to decline especially in Advanced Materials</t>
        </r>
      </text>
    </comment>
    <comment ref="R22" authorId="1" shapeId="0" xr:uid="{58756A82-B648-4513-A0DD-E366AC9D5385}">
      <text>
        <r>
          <rPr>
            <sz val="9"/>
            <color indexed="81"/>
            <rFont val="Tahoma"/>
            <family val="2"/>
          </rPr>
          <t>SG&amp;A expenses decreased as a result of cost management actions and lower
variable compensation costs.</t>
        </r>
      </text>
    </comment>
    <comment ref="R26" authorId="1" shapeId="0" xr:uid="{11F06C51-D6EA-4285-B994-BE765CD839CB}">
      <text>
        <r>
          <rPr>
            <sz val="9"/>
            <color indexed="81"/>
            <rFont val="Tahoma"/>
            <family val="2"/>
          </rPr>
          <t>R&amp;D expenses decreased primarily due to cost
management actions including increased focus on project prioritization.</t>
        </r>
      </text>
    </comment>
    <comment ref="H38" authorId="1" shapeId="0" xr:uid="{1CFBE515-0A3C-4B10-8C23-B3B25AB1C733}">
      <text>
        <r>
          <rPr>
            <b/>
            <sz val="9"/>
            <color indexed="81"/>
            <rFont val="Tahoma"/>
            <family val="2"/>
          </rPr>
          <t>Company reported other (income) charges below EBIT till 2016</t>
        </r>
      </text>
    </comment>
    <comment ref="AG63" authorId="0" shapeId="0" xr:uid="{2A00DA6C-AF31-49C7-BA30-D1C5EE774CF1}">
      <text>
        <r>
          <rPr>
            <sz val="9"/>
            <color indexed="81"/>
            <rFont val="Tahoma"/>
            <family val="2"/>
          </rPr>
          <t>Compared to fourth quarter, these benefits will be mostly offset by increased pension costs and variable co mpensation returning to normal levels. A dditionally, the benefits of our cost reduction actions will be limited in the first quarter. When considering these factors, we expect first quarter adjusted EPS to be between $1.05 and $1.25
JPMC Conference - Expecting to beat the EPS guidance</t>
        </r>
      </text>
    </comment>
    <comment ref="T74" authorId="3" shapeId="0" xr:uid="{8868913C-CC28-43DE-B031-2CE64D38663B}">
      <text>
        <r>
          <rPr>
            <b/>
            <sz val="9"/>
            <color indexed="81"/>
            <rFont val="Tahoma"/>
            <family val="2"/>
          </rPr>
          <t>4Q19 Call:</t>
        </r>
        <r>
          <rPr>
            <sz val="9"/>
            <color indexed="81"/>
            <rFont val="Tahoma"/>
            <family val="2"/>
          </rPr>
          <t xml:space="preserve"> Similar with the trends for the full year, fourth quarter results were impacted by a slowdown in the global economy on top of normal seasonality.
Revenue decreased mostly due to lower selling prices as a result of lower raw material prices</t>
        </r>
      </text>
    </comment>
    <comment ref="T97" authorId="3" shapeId="0" xr:uid="{2C7BB5C2-277B-432F-8F53-014ACE22DA6F}">
      <text>
        <r>
          <rPr>
            <b/>
            <sz val="9"/>
            <color indexed="81"/>
            <rFont val="Tahoma"/>
            <family val="2"/>
          </rPr>
          <t>4Q19 Call:</t>
        </r>
        <r>
          <rPr>
            <sz val="9"/>
            <color indexed="81"/>
            <rFont val="Tahoma"/>
            <family val="2"/>
          </rPr>
          <t xml:space="preserve"> EBIT increased slightly due to lower raw material costs and improved product mix.</t>
        </r>
      </text>
    </comment>
    <comment ref="AH116" authorId="0" shapeId="0" xr:uid="{4974EA62-7D8B-403C-A180-AD524CE7F901}">
      <text>
        <r>
          <rPr>
            <b/>
            <sz val="9"/>
            <color indexed="81"/>
            <rFont val="Tahoma"/>
            <family val="2"/>
          </rPr>
          <t xml:space="preserve">We expect second-quarter adjusted EPS to be between $1.90 and $2.10.  </t>
        </r>
      </text>
    </comment>
    <comment ref="R117" authorId="1" shapeId="0" xr:uid="{C0D75659-18B6-4ACA-A2B3-61E2A9D27D49}">
      <text>
        <r>
          <rPr>
            <sz val="9"/>
            <color indexed="81"/>
            <rFont val="Tahoma"/>
            <family val="2"/>
          </rPr>
          <t>The shortfall was driven by broad-based demand weakness driven by slowing global growth and customer destocking, partly attributable to the US-China trade dispute. The lower volumes also reduced the flow-through of lower cost raw materials.</t>
        </r>
      </text>
    </comment>
    <comment ref="AE145" authorId="0" shapeId="0" xr:uid="{F7631B3E-9E27-43E3-B48E-57ADE0329C0A}">
      <text>
        <r>
          <rPr>
            <sz val="9"/>
            <color indexed="81"/>
            <rFont val="Tahoma"/>
            <family val="2"/>
          </rPr>
          <t>lower variable
compensation costs partially offset by higher growth initiative costs.</t>
        </r>
      </text>
    </comment>
    <comment ref="AD165" authorId="0" shapeId="0" xr:uid="{A00BEED4-EE50-4364-B7D7-C53803A1A854}">
      <text>
        <r>
          <rPr>
            <b/>
            <sz val="9"/>
            <color indexed="81"/>
            <rFont val="Tahoma"/>
            <family val="2"/>
          </rPr>
          <t>Environmental and other costs</t>
        </r>
      </text>
    </comment>
    <comment ref="AF165" authorId="0" shapeId="0" xr:uid="{C67C751D-24E9-467D-8835-336B2ED1B026}">
      <text>
        <r>
          <rPr>
            <b/>
            <sz val="9"/>
            <color indexed="81"/>
            <rFont val="Tahoma"/>
            <family val="2"/>
          </rPr>
          <t>Environmental and other costs</t>
        </r>
      </text>
    </comment>
    <comment ref="F201" authorId="1" shapeId="0" xr:uid="{89CE4240-6770-4294-B10B-495C872C8F05}">
      <text>
        <r>
          <rPr>
            <b/>
            <sz val="9"/>
            <color indexed="81"/>
            <rFont val="Tahoma"/>
            <family val="2"/>
          </rPr>
          <t>Doesn't include this cost in 8K Q2 2017, pg 10/14.</t>
        </r>
      </text>
    </comment>
    <comment ref="E204" authorId="1" shapeId="0" xr:uid="{542451D5-9354-4A4E-BBA3-D6A60A6F34FB}">
      <text>
        <r>
          <rPr>
            <b/>
            <sz val="9"/>
            <color indexed="81"/>
            <rFont val="Tahoma"/>
            <family val="2"/>
          </rPr>
          <t xml:space="preserve">Company Doesn't Include Non core items, 8k q1 2017, pg 11/14.
</t>
        </r>
      </text>
    </comment>
    <comment ref="AL209" authorId="1" shapeId="0" xr:uid="{F7CA438D-7BAD-4D5B-A729-241A6AD68BF5}">
      <text>
        <r>
          <rPr>
            <sz val="9"/>
            <color indexed="81"/>
            <rFont val="Tahoma"/>
            <family val="2"/>
          </rPr>
          <t>Not matching with reported figures due to difference in adjustments.</t>
        </r>
      </text>
    </comment>
    <comment ref="AL220" authorId="1" shapeId="0" xr:uid="{D70F3E46-5585-4F3C-B4B8-3D052347208A}">
      <text>
        <r>
          <rPr>
            <b/>
            <sz val="9"/>
            <color indexed="81"/>
            <rFont val="Tahoma"/>
            <family val="2"/>
          </rPr>
          <t xml:space="preserve">Difference in reporting
</t>
        </r>
      </text>
    </comment>
    <comment ref="BK222" authorId="1" shapeId="0" xr:uid="{5259831E-BA17-4BDC-9DB2-111CB4097F83}">
      <text>
        <r>
          <rPr>
            <sz val="9"/>
            <color indexed="81"/>
            <rFont val="Tahoma"/>
            <family val="2"/>
          </rPr>
          <t xml:space="preserve">In the intermediates product line, the Company produces olefin derivatives, acetyl derivatives, ethylene, and commodity solvents.
End Use: 
</t>
        </r>
        <r>
          <rPr>
            <b/>
            <sz val="9"/>
            <color indexed="81"/>
            <rFont val="Tahoma"/>
            <family val="2"/>
          </rPr>
          <t xml:space="preserve">industrial chemicals and processing
building and construction </t>
        </r>
        <r>
          <rPr>
            <sz val="9"/>
            <color indexed="81"/>
            <rFont val="Tahoma"/>
            <family val="2"/>
          </rPr>
          <t xml:space="preserve">(paint and coating applications, construction chemicals, building materials)
</t>
        </r>
        <r>
          <rPr>
            <b/>
            <sz val="9"/>
            <color indexed="81"/>
            <rFont val="Tahoma"/>
            <family val="2"/>
          </rPr>
          <t>pharmaceuticals and agriculture
health and wellness
packaging</t>
        </r>
      </text>
    </comment>
    <comment ref="BK223" authorId="1" shapeId="0" xr:uid="{FBD5BFF4-1542-4A00-B828-B150EC4628D1}">
      <text>
        <r>
          <rPr>
            <sz val="9"/>
            <color indexed="81"/>
            <rFont val="Tahoma"/>
            <family val="2"/>
          </rPr>
          <t xml:space="preserve">The plasticizers product line consists of a unique set of primary non-phthalate and phthalate plasticizers and a range of niche non-phthalate plasticizers.
End Use:
</t>
        </r>
        <r>
          <rPr>
            <b/>
            <sz val="9"/>
            <color indexed="81"/>
            <rFont val="Tahoma"/>
            <family val="2"/>
          </rPr>
          <t xml:space="preserve">building and construction </t>
        </r>
        <r>
          <rPr>
            <sz val="9"/>
            <color indexed="81"/>
            <rFont val="Tahoma"/>
            <family val="2"/>
          </rPr>
          <t xml:space="preserve">(non-phthalate plasticizers used in interior surfaces)
</t>
        </r>
        <r>
          <rPr>
            <b/>
            <sz val="9"/>
            <color indexed="81"/>
            <rFont val="Tahoma"/>
            <family val="2"/>
          </rPr>
          <t xml:space="preserve">consumables </t>
        </r>
        <r>
          <rPr>
            <sz val="9"/>
            <color indexed="81"/>
            <rFont val="Tahoma"/>
            <family val="2"/>
          </rPr>
          <t xml:space="preserve">(food packaging, packaging adhesives, and glove applications)
</t>
        </r>
        <r>
          <rPr>
            <b/>
            <sz val="9"/>
            <color indexed="81"/>
            <rFont val="Tahoma"/>
            <family val="2"/>
          </rPr>
          <t xml:space="preserve">health and wellness </t>
        </r>
        <r>
          <rPr>
            <sz val="9"/>
            <color indexed="81"/>
            <rFont val="Tahoma"/>
            <family val="2"/>
          </rPr>
          <t>(medical devices)</t>
        </r>
      </text>
    </comment>
    <comment ref="BK225" authorId="1" shapeId="0" xr:uid="{FDB916F0-4E39-471B-8A3E-62A83951040D}">
      <text>
        <r>
          <rPr>
            <sz val="9"/>
            <color indexed="81"/>
            <rFont val="Tahoma"/>
            <family val="2"/>
          </rPr>
          <t>The functional amines product lines include methylamines and salts, and higher amines and solvents.
End Use:</t>
        </r>
        <r>
          <rPr>
            <b/>
            <sz val="9"/>
            <color indexed="81"/>
            <rFont val="Tahoma"/>
            <family val="2"/>
          </rPr>
          <t xml:space="preserve">
agrochemicals
energy
consumables
water treatment
animal nutrition
industrial intermediates</t>
        </r>
      </text>
    </comment>
    <comment ref="BK226" authorId="1" shapeId="0" xr:uid="{B995B397-BB71-48C5-9D6C-17AA3B660F66}">
      <text>
        <r>
          <rPr>
            <sz val="9"/>
            <color indexed="81"/>
            <rFont val="Tahoma"/>
            <family val="2"/>
          </rPr>
          <t>The animal nutrition business consists of organic acid-based solutions product lines. The crop protection business consists of metam-based soil fumigants, thiram and ziram-based fungicides, and plant growth regulator products.
End use:
gut health solutions
preservation and hygiene
industrial applications</t>
        </r>
      </text>
    </comment>
    <comment ref="BK227" authorId="1" shapeId="0" xr:uid="{9653502A-FAE9-4DE4-93BE-64EBA85C5AB0}">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t>
        </r>
      </text>
    </comment>
    <comment ref="BK228" authorId="1" shapeId="0" xr:uid="{EAEF19DD-ECEC-49EF-B25A-87F4C2D5D3BD}">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t>
        </r>
        <r>
          <rPr>
            <b/>
            <sz val="9"/>
            <color indexed="81"/>
            <rFont val="Tahoma"/>
            <family val="2"/>
          </rPr>
          <t xml:space="preserve">building and construction </t>
        </r>
        <r>
          <rPr>
            <sz val="9"/>
            <color indexed="81"/>
            <rFont val="Tahoma"/>
            <family val="2"/>
          </rPr>
          <t xml:space="preserve">(architectural coatings)
</t>
        </r>
        <r>
          <rPr>
            <b/>
            <sz val="9"/>
            <color indexed="81"/>
            <rFont val="Tahoma"/>
            <family val="2"/>
          </rPr>
          <t xml:space="preserve">transportation </t>
        </r>
        <r>
          <rPr>
            <sz val="9"/>
            <color indexed="81"/>
            <rFont val="Tahoma"/>
            <family val="2"/>
          </rPr>
          <t xml:space="preserve">(original equipment manufacturer "OEM") and refinish coatings
</t>
        </r>
        <r>
          <rPr>
            <b/>
            <sz val="9"/>
            <color indexed="81"/>
            <rFont val="Tahoma"/>
            <family val="2"/>
          </rPr>
          <t xml:space="preserve">durable goods </t>
        </r>
        <r>
          <rPr>
            <sz val="9"/>
            <color indexed="81"/>
            <rFont val="Tahoma"/>
            <family val="2"/>
          </rPr>
          <t xml:space="preserve">(wood, industrial coatings and applications)
</t>
        </r>
        <r>
          <rPr>
            <b/>
            <sz val="9"/>
            <color indexed="81"/>
            <rFont val="Tahoma"/>
            <family val="2"/>
          </rPr>
          <t>consumables</t>
        </r>
        <r>
          <rPr>
            <sz val="9"/>
            <color indexed="81"/>
            <rFont val="Tahoma"/>
            <family val="2"/>
          </rPr>
          <t xml:space="preserve"> (graphic arts, inks, and packaging)
electronics</t>
        </r>
      </text>
    </comment>
    <comment ref="BK229" authorId="1" shapeId="0" xr:uid="{93EB71DF-5358-474C-A516-2CA671383EBE}">
      <text>
        <r>
          <rPr>
            <sz val="9"/>
            <color indexed="81"/>
            <rFont val="Tahoma"/>
            <family val="2"/>
          </rPr>
          <t xml:space="preserve">In the specialty fluids product line, the Company produces heat transfer and aviation fluids products.
End Use:
</t>
        </r>
        <r>
          <rPr>
            <b/>
            <sz val="9"/>
            <color indexed="81"/>
            <rFont val="Tahoma"/>
            <family val="2"/>
          </rPr>
          <t xml:space="preserve">industrial chemicals and processing </t>
        </r>
        <r>
          <rPr>
            <sz val="9"/>
            <color indexed="81"/>
            <rFont val="Tahoma"/>
            <family val="2"/>
          </rPr>
          <t>(heat transfer fluids for chemical processes)</t>
        </r>
        <r>
          <rPr>
            <b/>
            <sz val="9"/>
            <color indexed="81"/>
            <rFont val="Tahoma"/>
            <family val="2"/>
          </rPr>
          <t xml:space="preserve">
renewable energy
commercial aviation</t>
        </r>
        <r>
          <rPr>
            <sz val="9"/>
            <color indexed="81"/>
            <rFont val="Tahoma"/>
            <family val="2"/>
          </rPr>
          <t xml:space="preserve">
</t>
        </r>
      </text>
    </comment>
    <comment ref="BK230" authorId="1" shapeId="0" xr:uid="{A6FC4F49-E3C0-40D0-91D5-E5261F2442E3}">
      <text>
        <r>
          <rPr>
            <sz val="9"/>
            <color indexed="81"/>
            <rFont val="Tahoma"/>
            <family val="2"/>
          </rPr>
          <t xml:space="preserve">The advanced interlayers product line includes polyvinyl butyral sheet and specialty polyvinyl butyral intermediates 
End Use: 
</t>
        </r>
        <r>
          <rPr>
            <b/>
            <sz val="9"/>
            <color indexed="81"/>
            <rFont val="Tahoma"/>
            <family val="2"/>
          </rPr>
          <t xml:space="preserve">Transportation </t>
        </r>
        <r>
          <rPr>
            <sz val="9"/>
            <color indexed="81"/>
            <rFont val="Tahoma"/>
            <family val="2"/>
          </rPr>
          <t xml:space="preserve">(automotive safety glass, automotive acoustic glass, and HUD) 
</t>
        </r>
        <r>
          <rPr>
            <b/>
            <sz val="9"/>
            <color indexed="81"/>
            <rFont val="Tahoma"/>
            <family val="2"/>
          </rPr>
          <t xml:space="preserve">Building and construction </t>
        </r>
        <r>
          <rPr>
            <sz val="9"/>
            <color indexed="81"/>
            <rFont val="Tahoma"/>
            <family val="2"/>
          </rPr>
          <t xml:space="preserve">(PVB for architectural interlayers)
The performance films product line primarily consists of window film and protective film products for aftermarket applied films.
End Use:
</t>
        </r>
        <r>
          <rPr>
            <b/>
            <sz val="9"/>
            <color indexed="81"/>
            <rFont val="Tahoma"/>
            <family val="2"/>
          </rPr>
          <t xml:space="preserve">Transportation </t>
        </r>
        <r>
          <rPr>
            <sz val="9"/>
            <color indexed="81"/>
            <rFont val="Tahoma"/>
            <family val="2"/>
          </rPr>
          <t xml:space="preserve">(automotive aftermarket  window films and paint protection films)
</t>
        </r>
        <r>
          <rPr>
            <b/>
            <sz val="9"/>
            <color indexed="81"/>
            <rFont val="Tahoma"/>
            <family val="2"/>
          </rPr>
          <t xml:space="preserve">Building and construction </t>
        </r>
        <r>
          <rPr>
            <sz val="9"/>
            <color indexed="81"/>
            <rFont val="Tahoma"/>
            <family val="2"/>
          </rPr>
          <t xml:space="preserve">(residential and commercial window films) </t>
        </r>
        <r>
          <rPr>
            <b/>
            <sz val="9"/>
            <color indexed="81"/>
            <rFont val="Tahoma"/>
            <family val="2"/>
          </rPr>
          <t xml:space="preserve">
Health and wellness </t>
        </r>
        <r>
          <rPr>
            <sz val="9"/>
            <color indexed="81"/>
            <rFont val="Tahoma"/>
            <family val="2"/>
          </rPr>
          <t>(medical)</t>
        </r>
      </text>
    </comment>
    <comment ref="BK231" authorId="1" shapeId="0" xr:uid="{3D8B6E6B-0121-46E9-9F08-93A112758FCE}">
      <text>
        <r>
          <rPr>
            <sz val="9"/>
            <color indexed="81"/>
            <rFont val="Tahoma"/>
            <family val="2"/>
          </rPr>
          <t xml:space="preserve">The specialty plastics product line consists of two primary products: copolyesters and cellulose esters.
End Use:
</t>
        </r>
        <r>
          <rPr>
            <b/>
            <sz val="9"/>
            <color indexed="81"/>
            <rFont val="Tahoma"/>
            <family val="2"/>
          </rPr>
          <t xml:space="preserve">consumables </t>
        </r>
        <r>
          <rPr>
            <sz val="9"/>
            <color indexed="81"/>
            <rFont val="Tahoma"/>
            <family val="2"/>
          </rPr>
          <t xml:space="preserve">(consumer packaging, cosmetics packaging, in-store fixtures and displays)
</t>
        </r>
        <r>
          <rPr>
            <b/>
            <sz val="9"/>
            <color indexed="81"/>
            <rFont val="Tahoma"/>
            <family val="2"/>
          </rPr>
          <t xml:space="preserve">durable goods </t>
        </r>
        <r>
          <rPr>
            <sz val="9"/>
            <color indexed="81"/>
            <rFont val="Tahoma"/>
            <family val="2"/>
          </rPr>
          <t xml:space="preserve">(consumer housewares and appliances) 
</t>
        </r>
        <r>
          <rPr>
            <b/>
            <sz val="9"/>
            <color indexed="81"/>
            <rFont val="Tahoma"/>
            <family val="2"/>
          </rPr>
          <t xml:space="preserve">health and wellness </t>
        </r>
        <r>
          <rPr>
            <sz val="9"/>
            <color indexed="81"/>
            <rFont val="Tahoma"/>
            <family val="2"/>
          </rPr>
          <t xml:space="preserve">(medical)
</t>
        </r>
        <r>
          <rPr>
            <b/>
            <sz val="9"/>
            <color indexed="81"/>
            <rFont val="Tahoma"/>
            <family val="2"/>
          </rPr>
          <t xml:space="preserve">electronics </t>
        </r>
        <r>
          <rPr>
            <sz val="9"/>
            <color indexed="81"/>
            <rFont val="Tahoma"/>
            <family val="2"/>
          </rPr>
          <t xml:space="preserve">(displays)
</t>
        </r>
      </text>
    </comment>
    <comment ref="BK232" authorId="1" shapeId="0" xr:uid="{38524596-A8C5-49DA-AFE1-F6366769D79F}">
      <text>
        <r>
          <rPr>
            <sz val="9"/>
            <color indexed="81"/>
            <rFont val="Tahoma"/>
            <family val="2"/>
          </rPr>
          <t>In the Fibers segment, Eastman manufactures and sells cellulose acetate tow for use in filtration media, primarily cigarette filters
End Use:</t>
        </r>
        <r>
          <rPr>
            <b/>
            <sz val="9"/>
            <color indexed="81"/>
            <rFont val="Tahoma"/>
            <family val="2"/>
          </rPr>
          <t xml:space="preserve">
filtration media (primarily cigarette filters)</t>
        </r>
      </text>
    </comment>
    <comment ref="BK233" authorId="1" shapeId="0" xr:uid="{647A847A-60BC-4962-8616-86ED87C3F866}">
      <text>
        <r>
          <rPr>
            <sz val="9"/>
            <color indexed="81"/>
            <rFont val="Tahoma"/>
            <family val="2"/>
          </rPr>
          <t xml:space="preserve">The acetyl chemicals product line consists of triacetin, cellulose acetate flake, and acetyl raw materials for other acetate fiber producers.
End Use: </t>
        </r>
        <r>
          <rPr>
            <b/>
            <sz val="9"/>
            <color indexed="81"/>
            <rFont val="Tahoma"/>
            <family val="2"/>
          </rPr>
          <t xml:space="preserve">
filtration media (primarily cigarette filters)</t>
        </r>
      </text>
    </comment>
    <comment ref="BK234" authorId="1" shapeId="0" xr:uid="{0B8A0C5F-3E6A-443F-9F27-B0472F780757}">
      <text>
        <r>
          <rPr>
            <sz val="9"/>
            <color indexed="81"/>
            <rFont val="Tahoma"/>
            <family val="2"/>
          </rPr>
          <t>The acetate yarn product line consists of natural (undyed) acetate and polyester yarn and solution-dyed acetate yarn for use in apparel, home furnishings, and industrial fabrics.
End Use:
consumables (apparel, home furnishings, and industrial
fabrics)
health and wellness (medical tape)</t>
        </r>
      </text>
    </comment>
    <comment ref="BK235" authorId="1" shapeId="0" xr:uid="{EF8F3B1F-497D-41C4-BA76-EA2F3C69F7AE}">
      <text>
        <r>
          <rPr>
            <sz val="9"/>
            <color indexed="81"/>
            <rFont val="Tahoma"/>
            <family val="2"/>
          </rPr>
          <t>The nonwovens product line consists primarily of the nonwovens innovation products.
End Use: 
filtration and friction media for transportation
industrial
agriculture and mining
aerospace markets</t>
        </r>
      </text>
    </comment>
    <comment ref="C249" authorId="1" shapeId="0" xr:uid="{CE5917DB-4F02-411B-83CC-0F77789036E9}">
      <text>
        <r>
          <rPr>
            <sz val="9"/>
            <color indexed="81"/>
            <rFont val="Tahoma"/>
            <family val="2"/>
          </rPr>
          <t>In the AFP segment, the Company manufactures chemicals for products in the transportation, consumables, building and construction,
animal nutrition, crop protection, energy, personal and home care, and other markets. Key technology platforms in this segment are cellulose esters, polyester polymers, insoluble sulfur, hydrocarbon resins, alkylamine derivatives, and propylene derivatives.</t>
        </r>
      </text>
    </comment>
    <comment ref="Q250" authorId="0" shapeId="0" xr:uid="{1F97C337-71E6-48F9-A280-288C0148AC39}">
      <text>
        <r>
          <rPr>
            <sz val="9"/>
            <color indexed="81"/>
            <rFont val="Tahoma"/>
            <family val="2"/>
          </rPr>
          <t xml:space="preserve">On </t>
        </r>
        <r>
          <rPr>
            <b/>
            <sz val="9"/>
            <color indexed="81"/>
            <rFont val="Tahoma"/>
            <family val="2"/>
          </rPr>
          <t>November 1, 2021</t>
        </r>
        <r>
          <rPr>
            <sz val="9"/>
            <color indexed="81"/>
            <rFont val="Tahoma"/>
            <family val="2"/>
          </rPr>
          <t xml:space="preserve">, Eastman Chemical Company and certain of its subsidiaries ("Eastman" or the "Company") completed the sale of its </t>
        </r>
        <r>
          <rPr>
            <b/>
            <sz val="9"/>
            <color indexed="81"/>
            <rFont val="Tahoma"/>
            <family val="2"/>
          </rPr>
          <t>rubber additives (including Crystex™ insoluble sulfur and Santoflex™ antidegradants) and other product lines and related assets and technology of the global tire additives business of its Additives &amp; Functional Products (“AFP”) segment to One Rock Capital Partners, LLC (“One Rock”). 
Additionally, on April 1, 2022, the Company completed the sale of its adhesives resins business to Synthomer plc. The sale included hydrocarbon resins (including Eastman Impera tire resins), pure monomer resins, polyolefin polymers, rosins and dispersions, and oleochemical and fatty-acid based resins product lines, all of which were also previously part of the AFP segment.</t>
        </r>
      </text>
    </comment>
    <comment ref="R251" authorId="1" shapeId="0" xr:uid="{4E6C83B9-E45B-475B-9ABC-9E7047B2ABF6}">
      <text>
        <r>
          <rPr>
            <sz val="9"/>
            <color indexed="81"/>
            <rFont val="Tahoma"/>
            <family val="2"/>
          </rPr>
          <t>Sales revenue decreased due to lower sales volume, lower selling prices, and an unfavourable shift in foreign currency exchange rates. The lower sales volume was primarily attributed to weaker end-market demand resulting from global trade-related pressures, particularly for coatings additives and tire additives in transportation markets in China and Europe. In addition, weakened demand for animal nutrition products was attributed to outbreaks of swine fever impacting pork markets in China. Lower selling prices were primarily due to lower raw material prices, particularly for care chemicals, and increased competitive pressure in markets for adhesives resins and tire additives.</t>
        </r>
      </text>
    </comment>
    <comment ref="S251" authorId="1" shapeId="0" xr:uid="{527BDAAB-7CEE-49E2-8C47-5335E4F25643}">
      <text>
        <r>
          <rPr>
            <sz val="9"/>
            <color indexed="81"/>
            <rFont val="Tahoma"/>
            <family val="2"/>
          </rPr>
          <t>The lower sales volume was primarily attributed to weaker end-market demand resulting from global trade-related pressures,particularly in transportation markets in China and Europe. 
Lower selling prices were primarily due to lower raw material prices, particularly for care chemicals, and increased competitive pressure in markets for animal nutrition, adhesives resins, and tire additives.</t>
        </r>
      </text>
    </comment>
    <comment ref="AQ251" authorId="3" shapeId="0" xr:uid="{7FCB4270-C3F1-419F-8596-6FEE3751CF90}">
      <text>
        <r>
          <rPr>
            <b/>
            <sz val="9"/>
            <color indexed="81"/>
            <rFont val="Tahoma"/>
            <family val="2"/>
          </rPr>
          <t>4Q19 Call:</t>
        </r>
        <r>
          <rPr>
            <sz val="9"/>
            <color indexed="81"/>
            <rFont val="Tahoma"/>
            <family val="2"/>
          </rPr>
          <t xml:space="preserve"> AFP was impacted more gradually with destocking picking up through 2019 while primary demand in many of the geographies we serve was decelerating, particularly in China and Europe
2/3rd of AFP delivered solid results including strong growth in </t>
        </r>
        <r>
          <rPr>
            <b/>
            <sz val="9"/>
            <color indexed="81"/>
            <rFont val="Tahoma"/>
            <family val="2"/>
          </rPr>
          <t xml:space="preserve">Care Chemicals, </t>
        </r>
        <r>
          <rPr>
            <sz val="9"/>
            <color indexed="81"/>
            <rFont val="Tahoma"/>
            <family val="2"/>
          </rPr>
          <t>water treatment and specialty fluids as well as spread expansion across the portfolio</t>
        </r>
      </text>
    </comment>
    <comment ref="BK261" authorId="0" shapeId="0" xr:uid="{B608EFA5-A257-48CD-A8E6-8C173AFC8E3A}">
      <text>
        <r>
          <rPr>
            <b/>
            <sz val="9"/>
            <color indexed="81"/>
            <rFont val="Tahoma"/>
            <family val="2"/>
          </rPr>
          <t xml:space="preserve">Specialty Fluid: </t>
        </r>
        <r>
          <rPr>
            <sz val="9"/>
            <color indexed="81"/>
            <rFont val="Tahoma"/>
            <family val="2"/>
          </rPr>
          <t xml:space="preserve">commercial aviation
</t>
        </r>
        <r>
          <rPr>
            <b/>
            <sz val="9"/>
            <color indexed="81"/>
            <rFont val="Tahoma"/>
            <family val="2"/>
          </rPr>
          <t xml:space="preserve">Coatings: </t>
        </r>
        <r>
          <rPr>
            <sz val="9"/>
            <color indexed="81"/>
            <rFont val="Tahoma"/>
            <family val="2"/>
          </rPr>
          <t xml:space="preserve">(original equipment manufacturer "OEM") and refinish coatings
</t>
        </r>
      </text>
    </comment>
    <comment ref="BP261" authorId="0" shapeId="0" xr:uid="{AD536C9E-5D08-41D5-A089-3E8CD56E4F4A}">
      <text>
        <r>
          <rPr>
            <sz val="9"/>
            <color indexed="81"/>
            <rFont val="Tahoma"/>
            <family val="2"/>
          </rPr>
          <t xml:space="preserve">
In automotive, first quarter demand appears to be slightly below fourth quarter levels
Additional challenges are expected in 2023:
-A slowing building and construction market 
-The global auto market remaining at recessionary levels
</t>
        </r>
      </text>
    </comment>
    <comment ref="BK262" authorId="0" shapeId="0" xr:uid="{EF339A8F-EC19-4FC4-9972-CFCBB6738910}">
      <text>
        <r>
          <rPr>
            <sz val="9"/>
            <color indexed="81"/>
            <rFont val="Tahoma"/>
            <family val="2"/>
          </rPr>
          <t xml:space="preserve"> We have some evidence that stable end markets such as personal care and water treatment are improving in the first quarter as the pace of destocking slows  </t>
        </r>
      </text>
    </comment>
    <comment ref="BP262" authorId="0" shapeId="0" xr:uid="{D1AF6CBD-0012-4EC7-90F0-1A77B8260373}">
      <text>
        <r>
          <rPr>
            <sz val="9"/>
            <color indexed="81"/>
            <rFont val="Tahoma"/>
            <family val="2"/>
          </rPr>
          <t xml:space="preserve"> We have some evidence that stable end markets such as personal care and water treatment are improving in the first quarter as the pace of destocking slows  </t>
        </r>
      </text>
    </comment>
    <comment ref="AF264" authorId="0" shapeId="0" xr:uid="{73C58BDF-3A10-4254-B681-701F2D6DD5DD}">
      <text>
        <r>
          <rPr>
            <sz val="9"/>
            <color indexed="81"/>
            <rFont val="Tahoma"/>
            <family val="2"/>
          </rPr>
          <t>The lower sales volume/mix was driven by slower primary demand and significant customer inventory destocking, which accelerated through the fourth quarter. 
The destocking, which was broad based and across most key end markets was most pronounced in building and construction and durables 
In China, the rapid spread of COVID 19 at the end of the fourth quarter also reduced demand.</t>
        </r>
      </text>
    </comment>
    <comment ref="AG264" authorId="0" shapeId="0" xr:uid="{222FDF37-2198-40F3-B0E0-CA0C07AD6BBC}">
      <text>
        <r>
          <rPr>
            <sz val="9"/>
            <color indexed="81"/>
            <rFont val="Tahoma"/>
            <family val="2"/>
          </rPr>
          <t xml:space="preserve">Looking at the first quarter near term trends indicate a mixed outlook for end markets. 
We have some evidence that </t>
        </r>
        <r>
          <rPr>
            <b/>
            <sz val="9"/>
            <color indexed="81"/>
            <rFont val="Tahoma"/>
            <family val="2"/>
          </rPr>
          <t xml:space="preserve">stable end markets such as personal care and water treatment are improving in the first quarter as the pace of destocking slows </t>
        </r>
        <r>
          <rPr>
            <sz val="9"/>
            <color indexed="81"/>
            <rFont val="Tahoma"/>
            <family val="2"/>
          </rPr>
          <t xml:space="preserve">
In </t>
        </r>
        <r>
          <rPr>
            <b/>
            <sz val="9"/>
            <color indexed="81"/>
            <rFont val="Tahoma"/>
            <family val="2"/>
          </rPr>
          <t>automotive, first quarter demand appears to be slightly below fourth quarter levels</t>
        </r>
        <r>
          <rPr>
            <sz val="9"/>
            <color indexed="81"/>
            <rFont val="Tahoma"/>
            <family val="2"/>
          </rPr>
          <t xml:space="preserve">
Building and construction and durables remain under pressure, with destocking continuing into the first quarter.</t>
        </r>
      </text>
    </comment>
    <comment ref="AH264" authorId="0" shapeId="0" xr:uid="{6D7A48EC-079B-403D-8666-83EF02D5BF3C}">
      <text>
        <r>
          <rPr>
            <sz val="9"/>
            <color indexed="81"/>
            <rFont val="Tahoma"/>
            <family val="2"/>
          </rPr>
          <t>Additional challenges are expected in 2023:
-A slowing building and construction market 
-The global auto market remaining at recessionary levels
-Aggressive destocking in some end markets continuing in the first quarter</t>
        </r>
      </text>
    </comment>
    <comment ref="AO264" authorId="2" shapeId="0" xr:uid="{AB69A721-19A5-47C0-BBA1-35956D7BE06D}">
      <text>
        <r>
          <rPr>
            <sz val="9"/>
            <color indexed="81"/>
            <rFont val="Tahoma"/>
            <family val="2"/>
          </rPr>
          <t>For the year sales revenue increased double digits primarily due to 10% higher sales volume which is across most of the segment, as well as higher selling prices. Operating earnings increased 8% primarily due to higher sales volume, fixed cost leverage related to strong volume growth and higher selling prices.  
Looking at full year 2018, we expect solid earnings growth. We expect the continued solid growth in tire additives and animal attrition will be partially offset by some headwinds and adhesives and a tough comp for heat transfer fluids due to the timing of solar projects. We will also have higher costs associated with growth investments.</t>
        </r>
      </text>
    </comment>
    <comment ref="AQ264" authorId="3" shapeId="0" xr:uid="{B4DFC2FC-BCB4-4224-89DC-A30F33182659}">
      <text>
        <r>
          <rPr>
            <b/>
            <sz val="9"/>
            <color indexed="81"/>
            <rFont val="Tahoma"/>
            <family val="2"/>
          </rPr>
          <t xml:space="preserve">2019 10-K: </t>
        </r>
        <r>
          <rPr>
            <sz val="9"/>
            <color indexed="81"/>
            <rFont val="Tahoma"/>
            <family val="2"/>
          </rPr>
          <t>The lower sales volume was primarily attributed to weaker end-market demand resulting from global trade-related pressures, particularly in transportation markets and other consumer discretionary end markets</t>
        </r>
      </text>
    </comment>
    <comment ref="AT264" authorId="0" shapeId="0" xr:uid="{50BC146B-4CD6-4221-AD27-AE3A4A7D2F26}">
      <text>
        <r>
          <rPr>
            <sz val="9"/>
            <color indexed="81"/>
            <rFont val="Tahoma"/>
            <family val="2"/>
          </rPr>
          <t>Sales volume/mix growth in care additives and animal nutrition was partially offset by a decline in building and construction and industrial end markets due to a deceleration of demand and customer inventory destocking that occurred in the fourth quarter.`</t>
        </r>
      </text>
    </comment>
    <comment ref="AU264" authorId="0" shapeId="0" xr:uid="{665E8156-DFBB-4AB1-83F6-58444816015C}">
      <text>
        <r>
          <rPr>
            <sz val="9"/>
            <color indexed="81"/>
            <rFont val="Tahoma"/>
            <family val="2"/>
          </rPr>
          <t xml:space="preserve">As we move past the near term, we see earnings improving from first quarter levels for a few reasons. 
First, we expect raw material and energy costs to be lower and prices to remain resilient. 
We expect the spread improvement to be less than Advanced Materials as Additives Functional Products faced less inflation in 2022 as cost pass through contracts managed inflation better in 2022 
Second, cost actions taken at the corporate level will start to benefit results And finally, we are starting to see destocking slow across some stable end markets and some normal seasonal improvement 
While recognizing the substantial uncertainty in the current environment, </t>
        </r>
        <r>
          <rPr>
            <b/>
            <sz val="9"/>
            <color indexed="81"/>
            <rFont val="Tahoma"/>
            <family val="2"/>
          </rPr>
          <t>we expect Additives and Functional Products 2023 adjusted EBIT to be below 2022 levels.</t>
        </r>
      </text>
    </comment>
    <comment ref="BP264" authorId="0" shapeId="0" xr:uid="{5492B577-6DAD-4C7A-82FA-335D1D73DE11}">
      <text>
        <r>
          <rPr>
            <sz val="9"/>
            <color indexed="81"/>
            <rFont val="Tahoma"/>
            <family val="2"/>
          </rPr>
          <t xml:space="preserve">Building and construction and durables remain under pressure, with destocking continuing into the first quarter.
Additional challenges are expected in 2023:
-A slowing building and construction market 
-The global auto market remaining at recessionary levels
</t>
        </r>
      </text>
    </comment>
    <comment ref="AF265" authorId="0" shapeId="0" xr:uid="{44EF4BB1-C232-4D85-A57D-DEEEE26EEF55}">
      <text>
        <r>
          <rPr>
            <b/>
            <sz val="9"/>
            <color indexed="81"/>
            <rFont val="Tahoma"/>
            <family val="2"/>
          </rPr>
          <t xml:space="preserve">Sequentially, </t>
        </r>
        <r>
          <rPr>
            <sz val="9"/>
            <color indexed="81"/>
            <rFont val="Tahoma"/>
            <family val="2"/>
          </rPr>
          <t>Selling prices were lower by 2 percent driven by cost pass through contracts</t>
        </r>
      </text>
    </comment>
    <comment ref="AQ265" authorId="3" shapeId="0" xr:uid="{860CA7C6-734E-49B3-AF21-F51442C5431D}">
      <text>
        <r>
          <rPr>
            <b/>
            <sz val="9"/>
            <color indexed="81"/>
            <rFont val="Tahoma"/>
            <family val="2"/>
          </rPr>
          <t xml:space="preserve">2019 10-K: </t>
        </r>
        <r>
          <rPr>
            <sz val="9"/>
            <color indexed="81"/>
            <rFont val="Tahoma"/>
            <family val="2"/>
          </rPr>
          <t>Lower selling prices were primarily due to lower raw material prices, including for care chemicals, and increased competitive pressure in markets for tire additives, animal nutrition, and adhesives resins</t>
        </r>
      </text>
    </comment>
    <comment ref="AT265" authorId="0" shapeId="0" xr:uid="{F1F21EAE-67BA-4257-A871-45764DBFCBF3}">
      <text>
        <r>
          <rPr>
            <sz val="9"/>
            <color indexed="81"/>
            <rFont val="Tahoma"/>
            <family val="2"/>
          </rPr>
          <t xml:space="preserve">Higher selling prices across all product lines were due to significantly higher raw material, energy, and distribution prices. 
Higher selling prices were due to strong demand across several key end-markets. </t>
        </r>
        <r>
          <rPr>
            <b/>
            <sz val="9"/>
            <color indexed="81"/>
            <rFont val="Tahoma"/>
            <family val="2"/>
          </rPr>
          <t>Cost pass-through contracts represented approximately 45 percent of the selling price increase in 2022.</t>
        </r>
      </text>
    </comment>
    <comment ref="BK265" authorId="0" shapeId="0" xr:uid="{65F7DD44-4814-4923-8C24-427B55ADDB46}">
      <text>
        <r>
          <rPr>
            <sz val="9"/>
            <color indexed="81"/>
            <rFont val="Tahoma"/>
            <family val="2"/>
          </rPr>
          <t xml:space="preserve"> We have some evidence that stable end markets such as personal care and water treatment are improving in the first quarter as the pace of destocking slows  </t>
        </r>
      </text>
    </comment>
    <comment ref="BP265" authorId="0" shapeId="0" xr:uid="{589C07C6-C293-4E49-8C91-F3EE334898FE}">
      <text>
        <r>
          <rPr>
            <sz val="9"/>
            <color indexed="81"/>
            <rFont val="Tahoma"/>
            <family val="2"/>
          </rPr>
          <t xml:space="preserve"> We have some evidence that stable end markets such as personal care and water treatment are improving in the first quarter as the pace of destocking slows  </t>
        </r>
      </text>
    </comment>
    <comment ref="AC267" authorId="0" shapeId="0" xr:uid="{79E66C36-FCDA-4E8C-928F-1D132DCAB2BF}">
      <text>
        <r>
          <rPr>
            <sz val="9"/>
            <color indexed="81"/>
            <rFont val="Tahoma"/>
            <family val="2"/>
          </rPr>
          <t>Sales revenue in first quarter 2022 increased compared to first quarter 2021 primarily due to higher selling prices and higher sales volume across the businesses, particularly care additives product lines. 
Higher selling prices were primarily due to strong end-market demand and higher raw material, energy, and distribution prices. Cost pass-through contracts represented approximately 40 percent of the selling price increase. 
Higher sales volume was a result of strong underlying market demand in key markets including building and construction, personal care, and animal nutrition.</t>
        </r>
      </text>
    </comment>
    <comment ref="BK267" authorId="0" shapeId="0" xr:uid="{00E4C7EC-08EA-4CEE-8126-11FE9F5D2752}">
      <text>
        <r>
          <rPr>
            <sz val="9"/>
            <color indexed="81"/>
            <rFont val="Tahoma"/>
            <family val="2"/>
          </rPr>
          <t>Building and construction and durables remain under pressure, with destocking continuing into the first quarter.</t>
        </r>
      </text>
    </comment>
    <comment ref="BP267" authorId="0" shapeId="0" xr:uid="{5AA17EDF-199E-4290-9F5D-1AE8461C3060}">
      <text>
        <r>
          <rPr>
            <b/>
            <sz val="9"/>
            <color indexed="81"/>
            <rFont val="Tahoma"/>
            <family val="2"/>
          </rPr>
          <t>Building and construction and durables</t>
        </r>
        <r>
          <rPr>
            <sz val="9"/>
            <color indexed="81"/>
            <rFont val="Tahoma"/>
            <family val="2"/>
          </rPr>
          <t xml:space="preserve"> remain under pressure, with destocking continuing into the first quarter.
Additional challenges are expected in 2023:
-A slowing building and construction market 
-The global auto market remaining at recessionary levels
</t>
        </r>
      </text>
    </comment>
    <comment ref="AN269" authorId="1" shapeId="0" xr:uid="{AC49B338-7B3B-48F5-9A76-EB181156A42E}">
      <text>
        <r>
          <rPr>
            <b/>
            <sz val="9"/>
            <color indexed="81"/>
            <rFont val="Tahoma"/>
            <family val="2"/>
          </rPr>
          <t xml:space="preserve">10K pg 53/157 is reporting 607
</t>
        </r>
      </text>
    </comment>
    <comment ref="P271" authorId="1" shapeId="0" xr:uid="{55E7C853-FCC0-4B70-AEA2-E5ABF3A51FC8}">
      <text>
        <r>
          <rPr>
            <sz val="9"/>
            <color indexed="81"/>
            <rFont val="Tahoma"/>
            <family val="2"/>
          </rPr>
          <t>Due to initiation of trade war.</t>
        </r>
      </text>
    </comment>
    <comment ref="BK271" authorId="1" shapeId="0" xr:uid="{8A5E53EA-BB5C-4875-9222-E3205AC4CF5D}">
      <text>
        <r>
          <rPr>
            <sz val="9"/>
            <color indexed="81"/>
            <rFont val="Tahoma"/>
            <family val="2"/>
          </rPr>
          <t xml:space="preserve">The animal nutrition business consists of organic acid-based solutions product lines. 
The crop protection business consists of metam-based soil fumigants, thiram and ziram-based fungicides, and plant growth regulator products.
End use:
</t>
        </r>
        <r>
          <rPr>
            <b/>
            <sz val="9"/>
            <color indexed="81"/>
            <rFont val="Tahoma"/>
            <family val="2"/>
          </rPr>
          <t>Gut health solutions
Preservation and hygiene
Industrial applications</t>
        </r>
      </text>
    </comment>
    <comment ref="BK272" authorId="1" shapeId="0" xr:uid="{1D3CAB5D-1D84-411B-B722-DC194438B830}">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
"and it's not going to have market looseness driving spreads down
because they're CPTs. So that's just a great business and really quite attractive, just like the care chemical business and AFP."</t>
        </r>
      </text>
    </comment>
    <comment ref="BK273" authorId="1" shapeId="0" xr:uid="{AC61FC87-0486-404B-B141-06D5E03857AC}">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t>
        </r>
        <r>
          <rPr>
            <b/>
            <sz val="9"/>
            <color indexed="81"/>
            <rFont val="Tahoma"/>
            <family val="2"/>
          </rPr>
          <t xml:space="preserve">building and construction </t>
        </r>
        <r>
          <rPr>
            <sz val="9"/>
            <color indexed="81"/>
            <rFont val="Tahoma"/>
            <family val="2"/>
          </rPr>
          <t xml:space="preserve">(architectural coatings)
</t>
        </r>
        <r>
          <rPr>
            <b/>
            <sz val="9"/>
            <color indexed="81"/>
            <rFont val="Tahoma"/>
            <family val="2"/>
          </rPr>
          <t xml:space="preserve">transportation </t>
        </r>
        <r>
          <rPr>
            <sz val="9"/>
            <color indexed="81"/>
            <rFont val="Tahoma"/>
            <family val="2"/>
          </rPr>
          <t xml:space="preserve">(original equipment manufacturer "OEM") and refinish coatings
</t>
        </r>
        <r>
          <rPr>
            <b/>
            <sz val="9"/>
            <color indexed="81"/>
            <rFont val="Tahoma"/>
            <family val="2"/>
          </rPr>
          <t xml:space="preserve">durable goods </t>
        </r>
        <r>
          <rPr>
            <sz val="9"/>
            <color indexed="81"/>
            <rFont val="Tahoma"/>
            <family val="2"/>
          </rPr>
          <t xml:space="preserve">(wood, industrial coatings and applications)
</t>
        </r>
        <r>
          <rPr>
            <b/>
            <sz val="9"/>
            <color indexed="81"/>
            <rFont val="Tahoma"/>
            <family val="2"/>
          </rPr>
          <t>consumables</t>
        </r>
        <r>
          <rPr>
            <sz val="9"/>
            <color indexed="81"/>
            <rFont val="Tahoma"/>
            <family val="2"/>
          </rPr>
          <t xml:space="preserve"> (graphic arts, inks, and packaging)
electronics</t>
        </r>
      </text>
    </comment>
    <comment ref="BK274" authorId="1" shapeId="0" xr:uid="{60157695-1B5A-4C14-B7D0-17570BD0DF1F}">
      <text>
        <r>
          <rPr>
            <sz val="9"/>
            <color indexed="81"/>
            <rFont val="Tahoma"/>
            <family val="2"/>
          </rPr>
          <t xml:space="preserve">In the specialty fluids product line, the Company produces heat transfer and aviation fluids products.
End Use:
</t>
        </r>
        <r>
          <rPr>
            <b/>
            <sz val="9"/>
            <color indexed="81"/>
            <rFont val="Tahoma"/>
            <family val="2"/>
          </rPr>
          <t xml:space="preserve">industrial chemicals and processing </t>
        </r>
        <r>
          <rPr>
            <sz val="9"/>
            <color indexed="81"/>
            <rFont val="Tahoma"/>
            <family val="2"/>
          </rPr>
          <t>(heat transfer fluids for chemical processes)</t>
        </r>
        <r>
          <rPr>
            <b/>
            <sz val="9"/>
            <color indexed="81"/>
            <rFont val="Tahoma"/>
            <family val="2"/>
          </rPr>
          <t xml:space="preserve">
renewable energy
commercial aviation</t>
        </r>
        <r>
          <rPr>
            <sz val="9"/>
            <color indexed="81"/>
            <rFont val="Tahoma"/>
            <family val="2"/>
          </rPr>
          <t xml:space="preserve">
</t>
        </r>
      </text>
    </comment>
    <comment ref="AC278" authorId="0" shapeId="0" xr:uid="{21444F24-ACBA-4B8D-BD34-A4D6E6222889}">
      <text>
        <r>
          <rPr>
            <sz val="9"/>
            <color indexed="81"/>
            <rFont val="Tahoma"/>
            <family val="2"/>
          </rPr>
          <t>EBIT increased in first quarter 2022 compared to first quarter 2021 primarily due to higher selling prices more than offsetting higher raw material and energy costs, and higher distribution costs by $30 million and higher sales volume of $19 million.</t>
        </r>
      </text>
    </comment>
    <comment ref="AQ278" authorId="3" shapeId="0" xr:uid="{C4EF357C-B114-4CAD-BB97-3BEF92CF5DB5}">
      <text>
        <r>
          <rPr>
            <sz val="9"/>
            <color indexed="81"/>
            <rFont val="Tahoma"/>
            <family val="2"/>
          </rPr>
          <t>EBIT decreased primarily due to lower sales volume, less favorable product mix, and an unfavorable shift in foreign currency exchange rates</t>
        </r>
      </text>
    </comment>
    <comment ref="AR278" authorId="3" shapeId="0" xr:uid="{72DD1117-7B40-4C19-AD03-E2DA677510BE}">
      <text>
        <r>
          <rPr>
            <b/>
            <sz val="9"/>
            <color indexed="81"/>
            <rFont val="Tahoma"/>
            <family val="2"/>
          </rPr>
          <t xml:space="preserve">4Q19 Call: </t>
        </r>
        <r>
          <rPr>
            <sz val="9"/>
            <color indexed="81"/>
            <rFont val="Tahoma"/>
            <family val="2"/>
          </rPr>
          <t>Looking ahead to 2020, we expect solid growth in the 2/3, offset by continued challenges in the 1/3 impacting both spreads and volumes. Putting
it all together, we expect AFP's EBIT to be flat to slightly down compared to 2019.</t>
        </r>
      </text>
    </comment>
    <comment ref="AT278" authorId="0" shapeId="0" xr:uid="{0CE1120C-F474-4CD9-B63D-60DA812C51E3}">
      <text>
        <r>
          <rPr>
            <sz val="9"/>
            <color indexed="81"/>
            <rFont val="Tahoma"/>
            <family val="2"/>
          </rPr>
          <t xml:space="preserve">Adjusted EBIT increased </t>
        </r>
        <r>
          <rPr>
            <b/>
            <sz val="9"/>
            <color indexed="81"/>
            <rFont val="Tahoma"/>
            <family val="2"/>
          </rPr>
          <t xml:space="preserve">due to higher spreads as selling prices more than offset higher raw material, energy, and distribution costs </t>
        </r>
        <r>
          <rPr>
            <sz val="9"/>
            <color indexed="81"/>
            <rFont val="Tahoma"/>
            <family val="2"/>
          </rPr>
          <t>and lower SG&amp;A expense, partially offset by an unfavorable impact from foreign currency exchange rates.</t>
        </r>
      </text>
    </comment>
    <comment ref="AU278" authorId="0" shapeId="0" xr:uid="{9A27779B-087C-4886-BED1-BF07E27538F0}">
      <text>
        <r>
          <rPr>
            <sz val="9"/>
            <color indexed="81"/>
            <rFont val="Tahoma"/>
            <family val="2"/>
          </rPr>
          <t xml:space="preserve">Additional challenges are expected in 2023, including a slowing building and construction market the global auto market remaining at recessionary levels, and aggressive destocking in some end markets continuing in the first quarter 
As we move past the near term, we see earnings improving from first quarter levels for a few reasons. 
First, we expect raw material and energy costs to be lower and prices to remain resilient. 
We expect the spread improvement to be less than Advanced Materials as Additives Functional Products faced less inflation in 2022 as cost pass through contracts managed inflation better in 2022 
Second, cost actions taken at the corporate level will start to benefit results 
And finally, we are starting to see destocking slow across some stable end markets and some normal seasonal improvement 
</t>
        </r>
        <r>
          <rPr>
            <b/>
            <sz val="9"/>
            <color indexed="81"/>
            <rFont val="Tahoma"/>
            <family val="2"/>
          </rPr>
          <t>While recognizing the substantial uncertainty in the current environment, we expect Additives and Functional Products 2023 adjusted EBIT to be below 2022 levels.</t>
        </r>
      </text>
    </comment>
    <comment ref="R279" authorId="1" shapeId="0" xr:uid="{15023A66-8ADA-48B4-9749-641A4B29E55D}">
      <text>
        <r>
          <rPr>
            <sz val="9"/>
            <color indexed="81"/>
            <rFont val="Tahoma"/>
            <family val="2"/>
          </rPr>
          <t>EBIT decreased primarily due to lower sales volume ,lower selling prices and an unfavourable shift in foreign currency exchange rates partially offset by lower raw material costs and continued cost management.</t>
        </r>
      </text>
    </comment>
    <comment ref="S279" authorId="1" shapeId="0" xr:uid="{8CE4C25A-E974-490B-9AE3-53D8EA3B98F1}">
      <text>
        <r>
          <rPr>
            <sz val="9"/>
            <color indexed="81"/>
            <rFont val="Tahoma"/>
            <family val="2"/>
          </rPr>
          <t>Decreased primarily due to lower selling prices of $43 million, unfavorable product mix due to lower sales of premium products, particularly cellulose esters, and lower sales volume of $27 million, and higher planned manufacturing site maintenance costs of $7 million, partially offset by lower raw material costs of $42 million.</t>
        </r>
      </text>
    </comment>
    <comment ref="BK279" authorId="1" shapeId="0" xr:uid="{FC282714-C76A-4B5A-A2E3-BAD8E8339DCB}">
      <text>
        <r>
          <rPr>
            <sz val="9"/>
            <color indexed="81"/>
            <rFont val="Tahoma"/>
            <family val="2"/>
          </rPr>
          <t xml:space="preserve">The animal nutrition business consists of organic acid-based solutions product lines. 
The crop protection business consists of metam-based soil fumigants, thiram and ziram-based fungicides, and plant growth regulator products.
End use:
</t>
        </r>
        <r>
          <rPr>
            <b/>
            <sz val="9"/>
            <color indexed="81"/>
            <rFont val="Tahoma"/>
            <family val="2"/>
          </rPr>
          <t>Gut health solutions
Preservation and hygiene
Industrial applications</t>
        </r>
      </text>
    </comment>
    <comment ref="AF280" authorId="2" shapeId="0" xr:uid="{E3CE9E07-A3C5-49DD-B8AD-2F6993CA0C08}">
      <text>
        <r>
          <rPr>
            <sz val="9"/>
            <color indexed="81"/>
            <rFont val="Tahoma"/>
            <family val="2"/>
          </rPr>
          <t xml:space="preserve">Lower volume and lag in cost pass through pricing </t>
        </r>
      </text>
    </comment>
    <comment ref="AG280" authorId="0" shapeId="0" xr:uid="{4DFC31A5-4E45-4223-8C15-617069CC666A}">
      <text>
        <r>
          <rPr>
            <sz val="9"/>
            <color indexed="81"/>
            <rFont val="Tahoma"/>
            <family val="2"/>
          </rPr>
          <t xml:space="preserve">On costs, lower raw materials are being offset with higher seasonal winter energy costs, leading </t>
        </r>
        <r>
          <rPr>
            <b/>
            <sz val="9"/>
            <color indexed="81"/>
            <rFont val="Tahoma"/>
            <family val="2"/>
          </rPr>
          <t>Q1 spreads to be similar to Q4'22</t>
        </r>
      </text>
    </comment>
    <comment ref="AH280" authorId="0" shapeId="0" xr:uid="{ECE04EE7-AF9D-4A37-AFDD-BF5E96E9B536}">
      <text>
        <r>
          <rPr>
            <sz val="9"/>
            <color indexed="81"/>
            <rFont val="Tahoma"/>
            <family val="2"/>
          </rPr>
          <t>Lower costs but resiliency in higher selling prices to slightly improve the spreads</t>
        </r>
      </text>
    </comment>
    <comment ref="BK280" authorId="1" shapeId="0" xr:uid="{3E557A5D-31E7-4F73-BDEE-6DE5D6C4965D}">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
"and it's not going to have market looseness driving spreads down
because they're CPTs. So that's just a great business and really quite attractive, just like the care chemical business and AFP."</t>
        </r>
      </text>
    </comment>
    <comment ref="J281" authorId="1" shapeId="0" xr:uid="{DA7A4A33-C263-48EC-8D93-D64AB4821FA0}">
      <text>
        <r>
          <rPr>
            <sz val="9"/>
            <color indexed="81"/>
            <rFont val="Tahoma"/>
            <family val="2"/>
          </rPr>
          <t>The decrease in margin was primarily due to higher raw material and energy costs</t>
        </r>
      </text>
    </comment>
    <comment ref="P281" authorId="1" shapeId="0" xr:uid="{8BFA7D03-78EF-40AF-BAB5-6EAB6F8306B1}">
      <text>
        <r>
          <rPr>
            <sz val="9"/>
            <color indexed="81"/>
            <rFont val="Tahoma"/>
            <family val="2"/>
          </rPr>
          <t>Impact due to uncertainty from trade war.</t>
        </r>
      </text>
    </comment>
    <comment ref="R281" authorId="1" shapeId="0" xr:uid="{84E39263-E578-4EE4-B3F1-9EA74D1A2AA7}">
      <text>
        <r>
          <rPr>
            <sz val="9"/>
            <color indexed="81"/>
            <rFont val="Tahoma"/>
            <family val="2"/>
          </rPr>
          <t>Margins compressed 210 bps to 17.9% due to weaker demand in China and Europe, continued
competitive pressures for adhesives resins and tire additives, and lower selling prices.</t>
        </r>
      </text>
    </comment>
    <comment ref="AQ281" authorId="2" shapeId="0" xr:uid="{086DB881-EE86-43D4-B0EA-AAFCB4030FF2}">
      <text>
        <r>
          <rPr>
            <sz val="9"/>
            <color indexed="81"/>
            <rFont val="Tahoma"/>
            <family val="2"/>
          </rPr>
          <t>Probably due to removal of lower margin tire additives and adhesive resins business</t>
        </r>
      </text>
    </comment>
    <comment ref="AS281" authorId="2" shapeId="0" xr:uid="{5E5EBF33-BEA3-47E5-8F4A-E503D141A3BE}">
      <text>
        <r>
          <rPr>
            <sz val="9"/>
            <color indexed="81"/>
            <rFont val="Tahoma"/>
            <family val="2"/>
          </rPr>
          <t>higher manufacturing costs and investments in growth impacted EBIT</t>
        </r>
      </text>
    </comment>
    <comment ref="BK281" authorId="1" shapeId="0" xr:uid="{2F89A5CC-67E8-488C-BAF0-3C0B6A707B00}">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t>
        </r>
        <r>
          <rPr>
            <b/>
            <sz val="9"/>
            <color indexed="81"/>
            <rFont val="Tahoma"/>
            <family val="2"/>
          </rPr>
          <t xml:space="preserve">building and construction </t>
        </r>
        <r>
          <rPr>
            <sz val="9"/>
            <color indexed="81"/>
            <rFont val="Tahoma"/>
            <family val="2"/>
          </rPr>
          <t xml:space="preserve">(architectural coatings)
</t>
        </r>
        <r>
          <rPr>
            <b/>
            <sz val="9"/>
            <color indexed="81"/>
            <rFont val="Tahoma"/>
            <family val="2"/>
          </rPr>
          <t xml:space="preserve">transportation </t>
        </r>
        <r>
          <rPr>
            <sz val="9"/>
            <color indexed="81"/>
            <rFont val="Tahoma"/>
            <family val="2"/>
          </rPr>
          <t xml:space="preserve">(original equipment manufacturer "OEM") and refinish coatings
</t>
        </r>
        <r>
          <rPr>
            <b/>
            <sz val="9"/>
            <color indexed="81"/>
            <rFont val="Tahoma"/>
            <family val="2"/>
          </rPr>
          <t xml:space="preserve">durable goods </t>
        </r>
        <r>
          <rPr>
            <sz val="9"/>
            <color indexed="81"/>
            <rFont val="Tahoma"/>
            <family val="2"/>
          </rPr>
          <t xml:space="preserve">(wood, industrial coatings and applications)
</t>
        </r>
        <r>
          <rPr>
            <b/>
            <sz val="9"/>
            <color indexed="81"/>
            <rFont val="Tahoma"/>
            <family val="2"/>
          </rPr>
          <t>consumables</t>
        </r>
        <r>
          <rPr>
            <sz val="9"/>
            <color indexed="81"/>
            <rFont val="Tahoma"/>
            <family val="2"/>
          </rPr>
          <t xml:space="preserve"> (graphic arts, inks, and packaging)
electronics</t>
        </r>
      </text>
    </comment>
    <comment ref="BK282" authorId="1" shapeId="0" xr:uid="{2BE316A1-CD97-4CAE-82B7-2B07326C6B84}">
      <text>
        <r>
          <rPr>
            <sz val="9"/>
            <color indexed="81"/>
            <rFont val="Tahoma"/>
            <family val="2"/>
          </rPr>
          <t xml:space="preserve">In the specialty fluids product line, the Company produces heat transfer and aviation fluids products.
End Use:
</t>
        </r>
        <r>
          <rPr>
            <b/>
            <sz val="9"/>
            <color indexed="81"/>
            <rFont val="Tahoma"/>
            <family val="2"/>
          </rPr>
          <t xml:space="preserve">industrial chemicals and processing </t>
        </r>
        <r>
          <rPr>
            <sz val="9"/>
            <color indexed="81"/>
            <rFont val="Tahoma"/>
            <family val="2"/>
          </rPr>
          <t>(heat transfer fluids for chemical processes)</t>
        </r>
        <r>
          <rPr>
            <b/>
            <sz val="9"/>
            <color indexed="81"/>
            <rFont val="Tahoma"/>
            <family val="2"/>
          </rPr>
          <t xml:space="preserve">
renewable energy
commercial aviation</t>
        </r>
        <r>
          <rPr>
            <sz val="9"/>
            <color indexed="81"/>
            <rFont val="Tahoma"/>
            <family val="2"/>
          </rPr>
          <t xml:space="preserve">
</t>
        </r>
      </text>
    </comment>
    <comment ref="BK286" authorId="1" shapeId="0" xr:uid="{97EF0F32-5F47-443F-A5CC-00E9E39AEEF4}">
      <text>
        <r>
          <rPr>
            <sz val="9"/>
            <color indexed="81"/>
            <rFont val="Tahoma"/>
            <family val="2"/>
          </rPr>
          <t xml:space="preserve">The animal nutrition business consists of organic acid-based solutions product lines. 
The crop protection business consists of metam-based soil fumigants, thiram and ziram-based fungicides, and plant growth regulator products.
End use:
</t>
        </r>
        <r>
          <rPr>
            <b/>
            <sz val="9"/>
            <color indexed="81"/>
            <rFont val="Tahoma"/>
            <family val="2"/>
          </rPr>
          <t>Gut health solutions
Preservation and hygiene
Industrial applications</t>
        </r>
      </text>
    </comment>
    <comment ref="BK287" authorId="1" shapeId="0" xr:uid="{0F3E05B4-DA14-4640-8016-19493E38CEB1}">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
"and it's not going to have market looseness driving spreads down
because they're CPTs. So that's just a great business and really quite attractive, just like the care chemical business and AFP."</t>
        </r>
      </text>
    </comment>
    <comment ref="BK288" authorId="1" shapeId="0" xr:uid="{5CFF487C-F714-4AB3-ACAA-A72786F1739B}">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t>
        </r>
        <r>
          <rPr>
            <b/>
            <sz val="9"/>
            <color indexed="81"/>
            <rFont val="Tahoma"/>
            <family val="2"/>
          </rPr>
          <t xml:space="preserve">building and construction </t>
        </r>
        <r>
          <rPr>
            <sz val="9"/>
            <color indexed="81"/>
            <rFont val="Tahoma"/>
            <family val="2"/>
          </rPr>
          <t xml:space="preserve">(architectural coatings)
</t>
        </r>
        <r>
          <rPr>
            <b/>
            <sz val="9"/>
            <color indexed="81"/>
            <rFont val="Tahoma"/>
            <family val="2"/>
          </rPr>
          <t xml:space="preserve">transportation </t>
        </r>
        <r>
          <rPr>
            <sz val="9"/>
            <color indexed="81"/>
            <rFont val="Tahoma"/>
            <family val="2"/>
          </rPr>
          <t xml:space="preserve">(original equipment manufacturer "OEM") and refinish coatings
</t>
        </r>
        <r>
          <rPr>
            <b/>
            <sz val="9"/>
            <color indexed="81"/>
            <rFont val="Tahoma"/>
            <family val="2"/>
          </rPr>
          <t xml:space="preserve">durable goods </t>
        </r>
        <r>
          <rPr>
            <sz val="9"/>
            <color indexed="81"/>
            <rFont val="Tahoma"/>
            <family val="2"/>
          </rPr>
          <t xml:space="preserve">(wood, industrial coatings and applications)
</t>
        </r>
        <r>
          <rPr>
            <b/>
            <sz val="9"/>
            <color indexed="81"/>
            <rFont val="Tahoma"/>
            <family val="2"/>
          </rPr>
          <t>consumables</t>
        </r>
        <r>
          <rPr>
            <sz val="9"/>
            <color indexed="81"/>
            <rFont val="Tahoma"/>
            <family val="2"/>
          </rPr>
          <t xml:space="preserve"> (graphic arts, inks, and packaging)
electronics</t>
        </r>
      </text>
    </comment>
    <comment ref="C289" authorId="1" shapeId="0" xr:uid="{819789D1-05F0-4F67-9ED2-3E8C6F5A614F}">
      <text>
        <r>
          <rPr>
            <sz val="9"/>
            <color indexed="81"/>
            <rFont val="Tahoma"/>
            <family val="2"/>
          </rPr>
          <t>The animal nutrition business consists of organic acid-based solutions product lines. The crop protection business consists of metam-based soil fumigants, thiram and ziram-based fungicides, and plant growth regulator products.
End use 
gut health solutions
preservation and hygiene
industrial applications</t>
        </r>
      </text>
    </comment>
    <comment ref="BK289" authorId="1" shapeId="0" xr:uid="{7E5EE33D-684A-417A-B27F-FD601D71282A}">
      <text>
        <r>
          <rPr>
            <sz val="9"/>
            <color indexed="81"/>
            <rFont val="Tahoma"/>
            <family val="2"/>
          </rPr>
          <t xml:space="preserve">In the specialty fluids product line, the Company produces heat transfer and aviation fluids products.
End Use:
</t>
        </r>
        <r>
          <rPr>
            <b/>
            <sz val="9"/>
            <color indexed="81"/>
            <rFont val="Tahoma"/>
            <family val="2"/>
          </rPr>
          <t xml:space="preserve">industrial chemicals and processing </t>
        </r>
        <r>
          <rPr>
            <sz val="9"/>
            <color indexed="81"/>
            <rFont val="Tahoma"/>
            <family val="2"/>
          </rPr>
          <t>(heat transfer fluids for chemical processes)</t>
        </r>
        <r>
          <rPr>
            <b/>
            <sz val="9"/>
            <color indexed="81"/>
            <rFont val="Tahoma"/>
            <family val="2"/>
          </rPr>
          <t xml:space="preserve">
renewable energy
commercial aviation</t>
        </r>
        <r>
          <rPr>
            <sz val="9"/>
            <color indexed="81"/>
            <rFont val="Tahoma"/>
            <family val="2"/>
          </rPr>
          <t xml:space="preserve">
</t>
        </r>
      </text>
    </comment>
    <comment ref="C290" authorId="1" shapeId="0" xr:uid="{3DC09E8E-72AC-40FE-9318-6C71449CE822}">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t>
        </r>
      </text>
    </comment>
    <comment ref="C291" authorId="1" shapeId="0" xr:uid="{103332B6-9A04-43FC-986E-14C7F69B175A}">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building and construction (architectural coatings)
transportation (original equipment manufacturer "OEM") and refinish coatings
durable goods (wood, industrial coatings and applications)
consumables (graphic arts, inks, and packaging)
electronics</t>
        </r>
      </text>
    </comment>
    <comment ref="C292" authorId="1" shapeId="0" xr:uid="{FA06F620-B813-4EEE-B5F1-8A88B9B277FF}">
      <text>
        <r>
          <rPr>
            <sz val="9"/>
            <color indexed="81"/>
            <rFont val="Tahoma"/>
            <family val="2"/>
          </rPr>
          <t>In the specialty fluids product line, the Company produces heat transfer and aviation fluids products.</t>
        </r>
      </text>
    </comment>
    <comment ref="C294" authorId="1" shapeId="0" xr:uid="{1885A1D4-B346-472D-9586-F6EFD76DD666}">
      <text>
        <r>
          <rPr>
            <sz val="9"/>
            <color indexed="81"/>
            <rFont val="Tahoma"/>
            <family val="2"/>
          </rPr>
          <t xml:space="preserve">The adhesives resins product line consists of hydrocarbon and rosin resins.
</t>
        </r>
      </text>
    </comment>
    <comment ref="C295" authorId="1" shapeId="0" xr:uid="{DC8CB35C-173E-41DD-9EE0-3225E6CA4171}">
      <text>
        <r>
          <rPr>
            <sz val="9"/>
            <color indexed="81"/>
            <rFont val="Tahoma"/>
            <family val="2"/>
          </rPr>
          <t>The tire additives product line includes insoluble sulfur rubber additives, antidegradant rubber additives, and performance resins</t>
        </r>
      </text>
    </comment>
    <comment ref="AL296" authorId="1" shapeId="0" xr:uid="{57DC2E0C-B8F7-424A-8EB9-4EC5F3B92AC3}">
      <text>
        <r>
          <rPr>
            <sz val="9"/>
            <color indexed="81"/>
            <rFont val="Tahoma"/>
            <family val="2"/>
          </rPr>
          <t>In 2014, Care Chemicals, Specialty Fluids and Animal Nutrition and Crop Protection were considered in others segment.</t>
        </r>
      </text>
    </comment>
    <comment ref="AE297" authorId="0" shapeId="0" xr:uid="{8A193752-E6CD-4E4F-9858-9D29B36BBA9A}">
      <text>
        <r>
          <rPr>
            <sz val="9"/>
            <color indexed="81"/>
            <rFont val="Tahoma"/>
            <family val="2"/>
          </rPr>
          <t xml:space="preserve">Higher selling prices, </t>
        </r>
        <r>
          <rPr>
            <b/>
            <sz val="9"/>
            <color indexed="81"/>
            <rFont val="Tahoma"/>
            <family val="2"/>
          </rPr>
          <t>led by care additives</t>
        </r>
        <r>
          <rPr>
            <sz val="9"/>
            <color indexed="81"/>
            <rFont val="Tahoma"/>
            <family val="2"/>
          </rPr>
          <t xml:space="preserve">, were due to higher raw material, energy, and distribution prices. 
</t>
        </r>
        <r>
          <rPr>
            <b/>
            <sz val="9"/>
            <color indexed="81"/>
            <rFont val="Tahoma"/>
            <family val="2"/>
          </rPr>
          <t xml:space="preserve">Cost pass-through contracts contributed approximately half of the selling price increase in the segment. 
</t>
        </r>
        <r>
          <rPr>
            <sz val="9"/>
            <color indexed="81"/>
            <rFont val="Tahoma"/>
            <family val="2"/>
          </rPr>
          <t xml:space="preserve">
Higher sales volume/mix was driven by favorable mix in aviation fluids end markets, partially offset by weakening demand in the building and construction and industrial end markets.  </t>
        </r>
      </text>
    </comment>
    <comment ref="AT300" authorId="2" shapeId="0" xr:uid="{AA0A04CB-9018-4424-B1A0-11ABB6CC6692}">
      <text>
        <r>
          <rPr>
            <sz val="9"/>
            <color indexed="81"/>
            <rFont val="Tahoma"/>
            <family val="2"/>
          </rPr>
          <t xml:space="preserve">Sales volume/mix </t>
        </r>
        <r>
          <rPr>
            <b/>
            <sz val="9"/>
            <color indexed="81"/>
            <rFont val="Tahoma"/>
            <family val="2"/>
          </rPr>
          <t xml:space="preserve">growth in care additives and animal nutrition was partially offset by a decline in building and construction and industrial end markets </t>
        </r>
        <r>
          <rPr>
            <sz val="9"/>
            <color indexed="81"/>
            <rFont val="Tahoma"/>
            <family val="2"/>
          </rPr>
          <t>due to a deceleration of demand and customer inventory destocking that occurred in the fourth quarter.</t>
        </r>
      </text>
    </comment>
    <comment ref="AO301" authorId="2" shapeId="0" xr:uid="{3982040D-1209-4A91-AF43-7B65FC1DEA4F}">
      <text>
        <r>
          <rPr>
            <sz val="9"/>
            <color indexed="81"/>
            <rFont val="Tahoma"/>
            <family val="2"/>
          </rPr>
          <t xml:space="preserve">I would note that coating was more in line with how our customers' grew in that mix. </t>
        </r>
        <r>
          <rPr>
            <b/>
            <sz val="9"/>
            <color indexed="81"/>
            <rFont val="Tahoma"/>
            <family val="2"/>
          </rPr>
          <t>But as we look at 2018 we are confident to continue strong growth in sort of the mid-single digits areas.</t>
        </r>
        <r>
          <rPr>
            <sz val="9"/>
            <color indexed="81"/>
            <rFont val="Tahoma"/>
            <family val="2"/>
          </rPr>
          <t xml:space="preserve"> So it’s going to moderate a bit from where we were in 2017.</t>
        </r>
      </text>
    </comment>
    <comment ref="AT307" authorId="0" shapeId="0" xr:uid="{32157FA1-9B01-48A4-83B8-1FFE7B0F7C8E}">
      <text>
        <r>
          <rPr>
            <sz val="9"/>
            <color indexed="81"/>
            <rFont val="Tahoma"/>
            <family val="2"/>
          </rPr>
          <t xml:space="preserve">Higher selling prices across all product lines were due to significantly higher raw material, energy, and distribution prices. Sales volume/mix growth in care additives and animal nutrition was partially offset by a </t>
        </r>
        <r>
          <rPr>
            <b/>
            <sz val="9"/>
            <color indexed="81"/>
            <rFont val="Tahoma"/>
            <family val="2"/>
          </rPr>
          <t xml:space="preserve">decline in building and construction </t>
        </r>
        <r>
          <rPr>
            <sz val="9"/>
            <color indexed="81"/>
            <rFont val="Tahoma"/>
            <family val="2"/>
          </rPr>
          <t>and industrial end markets due to a deceleration of demand and customer inventory destocking that occurred in the fourth quarter</t>
        </r>
      </text>
    </comment>
    <comment ref="C316" authorId="1" shapeId="0" xr:uid="{BAC2DED3-DBF6-4449-A861-84DFA97A1FEB}">
      <text>
        <r>
          <rPr>
            <sz val="9"/>
            <color indexed="81"/>
            <rFont val="Tahoma"/>
            <family val="2"/>
          </rPr>
          <t>The animal nutrition business consists of organic acid-based solutions product lines. The crop protection business consists of metam-based soil fumigants, thiram and ziram-based fungicides, and plant growth regulator products.
End use:
gut health solutions
preservation and hygiene
industrial applications</t>
        </r>
      </text>
    </comment>
    <comment ref="AO316" authorId="2" shapeId="0" xr:uid="{764948D2-0F96-400D-8004-292A1A40A34D}">
      <text>
        <r>
          <rPr>
            <sz val="9"/>
            <color indexed="81"/>
            <rFont val="Tahoma"/>
            <family val="2"/>
          </rPr>
          <t>an accelerating growth in animal nutrition and care chemical, delivering a lot of strong volume growth</t>
        </r>
      </text>
    </comment>
    <comment ref="AQ316" authorId="0" shapeId="0" xr:uid="{DC6439E1-0175-4FC0-97BB-214A8F8FED7C}">
      <text>
        <r>
          <rPr>
            <sz val="9"/>
            <color indexed="81"/>
            <rFont val="Tahoma"/>
            <family val="2"/>
          </rPr>
          <t>increased competitive pressure in markets for tire additives, animal nutrition products, and adhesives resins.</t>
        </r>
      </text>
    </comment>
    <comment ref="C317" authorId="1" shapeId="0" xr:uid="{ADBA3F3C-11E9-425A-A3EA-C6FA1732AF67}">
      <text>
        <r>
          <rPr>
            <sz val="9"/>
            <color indexed="81"/>
            <rFont val="Tahoma"/>
            <family val="2"/>
          </rPr>
          <t xml:space="preserve">The care chemicals business consists of amine derivative-based building blocks for the production of flocculants and intermediates for surfactants
</t>
        </r>
        <r>
          <rPr>
            <b/>
            <sz val="9"/>
            <color indexed="81"/>
            <rFont val="Tahoma"/>
            <family val="2"/>
          </rPr>
          <t>End Use applications:</t>
        </r>
        <r>
          <rPr>
            <sz val="9"/>
            <color indexed="81"/>
            <rFont val="Tahoma"/>
            <family val="2"/>
          </rPr>
          <t xml:space="preserve"> 
water treatment
personal and home care
pharmaceuticals
agriculture
crop protection</t>
        </r>
      </text>
    </comment>
    <comment ref="AQ317" authorId="0" shapeId="0" xr:uid="{5294D6CB-B432-4A64-939B-68FD4A4693AF}">
      <text>
        <r>
          <rPr>
            <sz val="9"/>
            <color indexed="81"/>
            <rFont val="Tahoma"/>
            <family val="2"/>
          </rPr>
          <t>Lower selling prices were primarily due to lower raw material prices, including for care chemicals due to cost pass-through contracts,</t>
        </r>
      </text>
    </comment>
    <comment ref="AT317" authorId="0" shapeId="0" xr:uid="{576761CD-CBBF-4718-BA07-D5B70734F90B}">
      <text>
        <r>
          <rPr>
            <sz val="9"/>
            <color indexed="81"/>
            <rFont val="Tahoma"/>
            <family val="2"/>
          </rPr>
          <t xml:space="preserve">Sales volume/mix growth in care additives and animal nutrition was partially offset by a </t>
        </r>
        <r>
          <rPr>
            <b/>
            <sz val="9"/>
            <color indexed="81"/>
            <rFont val="Tahoma"/>
            <family val="2"/>
          </rPr>
          <t xml:space="preserve">decline in building and construction and industrial end markets due to a deceleration of demand and customer inventory destocking that occurred in the fourth quarter. </t>
        </r>
      </text>
    </comment>
    <comment ref="C318" authorId="1" shapeId="0" xr:uid="{22A98F06-E1D4-462A-A588-97F3E451EF02}">
      <text>
        <r>
          <rPr>
            <sz val="9"/>
            <color indexed="81"/>
            <rFont val="Tahoma"/>
            <family val="2"/>
          </rPr>
          <t xml:space="preserve">The products the Company manufactures in the coatings and inks additives product line can be broadly classified as polymers and additives and solvents and include specialty coalescents, specialty solvents, paint additives, and specialty polymers.
</t>
        </r>
        <r>
          <rPr>
            <b/>
            <sz val="9"/>
            <color indexed="81"/>
            <rFont val="Tahoma"/>
            <family val="2"/>
          </rPr>
          <t>End use applications:</t>
        </r>
        <r>
          <rPr>
            <sz val="9"/>
            <color indexed="81"/>
            <rFont val="Tahoma"/>
            <family val="2"/>
          </rPr>
          <t xml:space="preserve">
</t>
        </r>
        <r>
          <rPr>
            <b/>
            <sz val="9"/>
            <color indexed="81"/>
            <rFont val="Tahoma"/>
            <family val="2"/>
          </rPr>
          <t xml:space="preserve">building and construction </t>
        </r>
        <r>
          <rPr>
            <sz val="9"/>
            <color indexed="81"/>
            <rFont val="Tahoma"/>
            <family val="2"/>
          </rPr>
          <t xml:space="preserve">(architectural coatings)
</t>
        </r>
        <r>
          <rPr>
            <b/>
            <sz val="9"/>
            <color indexed="81"/>
            <rFont val="Tahoma"/>
            <family val="2"/>
          </rPr>
          <t xml:space="preserve">transportation </t>
        </r>
        <r>
          <rPr>
            <sz val="9"/>
            <color indexed="81"/>
            <rFont val="Tahoma"/>
            <family val="2"/>
          </rPr>
          <t xml:space="preserve">(original equipment manufacturer "OEM") and refinish coatings
</t>
        </r>
        <r>
          <rPr>
            <b/>
            <sz val="9"/>
            <color indexed="81"/>
            <rFont val="Tahoma"/>
            <family val="2"/>
          </rPr>
          <t xml:space="preserve">durable goods </t>
        </r>
        <r>
          <rPr>
            <sz val="9"/>
            <color indexed="81"/>
            <rFont val="Tahoma"/>
            <family val="2"/>
          </rPr>
          <t xml:space="preserve">(wood, industrial coatings and applications)
</t>
        </r>
        <r>
          <rPr>
            <b/>
            <sz val="9"/>
            <color indexed="81"/>
            <rFont val="Tahoma"/>
            <family val="2"/>
          </rPr>
          <t>consumables</t>
        </r>
        <r>
          <rPr>
            <sz val="9"/>
            <color indexed="81"/>
            <rFont val="Tahoma"/>
            <family val="2"/>
          </rPr>
          <t xml:space="preserve"> (graphic arts, inks, and packaging)
electronics</t>
        </r>
      </text>
    </comment>
    <comment ref="AP318" authorId="2" shapeId="0" xr:uid="{F667DF5C-6D95-4EAF-8414-C951C6717286}">
      <text>
        <r>
          <rPr>
            <sz val="9"/>
            <color indexed="81"/>
            <rFont val="Tahoma"/>
            <family val="2"/>
          </rPr>
          <t xml:space="preserve">I would note that coating was more in line with how our customers' grew in that mix. </t>
        </r>
        <r>
          <rPr>
            <b/>
            <sz val="9"/>
            <color indexed="81"/>
            <rFont val="Tahoma"/>
            <family val="2"/>
          </rPr>
          <t>But as we look at 2018 we are confident to continue strong growth in sort of the mid-single digits areas.</t>
        </r>
        <r>
          <rPr>
            <sz val="9"/>
            <color indexed="81"/>
            <rFont val="Tahoma"/>
            <family val="2"/>
          </rPr>
          <t xml:space="preserve"> So it’s going to moderate a bit from where we were in 2017.</t>
        </r>
      </text>
    </comment>
    <comment ref="AS318" authorId="0" shapeId="0" xr:uid="{E8E6AEF1-7621-4245-9283-050717910B3C}">
      <text>
        <r>
          <rPr>
            <sz val="9"/>
            <color indexed="81"/>
            <rFont val="Tahoma"/>
            <family val="2"/>
          </rPr>
          <t xml:space="preserve">Higher sales volume/mix was led by double-digit gains in coatings additives and specialty fluids due to </t>
        </r>
        <r>
          <rPr>
            <b/>
            <sz val="9"/>
            <color indexed="81"/>
            <rFont val="Tahoma"/>
            <family val="2"/>
          </rPr>
          <t>strengthened demand and improved market conditions for products sold in transportation, building &amp; construction, and durable goods end markets.</t>
        </r>
      </text>
    </comment>
    <comment ref="C319" authorId="1" shapeId="0" xr:uid="{947906B4-8926-44CB-961E-9A319C17DEBD}">
      <text>
        <r>
          <rPr>
            <sz val="9"/>
            <color indexed="81"/>
            <rFont val="Tahoma"/>
            <family val="2"/>
          </rPr>
          <t xml:space="preserve">In the specialty fluids product line, the Company produces heat transfer and aviation fluids products.
End Use:
</t>
        </r>
        <r>
          <rPr>
            <b/>
            <sz val="9"/>
            <color indexed="81"/>
            <rFont val="Tahoma"/>
            <family val="2"/>
          </rPr>
          <t xml:space="preserve">industrial chemicals and processing </t>
        </r>
        <r>
          <rPr>
            <sz val="9"/>
            <color indexed="81"/>
            <rFont val="Tahoma"/>
            <family val="2"/>
          </rPr>
          <t>(heat transfer fluids for chemical processes)</t>
        </r>
        <r>
          <rPr>
            <b/>
            <sz val="9"/>
            <color indexed="81"/>
            <rFont val="Tahoma"/>
            <family val="2"/>
          </rPr>
          <t xml:space="preserve">
renewable energy
commercial aviation</t>
        </r>
        <r>
          <rPr>
            <sz val="9"/>
            <color indexed="81"/>
            <rFont val="Tahoma"/>
            <family val="2"/>
          </rPr>
          <t xml:space="preserve">
</t>
        </r>
      </text>
    </comment>
    <comment ref="AS319" authorId="0" shapeId="0" xr:uid="{C0FFF8C3-369C-402A-BEE7-ECA7BF656B87}">
      <text>
        <r>
          <rPr>
            <sz val="9"/>
            <color indexed="81"/>
            <rFont val="Tahoma"/>
            <family val="2"/>
          </rPr>
          <t>Higher sales volume/mix was led by double-digit gains in coatings additives and specialty fluids due to strengthened demand and improved market conditions for products sold in transportation, building &amp; construction, and durable goods end markets.</t>
        </r>
      </text>
    </comment>
    <comment ref="AQ320" authorId="0" shapeId="0" xr:uid="{44BFD975-BAFB-42A0-8ED4-09C4654F8F4E}">
      <text>
        <r>
          <rPr>
            <sz val="9"/>
            <color indexed="81"/>
            <rFont val="Tahoma"/>
            <family val="2"/>
          </rPr>
          <t xml:space="preserve">The lower sales volume was primarily attributed to weaker end-market demand resulting from global trade-related pressures, particularly in transportation markets and other consumer discretionary end markets. </t>
        </r>
      </text>
    </comment>
    <comment ref="AT320" authorId="0" shapeId="0" xr:uid="{510A6A45-234B-4863-B129-0B4B85D5779F}">
      <text>
        <r>
          <rPr>
            <sz val="9"/>
            <color indexed="81"/>
            <rFont val="Tahoma"/>
            <family val="2"/>
          </rPr>
          <t>Sales revenue increased 17 percent due to 18 percent higher selling prices and 3 percent higher sales volume/mix, partially offset by a 4 percent unfavorable impact from foreign currency exchange rates</t>
        </r>
      </text>
    </comment>
    <comment ref="C324" authorId="0" shapeId="0" xr:uid="{8ABCF816-9A95-4662-BA0D-9DA6B2075FD2}">
      <text>
        <r>
          <rPr>
            <sz val="9"/>
            <color indexed="81"/>
            <rFont val="Tahoma"/>
            <family val="2"/>
          </rPr>
          <t>Total Construction Spending: Total Construction in the United States, Millions of Dollars, Monthly, Seasonally Adjusted Annual Rate</t>
        </r>
      </text>
    </comment>
    <comment ref="C327" authorId="0" shapeId="0" xr:uid="{A67EE833-6CD4-41FB-AE0F-1B64A1A074BC}">
      <text>
        <r>
          <rPr>
            <sz val="9"/>
            <color indexed="81"/>
            <rFont val="Tahoma"/>
            <family val="2"/>
          </rPr>
          <t>Total Vehicle Sales, Millions of Units, Monthly, Seasonally Adjusted Annual Rate</t>
        </r>
      </text>
    </comment>
    <comment ref="AL345" authorId="1" shapeId="0" xr:uid="{01375013-8032-47AD-84CE-B385A715673D}">
      <text>
        <r>
          <rPr>
            <sz val="9"/>
            <color indexed="81"/>
            <rFont val="Tahoma"/>
            <family val="2"/>
          </rPr>
          <t>Inclusive of Adhesives &amp; Plasticizers.</t>
        </r>
      </text>
    </comment>
    <comment ref="E346" authorId="1" shapeId="0" xr:uid="{F4BEFCCF-048B-4AB4-A6BF-CB3D89C276E8}">
      <text>
        <r>
          <rPr>
            <sz val="9"/>
            <color indexed="81"/>
            <rFont val="Tahoma"/>
            <family val="2"/>
          </rPr>
          <t>D&amp;A took as a % of quarter from total annual D&amp;A.</t>
        </r>
      </text>
    </comment>
    <comment ref="F346" authorId="1" shapeId="0" xr:uid="{0137D7B7-BFCE-46C4-A26B-3BDD6BB806CC}">
      <text>
        <r>
          <rPr>
            <sz val="9"/>
            <color indexed="81"/>
            <rFont val="Tahoma"/>
            <family val="2"/>
          </rPr>
          <t>D&amp;A took as a % of quarter from total annual D&amp;A.</t>
        </r>
      </text>
    </comment>
    <comment ref="G346" authorId="1" shapeId="0" xr:uid="{838CA6E6-2C34-4F7C-A022-093D8BA3D891}">
      <text>
        <r>
          <rPr>
            <sz val="9"/>
            <color indexed="81"/>
            <rFont val="Tahoma"/>
            <family val="2"/>
          </rPr>
          <t>D&amp;A took as a % of quarter from total annual D&amp;A.</t>
        </r>
      </text>
    </comment>
    <comment ref="H346" authorId="1" shapeId="0" xr:uid="{6BE5979B-13B9-4E7A-B381-582B4127B738}">
      <text>
        <r>
          <rPr>
            <sz val="9"/>
            <color indexed="81"/>
            <rFont val="Tahoma"/>
            <family val="2"/>
          </rPr>
          <t>D&amp;A took as a % of quarter from total annual D&amp;A.</t>
        </r>
      </text>
    </comment>
    <comment ref="I346" authorId="1" shapeId="0" xr:uid="{D0F1F964-4243-4528-867C-257B34DA90B7}">
      <text>
        <r>
          <rPr>
            <sz val="9"/>
            <color indexed="81"/>
            <rFont val="Tahoma"/>
            <family val="2"/>
          </rPr>
          <t>D&amp;A took as a % of quarter from total annual D&amp;A.</t>
        </r>
      </text>
    </comment>
    <comment ref="J346" authorId="1" shapeId="0" xr:uid="{CB8809C3-2B87-4FE5-A21D-B7C3E5C7176E}">
      <text>
        <r>
          <rPr>
            <sz val="9"/>
            <color indexed="81"/>
            <rFont val="Tahoma"/>
            <family val="2"/>
          </rPr>
          <t>D&amp;A took as a % of quarter from total annual D&amp;A.</t>
        </r>
      </text>
    </comment>
    <comment ref="K346" authorId="1" shapeId="0" xr:uid="{DD85FDFE-4AED-4094-8401-7A21F4C1B7AF}">
      <text>
        <r>
          <rPr>
            <sz val="9"/>
            <color indexed="81"/>
            <rFont val="Tahoma"/>
            <family val="2"/>
          </rPr>
          <t>D&amp;A took as a % of quarter from total annual D&amp;A.</t>
        </r>
      </text>
    </comment>
    <comment ref="L346" authorId="1" shapeId="0" xr:uid="{0D5C01F6-4722-4BA2-BD4D-281CF27F3A14}">
      <text>
        <r>
          <rPr>
            <sz val="9"/>
            <color indexed="81"/>
            <rFont val="Tahoma"/>
            <family val="2"/>
          </rPr>
          <t>D&amp;A took as a % of quarter from total annual D&amp;A.</t>
        </r>
      </text>
    </comment>
    <comment ref="M346" authorId="1" shapeId="0" xr:uid="{CBA52DCF-2CC9-42FC-9689-19DE6E5A8E5F}">
      <text>
        <r>
          <rPr>
            <sz val="9"/>
            <color indexed="81"/>
            <rFont val="Tahoma"/>
            <family val="2"/>
          </rPr>
          <t>D&amp;A took as a % of quarter from total annual D&amp;A.</t>
        </r>
      </text>
    </comment>
    <comment ref="N346" authorId="1" shapeId="0" xr:uid="{D07398AE-A3BA-4194-97B6-B01336854034}">
      <text>
        <r>
          <rPr>
            <sz val="9"/>
            <color indexed="81"/>
            <rFont val="Tahoma"/>
            <family val="2"/>
          </rPr>
          <t>D&amp;A took as a % of quarter from total annual D&amp;A.</t>
        </r>
      </text>
    </comment>
    <comment ref="O346" authorId="1" shapeId="0" xr:uid="{762319CB-E719-4777-91BA-D3B393AF3D5C}">
      <text>
        <r>
          <rPr>
            <sz val="9"/>
            <color indexed="81"/>
            <rFont val="Tahoma"/>
            <family val="2"/>
          </rPr>
          <t>D&amp;A took as a % of quarter from total annual D&amp;A.</t>
        </r>
      </text>
    </comment>
    <comment ref="P346" authorId="1" shapeId="0" xr:uid="{C8DB9E7B-CBB9-457A-9125-D9DB6E9254B9}">
      <text>
        <r>
          <rPr>
            <sz val="9"/>
            <color indexed="81"/>
            <rFont val="Tahoma"/>
            <family val="2"/>
          </rPr>
          <t>D&amp;A took as a % of quarter from total annual D&amp;A.</t>
        </r>
      </text>
    </comment>
    <comment ref="C351" authorId="1" shapeId="0" xr:uid="{CF920B82-2284-474F-BB1B-8F62DE118578}">
      <text>
        <r>
          <rPr>
            <sz val="9"/>
            <color indexed="81"/>
            <rFont val="Tahoma"/>
            <family val="2"/>
          </rPr>
          <t>In the AM segment, the Company produces and markets polymers, films, and plastics with differentiated performance properties for value-added end-uses in transportation, consumables, building and construction, durable goods, and health and wellness markets. Key technology platforms for this segment include cellulose esters, copolyesters, and polyvinyl butyral ("PVB") and polyester films.</t>
        </r>
      </text>
    </comment>
    <comment ref="BK352" authorId="0" shapeId="0" xr:uid="{42BC20DA-7AD9-4A95-B091-489E380D315A}">
      <text>
        <r>
          <rPr>
            <b/>
            <sz val="9"/>
            <color indexed="81"/>
            <rFont val="Tahoma"/>
            <family val="2"/>
          </rPr>
          <t xml:space="preserve">Interlayer: </t>
        </r>
        <r>
          <rPr>
            <sz val="9"/>
            <color indexed="81"/>
            <rFont val="Tahoma"/>
            <family val="2"/>
          </rPr>
          <t xml:space="preserve">(automotive safety glass, automotive acoustic glass, and HUD) &lt; Binding glasses and interlayers for HUD - Saflex&gt;
</t>
        </r>
        <r>
          <rPr>
            <b/>
            <sz val="9"/>
            <color indexed="81"/>
            <rFont val="Tahoma"/>
            <family val="2"/>
          </rPr>
          <t xml:space="preserve">Performance Films: </t>
        </r>
        <r>
          <rPr>
            <sz val="9"/>
            <color indexed="81"/>
            <rFont val="Tahoma"/>
            <family val="2"/>
          </rPr>
          <t>(automotive aftermarket window films and paint protection films)</t>
        </r>
      </text>
    </comment>
    <comment ref="R353" authorId="1" shapeId="0" xr:uid="{3A998EF1-BCDC-4064-8D0F-C00672E8EF2A}">
      <text>
        <r>
          <rPr>
            <sz val="9"/>
            <color indexed="81"/>
            <rFont val="Tahoma"/>
            <family val="2"/>
          </rPr>
          <t>Sales revenue decreased due to lower sales volume and an unfavourable shift in foreign currency exchange rates. Lower specialty plastics sales volume was attributed to uncertainty caused by the U.S.-China trade dispute. Lower advanced interlayers and performance films sales volume was primarily attributed to reduced global automotive sales, partially offset by increased sales of certain premium products including paint protection film and acoustic and architectural interlayers.</t>
        </r>
      </text>
    </comment>
    <comment ref="S353" authorId="1" shapeId="0" xr:uid="{28A058E8-40C8-4132-B31C-8DF65F2234F3}">
      <text>
        <r>
          <rPr>
            <sz val="9"/>
            <color indexed="81"/>
            <rFont val="Tahoma"/>
            <family val="2"/>
          </rPr>
          <t>Sales revenue decreased due to lower selling prices and an unfavorable shift in foreign currency exchange rates. Lower selling prices were primarily due to lower raw material prices. Sales volume was relatively unchanged despite uncertainty caused by global trade disruptions and reduced global automotive sales. Increased sales of premium products including Tritan™ copolyester, Saflex™ acoustic interlayers, and paint protection film were offset by lower sales volume of non-premium copolyester and interlayer products.</t>
        </r>
      </text>
    </comment>
    <comment ref="T353" authorId="3" shapeId="0" xr:uid="{7F5A67D2-EBC9-4567-976C-173A084A9916}">
      <text>
        <r>
          <rPr>
            <b/>
            <sz val="9"/>
            <color indexed="81"/>
            <rFont val="Tahoma"/>
            <family val="2"/>
          </rPr>
          <t>4Q19 Call:</t>
        </r>
        <r>
          <rPr>
            <sz val="9"/>
            <color indexed="81"/>
            <rFont val="Tahoma"/>
            <family val="2"/>
          </rPr>
          <t xml:space="preserve"> While Advanced Materials had challenges in the early part of the 2019, once destocking had largely played out in the supply chain between the U.S. and China, volumes returned to a more normal level, and the segment's innovation programs drove growth</t>
        </r>
      </text>
    </comment>
    <comment ref="BK353" authorId="0" shapeId="0" xr:uid="{5C93CED5-C487-47A2-BC00-5981661BF99F}">
      <text>
        <r>
          <rPr>
            <b/>
            <sz val="9"/>
            <color indexed="81"/>
            <rFont val="Tahoma"/>
            <family val="2"/>
          </rPr>
          <t xml:space="preserve">Specialty Plastics </t>
        </r>
        <r>
          <rPr>
            <sz val="9"/>
            <color indexed="81"/>
            <rFont val="Tahoma"/>
            <family val="2"/>
          </rPr>
          <t xml:space="preserve">(consumer housewares and appliances  - Tritan, Cristal, Treva) 
</t>
        </r>
        <r>
          <rPr>
            <b/>
            <sz val="9"/>
            <color indexed="81"/>
            <rFont val="Tahoma"/>
            <family val="2"/>
          </rPr>
          <t xml:space="preserve">Specialty Plastics </t>
        </r>
        <r>
          <rPr>
            <sz val="9"/>
            <color indexed="81"/>
            <rFont val="Tahoma"/>
            <family val="2"/>
          </rPr>
          <t xml:space="preserve">(displays)
</t>
        </r>
      </text>
    </comment>
    <comment ref="BK354" authorId="0" shapeId="0" xr:uid="{BE568480-9C65-437A-87EF-6603FD7ADB9D}">
      <text>
        <r>
          <rPr>
            <b/>
            <sz val="9"/>
            <color indexed="81"/>
            <rFont val="Tahoma"/>
            <family val="2"/>
          </rPr>
          <t>Interlayer:</t>
        </r>
        <r>
          <rPr>
            <sz val="9"/>
            <color indexed="81"/>
            <rFont val="Tahoma"/>
            <family val="2"/>
          </rPr>
          <t xml:space="preserve">(PVB for architectural interlayers) &lt; Binding glasses &gt;
</t>
        </r>
        <r>
          <rPr>
            <b/>
            <sz val="9"/>
            <color indexed="81"/>
            <rFont val="Tahoma"/>
            <family val="2"/>
          </rPr>
          <t xml:space="preserve">Performance films: </t>
        </r>
        <r>
          <rPr>
            <sz val="9"/>
            <color indexed="81"/>
            <rFont val="Tahoma"/>
            <family val="2"/>
          </rPr>
          <t xml:space="preserve">(residential and commercial window films) 
</t>
        </r>
      </text>
    </comment>
    <comment ref="BK355" authorId="0" shapeId="0" xr:uid="{4A626A0F-C283-4C1C-9864-2AA11C6C3535}">
      <text>
        <r>
          <rPr>
            <b/>
            <sz val="9"/>
            <color indexed="81"/>
            <rFont val="Tahoma"/>
            <family val="2"/>
          </rPr>
          <t xml:space="preserve">Films: </t>
        </r>
        <r>
          <rPr>
            <sz val="9"/>
            <color indexed="81"/>
            <rFont val="Tahoma"/>
            <family val="2"/>
          </rPr>
          <t>Health and wellness (medical)
Specialty Products - Treva</t>
        </r>
      </text>
    </comment>
    <comment ref="BK356" authorId="0" shapeId="0" xr:uid="{0F2866F3-F392-4E82-A7C4-276EF0F4A08E}">
      <text>
        <r>
          <rPr>
            <b/>
            <sz val="9"/>
            <color indexed="81"/>
            <rFont val="Tahoma"/>
            <family val="2"/>
          </rPr>
          <t xml:space="preserve">Specialty Plastic: </t>
        </r>
        <r>
          <rPr>
            <sz val="9"/>
            <color indexed="81"/>
            <rFont val="Tahoma"/>
            <family val="2"/>
          </rPr>
          <t xml:space="preserve">(consumer packaging - (Embrace - Shrink films), cosmetics packaging (Eastar), in-store fixtures and displays - Spectar)
</t>
        </r>
      </text>
    </comment>
    <comment ref="AD357" authorId="0" shapeId="0" xr:uid="{A58A0590-74F1-4890-BAC5-DB62925EF71D}">
      <text>
        <r>
          <rPr>
            <sz val="9"/>
            <color indexed="81"/>
            <rFont val="Tahoma"/>
            <family val="2"/>
          </rPr>
          <t>Innovation and market development leading to strong volume/mix improvement</t>
        </r>
      </text>
    </comment>
    <comment ref="AE357" authorId="0" shapeId="0" xr:uid="{D78750E1-0DE0-418A-90D5-B11C22C73890}">
      <text>
        <r>
          <rPr>
            <sz val="9"/>
            <color indexed="81"/>
            <rFont val="Tahoma"/>
            <family val="2"/>
          </rPr>
          <t>Expect to recover a significant portion of financial impact of Kingsport steam line incident through higher volume in remainder of the year</t>
        </r>
      </text>
    </comment>
    <comment ref="AE358" authorId="0" shapeId="0" xr:uid="{90677FA5-B45D-44FB-8C8B-BAE05365E611}">
      <text>
        <r>
          <rPr>
            <sz val="9"/>
            <color indexed="81"/>
            <rFont val="Tahoma"/>
            <family val="2"/>
          </rPr>
          <t>Higher selling prices to recover spreads from 2H21 – on track for ~$100 million spread recovery through remainder of the year;</t>
        </r>
      </text>
    </comment>
    <comment ref="Q359" authorId="3" shapeId="0" xr:uid="{CF5F49D2-5881-4340-8F9A-3B3079D5891C}">
      <text>
        <r>
          <rPr>
            <b/>
            <sz val="9"/>
            <color indexed="81"/>
            <rFont val="Tahoma"/>
            <family val="2"/>
          </rPr>
          <t>1Q19 Transcript:</t>
        </r>
        <r>
          <rPr>
            <sz val="9"/>
            <color indexed="81"/>
            <rFont val="Tahoma"/>
            <family val="2"/>
          </rPr>
          <t xml:space="preserve"> we don't have the currency headwind that we had in the first half of the year. So you don't have that $15 million headwind that is on AM in the first half of the year, repeating In the second half.</t>
        </r>
      </text>
    </comment>
    <comment ref="BK361" authorId="0" shapeId="0" xr:uid="{35B6E63D-A129-4210-82C7-464A6649928C}">
      <text>
        <r>
          <rPr>
            <b/>
            <sz val="9"/>
            <color indexed="81"/>
            <rFont val="Tahoma"/>
            <family val="2"/>
          </rPr>
          <t xml:space="preserve">Interlayer: </t>
        </r>
        <r>
          <rPr>
            <sz val="9"/>
            <color indexed="81"/>
            <rFont val="Tahoma"/>
            <family val="2"/>
          </rPr>
          <t xml:space="preserve">(automotive safety glass, automotive acoustic glass, and HUD) &lt; Binding glasses and interlayers for HUD - Saflex&gt;
</t>
        </r>
        <r>
          <rPr>
            <b/>
            <sz val="9"/>
            <color indexed="81"/>
            <rFont val="Tahoma"/>
            <family val="2"/>
          </rPr>
          <t xml:space="preserve">Performance Films: </t>
        </r>
        <r>
          <rPr>
            <sz val="9"/>
            <color indexed="81"/>
            <rFont val="Tahoma"/>
            <family val="2"/>
          </rPr>
          <t>(automotive aftermarket  window films and paint protection films)</t>
        </r>
      </text>
    </comment>
    <comment ref="BO361" authorId="0" shapeId="0" xr:uid="{62D2F42F-4536-4EAF-B852-E4107D2F01E2}">
      <text>
        <r>
          <rPr>
            <sz val="9"/>
            <color indexed="81"/>
            <rFont val="Tahoma"/>
            <family val="2"/>
          </rPr>
          <t xml:space="preserve">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 xml:space="preserve">copolyesters in medical applications 
key Tritan ™ end mar kets  </t>
        </r>
      </text>
    </comment>
    <comment ref="BP361" authorId="0" shapeId="0" xr:uid="{352D77B4-5546-4219-B291-A1B47B11829D}">
      <text>
        <r>
          <rPr>
            <sz val="9"/>
            <color indexed="81"/>
            <rFont val="Tahoma"/>
            <family val="2"/>
          </rPr>
          <t xml:space="preserve">In automotive, first quarter demand appears to be slightly below fourth quarter levels. 
</t>
        </r>
      </text>
    </comment>
    <comment ref="BS361" authorId="0" shapeId="0" xr:uid="{8F25D1CE-A043-4692-838B-5144E12461F5}">
      <text>
        <r>
          <rPr>
            <sz val="9"/>
            <color indexed="81"/>
            <rFont val="Tahoma"/>
            <family val="2"/>
          </rPr>
          <t>Growth drivers:
Deeper penetration of PPF along with a rise in income levels in high-growth automobile markets like India, Indonesia etc provides long term demand outlook for PPF
Multiple sources cite a 6% - 8% CAGR for the global PPF market
HUD is relatively small and only comes in premium cars but a global shift towards EVs with features such as HUD should give a boost.</t>
        </r>
      </text>
    </comment>
    <comment ref="BK362" authorId="0" shapeId="0" xr:uid="{D6D8B485-2F62-4106-95F9-B3027F8F87FA}">
      <text>
        <r>
          <rPr>
            <b/>
            <sz val="9"/>
            <color indexed="81"/>
            <rFont val="Tahoma"/>
            <family val="2"/>
          </rPr>
          <t xml:space="preserve">Specialty Plastics </t>
        </r>
        <r>
          <rPr>
            <sz val="9"/>
            <color indexed="81"/>
            <rFont val="Tahoma"/>
            <family val="2"/>
          </rPr>
          <t xml:space="preserve">(consumer housewares and appliances  - Tritan Treva) 
</t>
        </r>
        <r>
          <rPr>
            <b/>
            <sz val="9"/>
            <color indexed="81"/>
            <rFont val="Tahoma"/>
            <family val="2"/>
          </rPr>
          <t xml:space="preserve">Specialty Plastics </t>
        </r>
        <r>
          <rPr>
            <sz val="9"/>
            <color indexed="81"/>
            <rFont val="Tahoma"/>
            <family val="2"/>
          </rPr>
          <t xml:space="preserve">(displays)
</t>
        </r>
      </text>
    </comment>
    <comment ref="BO362" authorId="0" shapeId="0" xr:uid="{1A36D2A1-8C6A-494D-9CA3-11EA8258A64C}">
      <text>
        <r>
          <rPr>
            <b/>
            <sz val="9"/>
            <color indexed="81"/>
            <rFont val="Tahoma"/>
            <family val="2"/>
          </rPr>
          <t>Lower sales volume resulted from reduced demand</t>
        </r>
        <r>
          <rPr>
            <sz val="9"/>
            <color indexed="81"/>
            <rFont val="Tahoma"/>
            <family val="2"/>
          </rPr>
          <t xml:space="preserve"> and aggressive destocking in </t>
        </r>
        <r>
          <rPr>
            <b/>
            <sz val="9"/>
            <color indexed="81"/>
            <rFont val="Tahoma"/>
            <family val="2"/>
          </rPr>
          <t>consumer durables</t>
        </r>
        <r>
          <rPr>
            <sz val="9"/>
            <color indexed="81"/>
            <rFont val="Tahoma"/>
            <family val="2"/>
          </rPr>
          <t xml:space="preserve"> and </t>
        </r>
        <r>
          <rPr>
            <b/>
            <sz val="9"/>
            <color indexed="81"/>
            <rFont val="Tahoma"/>
            <family val="2"/>
          </rPr>
          <t xml:space="preserve">building and construction </t>
        </r>
        <r>
          <rPr>
            <sz val="9"/>
            <color indexed="81"/>
            <rFont val="Tahoma"/>
            <family val="2"/>
          </rPr>
          <t xml:space="preserve">end market s primarily in the fourth quarter as well as planned and unplanned manufacturing maintenance. 
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copolyesters in medical applications</t>
        </r>
        <r>
          <rPr>
            <sz val="9"/>
            <color indexed="81"/>
            <rFont val="Tahoma"/>
            <family val="2"/>
          </rPr>
          <t xml:space="preserve"> and key </t>
        </r>
        <r>
          <rPr>
            <b/>
            <sz val="9"/>
            <color indexed="81"/>
            <rFont val="Tahoma"/>
            <family val="2"/>
          </rPr>
          <t xml:space="preserve">Tritan ™ end markets </t>
        </r>
      </text>
    </comment>
    <comment ref="BP362" authorId="0" shapeId="0" xr:uid="{873B3360-147D-4EB8-93CF-0DD41EDE198C}">
      <text>
        <r>
          <rPr>
            <sz val="9"/>
            <color indexed="81"/>
            <rFont val="Tahoma"/>
            <family val="2"/>
          </rPr>
          <t xml:space="preserve">In consumer durables, aggressive destocking is continuing through the first quarter. 
</t>
        </r>
      </text>
    </comment>
    <comment ref="BS362" authorId="0" shapeId="0" xr:uid="{3888C260-8F2A-447F-9F21-1E08BA4753DD}">
      <text>
        <r>
          <rPr>
            <sz val="9"/>
            <color indexed="81"/>
            <rFont val="Tahoma"/>
            <family val="2"/>
          </rPr>
          <t>Increasing use of Tritan Renew product line in line with global regulations shifting towards recycled content in packaging, clothes etc</t>
        </r>
      </text>
    </comment>
    <comment ref="BK363" authorId="0" shapeId="0" xr:uid="{22468CCA-1263-4EAD-A7E9-A965583DC88F}">
      <text>
        <r>
          <rPr>
            <b/>
            <sz val="9"/>
            <color indexed="81"/>
            <rFont val="Tahoma"/>
            <family val="2"/>
          </rPr>
          <t>Interlayer:</t>
        </r>
        <r>
          <rPr>
            <sz val="9"/>
            <color indexed="81"/>
            <rFont val="Tahoma"/>
            <family val="2"/>
          </rPr>
          <t xml:space="preserve">(PVB for architectural interlayers) &lt; Binding glasses &gt;
</t>
        </r>
        <r>
          <rPr>
            <b/>
            <sz val="9"/>
            <color indexed="81"/>
            <rFont val="Tahoma"/>
            <family val="2"/>
          </rPr>
          <t xml:space="preserve">Performance films: </t>
        </r>
        <r>
          <rPr>
            <sz val="9"/>
            <color indexed="81"/>
            <rFont val="Tahoma"/>
            <family val="2"/>
          </rPr>
          <t xml:space="preserve">(residential and commercial window films) 
</t>
        </r>
      </text>
    </comment>
    <comment ref="BO363" authorId="0" shapeId="0" xr:uid="{522D4BC6-92FE-47FE-B69E-D3F6BF04ED15}">
      <text>
        <r>
          <rPr>
            <b/>
            <sz val="9"/>
            <color indexed="81"/>
            <rFont val="Tahoma"/>
            <family val="2"/>
          </rPr>
          <t>Lower sales volume resulted from reduced demand</t>
        </r>
        <r>
          <rPr>
            <sz val="9"/>
            <color indexed="81"/>
            <rFont val="Tahoma"/>
            <family val="2"/>
          </rPr>
          <t xml:space="preserve"> and aggressive destocking in </t>
        </r>
        <r>
          <rPr>
            <b/>
            <sz val="9"/>
            <color indexed="81"/>
            <rFont val="Tahoma"/>
            <family val="2"/>
          </rPr>
          <t>consumer durables</t>
        </r>
        <r>
          <rPr>
            <sz val="9"/>
            <color indexed="81"/>
            <rFont val="Tahoma"/>
            <family val="2"/>
          </rPr>
          <t xml:space="preserve"> and </t>
        </r>
        <r>
          <rPr>
            <b/>
            <sz val="9"/>
            <color indexed="81"/>
            <rFont val="Tahoma"/>
            <family val="2"/>
          </rPr>
          <t xml:space="preserve">building and construction </t>
        </r>
        <r>
          <rPr>
            <sz val="9"/>
            <color indexed="81"/>
            <rFont val="Tahoma"/>
            <family val="2"/>
          </rPr>
          <t xml:space="preserve">end market s primarily in the fourth quarter as well as planned and unplanned manufacturing maintenance. 
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copolyesters in medical applications</t>
        </r>
        <r>
          <rPr>
            <sz val="9"/>
            <color indexed="81"/>
            <rFont val="Tahoma"/>
            <family val="2"/>
          </rPr>
          <t xml:space="preserve"> and key </t>
        </r>
        <r>
          <rPr>
            <b/>
            <sz val="9"/>
            <color indexed="81"/>
            <rFont val="Tahoma"/>
            <family val="2"/>
          </rPr>
          <t xml:space="preserve">Tritan ™ end mar kets 
</t>
        </r>
        <r>
          <rPr>
            <sz val="9"/>
            <color indexed="81"/>
            <rFont val="Tahoma"/>
            <family val="2"/>
          </rPr>
          <t xml:space="preserve">This improvement in mix helped to offset production limitation s associated with operational outages. </t>
        </r>
        <r>
          <rPr>
            <b/>
            <sz val="9"/>
            <color indexed="81"/>
            <rFont val="Tahoma"/>
            <family val="2"/>
          </rPr>
          <t>On a full year basis, sales volume/mix was lower due to weak demand and destocking in the fourth quarter.</t>
        </r>
      </text>
    </comment>
    <comment ref="BK364" authorId="0" shapeId="0" xr:uid="{61D94414-C6D9-4E01-9A86-0DEA3E20A9F0}">
      <text>
        <r>
          <rPr>
            <b/>
            <sz val="9"/>
            <color indexed="81"/>
            <rFont val="Tahoma"/>
            <family val="2"/>
          </rPr>
          <t xml:space="preserve">Films: </t>
        </r>
        <r>
          <rPr>
            <sz val="9"/>
            <color indexed="81"/>
            <rFont val="Tahoma"/>
            <family val="2"/>
          </rPr>
          <t>Health and wellness (medical)
Specialty Plastic</t>
        </r>
      </text>
    </comment>
    <comment ref="BO364" authorId="0" shapeId="0" xr:uid="{0A99858F-66EF-4B0C-B5AD-9E37BC0519C9}">
      <text>
        <r>
          <rPr>
            <sz val="9"/>
            <color indexed="81"/>
            <rFont val="Tahoma"/>
            <family val="2"/>
          </rPr>
          <t xml:space="preserve">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 xml:space="preserve">copolyesters in medical applications 
key Tritan ™ end mar kets  </t>
        </r>
      </text>
    </comment>
    <comment ref="BP364" authorId="0" shapeId="0" xr:uid="{0FAFCFB8-BB84-440D-B7B0-5D677AC29176}">
      <text>
        <r>
          <rPr>
            <sz val="9"/>
            <color indexed="81"/>
            <rFont val="Tahoma"/>
            <family val="2"/>
          </rPr>
          <t xml:space="preserve">In more stable end markets like consumables and medical, destocking appears to have slowed.  </t>
        </r>
      </text>
    </comment>
    <comment ref="BK365" authorId="0" shapeId="0" xr:uid="{D3B661C6-2AD6-48EE-815F-81B7D51B9901}">
      <text>
        <r>
          <rPr>
            <b/>
            <sz val="9"/>
            <color indexed="81"/>
            <rFont val="Tahoma"/>
            <family val="2"/>
          </rPr>
          <t xml:space="preserve">Specialty Plastic: </t>
        </r>
        <r>
          <rPr>
            <sz val="9"/>
            <color indexed="81"/>
            <rFont val="Tahoma"/>
            <family val="2"/>
          </rPr>
          <t xml:space="preserve">(consumer packaging - (Tritan, Embrace - Shrink films), cosmetics packaging (Eastar), in-store fixtures and displays - Spectar)
</t>
        </r>
      </text>
    </comment>
    <comment ref="BO365" authorId="0" shapeId="0" xr:uid="{F6C600BE-AB63-4C26-B58C-2C6632821905}">
      <text>
        <r>
          <rPr>
            <sz val="9"/>
            <color indexed="81"/>
            <rFont val="Tahoma"/>
            <family val="2"/>
          </rPr>
          <t xml:space="preserve">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 xml:space="preserve">copolyesters in medical applications 
key Tritan ™ end markets  </t>
        </r>
      </text>
    </comment>
    <comment ref="BP365" authorId="0" shapeId="0" xr:uid="{F0E6B356-74D0-40B2-900D-3349E58AF672}">
      <text>
        <r>
          <rPr>
            <sz val="9"/>
            <color indexed="81"/>
            <rFont val="Tahoma"/>
            <family val="2"/>
          </rPr>
          <t xml:space="preserve">In more stable end markets like consumables and medical, destocking appears to have slowed.  </t>
        </r>
      </text>
    </comment>
    <comment ref="AF366" authorId="0" shapeId="0" xr:uid="{2AC114A5-70C7-40E3-82DC-4FE958618204}">
      <text>
        <r>
          <rPr>
            <sz val="9"/>
            <color indexed="81"/>
            <rFont val="Tahoma"/>
            <family val="2"/>
          </rPr>
          <t>The lower sales volume/mix was driven by slower primary demand and significant customer inventory destocking, which accelerated through the fourth quarter. 
The destocking was most pronounced in consumer durables which was down by 40 percent on a volume basis 
We also saw destocking across most key end markets including resilient markets such as medical and consumables. 
In China, the rapid spread of COVID 19 at the end of the fourth quarter resulted in a decline in demand in the automotive end market</t>
        </r>
      </text>
    </comment>
    <comment ref="AG366" authorId="0" shapeId="0" xr:uid="{B1FAC11A-EBC2-4ADD-B852-6ADEF8782A08}">
      <text>
        <r>
          <rPr>
            <sz val="9"/>
            <color indexed="81"/>
            <rFont val="Tahoma"/>
            <family val="2"/>
          </rPr>
          <t xml:space="preserve">1Q23 Transcript/ PPT:
Market leading brands delivered </t>
        </r>
        <r>
          <rPr>
            <b/>
            <sz val="9"/>
            <color indexed="81"/>
            <rFont val="Tahoma"/>
            <family val="2"/>
          </rPr>
          <t>DD% volume/mix growth in 1Q23</t>
        </r>
        <r>
          <rPr>
            <sz val="9"/>
            <color indexed="81"/>
            <rFont val="Tahoma"/>
            <family val="2"/>
          </rPr>
          <t xml:space="preserve"> vs 4Q22 in a down market in performance films
</t>
        </r>
        <r>
          <rPr>
            <b/>
            <sz val="9"/>
            <color indexed="81"/>
            <rFont val="Tahoma"/>
            <family val="2"/>
          </rPr>
          <t xml:space="preserve">EMN auto volume/mix up &gt;2X  underlying automotive builds 2020 - 2022
</t>
        </r>
        <r>
          <rPr>
            <sz val="9"/>
            <color indexed="81"/>
            <rFont val="Tahoma"/>
            <family val="2"/>
          </rPr>
          <t xml:space="preserve">In consumer durables, destocking activity increased compared to fourth-quarter levels. 
</t>
        </r>
        <r>
          <rPr>
            <b/>
            <sz val="9"/>
            <color indexed="81"/>
            <rFont val="Tahoma"/>
            <family val="2"/>
          </rPr>
          <t xml:space="preserve">4Q20 Transcript/ PPT:
</t>
        </r>
        <r>
          <rPr>
            <sz val="9"/>
            <color indexed="81"/>
            <rFont val="Tahoma"/>
            <family val="2"/>
          </rPr>
          <t xml:space="preserve">Looking at the first quarter on a sequential basis the near term outlook is mixed. 
</t>
        </r>
        <r>
          <rPr>
            <b/>
            <sz val="9"/>
            <color indexed="81"/>
            <rFont val="Tahoma"/>
            <family val="2"/>
          </rPr>
          <t xml:space="preserve">In consumer durables, aggressive destocking is continuing through the first quarter. 
In automotive, first quarter demand appears to be slightly below fourth quarter levels. </t>
        </r>
        <r>
          <rPr>
            <sz val="9"/>
            <color indexed="81"/>
            <rFont val="Tahoma"/>
            <family val="2"/>
          </rPr>
          <t xml:space="preserve">
In more stable end markets like consumables and medical, destocking appears to have slowed. 
</t>
        </r>
        <r>
          <rPr>
            <b/>
            <sz val="9"/>
            <color indexed="81"/>
            <rFont val="Tahoma"/>
            <family val="2"/>
          </rPr>
          <t xml:space="preserve">On balance, volume/mix should be </t>
        </r>
        <r>
          <rPr>
            <b/>
            <u/>
            <sz val="9"/>
            <color indexed="81"/>
            <rFont val="Tahoma"/>
            <family val="2"/>
          </rPr>
          <t xml:space="preserve">up modestly from fourth quarter. </t>
        </r>
        <r>
          <rPr>
            <b/>
            <sz val="9"/>
            <color indexed="81"/>
            <rFont val="Tahoma"/>
            <family val="2"/>
          </rPr>
          <t xml:space="preserve">
</t>
        </r>
      </text>
    </comment>
    <comment ref="AH366" authorId="0" shapeId="0" xr:uid="{8F7AD772-D0C6-4F78-8DF8-562B6F7B6A37}">
      <text>
        <r>
          <rPr>
            <sz val="9"/>
            <color indexed="81"/>
            <rFont val="Tahoma"/>
            <family val="2"/>
          </rPr>
          <t>In the second quarter, we are seeing signs that the pace of destocking is slowing in specialty plastics end markets, with May orders trending more favorably than April. We also expect to continue to benefit from our strong leverage to premium and EV vehicle growth in our performance films and advanced interlayers. In building and construction, demand for our interlayers in Europe is stable, but at a low absolute level.</t>
        </r>
      </text>
    </comment>
    <comment ref="AT366" authorId="0" shapeId="0" xr:uid="{13AF64B1-7913-44AA-8993-C7EE3723745A}">
      <text>
        <r>
          <rPr>
            <b/>
            <sz val="9"/>
            <color indexed="81"/>
            <rFont val="Tahoma"/>
            <family val="2"/>
          </rPr>
          <t>Lower sales volume resulted from reduced demand</t>
        </r>
        <r>
          <rPr>
            <sz val="9"/>
            <color indexed="81"/>
            <rFont val="Tahoma"/>
            <family val="2"/>
          </rPr>
          <t xml:space="preserve"> and aggressive destocking in </t>
        </r>
        <r>
          <rPr>
            <b/>
            <sz val="9"/>
            <color indexed="81"/>
            <rFont val="Tahoma"/>
            <family val="2"/>
          </rPr>
          <t>consumer durables</t>
        </r>
        <r>
          <rPr>
            <sz val="9"/>
            <color indexed="81"/>
            <rFont val="Tahoma"/>
            <family val="2"/>
          </rPr>
          <t xml:space="preserve"> and </t>
        </r>
        <r>
          <rPr>
            <b/>
            <sz val="9"/>
            <color indexed="81"/>
            <rFont val="Tahoma"/>
            <family val="2"/>
          </rPr>
          <t xml:space="preserve">building and construction </t>
        </r>
        <r>
          <rPr>
            <sz val="9"/>
            <color indexed="81"/>
            <rFont val="Tahoma"/>
            <family val="2"/>
          </rPr>
          <t xml:space="preserve">end market s primarily in the fourth quarter as well as planned and unplanned manufacturing maintenance. 
Through the first nine months, sales volume/mix was relatively stable as mix improvement was led by solid performance in higher value products including 
</t>
        </r>
        <r>
          <rPr>
            <b/>
            <sz val="9"/>
            <color indexed="81"/>
            <rFont val="Tahoma"/>
            <family val="2"/>
          </rPr>
          <t>heads up display interlayers paint protection films</t>
        </r>
        <r>
          <rPr>
            <sz val="9"/>
            <color indexed="81"/>
            <rFont val="Tahoma"/>
            <family val="2"/>
          </rPr>
          <t xml:space="preserve">, 
</t>
        </r>
        <r>
          <rPr>
            <b/>
            <sz val="9"/>
            <color indexed="81"/>
            <rFont val="Tahoma"/>
            <family val="2"/>
          </rPr>
          <t>copolyesters in medical applications</t>
        </r>
        <r>
          <rPr>
            <sz val="9"/>
            <color indexed="81"/>
            <rFont val="Tahoma"/>
            <family val="2"/>
          </rPr>
          <t xml:space="preserve"> and key </t>
        </r>
        <r>
          <rPr>
            <b/>
            <sz val="9"/>
            <color indexed="81"/>
            <rFont val="Tahoma"/>
            <family val="2"/>
          </rPr>
          <t xml:space="preserve">Tritan ™ end mar kets 
</t>
        </r>
        <r>
          <rPr>
            <sz val="9"/>
            <color indexed="81"/>
            <rFont val="Tahoma"/>
            <family val="2"/>
          </rPr>
          <t xml:space="preserve">This improvement in mix helped to offset production limitation s associated with operational outages. 
</t>
        </r>
        <r>
          <rPr>
            <b/>
            <sz val="9"/>
            <color indexed="81"/>
            <rFont val="Tahoma"/>
            <family val="2"/>
          </rPr>
          <t>On a full year basis, sales volume/mix was lower due to weak demand and destocking in the fourth quarter.</t>
        </r>
      </text>
    </comment>
    <comment ref="AU366" authorId="0" shapeId="0" xr:uid="{6DBC6B80-07AC-47C7-A19C-C770E09C4751}">
      <text>
        <r>
          <rPr>
            <sz val="9"/>
            <color indexed="81"/>
            <rFont val="Tahoma"/>
            <family val="2"/>
          </rPr>
          <t xml:space="preserve">2023, the segment’s strategy based on innovation and market development and now including circular economy offerings remains sound. 
We are confident in the future for this business and expect strong results here in 2023 and in the coming years.
</t>
        </r>
      </text>
    </comment>
    <comment ref="AG367" authorId="0" shapeId="0" xr:uid="{0C7289FF-0E8F-4691-AA13-9748AB34FFCD}">
      <text>
        <r>
          <rPr>
            <sz val="9"/>
            <color indexed="81"/>
            <rFont val="Tahoma"/>
            <family val="2"/>
          </rPr>
          <t>We also expect a meaningful spread recovery as prices hold up and lower raw material costs start to flow through</t>
        </r>
      </text>
    </comment>
    <comment ref="AH367" authorId="0" shapeId="0" xr:uid="{1C139B3D-6277-4CAA-B81D-891C3B2AF39B}">
      <text>
        <r>
          <rPr>
            <sz val="9"/>
            <color indexed="81"/>
            <rFont val="Tahoma"/>
            <family val="2"/>
          </rPr>
          <t xml:space="preserve">We expect to hold our prices roughly flat as lower-cost raw materials and energy continue to flow through inventory. </t>
        </r>
      </text>
    </comment>
    <comment ref="AT367" authorId="0" shapeId="0" xr:uid="{E4A4475A-AACD-4A5A-893A-145AB1E1BBEB}">
      <text>
        <r>
          <rPr>
            <sz val="9"/>
            <color indexed="81"/>
            <rFont val="Tahoma"/>
            <family val="2"/>
          </rPr>
          <t>Higher selling prices across all product lines were due to significantly higher raw material, energy, and distribu tion prices.</t>
        </r>
      </text>
    </comment>
    <comment ref="BK369" authorId="1" shapeId="0" xr:uid="{64E6A22C-002D-4601-B3EA-F1EED85C806B}">
      <text>
        <r>
          <rPr>
            <sz val="9"/>
            <color indexed="81"/>
            <rFont val="Tahoma"/>
            <family val="2"/>
          </rPr>
          <t xml:space="preserve">The advanced interlayers product line includes polyvinyl butyral sheet and specialty polyvinyl butyral intermediates 
End Use: 
</t>
        </r>
        <r>
          <rPr>
            <b/>
            <sz val="9"/>
            <color indexed="81"/>
            <rFont val="Tahoma"/>
            <family val="2"/>
          </rPr>
          <t xml:space="preserve">Transportation </t>
        </r>
        <r>
          <rPr>
            <sz val="9"/>
            <color indexed="81"/>
            <rFont val="Tahoma"/>
            <family val="2"/>
          </rPr>
          <t xml:space="preserve">(automotive safety glass, automotive acoustic glass, and HUD) 
</t>
        </r>
        <r>
          <rPr>
            <b/>
            <sz val="9"/>
            <color indexed="81"/>
            <rFont val="Tahoma"/>
            <family val="2"/>
          </rPr>
          <t xml:space="preserve">Building and construction </t>
        </r>
        <r>
          <rPr>
            <sz val="9"/>
            <color indexed="81"/>
            <rFont val="Tahoma"/>
            <family val="2"/>
          </rPr>
          <t xml:space="preserve">(PVB for architectural interlayers)
The performance films product line primarily consists of window film and protective film products for aftermarket applied films.
End Use:
</t>
        </r>
        <r>
          <rPr>
            <b/>
            <sz val="9"/>
            <color indexed="81"/>
            <rFont val="Tahoma"/>
            <family val="2"/>
          </rPr>
          <t xml:space="preserve">Transportation </t>
        </r>
        <r>
          <rPr>
            <sz val="9"/>
            <color indexed="81"/>
            <rFont val="Tahoma"/>
            <family val="2"/>
          </rPr>
          <t xml:space="preserve">(automotive aftermarket  window films and paint protection films)
</t>
        </r>
        <r>
          <rPr>
            <b/>
            <sz val="9"/>
            <color indexed="81"/>
            <rFont val="Tahoma"/>
            <family val="2"/>
          </rPr>
          <t xml:space="preserve">Building and construction </t>
        </r>
        <r>
          <rPr>
            <sz val="9"/>
            <color indexed="81"/>
            <rFont val="Tahoma"/>
            <family val="2"/>
          </rPr>
          <t xml:space="preserve">(residential and commercial window films) </t>
        </r>
        <r>
          <rPr>
            <b/>
            <sz val="9"/>
            <color indexed="81"/>
            <rFont val="Tahoma"/>
            <family val="2"/>
          </rPr>
          <t xml:space="preserve">
Health and wellness </t>
        </r>
        <r>
          <rPr>
            <sz val="9"/>
            <color indexed="81"/>
            <rFont val="Tahoma"/>
            <family val="2"/>
          </rPr>
          <t>(medical)</t>
        </r>
      </text>
    </comment>
    <comment ref="BK370" authorId="1" shapeId="0" xr:uid="{34B6EC7E-AC80-4F72-875A-2771B110255B}">
      <text>
        <r>
          <rPr>
            <sz val="9"/>
            <color indexed="81"/>
            <rFont val="Tahoma"/>
            <family val="2"/>
          </rPr>
          <t xml:space="preserve">The specialty plastics product line consists of two primary products: copolyesters and cellulose esters.
End Use:
</t>
        </r>
        <r>
          <rPr>
            <b/>
            <sz val="9"/>
            <color indexed="81"/>
            <rFont val="Tahoma"/>
            <family val="2"/>
          </rPr>
          <t xml:space="preserve">consumables </t>
        </r>
        <r>
          <rPr>
            <sz val="9"/>
            <color indexed="81"/>
            <rFont val="Tahoma"/>
            <family val="2"/>
          </rPr>
          <t xml:space="preserve">(consumer packaging, cosmetics packaging, in-store fixtures and displays)
</t>
        </r>
        <r>
          <rPr>
            <b/>
            <sz val="9"/>
            <color indexed="81"/>
            <rFont val="Tahoma"/>
            <family val="2"/>
          </rPr>
          <t xml:space="preserve">durable goods </t>
        </r>
        <r>
          <rPr>
            <sz val="9"/>
            <color indexed="81"/>
            <rFont val="Tahoma"/>
            <family val="2"/>
          </rPr>
          <t xml:space="preserve">(consumer housewares and appliances) 
</t>
        </r>
        <r>
          <rPr>
            <b/>
            <sz val="9"/>
            <color indexed="81"/>
            <rFont val="Tahoma"/>
            <family val="2"/>
          </rPr>
          <t xml:space="preserve">health and wellness </t>
        </r>
        <r>
          <rPr>
            <sz val="9"/>
            <color indexed="81"/>
            <rFont val="Tahoma"/>
            <family val="2"/>
          </rPr>
          <t xml:space="preserve">(medical)
</t>
        </r>
        <r>
          <rPr>
            <b/>
            <sz val="9"/>
            <color indexed="81"/>
            <rFont val="Tahoma"/>
            <family val="2"/>
          </rPr>
          <t xml:space="preserve">electronics </t>
        </r>
        <r>
          <rPr>
            <sz val="9"/>
            <color indexed="81"/>
            <rFont val="Tahoma"/>
            <family val="2"/>
          </rPr>
          <t xml:space="preserve">(displays)
</t>
        </r>
      </text>
    </comment>
    <comment ref="AC371" authorId="0" shapeId="0" xr:uid="{B74DE6E8-1D68-465E-BB8D-DF1EB639CAA9}">
      <text>
        <r>
          <rPr>
            <sz val="9"/>
            <color indexed="81"/>
            <rFont val="Tahoma"/>
            <family val="2"/>
          </rPr>
          <t>Estimated $100 million financial impact from Kingsport steam line incident included in Advanced Materials results</t>
        </r>
      </text>
    </comment>
    <comment ref="AN371" authorId="1" shapeId="0" xr:uid="{5FE575CC-85B6-4ED3-87D7-E368FD9BAA3C}">
      <text>
        <r>
          <rPr>
            <b/>
            <sz val="9"/>
            <color indexed="81"/>
            <rFont val="Tahoma"/>
            <family val="2"/>
          </rPr>
          <t>Company is reporting 472 in 10K 2018, pg 54/157.</t>
        </r>
      </text>
    </comment>
    <comment ref="BK374" authorId="1" shapeId="0" xr:uid="{E0A0FBFA-CCCC-452B-8578-5EBD8EC6E8AD}">
      <text>
        <r>
          <rPr>
            <sz val="9"/>
            <color indexed="81"/>
            <rFont val="Tahoma"/>
            <family val="2"/>
          </rPr>
          <t xml:space="preserve">The advanced interlayers product line includes polyvinyl butyral sheet and specialty polyvinyl butyral intermediates 
End Use: 
</t>
        </r>
        <r>
          <rPr>
            <b/>
            <sz val="9"/>
            <color indexed="81"/>
            <rFont val="Tahoma"/>
            <family val="2"/>
          </rPr>
          <t xml:space="preserve">Transportation </t>
        </r>
        <r>
          <rPr>
            <sz val="9"/>
            <color indexed="81"/>
            <rFont val="Tahoma"/>
            <family val="2"/>
          </rPr>
          <t xml:space="preserve">(automotive safety glass, automotive acoustic glass, and HUD) 
</t>
        </r>
        <r>
          <rPr>
            <b/>
            <sz val="9"/>
            <color indexed="81"/>
            <rFont val="Tahoma"/>
            <family val="2"/>
          </rPr>
          <t xml:space="preserve">Building and construction </t>
        </r>
        <r>
          <rPr>
            <sz val="9"/>
            <color indexed="81"/>
            <rFont val="Tahoma"/>
            <family val="2"/>
          </rPr>
          <t>(PVB for architectural interlayers)
The performance films product line primarily consists of window film and protective film products for aftermarket applied films.
End Use:
Transportation (automotive aftermarket  window films and paint protection films)
Building and construction (residential and commercial window films) 
Health and wellness (medical)</t>
        </r>
      </text>
    </comment>
    <comment ref="BK375" authorId="1" shapeId="0" xr:uid="{479EEFB2-0E25-433F-9716-81C26DC9167A}">
      <text>
        <r>
          <rPr>
            <sz val="9"/>
            <color indexed="81"/>
            <rFont val="Tahoma"/>
            <family val="2"/>
          </rPr>
          <t xml:space="preserve">The specialty plastics product line consists of two primary products: copolyesters and cellulose esters.
End Use:
</t>
        </r>
        <r>
          <rPr>
            <b/>
            <sz val="9"/>
            <color indexed="81"/>
            <rFont val="Tahoma"/>
            <family val="2"/>
          </rPr>
          <t xml:space="preserve">consumables </t>
        </r>
        <r>
          <rPr>
            <sz val="9"/>
            <color indexed="81"/>
            <rFont val="Tahoma"/>
            <family val="2"/>
          </rPr>
          <t xml:space="preserve">(consumer packaging, cosmetics packaging, in-store fixtures and displays)
</t>
        </r>
        <r>
          <rPr>
            <b/>
            <sz val="9"/>
            <color indexed="81"/>
            <rFont val="Tahoma"/>
            <family val="2"/>
          </rPr>
          <t xml:space="preserve">durable goods </t>
        </r>
        <r>
          <rPr>
            <sz val="9"/>
            <color indexed="81"/>
            <rFont val="Tahoma"/>
            <family val="2"/>
          </rPr>
          <t xml:space="preserve">(consumer housewares and appliances) 
</t>
        </r>
        <r>
          <rPr>
            <b/>
            <sz val="9"/>
            <color indexed="81"/>
            <rFont val="Tahoma"/>
            <family val="2"/>
          </rPr>
          <t xml:space="preserve">health and wellness </t>
        </r>
        <r>
          <rPr>
            <sz val="9"/>
            <color indexed="81"/>
            <rFont val="Tahoma"/>
            <family val="2"/>
          </rPr>
          <t xml:space="preserve">(medical)
</t>
        </r>
        <r>
          <rPr>
            <b/>
            <sz val="9"/>
            <color indexed="81"/>
            <rFont val="Tahoma"/>
            <family val="2"/>
          </rPr>
          <t xml:space="preserve">electronics </t>
        </r>
        <r>
          <rPr>
            <sz val="9"/>
            <color indexed="81"/>
            <rFont val="Tahoma"/>
            <family val="2"/>
          </rPr>
          <t xml:space="preserve">(displays)
</t>
        </r>
      </text>
    </comment>
    <comment ref="BK379" authorId="1" shapeId="0" xr:uid="{E80A48D3-08AC-4BDA-877C-523C875483D7}">
      <text>
        <r>
          <rPr>
            <sz val="9"/>
            <color indexed="81"/>
            <rFont val="Tahoma"/>
            <family val="2"/>
          </rPr>
          <t xml:space="preserve">The advanced interlayers product line includes polyvinyl butyral sheet and specialty polyvinyl butyral intermediates 
End Use: 
</t>
        </r>
        <r>
          <rPr>
            <b/>
            <sz val="9"/>
            <color indexed="81"/>
            <rFont val="Tahoma"/>
            <family val="2"/>
          </rPr>
          <t xml:space="preserve">Transportation </t>
        </r>
        <r>
          <rPr>
            <sz val="9"/>
            <color indexed="81"/>
            <rFont val="Tahoma"/>
            <family val="2"/>
          </rPr>
          <t xml:space="preserve">(automotive safety glass, automotive acoustic glass, and HUD) 
</t>
        </r>
        <r>
          <rPr>
            <b/>
            <sz val="9"/>
            <color indexed="81"/>
            <rFont val="Tahoma"/>
            <family val="2"/>
          </rPr>
          <t xml:space="preserve">Building and construction </t>
        </r>
        <r>
          <rPr>
            <sz val="9"/>
            <color indexed="81"/>
            <rFont val="Tahoma"/>
            <family val="2"/>
          </rPr>
          <t>(PVB for architectural interlayers)
The performance films product line primarily consists of window film and protective film products for aftermarket applied films.
End Use:
Transportation (automotive aftermarket  window films and paint protection films)
Building and construction (residential and commercial window films) 
Health and wellness (medical)</t>
        </r>
      </text>
    </comment>
    <comment ref="AF380" authorId="0" shapeId="0" xr:uid="{FCFB0E8D-70DC-4A0D-8046-47B8B6ED6C2B}">
      <text>
        <r>
          <rPr>
            <sz val="9"/>
            <color indexed="81"/>
            <rFont val="Tahoma"/>
            <family val="2"/>
          </rPr>
          <t>Adjusted EBIT was lower due to lower sales volume/mix. 
Spreads were flat as the benefit of lower cost raw materials was not realized in the quarter due to the slow demand environment.</t>
        </r>
      </text>
    </comment>
    <comment ref="AG380" authorId="0" shapeId="0" xr:uid="{58A0128B-CE6F-43AA-AE4F-B43B47C99176}">
      <text>
        <r>
          <rPr>
            <sz val="9"/>
            <color indexed="81"/>
            <rFont val="Tahoma"/>
            <family val="2"/>
          </rPr>
          <t>1Q23: Adjusted EBIT increased due to higher selling prices more than offsetting higher variable costs and lower manufacturing costs. 
On costs, raw materials are trending lower, but we a re still working through seasonally higher energy costs. 
All in, spreads should be a tailwind in the first quarter compared to the fourth quarter as we remain focused on disciplined pricing as variable costs continue to decline especially in Advanced Materials</t>
        </r>
      </text>
    </comment>
    <comment ref="AH380" authorId="0" shapeId="0" xr:uid="{8FBBF69A-EEBA-4DE7-99F8-3436B61F27AA}">
      <text>
        <r>
          <rPr>
            <sz val="9"/>
            <color indexed="81"/>
            <rFont val="Tahoma"/>
            <family val="2"/>
          </rPr>
          <t xml:space="preserve">All in, we expect to deliver second-quarter adjusted EBIT meaningfully above first quarter.  </t>
        </r>
      </text>
    </comment>
    <comment ref="AT380" authorId="0" shapeId="0" xr:uid="{10CF7627-5385-42B6-9318-EA561CE5C253}">
      <text>
        <r>
          <rPr>
            <sz val="9"/>
            <color indexed="81"/>
            <rFont val="Tahoma"/>
            <family val="2"/>
          </rPr>
          <t xml:space="preserve">Adjusted EBIT decreased due to lower sal es volume, an unfavorable impact from foreign currency exchange rates, higher manufacturing costs, and increased growth spending, partially offset by more favorable product mix. 
Expect FY22 adjusted EBIT $650 to $700 million </t>
        </r>
      </text>
    </comment>
    <comment ref="AU380" authorId="0" shapeId="0" xr:uid="{0D8794AD-BC5C-4D76-A81A-ADEA060C8936}">
      <text>
        <r>
          <rPr>
            <sz val="9"/>
            <color indexed="81"/>
            <rFont val="Tahoma"/>
            <family val="2"/>
          </rPr>
          <t xml:space="preserve">1Q23 Transcript/ PPT: 
Guidance: Expect FY 2023 adjusted EBIT $500M to $550M
Beyond the first quarter, we see earnings improving for a few reasons. 
First, </t>
        </r>
        <r>
          <rPr>
            <b/>
            <sz val="9"/>
            <color indexed="81"/>
            <rFont val="Tahoma"/>
            <family val="2"/>
          </rPr>
          <t>spreads are expected to improve compared to 2022</t>
        </r>
        <r>
          <rPr>
            <sz val="9"/>
            <color indexed="81"/>
            <rFont val="Tahoma"/>
            <family val="2"/>
          </rPr>
          <t xml:space="preserve"> as price remains resilient relative to lower raw material and energy costs flow ing through to results 
Second, we expect that the </t>
        </r>
        <r>
          <rPr>
            <b/>
            <sz val="9"/>
            <color indexed="81"/>
            <rFont val="Tahoma"/>
            <family val="2"/>
          </rPr>
          <t>aggressive inventory destocking from the first quarter will not persist into the second quarter.</t>
        </r>
        <r>
          <rPr>
            <sz val="9"/>
            <color indexed="81"/>
            <rFont val="Tahoma"/>
            <family val="2"/>
          </rPr>
          <t xml:space="preserve"> Even if primary demand is weak for those applications, it should be improved compared to current trends as destocking abates. 
And finally the cost actions being taken at a corporate level will start to benefit results 
</t>
        </r>
        <r>
          <rPr>
            <b/>
            <sz val="9"/>
            <color indexed="81"/>
            <rFont val="Tahoma"/>
            <family val="2"/>
          </rPr>
          <t>In the scenario described, we expect Advanced Materials adjusted 2023 EBIT to be meaningfully higher than adjusted EBIT in 2021</t>
        </r>
      </text>
    </comment>
    <comment ref="BK380" authorId="1" shapeId="0" xr:uid="{C72E0C8F-0200-43B3-BDA4-E694DC949F38}">
      <text>
        <r>
          <rPr>
            <sz val="9"/>
            <color indexed="81"/>
            <rFont val="Tahoma"/>
            <family val="2"/>
          </rPr>
          <t xml:space="preserve">The specialty plastics product line consists of two primary products: copolyesters and cellulose esters.
End Use:
</t>
        </r>
        <r>
          <rPr>
            <b/>
            <sz val="9"/>
            <color indexed="81"/>
            <rFont val="Tahoma"/>
            <family val="2"/>
          </rPr>
          <t xml:space="preserve">consumables </t>
        </r>
        <r>
          <rPr>
            <sz val="9"/>
            <color indexed="81"/>
            <rFont val="Tahoma"/>
            <family val="2"/>
          </rPr>
          <t xml:space="preserve">(consumer packaging, cosmetics packaging, in-store fixtures and displays)
</t>
        </r>
        <r>
          <rPr>
            <b/>
            <sz val="9"/>
            <color indexed="81"/>
            <rFont val="Tahoma"/>
            <family val="2"/>
          </rPr>
          <t xml:space="preserve">durable goods </t>
        </r>
        <r>
          <rPr>
            <sz val="9"/>
            <color indexed="81"/>
            <rFont val="Tahoma"/>
            <family val="2"/>
          </rPr>
          <t xml:space="preserve">(consumer housewares and appliances) 
</t>
        </r>
        <r>
          <rPr>
            <b/>
            <sz val="9"/>
            <color indexed="81"/>
            <rFont val="Tahoma"/>
            <family val="2"/>
          </rPr>
          <t xml:space="preserve">health and wellness </t>
        </r>
        <r>
          <rPr>
            <sz val="9"/>
            <color indexed="81"/>
            <rFont val="Tahoma"/>
            <family val="2"/>
          </rPr>
          <t xml:space="preserve">(medical)
</t>
        </r>
        <r>
          <rPr>
            <b/>
            <sz val="9"/>
            <color indexed="81"/>
            <rFont val="Tahoma"/>
            <family val="2"/>
          </rPr>
          <t xml:space="preserve">electronics </t>
        </r>
        <r>
          <rPr>
            <sz val="9"/>
            <color indexed="81"/>
            <rFont val="Tahoma"/>
            <family val="2"/>
          </rPr>
          <t xml:space="preserve">(displays)
</t>
        </r>
      </text>
    </comment>
    <comment ref="R381" authorId="1" shapeId="0" xr:uid="{55BFB5C7-6EF0-463E-878A-3380067CB0F3}">
      <text>
        <r>
          <rPr>
            <sz val="9"/>
            <color indexed="81"/>
            <rFont val="Tahoma"/>
            <family val="2"/>
          </rPr>
          <t>EBIT increased as improved mix due to strong growth of premium products, including paint protection film and acoustic and architectural interlayers, more than offset the lower volume and the impact of the stronger dollar. Advanced Materials also did a nice job holding onto prices and managing their costs. The EBIT margin year-over-year was up 110 basis points.</t>
        </r>
      </text>
    </comment>
    <comment ref="S381" authorId="1" shapeId="0" xr:uid="{99D87D12-78E7-4B01-97E2-C9ADC1AF213B}">
      <text>
        <r>
          <rPr>
            <sz val="9"/>
            <color indexed="81"/>
            <rFont val="Tahoma"/>
            <family val="2"/>
          </rPr>
          <t>Increased as a result of lower raw material costs and lower costs from continued cost management totaling $28 million, mostly offset by lower selling prices, higher planned manufacturing site maintenance costs, and an unfavorable shift in foreign currency exchange rates totaling $17 million. The increase in EBIT was largely driven by higher Tritan volumes, the flow-through of lower raw material costs, and the benefit of cost management.</t>
        </r>
      </text>
    </comment>
    <comment ref="T381" authorId="3" shapeId="0" xr:uid="{55DCFF9A-A3CF-4217-A90B-78539E9222E6}">
      <text>
        <r>
          <rPr>
            <sz val="9"/>
            <color indexed="81"/>
            <rFont val="Tahoma"/>
            <family val="2"/>
          </rPr>
          <t>EBIT increased due to strong volume and more favorable product mix</t>
        </r>
      </text>
    </comment>
    <comment ref="AQ381" authorId="1" shapeId="0" xr:uid="{F5DE0B14-68ED-47F5-9BD2-099A9C64CD4E}">
      <text>
        <r>
          <rPr>
            <sz val="9"/>
            <color indexed="81"/>
            <rFont val="Tahoma"/>
            <family val="2"/>
          </rPr>
          <t>EBIT increased primarily due to lower raw material costs and favorable product mix due to increased sales of premium products partially offset by an unfavorable shift in
foreign currency exchange rates</t>
        </r>
      </text>
    </comment>
    <comment ref="AR381" authorId="3" shapeId="0" xr:uid="{A499D0AE-FF83-43EA-805C-5D49D7496EB1}">
      <text>
        <r>
          <rPr>
            <b/>
            <sz val="9"/>
            <color indexed="81"/>
            <rFont val="Tahoma"/>
            <family val="2"/>
          </rPr>
          <t>4Q19 Call:</t>
        </r>
        <r>
          <rPr>
            <sz val="9"/>
            <color indexed="81"/>
            <rFont val="Tahoma"/>
            <family val="2"/>
          </rPr>
          <t xml:space="preserve"> Ahead in 2020, we expect to deliver another year of EBIT growth in this segment as we benefit from both continued progress growing new business revenue from innovation and a smaller headwind on foreign currency exchange rates. As a result, we expect Advanced Materials' EBIT to be up mid-single digits in 2020</t>
        </r>
      </text>
    </comment>
    <comment ref="AG382" authorId="0" shapeId="0" xr:uid="{00CED653-E002-43A3-A488-C9625C15FD0B}">
      <text>
        <r>
          <rPr>
            <sz val="9"/>
            <color indexed="81"/>
            <rFont val="Tahoma"/>
            <family val="2"/>
          </rPr>
          <t>We also expect a meaningful spread recovery as prices hold up and lower raw material costs start to flow through</t>
        </r>
      </text>
    </comment>
    <comment ref="AH382" authorId="0" shapeId="0" xr:uid="{732A8960-1859-4BD5-ACC9-4503715505BB}">
      <text>
        <r>
          <rPr>
            <sz val="9"/>
            <color indexed="81"/>
            <rFont val="Tahoma"/>
            <family val="2"/>
          </rPr>
          <t>Beyond the first quarter, we see earnings improving for a few reasons. 
First, spreads are expected to improve compared to 2022 as price remains resilient relative to lower raw material and energy costs flow ing through to results
The cost actions being taken at a corporate level will start to benefit re sults 
In the scenario described, we expect Advanced Materials adjusted 2023 EBIT to be meaningfully higher than adjusted EBIT in 2021</t>
        </r>
      </text>
    </comment>
    <comment ref="N383" authorId="1" shapeId="0" xr:uid="{BF43F5F5-D2BA-4E8B-8B65-F479195B6391}">
      <text>
        <r>
          <rPr>
            <sz val="9"/>
            <color indexed="81"/>
            <rFont val="Tahoma"/>
            <family val="2"/>
          </rPr>
          <t>Higher raw material and energy costs.</t>
        </r>
      </text>
    </comment>
    <comment ref="T383" authorId="3" shapeId="0" xr:uid="{E4C3E3D8-8295-4516-A0B6-37C8D75C1DB9}">
      <text>
        <r>
          <rPr>
            <b/>
            <sz val="9"/>
            <color indexed="81"/>
            <rFont val="Tahoma"/>
            <family val="2"/>
          </rPr>
          <t>4Q19 Call:</t>
        </r>
        <r>
          <rPr>
            <sz val="9"/>
            <color indexed="81"/>
            <rFont val="Tahoma"/>
            <family val="2"/>
          </rPr>
          <t xml:space="preserve"> We were also able to realize spread expansion in the second half as lower-cost raws flowed through and we remained disciplined on pricing</t>
        </r>
      </text>
    </comment>
    <comment ref="AM383" authorId="1" shapeId="0" xr:uid="{97FFE25C-A671-43BE-B550-6456208E9183}">
      <text>
        <r>
          <rPr>
            <sz val="9"/>
            <color indexed="81"/>
            <rFont val="Tahoma"/>
            <family val="2"/>
          </rPr>
          <t>Primarily increased due to the combined impact of higher sales volume and improved product mix of premium products and lower unit costs due to higher capacity utilization.</t>
        </r>
      </text>
    </comment>
    <comment ref="AO383" authorId="1" shapeId="0" xr:uid="{509DFEA4-7532-4847-9CDC-3699B171C61B}">
      <text>
        <r>
          <rPr>
            <sz val="9"/>
            <color indexed="81"/>
            <rFont val="Tahoma"/>
            <family val="2"/>
          </rPr>
          <t>Coal Gasification Incident</t>
        </r>
      </text>
    </comment>
    <comment ref="E401" authorId="1" shapeId="0" xr:uid="{D7499420-315F-4628-BF4C-BA687CA6C3D4}">
      <text>
        <r>
          <rPr>
            <sz val="9"/>
            <color indexed="81"/>
            <rFont val="Tahoma"/>
            <family val="2"/>
          </rPr>
          <t>D&amp;A took as a % of quarter from total annual D&amp;A.</t>
        </r>
      </text>
    </comment>
    <comment ref="F401" authorId="1" shapeId="0" xr:uid="{1D87A082-07FC-48D0-9AA7-0762E50A5625}">
      <text>
        <r>
          <rPr>
            <sz val="9"/>
            <color indexed="81"/>
            <rFont val="Tahoma"/>
            <family val="2"/>
          </rPr>
          <t>D&amp;A took as a % of quarter from total annual D&amp;A.</t>
        </r>
      </text>
    </comment>
    <comment ref="G401" authorId="1" shapeId="0" xr:uid="{C3ADAC00-E279-44BC-BE47-2280EC36BFB5}">
      <text>
        <r>
          <rPr>
            <sz val="9"/>
            <color indexed="81"/>
            <rFont val="Tahoma"/>
            <family val="2"/>
          </rPr>
          <t>D&amp;A took as a % of quarter from total annual D&amp;A.</t>
        </r>
      </text>
    </comment>
    <comment ref="H401" authorId="1" shapeId="0" xr:uid="{75D17123-E603-4114-BD5A-D1D6734DA2AF}">
      <text>
        <r>
          <rPr>
            <sz val="9"/>
            <color indexed="81"/>
            <rFont val="Tahoma"/>
            <family val="2"/>
          </rPr>
          <t>D&amp;A took as a % of quarter from total annual D&amp;A.</t>
        </r>
      </text>
    </comment>
    <comment ref="I401" authorId="1" shapeId="0" xr:uid="{70A1FD5A-CB85-40A4-8EE9-FD12BB97B917}">
      <text>
        <r>
          <rPr>
            <sz val="9"/>
            <color indexed="81"/>
            <rFont val="Tahoma"/>
            <family val="2"/>
          </rPr>
          <t>D&amp;A took as a % of quarter from total annual D&amp;A.</t>
        </r>
      </text>
    </comment>
    <comment ref="J401" authorId="1" shapeId="0" xr:uid="{0921FF5D-9C33-4146-9C45-195583ABC537}">
      <text>
        <r>
          <rPr>
            <sz val="9"/>
            <color indexed="81"/>
            <rFont val="Tahoma"/>
            <family val="2"/>
          </rPr>
          <t>D&amp;A took as a % of quarter from total annual D&amp;A.</t>
        </r>
      </text>
    </comment>
    <comment ref="K401" authorId="1" shapeId="0" xr:uid="{C751A908-0D8B-4510-8D4A-CC7F66ABBF52}">
      <text>
        <r>
          <rPr>
            <sz val="9"/>
            <color indexed="81"/>
            <rFont val="Tahoma"/>
            <family val="2"/>
          </rPr>
          <t>D&amp;A took as a % of quarter from total annual D&amp;A.</t>
        </r>
      </text>
    </comment>
    <comment ref="L401" authorId="1" shapeId="0" xr:uid="{40512782-C204-46AC-B9E6-4268E3B7B57B}">
      <text>
        <r>
          <rPr>
            <sz val="9"/>
            <color indexed="81"/>
            <rFont val="Tahoma"/>
            <family val="2"/>
          </rPr>
          <t>D&amp;A took as a % of quarter from total annual D&amp;A.</t>
        </r>
      </text>
    </comment>
    <comment ref="M401" authorId="1" shapeId="0" xr:uid="{DE327B0C-4FD7-44DC-B69E-0E1B9902A4BD}">
      <text>
        <r>
          <rPr>
            <sz val="9"/>
            <color indexed="81"/>
            <rFont val="Tahoma"/>
            <family val="2"/>
          </rPr>
          <t>D&amp;A took as a % of quarter from total annual D&amp;A.</t>
        </r>
      </text>
    </comment>
    <comment ref="N401" authorId="1" shapeId="0" xr:uid="{AC649A25-18E4-4A37-8535-5218DD0515CA}">
      <text>
        <r>
          <rPr>
            <sz val="9"/>
            <color indexed="81"/>
            <rFont val="Tahoma"/>
            <family val="2"/>
          </rPr>
          <t>D&amp;A took as a % of quarter from total annual D&amp;A.</t>
        </r>
      </text>
    </comment>
    <comment ref="O401" authorId="1" shapeId="0" xr:uid="{344510C4-6EC9-4A29-913A-C66F2324D33D}">
      <text>
        <r>
          <rPr>
            <sz val="9"/>
            <color indexed="81"/>
            <rFont val="Tahoma"/>
            <family val="2"/>
          </rPr>
          <t>D&amp;A took as a % of quarter from total annual D&amp;A.</t>
        </r>
      </text>
    </comment>
    <comment ref="P401" authorId="1" shapeId="0" xr:uid="{DA256630-7F48-4521-8074-2409784047AE}">
      <text>
        <r>
          <rPr>
            <sz val="9"/>
            <color indexed="81"/>
            <rFont val="Tahoma"/>
            <family val="2"/>
          </rPr>
          <t>D&amp;A took as a % of quarter from total annual D&amp;A.</t>
        </r>
      </text>
    </comment>
    <comment ref="C411" authorId="1" shapeId="0" xr:uid="{9933E35E-1460-4023-B277-577FCEC311AE}">
      <text>
        <r>
          <rPr>
            <sz val="9"/>
            <color indexed="81"/>
            <rFont val="Tahoma"/>
            <family val="2"/>
          </rPr>
          <t xml:space="preserve">The specialty plastics product line consists of two primary products: copolyesters and cellulose esters.
</t>
        </r>
      </text>
    </comment>
    <comment ref="BI411" authorId="0" shapeId="0" xr:uid="{58265105-297D-491D-A1E5-7A6DE6792002}">
      <text>
        <r>
          <rPr>
            <sz val="9"/>
            <color indexed="81"/>
            <rFont val="Tahoma"/>
            <family val="2"/>
          </rPr>
          <t>https://www.autocarindia.com/car-news/what-is-a-heads-up-display-423547</t>
        </r>
      </text>
    </comment>
    <comment ref="C412" authorId="1" shapeId="0" xr:uid="{55599F19-FB07-4DA1-87AE-ADAD41FD0645}">
      <text>
        <r>
          <rPr>
            <sz val="9"/>
            <color indexed="81"/>
            <rFont val="Tahoma"/>
            <family val="2"/>
          </rPr>
          <t xml:space="preserve">The advanced interlayers product line includes polyvinyl butyral sheet and specialty polyvinyl butyral intermediates 
End Use: 
</t>
        </r>
        <r>
          <rPr>
            <b/>
            <sz val="9"/>
            <color indexed="81"/>
            <rFont val="Tahoma"/>
            <family val="2"/>
          </rPr>
          <t xml:space="preserve">Transportation </t>
        </r>
        <r>
          <rPr>
            <sz val="9"/>
            <color indexed="81"/>
            <rFont val="Tahoma"/>
            <family val="2"/>
          </rPr>
          <t xml:space="preserve">(automotive safety glass, automotive acoustic glass, and HUD) 
</t>
        </r>
        <r>
          <rPr>
            <b/>
            <sz val="9"/>
            <color indexed="81"/>
            <rFont val="Tahoma"/>
            <family val="2"/>
          </rPr>
          <t xml:space="preserve">Building and construction </t>
        </r>
        <r>
          <rPr>
            <sz val="9"/>
            <color indexed="81"/>
            <rFont val="Tahoma"/>
            <family val="2"/>
          </rPr>
          <t>(PVB for architectural interlayers)</t>
        </r>
      </text>
    </comment>
    <comment ref="C413" authorId="1" shapeId="0" xr:uid="{F51B0415-608C-474F-A66C-885C561C4443}">
      <text>
        <r>
          <rPr>
            <sz val="9"/>
            <color indexed="81"/>
            <rFont val="Tahoma"/>
            <family val="2"/>
          </rPr>
          <t xml:space="preserve">The performance films product line primarily consists of window film and protective film products for aftermarket applied films.
End Use:
</t>
        </r>
        <r>
          <rPr>
            <b/>
            <sz val="9"/>
            <color indexed="81"/>
            <rFont val="Tahoma"/>
            <family val="2"/>
          </rPr>
          <t xml:space="preserve">Transportation </t>
        </r>
        <r>
          <rPr>
            <sz val="9"/>
            <color indexed="81"/>
            <rFont val="Tahoma"/>
            <family val="2"/>
          </rPr>
          <t xml:space="preserve">(automotive aftermarket  window films and paint protection films)
</t>
        </r>
        <r>
          <rPr>
            <b/>
            <sz val="9"/>
            <color indexed="81"/>
            <rFont val="Tahoma"/>
            <family val="2"/>
          </rPr>
          <t xml:space="preserve">Building and construction </t>
        </r>
        <r>
          <rPr>
            <sz val="9"/>
            <color indexed="81"/>
            <rFont val="Tahoma"/>
            <family val="2"/>
          </rPr>
          <t>(residential and commercial window films) 
H</t>
        </r>
        <r>
          <rPr>
            <b/>
            <sz val="9"/>
            <color indexed="81"/>
            <rFont val="Tahoma"/>
            <family val="2"/>
          </rPr>
          <t xml:space="preserve">ealth and wellness </t>
        </r>
        <r>
          <rPr>
            <sz val="9"/>
            <color indexed="81"/>
            <rFont val="Tahoma"/>
            <family val="2"/>
          </rPr>
          <t>(medical)</t>
        </r>
      </text>
    </comment>
    <comment ref="C422" authorId="1" shapeId="0" xr:uid="{03160EC5-317A-4D77-ABD8-BD64B77815BC}">
      <text>
        <r>
          <rPr>
            <sz val="9"/>
            <color indexed="81"/>
            <rFont val="Tahoma"/>
            <family val="2"/>
          </rPr>
          <t xml:space="preserve">The specialty plastics product line consists of two primary products: copolyesters and cellulose esters.
</t>
        </r>
        <r>
          <rPr>
            <b/>
            <sz val="9"/>
            <color indexed="81"/>
            <rFont val="Tahoma"/>
            <family val="2"/>
          </rPr>
          <t xml:space="preserve">End Use:
consumables </t>
        </r>
        <r>
          <rPr>
            <sz val="9"/>
            <color indexed="81"/>
            <rFont val="Tahoma"/>
            <family val="2"/>
          </rPr>
          <t xml:space="preserve">(consumer packaging, cosmetics packaging, in-store fixtures and displays) 
</t>
        </r>
        <r>
          <rPr>
            <b/>
            <sz val="9"/>
            <color indexed="81"/>
            <rFont val="Tahoma"/>
            <family val="2"/>
          </rPr>
          <t xml:space="preserve">durable goods </t>
        </r>
        <r>
          <rPr>
            <sz val="9"/>
            <color indexed="81"/>
            <rFont val="Tahoma"/>
            <family val="2"/>
          </rPr>
          <t xml:space="preserve">(consumer housewares and appliances)
</t>
        </r>
        <r>
          <rPr>
            <b/>
            <sz val="9"/>
            <color indexed="81"/>
            <rFont val="Tahoma"/>
            <family val="2"/>
          </rPr>
          <t xml:space="preserve">health and wellness </t>
        </r>
        <r>
          <rPr>
            <sz val="9"/>
            <color indexed="81"/>
            <rFont val="Tahoma"/>
            <family val="2"/>
          </rPr>
          <t xml:space="preserve">(medical)
</t>
        </r>
        <r>
          <rPr>
            <b/>
            <sz val="9"/>
            <color indexed="81"/>
            <rFont val="Tahoma"/>
            <family val="2"/>
          </rPr>
          <t xml:space="preserve">electronics </t>
        </r>
        <r>
          <rPr>
            <sz val="9"/>
            <color indexed="81"/>
            <rFont val="Tahoma"/>
            <family val="2"/>
          </rPr>
          <t>(displays)</t>
        </r>
      </text>
    </comment>
    <comment ref="AS422" authorId="0" shapeId="0" xr:uid="{8376025A-6972-4F74-BEF4-8239C4154D34}">
      <text>
        <r>
          <rPr>
            <sz val="9"/>
            <color indexed="81"/>
            <rFont val="Tahoma"/>
            <family val="2"/>
          </rPr>
          <t>strengthened demand for specialty plastics products sold into durable goods, medical, and electronics end markets</t>
        </r>
      </text>
    </comment>
    <comment ref="C423" authorId="1" shapeId="0" xr:uid="{66AF3F36-36DF-4471-A2EE-975858A0491B}">
      <text>
        <r>
          <rPr>
            <sz val="9"/>
            <color indexed="81"/>
            <rFont val="Tahoma"/>
            <family val="2"/>
          </rPr>
          <t>The advanced interlayers product line includes polyvinyl butyral sheet and specialty polyvinyl butyral intermediates</t>
        </r>
      </text>
    </comment>
    <comment ref="C424" authorId="1" shapeId="0" xr:uid="{C5B85CCB-9FB8-43FB-84DF-9F65CC9EA7DC}">
      <text>
        <r>
          <rPr>
            <sz val="9"/>
            <color indexed="81"/>
            <rFont val="Tahoma"/>
            <family val="2"/>
          </rPr>
          <t xml:space="preserve">The performance films product line primarily consists of window film and protective film products for aftermarket applied films.
End Use:
</t>
        </r>
        <r>
          <rPr>
            <b/>
            <sz val="9"/>
            <color indexed="81"/>
            <rFont val="Tahoma"/>
            <family val="2"/>
          </rPr>
          <t xml:space="preserve">Transportation </t>
        </r>
        <r>
          <rPr>
            <sz val="9"/>
            <color indexed="81"/>
            <rFont val="Tahoma"/>
            <family val="2"/>
          </rPr>
          <t xml:space="preserve">(automotive aftermarket  window films and paint protection films)
</t>
        </r>
        <r>
          <rPr>
            <b/>
            <sz val="9"/>
            <color indexed="81"/>
            <rFont val="Tahoma"/>
            <family val="2"/>
          </rPr>
          <t xml:space="preserve">Building and construction </t>
        </r>
        <r>
          <rPr>
            <sz val="9"/>
            <color indexed="81"/>
            <rFont val="Tahoma"/>
            <family val="2"/>
          </rPr>
          <t>(residential and commercial window films) 
H</t>
        </r>
        <r>
          <rPr>
            <b/>
            <sz val="9"/>
            <color indexed="81"/>
            <rFont val="Tahoma"/>
            <family val="2"/>
          </rPr>
          <t xml:space="preserve">ealth and wellness </t>
        </r>
        <r>
          <rPr>
            <sz val="9"/>
            <color indexed="81"/>
            <rFont val="Tahoma"/>
            <family val="2"/>
          </rPr>
          <t>(medical)</t>
        </r>
      </text>
    </comment>
    <comment ref="AQ425" authorId="0" shapeId="0" xr:uid="{2610D8E2-DE16-48DE-9729-35C2B9B77BC3}">
      <text>
        <r>
          <rPr>
            <sz val="9"/>
            <color indexed="81"/>
            <rFont val="Tahoma"/>
            <family val="2"/>
          </rPr>
          <t xml:space="preserve">Strong growth in our premium products, including paint protection film, Tritan™ copolyester, and Saflex™ acoustic and    architectural interlayers, was offset by declines in other copolyester products and standard interlayers related to underlying market declines in transportation and consumer durable end markets. </t>
        </r>
      </text>
    </comment>
    <comment ref="AS425" authorId="0" shapeId="0" xr:uid="{FCAD55D7-E8AE-4A1A-9BAC-7CEC7731D4B7}">
      <text>
        <r>
          <rPr>
            <sz val="9"/>
            <color indexed="81"/>
            <rFont val="Tahoma"/>
            <family val="2"/>
          </rPr>
          <t xml:space="preserve"> and for advanced interlayers and performance films products sold into transportation end markets.</t>
        </r>
      </text>
    </comment>
    <comment ref="C432" authorId="1" shapeId="0" xr:uid="{A8FB5209-5864-4599-8CED-3CD24545C6D8}">
      <text>
        <r>
          <rPr>
            <sz val="9"/>
            <color indexed="81"/>
            <rFont val="Tahoma"/>
            <family val="2"/>
          </rPr>
          <t>The CI segment leverages large scale and vertical integration from the cellulose and acetyl, olefins, and alkylamines streams to support the Company's specialty operating segments with advantaged cost positions. The CI segment sells excess intermediates beyond the Company's internal specialty needs into markets such as industrial chemicals and processing, building and construction, health and wellness, and agrochemicals. Key technology platforms include acetyls, oxos, plasticizers, polyesters, and alkylamines.</t>
        </r>
      </text>
    </comment>
    <comment ref="BK433" authorId="0" shapeId="0" xr:uid="{BFF02470-1234-4547-8CD6-CD2026FDB235}">
      <text>
        <r>
          <rPr>
            <sz val="9"/>
            <color indexed="81"/>
            <rFont val="Tahoma"/>
            <family val="2"/>
          </rPr>
          <t>Intermediates: 
Oxo alcohols and derivatives
Acetic acid and derivatives
Acetic anhydride
Ethylene
Glycol ethers
Esters</t>
        </r>
      </text>
    </comment>
    <comment ref="R434" authorId="1" shapeId="0" xr:uid="{D4EBD9B6-FC72-48AE-ABC3-FAB82FBFC4C2}">
      <text>
        <r>
          <rPr>
            <sz val="9"/>
            <color indexed="81"/>
            <rFont val="Tahoma"/>
            <family val="2"/>
          </rPr>
          <t>Sales revenue decreased primarily due to lower selling
prices for both olefins and acetyls products resulting from raw material price declines and increased competitive activity. Sales revenue was also negatively impacted by lower functional amines products sales volume attributed to weakened demand, particularly in agricultural end-markets.</t>
        </r>
      </text>
    </comment>
    <comment ref="S434" authorId="1" shapeId="0" xr:uid="{1D56FF85-BEEC-4106-8E35-6A8F16919AB0}">
      <text>
        <r>
          <rPr>
            <sz val="9"/>
            <color indexed="81"/>
            <rFont val="Tahoma"/>
            <family val="2"/>
          </rPr>
          <t>Declined primarily due to lower selling prices across the segment attributed to lower raw material prices and increased competitive activity. Sales revenue was also negatively impacted by lower intermediates products sales volume attributed to increased competitive activity and lower functional amines products sales volume attributed to weaker demand in agricultural end-markets resulting from wet weather in North America earlier in the year.</t>
        </r>
      </text>
    </comment>
    <comment ref="AQ434" authorId="3" shapeId="0" xr:uid="{19B8C3E2-4947-43A9-9AD1-0B06404A2CE9}">
      <text>
        <r>
          <rPr>
            <sz val="9"/>
            <color indexed="81"/>
            <rFont val="Tahoma"/>
            <family val="2"/>
          </rPr>
          <t>Sales revenue decreased primarily due to lower selling prices across the segment attributed to lower raw material prices and increased competitive activity. Sales revenue was also negatively impacted by increased competitive pressure in some intermediates and wet weather in North America impacting agriculture end markets</t>
        </r>
      </text>
    </comment>
    <comment ref="BK434" authorId="0" shapeId="0" xr:uid="{D0B0A4AD-9EB4-441F-9B73-F8D7B83532DE}">
      <text>
        <r>
          <rPr>
            <b/>
            <sz val="9"/>
            <color indexed="81"/>
            <rFont val="Tahoma"/>
            <family val="2"/>
          </rPr>
          <t xml:space="preserve">Intermediates: </t>
        </r>
        <r>
          <rPr>
            <sz val="9"/>
            <color indexed="81"/>
            <rFont val="Tahoma"/>
            <family val="2"/>
          </rPr>
          <t xml:space="preserve">(paint and coating applications, construction chemicals, building materials)
</t>
        </r>
        <r>
          <rPr>
            <b/>
            <sz val="9"/>
            <color indexed="81"/>
            <rFont val="Tahoma"/>
            <family val="2"/>
          </rPr>
          <t>Plasticizers:</t>
        </r>
        <r>
          <rPr>
            <sz val="9"/>
            <color indexed="81"/>
            <rFont val="Tahoma"/>
            <family val="2"/>
          </rPr>
          <t xml:space="preserve"> (non-phthalate plasticizers used in interior surfaces)</t>
        </r>
      </text>
    </comment>
    <comment ref="BK438" authorId="0" shapeId="0" xr:uid="{68D4A0B3-F823-49BC-81BC-BA72EC7B9638}">
      <text>
        <r>
          <rPr>
            <sz val="9"/>
            <color indexed="81"/>
            <rFont val="Tahoma"/>
            <family val="2"/>
          </rPr>
          <t>Plastcizer: (food packaging, packaging adhesives, and glove applications)</t>
        </r>
      </text>
    </comment>
    <comment ref="BO444" authorId="0" shapeId="0" xr:uid="{0195C0A8-0EC1-4500-843A-7CC342F7DA71}">
      <text>
        <r>
          <rPr>
            <sz val="9"/>
            <color indexed="81"/>
            <rFont val="Tahoma"/>
            <family val="2"/>
          </rPr>
          <t xml:space="preserve">Lower sales volume/mix was primarily driven by a deceleration of demand and customer inventory destocking that occurred in the fourth quarter, </t>
        </r>
        <r>
          <rPr>
            <b/>
            <sz val="9"/>
            <color indexed="81"/>
            <rFont val="Tahoma"/>
            <family val="2"/>
          </rPr>
          <t xml:space="preserve">particularly for the building and construction and industrial end markets. </t>
        </r>
      </text>
    </comment>
    <comment ref="BO445" authorId="0" shapeId="0" xr:uid="{84AD5491-CCEA-4286-B89A-CDBDC9AF0F05}">
      <text>
        <r>
          <rPr>
            <sz val="9"/>
            <color indexed="81"/>
            <rFont val="Tahoma"/>
            <family val="2"/>
          </rPr>
          <t xml:space="preserve">Lower sales volume/mix was primarily driven by a deceleration of demand and customer inventory destocking that occurred in the fourth quarter, </t>
        </r>
        <r>
          <rPr>
            <b/>
            <sz val="9"/>
            <color indexed="81"/>
            <rFont val="Tahoma"/>
            <family val="2"/>
          </rPr>
          <t xml:space="preserve">particularly for the building and construction and industrial end markets. </t>
        </r>
      </text>
    </comment>
    <comment ref="BP445" authorId="0" shapeId="0" xr:uid="{B5F61EC1-D0AF-4E96-9CD8-09B529071B87}">
      <text>
        <r>
          <rPr>
            <sz val="9"/>
            <color indexed="81"/>
            <rFont val="Tahoma"/>
            <family val="2"/>
          </rPr>
          <t xml:space="preserve"> In building and construction, we see destocking continuing into the first quarter.</t>
        </r>
      </text>
    </comment>
    <comment ref="BO446" authorId="0" shapeId="0" xr:uid="{69C0E3A1-5BC2-4769-B699-9B0C55F4379F}">
      <text>
        <r>
          <rPr>
            <sz val="9"/>
            <color indexed="81"/>
            <rFont val="Tahoma"/>
            <family val="2"/>
          </rPr>
          <t>Higher selling prices across all product lines were due to significantly higher raw material, energy, and distribution prices and tight market conditions.</t>
        </r>
      </text>
    </comment>
    <comment ref="BP446" authorId="0" shapeId="0" xr:uid="{9F4DF7EF-3422-41A1-A4EE-697A712FBEBF}">
      <text>
        <r>
          <rPr>
            <sz val="9"/>
            <color indexed="81"/>
            <rFont val="Tahoma"/>
            <family val="2"/>
          </rPr>
          <t xml:space="preserve">In the near term, we see a modest improvement in volume as destocking is slowing in the first quarter across several stable end markets  </t>
        </r>
      </text>
    </comment>
    <comment ref="AF447" authorId="0" shapeId="0" xr:uid="{6C18A7F0-BEB6-4247-B69C-4D928CF90FBF}">
      <text>
        <r>
          <rPr>
            <sz val="9"/>
            <color indexed="81"/>
            <rFont val="Tahoma"/>
            <family val="2"/>
          </rPr>
          <t xml:space="preserve">The lower sales volume/mix was due to significant destocking across most key end markets, including building and construction and consumer durables   
Sales volumes were also limited by the shutdown of one of our smaller crackers, which was kept down throughout the fourth quarter due to limited demand after performing routine maintenance.  </t>
        </r>
      </text>
    </comment>
    <comment ref="AG447" authorId="0" shapeId="0" xr:uid="{97B6FDF9-55DA-4940-8061-BFE567150A41}">
      <text>
        <r>
          <rPr>
            <sz val="9"/>
            <color indexed="81"/>
            <rFont val="Tahoma"/>
            <family val="2"/>
          </rPr>
          <t>1Q23 Transcript: 
 After broad-based destocking in the fourth quarter, the pace and scale of destocking eased in the first quarter. In some markets, including building and construction and consumer durables, destocking persisted throughout the first quarter.
Sales volume/mix was lower in plasticizers and olefins due to continued weak end-market demand, including for building and construction, consumer durables, and industrial. Sales volume/mix was also lower as we chose not to compete in certain low-value markets where margins were being compressed due to competitive activity, particularly from China.  
4Q22 Transcript: 
In the near term, we see a modest improvement in volume as destocking is slowing in the first quarter across several stable end markets 
In building and construction, we see destocking continuing into the first quarter.</t>
        </r>
      </text>
    </comment>
    <comment ref="AH447" authorId="0" shapeId="0" xr:uid="{94529BA2-59E2-4607-B203-9E845FFC9CE9}">
      <text>
        <r>
          <rPr>
            <sz val="9"/>
            <color indexed="81"/>
            <rFont val="Tahoma"/>
            <family val="2"/>
          </rPr>
          <t xml:space="preserve"> On a net basis, we expect volume to be similar in the second quarter compared to the first quarter
 We will also maintain discipline and will not chase volume in low-value applications, particularly outside of the U.S. </t>
        </r>
      </text>
    </comment>
    <comment ref="AT447" authorId="0" shapeId="0" xr:uid="{A88F4334-5B32-4085-A822-198C8068DACA}">
      <text>
        <r>
          <rPr>
            <sz val="9"/>
            <color indexed="81"/>
            <rFont val="Tahoma"/>
            <family val="2"/>
          </rPr>
          <t xml:space="preserve">Lower sales volume/mix was primarily driven by a deceleration of demand and customer inventory destocking that occurred in the fourth quarter, particularly for the building and construction and industrial end markets. </t>
        </r>
      </text>
    </comment>
    <comment ref="AU447" authorId="0" shapeId="0" xr:uid="{AB0C7DF6-DDE7-4F4F-88E1-BE6D973663E6}">
      <text>
        <r>
          <rPr>
            <sz val="9"/>
            <color indexed="81"/>
            <rFont val="Tahoma"/>
            <family val="2"/>
          </rPr>
          <t>We expect to have more volume to sell with less planned and unplanned maintenance and lower manufacturing costs in 2023, offset by the normalization of spreads especially in olefin product</t>
        </r>
      </text>
    </comment>
    <comment ref="BO447" authorId="0" shapeId="0" xr:uid="{78D9E221-0A02-4975-A564-A8B382BE9FB9}">
      <text>
        <r>
          <rPr>
            <sz val="9"/>
            <color indexed="81"/>
            <rFont val="Tahoma"/>
            <family val="2"/>
          </rPr>
          <t xml:space="preserve">Higher selling prices across all product lines were due to significantly higher raw material, energy, and distribution prices and tight market conditions.
</t>
        </r>
        <r>
          <rPr>
            <b/>
            <sz val="9"/>
            <color indexed="81"/>
            <rFont val="Tahoma"/>
            <family val="2"/>
          </rPr>
          <t xml:space="preserve">
Despite rapidly deteriorating market conditions for several commodity olefin products earnings were supported by significant improvement in 2022 in functional amines and acetic anhydride</t>
        </r>
      </text>
    </comment>
    <comment ref="AF448" authorId="0" shapeId="0" xr:uid="{A39B6FE6-1C72-40D4-9D5F-25E4585DFC0D}">
      <text>
        <r>
          <rPr>
            <b/>
            <sz val="9"/>
            <color indexed="81"/>
            <rFont val="Tahoma"/>
            <family val="2"/>
          </rPr>
          <t xml:space="preserve">Sequentially, </t>
        </r>
        <r>
          <rPr>
            <sz val="9"/>
            <color indexed="81"/>
            <rFont val="Tahoma"/>
            <family val="2"/>
          </rPr>
          <t>Commerical teams demonstrated discipline by holding prices to a 5 percent decline despite slowing demand.</t>
        </r>
      </text>
    </comment>
    <comment ref="AG448" authorId="0" shapeId="0" xr:uid="{104E3CCE-6993-4587-9A40-6ECF470C2915}">
      <text>
        <r>
          <rPr>
            <sz val="9"/>
            <color indexed="81"/>
            <rFont val="Tahoma"/>
            <family val="2"/>
          </rPr>
          <t>Selling prices were lower due to lower raw material, energy, and distribution prices. Acetyls benefited from exposure to stable end markets including food, pharma, and agriculture, and posted higher sales volume/mix compared to last year.</t>
        </r>
      </text>
    </comment>
    <comment ref="AH448" authorId="0" shapeId="0" xr:uid="{BCA6B31F-F300-4E50-9867-DB806DA5ACD8}">
      <text>
        <r>
          <rPr>
            <sz val="9"/>
            <color indexed="81"/>
            <rFont val="Tahoma"/>
            <family val="2"/>
          </rPr>
          <t>s. These lower costs are expected to be matched with lower prices, which would result in spreads that are similar to the first quarter</t>
        </r>
      </text>
    </comment>
    <comment ref="AT448" authorId="0" shapeId="0" xr:uid="{58B7BACE-75E2-4590-A119-C56DC40834F1}">
      <text>
        <r>
          <rPr>
            <sz val="9"/>
            <color indexed="81"/>
            <rFont val="Tahoma"/>
            <family val="2"/>
          </rPr>
          <t>Higher selling prices across all product lines were due to significantly higher raw material, energy, and distribution prices and tight market conditions.</t>
        </r>
      </text>
    </comment>
    <comment ref="BO448" authorId="0" shapeId="0" xr:uid="{B9B683B5-CE64-4729-A0C2-BB86BD2560EB}">
      <text>
        <r>
          <rPr>
            <sz val="9"/>
            <color indexed="81"/>
            <rFont val="Tahoma"/>
            <family val="2"/>
          </rPr>
          <t xml:space="preserve">Higher selling prices across all product lines were due to significantly higher raw material, energy, and distribution prices and tight market conditions.
</t>
        </r>
        <r>
          <rPr>
            <b/>
            <sz val="9"/>
            <color indexed="81"/>
            <rFont val="Tahoma"/>
            <family val="2"/>
          </rPr>
          <t xml:space="preserve">
Despite rapidly deteriorating market conditions for several commodity olefin products,  earnings were supported by significant improvement in 2022 in functional amines and acetic anhydride</t>
        </r>
      </text>
    </comment>
    <comment ref="BP448" authorId="0" shapeId="0" xr:uid="{BCDF6C88-CB54-4186-B212-E23E1E2E297E}">
      <text>
        <r>
          <rPr>
            <sz val="9"/>
            <color indexed="81"/>
            <rFont val="Tahoma"/>
            <family val="2"/>
          </rPr>
          <t xml:space="preserve">In the near term, we see a modest improvement in volume as destocking is slowing in the first quarter across several stable end markets  </t>
        </r>
      </text>
    </comment>
    <comment ref="BP449" authorId="0" shapeId="0" xr:uid="{5B0E989A-3980-4F80-9FDB-38CDB7B6C094}">
      <text>
        <r>
          <rPr>
            <sz val="9"/>
            <color indexed="81"/>
            <rFont val="Tahoma"/>
            <family val="2"/>
          </rPr>
          <t xml:space="preserve">In the near term, we see a modest improvement in volume as destocking is slowing in the first quarter across several stable end markets 
</t>
        </r>
      </text>
    </comment>
    <comment ref="AS450" authorId="0" shapeId="0" xr:uid="{2065DFD6-7848-4D86-B640-35F49140421D}">
      <text>
        <r>
          <rPr>
            <sz val="9"/>
            <color indexed="81"/>
            <rFont val="Tahoma"/>
            <family val="2"/>
          </rPr>
          <t>Revenue increased 36 percent due to 38 percent higher selling prices due to higher raw material, energy, and distribution prices. 
Volume/mix was unfavorable as an improvement in product mix was more than offset by a decline in sales volume. More favorable product mix was due to increased sales of functional amines in the agricultural end market and specialty plasticizers. 
Volume growth in derivatives was more than offset by the closure of our Singapore manufacturing facility and lost volumes from higher manufacturing maintenance shutdowns.</t>
        </r>
      </text>
    </comment>
    <comment ref="BP450" authorId="0" shapeId="0" xr:uid="{4C986785-1CE2-4C10-AEB7-E560701D8C9A}">
      <text>
        <r>
          <rPr>
            <sz val="9"/>
            <color indexed="81"/>
            <rFont val="Tahoma"/>
            <family val="2"/>
          </rPr>
          <t xml:space="preserve">In the near term, we see a modest improvement in volume as destocking is slowing in the first quarter across several stable end markets 
</t>
        </r>
      </text>
    </comment>
    <comment ref="F452" authorId="1" shapeId="0" xr:uid="{26A448C4-0A89-43E8-B7E1-4799F553B337}">
      <text>
        <r>
          <rPr>
            <sz val="9"/>
            <color indexed="81"/>
            <rFont val="Tahoma"/>
            <family val="2"/>
          </rPr>
          <t>Maintenance costs of $35mn.</t>
        </r>
      </text>
    </comment>
    <comment ref="L454" authorId="1" shapeId="0" xr:uid="{7B21B956-46E9-4283-969A-B47F5C99F739}">
      <text>
        <r>
          <rPr>
            <sz val="9"/>
            <color indexed="81"/>
            <rFont val="Tahoma"/>
            <family val="2"/>
          </rPr>
          <t>Coal Gasification incident.</t>
        </r>
      </text>
    </comment>
    <comment ref="BK454" authorId="1" shapeId="0" xr:uid="{F7757AA6-128B-4873-B468-EAC3875780F6}">
      <text>
        <r>
          <rPr>
            <sz val="9"/>
            <color indexed="81"/>
            <rFont val="Tahoma"/>
            <family val="2"/>
          </rPr>
          <t xml:space="preserve">In the intermediates product line, the Company produces olefin derivatives, acetyl derivatives, ethylene, and commodity solvents.
End Use: 
</t>
        </r>
        <r>
          <rPr>
            <b/>
            <sz val="9"/>
            <color indexed="81"/>
            <rFont val="Tahoma"/>
            <family val="2"/>
          </rPr>
          <t xml:space="preserve">industrial chemicals and processing
building and construction </t>
        </r>
        <r>
          <rPr>
            <sz val="9"/>
            <color indexed="81"/>
            <rFont val="Tahoma"/>
            <family val="2"/>
          </rPr>
          <t xml:space="preserve">(paint and coating applications, construction chemicals, building materials)
</t>
        </r>
        <r>
          <rPr>
            <b/>
            <sz val="9"/>
            <color indexed="81"/>
            <rFont val="Tahoma"/>
            <family val="2"/>
          </rPr>
          <t>pharmaceuticals and agriculture
health and wellness
packaging</t>
        </r>
      </text>
    </comment>
    <comment ref="BK455" authorId="1" shapeId="0" xr:uid="{FF36F42D-E925-456B-BF87-BDE5B52A03DF}">
      <text>
        <r>
          <rPr>
            <sz val="9"/>
            <color indexed="81"/>
            <rFont val="Tahoma"/>
            <family val="2"/>
          </rPr>
          <t xml:space="preserve">The plasticizers product line consists of a unique set of primary non-phthalate and phthalate plasticizers and a range of niche non-phthalate plasticizers.
End Use:
</t>
        </r>
        <r>
          <rPr>
            <b/>
            <sz val="9"/>
            <color indexed="81"/>
            <rFont val="Tahoma"/>
            <family val="2"/>
          </rPr>
          <t xml:space="preserve">building and construction </t>
        </r>
        <r>
          <rPr>
            <sz val="9"/>
            <color indexed="81"/>
            <rFont val="Tahoma"/>
            <family val="2"/>
          </rPr>
          <t xml:space="preserve">(non-phthalate plasticizers used in interior surfaces)
</t>
        </r>
        <r>
          <rPr>
            <b/>
            <sz val="9"/>
            <color indexed="81"/>
            <rFont val="Tahoma"/>
            <family val="2"/>
          </rPr>
          <t xml:space="preserve">consumables </t>
        </r>
        <r>
          <rPr>
            <sz val="9"/>
            <color indexed="81"/>
            <rFont val="Tahoma"/>
            <family val="2"/>
          </rPr>
          <t xml:space="preserve">(food packaging, packaging adhesives, and glove applications)
</t>
        </r>
        <r>
          <rPr>
            <b/>
            <sz val="9"/>
            <color indexed="81"/>
            <rFont val="Tahoma"/>
            <family val="2"/>
          </rPr>
          <t xml:space="preserve">health and wellness </t>
        </r>
        <r>
          <rPr>
            <sz val="9"/>
            <color indexed="81"/>
            <rFont val="Tahoma"/>
            <family val="2"/>
          </rPr>
          <t>(medical devices)</t>
        </r>
      </text>
    </comment>
    <comment ref="BK456" authorId="1" shapeId="0" xr:uid="{A5F07ED8-55DE-40B1-B901-2D83C3FD5023}">
      <text>
        <r>
          <rPr>
            <sz val="9"/>
            <color indexed="81"/>
            <rFont val="Tahoma"/>
            <family val="2"/>
          </rPr>
          <t>The functional amines product lines include methylamines and salts, and higher amines and solvents.
End Use:</t>
        </r>
        <r>
          <rPr>
            <b/>
            <sz val="9"/>
            <color indexed="81"/>
            <rFont val="Tahoma"/>
            <family val="2"/>
          </rPr>
          <t xml:space="preserve">
agrochemicals
energy
consumables
water treatment
animal nutrition
industrial intermediates</t>
        </r>
      </text>
    </comment>
    <comment ref="BK460" authorId="1" shapeId="0" xr:uid="{88242757-9362-43C2-9B1E-851300F8E34B}">
      <text>
        <r>
          <rPr>
            <sz val="9"/>
            <color indexed="81"/>
            <rFont val="Tahoma"/>
            <family val="2"/>
          </rPr>
          <t xml:space="preserve">In the intermediates product line, the Company produces olefin derivatives, acetyl derivatives, ethylene, and commodity solvents.
End Use: 
</t>
        </r>
        <r>
          <rPr>
            <b/>
            <sz val="9"/>
            <color indexed="81"/>
            <rFont val="Tahoma"/>
            <family val="2"/>
          </rPr>
          <t xml:space="preserve">industrial chemicals and processing
building and construction </t>
        </r>
        <r>
          <rPr>
            <sz val="9"/>
            <color indexed="81"/>
            <rFont val="Tahoma"/>
            <family val="2"/>
          </rPr>
          <t xml:space="preserve">(paint and coating applications, construction chemicals, building materials)
</t>
        </r>
        <r>
          <rPr>
            <b/>
            <sz val="9"/>
            <color indexed="81"/>
            <rFont val="Tahoma"/>
            <family val="2"/>
          </rPr>
          <t>pharmaceuticals and agriculture
health and wellness
packaging</t>
        </r>
      </text>
    </comment>
    <comment ref="BO460" authorId="0" shapeId="0" xr:uid="{7A2C1E04-A0A9-4007-ADC7-8BE122A1CEDD}">
      <text>
        <r>
          <rPr>
            <sz val="9"/>
            <color indexed="81"/>
            <rFont val="Tahoma"/>
            <family val="2"/>
          </rPr>
          <t xml:space="preserve"> Acetic anhydride sales volumes were stable on a sequential basis, highlighting resilient end market exposure with approximately 80 percent of products sold used in food, pha rma, and agricultural applications. </t>
        </r>
      </text>
    </comment>
    <comment ref="AH461" authorId="0" shapeId="0" xr:uid="{47B629A5-C3D0-4845-A64C-928D2400D74E}">
      <text>
        <r>
          <rPr>
            <sz val="9"/>
            <color indexed="81"/>
            <rFont val="Tahoma"/>
            <family val="2"/>
          </rPr>
          <t xml:space="preserve">All in, we expect second-quarter adjusted EBIT to be similar to first-quarter EBIT.  </t>
        </r>
      </text>
    </comment>
    <comment ref="AI461" authorId="0" shapeId="0" xr:uid="{80319AC1-4FDD-4C24-B84D-F7A5DF560873}">
      <text>
        <r>
          <rPr>
            <sz val="9"/>
            <color indexed="81"/>
            <rFont val="Tahoma"/>
            <family val="2"/>
          </rPr>
          <t>1Q23: For the second half of the year, we expect the current quarterly run rate to continue at a similar level through the end of the year as we benefit from the stability of our acetyl products.</t>
        </r>
      </text>
    </comment>
    <comment ref="AQ461" authorId="3" shapeId="0" xr:uid="{0C67A581-C1F3-4073-847A-A047A4D2057F}">
      <text>
        <r>
          <rPr>
            <sz val="9"/>
            <color indexed="81"/>
            <rFont val="Tahoma"/>
            <family val="2"/>
          </rPr>
          <t>EBIT decreased primarily due to lower spreads and lower sales volume, partially offset by the benefits from the recent refinery grade propylene investment</t>
        </r>
      </text>
    </comment>
    <comment ref="AR461" authorId="3" shapeId="0" xr:uid="{DCF4A102-4AA7-47C6-BB42-35D53C53883B}">
      <text>
        <r>
          <rPr>
            <b/>
            <sz val="9"/>
            <color indexed="81"/>
            <rFont val="Tahoma"/>
            <family val="2"/>
          </rPr>
          <t xml:space="preserve">4Q19 Transcript: 
</t>
        </r>
        <r>
          <rPr>
            <sz val="9"/>
            <color indexed="81"/>
            <rFont val="Tahoma"/>
            <family val="2"/>
          </rPr>
          <t xml:space="preserve">As 2019 progressed and industry activity slowed, spreads in many of our derivative product lines declined, but we now think we're seeing signs of stabilization at this point. We expect to carry the lower level of spreads in the back half of 2019 into 2020, which will be a headwind in the first half of the year. But we also expect to see higher volumes in ag as North America gets back to a more normal planting season, and we're expecting to see the benefits of our cost management programs and other stabilizing actions. </t>
        </r>
        <r>
          <rPr>
            <b/>
            <sz val="9"/>
            <color indexed="81"/>
            <rFont val="Tahoma"/>
            <family val="2"/>
          </rPr>
          <t>All in, we think Chemical Intermediates' EBIT in 2020 will be lower than 2019</t>
        </r>
      </text>
    </comment>
    <comment ref="AS461" authorId="0" shapeId="0" xr:uid="{A806FBBB-C66C-4A1C-AC24-BEF2355D2527}">
      <text>
        <r>
          <rPr>
            <sz val="9"/>
            <color indexed="81"/>
            <rFont val="Tahoma"/>
            <family val="2"/>
          </rPr>
          <t xml:space="preserve">Adjusted EBIT increased as higher spreads and more favorable product mix was partially offset by higher operating costs, including costs from higher planned manufacturing maintenance costs and repairs resulting from winter storm Uri. </t>
        </r>
      </text>
    </comment>
    <comment ref="AT461" authorId="0" shapeId="0" xr:uid="{20903D3D-5F02-4305-A338-586A4FFE6C51}">
      <text>
        <r>
          <rPr>
            <sz val="9"/>
            <color indexed="81"/>
            <rFont val="Tahoma"/>
            <family val="2"/>
          </rPr>
          <t>Adjusted EBIT decreased due to lower sales volume/mix, partially offset by increased spreads as higher selling prices more than offset higher raw material, energy, and distribution costs and lower SG&amp;A expense. 
Despite rapidly deteriorating market conditions for several commodity olefin products earnings were supported by significant improvement in 2022 in functional amines and acetic anhydride</t>
        </r>
      </text>
    </comment>
    <comment ref="AU461" authorId="0" shapeId="0" xr:uid="{2B9FB141-0A4C-4C79-B5C3-D648E287579C}">
      <text>
        <r>
          <rPr>
            <sz val="9"/>
            <color indexed="81"/>
            <rFont val="Tahoma"/>
            <family val="2"/>
          </rPr>
          <t xml:space="preserve">1Q23: While recognizing there is much uncertainty about macroeconomic conditions, we expect fullyear 2023 adjusted EBIT to be in the range </t>
        </r>
        <r>
          <rPr>
            <b/>
            <sz val="9"/>
            <color indexed="81"/>
            <rFont val="Tahoma"/>
            <family val="2"/>
          </rPr>
          <t xml:space="preserve">of $150 to $200 million.  </t>
        </r>
        <r>
          <rPr>
            <sz val="9"/>
            <color indexed="81"/>
            <rFont val="Tahoma"/>
            <family val="2"/>
          </rPr>
          <t xml:space="preserve">
We have confidence in delivering solid results this year despite weaker macroeconomic conditions as we leverage the strong growth over the last several years from functional amines, acetic anhydride, and specialty plasticizers product lines. 
Even with earnings from olefin product s meaningfully lower compared to last year, the structural growth in our resilient products helps to underpin a solid year. 
</t>
        </r>
        <r>
          <rPr>
            <b/>
            <sz val="9"/>
            <color indexed="81"/>
            <rFont val="Tahoma"/>
            <family val="2"/>
          </rPr>
          <t>All together, we expect Chemical Intermediates 2023 adjusted EBIT to approach $300 million.</t>
        </r>
      </text>
    </comment>
    <comment ref="BK461" authorId="1" shapeId="0" xr:uid="{315D9E83-26BA-416A-88C2-580F2C9B070A}">
      <text>
        <r>
          <rPr>
            <sz val="9"/>
            <color indexed="81"/>
            <rFont val="Tahoma"/>
            <family val="2"/>
          </rPr>
          <t xml:space="preserve">The plasticizers product line consists of a unique set of primary non-phthalate and phthalate plasticizers and a range of niche non-phthalate plasticizers.
End Use:
</t>
        </r>
        <r>
          <rPr>
            <b/>
            <sz val="9"/>
            <color indexed="81"/>
            <rFont val="Tahoma"/>
            <family val="2"/>
          </rPr>
          <t xml:space="preserve">building and construction </t>
        </r>
        <r>
          <rPr>
            <sz val="9"/>
            <color indexed="81"/>
            <rFont val="Tahoma"/>
            <family val="2"/>
          </rPr>
          <t xml:space="preserve">(non-phthalate plasticizers used in interior surfaces)
</t>
        </r>
        <r>
          <rPr>
            <b/>
            <sz val="9"/>
            <color indexed="81"/>
            <rFont val="Tahoma"/>
            <family val="2"/>
          </rPr>
          <t xml:space="preserve">consumables </t>
        </r>
        <r>
          <rPr>
            <sz val="9"/>
            <color indexed="81"/>
            <rFont val="Tahoma"/>
            <family val="2"/>
          </rPr>
          <t xml:space="preserve">(food packaging, packaging adhesives, and glove applications)
</t>
        </r>
        <r>
          <rPr>
            <b/>
            <sz val="9"/>
            <color indexed="81"/>
            <rFont val="Tahoma"/>
            <family val="2"/>
          </rPr>
          <t xml:space="preserve">health and wellness </t>
        </r>
        <r>
          <rPr>
            <sz val="9"/>
            <color indexed="81"/>
            <rFont val="Tahoma"/>
            <family val="2"/>
          </rPr>
          <t>(medical devices)</t>
        </r>
      </text>
    </comment>
    <comment ref="R462" authorId="1" shapeId="0" xr:uid="{C14E048B-218A-4A04-9978-DCAEF56275F6}">
      <text>
        <r>
          <rPr>
            <sz val="9"/>
            <color indexed="81"/>
            <rFont val="Tahoma"/>
            <family val="2"/>
          </rPr>
          <t>EBIT decreased primarily due to lower selling prices primarily for acetyls and functional amines products, more than offsetting lower raw material costs and continued cost management and lower planned maintenance and other manufacturing costs.</t>
        </r>
      </text>
    </comment>
    <comment ref="S462" authorId="1" shapeId="0" xr:uid="{33923995-8B04-4769-BA86-435D60F274AF}">
      <text>
        <r>
          <rPr>
            <sz val="9"/>
            <color indexed="81"/>
            <rFont val="Tahoma"/>
            <family val="2"/>
          </rPr>
          <t>Decreased primarily due to lower sales volume of $16 million, lower selling prices of $80 million more than offsetting lower raw material costs of $73 million, and costs of planned manufacturing site maintenance and of a local power disruption each impacting the Longview, Texas manufacturing site, totaling $28 million. The increased site costs were partially offset by the benefits from the recent modifications to the site's olefin cracking units to allow use of refinery-grade propylene feedstock and lower costs from
continued segment cost management, totaling $10 million.</t>
        </r>
      </text>
    </comment>
    <comment ref="T462" authorId="3" shapeId="0" xr:uid="{F8F40542-7B07-45BD-B84B-F3E7310267B7}">
      <text>
        <r>
          <rPr>
            <sz val="9"/>
            <color indexed="81"/>
            <rFont val="Tahoma"/>
            <family val="2"/>
          </rPr>
          <t>EBIT decreased primarily due to planned shutodown costs</t>
        </r>
      </text>
    </comment>
    <comment ref="AG462" authorId="0" shapeId="0" xr:uid="{246725EB-1475-40B4-BF55-7B470EF37E5E}">
      <text>
        <r>
          <rPr>
            <sz val="9"/>
            <color indexed="81"/>
            <rFont val="Tahoma"/>
            <family val="2"/>
          </rPr>
          <t xml:space="preserve">Adjusted EBIT decreased due to lower sales volume/mix and lower spreads, which were above mid-cycle levels in the year-ago period.  </t>
        </r>
      </text>
    </comment>
    <comment ref="BK462" authorId="1" shapeId="0" xr:uid="{AE184034-CCA9-478B-A966-E33C3188D0CE}">
      <text>
        <r>
          <rPr>
            <sz val="9"/>
            <color indexed="81"/>
            <rFont val="Tahoma"/>
            <family val="2"/>
          </rPr>
          <t>The functional amines product lines include methylamines and salts, and higher amines and solvents.
End Use:</t>
        </r>
        <r>
          <rPr>
            <b/>
            <sz val="9"/>
            <color indexed="81"/>
            <rFont val="Tahoma"/>
            <family val="2"/>
          </rPr>
          <t xml:space="preserve">
agrochemicals
energy
consumables
water treatment
animal nutrition
industrial intermediates</t>
        </r>
      </text>
    </comment>
    <comment ref="BO462" authorId="0" shapeId="0" xr:uid="{7DB53DD4-6A6B-4848-9931-A1C4EDAA3D04}">
      <text>
        <r>
          <rPr>
            <sz val="9"/>
            <color indexed="81"/>
            <rFont val="Tahoma"/>
            <family val="2"/>
          </rPr>
          <t xml:space="preserve">Functional amines delivered another solid quarter and continues to benefit from a leading market position and an attractive set of stable end markets, with approximately 70 percent of products sold used in agriculture, pharma, and water treatment applications.  </t>
        </r>
      </text>
    </comment>
    <comment ref="AG463" authorId="0" shapeId="0" xr:uid="{78AED609-34DD-4908-83BD-8BA3EC8CF4EC}">
      <text>
        <r>
          <rPr>
            <sz val="9"/>
            <color indexed="81"/>
            <rFont val="Tahoma"/>
            <family val="2"/>
          </rPr>
          <t>Adjusted EBIT decreased due to lower sales volume/mix and lower spreads, which were above mid-cycle levels in the year-ago period
On costs, higher seasonal winter energy costs are still working through results in the first quarter. 
Due to lower levels of overall demand, we expect to keep our idled cracker down through the end of the first quarter.</t>
        </r>
      </text>
    </comment>
    <comment ref="AH463" authorId="0" shapeId="0" xr:uid="{6A775CCA-7106-4C7D-9A93-AB7A23C54B64}">
      <text>
        <r>
          <rPr>
            <sz val="9"/>
            <color indexed="81"/>
            <rFont val="Tahoma"/>
            <family val="2"/>
          </rPr>
          <t>1Q23: As we move through the second quarter, we expect further moderation of raw material and energy costs. These lower costs are expected to be matched with lower prices, which would result in spreads that are similar to the first quarter
For the full year, we expect the quarterly run rate of earnings to im prove compared to first quarter levels as the benefit of our corporate cost actions increase in the second quarter. We also expect destocking to be complete by the end of the first quarter and lower seasonal energy costs to benefit earnings.</t>
        </r>
      </text>
    </comment>
    <comment ref="R464" authorId="1" shapeId="0" xr:uid="{C3AD3C61-BC77-4726-9CF4-22DD46FA99D2}">
      <text>
        <r>
          <rPr>
            <sz val="9"/>
            <color indexed="81"/>
            <rFont val="Tahoma"/>
            <family val="2"/>
          </rPr>
          <t>Margins expanded to 10.0% as lower planned maintenance costs and cost savings partially offset lower selling prices and weaker agricultural market demand.</t>
        </r>
      </text>
    </comment>
    <comment ref="E482" authorId="1" shapeId="0" xr:uid="{2C5047F1-97AC-427E-8034-97D2CF4C25DD}">
      <text>
        <r>
          <rPr>
            <sz val="9"/>
            <color indexed="81"/>
            <rFont val="Tahoma"/>
            <family val="2"/>
          </rPr>
          <t>D&amp;A took as a % of quarter from total annual D&amp;A.</t>
        </r>
      </text>
    </comment>
    <comment ref="F482" authorId="1" shapeId="0" xr:uid="{EF904F9D-0590-4B3B-BF16-780603F3B0D6}">
      <text>
        <r>
          <rPr>
            <sz val="9"/>
            <color indexed="81"/>
            <rFont val="Tahoma"/>
            <family val="2"/>
          </rPr>
          <t>D&amp;A took as a % of quarter from total annual D&amp;A.</t>
        </r>
      </text>
    </comment>
    <comment ref="G482" authorId="1" shapeId="0" xr:uid="{E57B9ED1-28FD-444E-AABC-F1B1296FB249}">
      <text>
        <r>
          <rPr>
            <sz val="9"/>
            <color indexed="81"/>
            <rFont val="Tahoma"/>
            <family val="2"/>
          </rPr>
          <t>D&amp;A took as a % of quarter from total annual D&amp;A.</t>
        </r>
      </text>
    </comment>
    <comment ref="H482" authorId="1" shapeId="0" xr:uid="{4CB4981B-01B4-40C7-8C8E-DF8C130029C1}">
      <text>
        <r>
          <rPr>
            <sz val="9"/>
            <color indexed="81"/>
            <rFont val="Tahoma"/>
            <family val="2"/>
          </rPr>
          <t>D&amp;A took as a % of quarter from total annual D&amp;A.</t>
        </r>
      </text>
    </comment>
    <comment ref="I482" authorId="1" shapeId="0" xr:uid="{B0DA0E6F-CEAA-4161-985E-AC6D710ACADA}">
      <text>
        <r>
          <rPr>
            <sz val="9"/>
            <color indexed="81"/>
            <rFont val="Tahoma"/>
            <family val="2"/>
          </rPr>
          <t>D&amp;A took as a % of quarter from total annual D&amp;A.</t>
        </r>
      </text>
    </comment>
    <comment ref="J482" authorId="1" shapeId="0" xr:uid="{61BCC19C-F335-47A4-9DE2-6E8009BCFEA8}">
      <text>
        <r>
          <rPr>
            <sz val="9"/>
            <color indexed="81"/>
            <rFont val="Tahoma"/>
            <family val="2"/>
          </rPr>
          <t>D&amp;A took as a % of quarter from total annual D&amp;A.</t>
        </r>
      </text>
    </comment>
    <comment ref="K482" authorId="1" shapeId="0" xr:uid="{A6DD4ED7-BD4B-46BF-AAE1-4C0F23AF4CD0}">
      <text>
        <r>
          <rPr>
            <sz val="9"/>
            <color indexed="81"/>
            <rFont val="Tahoma"/>
            <family val="2"/>
          </rPr>
          <t>D&amp;A took as a % of quarter from total annual D&amp;A.</t>
        </r>
      </text>
    </comment>
    <comment ref="L482" authorId="1" shapeId="0" xr:uid="{3740EB01-F293-4B18-A1A6-99856765A303}">
      <text>
        <r>
          <rPr>
            <sz val="9"/>
            <color indexed="81"/>
            <rFont val="Tahoma"/>
            <family val="2"/>
          </rPr>
          <t>D&amp;A took as a % of quarter from total annual D&amp;A.</t>
        </r>
      </text>
    </comment>
    <comment ref="M482" authorId="1" shapeId="0" xr:uid="{11B0FF30-B83C-4CE2-A157-B7A2E7C73486}">
      <text>
        <r>
          <rPr>
            <sz val="9"/>
            <color indexed="81"/>
            <rFont val="Tahoma"/>
            <family val="2"/>
          </rPr>
          <t>D&amp;A took as a % of quarter from total annual D&amp;A.</t>
        </r>
      </text>
    </comment>
    <comment ref="N482" authorId="1" shapeId="0" xr:uid="{1A1DA8C8-8531-4CC0-9B21-9C3D2E5726AF}">
      <text>
        <r>
          <rPr>
            <sz val="9"/>
            <color indexed="81"/>
            <rFont val="Tahoma"/>
            <family val="2"/>
          </rPr>
          <t>D&amp;A took as a % of quarter from total annual D&amp;A.</t>
        </r>
      </text>
    </comment>
    <comment ref="O482" authorId="1" shapeId="0" xr:uid="{99456BDA-2120-4D41-BFAF-C37461FB0F1E}">
      <text>
        <r>
          <rPr>
            <sz val="9"/>
            <color indexed="81"/>
            <rFont val="Tahoma"/>
            <family val="2"/>
          </rPr>
          <t>D&amp;A took as a % of quarter from total annual D&amp;A.</t>
        </r>
      </text>
    </comment>
    <comment ref="P482" authorId="1" shapeId="0" xr:uid="{715920C5-4925-472F-A79D-94790A01B942}">
      <text>
        <r>
          <rPr>
            <sz val="9"/>
            <color indexed="81"/>
            <rFont val="Tahoma"/>
            <family val="2"/>
          </rPr>
          <t>D&amp;A took as a % of quarter from total annual D&amp;A.</t>
        </r>
      </text>
    </comment>
    <comment ref="C491" authorId="1" shapeId="0" xr:uid="{D0E98173-6814-4237-8ACD-67A57231F64B}">
      <text>
        <r>
          <rPr>
            <sz val="9"/>
            <color indexed="81"/>
            <rFont val="Tahoma"/>
            <family val="2"/>
          </rPr>
          <t>In the intermediates product line, the Company produces olefin derivatives, acetyl derivatives, ethylene, and commodity solvents.</t>
        </r>
      </text>
    </comment>
    <comment ref="C492" authorId="1" shapeId="0" xr:uid="{845EBE2C-75FB-4F11-8DE7-FFEE28247ACA}">
      <text>
        <r>
          <rPr>
            <sz val="9"/>
            <color indexed="81"/>
            <rFont val="Tahoma"/>
            <family val="2"/>
          </rPr>
          <t>The plasticizers product line consists of a unique set of primary non-phthalate and phthalate plasticizers and a range of niche non-phthalate plasticizers.</t>
        </r>
      </text>
    </comment>
    <comment ref="C493" authorId="1" shapeId="0" xr:uid="{F1BB17DF-822E-44EF-9D29-0E1272E54926}">
      <text>
        <r>
          <rPr>
            <sz val="9"/>
            <color indexed="81"/>
            <rFont val="Tahoma"/>
            <family val="2"/>
          </rPr>
          <t>The functional amines product lines include methylamines and salts, and higher amines and solvents.</t>
        </r>
      </text>
    </comment>
    <comment ref="C503" authorId="1" shapeId="0" xr:uid="{07744C6C-347C-48C6-83B6-EB5816303347}">
      <text>
        <r>
          <rPr>
            <sz val="9"/>
            <color indexed="81"/>
            <rFont val="Tahoma"/>
            <family val="2"/>
          </rPr>
          <t xml:space="preserve">In the intermediates product line, the Company produces olefin derivatives, acetyl derivatives, ethylene, and commodity solvents.
End Use: 
</t>
        </r>
        <r>
          <rPr>
            <b/>
            <sz val="9"/>
            <color indexed="81"/>
            <rFont val="Tahoma"/>
            <family val="2"/>
          </rPr>
          <t xml:space="preserve">industrial chemicals and processing
building and construction </t>
        </r>
        <r>
          <rPr>
            <sz val="9"/>
            <color indexed="81"/>
            <rFont val="Tahoma"/>
            <family val="2"/>
          </rPr>
          <t xml:space="preserve">(paint and coating applications, construction chemicals, building materials)
</t>
        </r>
        <r>
          <rPr>
            <b/>
            <sz val="9"/>
            <color indexed="81"/>
            <rFont val="Tahoma"/>
            <family val="2"/>
          </rPr>
          <t>pharmaceuticals and agriculture
health and wellness
packaging</t>
        </r>
      </text>
    </comment>
    <comment ref="AQ503" authorId="0" shapeId="0" xr:uid="{917D7E2B-B9DF-4FA4-A086-6889BBEC7A83}">
      <text>
        <r>
          <rPr>
            <sz val="9"/>
            <color indexed="81"/>
            <rFont val="Tahoma"/>
            <family val="2"/>
          </rPr>
          <t>Lower intermediates products sales volume attributed to increased competitive activity.</t>
        </r>
      </text>
    </comment>
    <comment ref="C504" authorId="1" shapeId="0" xr:uid="{16F21073-D4CC-48DC-8648-2FE3F0A27A7A}">
      <text>
        <r>
          <rPr>
            <sz val="9"/>
            <color indexed="81"/>
            <rFont val="Tahoma"/>
            <family val="2"/>
          </rPr>
          <t xml:space="preserve">The plasticizers product line consists of a unique set of primary non-phthalate and phthalate plasticizers and a range of niche non-phthalate plasticizers.
End Use:
</t>
        </r>
        <r>
          <rPr>
            <b/>
            <sz val="9"/>
            <color indexed="81"/>
            <rFont val="Tahoma"/>
            <family val="2"/>
          </rPr>
          <t xml:space="preserve">building and construction </t>
        </r>
        <r>
          <rPr>
            <sz val="9"/>
            <color indexed="81"/>
            <rFont val="Tahoma"/>
            <family val="2"/>
          </rPr>
          <t xml:space="preserve">(non-phthalate plasticizers used in interior surfaces)
</t>
        </r>
        <r>
          <rPr>
            <b/>
            <sz val="9"/>
            <color indexed="81"/>
            <rFont val="Tahoma"/>
            <family val="2"/>
          </rPr>
          <t xml:space="preserve">consumables </t>
        </r>
        <r>
          <rPr>
            <sz val="9"/>
            <color indexed="81"/>
            <rFont val="Tahoma"/>
            <family val="2"/>
          </rPr>
          <t xml:space="preserve">(food packaging, packaging adhesives, and glove applications)
</t>
        </r>
        <r>
          <rPr>
            <b/>
            <sz val="9"/>
            <color indexed="81"/>
            <rFont val="Tahoma"/>
            <family val="2"/>
          </rPr>
          <t xml:space="preserve">health and wellness </t>
        </r>
        <r>
          <rPr>
            <sz val="9"/>
            <color indexed="81"/>
            <rFont val="Tahoma"/>
            <family val="2"/>
          </rPr>
          <t>(medical devices)</t>
        </r>
      </text>
    </comment>
    <comment ref="C505" authorId="1" shapeId="0" xr:uid="{A2CCF4F2-A6B6-4966-B366-A5FB3F7E7A82}">
      <text>
        <r>
          <rPr>
            <sz val="9"/>
            <color indexed="81"/>
            <rFont val="Tahoma"/>
            <family val="2"/>
          </rPr>
          <t>The functional amines product lines include methylamines and salts, and higher amines and solvents.
End Use:</t>
        </r>
        <r>
          <rPr>
            <b/>
            <sz val="9"/>
            <color indexed="81"/>
            <rFont val="Tahoma"/>
            <family val="2"/>
          </rPr>
          <t xml:space="preserve">
agrochemicals
energy
consumables
water treatment
animal nutrition
industrial intermediates</t>
        </r>
      </text>
    </comment>
    <comment ref="AQ505" authorId="0" shapeId="0" xr:uid="{7CD21D8D-E844-4DDE-B24E-FAC9AF5C2C35}">
      <text>
        <r>
          <rPr>
            <sz val="9"/>
            <color indexed="81"/>
            <rFont val="Tahoma"/>
            <family val="2"/>
          </rPr>
          <t xml:space="preserve">Sales revenue was also negatively impacted by lower functional amines products sales volume attributed to </t>
        </r>
        <r>
          <rPr>
            <b/>
            <sz val="9"/>
            <color indexed="81"/>
            <rFont val="Tahoma"/>
            <family val="2"/>
          </rPr>
          <t xml:space="preserve">weaker demand in agricultural end markets resulting from wet weather in North America </t>
        </r>
      </text>
    </comment>
    <comment ref="AQ506" authorId="0" shapeId="0" xr:uid="{7951326C-8BD0-45BB-93EC-9B98167D7A19}">
      <text>
        <r>
          <rPr>
            <sz val="9"/>
            <color indexed="81"/>
            <rFont val="Tahoma"/>
            <family val="2"/>
          </rPr>
          <t>Sales revenue decreased primarily due to lower selling prices across the segment attributed to lower raw material prices and increased competitive activity. Sales revenue was also negatively impacted by increased competitive pressure in some intermediates and wet weather in North America impacting agriculture end markets</t>
        </r>
      </text>
    </comment>
    <comment ref="AT506" authorId="0" shapeId="0" xr:uid="{5C25952F-05B1-4F34-9DBE-BA600B9BC741}">
      <text>
        <r>
          <rPr>
            <sz val="9"/>
            <color indexed="81"/>
            <rFont val="Tahoma"/>
            <family val="2"/>
          </rPr>
          <t>– Sales revenue increased 6 percent due to 16 percent higher selling prices partially offset by 8 percent lower sales volume/mix and a 2 percent unfavorable impact from foreign currency exchange rates</t>
        </r>
      </text>
    </comment>
    <comment ref="C512" authorId="1" shapeId="0" xr:uid="{EA9AF8DB-5DD5-4896-9A81-12673F596AF1}">
      <text>
        <r>
          <rPr>
            <sz val="9"/>
            <color indexed="81"/>
            <rFont val="Tahoma"/>
            <family val="2"/>
          </rPr>
          <t>In the Fibers segment, Eastman manufactures and sells Estron™ acetate tow and Estrobond™ triacetin plasticizers for use in filtration media, primarily cigarette filters; Estron™ natural (undyed), Chromspun™ solution-dyed acetate yarns, Naia™ cellulosic fibers and yarn for use in apparel, home furnishings, and industrial fabrics; nonwovens for use in filtration and friction media, used primarily in transportation, industrial, and agricultural markets; and cellulose acetate flake and acetyl raw materials for other acetate fiber producers.</t>
        </r>
      </text>
    </comment>
    <comment ref="R514" authorId="1" shapeId="0" xr:uid="{43890116-6B4B-47AC-A4A2-5279110C140B}">
      <text>
        <r>
          <rPr>
            <sz val="9"/>
            <color indexed="81"/>
            <rFont val="Tahoma"/>
            <family val="2"/>
          </rPr>
          <t>Sales revenue decreased primarily due to lower acetate tow sales volume attributed to weakened market demand resulting from global trade-related pressures, customer buying patterns, and a general market decline.</t>
        </r>
      </text>
    </comment>
    <comment ref="S514" authorId="1" shapeId="0" xr:uid="{52DF2AA8-2584-4DD1-AEA0-B437D2574B6D}">
      <text>
        <r>
          <rPr>
            <sz val="9"/>
            <color indexed="81"/>
            <rFont val="Tahoma"/>
            <family val="2"/>
          </rPr>
          <t>Decreased primarily due to lower acetate flake sales volume to the acetate tow joint venture in China attributed to customer buying patterns. Lower acetate flake sales
volume was partially offset by sales from the acquired INACSA cellulosic yarn business and increased sales of textiles innovation products.</t>
        </r>
      </text>
    </comment>
    <comment ref="AQ514" authorId="3" shapeId="0" xr:uid="{51A22532-DC01-4EEE-AAEE-A89402ECB8BE}">
      <text>
        <r>
          <rPr>
            <sz val="9"/>
            <color indexed="81"/>
            <rFont val="Tahoma"/>
            <family val="2"/>
          </rPr>
          <t>General market decline for acetate tow and some chunkiness related to customer volume patterns</t>
        </r>
      </text>
    </comment>
    <comment ref="AF525" authorId="0" shapeId="0" xr:uid="{65AEC853-FDCD-4C58-92B8-3F4DB6EC54F6}">
      <text>
        <r>
          <rPr>
            <sz val="9"/>
            <color indexed="81"/>
            <rFont val="Tahoma"/>
            <family val="2"/>
          </rPr>
          <t>Higher sales volume/mix was due to the fulfillment of customer demand which was constrained earlier in the year due to planned and unplanned manufacturing maintenance.</t>
        </r>
      </text>
    </comment>
    <comment ref="AU525" authorId="0" shapeId="0" xr:uid="{D6F12DDC-744B-483C-88DD-8458E6114076}">
      <text>
        <r>
          <rPr>
            <sz val="9"/>
            <color indexed="81"/>
            <rFont val="Tahoma"/>
            <family val="2"/>
          </rPr>
          <t>In 2023, we enter the year with very low inventor ies after catching up to contractual commitments in the fourth quarter of 2022. On a full year basis, we have a similar level of volume contracted in 2023 compared to 2022</t>
        </r>
      </text>
    </comment>
    <comment ref="AF526" authorId="0" shapeId="0" xr:uid="{843D61ED-069F-432A-A1D6-B9A72C66612A}">
      <text>
        <r>
          <rPr>
            <sz val="9"/>
            <color indexed="81"/>
            <rFont val="Tahoma"/>
            <family val="2"/>
          </rPr>
          <t>Higher selling prices were due to higher raw material, energy, distribution and operating costs which occurred throughout the year.</t>
        </r>
      </text>
    </comment>
    <comment ref="AG526" authorId="0" shapeId="0" xr:uid="{4D2A9845-55D2-4D79-8E14-B756D531DF68}">
      <text>
        <r>
          <rPr>
            <b/>
            <sz val="9"/>
            <color indexed="81"/>
            <rFont val="Tahoma"/>
            <family val="2"/>
          </rPr>
          <t xml:space="preserve">1Q23 Transcript:  </t>
        </r>
        <r>
          <rPr>
            <sz val="9"/>
            <color indexed="81"/>
            <rFont val="Tahoma"/>
            <family val="2"/>
          </rPr>
          <t>Substantially higher selling prices for acetate tow were due to an increase in customer focus on security of supply as industry capacity utilization has tightened and raw material, energy, and distribution prices increased throughout 2022.</t>
        </r>
        <r>
          <rPr>
            <b/>
            <sz val="9"/>
            <color indexed="81"/>
            <rFont val="Tahoma"/>
            <family val="2"/>
          </rPr>
          <t xml:space="preserve">
With the actions we’ve taken on pricing, we expect first quarter results to fully reflect the impact of the higher contract prices. </t>
        </r>
        <r>
          <rPr>
            <sz val="9"/>
            <color indexed="81"/>
            <rFont val="Tahoma"/>
            <family val="2"/>
          </rPr>
          <t xml:space="preserve">
All in, we expect first quarter adjusted EBIT to reflect a run rate of approximately 275 million for full year 2023. 
</t>
        </r>
        <r>
          <rPr>
            <b/>
            <sz val="9"/>
            <color indexed="81"/>
            <rFont val="Tahoma"/>
            <family val="2"/>
          </rPr>
          <t xml:space="preserve">
We have confidence in this strong performance because of the contract pricing in place today and our flexibility to mitigate changes in raw material and energy costs during the year.</t>
        </r>
      </text>
    </comment>
    <comment ref="AH526" authorId="0" shapeId="0" xr:uid="{7147E748-E263-44BA-83F4-E52127382E34}">
      <text>
        <r>
          <rPr>
            <sz val="9"/>
            <color indexed="81"/>
            <rFont val="Tahoma"/>
            <family val="2"/>
          </rPr>
          <t xml:space="preserve">In the second quarter, demand and selling prices for acetate tow are expected to remain stable. We also expect continued flow through of lower raw material and energy costs.  All in, we expect second-quarter adjusted EBIT to be similar to first-quarter adjusted EBIT.  </t>
        </r>
      </text>
    </comment>
    <comment ref="BK527" authorId="1" shapeId="0" xr:uid="{AEED1714-1B0B-4128-988A-36EFB56FC566}">
      <text>
        <r>
          <rPr>
            <sz val="9"/>
            <color indexed="81"/>
            <rFont val="Tahoma"/>
            <family val="2"/>
          </rPr>
          <t>In the Fibers segment, Eastman manufactures and sells cellulose acetate tow for use in filtration media, primarily cigarette filters
End Use:</t>
        </r>
        <r>
          <rPr>
            <b/>
            <sz val="9"/>
            <color indexed="81"/>
            <rFont val="Tahoma"/>
            <family val="2"/>
          </rPr>
          <t xml:space="preserve">
filtration media (primarily cigarette filters) - Estron</t>
        </r>
      </text>
    </comment>
    <comment ref="AE528" authorId="0" shapeId="0" xr:uid="{5E53AF09-9407-4113-B888-39D49A8974FC}">
      <text>
        <r>
          <rPr>
            <sz val="9"/>
            <color indexed="81"/>
            <rFont val="Tahoma"/>
            <family val="2"/>
          </rPr>
          <t xml:space="preserve">I think an equally significant upside is a real change in the Fibers business. As we've told you, we faced a lot of inflation and increasing operating costs in the Fibers business in '21 and '22, and that's pushed our margins down pretty significantly. </t>
        </r>
        <r>
          <rPr>
            <b/>
            <sz val="9"/>
            <color indexed="81"/>
            <rFont val="Tahoma"/>
            <family val="2"/>
          </rPr>
          <t>And there was a recognition with our customers already this year that those costs needed to be recovered for us to be a reliable and sustainable supplier to them</t>
        </r>
        <r>
          <rPr>
            <sz val="9"/>
            <color indexed="81"/>
            <rFont val="Tahoma"/>
            <family val="2"/>
          </rPr>
          <t xml:space="preserve">. And you've already seen us have a lot of price increases this year, but it's only covered a portion of that inflation as far as the recovery goes. </t>
        </r>
        <r>
          <rPr>
            <b/>
            <sz val="9"/>
            <color indexed="81"/>
            <rFont val="Tahoma"/>
            <family val="2"/>
          </rPr>
          <t>And we've already succeeded in locking in contracts with a significant portion of our customers with prices that will allow us to significantly improve our earnings relative to this yea</t>
        </r>
        <r>
          <rPr>
            <sz val="9"/>
            <color indexed="81"/>
            <rFont val="Tahoma"/>
            <family val="2"/>
          </rPr>
          <t>r. In fact, so much so, that we believe it would offset what we've said in our prepared remarks about the normalization of Chemical Intermediates.</t>
        </r>
      </text>
    </comment>
    <comment ref="AU528" authorId="0" shapeId="0" xr:uid="{7EA524F2-2DF4-4DFE-8C53-DB686DFCE8F0}">
      <text>
        <r>
          <rPr>
            <sz val="9"/>
            <color indexed="81"/>
            <rFont val="Tahoma"/>
            <family val="2"/>
          </rPr>
          <t xml:space="preserve">Combining the </t>
        </r>
        <r>
          <rPr>
            <b/>
            <sz val="9"/>
            <color indexed="81"/>
            <rFont val="Tahoma"/>
            <family val="2"/>
          </rPr>
          <t xml:space="preserve">improved outlook for the acetate tow business </t>
        </r>
        <r>
          <rPr>
            <sz val="9"/>
            <color indexed="81"/>
            <rFont val="Tahoma"/>
            <family val="2"/>
          </rPr>
          <t xml:space="preserve">with the growth potential we have for our numerous circular economy cellulosic offerings, </t>
        </r>
        <r>
          <rPr>
            <b/>
            <sz val="9"/>
            <color indexed="81"/>
            <rFont val="Tahoma"/>
            <family val="2"/>
          </rPr>
          <t xml:space="preserve">including Naia ™ for textiles Aventa ™ for food service microbeads for cosmetics and others, </t>
        </r>
        <r>
          <rPr>
            <sz val="9"/>
            <color indexed="81"/>
            <rFont val="Tahoma"/>
            <family val="2"/>
          </rPr>
          <t>we have a sustainable base of earnings to reinvest our cash flow into this stream to create sustainability driven growth for the future</t>
        </r>
      </text>
    </comment>
    <comment ref="BK528" authorId="1" shapeId="0" xr:uid="{4043C7B9-DAA2-402F-8AF1-37FB488657E8}">
      <text>
        <r>
          <rPr>
            <sz val="9"/>
            <color indexed="81"/>
            <rFont val="Tahoma"/>
            <family val="2"/>
          </rPr>
          <t xml:space="preserve">The acetyl chemicals product line consists of triacetin, cellulose acetate flake, and acetyl raw materials for other acetate fiber producers.
End Use: </t>
        </r>
        <r>
          <rPr>
            <b/>
            <sz val="9"/>
            <color indexed="81"/>
            <rFont val="Tahoma"/>
            <family val="2"/>
          </rPr>
          <t xml:space="preserve">
filtration media (primarily cigarette filters) - Estrobond</t>
        </r>
      </text>
    </comment>
    <comment ref="BK529" authorId="1" shapeId="0" xr:uid="{C1846355-2D18-473D-979C-7F94F47FF3F3}">
      <text>
        <r>
          <rPr>
            <sz val="9"/>
            <color indexed="81"/>
            <rFont val="Tahoma"/>
            <family val="2"/>
          </rPr>
          <t xml:space="preserve">The acetate yarn product line consists of natural (undyed) acetate and polyester yarn and solution-dyed acetate yarn for use in apparel, home furnishings, and industrial fabrics.
End Use:
consumables (apparel, home furnishings, and industrial
fabrics) - </t>
        </r>
        <r>
          <rPr>
            <b/>
            <sz val="9"/>
            <color indexed="81"/>
            <rFont val="Tahoma"/>
            <family val="2"/>
          </rPr>
          <t>Naia</t>
        </r>
        <r>
          <rPr>
            <sz val="9"/>
            <color indexed="81"/>
            <rFont val="Tahoma"/>
            <family val="2"/>
          </rPr>
          <t xml:space="preserve">
health and wellness (medical tape)</t>
        </r>
      </text>
    </comment>
    <comment ref="BK530" authorId="1" shapeId="0" xr:uid="{9BDFC849-4B37-47A8-B231-7BBEEFF821E7}">
      <text>
        <r>
          <rPr>
            <sz val="9"/>
            <color indexed="81"/>
            <rFont val="Tahoma"/>
            <family val="2"/>
          </rPr>
          <t>The nonwovens product line consists primarily of the nonwovens innovation products.
End Use: 
filtration and friction media for transportation
industrial
agriculture and mining
aerospace markets</t>
        </r>
      </text>
    </comment>
    <comment ref="L532" authorId="1" shapeId="0" xr:uid="{52B5987D-5874-4FF9-AAB3-61BD3841A312}">
      <text>
        <r>
          <rPr>
            <sz val="9"/>
            <color indexed="81"/>
            <rFont val="Tahoma"/>
            <family val="2"/>
          </rPr>
          <t>Reported operating earnings were negatively impacted by costs resulting from the coal gasification incident.</t>
        </r>
      </text>
    </comment>
    <comment ref="BK534" authorId="1" shapeId="0" xr:uid="{FD0BB8DA-A17F-4385-99A8-C5FB3888AB75}">
      <text>
        <r>
          <rPr>
            <sz val="9"/>
            <color indexed="81"/>
            <rFont val="Tahoma"/>
            <family val="2"/>
          </rPr>
          <t>In the Fibers segment, Eastman manufactures and sells cellulose acetate tow for use in filtration media, primarily cigarette filters
End Use:</t>
        </r>
        <r>
          <rPr>
            <b/>
            <sz val="9"/>
            <color indexed="81"/>
            <rFont val="Tahoma"/>
            <family val="2"/>
          </rPr>
          <t xml:space="preserve">
filtration media (primarily cigarette filters)</t>
        </r>
      </text>
    </comment>
    <comment ref="BK535" authorId="1" shapeId="0" xr:uid="{561EBF59-9B50-4715-985A-938B3137160A}">
      <text>
        <r>
          <rPr>
            <sz val="9"/>
            <color indexed="81"/>
            <rFont val="Tahoma"/>
            <family val="2"/>
          </rPr>
          <t xml:space="preserve">The acetyl chemicals product line consists of triacetin, cellulose acetate flake, and acetyl raw materials for other acetate fiber producers.
End Use: </t>
        </r>
        <r>
          <rPr>
            <b/>
            <sz val="9"/>
            <color indexed="81"/>
            <rFont val="Tahoma"/>
            <family val="2"/>
          </rPr>
          <t xml:space="preserve">
filtration media (primarily cigarette filters)</t>
        </r>
      </text>
    </comment>
    <comment ref="BK536" authorId="1" shapeId="0" xr:uid="{EF47A917-661D-4E9B-80E7-765A1548D888}">
      <text>
        <r>
          <rPr>
            <sz val="9"/>
            <color indexed="81"/>
            <rFont val="Tahoma"/>
            <family val="2"/>
          </rPr>
          <t>The acetate yarn product line consists of natural (undyed) acetate and polyester yarn and solution-dyed acetate yarn for use in apparel, home furnishings, and industrial fabrics.
End Use:
consumables (apparel, home furnishings, and industrial
fabrics)
health and wellness (medical tape)</t>
        </r>
      </text>
    </comment>
    <comment ref="AG537" authorId="0" shapeId="0" xr:uid="{72F2B4E3-9052-462B-837F-2863924645FA}">
      <text>
        <r>
          <rPr>
            <sz val="9"/>
            <color indexed="81"/>
            <rFont val="Tahoma"/>
            <family val="2"/>
          </rPr>
          <t>Site closure costs and accelerated depreciation related to the closure of an acetate yarn manufacturing facility in Europe</t>
        </r>
      </text>
    </comment>
    <comment ref="BK538" authorId="1" shapeId="0" xr:uid="{85D4B588-A385-430F-8030-818400CD38F0}">
      <text>
        <r>
          <rPr>
            <sz val="9"/>
            <color indexed="81"/>
            <rFont val="Tahoma"/>
            <family val="2"/>
          </rPr>
          <t xml:space="preserve">The nonwovens product line consists primarily of the nonwovens innovation products.
End Use: 
</t>
        </r>
        <r>
          <rPr>
            <b/>
            <sz val="9"/>
            <color indexed="81"/>
            <rFont val="Tahoma"/>
            <family val="2"/>
          </rPr>
          <t>filtration and friction media for transportation
industrial
agriculture and mining
aerospace markets</t>
        </r>
      </text>
    </comment>
    <comment ref="AG539" authorId="0" shapeId="0" xr:uid="{9C04CF23-7100-4F40-83EF-7A186AA66FC5}">
      <text>
        <r>
          <rPr>
            <sz val="9"/>
            <color indexed="81"/>
            <rFont val="Tahoma"/>
            <family val="2"/>
          </rPr>
          <t xml:space="preserve">With the actions we’ve taken on pricing, we expect first quarter results to fully reflect the impact of the higher contract prices. 
All in, we expect first quarter </t>
        </r>
        <r>
          <rPr>
            <b/>
            <sz val="9"/>
            <color indexed="81"/>
            <rFont val="Tahoma"/>
            <family val="2"/>
          </rPr>
          <t>adjusted EBIT to reflect a run rate of approximately 275 million for full year 2023.</t>
        </r>
        <r>
          <rPr>
            <sz val="9"/>
            <color indexed="81"/>
            <rFont val="Tahoma"/>
            <family val="2"/>
          </rPr>
          <t xml:space="preserve">
We have confidence in this strong performance because of the contract pricing in place today and our flexibility to mitigate changes in raw material and energy costs during the year.</t>
        </r>
      </text>
    </comment>
    <comment ref="AH539" authorId="0" shapeId="0" xr:uid="{02737277-6E7B-4EFE-8275-1874D5BACDD1}">
      <text>
        <r>
          <rPr>
            <sz val="9"/>
            <color indexed="81"/>
            <rFont val="Tahoma"/>
            <family val="2"/>
          </rPr>
          <t xml:space="preserve">In the second quarter, demand and selling prices for acetate tow are expected to remain stable. We also expect continued flow through of lower raw material and energy costs.  All in, we expect second-quarter adjusted EBIT to be similar to first-quarter adjusted EBIT.  </t>
        </r>
      </text>
    </comment>
    <comment ref="AU539" authorId="0" shapeId="0" xr:uid="{7D3B3613-50FC-4A27-AA75-9401EEDEA84B}">
      <text>
        <r>
          <rPr>
            <b/>
            <sz val="9"/>
            <color indexed="81"/>
            <rFont val="Tahoma"/>
            <family val="2"/>
          </rPr>
          <t xml:space="preserve">1Q23 Transcript:
For the full year, we are expecting approximately $350 million of adjusted EBIT. 
</t>
        </r>
        <r>
          <rPr>
            <sz val="9"/>
            <color indexed="81"/>
            <rFont val="Tahoma"/>
            <family val="2"/>
          </rPr>
          <t xml:space="preserve">Our outlook has improved substantially from January as we see additional benefits from lower costs, improved operational performance, and strong growth in textiles. In textiles, strong demand for our sustainable products is enabling growth well above the market, especially in China’s recovery. 
</t>
        </r>
        <r>
          <rPr>
            <b/>
            <sz val="9"/>
            <color indexed="81"/>
            <rFont val="Tahoma"/>
            <family val="2"/>
          </rPr>
          <t xml:space="preserve">
All in, we expect first quarter adjusted EBIT to reflect a run rate of approximately 275 million for full year 2023.</t>
        </r>
        <r>
          <rPr>
            <sz val="9"/>
            <color indexed="81"/>
            <rFont val="Tahoma"/>
            <family val="2"/>
          </rPr>
          <t xml:space="preserve">
Fibers has obviously been on a tough journey since 2014 when the market structure loosened up for a variety of factors. But the situation has evolved and changed over time. First is on the demand side. </t>
        </r>
        <r>
          <rPr>
            <b/>
            <sz val="9"/>
            <color indexed="81"/>
            <rFont val="Tahoma"/>
            <family val="2"/>
          </rPr>
          <t>We historically thought about demand declining in the 2% to 3% range. But what we've seen over the last few years is it's only declining around 1%. And partly, that's driven by the strength of the heat-not-burn segment of the marketplace that is growing at 15% a year,</t>
        </r>
        <r>
          <rPr>
            <sz val="9"/>
            <color indexed="81"/>
            <rFont val="Tahoma"/>
            <family val="2"/>
          </rPr>
          <t xml:space="preserve"> offsetting some of the other decline on the cigarette side. China has also stabilized to being pretty much flat to slightly up in demand over the last several years. So you've got stabilization of demand, the heat-not-burn market growing. And the heat-not-burn devices require quite a bit more tow per smoking experience than a cigarette. So that's also helping. If you look at in the last decade, we've only been down about 10% of demand as you sort of put all these factors together.   
On the supply side, there's also a lot that's changed in the last decade. </t>
        </r>
        <r>
          <rPr>
            <b/>
            <sz val="9"/>
            <color indexed="81"/>
            <rFont val="Tahoma"/>
            <family val="2"/>
          </rPr>
          <t xml:space="preserve">So you can see about 15% of capacity has been shut down or repurposed. </t>
        </r>
        <r>
          <rPr>
            <sz val="9"/>
            <color indexed="81"/>
            <rFont val="Tahoma"/>
            <family val="2"/>
          </rPr>
          <t xml:space="preserve">That's assets that have been retired, the impacts that Russia has had on capacity in their country as well as us repurposing some of our assets towards the textiles growth. And the move to like the slim cigarettes, especially in China, as well as two free cigarettes has actually had a significant impact on the effective capacity. </t>
        </r>
        <r>
          <rPr>
            <b/>
            <sz val="9"/>
            <color indexed="81"/>
            <rFont val="Tahoma"/>
            <family val="2"/>
          </rPr>
          <t xml:space="preserve">It's much more difficult to make those products, so you lose a lot of capacity, at least 10%, maybe 15% of capacity is lost with that. So the industry has gone when you put those factors together to being pretty high in capacity utilization, where the conversations and then the focus with our customers is how we are reliable, secure supplier for their needs. </t>
        </r>
        <r>
          <rPr>
            <sz val="9"/>
            <color indexed="81"/>
            <rFont val="Tahoma"/>
            <family val="2"/>
          </rPr>
          <t>You have to remember the value of tow and the final price of the cigarette is a very small percent. S</t>
        </r>
        <r>
          <rPr>
            <b/>
            <sz val="9"/>
            <color indexed="81"/>
            <rFont val="Tahoma"/>
            <family val="2"/>
          </rPr>
          <t>o making sure they have it to sell their product at very high margins is incredibly important to them.</t>
        </r>
        <r>
          <rPr>
            <sz val="9"/>
            <color indexed="81"/>
            <rFont val="Tahoma"/>
            <family val="2"/>
          </rPr>
          <t xml:space="preserve"> And that's not the focus. So that's allowed us to get quite a bit of price up last year, so already good momentum, seeing some of that benefit already in the fourth quarter of last year that indicated the trajectory we're on for this year. So we give you factors </t>
        </r>
        <r>
          <rPr>
            <b/>
            <sz val="9"/>
            <color indexed="81"/>
            <rFont val="Tahoma"/>
            <family val="2"/>
          </rPr>
          <t>as sustainable and improving the earnings quite a bit. So I would say this year is going to be at least $275 million when we put all those factors together.</t>
        </r>
      </text>
    </comment>
    <comment ref="R540" authorId="1" shapeId="0" xr:uid="{91B56A4F-8497-4CBA-8C1F-3AD761C598DC}">
      <text>
        <r>
          <rPr>
            <sz val="9"/>
            <color indexed="81"/>
            <rFont val="Tahoma"/>
            <family val="2"/>
          </rPr>
          <t>Adjusted EBIT decreased primarily due to lower acetate tow sales volume partially offset by lower raw material costs and continued cost management.</t>
        </r>
      </text>
    </comment>
    <comment ref="S540" authorId="1" shapeId="0" xr:uid="{1697A246-A853-4A1A-A931-72A1E0B6D606}">
      <text>
        <r>
          <rPr>
            <sz val="9"/>
            <color indexed="81"/>
            <rFont val="Tahoma"/>
            <family val="2"/>
          </rPr>
          <t>Decrased primarily due to the total impact of $5 million of lower acetate flake sales volume and lower capacity utilization. In third quarter 2018, capacity utilization was temporarily increased as a result of inventory management in response to the coal gasification incident.</t>
        </r>
      </text>
    </comment>
    <comment ref="T540" authorId="3" shapeId="0" xr:uid="{A6B5D787-BA55-44D6-BDED-8EB268160829}">
      <text>
        <r>
          <rPr>
            <sz val="9"/>
            <color indexed="81"/>
            <rFont val="Tahoma"/>
            <family val="2"/>
          </rPr>
          <t>increased tow volumes in China</t>
        </r>
      </text>
    </comment>
    <comment ref="AR540" authorId="3" shapeId="0" xr:uid="{8B410B64-AAF7-4C6F-8B8C-6AA4C31B96F0}">
      <text>
        <r>
          <rPr>
            <b/>
            <sz val="9"/>
            <color indexed="81"/>
            <rFont val="Tahoma"/>
            <family val="2"/>
          </rPr>
          <t xml:space="preserve">4Q19 Call: </t>
        </r>
        <r>
          <rPr>
            <sz val="9"/>
            <color indexed="81"/>
            <rFont val="Tahoma"/>
            <family val="2"/>
          </rPr>
          <t>In 2020, we expect acetate tow to be down slightly, consistent with the market. For textiles, we expect continued strong growth in key end markets, such as womenswear, to be offset by a softer overall textile market, impacting our more traditional textile applications. Putting it together, we expect Fiber segment EBIT in 2020 to be slightly lower than 2019, consistent with the market</t>
        </r>
      </text>
    </comment>
    <comment ref="AF541" authorId="0" shapeId="0" xr:uid="{96A9B8A2-7B4E-4C7B-AD4B-B5A050A9044C}">
      <text>
        <r>
          <rPr>
            <sz val="9"/>
            <color indexed="81"/>
            <rFont val="Tahoma"/>
            <family val="2"/>
          </rPr>
          <t>Adjusted EBIT increased as higher selling prices improved adjusted EBIT margins back towards acceptable performance levels and higher sales volume/mix.</t>
        </r>
      </text>
    </comment>
    <comment ref="AO541" authorId="1" shapeId="0" xr:uid="{DBBF1C8B-58BD-4549-9667-971CC6152243}">
      <text>
        <r>
          <rPr>
            <sz val="9"/>
            <color indexed="81"/>
            <rFont val="Tahoma"/>
            <family val="2"/>
          </rPr>
          <t>Decrease in margin was due to relations with CNTC (a joint venture with eastman).</t>
        </r>
      </text>
    </comment>
    <comment ref="R542" authorId="1" shapeId="0" xr:uid="{6BD1E0D9-A523-46FF-93C1-0677F7415FDB}">
      <text>
        <r>
          <rPr>
            <sz val="9"/>
            <color indexed="81"/>
            <rFont val="Tahoma"/>
            <family val="2"/>
          </rPr>
          <t>Margins compressed to 23.9% on lower acetate tow volumes attributed to China trade-related issues and lower acetate tow prices.</t>
        </r>
      </text>
    </comment>
    <comment ref="BK542" authorId="1" shapeId="0" xr:uid="{2848BE51-B866-4B74-85E9-B1FC68FC84EB}">
      <text>
        <r>
          <rPr>
            <sz val="9"/>
            <color indexed="81"/>
            <rFont val="Tahoma"/>
            <family val="2"/>
          </rPr>
          <t>In the Fibers segment, Eastman manufactures and sells cellulose acetate tow for use in filtration media, primarily cigarette filters
End Use:</t>
        </r>
        <r>
          <rPr>
            <b/>
            <sz val="9"/>
            <color indexed="81"/>
            <rFont val="Tahoma"/>
            <family val="2"/>
          </rPr>
          <t xml:space="preserve">
filtration media (primarily cigarette filters)</t>
        </r>
      </text>
    </comment>
    <comment ref="BK543" authorId="1" shapeId="0" xr:uid="{F3126C10-1805-4FFA-AEB7-EC73BA9320EF}">
      <text>
        <r>
          <rPr>
            <sz val="9"/>
            <color indexed="81"/>
            <rFont val="Tahoma"/>
            <family val="2"/>
          </rPr>
          <t xml:space="preserve">The acetyl chemicals product line consists of triacetin, cellulose acetate flake, and acetyl raw materials for other acetate fiber producers.
End Use: </t>
        </r>
        <r>
          <rPr>
            <b/>
            <sz val="9"/>
            <color indexed="81"/>
            <rFont val="Tahoma"/>
            <family val="2"/>
          </rPr>
          <t xml:space="preserve">
filtration media (primarily cigarette filters)</t>
        </r>
      </text>
    </comment>
    <comment ref="BK544" authorId="1" shapeId="0" xr:uid="{E96BF2D0-AF9D-484D-BD8C-8A4BAC14A5A1}">
      <text>
        <r>
          <rPr>
            <sz val="9"/>
            <color indexed="81"/>
            <rFont val="Tahoma"/>
            <family val="2"/>
          </rPr>
          <t>The acetate yarn product line consists of natural (undyed) acetate and polyester yarn and solution-dyed acetate yarn for use in apparel, home furnishings, and industrial fabrics.
End Use:
consumables (apparel, home furnishings, and industrial
fabrics)
health and wellness (medical tape)</t>
        </r>
      </text>
    </comment>
    <comment ref="BK545" authorId="1" shapeId="0" xr:uid="{CD70017B-9046-4CC8-9382-F78EE8EDBECF}">
      <text>
        <r>
          <rPr>
            <sz val="9"/>
            <color indexed="81"/>
            <rFont val="Tahoma"/>
            <family val="2"/>
          </rPr>
          <t>The nonwovens product line consists primarily of the nonwovens innovation products.
End Use: 
filtration and friction media for transportation
industrial
agriculture and mining
aerospace markets</t>
        </r>
      </text>
    </comment>
    <comment ref="E560" authorId="1" shapeId="0" xr:uid="{8D369A62-E62F-42ED-8E63-2E5C91448E2C}">
      <text>
        <r>
          <rPr>
            <sz val="9"/>
            <color indexed="81"/>
            <rFont val="Tahoma"/>
            <family val="2"/>
          </rPr>
          <t>D&amp;A took as a % of quarter from total annual D&amp;A.</t>
        </r>
      </text>
    </comment>
    <comment ref="F560" authorId="1" shapeId="0" xr:uid="{84CE24F8-33B1-4A10-AF1C-38A41273DA10}">
      <text>
        <r>
          <rPr>
            <sz val="9"/>
            <color indexed="81"/>
            <rFont val="Tahoma"/>
            <family val="2"/>
          </rPr>
          <t>D&amp;A took as a % of quarter from total annual D&amp;A.</t>
        </r>
      </text>
    </comment>
    <comment ref="G560" authorId="1" shapeId="0" xr:uid="{D5B81D28-5E7F-43DD-B390-A5E46D9C16AC}">
      <text>
        <r>
          <rPr>
            <sz val="9"/>
            <color indexed="81"/>
            <rFont val="Tahoma"/>
            <family val="2"/>
          </rPr>
          <t>D&amp;A took as a % of quarter from total annual D&amp;A.</t>
        </r>
      </text>
    </comment>
    <comment ref="H560" authorId="1" shapeId="0" xr:uid="{50B8ED3E-D062-4F5F-A0EF-732E402F0CA6}">
      <text>
        <r>
          <rPr>
            <sz val="9"/>
            <color indexed="81"/>
            <rFont val="Tahoma"/>
            <family val="2"/>
          </rPr>
          <t>D&amp;A took as a % of quarter from total annual D&amp;A.</t>
        </r>
      </text>
    </comment>
    <comment ref="I560" authorId="1" shapeId="0" xr:uid="{A0EB97AA-85FF-4BEB-B476-8420FD3E642F}">
      <text>
        <r>
          <rPr>
            <sz val="9"/>
            <color indexed="81"/>
            <rFont val="Tahoma"/>
            <family val="2"/>
          </rPr>
          <t>D&amp;A took as a % of quarter from total annual D&amp;A.</t>
        </r>
      </text>
    </comment>
    <comment ref="J560" authorId="1" shapeId="0" xr:uid="{8EC8E93F-3021-46F9-9644-AA7DB66D58D7}">
      <text>
        <r>
          <rPr>
            <sz val="9"/>
            <color indexed="81"/>
            <rFont val="Tahoma"/>
            <family val="2"/>
          </rPr>
          <t>D&amp;A took as a % of quarter from total annual D&amp;A.</t>
        </r>
      </text>
    </comment>
    <comment ref="K560" authorId="1" shapeId="0" xr:uid="{5C50E434-7B37-46B0-8022-D80BF79820F5}">
      <text>
        <r>
          <rPr>
            <sz val="9"/>
            <color indexed="81"/>
            <rFont val="Tahoma"/>
            <family val="2"/>
          </rPr>
          <t>D&amp;A took as a % of quarter from total annual D&amp;A.</t>
        </r>
      </text>
    </comment>
    <comment ref="L560" authorId="1" shapeId="0" xr:uid="{88153C52-DE22-4690-97C9-6CF3071F2EE1}">
      <text>
        <r>
          <rPr>
            <sz val="9"/>
            <color indexed="81"/>
            <rFont val="Tahoma"/>
            <family val="2"/>
          </rPr>
          <t>D&amp;A took as a % of quarter from total annual D&amp;A.</t>
        </r>
      </text>
    </comment>
    <comment ref="M560" authorId="1" shapeId="0" xr:uid="{E8140A20-1F2A-4B2F-8EC4-16CB59A8131A}">
      <text>
        <r>
          <rPr>
            <sz val="9"/>
            <color indexed="81"/>
            <rFont val="Tahoma"/>
            <family val="2"/>
          </rPr>
          <t>D&amp;A took as a % of quarter from total annual D&amp;A.</t>
        </r>
      </text>
    </comment>
    <comment ref="N560" authorId="1" shapeId="0" xr:uid="{2BF694BC-AC92-49FA-BD6A-F0CFA92F6898}">
      <text>
        <r>
          <rPr>
            <sz val="9"/>
            <color indexed="81"/>
            <rFont val="Tahoma"/>
            <family val="2"/>
          </rPr>
          <t>D&amp;A took as a % of quarter from total annual D&amp;A.</t>
        </r>
      </text>
    </comment>
    <comment ref="O560" authorId="1" shapeId="0" xr:uid="{CF316E27-BCB0-401C-A6A9-5F80702D6307}">
      <text>
        <r>
          <rPr>
            <sz val="9"/>
            <color indexed="81"/>
            <rFont val="Tahoma"/>
            <family val="2"/>
          </rPr>
          <t>D&amp;A took as a % of quarter from total annual D&amp;A.</t>
        </r>
      </text>
    </comment>
    <comment ref="P560" authorId="1" shapeId="0" xr:uid="{DF73CBD9-08AF-40EC-986A-8E6F43FE4ACB}">
      <text>
        <r>
          <rPr>
            <sz val="9"/>
            <color indexed="81"/>
            <rFont val="Tahoma"/>
            <family val="2"/>
          </rPr>
          <t>D&amp;A took as a % of quarter from total annual D&amp;A.</t>
        </r>
      </text>
    </comment>
    <comment ref="C569" authorId="1" shapeId="0" xr:uid="{BD1BF9E0-02AF-40D4-95AB-65539DED403F}">
      <text>
        <r>
          <rPr>
            <sz val="9"/>
            <color indexed="81"/>
            <rFont val="Tahoma"/>
            <family val="2"/>
          </rPr>
          <t>In the Fibers segment, Eastman manufactures and sells cellulose acetate tow for use in filtration media, primarily cigarette filters
End Use:</t>
        </r>
        <r>
          <rPr>
            <b/>
            <sz val="9"/>
            <color indexed="81"/>
            <rFont val="Tahoma"/>
            <family val="2"/>
          </rPr>
          <t xml:space="preserve">
filtration media (primarily cigarette filters)</t>
        </r>
      </text>
    </comment>
    <comment ref="C570" authorId="1" shapeId="0" xr:uid="{6293AAC5-E429-477B-BD80-F856CE5F5077}">
      <text>
        <r>
          <rPr>
            <sz val="9"/>
            <color indexed="81"/>
            <rFont val="Tahoma"/>
            <family val="2"/>
          </rPr>
          <t xml:space="preserve">The acetyl chemicals product line consists of triacetin, cellulose acetate flake, and acetyl raw materials for other acetate fiber producers.
End Use: </t>
        </r>
        <r>
          <rPr>
            <b/>
            <sz val="9"/>
            <color indexed="81"/>
            <rFont val="Tahoma"/>
            <family val="2"/>
          </rPr>
          <t xml:space="preserve">
filtration media (primarily cigarette filters)</t>
        </r>
      </text>
    </comment>
    <comment ref="C571" authorId="1" shapeId="0" xr:uid="{29A0F410-DB77-48C8-9A20-7961362F4E78}">
      <text>
        <r>
          <rPr>
            <sz val="9"/>
            <color indexed="81"/>
            <rFont val="Tahoma"/>
            <family val="2"/>
          </rPr>
          <t>The acetate yarn product line consists of natural (undyed) acetate and polyester yarn and solution-dyed acetate yarn for use in apparel, home furnishings, and industrial fabrics.
End Use:
consumables (apparel, home furnishings, and industrial fabrics)
health and wellness (medical tape)</t>
        </r>
      </text>
    </comment>
    <comment ref="C572" authorId="1" shapeId="0" xr:uid="{8BBD55F7-674E-4434-9C92-5BC8DB3BC526}">
      <text>
        <r>
          <rPr>
            <sz val="9"/>
            <color indexed="81"/>
            <rFont val="Tahoma"/>
            <family val="2"/>
          </rPr>
          <t>The nonwovens product line consists primarily of the nonwovens innovation products.
End Use: 
filtration and friction media for transportation
industrial 
agriculture and mining
aerospace markets</t>
        </r>
      </text>
    </comment>
    <comment ref="BB574" authorId="0" shapeId="0" xr:uid="{5A64E586-9867-46B9-A2D1-AFF599990F34}">
      <text>
        <r>
          <rPr>
            <sz val="9"/>
            <color indexed="81"/>
            <rFont val="Tahoma"/>
            <family val="2"/>
          </rPr>
          <t>A EU based peer in Acetate yarn providing recycled fibers as well</t>
        </r>
      </text>
    </comment>
    <comment ref="AZ576" authorId="0" shapeId="0" xr:uid="{D5D4081D-1957-4BD6-8DBE-1EC7FE9DD82D}">
      <text>
        <r>
          <rPr>
            <sz val="9"/>
            <color indexed="81"/>
            <rFont val="Tahoma"/>
            <family val="2"/>
          </rPr>
          <t>And partly, that's driven by the strength of the heat-not-burn segment of the marketplace that is growing at 15% a year, offsetting some of the other decline on the cigarette side.</t>
        </r>
      </text>
    </comment>
    <comment ref="AQ582" authorId="0" shapeId="0" xr:uid="{DD5F54DF-D402-450C-ABF4-C40000BE4864}">
      <text>
        <r>
          <rPr>
            <sz val="9"/>
            <color indexed="81"/>
            <rFont val="Tahoma"/>
            <family val="2"/>
          </rPr>
          <t>Sales revenue decreased primarily due to lower acetate tow sales volume attributed to weakened market demand resulting from general market decline and customer buying patterns.</t>
        </r>
      </text>
    </comment>
    <comment ref="AS582" authorId="0" shapeId="0" xr:uid="{F68429B4-985A-40D4-81F3-77D64FA90763}">
      <text>
        <r>
          <rPr>
            <sz val="9"/>
            <color indexed="81"/>
            <rFont val="Tahoma"/>
            <family val="2"/>
          </rPr>
          <t>When you look at the situation, we had a view of the market declining 2% to 3% in tow year-over-year,
and it's now changed to being sort of flat to down 1%, partly because the overall market just isn't declining as much as people thought and equally
important, the heat-not-burn market is growing phenomenally fast. So companies like Philip Morris and the other brands had these very successful
heat-not-burn products, and they still use quite a bit of tow.
And so thinking it hadn't included how that would offset the tow decline in sort of the traditional products. So when you put it all together, you've
got a much more stable end market situation than I think what people expected.</t>
        </r>
      </text>
    </comment>
    <comment ref="AS584" authorId="0" shapeId="0" xr:uid="{4A9C43E0-D0B2-452D-B6DB-A254A2906077}">
      <text>
        <r>
          <rPr>
            <sz val="9"/>
            <color indexed="81"/>
            <rFont val="Tahoma"/>
            <family val="2"/>
          </rPr>
          <t xml:space="preserve"> Sales revenue increased 8 percent due to 7 percent higher sales volume/mix led by strong growth for textiles products due to innovation and market development and continued recovery of the textiles end market. 
Second, and this is unique to Eastman is textile growth has been fantastic, and we continue to see strong interest in our product. When you think
about a product that's made from half certified -- sustainably certified forest wood pulp and the other half now being recycled plastic, it's just to
create value proposition - So you've got growth in that, that's more than offsetting the decline in tow that we see
</t>
        </r>
      </text>
    </comment>
    <comment ref="AN596" authorId="1" shapeId="0" xr:uid="{A7E76ADE-F2BE-4DD6-B733-EF803A0F8CE7}">
      <text>
        <r>
          <rPr>
            <b/>
            <sz val="9"/>
            <color indexed="81"/>
            <rFont val="Tahoma"/>
            <family val="2"/>
          </rPr>
          <t>Company is reporting (192) in 10K 2018, pg 60/157.</t>
        </r>
      </text>
    </comment>
    <comment ref="E614" authorId="1" shapeId="0" xr:uid="{CA8CDD88-C473-4AAC-BF37-7806ECE45576}">
      <text>
        <r>
          <rPr>
            <sz val="9"/>
            <color indexed="81"/>
            <rFont val="Tahoma"/>
            <family val="2"/>
          </rPr>
          <t>D&amp;A took as a % of quarter from total annual D&amp;A.</t>
        </r>
      </text>
    </comment>
    <comment ref="F614" authorId="1" shapeId="0" xr:uid="{F93A1372-7645-40EC-AF1E-A103D609B334}">
      <text>
        <r>
          <rPr>
            <sz val="9"/>
            <color indexed="81"/>
            <rFont val="Tahoma"/>
            <family val="2"/>
          </rPr>
          <t>D&amp;A took as a % of quarter from total annual D&amp;A.</t>
        </r>
      </text>
    </comment>
    <comment ref="G614" authorId="1" shapeId="0" xr:uid="{DA9206D5-9722-4390-BBD2-3E6F2228A516}">
      <text>
        <r>
          <rPr>
            <sz val="9"/>
            <color indexed="81"/>
            <rFont val="Tahoma"/>
            <family val="2"/>
          </rPr>
          <t>D&amp;A took as a % of quarter from total annual D&amp;A.</t>
        </r>
      </text>
    </comment>
    <comment ref="H614" authorId="1" shapeId="0" xr:uid="{67821BF1-CAE4-4A00-9616-218A380E6C68}">
      <text>
        <r>
          <rPr>
            <sz val="9"/>
            <color indexed="81"/>
            <rFont val="Tahoma"/>
            <family val="2"/>
          </rPr>
          <t>D&amp;A took as a % of quarter from total annual D&amp;A.</t>
        </r>
      </text>
    </comment>
    <comment ref="I614" authorId="1" shapeId="0" xr:uid="{69C16F5C-1249-4926-946C-F61511896D3C}">
      <text>
        <r>
          <rPr>
            <sz val="9"/>
            <color indexed="81"/>
            <rFont val="Tahoma"/>
            <family val="2"/>
          </rPr>
          <t>D&amp;A took as a % of quarter from total annual D&amp;A.</t>
        </r>
      </text>
    </comment>
    <comment ref="J614" authorId="1" shapeId="0" xr:uid="{80A6E744-D82F-4F07-B9F6-92F9CB40437D}">
      <text>
        <r>
          <rPr>
            <sz val="9"/>
            <color indexed="81"/>
            <rFont val="Tahoma"/>
            <family val="2"/>
          </rPr>
          <t>D&amp;A took as a % of quarter from total annual D&amp;A.</t>
        </r>
      </text>
    </comment>
    <comment ref="K614" authorId="1" shapeId="0" xr:uid="{9BD47DF7-B1E2-4CE2-9CED-B84E3DCDE8BD}">
      <text>
        <r>
          <rPr>
            <sz val="9"/>
            <color indexed="81"/>
            <rFont val="Tahoma"/>
            <family val="2"/>
          </rPr>
          <t>D&amp;A took as a % of quarter from total annual D&amp;A.</t>
        </r>
      </text>
    </comment>
    <comment ref="L614" authorId="1" shapeId="0" xr:uid="{93192FAE-46E9-487F-88BE-E8B4AD663168}">
      <text>
        <r>
          <rPr>
            <sz val="9"/>
            <color indexed="81"/>
            <rFont val="Tahoma"/>
            <family val="2"/>
          </rPr>
          <t>D&amp;A took as a % of quarter from total annual D&amp;A.</t>
        </r>
      </text>
    </comment>
    <comment ref="M614" authorId="1" shapeId="0" xr:uid="{2DD7AEF8-51A8-4269-9379-630FC4EDBA29}">
      <text>
        <r>
          <rPr>
            <sz val="9"/>
            <color indexed="81"/>
            <rFont val="Tahoma"/>
            <family val="2"/>
          </rPr>
          <t>D&amp;A took as a % of quarter from total annual D&amp;A.</t>
        </r>
      </text>
    </comment>
    <comment ref="N614" authorId="1" shapeId="0" xr:uid="{83E12276-897E-4988-9A03-C53F68DD042C}">
      <text>
        <r>
          <rPr>
            <sz val="9"/>
            <color indexed="81"/>
            <rFont val="Tahoma"/>
            <family val="2"/>
          </rPr>
          <t>D&amp;A took as a % of quarter from total annual D&amp;A.</t>
        </r>
      </text>
    </comment>
    <comment ref="O614" authorId="1" shapeId="0" xr:uid="{26F9BB26-9038-4497-A974-230847A4C677}">
      <text>
        <r>
          <rPr>
            <sz val="9"/>
            <color indexed="81"/>
            <rFont val="Tahoma"/>
            <family val="2"/>
          </rPr>
          <t>D&amp;A took as a % of quarter from total annual D&amp;A.</t>
        </r>
      </text>
    </comment>
    <comment ref="P614" authorId="1" shapeId="0" xr:uid="{6511D7FA-10EC-4DED-8D28-E01C5EC3D69A}">
      <text>
        <r>
          <rPr>
            <sz val="9"/>
            <color indexed="81"/>
            <rFont val="Tahoma"/>
            <family val="2"/>
          </rPr>
          <t>D&amp;A took as a % of quarter from total annual D&amp;A.</t>
        </r>
      </text>
    </comment>
    <comment ref="AT685" authorId="0" shapeId="0" xr:uid="{AB8FE4C6-9193-43B8-9FEC-67327928CA76}">
      <text>
        <r>
          <rPr>
            <b/>
            <sz val="9"/>
            <color indexed="81"/>
            <rFont val="Tahoma"/>
            <family val="2"/>
          </rPr>
          <t>Vedang Poddar:</t>
        </r>
        <r>
          <rPr>
            <sz val="9"/>
            <color indexed="81"/>
            <rFont val="Tahoma"/>
            <family val="2"/>
          </rPr>
          <t xml:space="preserve">
</t>
        </r>
      </text>
    </comment>
    <comment ref="AR899" authorId="3" shapeId="0" xr:uid="{073C2F66-CB57-467E-90D3-F048B526CF46}">
      <text>
        <r>
          <rPr>
            <b/>
            <sz val="9"/>
            <color indexed="81"/>
            <rFont val="Tahoma"/>
            <family val="2"/>
          </rPr>
          <t xml:space="preserve">4Q19 Call: </t>
        </r>
        <r>
          <rPr>
            <sz val="9"/>
            <color indexed="81"/>
            <rFont val="Tahoma"/>
            <family val="2"/>
          </rPr>
          <t>One final comment on the appendix. In 2020, we project that depreciation and amortization will decline approximately $50 million as part of the Taminco acquisition, Eastman marked-to-market an advantaged methanol contract and certain other assets with a 5-year life. With the expiration of this advantaged contract at the end of 2019, market-based methanol purchases in 2020 will substantially offset the $30 million reduced amortization of the Taminco methanol contrac</t>
        </r>
      </text>
    </comment>
    <comment ref="AT932" authorId="0" shapeId="0" xr:uid="{C0AA5FDB-1C0B-4FC9-875C-091D115417BC}">
      <text>
        <r>
          <rPr>
            <sz val="9"/>
            <color indexed="81"/>
            <rFont val="Tahoma"/>
            <family val="2"/>
          </rPr>
          <t>Full year operating cash flow was lower primarily due to lower adjusted EBITDA including the impact of divested businesses higher variable compensation payouts for 2021 perfor mance, and increased use of working capital, which was nearly a $300 million headwind in 2022 reflecting the inflationary environment</t>
        </r>
      </text>
    </comment>
    <comment ref="AU932" authorId="0" shapeId="0" xr:uid="{CB4057FE-A386-4267-844E-D1F059B83C4C}">
      <text>
        <r>
          <rPr>
            <sz val="9"/>
            <color indexed="81"/>
            <rFont val="Tahoma"/>
            <family val="2"/>
          </rPr>
          <t>A range of actions to improve our operating cash flow to be approximately $1.4 billion for the year</t>
        </r>
      </text>
    </comment>
    <comment ref="AS934" authorId="0" shapeId="0" xr:uid="{69725084-6A9F-495C-A2A2-F2637F6C920C}">
      <text>
        <r>
          <rPr>
            <sz val="9"/>
            <color indexed="81"/>
            <rFont val="Tahoma"/>
            <family val="2"/>
          </rPr>
          <t xml:space="preserve">The strategy around our core transformation in our specialty business that requires $500 million to $600 million of capital to support that growth, including </t>
        </r>
        <r>
          <rPr>
            <b/>
            <sz val="9"/>
            <color indexed="81"/>
            <rFont val="Tahoma"/>
            <family val="2"/>
          </rPr>
          <t>$300 million of maintenance is intact and stays the same</t>
        </r>
      </text>
    </comment>
    <comment ref="AU934" authorId="0" shapeId="0" xr:uid="{CDAEF308-D327-43AC-B349-78016C481322}">
      <text>
        <r>
          <rPr>
            <sz val="9"/>
            <color indexed="81"/>
            <rFont val="Tahoma"/>
            <family val="2"/>
          </rPr>
          <t>The Company expects that 2023 capital spending will be approximately $700 million to $800 million, primarily for targeted growth initiatives, including the AM segment methanolysis plastic-to-plastic molecular recycling manufacturing facility and the Tritan capacity expansion, both in Kingsport, Tennessee, and other targeted growth initiatives and site modernization project</t>
        </r>
      </text>
    </comment>
    <comment ref="AD938" authorId="0" shapeId="0" xr:uid="{BAD6F94C-0A03-4E04-BE0A-9EA01ABE4BE5}">
      <text>
        <r>
          <rPr>
            <sz val="9"/>
            <color indexed="81"/>
            <rFont val="Tahoma"/>
            <family val="2"/>
          </rPr>
          <t>Successfully divested non strategic adhesives resins product lines in 2Q22 for $1.0 billion  
On April 1, 2022, the Company and certain of its subsidiaries completed the sale of its adhesives resins business, which includes hydrocarbon resins (including Eastman Impera™ tire resins), pure monomer resins, polyolefin polymers, rosins and dispersions, and oleochemical and fatty-acid based resins product lines ("adhesives resins"), of its AFP segment. 
The business was not reported as a discontinued operation because the sale did not have a major effect on the Company's operations and financial results. 
Included in the adhesives resins divestiture was the 50 percent interest in a joint venture that has a manufacturing facility in Nanjing, China, which produces Eastotac™ hydrocarbon tackifying resins for pressure-sensitive adhesives, caulks, and sealants</t>
        </r>
      </text>
    </comment>
    <comment ref="AD942" authorId="2" shapeId="0" xr:uid="{403C95A4-F550-4404-A4F8-09CAB08CC44D}">
      <text>
        <r>
          <rPr>
            <sz val="9"/>
            <color indexed="81"/>
            <rFont val="Tahoma"/>
            <family val="2"/>
          </rPr>
          <t>In 2022, the Company borrowed $500 million under a five-year term loan agreement (the "2027 Term Loan") and used the proceeds from the 2027 Term Loan to pay down $500 million of the 3.6% notes due August 2022. The 2027 Term Loan had a variable interest rate of 5.55% as of December 31, 2022.</t>
        </r>
      </text>
    </comment>
    <comment ref="AT942" authorId="2" shapeId="0" xr:uid="{675978EC-9263-4AD1-B9A1-E100C17DAE67}">
      <text>
        <r>
          <rPr>
            <sz val="9"/>
            <color indexed="81"/>
            <rFont val="Tahoma"/>
            <family val="2"/>
          </rPr>
          <t>February 22, 2023 06:29 PM Eastern Standard Time
KINGSPORT, Tenn.--(BUSINESS WIRE)--Eastman Chemical Company (NYSE: EMN) today announced the pricing of its public offering of $500 million aggregate principal amount of 5.750% notes due 2033 (the “Notes”) in its inaugural green bond offering. BofA Securities, Inc., Citigroup Global Markets Inc., J.P. Morgan Securities LLC and Mizuho Securities USA LLC are serving as active joint book-running managers for the offering, with Citigroup Global Markets Inc. also acting as the green structuring agent. Barclays Capital Inc., Morgan Stanley &amp; Co. LLC, Truist Securities, Inc., and Wells Fargo Securities, LLC are serving as passive joint book-running managers for the offering. The offering of the Notes is expected to be completed on March 8, 2023, subject to customary closing conditions.
Eastman intends to allocate an amount equal to the net proceeds from the sale of the Notes to finance or refinance, in whole or in part, existing and/or future green eligible projects in the following categories as set forth in the preliminary prospectus supplement:
Eco-efficient and/or circular economy adapted products, production technologies and processes;
Pollution prevention and control;
Energy efficiency;
Renewable energy; and
Sustainable water and wastewater management.</t>
        </r>
      </text>
    </comment>
    <comment ref="AD943" authorId="2" shapeId="0" xr:uid="{42B138A4-80C9-40AF-B607-1E1406E88F10}">
      <text>
        <r>
          <rPr>
            <sz val="9"/>
            <color indexed="81"/>
            <rFont val="Tahoma"/>
            <family val="2"/>
          </rPr>
          <t>In 2022, the Company repaid the 3.6% notes due August 2022, of which $550 million was repaid in second quarter 2022 primarily from the proceeds of a $500 million five-year term loan agreement (the "2027 Term Loan") and $200 million was repaid in third quarter 2022 using available cash. There were no debt extinguishment costs associated with the repayment of this debt.</t>
        </r>
      </text>
    </comment>
    <comment ref="AE943" authorId="2" shapeId="0" xr:uid="{B8DC4160-5214-4291-A71C-25FCA2046D2B}">
      <text>
        <r>
          <rPr>
            <sz val="9"/>
            <color indexed="81"/>
            <rFont val="Tahoma"/>
            <family val="2"/>
          </rPr>
          <t>In 2022, the Company repaid the 3.6% notes due August 2022, of which $550 million was repaid in second quarter 2022 primarily from the proceeds of a $500 million five-year term loan agreement (the "2027 Term Loan") and $200 million was repaid in third quarter 2022 using available cash. There were no debt extinguishment costs associated with the repayment of this debt.</t>
        </r>
      </text>
    </comment>
    <comment ref="Q961" authorId="1" shapeId="0" xr:uid="{A4548D9E-8B66-4209-9109-98318A1E7B5B}">
      <text>
        <r>
          <rPr>
            <sz val="9"/>
            <color indexed="81"/>
            <rFont val="Tahoma"/>
            <family val="2"/>
          </rPr>
          <t>management expects share repurchases similar to 2018</t>
        </r>
      </text>
    </comment>
    <comment ref="AD961" authorId="0" shapeId="0" xr:uid="{8D4E29E9-32EC-4772-B90E-0348555976E6}">
      <text>
        <r>
          <rPr>
            <sz val="9"/>
            <color indexed="81"/>
            <rFont val="Tahoma"/>
            <family val="2"/>
          </rPr>
          <t xml:space="preserve">Transcript: If you think about how we started Q2, we have already purchased 200 million of shares here in the month of April and you can expect pace similar to that through the rest of the quarter.  
Press release: May 6th: entered into an accelerated share repurchase (ASR) agreement with Wells Fargo, NA and Mizuho Markets Americas LLC to repurchase $500 million of Eastman’s common stock. </t>
        </r>
      </text>
    </comment>
    <comment ref="AF961" authorId="0" shapeId="0" xr:uid="{29EFE2A0-6B33-4396-85A2-65925137BED8}">
      <text>
        <r>
          <rPr>
            <sz val="9"/>
            <color indexed="81"/>
            <rFont val="Tahoma"/>
            <family val="2"/>
          </rPr>
          <t>In December 2021, the Company's Board of Directors authorized the additional repurchase of up to $2.5 billion of the Company's outstanding common stock at such times, in such amounts, and on such terms, as determined by management to be in the best interest of the Company and its stockholders (the "2021 authorization"). As of December 31, 2022, a total of 6,743,883 shares have been repurchased under the 2021 authorization for $635 million.</t>
        </r>
      </text>
    </comment>
    <comment ref="AT961" authorId="0" shapeId="0" xr:uid="{F870C4CD-B061-4258-B18B-A8E88A0E1CB3}">
      <text>
        <r>
          <rPr>
            <sz val="9"/>
            <color indexed="81"/>
            <rFont val="Tahoma"/>
            <family val="2"/>
          </rPr>
          <t>Transcript:  For the full year, I expect, again, to be at the $1 billion or greater as we deliver on the commitments that we made</t>
        </r>
      </text>
    </comment>
    <comment ref="D962" authorId="1" shapeId="0" xr:uid="{CE77B3DB-56D7-47AA-9614-A38C3ADF9486}">
      <text>
        <r>
          <rPr>
            <sz val="9"/>
            <color indexed="81"/>
            <rFont val="Tahoma"/>
            <family val="2"/>
          </rPr>
          <t>In December 2021, the Company's Board of Directors authorized the additional repurchase of up to $2.5 billion of the Company's outstanding common stock</t>
        </r>
      </text>
    </comment>
    <comment ref="C968" authorId="1" shapeId="0" xr:uid="{CAFFA1D1-08EE-4368-968B-A047CEBBD46A}">
      <text>
        <r>
          <rPr>
            <sz val="9"/>
            <color indexed="81"/>
            <rFont val="Tahoma"/>
            <family val="2"/>
          </rPr>
          <t>Not included non controlling dividends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AY22" authorId="0" shapeId="0" xr:uid="{B589D2B0-915E-4CB4-98B6-681CD283A614}">
      <text>
        <r>
          <rPr>
            <sz val="9"/>
            <color indexed="81"/>
            <rFont val="Tahoma"/>
            <family val="2"/>
          </rPr>
          <t xml:space="preserve">o Segment sales and earnings were falling since 2014 due to steep declines in Acetate Tow (cigarette filter material) sales with small pockets of growth emerging in e-cigarette markets. (Revenue for Celenese's Tow segment also fell by 56% from 2014-21). 
 Fiber segment sales declined at ~5% CAGR for 8 years.
o They launched 2 products under their circular portfolio to diversify the segment. In Q4'22, the company was able to renegotiate their pricing contracts higher - leading to most of the earnings increase and are guiding for flat volumes in 2023 as FY22. 
o The sales to traditional cigarettes use have stabilized and there is additional growth coming from heat-not-burn segment, slightly lifting up the sales. Their circular portfolio which includes Naia for textile will provide much of the growth and margin lift for the segment. A direct peer for renewable yarns, Lenzing, also guided for a 50% increase in EBIDTA for 2023.
 EMN is guiding for a $275M EBIT for 2023 but we believe that number is a little far-fetched – We believe that the segment will grow at LSD on the back of their circular portfolio
</t>
        </r>
      </text>
    </comment>
    <comment ref="AY36" authorId="0" shapeId="0" xr:uid="{EB9D0E22-2941-412A-BD25-C259EFACC204}">
      <text>
        <r>
          <rPr>
            <sz val="9"/>
            <color indexed="81"/>
            <rFont val="Tahoma"/>
            <family val="2"/>
          </rPr>
          <t>The company expects 2023 AM EBIT to be meaniingfully higher than their 2021 levels  
$100M of earnings to come from significant price expansion relative to costs</t>
        </r>
      </text>
    </comment>
    <comment ref="AY37" authorId="0" shapeId="0" xr:uid="{27C7DDFF-8F73-41A1-AD15-8CFF70B560FF}">
      <text>
        <r>
          <rPr>
            <sz val="9"/>
            <color indexed="81"/>
            <rFont val="Tahoma"/>
            <family val="2"/>
          </rPr>
          <t>All together, they expect Chemical Intermediates 2023 adjusted EBIT to be ~$300M.</t>
        </r>
      </text>
    </comment>
    <comment ref="AY38" authorId="0" shapeId="0" xr:uid="{D5106028-4EEC-4680-A329-96C2496942E2}">
      <text>
        <r>
          <rPr>
            <b/>
            <sz val="9"/>
            <color indexed="81"/>
            <rFont val="Tahoma"/>
            <family val="2"/>
          </rPr>
          <t>Fiber EBIT to be ~$275M</t>
        </r>
      </text>
    </comment>
    <comment ref="AY46" authorId="0" shapeId="0" xr:uid="{9A4EA547-5DDF-4495-8D61-73A471557D61}">
      <text>
        <r>
          <rPr>
            <sz val="9"/>
            <color indexed="81"/>
            <rFont val="Tahoma"/>
            <family val="2"/>
          </rPr>
          <t>With key end-markets still facing destocking, and limited spread improvement, the company expects 2023 EBIT to be below 2022.</t>
        </r>
      </text>
    </comment>
    <comment ref="AY47" authorId="0" shapeId="0" xr:uid="{2CAA4F29-FD4E-407C-BFAE-B3C51F60AE4B}">
      <text>
        <r>
          <rPr>
            <sz val="9"/>
            <color indexed="81"/>
            <rFont val="Tahoma"/>
            <family val="2"/>
          </rPr>
          <t xml:space="preserve">Margin improvement to come better spreads on the back of lower raw material and energy cost but sustained higher selling prices </t>
        </r>
      </text>
    </comment>
    <comment ref="AY48" authorId="0" shapeId="0" xr:uid="{1EF7579C-BD83-4D7E-A32E-C4040B451433}">
      <text>
        <r>
          <rPr>
            <sz val="9"/>
            <color indexed="81"/>
            <rFont val="Tahoma"/>
            <family val="2"/>
          </rPr>
          <t xml:space="preserve">CI Margins to normalize </t>
        </r>
      </text>
    </comment>
    <comment ref="AY49" authorId="0" shapeId="0" xr:uid="{F2AAC2EC-F84D-4049-A146-54A3EEDBA5DE}">
      <text>
        <r>
          <rPr>
            <sz val="9"/>
            <color indexed="81"/>
            <rFont val="Tahoma"/>
            <family val="2"/>
          </rPr>
          <t>An increase in margins coming from contract re-negotiations and growth in higher value Renew products such as Naia  
This increase in margins to offset the decline in CI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Gaurang Grover</author>
  </authors>
  <commentList>
    <comment ref="K10" authorId="0" shapeId="0" xr:uid="{FF055AC3-8660-4910-B883-686C0C575261}">
      <text>
        <r>
          <rPr>
            <sz val="9"/>
            <color indexed="81"/>
            <rFont val="Tahoma"/>
            <family val="2"/>
          </rPr>
          <t xml:space="preserve">Due to 1B of repurchases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Vedang Poddar</author>
    <author>TresVista</author>
  </authors>
  <commentList>
    <comment ref="W9" authorId="0" shapeId="0" xr:uid="{D75F3BB5-8368-4C60-A9B3-00D8AE15C16C}">
      <text>
        <r>
          <rPr>
            <sz val="9"/>
            <color indexed="81"/>
            <rFont val="Tahoma"/>
            <family val="2"/>
          </rPr>
          <t>In April 2022, the Company entered into an unsecured $500 million five-year term loan agreement ("Term Loan").</t>
        </r>
      </text>
    </comment>
    <comment ref="AP15" authorId="1" shapeId="0" xr:uid="{738D06FD-8ACA-4F56-97EF-B26603BF3CBA}">
      <text>
        <r>
          <rPr>
            <sz val="9"/>
            <color indexed="81"/>
            <rFont val="Tahoma"/>
            <family val="2"/>
          </rPr>
          <t>Target of $400 mn debt repayment</t>
        </r>
      </text>
    </comment>
    <comment ref="E21" authorId="0" shapeId="0" xr:uid="{2A3F0AE3-B440-4478-B84F-6042E6FAEB95}">
      <text>
        <r>
          <rPr>
            <sz val="9"/>
            <color indexed="81"/>
            <rFont val="Tahoma"/>
            <family val="2"/>
          </rPr>
          <t>The 2027 Term Loan had a variable interest rate of 5.55% as of December 31, 2022.</t>
        </r>
      </text>
    </comment>
    <comment ref="W21" authorId="0" shapeId="0" xr:uid="{27C1B7D4-2D3F-4FFE-B466-34D59389EDA9}">
      <text>
        <r>
          <rPr>
            <b/>
            <sz val="9"/>
            <color indexed="81"/>
            <rFont val="Tahoma"/>
            <family val="2"/>
          </rPr>
          <t>Used the proceeds to pay off 3.6% notes due in August</t>
        </r>
      </text>
    </comment>
    <comment ref="E23" authorId="0" shapeId="0" xr:uid="{EB6680E4-2ED1-49DC-939A-FFE4A27D0A11}">
      <text>
        <r>
          <rPr>
            <sz val="9"/>
            <color indexed="81"/>
            <rFont val="Tahoma"/>
            <family val="2"/>
          </rPr>
          <t>At December 31, 2022, the Company's commercial paper borrowings were $326 million with a weighted average interest rate of 4.85%.</t>
        </r>
      </text>
    </comment>
    <comment ref="Z44" authorId="0" shapeId="0" xr:uid="{BF1765C7-5421-4442-998F-FA654B927F49}">
      <text>
        <r>
          <rPr>
            <b/>
            <sz val="9"/>
            <color indexed="81"/>
            <rFont val="Tahoma"/>
            <family val="2"/>
          </rPr>
          <t>March 8th 2023: Eastman Chemical Company (NYSE:EMN) today announced that it has closed its offering of $500 million principal amount of 5.750% Senior Unsecured Notes due 2033, which is the first investment grade USD-denominated senior unsecured green bond offering by a U.S. issuer in the chemical sector. Net proceeds will be allocated to eligible projects to advance Eastman’s sustainability goals of mitigating climate change, mainstreaming circular economy, and caring for society.</t>
        </r>
      </text>
    </comment>
    <comment ref="E103" authorId="0" shapeId="0" xr:uid="{DB1ADC37-C029-436F-8DAC-5E62E28C16C8}">
      <text>
        <r>
          <rPr>
            <sz val="9"/>
            <color indexed="81"/>
            <rFont val="Tahoma"/>
            <family val="2"/>
          </rPr>
          <t>The Company has access to a $1.50 billion revolving credit agreement (the "Credit Facility") expiring December 2026.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AG26" authorId="0" shapeId="0" xr:uid="{7AFD6C2B-46DF-44A4-AB3D-91DCE5F8C2CE}">
      <text>
        <r>
          <rPr>
            <sz val="9"/>
            <color indexed="81"/>
            <rFont val="Tahoma"/>
            <family val="2"/>
          </rPr>
          <t>The multiple steps in the value chain that converts petrochemicals into plastics used in products and packaging. The more steps back to a finished plastic, the further a recycling process has broken down the plastic polymer.</t>
        </r>
      </text>
    </comment>
    <comment ref="AK30" authorId="0" shapeId="0" xr:uid="{074DBD45-8716-4EFC-9328-705C1E9BB9DE}">
      <text>
        <r>
          <rPr>
            <sz val="9"/>
            <color indexed="81"/>
            <rFont val="Tahoma"/>
            <family val="2"/>
          </rPr>
          <t>In 2020, we expect to use of to 50 million pounds of waste plastic in our CRT operations.
And within the next several years, we expect revenue from CRT will be in the $200 million to $300 million range with significant upside from there in our specialty products.</t>
        </r>
      </text>
    </comment>
    <comment ref="G43" authorId="0" shapeId="0" xr:uid="{B87BA0F9-4D22-48A3-AEEA-4C1EAB0C5D54}">
      <text>
        <r>
          <rPr>
            <sz val="9"/>
            <color indexed="81"/>
            <rFont val="Tahoma"/>
            <family val="2"/>
          </rPr>
          <t>https://www.plasticstoday.com/advanced-recycling/revalyu-plans-50-million-pet-bottle-recycling-plant-georgia
https://www.revalyu.com/news/revalyu-builds-major-industrial-pet-recycling-facility-in-the-us/</t>
        </r>
      </text>
    </comment>
    <comment ref="L44" authorId="0" shapeId="0" xr:uid="{9E224EA1-FA80-401F-B70D-7BC666B25240}">
      <text>
        <r>
          <rPr>
            <sz val="9"/>
            <color indexed="81"/>
            <rFont val="Tahoma"/>
            <family val="2"/>
          </rPr>
          <t xml:space="preserve">Methanolysis is a process through which scrap PET is heated and treated with methanol. The process breaks down the plastic into its component monomers, dimethyl terephthalate (DMT) and ethylene glycol (EG), which are purified and used to make new plastic. Eastman calls its technology “polyester renewal technology.”`
During a Jan. 29, 2021 conference call with investors, Costa noted that methanolysis isn’t particularly novel or difficult, but the chemical purification that occurs after PET is broken requires capability and experience. Eastman has developed numerous trade secrets over the years to ensure that intermediate chemicals coming out of the process are purified and are basically identical to intermediates from fossil fuel feedstocks, he said
During the call, Costa said Eastman was developing engineering plans for a methanolysis unit for processing post-consumer plastics back in 2010, but the market wasn’t ready for it at the time.
</t>
        </r>
      </text>
    </comment>
    <comment ref="G45" authorId="0" shapeId="0" xr:uid="{E1CE192F-C676-45A8-BFF8-4C3689160D0B}">
      <text>
        <r>
          <rPr>
            <sz val="9"/>
            <color indexed="81"/>
            <rFont val="Tahoma"/>
            <family val="2"/>
          </rPr>
          <t>Through partnerships with Quantafuel, ARCUS, Pyrum and New Energy
https://www.basf.com/global/en/who-we-are/sustainability/we-drive-sustainable-solutions/circular-economy/mass-balance-approach/chemcycling.html</t>
        </r>
      </text>
    </comment>
    <comment ref="I46" authorId="0" shapeId="0" xr:uid="{5B3EF87B-CC5C-4C5C-8BC6-5683EC9E6400}">
      <text>
        <r>
          <rPr>
            <sz val="9"/>
            <color indexed="81"/>
            <rFont val="Tahoma"/>
            <family val="2"/>
          </rPr>
          <t xml:space="preserve">By the end of 2025
</t>
        </r>
      </text>
    </comment>
    <comment ref="I47" authorId="0" shapeId="0" xr:uid="{2E356608-2C60-43D8-939C-5BD5FB36F1EA}">
      <text>
        <r>
          <rPr>
            <sz val="9"/>
            <color indexed="81"/>
            <rFont val="Tahoma"/>
            <family val="2"/>
          </rPr>
          <t xml:space="preserve">To be ready by the end of 2023 - </t>
        </r>
      </text>
    </comment>
    <comment ref="I48" authorId="0" shapeId="0" xr:uid="{52E2519C-C765-4272-92E7-A5A8A1F8041A}">
      <text>
        <r>
          <rPr>
            <b/>
            <sz val="9"/>
            <color indexed="81"/>
            <rFont val="Tahoma"/>
            <family val="2"/>
          </rPr>
          <t>15K by the end of 2023 and the rest by the end of 2025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B7" authorId="0" shapeId="0" xr:uid="{0C30F2FC-32BD-4F80-8C55-57DBB60C54E8}">
      <text>
        <r>
          <rPr>
            <sz val="9"/>
            <color indexed="81"/>
            <rFont val="Tahoma"/>
            <family val="2"/>
          </rPr>
          <t>The multiple steps in the value chain that converts petrochemicals into plastics used in products and packaging. The more steps back to a finished plastic, the further a recycling process has broken down the plastic polymer.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TresVista</author>
  </authors>
  <commentList>
    <comment ref="E38" authorId="0" shapeId="0" xr:uid="{01C9D240-7F6E-49E9-827E-7D51A3A6DC90}">
      <text>
        <r>
          <rPr>
            <b/>
            <sz val="9"/>
            <color indexed="81"/>
            <rFont val="Tahoma"/>
            <family val="2"/>
          </rPr>
          <t xml:space="preserve">4Q19 Call: </t>
        </r>
        <r>
          <rPr>
            <sz val="9"/>
            <color indexed="81"/>
            <rFont val="Tahoma"/>
            <family val="2"/>
          </rPr>
          <t>The main driver behind the planned increase in capital spending is associated with site tenant projects, which will be reimbursed across other lines of the cash flow statement over a number of periods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Shivam Gupta</author>
  </authors>
  <commentList>
    <comment ref="B120" authorId="0" shapeId="0" xr:uid="{263E0674-0E1F-4ECD-AB66-289D8866268E}">
      <text>
        <r>
          <rPr>
            <sz val="9"/>
            <color indexed="81"/>
            <rFont val="Tahoma"/>
            <family val="2"/>
          </rPr>
          <t>https://www.eastman.com/Company/About_Eastman/History/2012/Pages/Eastman_Completes_Acquisition_of_Solutia.aspx</t>
        </r>
      </text>
    </comment>
    <comment ref="B124" authorId="0" shapeId="0" xr:uid="{CEBD324C-1DF6-4E5A-853E-AEC6EBD40402}">
      <text>
        <r>
          <rPr>
            <sz val="9"/>
            <color indexed="81"/>
            <rFont val="Tahoma"/>
            <family val="2"/>
          </rPr>
          <t>https://www.eastman.com/Company/News_Center/2019/Pages/Eastman-to-Acquire-INACSA.aspx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<sst xmlns="http://schemas.openxmlformats.org/spreadsheetml/2006/main" count="6743" uniqueCount="1824">
  <si>
    <t>Year</t>
  </si>
  <si>
    <t>3M16</t>
  </si>
  <si>
    <t>6M16</t>
  </si>
  <si>
    <t>9M16</t>
  </si>
  <si>
    <t>FY16</t>
  </si>
  <si>
    <t>3M17</t>
  </si>
  <si>
    <t>6M17</t>
  </si>
  <si>
    <t>9M17</t>
  </si>
  <si>
    <t>FY17</t>
  </si>
  <si>
    <t>3M18</t>
  </si>
  <si>
    <t>6M18</t>
  </si>
  <si>
    <t>9M18</t>
  </si>
  <si>
    <t>FY18</t>
  </si>
  <si>
    <t>Period End</t>
  </si>
  <si>
    <t>x</t>
  </si>
  <si>
    <t>GAAP Income Statement:</t>
  </si>
  <si>
    <t>(All Values in USD mn unless stated otherwise)</t>
  </si>
  <si>
    <t>Eastman Chemical Co.</t>
  </si>
  <si>
    <t>Sales</t>
  </si>
  <si>
    <t>Cost of sales</t>
  </si>
  <si>
    <t>Gross profit</t>
  </si>
  <si>
    <t>Selling, general and administrative expenses</t>
  </si>
  <si>
    <t>Research and development expenses</t>
  </si>
  <si>
    <t>Asset impairments and restructuring charges, net</t>
  </si>
  <si>
    <t>Other components of post-employment (benefit) cost, net</t>
  </si>
  <si>
    <t>Other (income) charges, net</t>
  </si>
  <si>
    <t>Earnings before interest and taxes</t>
  </si>
  <si>
    <t>Net interest expense</t>
  </si>
  <si>
    <t>Provision for income taxes</t>
  </si>
  <si>
    <t>Net earnings</t>
  </si>
  <si>
    <t>Less: Net earnings attributable to noncontrolling interest</t>
  </si>
  <si>
    <t>Net earnings attributable to Eastman</t>
  </si>
  <si>
    <t>Basic Shares Outstanding</t>
  </si>
  <si>
    <t>Diluted Shares Outstanding</t>
  </si>
  <si>
    <t>Dilutive effect of stock options</t>
  </si>
  <si>
    <t>Early debt extinguishment costs</t>
  </si>
  <si>
    <t>Earnings from discontinued operations</t>
  </si>
  <si>
    <t>Balance Sheet</t>
  </si>
  <si>
    <t>Cash and cash equivalents</t>
  </si>
  <si>
    <t>Trade receivables, net of allowance for doubtful accounts</t>
  </si>
  <si>
    <t>Miscellaneous receivables</t>
  </si>
  <si>
    <t>Inventories</t>
  </si>
  <si>
    <t>Other current assets</t>
  </si>
  <si>
    <t>Total current assets</t>
  </si>
  <si>
    <t>Properties and equipment at cost</t>
  </si>
  <si>
    <t>Less: Accumulated depreciation</t>
  </si>
  <si>
    <t>Net properties</t>
  </si>
  <si>
    <t>Goodwill</t>
  </si>
  <si>
    <t>Intangible assets, net of accumulated amortization</t>
  </si>
  <si>
    <t>Other noncurrent assets</t>
  </si>
  <si>
    <t>Total assets</t>
  </si>
  <si>
    <t>Current liabilities</t>
  </si>
  <si>
    <t>Borrowings due within one year</t>
  </si>
  <si>
    <t>Total current liabilities</t>
  </si>
  <si>
    <t>Long-term borrowings</t>
  </si>
  <si>
    <t>Deferred income tax liabilities</t>
  </si>
  <si>
    <t>Post-employment obligations</t>
  </si>
  <si>
    <t>Other long-term liabilities</t>
  </si>
  <si>
    <t>Total liabilities</t>
  </si>
  <si>
    <t>Additional paid-in capital</t>
  </si>
  <si>
    <t>Retained earnings</t>
  </si>
  <si>
    <t>Accumulated other comprehensive income (loss)</t>
  </si>
  <si>
    <t>Total Eastman stockholders' equity</t>
  </si>
  <si>
    <t>Noncontrolling interest</t>
  </si>
  <si>
    <t>Total equity</t>
  </si>
  <si>
    <t>Common stock</t>
  </si>
  <si>
    <t xml:space="preserve">Less: Treasury stock at cost </t>
  </si>
  <si>
    <t>Total liabilities and shareholders' equity</t>
  </si>
  <si>
    <t>Check</t>
  </si>
  <si>
    <t>Cash Flow Statement</t>
  </si>
  <si>
    <t>Depreciation and amortization</t>
  </si>
  <si>
    <t>Gain from sale of business</t>
  </si>
  <si>
    <t>Gain from property insurance</t>
  </si>
  <si>
    <t>Provision for deferred income taxes</t>
  </si>
  <si>
    <t>(Increase) decrease in trade receivables</t>
  </si>
  <si>
    <t>(Increase) decrease in inventories</t>
  </si>
  <si>
    <t>Increase (decrease) in trade payables</t>
  </si>
  <si>
    <t>Pension and other postretirement contributions (in excess of) less than expenses</t>
  </si>
  <si>
    <t>Variable compensation (in excess of) less than expenses</t>
  </si>
  <si>
    <t>Other items, net</t>
  </si>
  <si>
    <t>Net cash provided by operating activities</t>
  </si>
  <si>
    <t>Additions to properties and equipment</t>
  </si>
  <si>
    <t>Proceeds from property insurance</t>
  </si>
  <si>
    <t>Proceeds from sale of business and assets</t>
  </si>
  <si>
    <t>Acquisitions, net of cash acquired</t>
  </si>
  <si>
    <t>Net cash used in investing activities</t>
  </si>
  <si>
    <t>Net increase (decrease) in commercial paper and other borrowings</t>
  </si>
  <si>
    <t>Proceeds from borrowings</t>
  </si>
  <si>
    <t>Repayment of borrowings</t>
  </si>
  <si>
    <t>Dividends paid to stockholders</t>
  </si>
  <si>
    <t>Treasury stock purchases</t>
  </si>
  <si>
    <t>Dividends paid to noncontrolling interest</t>
  </si>
  <si>
    <t>Net cash used in financing activities</t>
  </si>
  <si>
    <t>Effect of exchange rate changes on cash and cash equivalents</t>
  </si>
  <si>
    <t>Net change in cash and cash equivalents</t>
  </si>
  <si>
    <t>Cash and cash equivalents at beginning of period</t>
  </si>
  <si>
    <t>Cash and cash equivalents at end of period</t>
  </si>
  <si>
    <t>Adjustments:</t>
  </si>
  <si>
    <t>Asset impairment charges</t>
  </si>
  <si>
    <t>Early debt extinguishment and other related costs</t>
  </si>
  <si>
    <t>Mark-to-market pension and other postretirement benefit plans (gain) loss, net</t>
  </si>
  <si>
    <t>Gain from sale of business and assets</t>
  </si>
  <si>
    <t>Dividend per share</t>
  </si>
  <si>
    <t>Segments</t>
  </si>
  <si>
    <t>Additives &amp; Functional Products</t>
  </si>
  <si>
    <t>Advanced Materials</t>
  </si>
  <si>
    <t>Chemical Intermediates</t>
  </si>
  <si>
    <t>Fiber</t>
  </si>
  <si>
    <t>Other</t>
  </si>
  <si>
    <t>Total Sales</t>
  </si>
  <si>
    <t>GAAP EBIT</t>
  </si>
  <si>
    <t>Net coal gasification incident (insurance) costs</t>
  </si>
  <si>
    <t>Cost of disposition of claims against discontinued Solutia operations</t>
  </si>
  <si>
    <t>Costs resulting from tax law changes and outside-U.S. entity reorganizations</t>
  </si>
  <si>
    <t xml:space="preserve">Total GAAP EBIT </t>
  </si>
  <si>
    <t>Acquisition integration and transaction costs</t>
  </si>
  <si>
    <t>Additional costs of acquired inventories</t>
  </si>
  <si>
    <t>Assets</t>
  </si>
  <si>
    <t>Total Assets</t>
  </si>
  <si>
    <t>D&amp;A</t>
  </si>
  <si>
    <t>CapEx</t>
  </si>
  <si>
    <t>Total D&amp;A</t>
  </si>
  <si>
    <t>Total CapEx</t>
  </si>
  <si>
    <t>U.S.</t>
  </si>
  <si>
    <t>Pension Plans</t>
  </si>
  <si>
    <t>Interest cost</t>
  </si>
  <si>
    <t>Expected return on assets</t>
  </si>
  <si>
    <t>Amortization of:</t>
  </si>
  <si>
    <t>Prior service credit, net</t>
  </si>
  <si>
    <t>Net periodic benefit (credit) cost</t>
  </si>
  <si>
    <t>Service cost</t>
  </si>
  <si>
    <t>Non-U.S.</t>
  </si>
  <si>
    <t>OPB</t>
  </si>
  <si>
    <t>Mark-to-market pension and other postretirement benefits loss</t>
  </si>
  <si>
    <t>Curtailment gain</t>
  </si>
  <si>
    <t>Change in projected benefit obligation:</t>
  </si>
  <si>
    <t>Benefit obligation, beginning of year</t>
  </si>
  <si>
    <t>Actuarial (gain) loss</t>
  </si>
  <si>
    <t>Plan participants' contributions</t>
  </si>
  <si>
    <t>Effect of currency exchange</t>
  </si>
  <si>
    <t>Federal subsidy on benefits paid</t>
  </si>
  <si>
    <t>Benefits paid</t>
  </si>
  <si>
    <t>Benefit obligation, end of year</t>
  </si>
  <si>
    <t>Change in plan assets:</t>
  </si>
  <si>
    <t>Fair value of plan assets, beginning of year</t>
  </si>
  <si>
    <t>Actual return on plan assets</t>
  </si>
  <si>
    <t>Company contributions</t>
  </si>
  <si>
    <t>Reserve for third party contributions</t>
  </si>
  <si>
    <t>Fair value of plan assets, end of year</t>
  </si>
  <si>
    <t>Funded status at end of year</t>
  </si>
  <si>
    <t>Net amount recognized, end of year</t>
  </si>
  <si>
    <t>Amounts recognized in BS:</t>
  </si>
  <si>
    <t>Projected benefit obligation</t>
  </si>
  <si>
    <t>Fair value of plan assets</t>
  </si>
  <si>
    <t>Settlement</t>
  </si>
  <si>
    <t>Plan amendments and other</t>
  </si>
  <si>
    <t>Settlements</t>
  </si>
  <si>
    <t>Acquisitions</t>
  </si>
  <si>
    <t>Geographical data</t>
  </si>
  <si>
    <t>United States and Canada</t>
  </si>
  <si>
    <t>Asia Pacific</t>
  </si>
  <si>
    <t>Europe, Middle East, and Africa</t>
  </si>
  <si>
    <t>Latin America</t>
  </si>
  <si>
    <t>Total non-core and unusual items, net of tax</t>
  </si>
  <si>
    <t xml:space="preserve">Interim adjustment to tax provision </t>
  </si>
  <si>
    <t>Volume / product mix effect</t>
  </si>
  <si>
    <t>Price effect</t>
  </si>
  <si>
    <t>Exchange rate effect</t>
  </si>
  <si>
    <t>Total</t>
  </si>
  <si>
    <t>Land</t>
  </si>
  <si>
    <t>Buildings</t>
  </si>
  <si>
    <t>Machinery and equipment</t>
  </si>
  <si>
    <t>Construction in progress</t>
  </si>
  <si>
    <t>Gross</t>
  </si>
  <si>
    <t>Accumulated Depreciation</t>
  </si>
  <si>
    <t>Net</t>
  </si>
  <si>
    <t>PP&amp;E, Beginning</t>
  </si>
  <si>
    <t>Capex</t>
  </si>
  <si>
    <t>Depreciation</t>
  </si>
  <si>
    <t>PP&amp;E, Ending</t>
  </si>
  <si>
    <t>Amortization</t>
  </si>
  <si>
    <t>Discount rate</t>
  </si>
  <si>
    <t>Rate of compensation increase</t>
  </si>
  <si>
    <t>Wtd. Avg. Assumptions to determine benefit obligation</t>
  </si>
  <si>
    <t>Wtd. Avg. Assumptions to determine periodic cost</t>
  </si>
  <si>
    <t>Discount rate for service cost</t>
  </si>
  <si>
    <t>Discount rate for interest cost</t>
  </si>
  <si>
    <t xml:space="preserve">Discount rate </t>
  </si>
  <si>
    <t>Coatings and Inks Additives</t>
  </si>
  <si>
    <t>Adhesives Resins</t>
  </si>
  <si>
    <t>Tire Additives</t>
  </si>
  <si>
    <t>Specialty Fluids</t>
  </si>
  <si>
    <t>Specialty Plastics</t>
  </si>
  <si>
    <t>Advanced Interlayers</t>
  </si>
  <si>
    <t>Performance Films</t>
  </si>
  <si>
    <t>Intermediates</t>
  </si>
  <si>
    <t>Plasticizers</t>
  </si>
  <si>
    <t>Functional Amines</t>
  </si>
  <si>
    <t>Acetate Tow</t>
  </si>
  <si>
    <t>Acetyl Chemical Products</t>
  </si>
  <si>
    <t>Acetate Yarn</t>
  </si>
  <si>
    <t>Nonwovens</t>
  </si>
  <si>
    <t>Eastman Chemical Company</t>
  </si>
  <si>
    <t>produces a broad range of products found in items people use every day.</t>
  </si>
  <si>
    <t xml:space="preserve">Additives &amp; Functional Products, Advanced Materials, Chemical Intermediates, and Fibers. </t>
  </si>
  <si>
    <t>&gt;  Eastman Chemical Company is a global advanced materials and specialty additives company that</t>
  </si>
  <si>
    <t xml:space="preserve">&gt; Eastman began business in 1920 for the purpose of producing chemicals for Eastman Kodak Company's photographic business </t>
  </si>
  <si>
    <t xml:space="preserve">&gt; Eastman's businesses are managed and reported in four operating segments: </t>
  </si>
  <si>
    <t>&gt;&gt; Business Strategy</t>
  </si>
  <si>
    <t>flow.</t>
  </si>
  <si>
    <t>&gt; Eastman's objective is to be an outperforming specialty chemical company with consistent, sustainable earnings growth and strong cash</t>
  </si>
  <si>
    <t>delivering differentiated application development, and relentlessly engaging the market. The Company sells differentiated products into</t>
  </si>
  <si>
    <t>diverse markets and geographic regions and engages the market by working directly with customers and downstream users to meet</t>
  </si>
  <si>
    <t>their needs in existing and new niche markets.</t>
  </si>
  <si>
    <t>&gt; Management uses an innovation-driven growth model which consists of leveraging world class scalable technology platforms,</t>
  </si>
  <si>
    <t>&gt; Innovation</t>
  </si>
  <si>
    <t>long-term greater than end-market growth by both sustaining the Company's leadership in existing markets and expanding into new</t>
  </si>
  <si>
    <t>markets, including the following examples of recent innovation:</t>
  </si>
  <si>
    <t>combination of improved performance and sustainability, particularly for the automotive coatings, industrial, and food</t>
  </si>
  <si>
    <t>packaging markets.</t>
  </si>
  <si>
    <t>tire manufacturers to improve the safety and handling of tires, balance tire performance and fuel economy needs, and</t>
  </si>
  <si>
    <t>achieve superior levels of tack for tire construction.</t>
  </si>
  <si>
    <t>and other benefits including low odor, improved adhesion, exceptional peel performance, and thermal stability for</t>
  </si>
  <si>
    <t>adhesive applications within the hygiene market.</t>
  </si>
  <si>
    <t>efficient removal of dirt particles at a low dosage for demanding industrial and municipal applications.</t>
  </si>
  <si>
    <t>applications that require complex and intricate designs and high safety requirements such as eyeglass frames, wearable</t>
  </si>
  <si>
    <t>electronics, lenses, and cosmetics.</t>
  </si>
  <si>
    <t>spinning technology and polymer chemistry enabling unique fiber capabilities of size, shape, comfort, and performance.</t>
  </si>
  <si>
    <t>Management is pursuing specific opportunities to leverage Eastman's innovation-driven growth model for continued near-term and</t>
  </si>
  <si>
    <t>&gt; Tetrashield™ performance polyester resins based on proprietary monomer technology. These polyester resins provide a</t>
  </si>
  <si>
    <t>&gt;  Impera™ high performance resins for tires. When used as additives in tire compound formulations, Impera™ resins enable</t>
  </si>
  <si>
    <t>&gt;  Aerafin™ polymer, developed from proprietary olefin technology. These olefin polymers enable improved processing time</t>
  </si>
  <si>
    <t>&gt;  Care chemicals alkylamine derivatives including water treatment solutions with state-of-the-art technology enabling the</t>
  </si>
  <si>
    <t>&gt;  Treva™, a cellulose-based engineering bioplastic that offers high performance, sustainability, and design flexibility in</t>
  </si>
  <si>
    <t>&gt; Naia™, a yarn for the apparel market developed from Eastman's proprietary cellulose ester technology.</t>
  </si>
  <si>
    <t>&gt;  Avra™, a family of fibers for the performance apparel market developed from a combination of Eastman proprietary</t>
  </si>
  <si>
    <t>&gt; Vestera™, a new wood pulp-based alternative for the nonwoven industry used in personal hygiene applications.</t>
  </si>
  <si>
    <t>&gt; Recently introduced 72" version of automotive paint protection film marketed under established trademarks.</t>
  </si>
  <si>
    <t>&gt; Sustainability</t>
  </si>
  <si>
    <t>innovative products that enable customers' development and sales of sustainable products</t>
  </si>
  <si>
    <t>disruptive macro trends align with the Company's differentiated technology platforms and applications development capabilities to develop</t>
  </si>
  <si>
    <t xml:space="preserve">Management approaches sustainability as a source of competitive strength by focusing its innovation strategy on opportunities where </t>
  </si>
  <si>
    <t>and Treva™ proprietary engineering bioplastic;</t>
  </si>
  <si>
    <t>cellulosic yarn, and Avra™ performance fibers; and</t>
  </si>
  <si>
    <t>application expertise for use in a wide range of applications to provide solutions to markets which are in search of new and improved</t>
  </si>
  <si>
    <t>products</t>
  </si>
  <si>
    <t>Example of eastman's leading position in providing sustainable solutions within identified disruptive macro trends include:</t>
  </si>
  <si>
    <t>&gt;  Emerging middle class: Saflex™ and head-up display ("HUD") acoustic interlayers, Regalite™ hydrocarbon resins, Naia™</t>
  </si>
  <si>
    <t>&gt;  Feeding a growing population: Eastman organic acids, Enhanz™ feed additive, and Banguard™ crop protection.</t>
  </si>
  <si>
    <t>&gt; The Company leverages core competencies in polyesters, cellulose esters, thermoplastic processing, textile capability, and in-house</t>
  </si>
  <si>
    <t>&gt;  Natural resource efficiency: Saflex™ Q series advanced acoustic interlayers, Impera™ high performance resins for tires,</t>
  </si>
  <si>
    <t>&gt;  Health and wellness: Tritan™ copolyester, Tetrashield™ performance polyester resins, and Vestera™ cellulosic fiber;</t>
  </si>
  <si>
    <t>Additives &amp; Functional Products (AFP)</t>
  </si>
  <si>
    <t>&gt; Polyester polymers - Polyesters are extremely important polymers. Their most familiar applications are in clothing, food packaging and plastic water and carbonated soft drinks bottles</t>
  </si>
  <si>
    <t>&gt; Cellulose esters - Ester formed by reaction between an acid and an alcohol with elimination of water. cellulose acetate - an ester of acetic acid; used in fibers and fabrics; photographic films and varnishes.</t>
  </si>
  <si>
    <t>&gt; Insoluble sulfur - The use of insoluble sulfur is critical for the manufacture of quality radial tires.</t>
  </si>
  <si>
    <t>&gt; Hydrocarbon resins - Hydrocarbon resin is a C5/C9 aromatic hydrocarbon used in industrial applications. It has a tackifying effect and is suitable for use in paint, printing ink, adhesives, rubber and other areas where tackiness is required.</t>
  </si>
  <si>
    <t>&gt; Alkylamine Derivatives</t>
  </si>
  <si>
    <t>&gt; Propylene derivatives</t>
  </si>
  <si>
    <t>execution with sales to a robust set of end-markets. The segment is focused on producing high-value additives that provide critical</t>
  </si>
  <si>
    <t>&gt; The AFP segment's sales growth is typically above annual industrial production growth due to innovation and enhanced commercial</t>
  </si>
  <si>
    <t xml:space="preserve">functionality but which comprise a small percentage of total customer product cost. </t>
  </si>
  <si>
    <t xml:space="preserve">&gt; The segment principally competes on the unique performance characteristics of its products and through leveraging its strong customer base and </t>
  </si>
  <si>
    <t xml:space="preserve">long-standing customer relationships to promote substantial recurring business and product development. </t>
  </si>
  <si>
    <t>&gt; A critical element of the AFP segment's success is its close formulation collaboration with customers through advantaged application development capability</t>
  </si>
  <si>
    <t>&gt;&gt; Strategy</t>
  </si>
  <si>
    <t>development of innovative product offerings and focusing growth efforts on further expanding end-markets such as transportation,</t>
  </si>
  <si>
    <t>building and construction, consumables, industrial applications, animal nutrition, care chemicals, crop protection, and energy.</t>
  </si>
  <si>
    <t>&gt; Management applies the innovation-driven growth model in the AFP segment by leveraging proprietary technologies for the continued</t>
  </si>
  <si>
    <t>capabilities across multiple markets uniquely positions it to meet evolving needs to improve the quality and performance of its</t>
  </si>
  <si>
    <t>customers' products</t>
  </si>
  <si>
    <t>&gt; Management believes that the ability to leverage the AFP segment's research, differentiated application development, and production</t>
  </si>
  <si>
    <t>capitalize on industrial growth in Asia from its manufacturing capacity expansion in Kuantan, Malaysia and cellulose ester products</t>
  </si>
  <si>
    <t>sourced from the Company's low-cost cellulose and acetyl manufacturing stream in North America.</t>
  </si>
  <si>
    <t>&gt; Eastman's global manufacturing presence is a key element of the AFP segment's growth strategy. For example, the segment expects to</t>
  </si>
  <si>
    <t>Advanced Materials Segment</t>
  </si>
  <si>
    <t>value-added end-uses in transportation, consumables, building and construction, durable goods, and health and wellness markets.</t>
  </si>
  <si>
    <t>&gt; In the AM segment, the Company produces and markets polymers, films, and plastics with differentiated performance properties for</t>
  </si>
  <si>
    <t>Key technology platforms for this segment include:</t>
  </si>
  <si>
    <t xml:space="preserve">&gt; Copolyesters - Copolyesters offer versatility to meet a wide variety of applications. Copolyester resins have proved to be effective in packaging applications, due to their toughness, versatility and chemical resistance. </t>
  </si>
  <si>
    <t>They are also frequently used in the manufacture and packaging of consumer goods and materials.</t>
  </si>
  <si>
    <t xml:space="preserve">&gt; Polyvinyl butyral (PVB) - Polyvinyl butyral (or PVB) is a resin mostly used for applications that require strong binding, optical clarity, adhesion to many surfaces, toughness and flexibility. </t>
  </si>
  <si>
    <t>It is prepared from polyvinyl alcohol by reaction with butyraldehyde. The major application is laminated safety glass for automobile windshields.</t>
  </si>
  <si>
    <t xml:space="preserve">&gt;  Polyester films - These properties are useful in many applications, including flexible food packaging and thermal insulation. Due to its high mechanical strength, polyester film/PET film is often used in tape applications, </t>
  </si>
  <si>
    <t>such as the carrier for magnetic tape or backing for pressure-sensitive adhesive tapes.</t>
  </si>
  <si>
    <t>segment's competitive advantages also include long-term customer relationships, vertical integration and scale in manufacturing, and</t>
  </si>
  <si>
    <t>leading market positions.</t>
  </si>
  <si>
    <t>&gt; The segment principally competes on differentiated technology and application development capabilities. Management believes the AM</t>
  </si>
  <si>
    <t>new and multi-generational products and applications, accelerating AM segment growth, and leveraging its manufacturing capacity.</t>
  </si>
  <si>
    <t>The segment continues to expand its portfolio of higher margin products in attractive end-markets.</t>
  </si>
  <si>
    <t>&gt; Management applies the innovation-driven growth model in the AM segment by leveraging innovation and technology platforms into</t>
  </si>
  <si>
    <t>to supply industry leading innovations to automotive and architectural end-markets by collaborating with global and large regional</t>
  </si>
  <si>
    <t>customers</t>
  </si>
  <si>
    <t>&gt; The advanced interlayers product lines, including PVB and HUD sheet interlayer products, leverage Eastman's global presence</t>
  </si>
  <si>
    <t>what management believes is one of the largest distribution and dealer networks which, when combined, position Eastman for further</t>
  </si>
  <si>
    <t>growth, particularly in leading automotive markets such as North America and Asia.</t>
  </si>
  <si>
    <t>&gt; In the automotive end-market, the performance films product line has industry leading technologies, recognized brands, and</t>
  </si>
  <si>
    <t>growth by both sustaining the Company's leadership in existing markets and expanding into new markets. An example of recent</t>
  </si>
  <si>
    <t>product innovation within the AM segment is Treva™, a cellulose-based engineering bioplastic</t>
  </si>
  <si>
    <t>Chemical Intermediates Segment</t>
  </si>
  <si>
    <t>&gt;&gt; The CI segment leverages large scale and vertical integration from the cellulose and acetyl, olefins, and alkylamines streams to support</t>
  </si>
  <si>
    <t xml:space="preserve">the Company's specialty operating segments with advantaged cost positions. </t>
  </si>
  <si>
    <t>&gt;&gt;  The CI segment sells excess intermediates beyond the Company's internal specialty needs into markets such as industrial chemicals and processing, building and construction, health and</t>
  </si>
  <si>
    <t>wellness, and agrochemicals. Key technology platforms include:</t>
  </si>
  <si>
    <t>&gt;  Acetyls - Acetyl-L-carnitine helps the body produce energy. It is important for heart and brain function, muscle movement, and many other body processes.</t>
  </si>
  <si>
    <t>&gt;  Oxos</t>
  </si>
  <si>
    <t>&gt; Plasticizers - Plasticizers for plastics are additives, most commonly phthalate esters in PVC applications. Almost 90% of plasticizers are used in PVC, giving this material improved flexibility and durability. The majority is used in films and cables.</t>
  </si>
  <si>
    <t>&gt; Alkylamines</t>
  </si>
  <si>
    <t>&gt;&gt; The CI Segment also provides superior reliability to customers through its backward integration into readily available raw materials such as propane, ethane, coal and propylene.</t>
  </si>
  <si>
    <t>&gt;&gt; Several CI Segment product lines are affected by cyclicality, most notably olefin and acetyl-based products</t>
  </si>
  <si>
    <t>operational efficiency, and capacity utilization. This includes focusing on products used internally by other operating segments, thereby</t>
  </si>
  <si>
    <t>&gt; To maintain and enhance its status as a low-cost producer and optimize earnings, the CI segment continuously focuses on cost control,</t>
  </si>
  <si>
    <t>supporting growth in specialty product lines throughout the Company.</t>
  </si>
  <si>
    <t>production of acetic anhydride and other acetyl derivatives from coal rather than natural gas or other petroleum feedstocks</t>
  </si>
  <si>
    <t>&gt; Through advantage of its highly integrated manufacturing facilities. For example, the Kingsport, Tennessee manufacturing facility allows for the</t>
  </si>
  <si>
    <t>Fibers Segment</t>
  </si>
  <si>
    <t xml:space="preserve">&gt;&gt; In the Fibers segment, Eastman manufactures and sells Estron™ acetate tow and Estrobond™ triacetin plasticizers for use in filtration
</t>
  </si>
  <si>
    <t>and cellulose acetate flake and acetyl raw materials for other acetate fiber producers.</t>
  </si>
  <si>
    <t>Company and in support of its customers' processes. The Fibers segment's knowledge of the industry and of customers' processes</t>
  </si>
  <si>
    <t>allows it to assist its customers in maximizing their processing efficiencies, promoting repeat sales, and developing mutually beneficial,</t>
  </si>
  <si>
    <t>long-term customer relationships.</t>
  </si>
  <si>
    <t>&gt;&gt; The Company's long history and experience in fibers markets are reflected in the Fibers segment's operating expertise, both within the</t>
  </si>
  <si>
    <t>processes, reliability of supply, balanced internally produced acetate flake supply for Fibers products, a reputation for</t>
  </si>
  <si>
    <t>customer service excellence, and a customer base characterized by strategic long-term customer and end-user relationships.</t>
  </si>
  <si>
    <t>industry knowledge to maintain a leading industry position in the global market.</t>
  </si>
  <si>
    <t>&gt; Management applies the innovation-driven growth model in the Fibers segment by leveraging its strong customer relationships and</t>
  </si>
  <si>
    <t>utilization and lower acetate tow costs.</t>
  </si>
  <si>
    <t>&gt; The Company’s focus on innovation has resulted in repurposing some of its acetate tow manufacturing capacity to textiles and nonwovens, resulting in increased capacity</t>
  </si>
  <si>
    <t>expertise to focus on innovative growth in the textiles and nonwovens markets. Examples of recent product innovation within the</t>
  </si>
  <si>
    <t>&gt; Beyond acetate tow, management is applying the innovation-driven growth model to leverage its fibers technology and</t>
  </si>
  <si>
    <t>Fibers segment include :</t>
  </si>
  <si>
    <t>&gt; Naia™, a yarn for the apparel market developed from Eastman's proprietary cellulose ester technology</t>
  </si>
  <si>
    <t>&gt; Avra™, a family of performance fibers for the apparel, home furnishings and industrial fabrics markets developed from a combination of</t>
  </si>
  <si>
    <t>Eastman proprietary spinning technology and polymer chemistry enabling unique fiber capabilities of size, shape, comfort, and performance</t>
  </si>
  <si>
    <t>EPS</t>
  </si>
  <si>
    <t xml:space="preserve">Basic </t>
  </si>
  <si>
    <t xml:space="preserve">Diluted </t>
  </si>
  <si>
    <t>Earnings before income taxes</t>
  </si>
  <si>
    <t>Proceeds from stock option exercises and other items, net</t>
  </si>
  <si>
    <t>Year to Date</t>
  </si>
  <si>
    <t>Changes in WC:</t>
  </si>
  <si>
    <t>Trade creditors</t>
  </si>
  <si>
    <t>Accrued payroll and variable compensation</t>
  </si>
  <si>
    <t>Accrued taxes</t>
  </si>
  <si>
    <t>Derivative hedging liability</t>
  </si>
  <si>
    <t>GAAP EPS</t>
  </si>
  <si>
    <t>Adjusted EPS</t>
  </si>
  <si>
    <t>Effective tax rate</t>
  </si>
  <si>
    <t>Tax provision for non-core and unusual items</t>
  </si>
  <si>
    <t>Adjustments from tax law changes and outside-U.S.</t>
  </si>
  <si>
    <t xml:space="preserve">Adjusted Provision for income taxes </t>
  </si>
  <si>
    <t>Total Change</t>
  </si>
  <si>
    <t>Acquired business effect</t>
  </si>
  <si>
    <t>Additional cost of acquired inventories</t>
  </si>
  <si>
    <t>Acquired Business Effect</t>
  </si>
  <si>
    <t>Additional Cost of acquired inventories</t>
  </si>
  <si>
    <t>Adjusted EBIT</t>
  </si>
  <si>
    <t xml:space="preserve">Total Adjusted EBIT </t>
  </si>
  <si>
    <t>Y-Y Growth</t>
  </si>
  <si>
    <t>% Of Revenue</t>
  </si>
  <si>
    <t>% Margin</t>
  </si>
  <si>
    <t>Earnings Before Income Taxes</t>
  </si>
  <si>
    <t>Asset impairments and restructuring charges</t>
  </si>
  <si>
    <t>Adjustments from tax law changes and outside U.S.</t>
  </si>
  <si>
    <t>Interim adjustment to tax provision</t>
  </si>
  <si>
    <t>Adjusted Earnings before income taxes</t>
  </si>
  <si>
    <t>MTM pension and other postretirement benefit</t>
  </si>
  <si>
    <t>Coal gasification incident insurance in excess of costs</t>
  </si>
  <si>
    <t>Early Debt extinguishment costs</t>
  </si>
  <si>
    <t>Costs of disposition of claims against previously discontinued business</t>
  </si>
  <si>
    <t>Non Core Items</t>
  </si>
  <si>
    <t>Net earnings attributable to Eastman after tax</t>
  </si>
  <si>
    <t>Adjusted Net earnings attributable to Eastman after tax</t>
  </si>
  <si>
    <t>Other non core items</t>
  </si>
  <si>
    <t>Non-GAAP Measures:</t>
  </si>
  <si>
    <t>Non-GAAP Income Statement:</t>
  </si>
  <si>
    <t>GAAP Cost of Sales</t>
  </si>
  <si>
    <t>Gains from insurance from coal gasification incident</t>
  </si>
  <si>
    <t>Business Interruption insurance in excess of costs</t>
  </si>
  <si>
    <t>MTM pension and other postretirement benefit plans valuation gain or loss</t>
  </si>
  <si>
    <t>Non GAAP Cost of Sales</t>
  </si>
  <si>
    <t>Non GAAP Selling, general and administrative expenses</t>
  </si>
  <si>
    <t>Non GAAP Research and development expenses</t>
  </si>
  <si>
    <t>Non GAAP Other components of post-employment (benefit) cost, net</t>
  </si>
  <si>
    <t>Non GAAP Other (income) charges, net</t>
  </si>
  <si>
    <t>Non-GAAP EBIT</t>
  </si>
  <si>
    <t>Non GAAP Gross Profit</t>
  </si>
  <si>
    <t>Non GAAP Earnings before income taxes</t>
  </si>
  <si>
    <t xml:space="preserve">Non GAAP Provision for income taxes </t>
  </si>
  <si>
    <t>Non GAAP Net earnings attributable to Eastman after tax</t>
  </si>
  <si>
    <t>Net Interest Expense</t>
  </si>
  <si>
    <t>Free Cash Flow (FCF)</t>
  </si>
  <si>
    <t>Segmental Data</t>
  </si>
  <si>
    <t>Sales by Customer Location</t>
  </si>
  <si>
    <t xml:space="preserve"> </t>
  </si>
  <si>
    <t>% Change</t>
  </si>
  <si>
    <t>Bps Change</t>
  </si>
  <si>
    <t>Sales by Product Line</t>
  </si>
  <si>
    <t>Depreciation as a % of gross beginning PP&amp;E</t>
  </si>
  <si>
    <t>Customer relationships</t>
  </si>
  <si>
    <t>Technology</t>
  </si>
  <si>
    <t>Contracts</t>
  </si>
  <si>
    <t>Amortizable intangible assets:</t>
  </si>
  <si>
    <t>Indefinite-lived intangible assets:</t>
  </si>
  <si>
    <t>Tradenames</t>
  </si>
  <si>
    <t>Accumulated Amortization</t>
  </si>
  <si>
    <t>Intangibles</t>
  </si>
  <si>
    <t>Beginning Intangibles</t>
  </si>
  <si>
    <t>Ending Intangibles</t>
  </si>
  <si>
    <t>Ratios</t>
  </si>
  <si>
    <t>DSO</t>
  </si>
  <si>
    <t>DPO</t>
  </si>
  <si>
    <t>Operating Cycle</t>
  </si>
  <si>
    <t>Cash Conversion Cycle</t>
  </si>
  <si>
    <t>Other current assets as a % of Sales</t>
  </si>
  <si>
    <t>Accrued payroll and variable compensation as a % of Cost of Sales</t>
  </si>
  <si>
    <t>Accounts Receivable Turnover</t>
  </si>
  <si>
    <t>Inventory Turnover</t>
  </si>
  <si>
    <t>Accounts Payable Turnover</t>
  </si>
  <si>
    <t>DIO</t>
  </si>
  <si>
    <t>Circ</t>
  </si>
  <si>
    <t>off</t>
  </si>
  <si>
    <t>on</t>
  </si>
  <si>
    <t>Debt:</t>
  </si>
  <si>
    <t>Total Debt</t>
  </si>
  <si>
    <t>Total Long Term Debt</t>
  </si>
  <si>
    <t>Amortization:</t>
  </si>
  <si>
    <t>Total Required Amortization</t>
  </si>
  <si>
    <t xml:space="preserve">  </t>
  </si>
  <si>
    <t>Revolver</t>
  </si>
  <si>
    <t>Additional Drawdown</t>
  </si>
  <si>
    <t>Total Amortization/(Borrowing)</t>
  </si>
  <si>
    <t>Average Debt Balance:</t>
  </si>
  <si>
    <t>Total Average Debt Balance</t>
  </si>
  <si>
    <t>Interest Expense:</t>
  </si>
  <si>
    <t>Total Interest Expense</t>
  </si>
  <si>
    <t>Revolver:</t>
  </si>
  <si>
    <t>FCF</t>
  </si>
  <si>
    <t>Plus: Beginning Cash</t>
  </si>
  <si>
    <t>Less: Dividend payments</t>
  </si>
  <si>
    <t>Less: Minimum Cash</t>
  </si>
  <si>
    <t>Cash Available for Debt Repayment</t>
  </si>
  <si>
    <t>Long-Term Debt Issuances / (Repayment)</t>
  </si>
  <si>
    <t>Cash Available for Revolver</t>
  </si>
  <si>
    <t>Beginning Balance</t>
  </si>
  <si>
    <t>(Pay down) / Borrowings</t>
  </si>
  <si>
    <t>Ending Balance</t>
  </si>
  <si>
    <t>PP&amp;E and Intangible Schedule</t>
  </si>
  <si>
    <t>Commercial paper and short-term borrowings</t>
  </si>
  <si>
    <t>Credit facilities borrowings</t>
  </si>
  <si>
    <t>Additional Borrowing</t>
  </si>
  <si>
    <t>Less: Share Repurchases</t>
  </si>
  <si>
    <t>Share Repurchase Schedule:</t>
  </si>
  <si>
    <t>Share Repurchases</t>
  </si>
  <si>
    <t>Remaining Authorization</t>
  </si>
  <si>
    <t>Share Price Assumed</t>
  </si>
  <si>
    <t>Share Price Growth</t>
  </si>
  <si>
    <t>Shares Repurchased (in mn)</t>
  </si>
  <si>
    <t>Dividends</t>
  </si>
  <si>
    <t>Dividend Per Share</t>
  </si>
  <si>
    <t>YoY Growth</t>
  </si>
  <si>
    <t>Weighted-average shares</t>
  </si>
  <si>
    <t>Basic</t>
  </si>
  <si>
    <t>Diluted</t>
  </si>
  <si>
    <t>Leverage</t>
  </si>
  <si>
    <t>Debt</t>
  </si>
  <si>
    <t>Cash and Cash Equivalents</t>
  </si>
  <si>
    <t>Net Debt</t>
  </si>
  <si>
    <t>Interest Expense</t>
  </si>
  <si>
    <t>Equity</t>
  </si>
  <si>
    <t>Tangible Assets</t>
  </si>
  <si>
    <t>EBIT</t>
  </si>
  <si>
    <t>EBITDA</t>
  </si>
  <si>
    <t>LTM EBITDA</t>
  </si>
  <si>
    <t>Debt/EBITDA</t>
  </si>
  <si>
    <t>Net Debt/EBITDA</t>
  </si>
  <si>
    <t>Debt-to-Equity</t>
  </si>
  <si>
    <t>EBIT/Interest</t>
  </si>
  <si>
    <t>EBITDA/Interest</t>
  </si>
  <si>
    <t>Debt-to-Asset</t>
  </si>
  <si>
    <t>Effective Interest Rate</t>
  </si>
  <si>
    <t>Median</t>
  </si>
  <si>
    <t>Mean</t>
  </si>
  <si>
    <t>TRAIL_12M_FREE_CASH_FLOW_PER_SH</t>
  </si>
  <si>
    <t>free_cash_flow_per_sh</t>
  </si>
  <si>
    <t>Free Cash Flow per Share</t>
  </si>
  <si>
    <t>TRAIL_12M_FREE_CASH_FLOW</t>
  </si>
  <si>
    <t>CF_FREE_CASH_FLOW</t>
  </si>
  <si>
    <t>Free Cash Flow</t>
  </si>
  <si>
    <t>EBITDA_ADJUSTED</t>
  </si>
  <si>
    <t>Best_sales</t>
  </si>
  <si>
    <t>TRAIL_12M_NET_SALES</t>
  </si>
  <si>
    <t>SALES_REV_TURN</t>
  </si>
  <si>
    <t>Revenue</t>
  </si>
  <si>
    <t>CURR_ENTP_VAL</t>
  </si>
  <si>
    <t>enterprise_value</t>
  </si>
  <si>
    <t>EV ($ in mn)</t>
  </si>
  <si>
    <t>CUR_MKT_CAP</t>
  </si>
  <si>
    <t>HISTORICAL_MARKET_CAP</t>
  </si>
  <si>
    <t>LONG_COMP_NAME</t>
  </si>
  <si>
    <t>Market Cap (in $ mn)</t>
  </si>
  <si>
    <t>EBITDA_GROWTH</t>
  </si>
  <si>
    <t>EBITDA Growth (%)</t>
  </si>
  <si>
    <t>SALES_GROWTH</t>
  </si>
  <si>
    <t>Revenue Growth (%)</t>
  </si>
  <si>
    <t>EBITDA MARGIN ADJUSTED</t>
  </si>
  <si>
    <t xml:space="preserve">EBITDA Margin </t>
  </si>
  <si>
    <t>best_roe</t>
  </si>
  <si>
    <t>return_com_eqy</t>
  </si>
  <si>
    <t>ROE</t>
  </si>
  <si>
    <t>TOT_DEBT_TO_EBITDA</t>
  </si>
  <si>
    <t>Total Debt to EBITDA</t>
  </si>
  <si>
    <t>EBITDA_TO_INTEREST_EXPN</t>
  </si>
  <si>
    <t>EBITDA To Interest Expense</t>
  </si>
  <si>
    <t>TOT_DEBT_TO_TOT_EQY</t>
  </si>
  <si>
    <t>net_debt_to_ebitda</t>
  </si>
  <si>
    <t>Net Leverage</t>
  </si>
  <si>
    <t>CURRENT_PX_TO_FREE_CASH_FLOW</t>
  </si>
  <si>
    <t>PX_TO_FREE_CASH_FLOW</t>
  </si>
  <si>
    <t>Price to FCF</t>
  </si>
  <si>
    <t>BEST_PE_RATIO</t>
  </si>
  <si>
    <t>pe_ratio</t>
  </si>
  <si>
    <t>P/E</t>
  </si>
  <si>
    <t>TRAIL_12M_GROSS_MARGIN</t>
  </si>
  <si>
    <t>GROSS_MARGIN</t>
  </si>
  <si>
    <t xml:space="preserve">Gross Margin </t>
  </si>
  <si>
    <t>BEST_CURRENT_EV_BEST_SALES</t>
  </si>
  <si>
    <t>ev_to_t12m_sales</t>
  </si>
  <si>
    <t>EV/SALES</t>
  </si>
  <si>
    <t>Max</t>
  </si>
  <si>
    <t>Min</t>
  </si>
  <si>
    <t>ev_ebitda_adjusted</t>
  </si>
  <si>
    <t>EV/EBITDA</t>
  </si>
  <si>
    <t>Average</t>
  </si>
  <si>
    <t>LTM</t>
  </si>
  <si>
    <t>10 Yr</t>
  </si>
  <si>
    <t>3FY</t>
  </si>
  <si>
    <t>2FY</t>
  </si>
  <si>
    <t>1FY</t>
  </si>
  <si>
    <t>-0FY</t>
  </si>
  <si>
    <t>-1FY</t>
  </si>
  <si>
    <t>-2FY</t>
  </si>
  <si>
    <t>-3FY</t>
  </si>
  <si>
    <t>-4FY</t>
  </si>
  <si>
    <t>-5FY</t>
  </si>
  <si>
    <t>-6FY</t>
  </si>
  <si>
    <t>-7FY</t>
  </si>
  <si>
    <t>-8FY</t>
  </si>
  <si>
    <t>-9FY</t>
  </si>
  <si>
    <t>4FQ</t>
  </si>
  <si>
    <t>3FQ</t>
  </si>
  <si>
    <t>2FQ</t>
  </si>
  <si>
    <t>1FQ</t>
  </si>
  <si>
    <t>-0FQ</t>
  </si>
  <si>
    <t>-1FQ</t>
  </si>
  <si>
    <t>-2FQ</t>
  </si>
  <si>
    <t>-3FQ</t>
  </si>
  <si>
    <t>-4FQ</t>
  </si>
  <si>
    <t>-5FQ</t>
  </si>
  <si>
    <t>-6FQ</t>
  </si>
  <si>
    <t>-7FQ</t>
  </si>
  <si>
    <t>-8FQ</t>
  </si>
  <si>
    <t>-9FQ</t>
  </si>
  <si>
    <t>&lt;&lt;Please input 1 to activate switch, input 0 before closing the file.</t>
  </si>
  <si>
    <t>EMN US EQUITY</t>
  </si>
  <si>
    <t>DD US EQUITY</t>
  </si>
  <si>
    <t>POL US EQUITY</t>
  </si>
  <si>
    <t>CE US EQUITY</t>
  </si>
  <si>
    <t>LYB US EQUITY</t>
  </si>
  <si>
    <t>Bear</t>
  </si>
  <si>
    <t>Bull</t>
  </si>
  <si>
    <t xml:space="preserve">     </t>
  </si>
  <si>
    <t>Balance Sheet:</t>
  </si>
  <si>
    <t>Non GAAP Measures :</t>
  </si>
  <si>
    <t>Tax Rate</t>
  </si>
  <si>
    <t>Guidance/Consensus</t>
  </si>
  <si>
    <t>Case</t>
  </si>
  <si>
    <t>Assumptions</t>
  </si>
  <si>
    <t>DCF</t>
  </si>
  <si>
    <t>Date</t>
  </si>
  <si>
    <t>Less: D&amp;A</t>
  </si>
  <si>
    <t>Tax Adjusted EBIT</t>
  </si>
  <si>
    <t>Plus: D&amp;A</t>
  </si>
  <si>
    <t>Less: Increase in Working Capital</t>
  </si>
  <si>
    <t>Less: Capital Expenditure</t>
  </si>
  <si>
    <t>Unlevered Free Cash Flow</t>
  </si>
  <si>
    <t>Discounting Periods</t>
  </si>
  <si>
    <t>Cash Flows to Discounts</t>
  </si>
  <si>
    <t>Present Value of Cash Flows</t>
  </si>
  <si>
    <t>Cost of equity</t>
  </si>
  <si>
    <t>Cost of Debt</t>
  </si>
  <si>
    <t>WACC</t>
  </si>
  <si>
    <t>Beta</t>
  </si>
  <si>
    <t>Weightage</t>
  </si>
  <si>
    <t>Cost</t>
  </si>
  <si>
    <t>Risk Free Rate</t>
  </si>
  <si>
    <t>Market Return</t>
  </si>
  <si>
    <t>Market Premium</t>
  </si>
  <si>
    <t>Total Cap</t>
  </si>
  <si>
    <t>Ke</t>
  </si>
  <si>
    <t>Kd Calc.</t>
  </si>
  <si>
    <t>Ke (BBG Pull)</t>
  </si>
  <si>
    <t>Discount Rate</t>
  </si>
  <si>
    <t>PV of Cash Flows</t>
  </si>
  <si>
    <t>Balance Sheet and Shares Date:</t>
  </si>
  <si>
    <t>EBITDA Exit Multiple</t>
  </si>
  <si>
    <t>Perpetuity Growth</t>
  </si>
  <si>
    <t>Terminal Value</t>
  </si>
  <si>
    <t>PV of Terminal Value</t>
  </si>
  <si>
    <t>Enterprise Value</t>
  </si>
  <si>
    <t>Net Debt, Pref. &amp; MI</t>
  </si>
  <si>
    <t>Equity Value</t>
  </si>
  <si>
    <t>Price per Share</t>
  </si>
  <si>
    <t>Implied Perpetuity Growth</t>
  </si>
  <si>
    <t>Current Share Price</t>
  </si>
  <si>
    <t>Share Price Sensitivity to Discount Rate and Terminal Value</t>
  </si>
  <si>
    <t>EBITDA Exit multiple</t>
  </si>
  <si>
    <t>Adjusted EBITDA</t>
  </si>
  <si>
    <t>1fy</t>
  </si>
  <si>
    <t>2fy</t>
  </si>
  <si>
    <t>3fy</t>
  </si>
  <si>
    <t>Consensus Summary</t>
  </si>
  <si>
    <t>BB Switch</t>
  </si>
  <si>
    <t>Ticker</t>
  </si>
  <si>
    <t>Tolerance</t>
  </si>
  <si>
    <t>Consensus vs Model:</t>
  </si>
  <si>
    <t>Key Metrics</t>
  </si>
  <si>
    <t>Vs Consensus</t>
  </si>
  <si>
    <t>Guidance</t>
  </si>
  <si>
    <t>Consensus</t>
  </si>
  <si>
    <t>Model</t>
  </si>
  <si>
    <t>$</t>
  </si>
  <si>
    <t>%</t>
  </si>
  <si>
    <t>Mean Estimates</t>
  </si>
  <si>
    <t>Adjusted Net Income</t>
  </si>
  <si>
    <t>Median Estimates</t>
  </si>
  <si>
    <t>Comments</t>
  </si>
  <si>
    <t>EMN</t>
  </si>
  <si>
    <t>% of Revenue</t>
  </si>
  <si>
    <t>Bps change</t>
  </si>
  <si>
    <t>% EBITDA Conversion</t>
  </si>
  <si>
    <t>% of Total Revenue</t>
  </si>
  <si>
    <t>the cyclicality of key end products and markets, while other operating segments and product lines are more sensitive to global</t>
  </si>
  <si>
    <t>economic conditions. Supply and demand dynamics determine profitability at different stages of business cycles and global economic</t>
  </si>
  <si>
    <t>conditions affect the length of each cycle.</t>
  </si>
  <si>
    <t>an overall stable foundation for earnings growth.</t>
  </si>
  <si>
    <t>&gt;&gt; Seasonality and Cyclicality</t>
  </si>
  <si>
    <t>&gt; Eastman's earnings are typically higher in second and third quarters, and cash flows from operations are typically highest in the second</t>
  </si>
  <si>
    <t>&gt; The coatings and inks additives product line of the AFP segment and the intermediates product line of the CI segment are impacted by</t>
  </si>
  <si>
    <t>&gt; Despite sensitivity to global economic conditions, the product portfolios of each operating segment are expected to continue to provide</t>
  </si>
  <si>
    <t>Depreciation and Amortization</t>
  </si>
  <si>
    <t>Capital Expenditure</t>
  </si>
  <si>
    <t>Peer Analysis</t>
  </si>
  <si>
    <t xml:space="preserve">&gt; Commodity chemicals are usually high volume, bulk products that are priced off a spread over raw material costs. </t>
  </si>
  <si>
    <t xml:space="preserve">&gt; Most plastics are manufactured from either crude oil derivatives or natural gas, making oil prices important and the crude oil-to-gas ratio very important. </t>
  </si>
  <si>
    <t>&gt; Oil-to-gas ratio determines what commodity chemical assets are lowest cost around the globe. Many firms make commodity chemicals from either natural gas — common in the U.S. — or from crude oil derivatives.</t>
  </si>
  <si>
    <t>&gt;&gt; Specialty Chemicals</t>
  </si>
  <si>
    <t xml:space="preserve">&gt; Specialty chemicals like advanced plastics, adhesives, and enzymes for end markets including cars, consumer goods, and electronics. </t>
  </si>
  <si>
    <t>&gt; Specialty chemicals are usually lower volume, high margin products protected by intellectual property or manufacturing know-how.</t>
  </si>
  <si>
    <t>WLK US EQUITY</t>
  </si>
  <si>
    <t>OLN US EQUITY</t>
  </si>
  <si>
    <t>Non GAAP Cost of Sales as a % of Revenue</t>
  </si>
  <si>
    <t>Non GAAP SG&amp;A as a % of Revenue</t>
  </si>
  <si>
    <t xml:space="preserve">                                                     </t>
  </si>
  <si>
    <t>&gt; Polyesters are extremely important polymers. Their most familiar applications are in clothing, food packaging and plastic water and carbonated soft drinks bottles</t>
  </si>
  <si>
    <t>&gt; Eastman has undergone a transformation since 2006 as the company migrated away from some of its more commodity products towards higher value specialty products.</t>
  </si>
  <si>
    <t>&gt; In late 2006 Eastman sold its polyethylene business and related assets to Westlake Chemical for approximately $265 million. In 2007 Eastman sold its Latin American and European PET units for approximately $200 million and $330 million, respectively.</t>
  </si>
  <si>
    <t>&gt; Eastman acquired Taminco, an alkylamines company, in 2014 for $2.8b.</t>
  </si>
  <si>
    <t>Key technology platforms in this segment are:</t>
  </si>
  <si>
    <t>specialty amines, and alkylamine derivatives.</t>
  </si>
  <si>
    <t>&gt;  Products in Eastman’s AFP segment include binders and resins, liquid vehicles, unsaturated polyester resins (UPR), and polyester, acrylic emulsions,</t>
  </si>
  <si>
    <t>&gt;  The Additives and Functional Products segment also comprises the adhesives product lines and the Specialty Amines product lines from Taminco.</t>
  </si>
  <si>
    <t xml:space="preserve">In 2010 Eastman sold its U.S. polyethylene terephthalate (PET) business for $617 million. </t>
  </si>
  <si>
    <t>&gt; Eastman acquired Solutia in July 2012 in a transaction valued at approximately $4.8 billion, including the assumption of Solutia’s debt.</t>
  </si>
  <si>
    <t>&gt;&gt; The Fibers segment's competitive strengths include a reputation for high-quality products, technical expertise, large scale vertically integrated</t>
  </si>
  <si>
    <t>&gt;&gt; Performance Films - The performance films product line
primarily consists of window film and protective film products for aftermarket applied films.</t>
  </si>
  <si>
    <t>&gt;&gt; Intermediates - In the intermediates product line, the Company produces olefin derivatives, acetyl derivatives, ethylene, and commodity solvents.</t>
  </si>
  <si>
    <t>&gt;&gt; Functional Amines - The functional amines product lines include methylamines and salts, and higher amines and solvents.</t>
  </si>
  <si>
    <t>&gt;&gt; Acetate Yarn - The acetate yarn product line consists of natural (undyed) acetate and polyester yarn and solution-dyed acetate yarn for use in apparel,
home furnishings, and industrial fabrics.</t>
  </si>
  <si>
    <t>&gt;&gt; Nonwovens - The nonwovens product line consists primarily of the nonwovens innovation products</t>
  </si>
  <si>
    <t>&gt;&gt; Plasticizers - The
 plasticizers product line consists of a unique set of primary non-phthalate and phthalate plasticizers and a range of niche non-phthalate
plasticizers.</t>
  </si>
  <si>
    <t>&gt;&gt; Coatings and Inks Additives - The products the Company manufactures in the coatings and inks additives product line can be broadly classified as polymers and
 additives and solvents and include specialty coalescents, specialty solvents, paint additives, and specialty polymers.</t>
  </si>
  <si>
    <t>&gt;&gt; Adhesives Resins - The adhesives 
resins product line consists of hydrocarbon and rosin resins.</t>
  </si>
  <si>
    <t>&gt;&gt; Acetate Tow - In the Fibers segment, Eastman manufactures and sells cellulose acetate tow for use in filtration media, primarily cigarette filters</t>
  </si>
  <si>
    <t>&gt;&gt; Acetyl Chemical Products - The
 acetyl chemicals product line consists of triacetin, cellulose acetate flake, and acetyl raw materials for other acetate fiber producers.</t>
  </si>
  <si>
    <t>&gt;&gt; Major Acquisitions</t>
  </si>
  <si>
    <t xml:space="preserve">and became a public company, incorporated in Delaware, on December 31, 1993. Eastman has 48 manufacturing facilities </t>
  </si>
  <si>
    <t>and equity interests in three manufacturing joint ventures in 14 countries that supply products to customers throughout the world.</t>
  </si>
  <si>
    <t>Sales by %</t>
  </si>
  <si>
    <t>Effective Tax Rate</t>
  </si>
  <si>
    <t>Specialty Chemicals</t>
  </si>
  <si>
    <t>Commodity Chemicals</t>
  </si>
  <si>
    <t>KRA US EQUITY</t>
  </si>
  <si>
    <t>BAS GR EQUITY</t>
  </si>
  <si>
    <t>DOW US EQUITY</t>
  </si>
  <si>
    <t>TSE US EQUITY</t>
  </si>
  <si>
    <t>one to three years in initial duration with renewal or cancellation options for each party. Most of these agreements do not require the</t>
  </si>
  <si>
    <t>Company to purchase materials or energy if its operations are reduced or idle.</t>
  </si>
  <si>
    <t>polyvinyl alcohol, and a wide variety of precursors for specialty organic chemicals.</t>
  </si>
  <si>
    <t>&gt; Key raw materials include propane, propylene, paraxylene, methanol, cellulose, fatty alcohol,</t>
  </si>
  <si>
    <t>&gt; Eastman purchases approximately 75 percent of its key raw materials and energy through different contract mechanisms, generally of</t>
  </si>
  <si>
    <t>&gt;&gt; Key Raw Materials</t>
  </si>
  <si>
    <t>NA</t>
  </si>
  <si>
    <t>Share Price</t>
  </si>
  <si>
    <t>Dividend Yield</t>
  </si>
  <si>
    <t>The INACSA yarn business and assets are expected to support continued growth of Naia™ cellulosic yarn for the apparel market and will become part of the global Fibers segment supply base.</t>
  </si>
  <si>
    <t>YoY Growth (%)</t>
  </si>
  <si>
    <t>EBITDA Margin (%)</t>
  </si>
  <si>
    <t>&gt;&gt; Segment Financials</t>
  </si>
  <si>
    <t>half of the year due to seasonal demand based on general economic activity in the Company's key markets.</t>
  </si>
  <si>
    <t>Results in the AM segment are typically weaker in fourth quarter due to seasonal downturns in key markets.</t>
  </si>
  <si>
    <t>Raw Material and Operating Costs</t>
  </si>
  <si>
    <t>Model Switch</t>
  </si>
  <si>
    <t>&gt;&gt; Forecasting EBIT</t>
  </si>
  <si>
    <t>&gt;&gt; Forecasting Operating Expenses</t>
  </si>
  <si>
    <t>Adjusted EBIT Margin %</t>
  </si>
  <si>
    <t>&gt;&gt; Consolidated Financials Summary</t>
  </si>
  <si>
    <t>&gt;&gt; Specialty Plastics - The specialty plastics product line consists of two primary products: copolyesters and cellulose esters.</t>
  </si>
  <si>
    <t>&gt;&gt; Advanced Interlayers - The advanced interlayers product line includes polyvinyl butyral sheet and specialty polyvinyl butyral intermediates.</t>
  </si>
  <si>
    <t xml:space="preserve"> home furnishings, and industrial fabrics; nonwovens for use in filtration and friction media, used primarily in
 transportation, industrial, and agricultural markets; </t>
  </si>
  <si>
    <t xml:space="preserve">&gt; Eastman announced on June 19, 2019 that it has entered into a definitive agreement to acquire Industrias del Acetato de Celulosa S.A. (INACSA), a Spanish producer of cellulosic yarn. </t>
  </si>
  <si>
    <t xml:space="preserve">&gt; Specialty companies focus on more-tailored products and distinct end-markets, somewhat reducing their
 exposure to business cycles. </t>
  </si>
  <si>
    <t>As the global manufacturing outlook remains muted, the peer group maintains a
 valuation premium (4.4 turns of P/E) vs. commodity-chemical producers.</t>
  </si>
  <si>
    <t>Research and Development as a % of Revenue</t>
  </si>
  <si>
    <t>RD_EXPEND_TO_NET_SALES</t>
  </si>
  <si>
    <t>P/FCF</t>
  </si>
  <si>
    <t xml:space="preserve">NA  </t>
  </si>
  <si>
    <t xml:space="preserve">NA </t>
  </si>
  <si>
    <t>Eastman Chemical Co (EMN US) - By Segment</t>
  </si>
  <si>
    <t>In Millions of USD except Per Share</t>
  </si>
  <si>
    <t>FY 2003</t>
  </si>
  <si>
    <t>FY 2004</t>
  </si>
  <si>
    <t>FY 2005</t>
  </si>
  <si>
    <t>FY 2006</t>
  </si>
  <si>
    <t>FY 2007</t>
  </si>
  <si>
    <t>FY 2008</t>
  </si>
  <si>
    <t>FY 2009</t>
  </si>
  <si>
    <t>FY 2010</t>
  </si>
  <si>
    <t>FY 2011</t>
  </si>
  <si>
    <t>FY 2012</t>
  </si>
  <si>
    <t>FY 2013</t>
  </si>
  <si>
    <t>FY 2014</t>
  </si>
  <si>
    <t>FY 2015</t>
  </si>
  <si>
    <t>FY 2016</t>
  </si>
  <si>
    <t>FY 2017</t>
  </si>
  <si>
    <t>FY 2018</t>
  </si>
  <si>
    <t>12 Months Ending</t>
  </si>
  <si>
    <t>12/31/2003</t>
  </si>
  <si>
    <t>12/31/2004</t>
  </si>
  <si>
    <t>12/31/2005</t>
  </si>
  <si>
    <t>12/31/2006</t>
  </si>
  <si>
    <t>12/31/2007</t>
  </si>
  <si>
    <t>12/31/2008</t>
  </si>
  <si>
    <t>12/31/2009</t>
  </si>
  <si>
    <t>12/31/2010</t>
  </si>
  <si>
    <t>12/31/2011</t>
  </si>
  <si>
    <t>12/31/2012</t>
  </si>
  <si>
    <t>12/31/2013</t>
  </si>
  <si>
    <t>12/31/2014</t>
  </si>
  <si>
    <t>12/31/2015</t>
  </si>
  <si>
    <t>12/31/2016</t>
  </si>
  <si>
    <t>12/31/2017</t>
  </si>
  <si>
    <t>12/31/2018</t>
  </si>
  <si>
    <t xml:space="preserve">  Revenue</t>
  </si>
  <si>
    <t>—</t>
  </si>
  <si>
    <t xml:space="preserve">  Operating Income</t>
  </si>
  <si>
    <t xml:space="preserve">  Assets</t>
  </si>
  <si>
    <t xml:space="preserve">  Depreciation and Amortization</t>
  </si>
  <si>
    <t xml:space="preserve">  Capital Expenditures</t>
  </si>
  <si>
    <t xml:space="preserve">  Goodwill</t>
  </si>
  <si>
    <t xml:space="preserve">  Revenue Growth %</t>
  </si>
  <si>
    <t xml:space="preserve">  Operating Income Growth %</t>
  </si>
  <si>
    <t xml:space="preserve">  Sales Change - Volume %</t>
  </si>
  <si>
    <t xml:space="preserve">  Sales Change - Prices %</t>
  </si>
  <si>
    <t xml:space="preserve">  Sales Change - Currencies %</t>
  </si>
  <si>
    <t xml:space="preserve">  Adjusted Operating Income</t>
  </si>
  <si>
    <t xml:space="preserve">  Sales Change - Volume</t>
  </si>
  <si>
    <t xml:space="preserve">  Sales Change - Prices</t>
  </si>
  <si>
    <t xml:space="preserve">  Sales Change - Currencies</t>
  </si>
  <si>
    <t xml:space="preserve">  % of Revenue - Supplementary</t>
  </si>
  <si>
    <t xml:space="preserve">  Adjusted Operating Income Inc/Exl Certain Items</t>
  </si>
  <si>
    <t xml:space="preserve">  Depreciation</t>
  </si>
  <si>
    <t xml:space="preserve">  Sales Change - Mix %</t>
  </si>
  <si>
    <t xml:space="preserve">  Sales Change - Mix</t>
  </si>
  <si>
    <t>Fibers</t>
  </si>
  <si>
    <t>Reconciliation</t>
  </si>
  <si>
    <t xml:space="preserve">  Revenue by End User</t>
  </si>
  <si>
    <t>Adhesives &amp; Plasticizers(A&amp;P)</t>
  </si>
  <si>
    <t>Specialty Fluids &amp; Intermediates</t>
  </si>
  <si>
    <t>Acetyl Chemicals</t>
  </si>
  <si>
    <t xml:space="preserve">  Nameplate/Theoretical/Original Capacity (in Metric Tonnes)</t>
  </si>
  <si>
    <t>Ethylene</t>
  </si>
  <si>
    <t>Ethylene Derivatives</t>
  </si>
  <si>
    <t>Propylene</t>
  </si>
  <si>
    <t>Other Ethylene Derivatives</t>
  </si>
  <si>
    <t>Eastman Chemical</t>
  </si>
  <si>
    <t xml:space="preserve">  Intersegment Revenue</t>
  </si>
  <si>
    <t xml:space="preserve">  Revenue Including Intersegment Revenue</t>
  </si>
  <si>
    <t>Performance Chemicals and Intermediates(PCI)</t>
  </si>
  <si>
    <t>Coatings, Adhesives, Specialty Polymers and Inks(CASPI)</t>
  </si>
  <si>
    <t>Oxo Products</t>
  </si>
  <si>
    <t>Performance Polymers</t>
  </si>
  <si>
    <t>Chemical Group</t>
  </si>
  <si>
    <t>Polymers Group</t>
  </si>
  <si>
    <t>Products</t>
  </si>
  <si>
    <t>Developing Business</t>
  </si>
  <si>
    <t>Developing Business Division</t>
  </si>
  <si>
    <t>Source: Bloomberg</t>
  </si>
  <si>
    <t>Segment wise</t>
  </si>
  <si>
    <t>Additives and Functional Products</t>
  </si>
  <si>
    <t>YoY</t>
  </si>
  <si>
    <t>Operating Income</t>
  </si>
  <si>
    <t>% margin</t>
  </si>
  <si>
    <t>Eastman Chemical Co (EMN US) - Adj Highlights</t>
  </si>
  <si>
    <t>Market Capitalization</t>
  </si>
  <si>
    <t>- Cash &amp; Equivalents</t>
  </si>
  <si>
    <t>CASH_AND_MARKETABLE_SECURITIES</t>
  </si>
  <si>
    <t>+ Preferred &amp; Other</t>
  </si>
  <si>
    <t>PREFERRED_EQUITY_&amp;_MINORITY_INT</t>
  </si>
  <si>
    <t>+ Total Debt</t>
  </si>
  <si>
    <t>SHORT_AND_LONG_TERM_DEBT</t>
  </si>
  <si>
    <t>ENTERPRISE_VALUE</t>
  </si>
  <si>
    <t>Revenue, Adj</t>
  </si>
  <si>
    <t xml:space="preserve">  Growth %, YoY</t>
  </si>
  <si>
    <t>Gross Profit, Adj</t>
  </si>
  <si>
    <t>GROSS_PROFIT</t>
  </si>
  <si>
    <t xml:space="preserve">  Margin %</t>
  </si>
  <si>
    <t>EBITDA, Adj</t>
  </si>
  <si>
    <t>Net Income, Adj</t>
  </si>
  <si>
    <t>EARN_FOR_COMMON</t>
  </si>
  <si>
    <t>EPS, Adj</t>
  </si>
  <si>
    <t>IS_DIL_EPS_CONT_OPS</t>
  </si>
  <si>
    <t>Cash from Operations</t>
  </si>
  <si>
    <t>CF_CASH_FROM_OPER</t>
  </si>
  <si>
    <t>Capital Expenditures</t>
  </si>
  <si>
    <t>CAPITAL_EXPEND</t>
  </si>
  <si>
    <t>COGS</t>
  </si>
  <si>
    <t>bps change</t>
  </si>
  <si>
    <t>Brent Crude</t>
  </si>
  <si>
    <t>Consolidated</t>
  </si>
  <si>
    <t>SOTP</t>
  </si>
  <si>
    <t>Segment</t>
  </si>
  <si>
    <t>Multiple</t>
  </si>
  <si>
    <t>Other Activities</t>
  </si>
  <si>
    <t>Plus: Options Proceeds from In-the-Money Options</t>
  </si>
  <si>
    <t>Less: Net Environmental Remediation</t>
  </si>
  <si>
    <t>Less: Non-Environmental Asset Retirement Obligations</t>
  </si>
  <si>
    <t>Total Equity Value</t>
  </si>
  <si>
    <t>Per Share Equity Value</t>
  </si>
  <si>
    <t>SOTP Discount</t>
  </si>
  <si>
    <t>Per Share Equity Value with SOTP Discount</t>
  </si>
  <si>
    <t>Segment Snapshot</t>
  </si>
  <si>
    <t>x.</t>
  </si>
  <si>
    <t>Total Adjusted EBITDA</t>
  </si>
  <si>
    <t>Raw Material and Operating Costs effect</t>
  </si>
  <si>
    <t>(Figures in $ mn)</t>
  </si>
  <si>
    <t>Less: Net Debt, Pref., Minority Interest and Pension Liability</t>
  </si>
  <si>
    <t>PV of EV Assumed</t>
  </si>
  <si>
    <t>Period</t>
  </si>
  <si>
    <t>WACC Assumed</t>
  </si>
  <si>
    <t>Revenue Growth</t>
  </si>
  <si>
    <t>Adjusted EBIT Growth</t>
  </si>
  <si>
    <t>Adjusted EBIT Margin</t>
  </si>
  <si>
    <t>Adjusted EBITDA Margin</t>
  </si>
  <si>
    <t>Adjusted EBITDA Growth</t>
  </si>
  <si>
    <t>Revenue Breakdown</t>
  </si>
  <si>
    <t>Identifier</t>
  </si>
  <si>
    <t>Name</t>
  </si>
  <si>
    <t xml:space="preserve">Revenue </t>
  </si>
  <si>
    <t>Fiscal Year End</t>
  </si>
  <si>
    <t>Company Type</t>
  </si>
  <si>
    <t>FactSet Industry</t>
  </si>
  <si>
    <t>Ultimate Parent Name</t>
  </si>
  <si>
    <t>Country</t>
  </si>
  <si>
    <t>Website</t>
  </si>
  <si>
    <t>Enterprise Value to EBITDA</t>
  </si>
  <si>
    <t>ASNB-US</t>
  </si>
  <si>
    <t>AdvanSource Biomaterials Corporation</t>
  </si>
  <si>
    <t>Public Company</t>
  </si>
  <si>
    <t>Medical Specialties</t>
  </si>
  <si>
    <t>United States</t>
  </si>
  <si>
    <t>http://www.advbiomaterials.com</t>
  </si>
  <si>
    <t>ALPEKA-MX</t>
  </si>
  <si>
    <t>Alpek, S.A.B. de C.V.</t>
  </si>
  <si>
    <t>Chemicals: Specialty</t>
  </si>
  <si>
    <t>Alfa, S.A.B. de C.V.</t>
  </si>
  <si>
    <t>Mexico</t>
  </si>
  <si>
    <t>http://www.alpek.com</t>
  </si>
  <si>
    <t>CBNT-US</t>
  </si>
  <si>
    <t>C-Bond Systems, Inc.</t>
  </si>
  <si>
    <t>Chemicals: Major Diversified</t>
  </si>
  <si>
    <t>http://www.cbondsystems.com</t>
  </si>
  <si>
    <t>-</t>
  </si>
  <si>
    <t>FUL-US</t>
  </si>
  <si>
    <t>H.B. Fuller Company</t>
  </si>
  <si>
    <t>Industrial Specialties</t>
  </si>
  <si>
    <t>http://www.hbfuller.com</t>
  </si>
  <si>
    <t>HIT-CA</t>
  </si>
  <si>
    <t>HIT Technologies Inc.</t>
  </si>
  <si>
    <t>Canada</t>
  </si>
  <si>
    <t>http://www.hitcase.com</t>
  </si>
  <si>
    <t>HUN-US</t>
  </si>
  <si>
    <t>Huntsman Corporation</t>
  </si>
  <si>
    <t>http://www.huntsman.com</t>
  </si>
  <si>
    <t>KRA-US</t>
  </si>
  <si>
    <t>Kraton Corporation</t>
  </si>
  <si>
    <t>http://www.kraton.com</t>
  </si>
  <si>
    <t>RYAM-US</t>
  </si>
  <si>
    <t>Rayonier Advanced Materials, Inc.</t>
  </si>
  <si>
    <t>http://www.rayonieram.com</t>
  </si>
  <si>
    <t>SHW-US</t>
  </si>
  <si>
    <t>Sherwin-Williams Company</t>
  </si>
  <si>
    <t>http://www.sherwin-williams.com</t>
  </si>
  <si>
    <t>TSE-US</t>
  </si>
  <si>
    <t>Trinseo SA</t>
  </si>
  <si>
    <t>http://www.trinseo.com</t>
  </si>
  <si>
    <t>WLK-US</t>
  </si>
  <si>
    <t>Westlake Chemical Corporation</t>
  </si>
  <si>
    <t>TTWF LP</t>
  </si>
  <si>
    <t>http://www.westlake.com</t>
  </si>
  <si>
    <t>Screen Details</t>
  </si>
  <si>
    <t>Companies (1)</t>
  </si>
  <si>
    <t>Screen Focus</t>
  </si>
  <si>
    <t>Companies</t>
  </si>
  <si>
    <t>Screen Currency</t>
  </si>
  <si>
    <t>USD</t>
  </si>
  <si>
    <t>Last Run Time</t>
  </si>
  <si>
    <t>Screen ID</t>
  </si>
  <si>
    <t>Search Parameters And Logic (3)</t>
  </si>
  <si>
    <t>P1</t>
  </si>
  <si>
    <t>Company Type: Included: Public | Excluded: Private; Other</t>
  </si>
  <si>
    <t>P4</t>
  </si>
  <si>
    <t>Headquarters: Included: North America</t>
  </si>
  <si>
    <t>P2</t>
  </si>
  <si>
    <t>Sector/Industry (All): Included: [45102015] Adhesive, Sealant, Coating and Paint Products; [45102035] Specialty/Performance Fibers and Polymer Products</t>
  </si>
  <si>
    <t>P3 (Inactive)</t>
  </si>
  <si>
    <t xml:space="preserve">Business Description (Keyword): </t>
  </si>
  <si>
    <t>P (Inactive)</t>
  </si>
  <si>
    <t xml:space="preserve">Enterprise Value to EBITDA : </t>
  </si>
  <si>
    <t>Logic</t>
  </si>
  <si>
    <t>(P1 AND P2 AND P3 AND P4)</t>
  </si>
  <si>
    <t>Report Details</t>
  </si>
  <si>
    <t>Report Type</t>
  </si>
  <si>
    <t>List</t>
  </si>
  <si>
    <t>DD-US</t>
  </si>
  <si>
    <t>DuPont de Nemours, Inc.</t>
  </si>
  <si>
    <t>http://www.dupont.com</t>
  </si>
  <si>
    <t>CTVA-US</t>
  </si>
  <si>
    <t>Corteva, Inc.</t>
  </si>
  <si>
    <t>Chemicals: Agricultural</t>
  </si>
  <si>
    <t>http://www.corteva.com</t>
  </si>
  <si>
    <t>NTR-CA</t>
  </si>
  <si>
    <t>Nutrien Ltd.</t>
  </si>
  <si>
    <t>http://www.nutrien.com</t>
  </si>
  <si>
    <t>PPG-US</t>
  </si>
  <si>
    <t>PPG Industries, Inc.</t>
  </si>
  <si>
    <t>http://www.ppg.com</t>
  </si>
  <si>
    <t>ECL-US</t>
  </si>
  <si>
    <t>Ecolab Inc.</t>
  </si>
  <si>
    <t>http://www.ecolab.com</t>
  </si>
  <si>
    <t>EMN-US</t>
  </si>
  <si>
    <t>http://www.eastman.com</t>
  </si>
  <si>
    <t>MOS-US</t>
  </si>
  <si>
    <t>Mosaic Company</t>
  </si>
  <si>
    <t>http://www.mosaicco.com</t>
  </si>
  <si>
    <t>CC-US</t>
  </si>
  <si>
    <t>Chemours Co.</t>
  </si>
  <si>
    <t>http://www.chemours.com</t>
  </si>
  <si>
    <t>RPM-US</t>
  </si>
  <si>
    <t>RPM International Inc.</t>
  </si>
  <si>
    <t>http://www.rpminc.com</t>
  </si>
  <si>
    <t>FMC-US</t>
  </si>
  <si>
    <t>FMC Corporation</t>
  </si>
  <si>
    <t>http://www.fmc.com</t>
  </si>
  <si>
    <t>AXTA-US</t>
  </si>
  <si>
    <t>Axalta Coating Systems Ltd.</t>
  </si>
  <si>
    <t>http://www.axaltacoatingsystems.com</t>
  </si>
  <si>
    <t>CF-US</t>
  </si>
  <si>
    <t>CF Industries Holdings, Inc.</t>
  </si>
  <si>
    <t>http://www.cfindustries.com</t>
  </si>
  <si>
    <t>IFF-US</t>
  </si>
  <si>
    <t>International Flavors &amp; Fragrances Inc.</t>
  </si>
  <si>
    <t>Household/Personal Care</t>
  </si>
  <si>
    <t>http://www.iff.com</t>
  </si>
  <si>
    <t>ASH-US</t>
  </si>
  <si>
    <t>Ashland Global Holdings, Inc.</t>
  </si>
  <si>
    <t>http://www.ashland.com</t>
  </si>
  <si>
    <t>POL-US</t>
  </si>
  <si>
    <t>PolyOne Corporation</t>
  </si>
  <si>
    <t>http://www.polyone.com</t>
  </si>
  <si>
    <t>ALB-US</t>
  </si>
  <si>
    <t>Albemarle Corporation</t>
  </si>
  <si>
    <t>http://www.albemarle.com</t>
  </si>
  <si>
    <t>SMG-US</t>
  </si>
  <si>
    <t>Scotts Miracle-Gro Company</t>
  </si>
  <si>
    <t>http://www.scottsmiraclegro.com</t>
  </si>
  <si>
    <t>NEU-US</t>
  </si>
  <si>
    <t>NewMarket Corporation</t>
  </si>
  <si>
    <t>http://www.newmarket.com</t>
  </si>
  <si>
    <t>VVV-US</t>
  </si>
  <si>
    <t>Valvoline, Inc.</t>
  </si>
  <si>
    <t>http://www.valvoline.com</t>
  </si>
  <si>
    <t>SCL-US</t>
  </si>
  <si>
    <t>Stepan Company</t>
  </si>
  <si>
    <t>http://www.stepan.com</t>
  </si>
  <si>
    <t>ESI-US</t>
  </si>
  <si>
    <t>Element Solutions, Inc.</t>
  </si>
  <si>
    <t>http://www.elementsolutionsinc.com</t>
  </si>
  <si>
    <t>GRA-US</t>
  </si>
  <si>
    <t>W. R. Grace &amp; Co.</t>
  </si>
  <si>
    <t>http://www.grace.com</t>
  </si>
  <si>
    <t>VHI-US</t>
  </si>
  <si>
    <t>Valhi, Inc.</t>
  </si>
  <si>
    <t>Contran Corp.</t>
  </si>
  <si>
    <t>http://www.valhi.net</t>
  </si>
  <si>
    <t>KRO-US</t>
  </si>
  <si>
    <t>Kronos Worldwide, Inc.</t>
  </si>
  <si>
    <t>http://www.kronostio2.com</t>
  </si>
  <si>
    <t>FOE-US</t>
  </si>
  <si>
    <t>Ferro Corporation</t>
  </si>
  <si>
    <t>http://www.ferro.com</t>
  </si>
  <si>
    <t>PQG-US</t>
  </si>
  <si>
    <t>PQ Group Holdings, Inc.</t>
  </si>
  <si>
    <t>http://www.pqcorp.com</t>
  </si>
  <si>
    <t>ASIX-US</t>
  </si>
  <si>
    <t>Advansix, Inc.</t>
  </si>
  <si>
    <t>http://www.advansix.com</t>
  </si>
  <si>
    <t>IOSP-US</t>
  </si>
  <si>
    <t>Innospec Inc.</t>
  </si>
  <si>
    <t>http://www.innospecinc.com</t>
  </si>
  <si>
    <t>SXT-US</t>
  </si>
  <si>
    <t>Sensient Technologies Corporation</t>
  </si>
  <si>
    <t>http://www.sensient.com</t>
  </si>
  <si>
    <t>VSM-US</t>
  </si>
  <si>
    <t>Versum Materials, Inc.</t>
  </si>
  <si>
    <t>Electronics Distributors</t>
  </si>
  <si>
    <t>http://www.versummaterials.com</t>
  </si>
  <si>
    <t>MTRN-US</t>
  </si>
  <si>
    <t>Materion Corporation</t>
  </si>
  <si>
    <t>Other Metals/Minerals</t>
  </si>
  <si>
    <t>http://www.materion.com</t>
  </si>
  <si>
    <t>NGVT-US</t>
  </si>
  <si>
    <t>Ingevity Corp.</t>
  </si>
  <si>
    <t>http://www.ingevity.com</t>
  </si>
  <si>
    <t>GCP-US</t>
  </si>
  <si>
    <t>GCP Applied Technologies, Inc.</t>
  </si>
  <si>
    <t>http://www.gcpat.com</t>
  </si>
  <si>
    <t>CEU-CA</t>
  </si>
  <si>
    <t>CES Energy Solutions Corp.</t>
  </si>
  <si>
    <t>http://www.cesenergysolutions.com</t>
  </si>
  <si>
    <t>ROG-US</t>
  </si>
  <si>
    <t>Rogers Corporation</t>
  </si>
  <si>
    <t>Electronic Components</t>
  </si>
  <si>
    <t>http://www.rogerscorporation.com</t>
  </si>
  <si>
    <t>KWR-US</t>
  </si>
  <si>
    <t>Quaker Chemical Corporation</t>
  </si>
  <si>
    <t>http://www.quakerchem.com</t>
  </si>
  <si>
    <t>IPHS-US</t>
  </si>
  <si>
    <t>Innophos Holdings, Inc.</t>
  </si>
  <si>
    <t>http://www.innophos.com</t>
  </si>
  <si>
    <t>OMN-US</t>
  </si>
  <si>
    <t>OMNOVA Solutions Inc.</t>
  </si>
  <si>
    <t>http://www.omnova.com</t>
  </si>
  <si>
    <t>BCPC-US</t>
  </si>
  <si>
    <t>Balchem Corporation</t>
  </si>
  <si>
    <t>http://www.balchem.com</t>
  </si>
  <si>
    <t>CCMP-US</t>
  </si>
  <si>
    <t>Cabot Microelectronics Corporation</t>
  </si>
  <si>
    <t>http://www.cabotcmp.com</t>
  </si>
  <si>
    <t>Sector/Industry (All): Included: [451020] Specialty and Performance Chemicals</t>
  </si>
  <si>
    <t>EBIT Breakdown</t>
  </si>
  <si>
    <t>Actual Return on Plan Assets</t>
  </si>
  <si>
    <t>Actual return on assets</t>
  </si>
  <si>
    <t>Capex as a  % of sales</t>
  </si>
  <si>
    <t>Total Pension Expense</t>
  </si>
  <si>
    <t>Less: Amortization</t>
  </si>
  <si>
    <t>Segment wise Depreciation Allocation</t>
  </si>
  <si>
    <t>Upside/Downside</t>
  </si>
  <si>
    <t>Total Funded Status</t>
  </si>
  <si>
    <t>&gt;&gt; Commodity Chemicals</t>
  </si>
  <si>
    <t>&gt; The AM segment is pursuing specific opportunities to leverage Eastman's innovation-driven growth model to create greater than end market</t>
  </si>
  <si>
    <t>3Q19 Earnings Call</t>
  </si>
  <si>
    <t>Q3 2018</t>
  </si>
  <si>
    <t>Q3 2019</t>
  </si>
  <si>
    <t>&gt;&gt; Animal Nutrition and Crop Protection - The animal nutrition business consists of organic acid-based solutions product lines. The
 crop protection business consists of metam-based soil fumigants, thiram and ziram-based fungicides, and plant growth regulator
 products.</t>
  </si>
  <si>
    <t>&gt;&gt; Specialty Fluids - In the specialty fluids product line, the Company produces
 heat transfer and aviation fluids products.</t>
  </si>
  <si>
    <t>&gt;&gt; Care Chemicals - The care chemicals business consists of amine derivative-based building
 blocks for the production of flocculants and intermediates for surfactants</t>
  </si>
  <si>
    <t>&gt;&gt; Tire Additives - The tire additives product line includes insoluble sulfur rubber additives,
 antidegradant rubber additives, and performance resins</t>
  </si>
  <si>
    <t>Segments:</t>
  </si>
  <si>
    <t>&gt; Additives and Functional Products:</t>
  </si>
  <si>
    <t>&gt; Expects earnings to moderate due to normal seasonality albeit from a lower base due to slower economy</t>
  </si>
  <si>
    <t>&gt; Customer's may have decided to stay down longer coming out of their fourth quarter shutdowns,with this risk management expects AFP EBIT in fourth quarter to be similar to last year.</t>
  </si>
  <si>
    <t>&gt; Strong growth in care chemicals, water treatment, and specialty fluids; expanding spreads; and fixed cost reduction
 actions were offset by lower coatings volumes in high value additives in auto models, currency headwinds, and lower
 animal nutrition demand due to China swine fever.</t>
  </si>
  <si>
    <t>&gt; Management expects to continue to benefit from strong
growth in some of the more premium product lines, which will help to offset the general weakness in some of our end
markets such as transportation.</t>
  </si>
  <si>
    <t>&gt; Fourth quarter
 EBIT will be up significantly year-over-year. Expects Advanced Materials EBIT to grow in
 the low single-digits for the full year of 2019.</t>
  </si>
  <si>
    <t>media, primarily cigarette filters; Estron™ natural (undyed), Chromspun™ solution-dyed acetate yarns, Naia™ cellulosic fibers and yarn
 for use in apparel,</t>
  </si>
  <si>
    <t>&gt; Chemical intermediates</t>
  </si>
  <si>
    <t>&gt; Advanced Material</t>
  </si>
  <si>
    <t>&gt; Management expects customer inventory management at year end potentially beyond the normal seasonality could put pressure on volumes and capacity utilization rates.</t>
  </si>
  <si>
    <t>&gt; Fibers</t>
  </si>
  <si>
    <t>&gt;  Management Expects earnings to be consistent with the run rate of the last two quarters as they've made good progress stabilizing results in this business.</t>
  </si>
  <si>
    <t>&gt; Remains confident that they are on track with textiles initiatives.</t>
  </si>
  <si>
    <t>~ $215 mn</t>
  </si>
  <si>
    <t>Adjusted Income tax rate, similar to 2019</t>
  </si>
  <si>
    <t>$1.0-1.1 bn</t>
  </si>
  <si>
    <t>$450 mn - $475 mn</t>
  </si>
  <si>
    <t>$560 mn</t>
  </si>
  <si>
    <t>Debt Reduced</t>
  </si>
  <si>
    <t>&gt;$400 mn</t>
  </si>
  <si>
    <t>-10FQ</t>
  </si>
  <si>
    <t>-11FQ</t>
  </si>
  <si>
    <t>T12M_AS_REPORTED_ADJUSTED_EBITDA</t>
  </si>
  <si>
    <t>best_CUR_ev_to_ebitda</t>
  </si>
  <si>
    <t>BEST_EBITDA</t>
  </si>
  <si>
    <t>$7.20 - $7.60</t>
  </si>
  <si>
    <t xml:space="preserve"> 15-16%</t>
  </si>
  <si>
    <t>Valuation Ratios:</t>
  </si>
  <si>
    <t>Current Share price</t>
  </si>
  <si>
    <t>EV/Sales</t>
  </si>
  <si>
    <t>Q4 2018</t>
  </si>
  <si>
    <t>Q4 2019</t>
  </si>
  <si>
    <t>Model (at intrinsic value)</t>
  </si>
  <si>
    <t>Model (at current value)</t>
  </si>
  <si>
    <t>Kept low as reimbursements are not accounted for</t>
  </si>
  <si>
    <t>Capex as a % of sales</t>
  </si>
  <si>
    <t>Dividend per Share</t>
  </si>
  <si>
    <t>Loss on divested business (held for sale until Q4 2021) and related transaction costs</t>
  </si>
  <si>
    <t>Loss on business held for sale</t>
  </si>
  <si>
    <t>Asset held for sale</t>
  </si>
  <si>
    <t>Liabilities held for sale</t>
  </si>
  <si>
    <t>Accelerated depreciation</t>
  </si>
  <si>
    <t>Steam line incident costs, net of insurance proceeds</t>
  </si>
  <si>
    <t>3.6% notes due August 2022</t>
  </si>
  <si>
    <t>1.50% notes due May 2023</t>
  </si>
  <si>
    <t>7 1/4% debentures due January 2024</t>
  </si>
  <si>
    <t>7 5/8% debentures due June 2024</t>
  </si>
  <si>
    <t>3.8% notes due March 2025</t>
  </si>
  <si>
    <t>1.875% notes due November 2026</t>
  </si>
  <si>
    <t>7.60% debentures due February 2027</t>
  </si>
  <si>
    <t>4.5% notes due December 2028</t>
  </si>
  <si>
    <t>4.8% notes due September 2042</t>
  </si>
  <si>
    <t>4.65% notes due October 2044</t>
  </si>
  <si>
    <t xml:space="preserve">Animal Nutrition </t>
  </si>
  <si>
    <t>Care Chemicals and Crop Protection</t>
  </si>
  <si>
    <t>2019 change</t>
  </si>
  <si>
    <t>pure monomer resins, polyolefin polymers, rosins and dispersions, and oleochemical and fatty-acid based resins product lines ("adhesives resins"), of its AFP segment for $1</t>
  </si>
  <si>
    <t>subject to working capital and other adjustments at closing. The business being sold will not be reported as a discontinued operation because the sale will not have a major effect</t>
  </si>
  <si>
    <t>on the Company's operations and financial results.</t>
  </si>
  <si>
    <t>On November 1, 2021, the Company and certain of its subsidiaries completed the sale of its rubber additives (including Crystex™ insoluble sulfur and</t>
  </si>
  <si>
    <t>Santoflex™ antidegradants) and other product lines and related assets and technology of the global tire additives business ("rubber additives") of its Additives</t>
  </si>
  <si>
    <t>&amp; Functional Products ("AFP") segment.</t>
  </si>
  <si>
    <t>1 Yr Forward Multiples</t>
  </si>
  <si>
    <t>Forward EBITDA</t>
  </si>
  <si>
    <t>NTM</t>
  </si>
  <si>
    <t>Metric</t>
  </si>
  <si>
    <t>TR.EVtoEBITDAMean</t>
  </si>
  <si>
    <t>DOW</t>
  </si>
  <si>
    <t>LYB</t>
  </si>
  <si>
    <t>US Based</t>
  </si>
  <si>
    <t>Pull Date</t>
  </si>
  <si>
    <t>Lower</t>
  </si>
  <si>
    <t>Upper</t>
  </si>
  <si>
    <t>-1 S.Dev</t>
  </si>
  <si>
    <t>+1 S.Dev</t>
  </si>
  <si>
    <t>(All Values in $ millions, except per share data)</t>
  </si>
  <si>
    <t>FY2023</t>
  </si>
  <si>
    <t>FY2024</t>
  </si>
  <si>
    <t>FY2025</t>
  </si>
  <si>
    <t>FY2026</t>
  </si>
  <si>
    <t>Reuters12 Formulas</t>
  </si>
  <si>
    <t>Var ($)</t>
  </si>
  <si>
    <t>Var (%)</t>
  </si>
  <si>
    <t>TR.RevenueMean</t>
  </si>
  <si>
    <t>TR.EBITDAMean</t>
  </si>
  <si>
    <t>TR.EBITMean</t>
  </si>
  <si>
    <t>TR.NetProfitMean</t>
  </si>
  <si>
    <t>TR.EPSMean</t>
  </si>
  <si>
    <t>TR.FCFMean</t>
  </si>
  <si>
    <t>TR.CapexMean</t>
  </si>
  <si>
    <t>TR.RevenueMedian</t>
  </si>
  <si>
    <t>TR.EBITDAMedian</t>
  </si>
  <si>
    <t>TR.EBITMedian</t>
  </si>
  <si>
    <t>TR.NetProfitMedian</t>
  </si>
  <si>
    <t>TR.EPSMedian</t>
  </si>
  <si>
    <t>TR.FCFMedian</t>
  </si>
  <si>
    <t>TR.CapexMedian</t>
  </si>
  <si>
    <t>Smart Estimates</t>
  </si>
  <si>
    <t>TR.RevenueSmartEst</t>
  </si>
  <si>
    <t>TR.EBITDASmartEst</t>
  </si>
  <si>
    <t>TR.EBITSmartEst</t>
  </si>
  <si>
    <t>TR.NetProfitSmartEst</t>
  </si>
  <si>
    <t>TR.EPSSmartEst</t>
  </si>
  <si>
    <t>TR.FCFSmartEst</t>
  </si>
  <si>
    <t>TR.CapexSmartEst</t>
  </si>
  <si>
    <t>CE.N</t>
  </si>
  <si>
    <t>HUN.N</t>
  </si>
  <si>
    <t>EVKn.DE</t>
  </si>
  <si>
    <t>BASFn.DE</t>
  </si>
  <si>
    <t>DuPont de Nemours Inc</t>
  </si>
  <si>
    <t>BS</t>
  </si>
  <si>
    <t>CF</t>
  </si>
  <si>
    <t>Environmental and other costs</t>
  </si>
  <si>
    <t>Mark-to-market pension and other postretirement benefits (gain), net</t>
  </si>
  <si>
    <t>Term Loan</t>
  </si>
  <si>
    <t>Terminal Year + 1 EBITDA</t>
  </si>
  <si>
    <t>Probability</t>
  </si>
  <si>
    <t>Base</t>
  </si>
  <si>
    <t>Total Debt incl. Finance leases</t>
  </si>
  <si>
    <t>Add: Underfunded Pension</t>
  </si>
  <si>
    <t>Add: Non controlling interest</t>
  </si>
  <si>
    <t xml:space="preserve">Less: Cash &amp; equivalents </t>
  </si>
  <si>
    <t>Total adjustment to EV</t>
  </si>
  <si>
    <t>Add: Net Environmental Remediation</t>
  </si>
  <si>
    <t>Add: Non-Environmental Asset Retirement Obligations</t>
  </si>
  <si>
    <t>Kd Thomson Pull</t>
  </si>
  <si>
    <t>Thomson</t>
  </si>
  <si>
    <t>Stock Price</t>
  </si>
  <si>
    <t>Market</t>
  </si>
  <si>
    <t>Enterprise</t>
  </si>
  <si>
    <t>5 Year</t>
  </si>
  <si>
    <t>BV</t>
  </si>
  <si>
    <t>Unlevered</t>
  </si>
  <si>
    <t>Dates</t>
  </si>
  <si>
    <t>Revenue FY</t>
  </si>
  <si>
    <t>Revenue CY</t>
  </si>
  <si>
    <t>Gross Profit FY</t>
  </si>
  <si>
    <t>Gross Profit CY</t>
  </si>
  <si>
    <t>EBITDA FY</t>
  </si>
  <si>
    <t>EBITDA CY</t>
  </si>
  <si>
    <t>ROIC</t>
  </si>
  <si>
    <t>EV/Revenue FY</t>
  </si>
  <si>
    <t>EV/Revenue CY</t>
  </si>
  <si>
    <t>EV/Gross Profit FY</t>
  </si>
  <si>
    <t>EV/Gross Profit CY</t>
  </si>
  <si>
    <t>EV/EBITDA FY</t>
  </si>
  <si>
    <t>EV/EBITDA CY</t>
  </si>
  <si>
    <t>EV/EBIT FY</t>
  </si>
  <si>
    <t>EV/EBIT CY</t>
  </si>
  <si>
    <t>PE FY</t>
  </si>
  <si>
    <t>PE CY</t>
  </si>
  <si>
    <t>Gross Margin FY</t>
  </si>
  <si>
    <t>Gross Margin CY</t>
  </si>
  <si>
    <t>EBITDA Margin FY</t>
  </si>
  <si>
    <t>EBITDA Margin CY</t>
  </si>
  <si>
    <t>Net Income Margin FY</t>
  </si>
  <si>
    <t>Net Income Margin CY</t>
  </si>
  <si>
    <t>Revenue Growth Rate</t>
  </si>
  <si>
    <t>Gross Profit Growth Rate</t>
  </si>
  <si>
    <t>EBITDA Growth Rate</t>
  </si>
  <si>
    <t>EBIT Growth Rate</t>
  </si>
  <si>
    <t>Diuted EPS Growth Rate</t>
  </si>
  <si>
    <t>Cap</t>
  </si>
  <si>
    <t>Value</t>
  </si>
  <si>
    <t>FY Ending</t>
  </si>
  <si>
    <t>FY2018</t>
  </si>
  <si>
    <t>FY2019</t>
  </si>
  <si>
    <t>FY2020</t>
  </si>
  <si>
    <t>FY2021</t>
  </si>
  <si>
    <t>FY2022</t>
  </si>
  <si>
    <t>CY-3</t>
  </si>
  <si>
    <t>CY-2</t>
  </si>
  <si>
    <t>CY-1</t>
  </si>
  <si>
    <t>CY0</t>
  </si>
  <si>
    <t>CY1</t>
  </si>
  <si>
    <t>CY2</t>
  </si>
  <si>
    <t>CY3</t>
  </si>
  <si>
    <t>10-Yr CAGR</t>
  </si>
  <si>
    <t>5-Yr CAGR</t>
  </si>
  <si>
    <t>3-Yr CAGR</t>
  </si>
  <si>
    <t>2-Yr CAGR</t>
  </si>
  <si>
    <t>FY</t>
  </si>
  <si>
    <t>CY 0-2 CAGR</t>
  </si>
  <si>
    <t>FY 0-2 CAGR</t>
  </si>
  <si>
    <t>Business Description</t>
  </si>
  <si>
    <t>Medical Equipment</t>
  </si>
  <si>
    <t>ABC</t>
  </si>
  <si>
    <t>Stock RIC</t>
  </si>
  <si>
    <t>StarMine Weighted Average Cost of Capital (WACC) Model</t>
  </si>
  <si>
    <t>Identifier / Expression</t>
  </si>
  <si>
    <t>Recalculated</t>
  </si>
  <si>
    <t>TR.WACC</t>
  </si>
  <si>
    <r>
      <t>WACC = K</t>
    </r>
    <r>
      <rPr>
        <vertAlign val="subscript"/>
        <sz val="8"/>
        <color indexed="8"/>
        <rFont val="Calibri"/>
        <family val="2"/>
        <scheme val="minor"/>
      </rPr>
      <t>E</t>
    </r>
    <r>
      <rPr>
        <sz val="8"/>
        <color indexed="8"/>
        <rFont val="Calibri"/>
        <family val="2"/>
        <scheme val="minor"/>
      </rPr>
      <t xml:space="preserve"> . W</t>
    </r>
    <r>
      <rPr>
        <vertAlign val="subscript"/>
        <sz val="8"/>
        <color indexed="8"/>
        <rFont val="Calibri"/>
        <family val="2"/>
        <scheme val="minor"/>
      </rPr>
      <t>E</t>
    </r>
    <r>
      <rPr>
        <sz val="8"/>
        <color indexed="8"/>
        <rFont val="Calibri"/>
        <family val="2"/>
        <scheme val="minor"/>
      </rPr>
      <t xml:space="preserve"> +  K</t>
    </r>
    <r>
      <rPr>
        <vertAlign val="subscript"/>
        <sz val="8"/>
        <color indexed="8"/>
        <rFont val="Calibri"/>
        <family val="2"/>
        <scheme val="minor"/>
      </rPr>
      <t>D</t>
    </r>
    <r>
      <rPr>
        <sz val="8"/>
        <color indexed="8"/>
        <rFont val="Calibri"/>
        <family val="2"/>
        <scheme val="minor"/>
      </rPr>
      <t xml:space="preserve"> . W</t>
    </r>
    <r>
      <rPr>
        <vertAlign val="subscript"/>
        <sz val="8"/>
        <color indexed="8"/>
        <rFont val="Calibri"/>
        <family val="2"/>
        <scheme val="minor"/>
      </rPr>
      <t>D</t>
    </r>
    <r>
      <rPr>
        <sz val="8"/>
        <color indexed="8"/>
        <rFont val="Calibri"/>
        <family val="2"/>
        <scheme val="minor"/>
      </rPr>
      <t xml:space="preserve"> +  K</t>
    </r>
    <r>
      <rPr>
        <vertAlign val="subscript"/>
        <sz val="8"/>
        <color indexed="8"/>
        <rFont val="Calibri"/>
        <family val="2"/>
        <scheme val="minor"/>
      </rPr>
      <t>P</t>
    </r>
    <r>
      <rPr>
        <sz val="8"/>
        <color indexed="8"/>
        <rFont val="Calibri"/>
        <family val="2"/>
        <scheme val="minor"/>
      </rPr>
      <t xml:space="preserve"> . W</t>
    </r>
    <r>
      <rPr>
        <vertAlign val="subscript"/>
        <sz val="8"/>
        <color indexed="8"/>
        <rFont val="Calibri"/>
        <family val="2"/>
        <scheme val="minor"/>
      </rPr>
      <t>P</t>
    </r>
  </si>
  <si>
    <t>TR.WACCCostofDebt</t>
  </si>
  <si>
    <t>WACC Cost of Debt, (%)</t>
  </si>
  <si>
    <r>
      <t>K</t>
    </r>
    <r>
      <rPr>
        <vertAlign val="subscript"/>
        <sz val="8"/>
        <color indexed="8"/>
        <rFont val="Calibri"/>
        <family val="2"/>
        <scheme val="minor"/>
      </rPr>
      <t>D</t>
    </r>
    <r>
      <rPr>
        <sz val="8"/>
        <color indexed="8"/>
        <rFont val="Calibri"/>
        <family val="2"/>
        <scheme val="minor"/>
      </rPr>
      <t xml:space="preserve"> = (K</t>
    </r>
    <r>
      <rPr>
        <vertAlign val="subscript"/>
        <sz val="8"/>
        <color indexed="8"/>
        <rFont val="Calibri"/>
        <family val="2"/>
        <scheme val="minor"/>
      </rPr>
      <t>D_SHORT</t>
    </r>
    <r>
      <rPr>
        <sz val="8"/>
        <color indexed="8"/>
        <rFont val="Calibri"/>
        <family val="2"/>
        <scheme val="minor"/>
      </rPr>
      <t xml:space="preserve"> . W</t>
    </r>
    <r>
      <rPr>
        <vertAlign val="subscript"/>
        <sz val="8"/>
        <color indexed="8"/>
        <rFont val="Calibri"/>
        <family val="2"/>
        <scheme val="minor"/>
      </rPr>
      <t>D_SHORT</t>
    </r>
    <r>
      <rPr>
        <sz val="8"/>
        <color indexed="8"/>
        <rFont val="Calibri"/>
        <family val="2"/>
        <scheme val="minor"/>
      </rPr>
      <t xml:space="preserve"> + K</t>
    </r>
    <r>
      <rPr>
        <vertAlign val="subscript"/>
        <sz val="8"/>
        <color indexed="8"/>
        <rFont val="Calibri"/>
        <family val="2"/>
        <scheme val="minor"/>
      </rPr>
      <t>D_LONG</t>
    </r>
    <r>
      <rPr>
        <sz val="8"/>
        <color indexed="8"/>
        <rFont val="Calibri"/>
        <family val="2"/>
        <scheme val="minor"/>
      </rPr>
      <t xml:space="preserve"> . W</t>
    </r>
    <r>
      <rPr>
        <vertAlign val="subscript"/>
        <sz val="8"/>
        <color indexed="8"/>
        <rFont val="Calibri"/>
        <family val="2"/>
        <scheme val="minor"/>
      </rPr>
      <t>D_LONG</t>
    </r>
    <r>
      <rPr>
        <sz val="8"/>
        <color indexed="8"/>
        <rFont val="Calibri"/>
        <family val="2"/>
        <scheme val="minor"/>
      </rPr>
      <t>) . (1 - tax)</t>
    </r>
  </si>
  <si>
    <t>TR.WACCCostofEquity</t>
  </si>
  <si>
    <t>WACC Cost of Equity, (%)</t>
  </si>
  <si>
    <r>
      <t>K</t>
    </r>
    <r>
      <rPr>
        <vertAlign val="subscript"/>
        <sz val="8"/>
        <color indexed="8"/>
        <rFont val="Calibri"/>
        <family val="2"/>
        <scheme val="minor"/>
      </rPr>
      <t xml:space="preserve">E </t>
    </r>
    <r>
      <rPr>
        <sz val="8"/>
        <color indexed="8"/>
        <rFont val="Calibri"/>
        <family val="2"/>
        <scheme val="minor"/>
      </rPr>
      <t>= R</t>
    </r>
    <r>
      <rPr>
        <vertAlign val="subscript"/>
        <sz val="8"/>
        <color indexed="8"/>
        <rFont val="Calibri"/>
        <family val="2"/>
        <scheme val="minor"/>
      </rPr>
      <t>f</t>
    </r>
    <r>
      <rPr>
        <sz val="8"/>
        <color indexed="8"/>
        <rFont val="Calibri"/>
        <family val="2"/>
        <scheme val="minor"/>
      </rPr>
      <t xml:space="preserve"> + β . ERP</t>
    </r>
  </si>
  <si>
    <t>TR.WACCCostofPreferred</t>
  </si>
  <si>
    <t>WACC Cost of Preferred, (%)</t>
  </si>
  <si>
    <r>
      <t>K</t>
    </r>
    <r>
      <rPr>
        <vertAlign val="subscript"/>
        <sz val="8"/>
        <color indexed="8"/>
        <rFont val="Calibri"/>
        <family val="2"/>
        <scheme val="minor"/>
      </rPr>
      <t>P</t>
    </r>
  </si>
  <si>
    <t>TR.WACCERP</t>
  </si>
  <si>
    <t>WACC Equity Risk Premium, (%)</t>
  </si>
  <si>
    <t>TR.WACCInflationAdjRiskFreeRate</t>
  </si>
  <si>
    <t>WACC Inflation Adjusted Risk Free Rate, (%)</t>
  </si>
  <si>
    <r>
      <t>R</t>
    </r>
    <r>
      <rPr>
        <vertAlign val="subscript"/>
        <sz val="8"/>
        <color indexed="8"/>
        <rFont val="Calibri"/>
        <family val="2"/>
        <scheme val="minor"/>
      </rPr>
      <t>f</t>
    </r>
    <r>
      <rPr>
        <sz val="11"/>
        <color theme="1"/>
        <rFont val="Calibri"/>
        <family val="2"/>
      </rPr>
      <t/>
    </r>
  </si>
  <si>
    <t>TR.WACCDebtWeight</t>
  </si>
  <si>
    <t>WACC Debt Weight, (%)</t>
  </si>
  <si>
    <r>
      <t>W</t>
    </r>
    <r>
      <rPr>
        <vertAlign val="subscript"/>
        <sz val="8"/>
        <color indexed="8"/>
        <rFont val="Calibri"/>
        <family val="2"/>
        <scheme val="minor"/>
      </rPr>
      <t>D</t>
    </r>
  </si>
  <si>
    <t>TR.WACCEquityWeight</t>
  </si>
  <si>
    <t>WACC Equity Weight, (%)</t>
  </si>
  <si>
    <r>
      <t>W</t>
    </r>
    <r>
      <rPr>
        <vertAlign val="subscript"/>
        <sz val="8"/>
        <color indexed="8"/>
        <rFont val="Calibri"/>
        <family val="2"/>
        <scheme val="minor"/>
      </rPr>
      <t>E</t>
    </r>
  </si>
  <si>
    <t>TR.WACCPreferredWeight</t>
  </si>
  <si>
    <t>WACC Preferred Weight, (%)</t>
  </si>
  <si>
    <r>
      <t>W</t>
    </r>
    <r>
      <rPr>
        <vertAlign val="subscript"/>
        <sz val="8"/>
        <color indexed="8"/>
        <rFont val="Calibri"/>
        <family val="2"/>
        <scheme val="minor"/>
      </rPr>
      <t>P</t>
    </r>
  </si>
  <si>
    <t>TR.WACCTaxRate</t>
  </si>
  <si>
    <t>WACC Tax Rate, (%)</t>
  </si>
  <si>
    <t>tax</t>
  </si>
  <si>
    <t>TR.WACCShortTermDebtCost</t>
  </si>
  <si>
    <t>WACC Short Term Debt Cost, (%)</t>
  </si>
  <si>
    <r>
      <t>K</t>
    </r>
    <r>
      <rPr>
        <vertAlign val="subscript"/>
        <sz val="8"/>
        <color indexed="8"/>
        <rFont val="Calibri"/>
        <family val="2"/>
        <scheme val="minor"/>
      </rPr>
      <t>D_SHORT</t>
    </r>
  </si>
  <si>
    <t>TR.WACCLongTermDebtCost</t>
  </si>
  <si>
    <t>WACC Long Term Debt Cost, (%)</t>
  </si>
  <si>
    <r>
      <t>K</t>
    </r>
    <r>
      <rPr>
        <vertAlign val="subscript"/>
        <sz val="8"/>
        <color indexed="8"/>
        <rFont val="Calibri"/>
        <family val="2"/>
        <scheme val="minor"/>
      </rPr>
      <t>D_LONG</t>
    </r>
  </si>
  <si>
    <t>TR.WACCBeta</t>
  </si>
  <si>
    <t>β</t>
  </si>
  <si>
    <t>TR.WACCCompanyTaxRateMedian</t>
  </si>
  <si>
    <t>WACC Company Tax Rate Median, (%)</t>
  </si>
  <si>
    <r>
      <t>tax</t>
    </r>
    <r>
      <rPr>
        <vertAlign val="subscript"/>
        <sz val="8"/>
        <color indexed="8"/>
        <rFont val="Calibri"/>
        <family val="2"/>
        <scheme val="minor"/>
      </rPr>
      <t>COMPANY_MEDIAN</t>
    </r>
  </si>
  <si>
    <t>Implied Weight of Short Term Debt (%)</t>
  </si>
  <si>
    <r>
      <t>W</t>
    </r>
    <r>
      <rPr>
        <vertAlign val="subscript"/>
        <sz val="8"/>
        <color indexed="8"/>
        <rFont val="Calibri"/>
        <family val="2"/>
        <scheme val="minor"/>
      </rPr>
      <t>D_SHORT</t>
    </r>
  </si>
  <si>
    <t>Implied Weight of Long Term Debt (%)</t>
  </si>
  <si>
    <r>
      <t>W</t>
    </r>
    <r>
      <rPr>
        <vertAlign val="subscript"/>
        <sz val="8"/>
        <color indexed="8"/>
        <rFont val="Calibri"/>
        <family val="2"/>
        <scheme val="minor"/>
      </rPr>
      <t>D_LONG</t>
    </r>
  </si>
  <si>
    <t>Unstable Tax Rate Adjustment Applied</t>
  </si>
  <si>
    <t>StarMine Equity Risk Premium (ERP) Model</t>
  </si>
  <si>
    <t>TR.HQAddressCountryISO</t>
  </si>
  <si>
    <t>US</t>
  </si>
  <si>
    <t>Country ERP RIC</t>
  </si>
  <si>
    <t>Index</t>
  </si>
  <si>
    <t>ERP</t>
  </si>
  <si>
    <t>ERP (ERP Model)</t>
  </si>
  <si>
    <t>Expected Market Return</t>
  </si>
  <si>
    <r>
      <t>EMR = E</t>
    </r>
    <r>
      <rPr>
        <vertAlign val="subscript"/>
        <sz val="8"/>
        <color indexed="8"/>
        <rFont val="Calibri"/>
        <family val="2"/>
        <scheme val="minor"/>
      </rPr>
      <t>FY1</t>
    </r>
    <r>
      <rPr>
        <sz val="8"/>
        <color indexed="8"/>
        <rFont val="Calibri"/>
        <family val="2"/>
        <scheme val="minor"/>
      </rPr>
      <t xml:space="preserve"> . DPR + GDP</t>
    </r>
    <r>
      <rPr>
        <vertAlign val="subscript"/>
        <sz val="8"/>
        <color indexed="8"/>
        <rFont val="Calibri"/>
        <family val="2"/>
        <scheme val="minor"/>
      </rPr>
      <t>FY10</t>
    </r>
  </si>
  <si>
    <t>Inflation Adjusted Risk Free Rate</t>
  </si>
  <si>
    <r>
      <t>R</t>
    </r>
    <r>
      <rPr>
        <vertAlign val="subscript"/>
        <sz val="8"/>
        <color indexed="8"/>
        <rFont val="Calibri"/>
        <family val="2"/>
        <scheme val="minor"/>
      </rPr>
      <t>f</t>
    </r>
    <r>
      <rPr>
        <sz val="8"/>
        <color indexed="8"/>
        <rFont val="Calibri"/>
        <family val="2"/>
        <scheme val="minor"/>
      </rPr>
      <t xml:space="preserve"> = I</t>
    </r>
    <r>
      <rPr>
        <vertAlign val="subscript"/>
        <sz val="8"/>
        <color indexed="8"/>
        <rFont val="Calibri"/>
        <family val="2"/>
        <scheme val="minor"/>
      </rPr>
      <t>FY10</t>
    </r>
    <r>
      <rPr>
        <sz val="8"/>
        <color indexed="8"/>
        <rFont val="Calibri"/>
        <family val="2"/>
        <scheme val="minor"/>
      </rPr>
      <t xml:space="preserve"> + USY</t>
    </r>
    <r>
      <rPr>
        <vertAlign val="subscript"/>
        <sz val="8"/>
        <color indexed="8"/>
        <rFont val="Calibri"/>
        <family val="2"/>
        <scheme val="minor"/>
      </rPr>
      <t>FY10</t>
    </r>
    <r>
      <rPr>
        <sz val="8"/>
        <color indexed="8"/>
        <rFont val="Calibri"/>
        <family val="2"/>
        <scheme val="minor"/>
      </rPr>
      <t xml:space="preserve"> - USI</t>
    </r>
    <r>
      <rPr>
        <vertAlign val="subscript"/>
        <sz val="8"/>
        <color indexed="8"/>
        <rFont val="Calibri"/>
        <family val="2"/>
        <scheme val="minor"/>
      </rPr>
      <t>FY10</t>
    </r>
  </si>
  <si>
    <t>Implied Dividend Payout Ratio</t>
  </si>
  <si>
    <r>
      <t>DPR = MAX((ROE</t>
    </r>
    <r>
      <rPr>
        <vertAlign val="subscript"/>
        <sz val="8"/>
        <color indexed="8"/>
        <rFont val="Calibri"/>
        <family val="2"/>
        <scheme val="minor"/>
      </rPr>
      <t>FY1</t>
    </r>
    <r>
      <rPr>
        <sz val="8"/>
        <color indexed="8"/>
        <rFont val="Calibri"/>
        <family val="2"/>
        <scheme val="minor"/>
      </rPr>
      <t xml:space="preserve"> - GDP</t>
    </r>
    <r>
      <rPr>
        <vertAlign val="subscript"/>
        <sz val="8"/>
        <color indexed="8"/>
        <rFont val="Calibri"/>
        <family val="2"/>
        <scheme val="minor"/>
      </rPr>
      <t>FY10</t>
    </r>
    <r>
      <rPr>
        <sz val="8"/>
        <color indexed="8"/>
        <rFont val="Calibri"/>
        <family val="2"/>
        <scheme val="minor"/>
      </rPr>
      <t>) / ROE</t>
    </r>
    <r>
      <rPr>
        <vertAlign val="subscript"/>
        <sz val="8"/>
        <color indexed="8"/>
        <rFont val="Calibri"/>
        <family val="2"/>
        <scheme val="minor"/>
      </rPr>
      <t>FY1</t>
    </r>
    <r>
      <rPr>
        <sz val="8"/>
        <color indexed="8"/>
        <rFont val="Calibri"/>
        <family val="2"/>
        <scheme val="minor"/>
      </rPr>
      <t>) x 100, 0)</t>
    </r>
  </si>
  <si>
    <t>FY1 Earnings Yield</t>
  </si>
  <si>
    <r>
      <t>E</t>
    </r>
    <r>
      <rPr>
        <vertAlign val="subscript"/>
        <sz val="8"/>
        <color indexed="8"/>
        <rFont val="Calibri"/>
        <family val="2"/>
        <scheme val="minor"/>
      </rPr>
      <t>FY1</t>
    </r>
  </si>
  <si>
    <t>FY1 Return on Equity</t>
  </si>
  <si>
    <r>
      <t>ROE</t>
    </r>
    <r>
      <rPr>
        <vertAlign val="subscript"/>
        <sz val="8"/>
        <color indexed="8"/>
        <rFont val="Calibri"/>
        <family val="2"/>
        <scheme val="minor"/>
      </rPr>
      <t>FY1</t>
    </r>
  </si>
  <si>
    <t>FY10 Forecast GDP Growth</t>
  </si>
  <si>
    <r>
      <t>GDP</t>
    </r>
    <r>
      <rPr>
        <vertAlign val="subscript"/>
        <sz val="8"/>
        <color indexed="8"/>
        <rFont val="Calibri"/>
        <family val="2"/>
        <scheme val="minor"/>
      </rPr>
      <t>FY10</t>
    </r>
  </si>
  <si>
    <t>FY10 Forecast Inflation</t>
  </si>
  <si>
    <r>
      <t>I</t>
    </r>
    <r>
      <rPr>
        <vertAlign val="subscript"/>
        <sz val="8"/>
        <color indexed="8"/>
        <rFont val="Calibri"/>
        <family val="2"/>
        <scheme val="minor"/>
      </rPr>
      <t>FY10</t>
    </r>
  </si>
  <si>
    <t>10 Year US Treasury Yield</t>
  </si>
  <si>
    <r>
      <t>USY</t>
    </r>
    <r>
      <rPr>
        <vertAlign val="subscript"/>
        <sz val="8"/>
        <color indexed="8"/>
        <rFont val="Calibri"/>
        <family val="2"/>
        <scheme val="minor"/>
      </rPr>
      <t>FY10</t>
    </r>
  </si>
  <si>
    <t>10 Year US Inflation Forecast</t>
  </si>
  <si>
    <r>
      <t>USI</t>
    </r>
    <r>
      <rPr>
        <vertAlign val="subscript"/>
        <sz val="8"/>
        <color indexed="8"/>
        <rFont val="Calibri"/>
        <family val="2"/>
        <scheme val="minor"/>
      </rPr>
      <t>FY10</t>
    </r>
  </si>
  <si>
    <t>Forward EV Revenue</t>
  </si>
  <si>
    <t>TR.EVtoRevenueMean</t>
  </si>
  <si>
    <t>Forward PE</t>
  </si>
  <si>
    <t>TR.FWDPE</t>
  </si>
  <si>
    <t>PolyOne Corp</t>
  </si>
  <si>
    <t>Olin Corp</t>
  </si>
  <si>
    <t>LyondellBasell Industries NV</t>
  </si>
  <si>
    <t>Westlake Chemical Corp</t>
  </si>
  <si>
    <t>Kraton Corp</t>
  </si>
  <si>
    <t>Dow Inc</t>
  </si>
  <si>
    <t>Eastman Chemical Co</t>
  </si>
  <si>
    <t>Celanese Corp</t>
  </si>
  <si>
    <t>BASF SE</t>
  </si>
  <si>
    <t>DD</t>
  </si>
  <si>
    <t>AVNT.K</t>
  </si>
  <si>
    <t>OLN</t>
  </si>
  <si>
    <t>WLK</t>
  </si>
  <si>
    <t>Eastman Chemical Company (Eastman) is a global specialty materials company that produces a range of products. Eastman's segments include Advanced Materials (AM), Additives &amp; Functional Products (AFP), Chemical Intermediates (CI), and Fibers. The AM segment produces and markets polymers, films, and plastics with differentiated performance properties for value-added end-uses in transportation; durables and electronics; building and construction; medical and pharma; and consumables markets. The AFP segment manufactures materials for products in the transportation; personal care and wellness; food, feed, and agriculture; building and construction; water treatment and energy; consumables; and durables and electronics markets. The CI segment sells and markets industrial chemicals and processing, building and construction, health and wellness, and agrochemicals. The Fibers segment manufactures and sells acetate tow and triacetin plasticizers for use in filtration media.</t>
  </si>
  <si>
    <t>Celanese Corporation is a global chemical and specialty materials company. The Company is a producer of engineered polymers that are used in a variety of applications. Its segments include Engineered Materials and Acetyl Chain. The Engineered Materials segment develops, produces and supplies a range of specialty polymers for automotive and medical applications, as well as industrial products and consumer electronics. This segment also supplies acesulfame potassium for the food and beverage industry and a producer of food protection ingredients, such as potassium sorbate and sorbic acid. The Acetyl Chain segment includes the integrated chain of intermediate chemistry, emulsion polymers, ethylene vinyl acetate (EVA) polymers and redispersible powders (RDP) businesses, and acetate tow businesses. It is also engaged in the Mobility and Materials (M&amp;M) business. Its products include polyoxymethylene, ultra-high molecular weight polyethylene and long-fiber reinforced thermoplastics.</t>
  </si>
  <si>
    <t>BASF SE is a Germany-based chemical company. The Company operates through six segments, which include Chemicals, Materials, Industrial Solutions, Surface Technologies, Nutrition &amp; Care and Agricultural Solutions. The Chemicals segment consists of the Petrochemicals and Intermediates divisions. The Materials segment consists of Performance Materials and Monomers divisions. The Industrial Solutions segment consists of Dispersions &amp; Pigments and Performance Chemicals divisions. The Surface Technologies segment consists of Catalysts and Coatings divisions. The Nutrition &amp; Care segment consists of Care Chemicals and Nutrition &amp; Health divisions. The Agricultural Solutions segment consists of Agricultural Solutions division, which focuses on provision of crop protection products and seeds.</t>
  </si>
  <si>
    <t>Dow Inc. serves as a holding company for The Dow Chemical Company and its subsidiaries. The Company conducts its operations through six global businesses, which are organized into segments, such as Packaging &amp; Specialty Plastics, Industrial Intermediates &amp; Infrastructure and Performance Materials &amp; Coatings. Packaging &amp; Specialty Plastics segment consists of two integrated global businesses: Hydrocarbons &amp; Energy and Packaging and Specialty Plastics. The segment employs polyolefin product portfolio. Industrial Intermediates &amp; Infrastructure segment consists of two customer-centric global businesses, such as Industrial Solutions and Polyurethanes &amp; Construction Chemicals that develop intermediate chemicals that are essential to manufacturing processes, as well as downstream, customized materials and formulations that use advanced development technologies. Performance Materials &amp; Coatings segment consists of two global businesses: Coatings &amp; Performance Monomers and Consumer Solutions.</t>
  </si>
  <si>
    <t>DuPont de Nemours, Inc. provides technology-based materials and solutions. The Company's segments include Electronics &amp; Industrial and Water &amp; Protection. The Electronics &amp; Industrial segment is a global supplier of differentiated materials and systems for a range of consumer electronics, including mobile devices, television monitors, personal computers and electronics used in a variety of industries. The Electronics &amp; Industrial segment is a provider of materials and solutions for the fabrication and packaging of semiconductors and integrated circuits and provides solutions for thermal management and electromagnetic shielding, as well as metallization processes for the metal finishing, decorative, and industrial applications. The Water &amp; Protection segment is a provider of engineered products and integrated systems for a number of industries, including worker safety, water purification and separation, aerospace, energy, medical packaging and building materials.</t>
  </si>
  <si>
    <t>Avient Corporation provides specialized and sustainable material solutions. The Company operates through two segments: Color, Additives and Inks, and Specialty Engineered Materials. The Color, Additives and Inks segment is a formulator of specialized custom color and additive concentrates in solid and liquid form for thermoplastics, dispersions for thermosets, as well as specialty inks. The Specialty Engineered Materials segment is a formulator of specialty and sustainable polymer formulations, services and solutions for designers, assemblers and processors of thermoplastic materials across a range of markets and end-use applications. The Company has approximately 104 manufacturing sites in North America, South America, Europe, the Middle East, Asia, and Africa (EMEA). Its end markets include consumer, packaging, defense, healthcare, industrial, transportation, building and construction, telecommunications and energy.</t>
  </si>
  <si>
    <t>Olin Corporation is a manufacturer concentrated in three business segments: Chlor Alkali Products and Vinyls, Epoxy and Winchester. The Chlor Alkali products and Vinyls segment manufactures and sells chlorine and caustic soda, ethylene dichloride and vinyl chloride monomer, methyl chloride, methylene chloride, chloroform, carbon tetrachloride, perchloroethylene, hydrochloric acid, hydrogen, bleach products and potassium hydroxide. The Epoxy segment produces and sells a full range of epoxy materials and precursors, including aromatics (acetone, bisphenol, cumene and phenol), allyl chloride, epichlorohydrin, liquid epoxy resins, solid epoxy resins and systems and growth products, such as converted epoxy resins and additives. The Winchester segment produces and sells sporting ammunition, reloading components, small caliber military ammunition and components, and industrial cartridges. Its application includes water treatment, alumina, pulp and paper, and urethanes.</t>
  </si>
  <si>
    <t>Evonik Industries AG (Evonik) is a Germany-based specialty chemicals company that operates in four segments: The Nutrition and Care segment produces specialty chemicals, mainly for use in consumer goods for daily needs and food, as well as nutrition for animal food and healthcare products; the Resource Efficiency segment offers material solutions for environment-friendly and energy-efficient products used in the automotive, adhesives and construction industries, among others; the Performance Materials segment produces polymer materials and their intermediates, mainly for the rubber, plastics and agriculture sectors, and the Services segment comprises site management, utilities and waste management, as well as technical, process technology, engineering and logistics services for the chemicals segments and external customers at the Company's sites. Its majority shareholder is RAG Stiftung.</t>
  </si>
  <si>
    <t>Huntsman Corporation is a manufacturer and marketer of differentiated and specialty chemicals. The Company's segments include Polyurethanes, Performance Products, and Advanced Materials. Polyurethanes product segment includes methylene diphenyl diisocyanate, polyols, thermoplastic polyurethane and other polyurethane-related products. Performance Products segment includes Specialty amines, ethyleneamines, maleic anhydride and technology licenses. Its amines are a family of intermediate chemicals, and maleic anhydride is an intermediate chemical used primarily to produce unsaturated polyester resins. Its Advanced Materials segment includes technologically- advanced epoxy, phenoxy, acrylic, polyurethane and acrylonitrile-butadiene-based polymer formulations, and high-performance thermoset resins and curing agents and toughening agents and carbon nanotubes additives. It operates over 60 manufacturing, research and development (R&amp;D), and operations facilities in approximately 30 countries.</t>
  </si>
  <si>
    <t>Dupont De Nemours Inc</t>
  </si>
  <si>
    <t>Avient Corp</t>
  </si>
  <si>
    <t>Evonik Industries AG</t>
  </si>
  <si>
    <t>Huntsman Corp</t>
  </si>
  <si>
    <t>2023 EBITDA</t>
  </si>
  <si>
    <t>Plus: PV of Interim Cash Flows - Till 2023</t>
  </si>
  <si>
    <t>Source: 10-K 2022</t>
  </si>
  <si>
    <t>FY 2023</t>
  </si>
  <si>
    <t>FY 2024</t>
  </si>
  <si>
    <t>FY 2025</t>
  </si>
  <si>
    <t>Others</t>
  </si>
  <si>
    <t>TR.PtoFCFSmartEst</t>
  </si>
  <si>
    <t>TR.FCFActValue</t>
  </si>
  <si>
    <t>TR.CompanyMarketCapitalization</t>
  </si>
  <si>
    <t>Free Cash Value LTM</t>
  </si>
  <si>
    <t>EBIT Margin CY</t>
  </si>
  <si>
    <t>EBIT  Margin FY</t>
  </si>
  <si>
    <t>EBIT FY</t>
  </si>
  <si>
    <t>EBIT CY</t>
  </si>
  <si>
    <t>TR.ROICMean</t>
  </si>
  <si>
    <t/>
  </si>
  <si>
    <t>Invested Capital and ROIC</t>
  </si>
  <si>
    <t>Invested Capital -- Operating Method</t>
  </si>
  <si>
    <t>Operating Working Capital (incl. restricted cash)</t>
  </si>
  <si>
    <t>Net PP&amp;E</t>
  </si>
  <si>
    <t>Other Assets, net of Other Liabilities</t>
  </si>
  <si>
    <t>Operating Invested Capital</t>
  </si>
  <si>
    <t>Cash &amp; Cash Equivalent</t>
  </si>
  <si>
    <t>Goodwill and Intangible assets</t>
  </si>
  <si>
    <t>Total Invested Capital</t>
  </si>
  <si>
    <t>Invested Capital -- Financing Method</t>
  </si>
  <si>
    <t>Deferred Income taxes</t>
  </si>
  <si>
    <t xml:space="preserve">  Adjusted Equity</t>
  </si>
  <si>
    <t>Interest Bearing Debt</t>
  </si>
  <si>
    <t xml:space="preserve">  Total Invested Capital</t>
  </si>
  <si>
    <t>Reconciliation NOPLAT</t>
  </si>
  <si>
    <t>Net income</t>
  </si>
  <si>
    <t>+ Increase in Deferred Taxes</t>
  </si>
  <si>
    <t>- Other Non-Opt. Income, net of Tax</t>
  </si>
  <si>
    <t xml:space="preserve">  Adjusted Net income</t>
  </si>
  <si>
    <t>+ Net Interest Expense After Tax</t>
  </si>
  <si>
    <t xml:space="preserve">  NOPLAT</t>
  </si>
  <si>
    <t>Current</t>
  </si>
  <si>
    <t>TR.EV</t>
  </si>
  <si>
    <t>EV</t>
  </si>
  <si>
    <t>Enterpise Value</t>
  </si>
  <si>
    <t>NOPAT</t>
  </si>
  <si>
    <t>Invested Capital, ex-Goodwill</t>
  </si>
  <si>
    <t>NOPAT/EBIT</t>
  </si>
  <si>
    <t>EBIT/Revenue</t>
  </si>
  <si>
    <t>Revenue/IC, ex-Goodwill</t>
  </si>
  <si>
    <t xml:space="preserve">  Invested Capital, ex-Goodwill</t>
  </si>
  <si>
    <t>EV/NOPAT</t>
  </si>
  <si>
    <t>EV/EBIT</t>
  </si>
  <si>
    <t>EV/Revenue</t>
  </si>
  <si>
    <t>EV/IC</t>
  </si>
  <si>
    <t>BASF</t>
  </si>
  <si>
    <t>Add: Investments in Joint Ventures</t>
  </si>
  <si>
    <t>Capex as a % of segment revenue</t>
  </si>
  <si>
    <t>Product</t>
  </si>
  <si>
    <t>Capital Allocation</t>
  </si>
  <si>
    <t>FY23 Tailwinds</t>
  </si>
  <si>
    <t>FY23 Headwinds</t>
  </si>
  <si>
    <t xml:space="preserve">$200MN </t>
  </si>
  <si>
    <t>Pension</t>
  </si>
  <si>
    <t>FX</t>
  </si>
  <si>
    <t>&lt;&lt; slide 13</t>
  </si>
  <si>
    <t>End market</t>
  </si>
  <si>
    <t>exposed to consumers</t>
  </si>
  <si>
    <t>Transport</t>
  </si>
  <si>
    <t>Stable</t>
  </si>
  <si>
    <t>ROIC, ex-Goodwill</t>
  </si>
  <si>
    <t>CEL</t>
  </si>
  <si>
    <t>Interest expense</t>
  </si>
  <si>
    <t>Capital expenditure</t>
  </si>
  <si>
    <t>Tax rate</t>
  </si>
  <si>
    <t>Corporate EBIT</t>
  </si>
  <si>
    <t>Invested capital</t>
  </si>
  <si>
    <t>g</t>
  </si>
  <si>
    <t>1st US Plant</t>
  </si>
  <si>
    <t>2nd US Plant</t>
  </si>
  <si>
    <t>France Plant</t>
  </si>
  <si>
    <t>.</t>
  </si>
  <si>
    <t>Overview of the page</t>
  </si>
  <si>
    <t>Purpose of page &gt;&gt;&gt;</t>
  </si>
  <si>
    <t>Decompose TSR in constituent parts for target company and peers</t>
  </si>
  <si>
    <t>How to use &gt;&gt;&gt;</t>
  </si>
  <si>
    <t>Select ticker of target company and select widest range possible of dates in 'Summary' tab (flows in cells C14 and D14)</t>
  </si>
  <si>
    <t>Confirm checks in cells G59 and I59 are "OK"</t>
  </si>
  <si>
    <r>
      <t xml:space="preserve">Make sure that dividend in cell L17 correspond to actual dividends paid in time range selected (check on company website); if not, update manually L17 and note it + add detail of dividends below (screenshot of source) | </t>
    </r>
    <r>
      <rPr>
        <b/>
        <sz val="10"/>
        <color theme="1"/>
        <rFont val="Arial"/>
        <family val="2"/>
      </rPr>
      <t>NOTE: Dividends are on a paid basis, that is dividends that would have been cashed in by shareholders owning shares in between dates selected</t>
    </r>
  </si>
  <si>
    <t>Key outputs</t>
  </si>
  <si>
    <t>Period (from 'Summary') &gt;&gt;</t>
  </si>
  <si>
    <t>TSR Decomposition &gt;&gt;</t>
  </si>
  <si>
    <t>EBIT Margin change</t>
  </si>
  <si>
    <t>EV/EBIT change</t>
  </si>
  <si>
    <t>Dividend</t>
  </si>
  <si>
    <t>Share Count Change</t>
  </si>
  <si>
    <t>% Annualized</t>
  </si>
  <si>
    <t>Dollar Based Return &gt;&gt;</t>
  </si>
  <si>
    <t>Share Price Start</t>
  </si>
  <si>
    <t>$ / Share end (inc. Div.)</t>
  </si>
  <si>
    <t>Cash Based Accumulated</t>
  </si>
  <si>
    <t>Detail</t>
  </si>
  <si>
    <t>Contribution to TSR</t>
  </si>
  <si>
    <t>Key</t>
  </si>
  <si>
    <t>Multiplicative</t>
  </si>
  <si>
    <t>Cross-</t>
  </si>
  <si>
    <t>Additive</t>
  </si>
  <si>
    <t>Input</t>
  </si>
  <si>
    <t>Start date</t>
  </si>
  <si>
    <t>End date</t>
  </si>
  <si>
    <t># of years</t>
  </si>
  <si>
    <t>Domain</t>
  </si>
  <si>
    <t>Calculation (positive)</t>
  </si>
  <si>
    <t>Allocation</t>
  </si>
  <si>
    <t>Calculation (negative)</t>
  </si>
  <si>
    <t>Adj. EBIT</t>
  </si>
  <si>
    <t>EBIT Margin</t>
  </si>
  <si>
    <t>* TSRs need to match the dates of share prices</t>
  </si>
  <si>
    <t>Shares Outstanding</t>
  </si>
  <si>
    <t>Total Financial Claims</t>
  </si>
  <si>
    <t>Cash &amp; Equivalents</t>
  </si>
  <si>
    <t>Long Term Marketable Securities</t>
  </si>
  <si>
    <t>EV / EBIT Multiple</t>
  </si>
  <si>
    <t>Net Debt/EV</t>
  </si>
  <si>
    <t>Mkt Value Equity/EV</t>
  </si>
  <si>
    <t>Share Price Appreciation</t>
  </si>
  <si>
    <t>Compound TSR</t>
  </si>
  <si>
    <t>*</t>
  </si>
  <si>
    <t>Dividend Contribution</t>
  </si>
  <si>
    <t>Additive Total of Above</t>
  </si>
  <si>
    <t>Cross Product</t>
  </si>
  <si>
    <t>TSR check</t>
  </si>
  <si>
    <t>Note:  Cross products allocated using the "selective" allocation method.  Specifically, cross products are allocated to the margin and multiple change fields</t>
  </si>
  <si>
    <t>MMM</t>
  </si>
  <si>
    <t>ALB</t>
  </si>
  <si>
    <t>ASH</t>
  </si>
  <si>
    <t>FMC</t>
  </si>
  <si>
    <t>PPG</t>
  </si>
  <si>
    <t>SOLB.BR</t>
  </si>
  <si>
    <t>3M Co</t>
  </si>
  <si>
    <t>Albemarle Corp</t>
  </si>
  <si>
    <t>Ashland Inc</t>
  </si>
  <si>
    <t>FMC Corp</t>
  </si>
  <si>
    <t>PPG Industries Inc</t>
  </si>
  <si>
    <t>Solvay SA</t>
  </si>
  <si>
    <t>3M Company is a diversified technology company. The Company is a manufacturer and marketer of a variety of products and services. It operates through four segments: Safety and Industrial, Transportation and Electronics, Health Care, and Consumer. Its Safety and Industrial segment include abrasives, automotive aftermarket, closure and masking systems, electrical markets, personal safety, roofing granules, and industrial adhesives and tapes. Its Transportation and Electronics segment includes advanced materials, automotive and aerospace, commercial solutions, display materials and systems, electronic materials solutions, and transportation safety. Its Health Care segment includes health information systems, medical solutions, oral care, and separation and purification sciences. Its Consumer segment includes consumer health and safety, home care, home improvement, consumer bandages, braces, supports and consumer respirators, and stationery and office.</t>
  </si>
  <si>
    <t>Albemarle Corporation is a developer, manufacturer and marketer of specialty chemicals, which serves its customers across a diverse range of end markets, including energy storage, petroleum refining, consumer electronics, construction, automotive, lubricants, pharmaceuticals and crop protection. It operates through three segments. Lithium segment develops and manufactures a range of basic lithium compounds, including lithium carbonate, lithium hydroxide, lithium chloride, and value-added lithium specialties and reagents, including butyllithium and lithium aluminum hydride. Bromine segment’s business includes products used in fire safety solutions and other specialty chemicals applications. Its fire safety technology enables the use of plastics by enhancing the flame-resistant properties of these materials. Catalysts segment offers three product lines, which includes Clean Fuels Technologies, fluidized catalytic cracking catalysts and additives, and performance catalyst solutions.</t>
  </si>
  <si>
    <t>Ashland Inc. is a global additives and specialty ingredients company. It serves customers in a range of consumer and industrial markets, including architectural coatings, automotive, construction, energy, food and beverage, nutraceuticals, personal care and pharmaceuticals. Its segments include life sciences, personal care, specialty additives, and intermediates. The life sciences segment includes pharmaceuticals, nutraceuticals and nutrition, and diagnostic films and agricultural chemicals. The personal care segment skin and sun care, hair care, oral care, home care, and others. The specialty additives segment includes coatings, construction, and energy. The intermediates segment produces and supplies butanediol (BDO), Tetrahydrofuran (THF), n-methyl-pyrrolidone (NMP) and gamma-butyrolactone (GBL, BLO) in addition to other downstream products. Its products include acrylates, aquaflow, biofunctionals, cellulosics, cyclodextrins, encapsulates, emollient esters, emulsifiers, and others.</t>
  </si>
  <si>
    <t>FMC Corporation is an agricultural sciences company. The Company is engaged in providing solutions to growers with a product in crop protection, crop enhancement, and professional pest and turf management. It develops, markets, and sells all three classes of crop protection chemicals (insecticides, herbicides and fungicides) as well as biologicals, crop nutrition, and seed treatment products, which is grouped as plant health. Its insecticides are used to control a range of pests, while its herbicide portfolio primarily targets a variety of difficult-to-control weeds. Its product portfolio features two diamide-class molecules, namely Rynaxypyr (chlorantraniliprole) and Cyazypyr (cyantraniliprole) actives. Its technology portfolio includes specific innovations in plant health, application technology and delivery systems, as well as advanced agronomic insights through Arc farm intelligence, its precision agriculture platform that leverages artificial intelligence and machine learning.</t>
  </si>
  <si>
    <t>PPG Industries, Inc. manufactures and distributes a range of paints, coatings, and specialty materials. The Company operates through two segments: Performance Coatings and Industrial Coatings. The Performance Coatings segment primarily supplies a range of protective and decorative coatings, sealants and finishes along with pavement marking products, paint strippers, stains, and related chemicals, as well as transparencies and transparent armor. The Industrial Coatings segment primarily supplies a range of protective and decorative coatings and finishes along with adhesives, sealants, metal pretreatment products, optical monomers and coatings, low-friction coatings, precipitated silicas, and other specialty materials. Its Performance Coatings brands include PPG, GLIDDEN, COMEX, OLYMPIC, DULUX, SIGMA, HISTOR, SEIGNEURIE, PEINTURES GAUTHIER, and JOHNSTONE'S, among others. Its Industrial Coatings brands include PPG and TESLIN. It supplies its products to customers in an array of end-uses.</t>
  </si>
  <si>
    <t>Solvay SA is a Belgium-based international chemical and advanced materials company. Through its subsidiaries, it operates four segments: Advanced Materials, Advanced Formulations, Performance Chemicals and Corporate &amp; Business Services. Advanced Materials offers high-performance materials for multiple applications primarily in the automotive, aerospace, electronics, and health markets providing sustainable mobility solutions, reducing weight and improving CO2 and energy efficiency. Advanced Formulations serves primarily the consumer goods, agro and food, and energy markets offering customized specialty formulations that impact surface chemistry and alter liquid behavior while minimizing the environmental impact. Performance Chemicals specializes in chemical intermediates serving mainly the consumer goods and food markets. Corporate &amp; Business Services includes corporate and other business services, such as the research and innovation center, and energy services.</t>
  </si>
  <si>
    <t>TR.EVtoEBITDA</t>
  </si>
  <si>
    <t>TR.Revenue</t>
  </si>
  <si>
    <t>TR.TotalCapital</t>
  </si>
  <si>
    <t>Capital</t>
  </si>
  <si>
    <t>EV/LTM EBITDA</t>
  </si>
  <si>
    <t>EV/NTM EBITDA</t>
  </si>
  <si>
    <t>&lt;&lt;&lt; Margins declining; probe the reason</t>
  </si>
  <si>
    <t>&lt;&lt;&lt; Flat/Up</t>
  </si>
  <si>
    <t>Less: Cash taxes</t>
  </si>
  <si>
    <t>&lt;&lt;&lt; Internal cash flows</t>
  </si>
  <si>
    <t>Price/BV</t>
  </si>
  <si>
    <t>Green Bond</t>
  </si>
  <si>
    <t>NOPLAT (Top-Down)</t>
  </si>
  <si>
    <t>- Tax on EBIT</t>
  </si>
  <si>
    <t>Tax on EBIT</t>
  </si>
  <si>
    <t>Provision from IS</t>
  </si>
  <si>
    <t>+ Tax shield on net interest expense</t>
  </si>
  <si>
    <t>- Tax on non-operating income</t>
  </si>
  <si>
    <t>TR.NormalizedEBITDA</t>
  </si>
  <si>
    <t>Market Cap</t>
  </si>
  <si>
    <t>TR.CompanyMarketCap</t>
  </si>
  <si>
    <t>Cash</t>
  </si>
  <si>
    <t>TR.CashAndSTInvestments</t>
  </si>
  <si>
    <t>Payout ratio</t>
  </si>
  <si>
    <t>CCF</t>
  </si>
  <si>
    <t>VHI</t>
  </si>
  <si>
    <t>SXT</t>
  </si>
  <si>
    <t>SMG</t>
  </si>
  <si>
    <t>SHW</t>
  </si>
  <si>
    <t>SCL</t>
  </si>
  <si>
    <t>RYAM</t>
  </si>
  <si>
    <t>RPM</t>
  </si>
  <si>
    <t>PRM</t>
  </si>
  <si>
    <t>NGVT</t>
  </si>
  <si>
    <t>NEU</t>
  </si>
  <si>
    <t>MTX</t>
  </si>
  <si>
    <t>MOS</t>
  </si>
  <si>
    <t>LTHM</t>
  </si>
  <si>
    <t>KWR</t>
  </si>
  <si>
    <t>IPI</t>
  </si>
  <si>
    <t>IFF</t>
  </si>
  <si>
    <t>FUL</t>
  </si>
  <si>
    <t>FTK</t>
  </si>
  <si>
    <t>FF</t>
  </si>
  <si>
    <t>ESI</t>
  </si>
  <si>
    <t>ECVT</t>
  </si>
  <si>
    <t>ECL</t>
  </si>
  <si>
    <t>DNMR</t>
  </si>
  <si>
    <t>DNA</t>
  </si>
  <si>
    <t>CTVA</t>
  </si>
  <si>
    <t>CE</t>
  </si>
  <si>
    <t>AXTA</t>
  </si>
  <si>
    <t>AVNT</t>
  </si>
  <si>
    <t>AVD</t>
  </si>
  <si>
    <t>ASPN</t>
  </si>
  <si>
    <t>APD</t>
  </si>
  <si>
    <t>IOSP</t>
  </si>
  <si>
    <t>DSEY</t>
  </si>
  <si>
    <t>BCPC</t>
  </si>
  <si>
    <t>AMRS</t>
  </si>
  <si>
    <t>AGFS</t>
  </si>
  <si>
    <t>NTIC</t>
  </si>
  <si>
    <t>ADES</t>
  </si>
  <si>
    <t>SVFD</t>
  </si>
  <si>
    <t>ASPI</t>
  </si>
  <si>
    <t>Company TR Ticker&gt;</t>
  </si>
  <si>
    <t>TR.NormalizedEBIT</t>
  </si>
  <si>
    <t>TR.NetDebt</t>
  </si>
  <si>
    <t>TR.DivUnadjustedGross</t>
  </si>
  <si>
    <t>Unadjusted Gross Dividend</t>
  </si>
  <si>
    <t>Gross Dividend unadjusted for corporate actions.</t>
  </si>
  <si>
    <t>30/360</t>
  </si>
  <si>
    <t>Dividend Ex Date</t>
  </si>
  <si>
    <t>ED</t>
  </si>
  <si>
    <t>TR.DivExDate</t>
  </si>
  <si>
    <t>TR.DivUnadjustedNet</t>
  </si>
  <si>
    <t>Unadjusted Net Dividend</t>
  </si>
  <si>
    <t>Net Dividend unadjusted for corporate actions</t>
  </si>
  <si>
    <t>Actual/actual</t>
  </si>
  <si>
    <t>Dividend Announcement Date</t>
  </si>
  <si>
    <t>AD</t>
  </si>
  <si>
    <t>TR.DivAnnouncementDate</t>
  </si>
  <si>
    <t>Start Date</t>
  </si>
  <si>
    <t>TR.DivAdjustedGross</t>
  </si>
  <si>
    <t>Adjusted Gross Dividend</t>
  </si>
  <si>
    <t>Gross Dividend adjusted for corporate actions.</t>
  </si>
  <si>
    <t>Actual/360</t>
  </si>
  <si>
    <t>Dividend Record Date</t>
  </si>
  <si>
    <t>RD</t>
  </si>
  <si>
    <t>TR.DivRecordDate</t>
  </si>
  <si>
    <t>End Date</t>
  </si>
  <si>
    <t>TR.DivAdjustedNet</t>
  </si>
  <si>
    <t>Adjusted Net Dividend</t>
  </si>
  <si>
    <t>Net Dividend adjusted for corporate actions.</t>
  </si>
  <si>
    <t>Actual/365</t>
  </si>
  <si>
    <t>Dividend Pay Date</t>
  </si>
  <si>
    <t>PD</t>
  </si>
  <si>
    <t>TR.DivPayDate</t>
  </si>
  <si>
    <t>Date Type</t>
  </si>
  <si>
    <t>Define the way the dividends will be displayed below (e.g. after the dividend ex date etc.)</t>
  </si>
  <si>
    <t>Period End Date</t>
  </si>
  <si>
    <t>PED</t>
  </si>
  <si>
    <t>TR.DivPeriodEndDate</t>
  </si>
  <si>
    <t>Company's code</t>
  </si>
  <si>
    <t>European 30/360</t>
  </si>
  <si>
    <t>Type of dividends</t>
  </si>
  <si>
    <t xml:space="preserve">Day count basis </t>
  </si>
  <si>
    <t>Use the native currency?</t>
  </si>
  <si>
    <t>Yes</t>
  </si>
  <si>
    <t>Select currency</t>
  </si>
  <si>
    <t>Holding period (%)</t>
  </si>
  <si>
    <t>Annual (%)</t>
  </si>
  <si>
    <t>Total return</t>
  </si>
  <si>
    <t>Using the TR function and the TR.TotalReturn field</t>
  </si>
  <si>
    <t>Total Return - Reinvestment Dividend</t>
  </si>
  <si>
    <t>Unit of measure</t>
  </si>
  <si>
    <t>Adjusted Closing Price</t>
  </si>
  <si>
    <t>Dividend Tax Status</t>
  </si>
  <si>
    <t>Ccy</t>
  </si>
  <si>
    <t>Unadjusted Price on the Ex Date</t>
  </si>
  <si>
    <t>Adjusted Price on the Ex Date</t>
  </si>
  <si>
    <t>Gross dividends</t>
  </si>
  <si>
    <t>TR.PriceClose</t>
  </si>
  <si>
    <t>TSR</t>
  </si>
  <si>
    <t>Breakup</t>
  </si>
  <si>
    <t>MT Annualy</t>
  </si>
  <si>
    <t>Effeciency</t>
  </si>
  <si>
    <t>Revalyu</t>
  </si>
  <si>
    <t>Process</t>
  </si>
  <si>
    <t>Glycolosis</t>
  </si>
  <si>
    <t>Methanolysis</t>
  </si>
  <si>
    <t>Pyrolysis</t>
  </si>
  <si>
    <t>Announced</t>
  </si>
  <si>
    <t>Future</t>
  </si>
  <si>
    <t>Change</t>
  </si>
  <si>
    <t>Pre-2012</t>
  </si>
  <si>
    <t>Post -2012</t>
  </si>
  <si>
    <t>Brent</t>
  </si>
  <si>
    <t>Share</t>
  </si>
  <si>
    <t>Average FWD EV/EBITDA</t>
  </si>
  <si>
    <t>EMN FWD EV/EBITDA</t>
  </si>
  <si>
    <t>PF Mix</t>
  </si>
  <si>
    <t>y/y growth</t>
  </si>
  <si>
    <t>AFP</t>
  </si>
  <si>
    <t>Industrial Chemicals</t>
  </si>
  <si>
    <t>Consumables</t>
  </si>
  <si>
    <t>Sales by Product Line (%)</t>
  </si>
  <si>
    <t>Transportation</t>
  </si>
  <si>
    <t>Durables and Electronics</t>
  </si>
  <si>
    <t>Building and Construction</t>
  </si>
  <si>
    <t>Medical and Pharma</t>
  </si>
  <si>
    <t>Food, feed and agri</t>
  </si>
  <si>
    <t>Water Treatment</t>
  </si>
  <si>
    <t>Personal care</t>
  </si>
  <si>
    <t>Filter Media</t>
  </si>
  <si>
    <r>
      <rPr>
        <b/>
        <sz val="8"/>
        <color theme="1"/>
        <rFont val="Calibri"/>
        <family val="2"/>
      </rPr>
      <t>On October 28, 2021</t>
    </r>
    <r>
      <rPr>
        <sz val="8"/>
        <color theme="1"/>
        <rFont val="Calibri"/>
        <family val="2"/>
      </rPr>
      <t xml:space="preserve">, the Company entered into a definitive agreement to sell the adhesives resins business, which includes </t>
    </r>
    <r>
      <rPr>
        <b/>
        <sz val="8"/>
        <color theme="1"/>
        <rFont val="Calibri"/>
        <family val="2"/>
      </rPr>
      <t xml:space="preserve">hydrocarbon resins </t>
    </r>
    <r>
      <rPr>
        <sz val="8"/>
        <color theme="1"/>
        <rFont val="Calibri"/>
        <family val="2"/>
      </rPr>
      <t>(including Impera™ tire resins),</t>
    </r>
  </si>
  <si>
    <r>
      <rPr>
        <b/>
        <sz val="8"/>
        <color theme="1"/>
        <rFont val="Calibri"/>
        <family val="2"/>
      </rPr>
      <t>billion</t>
    </r>
    <r>
      <rPr>
        <sz val="8"/>
        <color theme="1"/>
        <rFont val="Calibri"/>
        <family val="2"/>
      </rPr>
      <t xml:space="preserve">. The sale, subject to regulatory approvals and satisfaction of other customary closing conditions, is expected to be completed </t>
    </r>
    <r>
      <rPr>
        <b/>
        <sz val="8"/>
        <color theme="1"/>
        <rFont val="Calibri"/>
        <family val="2"/>
      </rPr>
      <t>in first half 2022.</t>
    </r>
    <r>
      <rPr>
        <sz val="8"/>
        <color theme="1"/>
        <rFont val="Calibri"/>
        <family val="2"/>
      </rPr>
      <t xml:space="preserve"> The final purchase price is</t>
    </r>
  </si>
  <si>
    <t xml:space="preserve">&gt;&gt; In the AFP segment, the Company manufactures chemicals for products in the transportation, consumables, building and construction, animal nutrition, crop protection, energy, personal and home care, and other markets. </t>
  </si>
  <si>
    <t>&gt; The Additives and Functional Products segment manufactures raw materials, additives, and specialty polymers, primarily for the paints &amp; coatings and rubber markets.</t>
  </si>
  <si>
    <t>FRED Graph Observations</t>
  </si>
  <si>
    <t>Federal Reserve Economic Data</t>
  </si>
  <si>
    <t>Link: https://fred.stlouisfed.org</t>
  </si>
  <si>
    <t>Help: https://fredhelp.stlouisfed.org</t>
  </si>
  <si>
    <t>Economic Research Division</t>
  </si>
  <si>
    <t>Federal Reserve Bank of St. Louis</t>
  </si>
  <si>
    <t>TTLCONS</t>
  </si>
  <si>
    <t>Total Construction Spending: Total Construction in the United States, Millions of Dollars, Monthly, Seasonally Adjusted Annual Rate</t>
  </si>
  <si>
    <t>Frequency: Monthly</t>
  </si>
  <si>
    <t>observation_date</t>
  </si>
  <si>
    <t>Used_date</t>
  </si>
  <si>
    <t>Total Vehicle Sales, Millions of Units, Monthly, Seasonally Adjusted Annual Rate</t>
  </si>
  <si>
    <t>TOTALSA</t>
  </si>
  <si>
    <t>Interlayer and Films</t>
  </si>
  <si>
    <t>End Use</t>
  </si>
  <si>
    <t>HUD</t>
  </si>
  <si>
    <t>Specialty Plastic</t>
  </si>
  <si>
    <t>Mix</t>
  </si>
  <si>
    <t>Segment Revenue</t>
  </si>
  <si>
    <t>End Use Revenue</t>
  </si>
  <si>
    <t>Construction Spending</t>
  </si>
  <si>
    <t>Vehicle sales</t>
  </si>
  <si>
    <t>&lt; Started a pilot project in Italy in 2020. Planned a new facility in Germany which is expected to start by 2025 with 50K tons of capacity</t>
  </si>
  <si>
    <t>Shell</t>
  </si>
  <si>
    <t xml:space="preserve">&lt;&lt; invested in Blue Alps and took a 21% stake in the company. </t>
  </si>
  <si>
    <t>TotalEnergies</t>
  </si>
  <si>
    <t>&lt;&lt; + PlasticEnergy - In Spain and France</t>
  </si>
  <si>
    <t>ExxonMobil</t>
  </si>
  <si>
    <t>&lt;&lt; + PlasticEnergy - In France</t>
  </si>
  <si>
    <t>SABIC</t>
  </si>
  <si>
    <t>CI</t>
  </si>
  <si>
    <t>AM</t>
  </si>
  <si>
    <t>Product Line</t>
  </si>
  <si>
    <t>Lenzing</t>
  </si>
  <si>
    <t>Margin</t>
  </si>
  <si>
    <t xml:space="preserve">&lt;&lt; Celanese faced similar market headwinds in terms of traditional cigarette filters. Their Acetate tow revenue also halved post 2014. </t>
  </si>
  <si>
    <t>&lt;&lt; Newer products such as e-cigarettes and Vapes have increasing demand, partially offseting the decline from traditional</t>
  </si>
  <si>
    <t>&lt;&lt; Naia Renew line will be the growth driver</t>
  </si>
  <si>
    <t>Customers and feedstock</t>
  </si>
  <si>
    <t>difference in all the processes</t>
  </si>
  <si>
    <t>^^</t>
  </si>
  <si>
    <t>TR.PropertyPlantEquipmentTotalNet</t>
  </si>
  <si>
    <t>PPE, Net</t>
  </si>
  <si>
    <t>A big step up in net PPE in 2012 for Solvay, EMN and Avient - almost everyone has grown their asset base</t>
  </si>
  <si>
    <t>Purification</t>
  </si>
  <si>
    <t>Depolymerisation</t>
  </si>
  <si>
    <t>Converion</t>
  </si>
  <si>
    <t>Conversion breaks down the bonds between the polymers and convert it back into the base hydrocarbon - commonly naphtha</t>
  </si>
  <si>
    <t>Attribute</t>
  </si>
  <si>
    <t>Molecular Recycling Primer</t>
  </si>
  <si>
    <t>Output</t>
  </si>
  <si>
    <t>Molecular structure is unchanged and the output is polymer in the form of colorless pellets</t>
  </si>
  <si>
    <t>Monomer (MEG and PTA)</t>
  </si>
  <si>
    <t>Naptha and other Hydrocarbons . Syngas (carbon monoxide and
hydrogen mixture)</t>
  </si>
  <si>
    <t>Tech</t>
  </si>
  <si>
    <t>Processes</t>
  </si>
  <si>
    <t>Full - Gasification 
Partial - Pyrolysis (Cannot accept mixed plastic waste as feedstock)</t>
  </si>
  <si>
    <t>De-Linking</t>
  </si>
  <si>
    <t>Methanolysis and Glycolysis - Plastic only feedstock</t>
  </si>
  <si>
    <t xml:space="preserve">Takes single resin feedstock and breaks it down into monomers using heat and solvents - requires clean and plastic-only feedstock.
</t>
  </si>
  <si>
    <t xml:space="preserve">The only physical process amongst the three. Uses solvents to remove color and additives from single polymer waste to produce virgin polymer.
</t>
  </si>
  <si>
    <t>Since the polymer chain is not broken, the route back to a consumer product is the shortest</t>
  </si>
  <si>
    <t>Back to Plastic</t>
  </si>
  <si>
    <t>The partial method produces wax which can be added in processing of plastic as an additive. The "full" method produces monomers which needs to be repolymerised</t>
  </si>
  <si>
    <t>Since the output is the molecular form, multiple steps (distillation, cracking, repolymerisation) are required to get to end-use plastic</t>
  </si>
  <si>
    <t>Positives</t>
  </si>
  <si>
    <t xml:space="preserve">Input - mixed waste, Output - Hydroarbons which </t>
  </si>
  <si>
    <t>Yield</t>
  </si>
  <si>
    <t>67% (85% Including non polymer output)</t>
  </si>
  <si>
    <t>44% (59% Including non polymer output)</t>
  </si>
  <si>
    <t xml:space="preserve">An upcoming "Methanolysis" plant at $250M with 110KT p.a. capacity - to contribute to revenue in H2'23 at a 15% ROIC. It will be able to take a wider variety of polyester plastic waste.
2 plants - US and France - each with an investment of ~$800M with 160KT p.a capacity at an expected ROIC of 12%  </t>
  </si>
  <si>
    <t>Eastman
(Current Tech)</t>
  </si>
  <si>
    <t>A Glycolysis plant (2019) - Monomers are produced at a 20%-30% lower GHG emissions.
Tritan and Cristal (AM Segment)</t>
  </si>
  <si>
    <t xml:space="preserve">A Gasification plant (2019) - produces the syngas which can be made into acetic acid and acetyls (AFP, AM and Fiber) 20%-50% lower GHG emissions.
</t>
  </si>
  <si>
    <t>Eastman
(New Tech)</t>
  </si>
  <si>
    <t>&lt;&lt;&lt; Cash Tax burden</t>
  </si>
  <si>
    <t>ROIC, ex Goodwill</t>
  </si>
  <si>
    <t>ROIC, incl. Goodwill</t>
  </si>
  <si>
    <t>Revenue/IC, incl. Goodwill</t>
  </si>
  <si>
    <t>EV at market price</t>
  </si>
  <si>
    <t>Implied ROIC</t>
  </si>
  <si>
    <t>Invested Capital</t>
  </si>
  <si>
    <t>Value of operations</t>
  </si>
  <si>
    <t xml:space="preserve">Segment sales and earnings were falling since 2014 due to steep declines in Acetate Tow (cigarette filter material) sales with small pockets of growth emerging in e-cigarette markets. (Revenue for Celenese's Tow segment also fell by 56% from 2014-21). They launched 2 products under their circular portfolio to diversify the segment. In Q4'22, the company was able to renegotiate their pricing contracts higher - leading to most of the earnings increase, and are guiding for flat volumes in 2023 as FY22. 
The sales to taditional cigarettes use has stabilized and there is additional growth coming from heat-not-burn segment, slightly lifting up the sales. Their circular portfolio which includes Naia for textile will provide much of the growth and margin lift for the segment. A direct peer for renewable yarns, Lenzing, also guided for a 50% increase in EBIDTA for 2023.   </t>
  </si>
  <si>
    <t>Total debt</t>
  </si>
  <si>
    <t>Adj. EBITDA margins</t>
  </si>
  <si>
    <t>TSR Breakup</t>
  </si>
  <si>
    <t>TSR between 13-Mar-09 and 13-Mar-19</t>
  </si>
  <si>
    <t>2000-2011</t>
  </si>
  <si>
    <t>2012-2022</t>
  </si>
  <si>
    <t>Standard Deviation</t>
  </si>
  <si>
    <t xml:space="preserve"> $2,000 to $2,700</t>
  </si>
  <si>
    <t xml:space="preserve">$1,300 to $1,900 </t>
  </si>
  <si>
    <t xml:space="preserve">$2,300 to $4,500 </t>
  </si>
  <si>
    <t>IRR</t>
  </si>
  <si>
    <t>14% to 21%</t>
  </si>
  <si>
    <t>-15% to 62%</t>
  </si>
  <si>
    <t>6% to 17%</t>
  </si>
  <si>
    <t>Net steam line incident costs (insurance proceeds)</t>
  </si>
  <si>
    <t xml:space="preserve">Accelerated Depreciation </t>
  </si>
  <si>
    <t>5.75% notes due March 2033</t>
  </si>
  <si>
    <t>Accelerated Depreciation</t>
  </si>
  <si>
    <t>LyondellBasell Industries N.V. is a chemical company. Its segments include Olefins and Polyolefins-Americas (O&amp;P-Americas), Olefins and Polyolefins-Europe, Asia, International (O&amp;P-EAI), Intermediates and Derivatives (I&amp;D), Advanced Polymer Solutions (APS), Refining, and Technology. O&amp;P-Americas and O&amp;P-EAI segment produce and markets olefins and co-products, polyethylene and polypropylene. I&amp;D segment produces and markets propylene oxide and its derivatives; oxyfuels and related products, and intermediate chemicals, such as styrene monomer, ethylene oxide and ethylene glycol. APS segment produces and markets compounding and solutions, such as polypropylene compounds, engineered plastics, masterbatches, engineered composites, colors and powders, and advanced polymers, which include Cat alloy and polybutene-1. Refining segment refines heavy, high-sulfur crude oil and other crude oils of various types. Technology segment develops and licenses chemical and polyolefin process technologies.</t>
  </si>
  <si>
    <t xml:space="preserve">Beats </t>
  </si>
  <si>
    <t>Misses</t>
  </si>
  <si>
    <t>Vs Model</t>
  </si>
  <si>
    <t>Actual</t>
  </si>
  <si>
    <t>Diff.</t>
  </si>
  <si>
    <t>Adj. EBITDA</t>
  </si>
  <si>
    <t>Revenues</t>
  </si>
  <si>
    <t>Actual Vs Projections: Q1'23</t>
  </si>
  <si>
    <t>1Q23 Transcript/ PPT:</t>
  </si>
  <si>
    <t xml:space="preserve">  Advanced Materials</t>
  </si>
  <si>
    <t>Functional Amine</t>
  </si>
  <si>
    <t>Margins</t>
  </si>
  <si>
    <t>CI + AFP</t>
  </si>
  <si>
    <t>Corporate:</t>
  </si>
  <si>
    <t>Segment:</t>
  </si>
  <si>
    <t>Data pulled from Reuters</t>
  </si>
  <si>
    <t>SwitchPA</t>
  </si>
  <si>
    <t>&lt;&lt; Only applied to this sheet</t>
  </si>
  <si>
    <t>TR.EBITDA</t>
  </si>
  <si>
    <t>TR.FreeOperatingCashFlowExclDividends</t>
  </si>
  <si>
    <t xml:space="preserve">SP500                   </t>
  </si>
  <si>
    <t>TR.DividendYield</t>
  </si>
  <si>
    <t>Henry Hub Nat Gas</t>
  </si>
  <si>
    <t>WTI Crude</t>
  </si>
  <si>
    <t>EU Brent</t>
  </si>
  <si>
    <t>Adj. EBITDA %</t>
  </si>
  <si>
    <t>Pre 2012</t>
  </si>
  <si>
    <t>Post 2012</t>
  </si>
  <si>
    <t>% diff</t>
  </si>
  <si>
    <t>Peer Avg.</t>
  </si>
  <si>
    <t>EBIT Margins</t>
  </si>
  <si>
    <t>Std. Dev</t>
  </si>
  <si>
    <t>FCF Yield</t>
  </si>
  <si>
    <t>FY23E EV/EBITDA</t>
  </si>
  <si>
    <t>2026E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</si>
</sst>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43" formatCode="_ * #,##0.00_ ;_ * \-#,##0.00_ ;_ * &quot;-&quot;??_ ;_ @_ "/>
    <numFmt numFmtId="164" formatCode="&quot;$&quot;#,##0_);[Red]\(&quot;$&quot;#,##0\)"/>
    <numFmt numFmtId="165" formatCode="&quot;$&quot;#,##0.00_);\(&quot;$&quot;#,##0.00\)"/>
    <numFmt numFmtId="166" formatCode="&quot;$&quot;#,##0.00_);[Red]\(&quot;$&quot;#,##0.00\)"/>
    <numFmt numFmtId="167" formatCode="#,##0.0_);\(#,##0.0\)"/>
    <numFmt numFmtId="168" formatCode="#,##0.0_);\(#,##0.0\);\-\ "/>
    <numFmt numFmtId="169" formatCode="&quot;FY&quot;\ #"/>
    <numFmt numFmtId="170" formatCode="&quot;Q1&quot;\ General"/>
    <numFmt numFmtId="171" formatCode="&quot;Q2&quot;\ General"/>
    <numFmt numFmtId="172" formatCode="&quot;Q3&quot;\ General"/>
    <numFmt numFmtId="173" formatCode="&quot;Q4&quot;\ General"/>
    <numFmt numFmtId="174" formatCode="General&quot;A&quot;"/>
    <numFmt numFmtId="175" formatCode="General&quot;F&quot;"/>
    <numFmt numFmtId="176" formatCode="[$-409]mmm\-yy;@"/>
    <numFmt numFmtId="177" formatCode="0.0%_);\(0.0%\)"/>
    <numFmt numFmtId="178" formatCode="&quot;$&quot;#,##0.00_);\(&quot;$&quot;#,##0.00\);\-\ "/>
    <numFmt numFmtId="179" formatCode="0.00%_);\(0.00%\)"/>
    <numFmt numFmtId="180" formatCode="#,##0.0"/>
    <numFmt numFmtId="181" formatCode="#,##0.00_);\(#,##0.00\);\-\ "/>
    <numFmt numFmtId="182" formatCode="#,##0.000_);\(#,##0.000\);\-\ "/>
    <numFmt numFmtId="183" formatCode="0.0\x_);\(0.0\x\);\-\ "/>
    <numFmt numFmtId="184" formatCode="#,##0_);\(#,##0\);\-\ "/>
    <numFmt numFmtId="185" formatCode="&quot;Q1&quot;\ #"/>
    <numFmt numFmtId="186" formatCode="&quot;Q2&quot;\ #"/>
    <numFmt numFmtId="187" formatCode="&quot;Q3&quot;\ #"/>
    <numFmt numFmtId="188" formatCode="&quot;Q4&quot;\ #"/>
    <numFmt numFmtId="189" formatCode="0.00\x_);\(0.00\x\);\-\ "/>
    <numFmt numFmtId="190" formatCode="General&quot;P&quot;"/>
    <numFmt numFmtId="191" formatCode="#&quot;FQ&quot;"/>
    <numFmt numFmtId="192" formatCode="_([$€-2]* #,##0.00_);_([$€-2]* \(#,##0.00\);_([$€-2]* &quot;-&quot;??_)"/>
    <numFmt numFmtId="193" formatCode="&quot;-&quot;#&quot;FQ&quot;"/>
    <numFmt numFmtId="194" formatCode="0&quot;E&quot;"/>
    <numFmt numFmtId="195" formatCode="0&quot;A&quot;"/>
    <numFmt numFmtId="196" formatCode="[$-409]dd\-mmm\-yy;@"/>
    <numFmt numFmtId="197" formatCode="&quot;$&quot;#,##0.0_);\(&quot;$&quot;#,##0.0\);\-\ "/>
    <numFmt numFmtId="198" formatCode="#,##0.00000_);\(#,##0.00000\)"/>
    <numFmt numFmtId="199" formatCode=";;;"/>
    <numFmt numFmtId="200" formatCode="&quot;+/-&quot;0%"/>
    <numFmt numFmtId="201" formatCode="0.0%"/>
    <numFmt numFmtId="202" formatCode="#,##0.000"/>
    <numFmt numFmtId="203" formatCode="#,##0.000_);\(#,##0.000\)"/>
    <numFmt numFmtId="204" formatCode="[$OMR ]#,##0.0_);\([$OMR ]#,##0.0\);\-\ "/>
    <numFmt numFmtId="205" formatCode="0.0000000000000000%"/>
    <numFmt numFmtId="206" formatCode="###,###,##0.00"/>
    <numFmt numFmtId="207" formatCode="dd\-mmm\-yyyy"/>
    <numFmt numFmtId="208" formatCode="#,##0.000000_);\(#,##0.000000\)"/>
    <numFmt numFmtId="209" formatCode="&quot;Q3&quot;\ 0"/>
    <numFmt numFmtId="210" formatCode="General&quot;E&quot;"/>
    <numFmt numFmtId="211" formatCode="&quot;Q4&quot;\ yyyy"/>
    <numFmt numFmtId="212" formatCode="[$-409]d\-mmm\-yy;@"/>
    <numFmt numFmtId="213" formatCode="&quot;Q1&quot;\ yyyy"/>
    <numFmt numFmtId="214" formatCode="&quot;Q2&quot;\ yyyy"/>
    <numFmt numFmtId="215" formatCode="&quot;Q3&quot;\ yyyy"/>
    <numFmt numFmtId="216" formatCode="&quot;FY&quot;#&quot;E&quot;"/>
    <numFmt numFmtId="217" formatCode="&quot;CY&quot;General"/>
    <numFmt numFmtId="218" formatCode="0.0%_);\(0.0%\);\-\ "/>
    <numFmt numFmtId="219" formatCode="0.000000000"/>
    <numFmt numFmtId="220" formatCode="0.00000000"/>
    <numFmt numFmtId="221" formatCode="yyyy/mm/dd;@"/>
    <numFmt numFmtId="222" formatCode="[$-409]dd/mmm/yy;@"/>
    <numFmt numFmtId="223" formatCode="[$-409]mmm\-dd\-yyyy;@"/>
    <numFmt numFmtId="224" formatCode="0.0%;[Red]\(0.0%\)"/>
    <numFmt numFmtId="225" formatCode="0%;[Red]\(0%\)"/>
    <numFmt numFmtId="226" formatCode="#,##0.0_);[Red]\(#,##0.0\)"/>
    <numFmt numFmtId="227" formatCode="0.0"/>
    <numFmt numFmtId="228" formatCode="0.0\x_);\(0.0\x\);0.0\x_);@_)"/>
    <numFmt numFmtId="229" formatCode="0.000\x_);\(0.000\x\);\-\ "/>
    <numFmt numFmtId="230" formatCode="0.000%"/>
    <numFmt numFmtId="231" formatCode="0.000"/>
    <numFmt numFmtId="232" formatCode="0.0000"/>
    <numFmt numFmtId="233" formatCode="&quot;$&quot;#,##0.000_);[Red]\(&quot;$&quot;#,##0.000\)"/>
    <numFmt numFmtId="234" formatCode="_-[$$-409]* #,##0.00_ ;_-[$$-409]* \-#,##0.00\ ;_-[$$-409]* &quot;-&quot;??_ ;_-@_ "/>
    <numFmt numFmtId="235" formatCode="0.0000\x_);\(0.0000\x\);\-\ "/>
    <numFmt numFmtId="236" formatCode="m/d/yy;@"/>
    <numFmt numFmtId="237" formatCode="yyyy\-mm\-dd"/>
    <numFmt numFmtId="238" formatCode="yyyy"/>
  </numFmts>
  <fonts count="14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8"/>
      <color theme="0"/>
      <name val="Calibri"/>
      <family val="2"/>
      <scheme val="minor"/>
    </font>
    <font>
      <b/>
      <u/>
      <sz val="8"/>
      <color theme="1"/>
      <name val="Calibri"/>
      <family val="2"/>
      <scheme val="minor"/>
    </font>
    <font>
      <sz val="8"/>
      <color indexed="10"/>
      <name val="Calibri"/>
      <family val="2"/>
      <scheme val="minor"/>
    </font>
    <font>
      <sz val="8"/>
      <color theme="1"/>
      <name val="Calibri"/>
      <family val="2"/>
    </font>
    <font>
      <b/>
      <sz val="8"/>
      <color theme="1"/>
      <name val="Calibri"/>
      <family val="2"/>
    </font>
    <font>
      <sz val="8"/>
      <color indexed="12"/>
      <name val="Calibri"/>
      <family val="2"/>
    </font>
    <font>
      <b/>
      <sz val="8"/>
      <color indexed="8"/>
      <name val="Calibri"/>
      <family val="2"/>
    </font>
    <font>
      <sz val="8"/>
      <color indexed="8"/>
      <name val="Calibri"/>
      <family val="2"/>
    </font>
    <font>
      <sz val="8"/>
      <color indexed="10"/>
      <name val="Calibri"/>
      <family val="2"/>
    </font>
    <font>
      <b/>
      <i/>
      <sz val="8"/>
      <color indexed="10"/>
      <name val="Calibri"/>
      <family val="2"/>
    </font>
    <font>
      <i/>
      <sz val="8"/>
      <color indexed="10"/>
      <name val="Calibri"/>
      <family val="2"/>
    </font>
    <font>
      <sz val="8"/>
      <color indexed="12"/>
      <name val="Calibri"/>
      <family val="2"/>
      <scheme val="minor"/>
    </font>
    <font>
      <sz val="8"/>
      <color indexed="8"/>
      <name val="Calibri"/>
      <family val="2"/>
      <scheme val="minor"/>
    </font>
    <font>
      <b/>
      <sz val="8"/>
      <color indexed="12"/>
      <name val="Calibri"/>
      <family val="2"/>
    </font>
    <font>
      <sz val="11"/>
      <color indexed="12"/>
      <name val="Calibri"/>
      <family val="2"/>
    </font>
    <font>
      <b/>
      <sz val="11"/>
      <color theme="1"/>
      <name val="Calibri"/>
      <family val="2"/>
    </font>
    <font>
      <i/>
      <sz val="8"/>
      <color theme="1"/>
      <name val="Calibri"/>
      <family val="2"/>
    </font>
    <font>
      <sz val="9"/>
      <color indexed="81"/>
      <name val="Tahoma"/>
      <family val="2"/>
    </font>
    <font>
      <b/>
      <sz val="9"/>
      <color indexed="81"/>
      <name val="Tahoma"/>
      <family val="2"/>
    </font>
    <font>
      <i/>
      <sz val="8"/>
      <color indexed="8"/>
      <name val="Calibri"/>
      <family val="2"/>
    </font>
    <font>
      <b/>
      <sz val="8"/>
      <color indexed="8"/>
      <name val="Calibri"/>
      <family val="2"/>
      <scheme val="minor"/>
    </font>
    <font>
      <i/>
      <sz val="8"/>
      <color indexed="8"/>
      <name val="Calibri"/>
      <family val="2"/>
      <scheme val="minor"/>
    </font>
    <font>
      <b/>
      <i/>
      <sz val="8"/>
      <color indexed="8"/>
      <name val="Calibri"/>
      <family val="2"/>
      <scheme val="minor"/>
    </font>
    <font>
      <b/>
      <i/>
      <sz val="8"/>
      <color theme="1"/>
      <name val="Calibri"/>
      <family val="2"/>
      <scheme val="minor"/>
    </font>
    <font>
      <sz val="8"/>
      <color indexed="17"/>
      <name val="Calibri"/>
      <family val="2"/>
    </font>
    <font>
      <sz val="8"/>
      <color indexed="14"/>
      <name val="Calibri"/>
      <family val="2"/>
    </font>
    <font>
      <b/>
      <sz val="8"/>
      <color indexed="10"/>
      <name val="Calibri"/>
      <family val="2"/>
    </font>
    <font>
      <i/>
      <sz val="8"/>
      <color indexed="17"/>
      <name val="Calibri"/>
      <family val="2"/>
    </font>
    <font>
      <b/>
      <sz val="8"/>
      <color indexed="14"/>
      <name val="Calibri"/>
      <family val="2"/>
    </font>
    <font>
      <sz val="8"/>
      <color indexed="14"/>
      <name val="Calibri"/>
      <family val="2"/>
      <scheme val="minor"/>
    </font>
    <font>
      <sz val="8"/>
      <color indexed="17"/>
      <name val="Calibri"/>
      <family val="2"/>
      <scheme val="minor"/>
    </font>
    <font>
      <i/>
      <sz val="8"/>
      <color indexed="10"/>
      <name val="Calibri"/>
      <family val="2"/>
      <scheme val="minor"/>
    </font>
    <font>
      <b/>
      <sz val="8"/>
      <color indexed="17"/>
      <name val="Calibri"/>
      <family val="2"/>
      <scheme val="minor"/>
    </font>
    <font>
      <b/>
      <sz val="8"/>
      <color theme="0"/>
      <name val="Calibri"/>
      <family val="2"/>
      <scheme val="minor"/>
    </font>
    <font>
      <sz val="9"/>
      <color theme="1"/>
      <name val="Calibri"/>
      <family val="2"/>
      <scheme val="minor"/>
    </font>
    <font>
      <b/>
      <sz val="8"/>
      <color indexed="12"/>
      <name val="Calibri"/>
      <family val="2"/>
      <scheme val="minor"/>
    </font>
    <font>
      <b/>
      <sz val="8"/>
      <color indexed="9"/>
      <name val="Calibri"/>
      <family val="2"/>
      <scheme val="minor"/>
    </font>
    <font>
      <sz val="8"/>
      <name val="Calibri"/>
      <family val="2"/>
      <scheme val="minor"/>
    </font>
    <font>
      <b/>
      <sz val="8"/>
      <name val="Calibri"/>
      <family val="2"/>
      <scheme val="minor"/>
    </font>
    <font>
      <b/>
      <u val="singleAccounting"/>
      <sz val="8"/>
      <color theme="1"/>
      <name val="Calibri"/>
      <family val="2"/>
      <scheme val="minor"/>
    </font>
    <font>
      <i/>
      <sz val="8"/>
      <color indexed="17"/>
      <name val="Calibri"/>
      <family val="2"/>
      <scheme val="minor"/>
    </font>
    <font>
      <i/>
      <sz val="8"/>
      <color indexed="12"/>
      <name val="Calibri"/>
      <family val="2"/>
    </font>
    <font>
      <u/>
      <sz val="8"/>
      <color theme="1"/>
      <name val="Calibri"/>
      <family val="2"/>
      <scheme val="minor"/>
    </font>
    <font>
      <sz val="10"/>
      <color theme="1"/>
      <name val="Calibri"/>
      <family val="2"/>
      <scheme val="minor"/>
    </font>
    <font>
      <sz val="10"/>
      <color indexed="17"/>
      <name val="Calibri"/>
      <family val="2"/>
      <scheme val="minor"/>
    </font>
    <font>
      <sz val="10"/>
      <color indexed="8"/>
      <name val="Calibri"/>
      <family val="2"/>
      <scheme val="minor"/>
    </font>
    <font>
      <b/>
      <sz val="11"/>
      <color indexed="9"/>
      <name val="Calibri"/>
      <family val="2"/>
    </font>
    <font>
      <b/>
      <sz val="16"/>
      <color indexed="9"/>
      <name val="Arial"/>
      <family val="2"/>
    </font>
    <font>
      <sz val="10"/>
      <name val="Calibri"/>
      <family val="2"/>
    </font>
    <font>
      <b/>
      <sz val="10"/>
      <color indexed="9"/>
      <name val="Arial"/>
      <family val="2"/>
    </font>
    <font>
      <b/>
      <sz val="10"/>
      <color indexed="8"/>
      <name val="Arial"/>
      <family val="2"/>
    </font>
    <font>
      <sz val="10"/>
      <color indexed="63"/>
      <name val="Arial"/>
      <family val="2"/>
    </font>
    <font>
      <sz val="10"/>
      <color indexed="8"/>
      <name val="Arial"/>
      <family val="2"/>
    </font>
    <font>
      <i/>
      <sz val="10"/>
      <color indexed="8"/>
      <name val="Arial"/>
      <family val="2"/>
    </font>
    <font>
      <sz val="8"/>
      <color indexed="63"/>
      <name val="Calibri"/>
      <family val="2"/>
      <scheme val="minor"/>
    </font>
    <font>
      <i/>
      <sz val="10"/>
      <color indexed="63"/>
      <name val="Arial"/>
      <family val="2"/>
    </font>
    <font>
      <i/>
      <sz val="8"/>
      <color indexed="63"/>
      <name val="Calibri"/>
      <family val="2"/>
      <scheme val="minor"/>
    </font>
    <font>
      <b/>
      <sz val="8"/>
      <color indexed="17"/>
      <name val="Calibri"/>
      <family val="2"/>
    </font>
    <font>
      <b/>
      <sz val="11"/>
      <color theme="1"/>
      <name val="Calibri"/>
      <family val="2"/>
      <scheme val="minor"/>
    </font>
    <font>
      <b/>
      <sz val="11"/>
      <color rgb="FF00CCFF"/>
      <name val="Calibri"/>
      <family val="2"/>
    </font>
    <font>
      <sz val="11"/>
      <color rgb="FF000000"/>
      <name val="Calibri"/>
      <family val="2"/>
    </font>
    <font>
      <u/>
      <sz val="11"/>
      <color theme="10"/>
      <name val="Calibri"/>
      <family val="2"/>
      <scheme val="minor"/>
    </font>
    <font>
      <b/>
      <sz val="11"/>
      <color rgb="FF000000"/>
      <name val="Calibri"/>
      <family val="2"/>
    </font>
    <font>
      <b/>
      <i/>
      <sz val="8"/>
      <color theme="1"/>
      <name val="Calibri"/>
      <family val="2"/>
    </font>
    <font>
      <b/>
      <i/>
      <sz val="8"/>
      <color indexed="8"/>
      <name val="Calibri"/>
      <family val="2"/>
    </font>
    <font>
      <u/>
      <sz val="8"/>
      <color theme="1"/>
      <name val="Calibri"/>
      <family val="2"/>
    </font>
    <font>
      <sz val="11"/>
      <color theme="1"/>
      <name val="Calibri"/>
      <family val="2"/>
    </font>
    <font>
      <b/>
      <sz val="8"/>
      <color indexed="10"/>
      <name val="Calibri"/>
      <family val="2"/>
      <scheme val="minor"/>
    </font>
    <font>
      <b/>
      <i/>
      <sz val="8"/>
      <color indexed="12"/>
      <name val="Calibri"/>
      <family val="2"/>
      <scheme val="minor"/>
    </font>
    <font>
      <sz val="10"/>
      <name val="Arial"/>
      <family val="2"/>
    </font>
    <font>
      <b/>
      <sz val="8"/>
      <name val="Arial"/>
      <family val="2"/>
    </font>
    <font>
      <b/>
      <sz val="12"/>
      <color theme="1"/>
      <name val="Calibri"/>
      <family val="2"/>
    </font>
    <font>
      <b/>
      <sz val="8"/>
      <color rgb="FF203764"/>
      <name val="Calibri"/>
      <family val="2"/>
      <scheme val="minor"/>
    </font>
    <font>
      <sz val="8"/>
      <color theme="0"/>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b/>
      <sz val="9"/>
      <color rgb="FF203764"/>
      <name val="Calibri"/>
      <family val="2"/>
      <scheme val="minor"/>
    </font>
    <font>
      <i/>
      <sz val="8"/>
      <color theme="8" tint="-0.249977111117893"/>
      <name val="Calibri"/>
      <family val="2"/>
      <scheme val="minor"/>
    </font>
    <font>
      <b/>
      <i/>
      <sz val="8"/>
      <color theme="8" tint="-0.249977111117893"/>
      <name val="Calibri"/>
      <family val="2"/>
      <scheme val="minor"/>
    </font>
    <font>
      <u/>
      <sz val="8"/>
      <color theme="10"/>
      <name val="Calibri"/>
      <family val="2"/>
    </font>
    <font>
      <sz val="11"/>
      <color theme="1"/>
      <name val="0"/>
    </font>
    <font>
      <sz val="8"/>
      <color theme="1" tint="0.34998626667073579"/>
      <name val="Calibri"/>
      <family val="2"/>
      <scheme val="minor"/>
    </font>
    <font>
      <sz val="11"/>
      <color rgb="FFFFFFFF"/>
      <name val="Arial"/>
      <family val="2"/>
    </font>
    <font>
      <sz val="8"/>
      <color rgb="FFFFFFFF"/>
      <name val="Calibri"/>
      <family val="2"/>
      <scheme val="minor"/>
    </font>
    <font>
      <vertAlign val="subscript"/>
      <sz val="8"/>
      <color indexed="8"/>
      <name val="Calibri"/>
      <family val="2"/>
      <scheme val="minor"/>
    </font>
    <font>
      <sz val="8"/>
      <color theme="1" tint="0.499984740745262"/>
      <name val="Calibri"/>
      <family val="2"/>
      <scheme val="minor"/>
    </font>
    <font>
      <b/>
      <i/>
      <sz val="8"/>
      <name val="Arial"/>
      <family val="2"/>
    </font>
    <font>
      <b/>
      <sz val="10"/>
      <color theme="1"/>
      <name val="Arial"/>
      <family val="2"/>
    </font>
    <font>
      <sz val="10"/>
      <color theme="1"/>
      <name val="Arial"/>
      <family val="2"/>
    </font>
    <font>
      <b/>
      <sz val="10"/>
      <name val="Arial"/>
      <family val="2"/>
    </font>
    <font>
      <i/>
      <sz val="10"/>
      <color theme="1"/>
      <name val="Arial"/>
      <family val="2"/>
    </font>
    <font>
      <b/>
      <u/>
      <sz val="10"/>
      <name val="Arial"/>
      <family val="2"/>
    </font>
    <font>
      <b/>
      <i/>
      <sz val="10"/>
      <color rgb="FFFF0000"/>
      <name val="Arial"/>
      <family val="2"/>
    </font>
    <font>
      <sz val="10"/>
      <color indexed="12"/>
      <name val="Arial"/>
      <family val="2"/>
    </font>
    <font>
      <b/>
      <sz val="10"/>
      <color indexed="12"/>
      <name val="Arial"/>
      <family val="2"/>
    </font>
    <font>
      <sz val="10"/>
      <color rgb="FFFF0000"/>
      <name val="Arial"/>
      <family val="2"/>
    </font>
    <font>
      <sz val="10"/>
      <color theme="9"/>
      <name val="Arial"/>
      <family val="2"/>
    </font>
    <font>
      <i/>
      <sz val="10"/>
      <color theme="9"/>
      <name val="Arial"/>
      <family val="2"/>
    </font>
    <font>
      <sz val="10"/>
      <color indexed="14"/>
      <name val="Arial"/>
      <family val="2"/>
    </font>
    <font>
      <i/>
      <sz val="10"/>
      <color indexed="10"/>
      <name val="Arial"/>
      <family val="2"/>
    </font>
    <font>
      <sz val="10"/>
      <color indexed="17"/>
      <name val="Arial"/>
      <family val="2"/>
    </font>
    <font>
      <b/>
      <i/>
      <sz val="8"/>
      <color indexed="12"/>
      <name val="Calibri"/>
      <family val="2"/>
    </font>
    <font>
      <sz val="8"/>
      <color indexed="8"/>
      <name val="Arial"/>
      <family val="2"/>
    </font>
    <font>
      <u/>
      <sz val="11"/>
      <color theme="10"/>
      <name val="Calibri"/>
      <family val="2"/>
    </font>
    <font>
      <sz val="10"/>
      <color rgb="FFFF9933"/>
      <name val="Arial"/>
      <family val="2"/>
    </font>
    <font>
      <b/>
      <sz val="14"/>
      <color rgb="FF2B2B2B"/>
      <name val="Arial"/>
      <family val="2"/>
    </font>
    <font>
      <sz val="14"/>
      <color rgb="FF2B2B2B"/>
      <name val="Arial"/>
      <family val="2"/>
    </font>
    <font>
      <i/>
      <sz val="10"/>
      <color theme="0" tint="-0.34998626667073579"/>
      <name val="Arial"/>
      <family val="2"/>
    </font>
    <font>
      <b/>
      <sz val="10"/>
      <color theme="3" tint="0.39997558519241921"/>
      <name val="Arial"/>
      <family val="2"/>
    </font>
    <font>
      <b/>
      <sz val="8"/>
      <color theme="1"/>
      <name val="Arial"/>
      <family val="2"/>
    </font>
    <font>
      <sz val="10"/>
      <color theme="9" tint="-0.249977111117893"/>
      <name val="Arial"/>
      <family val="2"/>
    </font>
    <font>
      <i/>
      <sz val="10"/>
      <color theme="1" tint="0.499984740745262"/>
      <name val="Arial"/>
      <family val="2"/>
    </font>
    <font>
      <b/>
      <sz val="10"/>
      <color theme="9" tint="-0.249977111117893"/>
      <name val="Arial"/>
      <family val="2"/>
    </font>
    <font>
      <u/>
      <sz val="10"/>
      <color theme="10"/>
      <name val="Arial"/>
      <family val="2"/>
    </font>
    <font>
      <b/>
      <sz val="10"/>
      <color rgb="FF0000FF"/>
      <name val="Arial"/>
      <family val="2"/>
    </font>
    <font>
      <sz val="10"/>
      <color rgb="FF0000FF"/>
      <name val="Arial"/>
      <family val="2"/>
    </font>
    <font>
      <i/>
      <sz val="8"/>
      <color theme="0"/>
      <name val="Calibri"/>
      <family val="2"/>
      <scheme val="minor"/>
    </font>
    <font>
      <b/>
      <sz val="10"/>
      <color theme="0"/>
      <name val="Arial"/>
      <family val="2"/>
    </font>
    <font>
      <b/>
      <u/>
      <sz val="9"/>
      <color indexed="81"/>
      <name val="Tahoma"/>
      <family val="2"/>
    </font>
    <font>
      <sz val="10"/>
      <color theme="0"/>
      <name val="Arial"/>
      <family val="2"/>
    </font>
    <font>
      <sz val="9"/>
      <color theme="1"/>
      <name val="Times New Roman"/>
      <family val="1"/>
    </font>
    <font>
      <i/>
      <sz val="11"/>
      <color theme="1"/>
      <name val="Calibri"/>
      <family val="2"/>
      <scheme val="minor"/>
    </font>
    <font>
      <i/>
      <sz val="8"/>
      <color indexed="12"/>
      <name val="Calibri"/>
      <family val="2"/>
      <scheme val="minor"/>
    </font>
  </fonts>
  <fills count="42">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indexed="13"/>
        <bgColor indexed="64"/>
      </patternFill>
    </fill>
    <fill>
      <patternFill patternType="solid">
        <fgColor theme="0" tint="-0.14999847407452621"/>
        <bgColor indexed="64"/>
      </patternFill>
    </fill>
    <fill>
      <patternFill patternType="solid">
        <fgColor indexed="8"/>
        <bgColor indexed="64"/>
      </patternFill>
    </fill>
    <fill>
      <patternFill patternType="solid">
        <fgColor rgb="FF4F81BD"/>
        <bgColor indexed="64"/>
      </patternFill>
    </fill>
    <fill>
      <patternFill patternType="solid">
        <fgColor rgb="FFFFFFFF"/>
        <bgColor indexed="64"/>
      </patternFill>
    </fill>
    <fill>
      <patternFill patternType="solid">
        <fgColor rgb="FFF2F2F2"/>
        <bgColor indexed="64"/>
      </patternFill>
    </fill>
    <fill>
      <patternFill patternType="solid">
        <fgColor rgb="FFD8D8D8"/>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333333"/>
        <bgColor indexed="64"/>
      </patternFill>
    </fill>
    <fill>
      <patternFill patternType="solid">
        <fgColor rgb="FFFFFFCC"/>
      </patternFill>
    </fill>
    <fill>
      <patternFill patternType="solid">
        <fgColor theme="9" tint="0.79998168889431442"/>
        <bgColor indexed="64"/>
      </patternFill>
    </fill>
    <fill>
      <patternFill patternType="solid">
        <fgColor rgb="FF1F4E78"/>
        <bgColor indexed="64"/>
      </patternFill>
    </fill>
    <fill>
      <patternFill patternType="solid">
        <fgColor rgb="FFBDD7EE"/>
        <bgColor indexed="64"/>
      </patternFill>
    </fill>
    <fill>
      <patternFill patternType="solid">
        <fgColor theme="4" tint="0.79998168889431442"/>
        <bgColor indexed="64"/>
      </patternFill>
    </fill>
    <fill>
      <patternFill patternType="solid">
        <fgColor rgb="FFD9E1F2"/>
        <bgColor indexed="64"/>
      </patternFill>
    </fill>
    <fill>
      <patternFill patternType="solid">
        <fgColor rgb="FFD6DCE4"/>
        <bgColor indexed="64"/>
      </patternFill>
    </fill>
    <fill>
      <patternFill patternType="solid">
        <fgColor rgb="FF203764"/>
        <bgColor indexed="64"/>
      </patternFill>
    </fill>
    <fill>
      <patternFill patternType="solid">
        <fgColor indexed="9"/>
        <bgColor indexed="64"/>
      </patternFill>
    </fill>
    <fill>
      <patternFill patternType="solid">
        <fgColor rgb="FFFFDDBA"/>
        <bgColor indexed="64"/>
      </patternFill>
    </fill>
    <fill>
      <patternFill patternType="solid">
        <fgColor indexed="31"/>
        <bgColor indexed="64"/>
      </patternFill>
    </fill>
    <fill>
      <patternFill patternType="solid">
        <fgColor rgb="FF3C3C3C"/>
        <bgColor indexed="64"/>
      </patternFill>
    </fill>
    <fill>
      <patternFill patternType="solid">
        <fgColor rgb="FFCCCCFF"/>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indexed="22"/>
        <bgColor indexed="64"/>
      </patternFill>
    </fill>
    <fill>
      <patternFill patternType="solid">
        <fgColor theme="6" tint="0.59999389629810485"/>
        <bgColor indexed="64"/>
      </patternFill>
    </fill>
    <fill>
      <patternFill patternType="solid">
        <fgColor rgb="FFC2C2C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E14B47"/>
        <bgColor indexed="64"/>
      </patternFill>
    </fill>
  </fills>
  <borders count="67">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dashed">
        <color theme="0" tint="-0.24994659260841701"/>
      </right>
      <top style="thin">
        <color theme="0"/>
      </top>
      <bottom style="thin">
        <color theme="0"/>
      </bottom>
      <diagonal/>
    </border>
    <border>
      <left/>
      <right/>
      <top style="thin">
        <color indexed="64"/>
      </top>
      <bottom/>
      <diagonal/>
    </border>
    <border>
      <left/>
      <right/>
      <top style="thin">
        <color indexed="64"/>
      </top>
      <bottom style="double">
        <color indexed="64"/>
      </bottom>
      <diagonal/>
    </border>
    <border>
      <left style="thin">
        <color theme="0"/>
      </left>
      <right/>
      <top/>
      <bottom style="thin">
        <color theme="0"/>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theme="0"/>
      </top>
      <bottom style="thin">
        <color indexed="64"/>
      </bottom>
      <diagonal/>
    </border>
    <border>
      <left/>
      <right style="dashed">
        <color theme="0" tint="-0.24994659260841701"/>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theme="1"/>
      </left>
      <right style="thin">
        <color theme="1"/>
      </right>
      <top style="thin">
        <color theme="1"/>
      </top>
      <bottom style="thin">
        <color theme="1"/>
      </bottom>
      <diagonal/>
    </border>
    <border>
      <left/>
      <right style="thin">
        <color indexed="64"/>
      </right>
      <top style="thin">
        <color indexed="64"/>
      </top>
      <bottom/>
      <diagonal/>
    </border>
    <border>
      <left/>
      <right style="thin">
        <color theme="0"/>
      </right>
      <top/>
      <bottom style="thin">
        <color theme="0"/>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theme="0" tint="-0.14993743705557422"/>
      </top>
      <bottom style="thin">
        <color theme="0" tint="-0.14996795556505021"/>
      </bottom>
      <diagonal/>
    </border>
    <border>
      <left/>
      <right/>
      <top style="thin">
        <color theme="0" tint="-0.14993743705557422"/>
      </top>
      <bottom/>
      <diagonal/>
    </border>
    <border>
      <left/>
      <right/>
      <top style="thin">
        <color theme="0" tint="-0.14996795556505021"/>
      </top>
      <bottom style="thin">
        <color theme="0" tint="-0.14996795556505021"/>
      </bottom>
      <diagonal/>
    </border>
    <border>
      <left style="thin">
        <color rgb="FFB2B2B2"/>
      </left>
      <right style="thin">
        <color rgb="FFB2B2B2"/>
      </right>
      <top style="thin">
        <color rgb="FFB2B2B2"/>
      </top>
      <bottom style="thin">
        <color rgb="FFB2B2B2"/>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diagonal/>
    </border>
    <border>
      <left style="thin">
        <color rgb="FFFF9933"/>
      </left>
      <right style="thin">
        <color rgb="FFFF9933"/>
      </right>
      <top style="thin">
        <color rgb="FFFF9933"/>
      </top>
      <bottom style="thin">
        <color rgb="FFFF9933"/>
      </bottom>
      <diagonal/>
    </border>
    <border>
      <left style="thin">
        <color rgb="FF99A5FF"/>
      </left>
      <right style="thin">
        <color rgb="FF99A5FF"/>
      </right>
      <top style="thin">
        <color rgb="FF99A5FF"/>
      </top>
      <bottom style="thin">
        <color rgb="FF99A5FF"/>
      </bottom>
      <diagonal/>
    </border>
    <border>
      <left/>
      <right/>
      <top style="thin">
        <color indexed="8"/>
      </top>
      <bottom style="thin">
        <color indexed="8"/>
      </bottom>
      <diagonal/>
    </border>
    <border>
      <left/>
      <right style="thin">
        <color indexed="64"/>
      </right>
      <top style="thin">
        <color indexed="8"/>
      </top>
      <bottom/>
      <diagonal/>
    </border>
    <border>
      <left/>
      <right/>
      <top style="thin">
        <color indexed="8"/>
      </top>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99A5FF"/>
      </left>
      <right/>
      <top style="thin">
        <color rgb="FF99A5FF"/>
      </top>
      <bottom/>
      <diagonal/>
    </border>
    <border>
      <left style="thin">
        <color rgb="FF99A5FF"/>
      </left>
      <right style="thin">
        <color rgb="FF99A5FF"/>
      </right>
      <top style="thin">
        <color rgb="FF99A5FF"/>
      </top>
      <bottom/>
      <diagonal/>
    </border>
    <border>
      <left style="thin">
        <color rgb="FF99A5FF"/>
      </left>
      <right/>
      <top style="thin">
        <color rgb="FF99A5FF"/>
      </top>
      <bottom style="thin">
        <color rgb="FF99A5FF"/>
      </bottom>
      <diagonal/>
    </border>
    <border>
      <left/>
      <right style="thin">
        <color rgb="FF99A5FF"/>
      </right>
      <top style="thin">
        <color rgb="FF99A5FF"/>
      </top>
      <bottom style="thin">
        <color rgb="FF99A5FF"/>
      </bottom>
      <diagonal/>
    </border>
    <border>
      <left/>
      <right/>
      <top/>
      <bottom style="thin">
        <color rgb="FFC2C2C2"/>
      </bottom>
      <diagonal/>
    </border>
    <border>
      <left/>
      <right/>
      <top style="thin">
        <color rgb="FFC2C2C2"/>
      </top>
      <bottom style="thin">
        <color rgb="FFC2C2C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Dashed">
        <color rgb="FFFF0000"/>
      </right>
      <top style="thin">
        <color indexed="64"/>
      </top>
      <bottom style="thin">
        <color indexed="64"/>
      </bottom>
      <diagonal/>
    </border>
    <border>
      <left style="mediumDashed">
        <color rgb="FFFF0000"/>
      </left>
      <right style="thin">
        <color indexed="64"/>
      </right>
      <top style="thin">
        <color indexed="64"/>
      </top>
      <bottom style="thin">
        <color indexed="64"/>
      </bottom>
      <diagonal/>
    </border>
    <border>
      <left/>
      <right/>
      <top style="mediumDashed">
        <color indexed="64"/>
      </top>
      <bottom style="thin">
        <color indexed="64"/>
      </bottom>
      <diagonal/>
    </border>
    <border>
      <left style="mediumDashed">
        <color rgb="FFFF0000"/>
      </left>
      <right style="mediumDashed">
        <color rgb="FFFF0000"/>
      </right>
      <top style="thin">
        <color indexed="64"/>
      </top>
      <bottom style="thin">
        <color indexed="64"/>
      </bottom>
      <diagonal/>
    </border>
    <border>
      <left style="medium">
        <color indexed="64"/>
      </left>
      <right/>
      <top style="medium">
        <color indexed="64"/>
      </top>
      <bottom style="medium">
        <color indexed="64"/>
      </bottom>
      <diagonal/>
    </border>
    <border>
      <left style="medium">
        <color rgb="FFFF0000"/>
      </left>
      <right/>
      <top style="medium">
        <color indexed="64"/>
      </top>
      <bottom style="medium">
        <color indexed="64"/>
      </bottom>
      <diagonal/>
    </border>
  </borders>
  <cellStyleXfs count="71">
    <xf numFmtId="0" fontId="0" fillId="0" borderId="0"/>
    <xf numFmtId="0" fontId="12" fillId="0" borderId="0"/>
    <xf numFmtId="0" fontId="11" fillId="0" borderId="0"/>
    <xf numFmtId="192" fontId="50" fillId="0" borderId="0"/>
    <xf numFmtId="192" fontId="11" fillId="0" borderId="0"/>
    <xf numFmtId="0" fontId="10" fillId="0" borderId="0"/>
    <xf numFmtId="192" fontId="10" fillId="0" borderId="0"/>
    <xf numFmtId="0" fontId="10" fillId="0" borderId="0"/>
    <xf numFmtId="192" fontId="10" fillId="0" borderId="0"/>
    <xf numFmtId="0" fontId="62" fillId="9" borderId="0"/>
    <xf numFmtId="0" fontId="9" fillId="0" borderId="0"/>
    <xf numFmtId="0" fontId="8" fillId="0" borderId="0"/>
    <xf numFmtId="0" fontId="63" fillId="9" borderId="25" applyNumberFormat="0" applyProtection="0">
      <alignment horizontal="left" vertical="center" readingOrder="1"/>
    </xf>
    <xf numFmtId="0" fontId="64" fillId="10" borderId="0" applyNumberFormat="0" applyBorder="0" applyProtection="0">
      <alignment horizontal="center"/>
    </xf>
    <xf numFmtId="0" fontId="65" fillId="9" borderId="18">
      <alignment horizontal="left"/>
    </xf>
    <xf numFmtId="0" fontId="65" fillId="9" borderId="18">
      <alignment horizontal="right"/>
    </xf>
    <xf numFmtId="0" fontId="65" fillId="9" borderId="16">
      <alignment horizontal="left"/>
    </xf>
    <xf numFmtId="0" fontId="65" fillId="9" borderId="16">
      <alignment horizontal="right"/>
    </xf>
    <xf numFmtId="0" fontId="66" fillId="10" borderId="26"/>
    <xf numFmtId="3" fontId="66" fillId="10" borderId="17">
      <alignment horizontal="right"/>
    </xf>
    <xf numFmtId="0" fontId="67" fillId="10" borderId="26"/>
    <xf numFmtId="202" fontId="68" fillId="10" borderId="17">
      <alignment horizontal="right"/>
    </xf>
    <xf numFmtId="0" fontId="69" fillId="11" borderId="5" applyNumberFormat="0" applyAlignment="0" applyProtection="0"/>
    <xf numFmtId="202" fontId="66" fillId="10" borderId="17">
      <alignment horizontal="right"/>
    </xf>
    <xf numFmtId="202" fontId="66" fillId="12" borderId="17">
      <alignment horizontal="right"/>
    </xf>
    <xf numFmtId="0" fontId="67" fillId="10" borderId="26"/>
    <xf numFmtId="202" fontId="68" fillId="12" borderId="17">
      <alignment horizontal="right"/>
    </xf>
    <xf numFmtId="3" fontId="66" fillId="12" borderId="17">
      <alignment horizontal="right"/>
    </xf>
    <xf numFmtId="0" fontId="71" fillId="10" borderId="26"/>
    <xf numFmtId="202" fontId="69" fillId="10" borderId="17">
      <alignment horizontal="right"/>
    </xf>
    <xf numFmtId="202" fontId="69" fillId="12" borderId="17">
      <alignment horizontal="right"/>
    </xf>
    <xf numFmtId="0" fontId="75" fillId="15" borderId="0">
      <alignment horizontal="left" vertical="center"/>
    </xf>
    <xf numFmtId="0" fontId="7" fillId="0" borderId="0"/>
    <xf numFmtId="0" fontId="76" fillId="0" borderId="0">
      <alignment horizontal="left" vertical="center"/>
    </xf>
    <xf numFmtId="0" fontId="77" fillId="0" borderId="0" applyNumberFormat="0" applyFill="0" applyBorder="0" applyAlignment="0" applyProtection="0"/>
    <xf numFmtId="0" fontId="76" fillId="0" borderId="0">
      <alignment horizontal="left" vertical="center"/>
    </xf>
    <xf numFmtId="0" fontId="78" fillId="0" borderId="0">
      <alignment horizontal="left" vertical="center"/>
    </xf>
    <xf numFmtId="0" fontId="82" fillId="16" borderId="31" applyNumberFormat="0" applyFont="0" applyAlignment="0" applyProtection="0"/>
    <xf numFmtId="0" fontId="6" fillId="0" borderId="0"/>
    <xf numFmtId="0" fontId="19" fillId="0" borderId="0"/>
    <xf numFmtId="0" fontId="85" fillId="0" borderId="0"/>
    <xf numFmtId="0" fontId="59" fillId="0" borderId="0"/>
    <xf numFmtId="0" fontId="6" fillId="0" borderId="0"/>
    <xf numFmtId="192" fontId="6" fillId="0" borderId="0"/>
    <xf numFmtId="0" fontId="6" fillId="0" borderId="0"/>
    <xf numFmtId="0" fontId="15" fillId="0" borderId="0"/>
    <xf numFmtId="0" fontId="5" fillId="0" borderId="0"/>
    <xf numFmtId="0" fontId="4" fillId="0" borderId="0"/>
    <xf numFmtId="0" fontId="4" fillId="0" borderId="0"/>
    <xf numFmtId="0" fontId="96" fillId="0" borderId="0" applyNumberFormat="0" applyFill="0" applyBorder="0" applyAlignment="0" applyProtection="0"/>
    <xf numFmtId="0" fontId="97" fillId="0" borderId="0"/>
    <xf numFmtId="0" fontId="68" fillId="25" borderId="38" applyNumberFormat="0" applyAlignment="0" applyProtection="0"/>
    <xf numFmtId="0" fontId="99" fillId="27" borderId="0" applyNumberFormat="0" applyAlignment="0" applyProtection="0"/>
    <xf numFmtId="0" fontId="66" fillId="0" borderId="0" applyNumberFormat="0" applyAlignment="0" applyProtection="0"/>
    <xf numFmtId="0" fontId="4" fillId="0" borderId="0"/>
    <xf numFmtId="0" fontId="4" fillId="0" borderId="0"/>
    <xf numFmtId="43" fontId="82" fillId="0" borderId="0" applyFont="0" applyFill="0" applyBorder="0" applyAlignment="0" applyProtection="0"/>
    <xf numFmtId="0" fontId="3" fillId="0" borderId="0"/>
    <xf numFmtId="0" fontId="85" fillId="0" borderId="0">
      <alignment vertical="center"/>
    </xf>
    <xf numFmtId="9" fontId="3" fillId="0" borderId="0" applyFont="0" applyFill="0" applyBorder="0" applyAlignment="0" applyProtection="0"/>
    <xf numFmtId="0" fontId="119" fillId="0" borderId="0" applyAlignment="0"/>
    <xf numFmtId="0" fontId="2" fillId="0" borderId="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xf numFmtId="9" fontId="82" fillId="0" borderId="0" applyFont="0" applyFill="0" applyBorder="0" applyAlignment="0" applyProtection="0"/>
    <xf numFmtId="0" fontId="85" fillId="0" borderId="0"/>
    <xf numFmtId="0" fontId="1" fillId="0" borderId="0"/>
    <xf numFmtId="0" fontId="1" fillId="0" borderId="0"/>
    <xf numFmtId="0" fontId="82" fillId="0" borderId="0"/>
    <xf numFmtId="0" fontId="1" fillId="0" borderId="0"/>
    <xf numFmtId="9" fontId="1" fillId="0" borderId="0" applyFont="0" applyFill="0" applyBorder="0" applyAlignment="0" applyProtection="0"/>
  </cellStyleXfs>
  <cellXfs count="1557">
    <xf numFmtId="0" fontId="0" fillId="0" borderId="0" xfId="0"/>
    <xf numFmtId="0" fontId="13" fillId="0" borderId="0" xfId="0" applyFont="1"/>
    <xf numFmtId="0" fontId="14" fillId="0" borderId="0" xfId="0" applyFont="1"/>
    <xf numFmtId="0" fontId="15" fillId="0" borderId="0" xfId="0" applyFont="1"/>
    <xf numFmtId="167" fontId="15" fillId="0" borderId="0" xfId="0" applyNumberFormat="1" applyFont="1"/>
    <xf numFmtId="168" fontId="15" fillId="0" borderId="0" xfId="0" applyNumberFormat="1" applyFont="1"/>
    <xf numFmtId="0" fontId="15" fillId="0" borderId="0" xfId="0" applyFont="1" applyAlignment="1">
      <alignment horizontal="centerContinuous"/>
    </xf>
    <xf numFmtId="169" fontId="16" fillId="2" borderId="1" xfId="0" applyNumberFormat="1" applyFont="1" applyFill="1" applyBorder="1" applyAlignment="1">
      <alignment horizontal="centerContinuous"/>
    </xf>
    <xf numFmtId="170" fontId="16" fillId="2" borderId="1" xfId="0" applyNumberFormat="1" applyFont="1" applyFill="1" applyBorder="1" applyAlignment="1">
      <alignment horizontal="center"/>
    </xf>
    <xf numFmtId="171" fontId="16" fillId="2" borderId="2" xfId="0" applyNumberFormat="1" applyFont="1" applyFill="1" applyBorder="1" applyAlignment="1">
      <alignment horizontal="center"/>
    </xf>
    <xf numFmtId="172" fontId="16" fillId="2" borderId="2" xfId="0" applyNumberFormat="1" applyFont="1" applyFill="1" applyBorder="1" applyAlignment="1">
      <alignment horizontal="center"/>
    </xf>
    <xf numFmtId="173" fontId="16" fillId="2" borderId="2" xfId="0" applyNumberFormat="1" applyFont="1" applyFill="1" applyBorder="1" applyAlignment="1">
      <alignment horizontal="center"/>
    </xf>
    <xf numFmtId="0" fontId="15" fillId="0" borderId="0" xfId="0" applyFont="1" applyAlignment="1">
      <alignment horizontal="center"/>
    </xf>
    <xf numFmtId="174" fontId="16" fillId="2" borderId="2" xfId="0" applyNumberFormat="1" applyFont="1" applyFill="1" applyBorder="1" applyAlignment="1">
      <alignment horizontal="center"/>
    </xf>
    <xf numFmtId="175" fontId="16" fillId="2" borderId="2" xfId="0" applyNumberFormat="1" applyFont="1" applyFill="1" applyBorder="1" applyAlignment="1">
      <alignment horizontal="center"/>
    </xf>
    <xf numFmtId="175" fontId="16" fillId="2" borderId="2" xfId="0" applyNumberFormat="1" applyFont="1" applyFill="1" applyBorder="1" applyAlignment="1">
      <alignment horizontal="centerContinuous"/>
    </xf>
    <xf numFmtId="0" fontId="15" fillId="3" borderId="0" xfId="0" applyFont="1" applyFill="1"/>
    <xf numFmtId="176" fontId="15" fillId="4" borderId="3" xfId="0" applyNumberFormat="1" applyFont="1" applyFill="1" applyBorder="1" applyAlignment="1">
      <alignment horizontal="center"/>
    </xf>
    <xf numFmtId="176" fontId="15" fillId="4" borderId="4" xfId="0" applyNumberFormat="1" applyFont="1" applyFill="1" applyBorder="1" applyAlignment="1">
      <alignment horizontal="center"/>
    </xf>
    <xf numFmtId="168" fontId="15" fillId="5" borderId="0" xfId="0" applyNumberFormat="1" applyFont="1" applyFill="1"/>
    <xf numFmtId="168" fontId="17" fillId="5" borderId="0" xfId="0" applyNumberFormat="1" applyFont="1" applyFill="1"/>
    <xf numFmtId="168" fontId="17" fillId="0" borderId="0" xfId="0" applyNumberFormat="1" applyFont="1"/>
    <xf numFmtId="177" fontId="15" fillId="0" borderId="0" xfId="0" applyNumberFormat="1" applyFont="1"/>
    <xf numFmtId="168" fontId="18" fillId="0" borderId="0" xfId="0" applyNumberFormat="1" applyFont="1"/>
    <xf numFmtId="0" fontId="19" fillId="0" borderId="0" xfId="0" applyFont="1"/>
    <xf numFmtId="0" fontId="19" fillId="0" borderId="0" xfId="0" applyFont="1" applyAlignment="1">
      <alignment horizontal="left" indent="1"/>
    </xf>
    <xf numFmtId="0" fontId="20" fillId="0" borderId="0" xfId="0" applyFont="1" applyAlignment="1">
      <alignment horizontal="left" indent="1"/>
    </xf>
    <xf numFmtId="0" fontId="20" fillId="0" borderId="0" xfId="0" applyFont="1"/>
    <xf numFmtId="168" fontId="19" fillId="0" borderId="0" xfId="0" applyNumberFormat="1" applyFont="1"/>
    <xf numFmtId="168" fontId="21" fillId="0" borderId="0" xfId="0" applyNumberFormat="1" applyFont="1"/>
    <xf numFmtId="168" fontId="20" fillId="0" borderId="0" xfId="0" applyNumberFormat="1" applyFont="1"/>
    <xf numFmtId="168" fontId="22" fillId="0" borderId="0" xfId="0" applyNumberFormat="1" applyFont="1"/>
    <xf numFmtId="168" fontId="22" fillId="0" borderId="5" xfId="0" applyNumberFormat="1" applyFont="1" applyBorder="1"/>
    <xf numFmtId="168" fontId="23" fillId="0" borderId="0" xfId="0" applyNumberFormat="1" applyFont="1"/>
    <xf numFmtId="178" fontId="19" fillId="0" borderId="0" xfId="0" applyNumberFormat="1" applyFont="1" applyAlignment="1">
      <alignment horizontal="right"/>
    </xf>
    <xf numFmtId="168" fontId="20" fillId="0" borderId="5" xfId="0" applyNumberFormat="1" applyFont="1" applyBorder="1"/>
    <xf numFmtId="0" fontId="20" fillId="0" borderId="0" xfId="0" applyFont="1" applyAlignment="1">
      <alignment horizontal="left" indent="2"/>
    </xf>
    <xf numFmtId="0" fontId="25" fillId="0" borderId="0" xfId="0" applyFont="1"/>
    <xf numFmtId="168" fontId="20" fillId="0" borderId="6" xfId="0" applyNumberFormat="1" applyFont="1" applyBorder="1"/>
    <xf numFmtId="168" fontId="25" fillId="0" borderId="0" xfId="0" applyNumberFormat="1" applyFont="1"/>
    <xf numFmtId="178" fontId="21" fillId="0" borderId="0" xfId="0" applyNumberFormat="1" applyFont="1" applyAlignment="1">
      <alignment horizontal="right"/>
    </xf>
    <xf numFmtId="0" fontId="26" fillId="0" borderId="0" xfId="0" applyFont="1"/>
    <xf numFmtId="168" fontId="26" fillId="0" borderId="0" xfId="0" applyNumberFormat="1" applyFont="1"/>
    <xf numFmtId="0" fontId="19" fillId="0" borderId="0" xfId="0" applyFont="1" applyAlignment="1">
      <alignment horizontal="left" indent="2"/>
    </xf>
    <xf numFmtId="0" fontId="19" fillId="0" borderId="0" xfId="0" applyFont="1" applyAlignment="1">
      <alignment horizontal="left" indent="3"/>
    </xf>
    <xf numFmtId="0" fontId="20" fillId="0" borderId="0" xfId="0" applyFont="1" applyAlignment="1">
      <alignment horizontal="left" indent="3"/>
    </xf>
    <xf numFmtId="168" fontId="21" fillId="7" borderId="0" xfId="0" applyNumberFormat="1" applyFont="1" applyFill="1"/>
    <xf numFmtId="0" fontId="19" fillId="7" borderId="0" xfId="0" applyFont="1" applyFill="1"/>
    <xf numFmtId="0" fontId="26" fillId="7" borderId="0" xfId="0" applyFont="1" applyFill="1"/>
    <xf numFmtId="168" fontId="13" fillId="0" borderId="0" xfId="0" applyNumberFormat="1" applyFont="1"/>
    <xf numFmtId="168" fontId="15" fillId="0" borderId="0" xfId="0" applyNumberFormat="1" applyFont="1" applyAlignment="1">
      <alignment horizontal="left" indent="1"/>
    </xf>
    <xf numFmtId="168" fontId="15" fillId="0" borderId="0" xfId="0" applyNumberFormat="1" applyFont="1" applyAlignment="1">
      <alignment horizontal="left" indent="2"/>
    </xf>
    <xf numFmtId="168" fontId="27" fillId="0" borderId="0" xfId="0" applyNumberFormat="1" applyFont="1"/>
    <xf numFmtId="168" fontId="15" fillId="0" borderId="0" xfId="0" applyNumberFormat="1" applyFont="1" applyAlignment="1">
      <alignment horizontal="left"/>
    </xf>
    <xf numFmtId="168" fontId="28" fillId="0" borderId="0" xfId="0" applyNumberFormat="1" applyFont="1"/>
    <xf numFmtId="0" fontId="26" fillId="0" borderId="0" xfId="0" applyFont="1" applyAlignment="1">
      <alignment horizontal="left" indent="3"/>
    </xf>
    <xf numFmtId="0" fontId="23" fillId="0" borderId="0" xfId="0" applyFont="1"/>
    <xf numFmtId="0" fontId="23" fillId="0" borderId="0" xfId="0" applyFont="1" applyAlignment="1">
      <alignment horizontal="left" indent="3"/>
    </xf>
    <xf numFmtId="0" fontId="23" fillId="0" borderId="0" xfId="0" applyFont="1" applyAlignment="1">
      <alignment horizontal="left" indent="1"/>
    </xf>
    <xf numFmtId="168" fontId="19" fillId="7" borderId="0" xfId="0" applyNumberFormat="1" applyFont="1" applyFill="1"/>
    <xf numFmtId="168" fontId="20" fillId="7" borderId="0" xfId="0" applyNumberFormat="1" applyFont="1" applyFill="1"/>
    <xf numFmtId="0" fontId="20" fillId="7" borderId="0" xfId="0" applyFont="1" applyFill="1"/>
    <xf numFmtId="0" fontId="26" fillId="0" borderId="0" xfId="0" applyFont="1" applyAlignment="1">
      <alignment horizontal="left" indent="1"/>
    </xf>
    <xf numFmtId="177" fontId="19" fillId="0" borderId="0" xfId="0" applyNumberFormat="1" applyFont="1"/>
    <xf numFmtId="0" fontId="23" fillId="0" borderId="0" xfId="0" applyFont="1" applyAlignment="1">
      <alignment horizontal="left" indent="2"/>
    </xf>
    <xf numFmtId="179" fontId="21" fillId="0" borderId="0" xfId="0" applyNumberFormat="1" applyFont="1"/>
    <xf numFmtId="177" fontId="21" fillId="0" borderId="0" xfId="0" applyNumberFormat="1" applyFont="1"/>
    <xf numFmtId="177" fontId="20" fillId="0" borderId="5" xfId="0" applyNumberFormat="1" applyFont="1" applyBorder="1"/>
    <xf numFmtId="0" fontId="30" fillId="0" borderId="0" xfId="0" applyFon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0" fontId="30" fillId="0" borderId="0" xfId="0" applyFont="1"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31" fillId="0" borderId="0" xfId="0" applyFont="1"/>
    <xf numFmtId="0" fontId="0" fillId="0" borderId="0" xfId="0" applyAlignment="1">
      <alignment wrapText="1"/>
    </xf>
    <xf numFmtId="168" fontId="29" fillId="0" borderId="5" xfId="0" applyNumberFormat="1" applyFont="1" applyBorder="1"/>
    <xf numFmtId="168" fontId="24" fillId="0" borderId="0" xfId="0" applyNumberFormat="1" applyFont="1"/>
    <xf numFmtId="0" fontId="24" fillId="0" borderId="0" xfId="0" applyFont="1"/>
    <xf numFmtId="178" fontId="23" fillId="0" borderId="0" xfId="0" applyNumberFormat="1" applyFont="1" applyAlignment="1">
      <alignment horizontal="right"/>
    </xf>
    <xf numFmtId="168" fontId="29" fillId="0" borderId="0" xfId="0" applyNumberFormat="1" applyFont="1"/>
    <xf numFmtId="0" fontId="20" fillId="0" borderId="0" xfId="0" applyFont="1" applyAlignment="1">
      <alignment horizontal="left"/>
    </xf>
    <xf numFmtId="181" fontId="21" fillId="0" borderId="0" xfId="0" applyNumberFormat="1" applyFont="1"/>
    <xf numFmtId="178" fontId="20" fillId="0" borderId="5" xfId="0" applyNumberFormat="1" applyFont="1" applyBorder="1" applyAlignment="1">
      <alignment horizontal="right"/>
    </xf>
    <xf numFmtId="178" fontId="29" fillId="0" borderId="5" xfId="0" applyNumberFormat="1" applyFont="1" applyBorder="1" applyAlignment="1">
      <alignment horizontal="right"/>
    </xf>
    <xf numFmtId="181" fontId="21" fillId="7" borderId="0" xfId="0" applyNumberFormat="1" applyFont="1" applyFill="1"/>
    <xf numFmtId="177" fontId="32" fillId="0" borderId="0" xfId="0" applyNumberFormat="1" applyFont="1"/>
    <xf numFmtId="180" fontId="19" fillId="0" borderId="0" xfId="0" applyNumberFormat="1" applyFont="1"/>
    <xf numFmtId="168" fontId="29" fillId="7" borderId="0" xfId="0" applyNumberFormat="1" applyFont="1" applyFill="1"/>
    <xf numFmtId="168" fontId="21" fillId="0" borderId="5" xfId="0" applyNumberFormat="1" applyFont="1" applyBorder="1"/>
    <xf numFmtId="168" fontId="26" fillId="7" borderId="0" xfId="0" applyNumberFormat="1" applyFont="1" applyFill="1"/>
    <xf numFmtId="0" fontId="32" fillId="0" borderId="0" xfId="0" applyFont="1" applyAlignment="1">
      <alignment horizontal="left" indent="4"/>
    </xf>
    <xf numFmtId="177" fontId="35" fillId="0" borderId="0" xfId="0" applyNumberFormat="1" applyFont="1"/>
    <xf numFmtId="177" fontId="35" fillId="0" borderId="0" xfId="0" applyNumberFormat="1" applyFont="1" applyAlignment="1">
      <alignment horizontal="right"/>
    </xf>
    <xf numFmtId="177" fontId="35" fillId="7" borderId="0" xfId="0" applyNumberFormat="1" applyFont="1" applyFill="1"/>
    <xf numFmtId="181" fontId="26" fillId="0" borderId="0" xfId="0" applyNumberFormat="1" applyFont="1"/>
    <xf numFmtId="168" fontId="21" fillId="6" borderId="0" xfId="0" applyNumberFormat="1" applyFont="1" applyFill="1"/>
    <xf numFmtId="168" fontId="23" fillId="0" borderId="0" xfId="0" applyNumberFormat="1" applyFont="1" applyAlignment="1">
      <alignment horizontal="right"/>
    </xf>
    <xf numFmtId="168" fontId="22" fillId="0" borderId="5" xfId="0" applyNumberFormat="1" applyFont="1" applyBorder="1" applyAlignment="1">
      <alignment horizontal="right"/>
    </xf>
    <xf numFmtId="168" fontId="13" fillId="0" borderId="0" xfId="0" applyNumberFormat="1" applyFont="1" applyAlignment="1">
      <alignment horizontal="left" indent="2"/>
    </xf>
    <xf numFmtId="168" fontId="13" fillId="0" borderId="5" xfId="0" applyNumberFormat="1" applyFont="1" applyBorder="1"/>
    <xf numFmtId="168" fontId="36" fillId="0" borderId="5" xfId="0" applyNumberFormat="1" applyFont="1" applyBorder="1"/>
    <xf numFmtId="168" fontId="26" fillId="0" borderId="0" xfId="0" applyNumberFormat="1" applyFont="1" applyAlignment="1">
      <alignment horizontal="right"/>
    </xf>
    <xf numFmtId="168" fontId="22" fillId="0" borderId="0" xfId="0" applyNumberFormat="1" applyFont="1" applyAlignment="1">
      <alignment horizontal="right"/>
    </xf>
    <xf numFmtId="168" fontId="19" fillId="6" borderId="0" xfId="0" applyNumberFormat="1" applyFont="1" applyFill="1"/>
    <xf numFmtId="0" fontId="32" fillId="0" borderId="0" xfId="0" applyFont="1" applyAlignment="1">
      <alignment horizontal="left" indent="3"/>
    </xf>
    <xf numFmtId="178" fontId="22" fillId="0" borderId="0" xfId="0" applyNumberFormat="1" applyFont="1" applyAlignment="1">
      <alignment horizontal="right"/>
    </xf>
    <xf numFmtId="168" fontId="17" fillId="0" borderId="0" xfId="0" applyNumberFormat="1" applyFont="1" applyAlignment="1">
      <alignment horizontal="left" indent="1"/>
    </xf>
    <xf numFmtId="168" fontId="13" fillId="0" borderId="0" xfId="0" applyNumberFormat="1" applyFont="1" applyAlignment="1">
      <alignment horizontal="left" indent="3"/>
    </xf>
    <xf numFmtId="0" fontId="20" fillId="0" borderId="0" xfId="0" applyFont="1" applyAlignment="1">
      <alignment horizontal="left" indent="4"/>
    </xf>
    <xf numFmtId="0" fontId="19" fillId="0" borderId="0" xfId="0" applyFont="1" applyAlignment="1">
      <alignment horizontal="left" indent="4"/>
    </xf>
    <xf numFmtId="0" fontId="26" fillId="0" borderId="0" xfId="0" applyFont="1" applyAlignment="1">
      <alignment horizontal="left" indent="4"/>
    </xf>
    <xf numFmtId="0" fontId="32" fillId="0" borderId="0" xfId="0" applyFont="1" applyAlignment="1">
      <alignment horizontal="left" indent="5"/>
    </xf>
    <xf numFmtId="0" fontId="25" fillId="0" borderId="0" xfId="0" applyFont="1" applyAlignment="1">
      <alignment horizontal="left" indent="2"/>
    </xf>
    <xf numFmtId="168" fontId="13" fillId="0" borderId="0" xfId="0" applyNumberFormat="1" applyFont="1" applyAlignment="1">
      <alignment horizontal="left" indent="4"/>
    </xf>
    <xf numFmtId="168" fontId="36" fillId="7" borderId="0" xfId="0" applyNumberFormat="1" applyFont="1" applyFill="1"/>
    <xf numFmtId="177" fontId="37" fillId="0" borderId="0" xfId="0" applyNumberFormat="1" applyFont="1" applyAlignment="1">
      <alignment horizontal="right"/>
    </xf>
    <xf numFmtId="168" fontId="38" fillId="7" borderId="0" xfId="0" applyNumberFormat="1" applyFont="1" applyFill="1"/>
    <xf numFmtId="177" fontId="37" fillId="0" borderId="0" xfId="0" applyNumberFormat="1" applyFont="1"/>
    <xf numFmtId="168" fontId="39" fillId="0" borderId="0" xfId="0" applyNumberFormat="1" applyFont="1"/>
    <xf numFmtId="168" fontId="14" fillId="0" borderId="0" xfId="0" applyNumberFormat="1" applyFont="1" applyAlignment="1">
      <alignment horizontal="left" indent="4"/>
    </xf>
    <xf numFmtId="0" fontId="22" fillId="0" borderId="0" xfId="0" applyFont="1" applyAlignment="1">
      <alignment horizontal="left" indent="3"/>
    </xf>
    <xf numFmtId="168" fontId="22" fillId="7" borderId="0" xfId="0" applyNumberFormat="1" applyFont="1" applyFill="1"/>
    <xf numFmtId="177" fontId="22" fillId="0" borderId="5" xfId="0" applyNumberFormat="1" applyFont="1" applyBorder="1"/>
    <xf numFmtId="177" fontId="22" fillId="0" borderId="0" xfId="0" applyNumberFormat="1" applyFont="1"/>
    <xf numFmtId="168" fontId="42" fillId="0" borderId="0" xfId="0" applyNumberFormat="1" applyFont="1"/>
    <xf numFmtId="168" fontId="15" fillId="6" borderId="0" xfId="0" applyNumberFormat="1" applyFont="1" applyFill="1"/>
    <xf numFmtId="168" fontId="19" fillId="0" borderId="0" xfId="0" applyNumberFormat="1" applyFont="1" applyAlignment="1">
      <alignment horizontal="right"/>
    </xf>
    <xf numFmtId="177" fontId="40" fillId="0" borderId="0" xfId="0" applyNumberFormat="1" applyFont="1"/>
    <xf numFmtId="180" fontId="20" fillId="0" borderId="0" xfId="0" applyNumberFormat="1" applyFont="1"/>
    <xf numFmtId="180" fontId="20" fillId="0" borderId="5" xfId="0" applyNumberFormat="1" applyFont="1" applyBorder="1"/>
    <xf numFmtId="168" fontId="41" fillId="0" borderId="0" xfId="0" applyNumberFormat="1" applyFont="1"/>
    <xf numFmtId="168" fontId="41" fillId="7" borderId="0" xfId="0" applyNumberFormat="1" applyFont="1" applyFill="1"/>
    <xf numFmtId="167" fontId="19" fillId="0" borderId="0" xfId="0" applyNumberFormat="1" applyFont="1"/>
    <xf numFmtId="177" fontId="19" fillId="7" borderId="0" xfId="0" applyNumberFormat="1" applyFont="1" applyFill="1"/>
    <xf numFmtId="0" fontId="15" fillId="0" borderId="0" xfId="0" applyFont="1" applyAlignment="1">
      <alignment horizontal="left" indent="2"/>
    </xf>
    <xf numFmtId="0" fontId="13" fillId="0" borderId="0" xfId="0" applyFont="1" applyAlignment="1">
      <alignment horizontal="left" indent="3"/>
    </xf>
    <xf numFmtId="168" fontId="20" fillId="0" borderId="5" xfId="0" applyNumberFormat="1" applyFont="1" applyBorder="1" applyAlignment="1">
      <alignment horizontal="right"/>
    </xf>
    <xf numFmtId="0" fontId="35" fillId="0" borderId="0" xfId="0" applyFont="1" applyAlignment="1">
      <alignment horizontal="left" indent="2"/>
    </xf>
    <xf numFmtId="0" fontId="32" fillId="0" borderId="0" xfId="0" applyFont="1" applyAlignment="1">
      <alignment horizontal="left" indent="1"/>
    </xf>
    <xf numFmtId="184" fontId="35" fillId="0" borderId="0" xfId="0" applyNumberFormat="1" applyFont="1"/>
    <xf numFmtId="184" fontId="35" fillId="0" borderId="0" xfId="0" applyNumberFormat="1" applyFont="1" applyAlignment="1">
      <alignment horizontal="right"/>
    </xf>
    <xf numFmtId="183" fontId="35" fillId="0" borderId="0" xfId="0" applyNumberFormat="1" applyFont="1"/>
    <xf numFmtId="183" fontId="35" fillId="0" borderId="0" xfId="0" applyNumberFormat="1" applyFont="1" applyAlignment="1">
      <alignment horizontal="right"/>
    </xf>
    <xf numFmtId="184" fontId="43" fillId="0" borderId="0" xfId="0" applyNumberFormat="1" applyFont="1"/>
    <xf numFmtId="177" fontId="43" fillId="0" borderId="0" xfId="0" applyNumberFormat="1" applyFont="1"/>
    <xf numFmtId="168" fontId="25" fillId="7" borderId="0" xfId="0" applyNumberFormat="1" applyFont="1" applyFill="1"/>
    <xf numFmtId="168" fontId="44" fillId="0" borderId="0" xfId="0" applyNumberFormat="1" applyFont="1"/>
    <xf numFmtId="0" fontId="13" fillId="0" borderId="0" xfId="1" applyFont="1"/>
    <xf numFmtId="168" fontId="13" fillId="0" borderId="0" xfId="1" applyNumberFormat="1" applyFont="1"/>
    <xf numFmtId="167" fontId="18" fillId="0" borderId="0" xfId="1" applyNumberFormat="1" applyFont="1"/>
    <xf numFmtId="0" fontId="14" fillId="0" borderId="0" xfId="1" applyFont="1"/>
    <xf numFmtId="0" fontId="15" fillId="0" borderId="0" xfId="1" applyFont="1"/>
    <xf numFmtId="168" fontId="18" fillId="0" borderId="0" xfId="1" applyNumberFormat="1" applyFont="1"/>
    <xf numFmtId="168" fontId="28" fillId="0" borderId="0" xfId="1" applyNumberFormat="1" applyFont="1"/>
    <xf numFmtId="0" fontId="28" fillId="0" borderId="9" xfId="1" applyFont="1" applyBorder="1" applyAlignment="1">
      <alignment horizontal="center"/>
    </xf>
    <xf numFmtId="0" fontId="28" fillId="0" borderId="10" xfId="1" applyFont="1" applyBorder="1" applyAlignment="1">
      <alignment horizontal="center"/>
    </xf>
    <xf numFmtId="168" fontId="28" fillId="0" borderId="11" xfId="1" applyNumberFormat="1" applyFont="1" applyBorder="1" applyAlignment="1">
      <alignment horizontal="center"/>
    </xf>
    <xf numFmtId="167" fontId="15" fillId="0" borderId="0" xfId="1" applyNumberFormat="1" applyFont="1"/>
    <xf numFmtId="177" fontId="18" fillId="0" borderId="0" xfId="1" applyNumberFormat="1" applyFont="1"/>
    <xf numFmtId="184" fontId="15" fillId="0" borderId="0" xfId="1" applyNumberFormat="1" applyFont="1"/>
    <xf numFmtId="182" fontId="18" fillId="0" borderId="0" xfId="1" applyNumberFormat="1" applyFont="1"/>
    <xf numFmtId="183" fontId="18" fillId="0" borderId="0" xfId="1" applyNumberFormat="1" applyFont="1"/>
    <xf numFmtId="0" fontId="28" fillId="0" borderId="12" xfId="1" applyFont="1" applyBorder="1" applyAlignment="1">
      <alignment horizontal="center"/>
    </xf>
    <xf numFmtId="168" fontId="28" fillId="0" borderId="13" xfId="1" applyNumberFormat="1" applyFont="1" applyBorder="1" applyAlignment="1">
      <alignment horizontal="center"/>
    </xf>
    <xf numFmtId="177" fontId="15" fillId="0" borderId="0" xfId="1" applyNumberFormat="1" applyFont="1"/>
    <xf numFmtId="169" fontId="16" fillId="0" borderId="0" xfId="1" applyNumberFormat="1" applyFont="1" applyAlignment="1">
      <alignment horizontal="centerContinuous"/>
    </xf>
    <xf numFmtId="169" fontId="16" fillId="2" borderId="7" xfId="1" applyNumberFormat="1" applyFont="1" applyFill="1" applyBorder="1" applyAlignment="1">
      <alignment horizontal="centerContinuous"/>
    </xf>
    <xf numFmtId="169" fontId="16" fillId="2" borderId="8" xfId="1" applyNumberFormat="1" applyFont="1" applyFill="1" applyBorder="1" applyAlignment="1">
      <alignment horizontal="centerContinuous"/>
    </xf>
    <xf numFmtId="185" fontId="16" fillId="2" borderId="8" xfId="1" applyNumberFormat="1" applyFont="1" applyFill="1" applyBorder="1" applyAlignment="1">
      <alignment horizontal="centerContinuous"/>
    </xf>
    <xf numFmtId="186" fontId="16" fillId="2" borderId="8" xfId="1" applyNumberFormat="1" applyFont="1" applyFill="1" applyBorder="1" applyAlignment="1">
      <alignment horizontal="centerContinuous"/>
    </xf>
    <xf numFmtId="187" fontId="16" fillId="2" borderId="8" xfId="1" applyNumberFormat="1" applyFont="1" applyFill="1" applyBorder="1" applyAlignment="1">
      <alignment horizontal="centerContinuous"/>
    </xf>
    <xf numFmtId="188" fontId="16" fillId="2" borderId="8" xfId="1" applyNumberFormat="1" applyFont="1" applyFill="1" applyBorder="1" applyAlignment="1">
      <alignment horizontal="centerContinuous"/>
    </xf>
    <xf numFmtId="188" fontId="16" fillId="2" borderId="8" xfId="1" applyNumberFormat="1" applyFont="1" applyFill="1" applyBorder="1" applyAlignment="1">
      <alignment horizontal="center"/>
    </xf>
    <xf numFmtId="186" fontId="16" fillId="0" borderId="0" xfId="1" applyNumberFormat="1" applyFont="1" applyAlignment="1">
      <alignment horizontal="centerContinuous"/>
    </xf>
    <xf numFmtId="174" fontId="16" fillId="2" borderId="8" xfId="1" applyNumberFormat="1" applyFont="1" applyFill="1" applyBorder="1" applyAlignment="1">
      <alignment horizontal="center"/>
    </xf>
    <xf numFmtId="176" fontId="15" fillId="4" borderId="3" xfId="1" applyNumberFormat="1" applyFont="1" applyFill="1" applyBorder="1" applyAlignment="1">
      <alignment horizontal="center"/>
    </xf>
    <xf numFmtId="176" fontId="15" fillId="4" borderId="1" xfId="1" applyNumberFormat="1" applyFont="1" applyFill="1" applyBorder="1" applyAlignment="1">
      <alignment horizontal="center"/>
    </xf>
    <xf numFmtId="176" fontId="15" fillId="0" borderId="0" xfId="1" applyNumberFormat="1" applyFont="1" applyAlignment="1">
      <alignment horizontal="center"/>
    </xf>
    <xf numFmtId="176" fontId="15" fillId="4" borderId="4" xfId="1" applyNumberFormat="1" applyFont="1" applyFill="1" applyBorder="1" applyAlignment="1">
      <alignment horizontal="center"/>
    </xf>
    <xf numFmtId="168" fontId="15" fillId="0" borderId="0" xfId="1" applyNumberFormat="1" applyFont="1"/>
    <xf numFmtId="168" fontId="13" fillId="5" borderId="0" xfId="1" applyNumberFormat="1" applyFont="1" applyFill="1"/>
    <xf numFmtId="168" fontId="17" fillId="5" borderId="0" xfId="1" applyNumberFormat="1" applyFont="1" applyFill="1"/>
    <xf numFmtId="184" fontId="17" fillId="5" borderId="0" xfId="1" applyNumberFormat="1" applyFont="1" applyFill="1"/>
    <xf numFmtId="184" fontId="17" fillId="0" borderId="0" xfId="1" applyNumberFormat="1" applyFont="1"/>
    <xf numFmtId="184" fontId="15" fillId="5" borderId="0" xfId="1" applyNumberFormat="1" applyFont="1" applyFill="1"/>
    <xf numFmtId="168" fontId="17" fillId="0" borderId="0" xfId="1" applyNumberFormat="1" applyFont="1"/>
    <xf numFmtId="168" fontId="27" fillId="0" borderId="0" xfId="1" applyNumberFormat="1" applyFont="1"/>
    <xf numFmtId="0" fontId="15" fillId="0" borderId="0" xfId="1" applyFont="1" applyAlignment="1">
      <alignment horizontal="left"/>
    </xf>
    <xf numFmtId="10" fontId="27" fillId="0" borderId="0" xfId="1" applyNumberFormat="1" applyFont="1"/>
    <xf numFmtId="14" fontId="15" fillId="0" borderId="0" xfId="1" applyNumberFormat="1" applyFont="1"/>
    <xf numFmtId="10" fontId="28" fillId="0" borderId="0" xfId="1" applyNumberFormat="1" applyFont="1"/>
    <xf numFmtId="10" fontId="45" fillId="0" borderId="0" xfId="1" applyNumberFormat="1" applyFont="1"/>
    <xf numFmtId="10" fontId="15" fillId="0" borderId="0" xfId="1" applyNumberFormat="1" applyFont="1"/>
    <xf numFmtId="168" fontId="28" fillId="0" borderId="5" xfId="1" applyNumberFormat="1" applyFont="1" applyBorder="1"/>
    <xf numFmtId="0" fontId="15" fillId="0" borderId="0" xfId="1" applyFont="1" applyAlignment="1">
      <alignment horizontal="left" indent="1"/>
    </xf>
    <xf numFmtId="10" fontId="46" fillId="0" borderId="0" xfId="1" applyNumberFormat="1" applyFont="1" applyAlignment="1">
      <alignment horizontal="left"/>
    </xf>
    <xf numFmtId="168" fontId="36" fillId="0" borderId="0" xfId="1" applyNumberFormat="1" applyFont="1"/>
    <xf numFmtId="0" fontId="13" fillId="0" borderId="0" xfId="1" applyFont="1" applyAlignment="1">
      <alignment horizontal="left" indent="2"/>
    </xf>
    <xf numFmtId="168" fontId="36" fillId="0" borderId="5" xfId="1" applyNumberFormat="1" applyFont="1" applyBorder="1"/>
    <xf numFmtId="168" fontId="46" fillId="0" borderId="0" xfId="1" applyNumberFormat="1" applyFont="1"/>
    <xf numFmtId="168" fontId="13" fillId="0" borderId="0" xfId="1" applyNumberFormat="1" applyFont="1" applyAlignment="1">
      <alignment horizontal="left" indent="1"/>
    </xf>
    <xf numFmtId="168" fontId="13" fillId="0" borderId="5" xfId="1" applyNumberFormat="1" applyFont="1" applyBorder="1"/>
    <xf numFmtId="168" fontId="15" fillId="0" borderId="0" xfId="1" applyNumberFormat="1" applyFont="1" applyAlignment="1">
      <alignment horizontal="left" indent="1"/>
    </xf>
    <xf numFmtId="168" fontId="13" fillId="0" borderId="0" xfId="1" applyNumberFormat="1" applyFont="1" applyAlignment="1">
      <alignment horizontal="left" indent="2"/>
    </xf>
    <xf numFmtId="168" fontId="48" fillId="0" borderId="5" xfId="1" applyNumberFormat="1" applyFont="1" applyBorder="1"/>
    <xf numFmtId="168" fontId="45" fillId="0" borderId="0" xfId="1" applyNumberFormat="1" applyFont="1"/>
    <xf numFmtId="177" fontId="45" fillId="0" borderId="0" xfId="1" applyNumberFormat="1" applyFont="1"/>
    <xf numFmtId="14" fontId="28" fillId="0" borderId="0" xfId="1" applyNumberFormat="1" applyFont="1"/>
    <xf numFmtId="168" fontId="47" fillId="0" borderId="0" xfId="1" applyNumberFormat="1" applyFont="1"/>
    <xf numFmtId="168" fontId="40" fillId="0" borderId="0" xfId="0" applyNumberFormat="1" applyFont="1"/>
    <xf numFmtId="168" fontId="14" fillId="0" borderId="0" xfId="0" applyNumberFormat="1" applyFont="1" applyAlignment="1">
      <alignment horizontal="left" indent="3"/>
    </xf>
    <xf numFmtId="180" fontId="15" fillId="0" borderId="0" xfId="1" applyNumberFormat="1" applyFont="1"/>
    <xf numFmtId="0" fontId="15" fillId="7" borderId="0" xfId="1" applyFont="1" applyFill="1"/>
    <xf numFmtId="183" fontId="15" fillId="0" borderId="0" xfId="1" applyNumberFormat="1" applyFont="1"/>
    <xf numFmtId="0" fontId="15" fillId="0" borderId="0" xfId="2" applyFont="1"/>
    <xf numFmtId="168" fontId="13" fillId="0" borderId="14" xfId="2" applyNumberFormat="1" applyFont="1" applyBorder="1"/>
    <xf numFmtId="0" fontId="13" fillId="0" borderId="0" xfId="2" applyFont="1"/>
    <xf numFmtId="0" fontId="13" fillId="0" borderId="14" xfId="2" applyFont="1" applyBorder="1"/>
    <xf numFmtId="0" fontId="13" fillId="0" borderId="12" xfId="2" applyFont="1" applyBorder="1"/>
    <xf numFmtId="168" fontId="13" fillId="0" borderId="5" xfId="2" applyNumberFormat="1" applyFont="1" applyBorder="1"/>
    <xf numFmtId="0" fontId="13" fillId="0" borderId="5" xfId="2" applyFont="1" applyBorder="1"/>
    <xf numFmtId="0" fontId="13" fillId="0" borderId="15" xfId="2" applyFont="1" applyBorder="1"/>
    <xf numFmtId="178" fontId="15" fillId="0" borderId="0" xfId="2" applyNumberFormat="1" applyFont="1" applyAlignment="1">
      <alignment horizontal="right"/>
    </xf>
    <xf numFmtId="178" fontId="15" fillId="0" borderId="0" xfId="2" applyNumberFormat="1" applyFont="1"/>
    <xf numFmtId="168" fontId="15" fillId="0" borderId="0" xfId="2" applyNumberFormat="1" applyFont="1"/>
    <xf numFmtId="168" fontId="15" fillId="0" borderId="0" xfId="2" applyNumberFormat="1" applyFont="1" applyAlignment="1">
      <alignment horizontal="right"/>
    </xf>
    <xf numFmtId="168" fontId="15" fillId="0" borderId="0" xfId="2" applyNumberFormat="1" applyFont="1" applyAlignment="1">
      <alignment horizontal="left"/>
    </xf>
    <xf numFmtId="0" fontId="13" fillId="0" borderId="0" xfId="2" applyFont="1" applyAlignment="1">
      <alignment horizontal="right"/>
    </xf>
    <xf numFmtId="168" fontId="15" fillId="5" borderId="0" xfId="2" applyNumberFormat="1" applyFont="1" applyFill="1"/>
    <xf numFmtId="168" fontId="17" fillId="5" borderId="0" xfId="2" applyNumberFormat="1" applyFont="1" applyFill="1"/>
    <xf numFmtId="168" fontId="17" fillId="0" borderId="0" xfId="2" applyNumberFormat="1" applyFont="1"/>
    <xf numFmtId="183" fontId="15" fillId="0" borderId="16" xfId="2" applyNumberFormat="1" applyFont="1" applyBorder="1" applyAlignment="1">
      <alignment horizontal="right"/>
    </xf>
    <xf numFmtId="183" fontId="15" fillId="0" borderId="17" xfId="2" applyNumberFormat="1" applyFont="1" applyBorder="1" applyAlignment="1">
      <alignment horizontal="right"/>
    </xf>
    <xf numFmtId="183" fontId="15" fillId="0" borderId="18" xfId="2" applyNumberFormat="1" applyFont="1" applyBorder="1" applyAlignment="1">
      <alignment horizontal="right"/>
    </xf>
    <xf numFmtId="182" fontId="15" fillId="0" borderId="0" xfId="2" applyNumberFormat="1" applyFont="1" applyAlignment="1">
      <alignment horizontal="right"/>
    </xf>
    <xf numFmtId="177" fontId="15" fillId="0" borderId="0" xfId="2" applyNumberFormat="1" applyFont="1"/>
    <xf numFmtId="183" fontId="13" fillId="0" borderId="0" xfId="2" applyNumberFormat="1" applyFont="1"/>
    <xf numFmtId="177" fontId="15" fillId="0" borderId="0" xfId="2" applyNumberFormat="1" applyFont="1" applyAlignment="1">
      <alignment horizontal="left"/>
    </xf>
    <xf numFmtId="177" fontId="13" fillId="0" borderId="0" xfId="2" applyNumberFormat="1" applyFont="1"/>
    <xf numFmtId="177" fontId="15" fillId="0" borderId="0" xfId="2" applyNumberFormat="1" applyFont="1" applyAlignment="1">
      <alignment horizontal="right"/>
    </xf>
    <xf numFmtId="177" fontId="15" fillId="0" borderId="16" xfId="2" applyNumberFormat="1" applyFont="1" applyBorder="1" applyAlignment="1">
      <alignment horizontal="right"/>
    </xf>
    <xf numFmtId="183" fontId="15" fillId="0" borderId="0" xfId="2" applyNumberFormat="1" applyFont="1" applyAlignment="1">
      <alignment horizontal="right"/>
    </xf>
    <xf numFmtId="177" fontId="15" fillId="0" borderId="17" xfId="2" applyNumberFormat="1" applyFont="1" applyBorder="1" applyAlignment="1">
      <alignment horizontal="right"/>
    </xf>
    <xf numFmtId="177" fontId="15" fillId="0" borderId="18" xfId="2" applyNumberFormat="1" applyFont="1" applyBorder="1" applyAlignment="1">
      <alignment horizontal="right"/>
    </xf>
    <xf numFmtId="179" fontId="13" fillId="0" borderId="0" xfId="2" applyNumberFormat="1" applyFont="1"/>
    <xf numFmtId="189" fontId="13" fillId="0" borderId="0" xfId="2" applyNumberFormat="1" applyFont="1"/>
    <xf numFmtId="183" fontId="13" fillId="0" borderId="14" xfId="2" applyNumberFormat="1" applyFont="1" applyBorder="1"/>
    <xf numFmtId="183" fontId="13" fillId="0" borderId="5" xfId="2" applyNumberFormat="1" applyFont="1" applyBorder="1"/>
    <xf numFmtId="189" fontId="15" fillId="0" borderId="0" xfId="2" applyNumberFormat="1" applyFont="1" applyAlignment="1">
      <alignment horizontal="right"/>
    </xf>
    <xf numFmtId="183" fontId="27" fillId="0" borderId="0" xfId="2" applyNumberFormat="1" applyFont="1" applyAlignment="1">
      <alignment horizontal="right"/>
    </xf>
    <xf numFmtId="177" fontId="13" fillId="0" borderId="14" xfId="2" applyNumberFormat="1" applyFont="1" applyBorder="1"/>
    <xf numFmtId="177" fontId="13" fillId="0" borderId="5" xfId="2" applyNumberFormat="1" applyFont="1" applyBorder="1"/>
    <xf numFmtId="177" fontId="27" fillId="0" borderId="9" xfId="2" applyNumberFormat="1" applyFont="1" applyBorder="1" applyAlignment="1">
      <alignment horizontal="right"/>
    </xf>
    <xf numFmtId="183" fontId="15" fillId="0" borderId="0" xfId="2" applyNumberFormat="1" applyFont="1"/>
    <xf numFmtId="183" fontId="28" fillId="0" borderId="0" xfId="2" applyNumberFormat="1" applyFont="1" applyAlignment="1">
      <alignment horizontal="right"/>
    </xf>
    <xf numFmtId="183" fontId="27" fillId="0" borderId="9" xfId="2" applyNumberFormat="1" applyFont="1" applyBorder="1" applyAlignment="1">
      <alignment horizontal="right"/>
    </xf>
    <xf numFmtId="9" fontId="15" fillId="0" borderId="0" xfId="2" applyNumberFormat="1" applyFont="1"/>
    <xf numFmtId="183" fontId="18" fillId="0" borderId="0" xfId="2" applyNumberFormat="1" applyFont="1" applyAlignment="1">
      <alignment horizontal="right"/>
    </xf>
    <xf numFmtId="176" fontId="15" fillId="0" borderId="0" xfId="2" applyNumberFormat="1" applyFont="1" applyAlignment="1">
      <alignment horizontal="center"/>
    </xf>
    <xf numFmtId="176" fontId="13" fillId="0" borderId="0" xfId="2" applyNumberFormat="1" applyFont="1" applyAlignment="1">
      <alignment horizontal="center"/>
    </xf>
    <xf numFmtId="0" fontId="15" fillId="3" borderId="0" xfId="2" applyFont="1" applyFill="1"/>
    <xf numFmtId="176" fontId="15" fillId="4" borderId="2" xfId="2" applyNumberFormat="1" applyFont="1" applyFill="1" applyBorder="1" applyAlignment="1">
      <alignment horizontal="center"/>
    </xf>
    <xf numFmtId="176" fontId="13" fillId="4" borderId="19" xfId="2" applyNumberFormat="1" applyFont="1" applyFill="1" applyBorder="1" applyAlignment="1">
      <alignment horizontal="center"/>
    </xf>
    <xf numFmtId="176" fontId="15" fillId="4" borderId="1" xfId="2" applyNumberFormat="1" applyFont="1" applyFill="1" applyBorder="1" applyAlignment="1">
      <alignment horizontal="center"/>
    </xf>
    <xf numFmtId="176" fontId="15" fillId="4" borderId="4" xfId="2" applyNumberFormat="1" applyFont="1" applyFill="1" applyBorder="1" applyAlignment="1">
      <alignment horizontal="center"/>
    </xf>
    <xf numFmtId="176" fontId="15" fillId="4" borderId="20" xfId="2" applyNumberFormat="1" applyFont="1" applyFill="1" applyBorder="1" applyAlignment="1">
      <alignment horizontal="center"/>
    </xf>
    <xf numFmtId="176" fontId="15" fillId="4" borderId="3" xfId="2" applyNumberFormat="1" applyFont="1" applyFill="1" applyBorder="1" applyAlignment="1">
      <alignment horizontal="center"/>
    </xf>
    <xf numFmtId="190" fontId="16" fillId="2" borderId="2" xfId="2" applyNumberFormat="1" applyFont="1" applyFill="1" applyBorder="1" applyAlignment="1">
      <alignment horizontal="center"/>
    </xf>
    <xf numFmtId="174" fontId="49" fillId="2" borderId="21" xfId="2" applyNumberFormat="1" applyFont="1" applyFill="1" applyBorder="1" applyAlignment="1">
      <alignment horizontal="center"/>
    </xf>
    <xf numFmtId="174" fontId="16" fillId="2" borderId="2" xfId="2" applyNumberFormat="1" applyFont="1" applyFill="1" applyBorder="1" applyAlignment="1">
      <alignment horizontal="center"/>
    </xf>
    <xf numFmtId="169" fontId="16" fillId="0" borderId="0" xfId="2" applyNumberFormat="1" applyFont="1"/>
    <xf numFmtId="188" fontId="16" fillId="2" borderId="8" xfId="2" applyNumberFormat="1" applyFont="1" applyFill="1" applyBorder="1" applyAlignment="1">
      <alignment horizontal="centerContinuous"/>
    </xf>
    <xf numFmtId="187" fontId="16" fillId="2" borderId="8" xfId="2" applyNumberFormat="1" applyFont="1" applyFill="1" applyBorder="1" applyAlignment="1">
      <alignment horizontal="centerContinuous"/>
    </xf>
    <xf numFmtId="186" fontId="16" fillId="2" borderId="8" xfId="2" applyNumberFormat="1" applyFont="1" applyFill="1" applyBorder="1" applyAlignment="1">
      <alignment horizontal="centerContinuous"/>
    </xf>
    <xf numFmtId="185" fontId="16" fillId="2" borderId="8" xfId="2" applyNumberFormat="1" applyFont="1" applyFill="1" applyBorder="1" applyAlignment="1">
      <alignment horizontal="centerContinuous"/>
    </xf>
    <xf numFmtId="169" fontId="16" fillId="2" borderId="2" xfId="2" applyNumberFormat="1" applyFont="1" applyFill="1" applyBorder="1"/>
    <xf numFmtId="169" fontId="16" fillId="2" borderId="1" xfId="2" applyNumberFormat="1" applyFont="1" applyFill="1" applyBorder="1" applyAlignment="1">
      <alignment horizontal="centerContinuous"/>
    </xf>
    <xf numFmtId="0" fontId="15" fillId="0" borderId="0" xfId="2" quotePrefix="1" applyFont="1" applyAlignment="1">
      <alignment horizontal="center"/>
    </xf>
    <xf numFmtId="191" fontId="18" fillId="0" borderId="0" xfId="2" applyNumberFormat="1" applyFont="1" applyAlignment="1">
      <alignment horizontal="center"/>
    </xf>
    <xf numFmtId="192" fontId="18" fillId="0" borderId="0" xfId="3" quotePrefix="1" applyFont="1" applyAlignment="1">
      <alignment horizontal="center"/>
    </xf>
    <xf numFmtId="193" fontId="18" fillId="0" borderId="0" xfId="2" quotePrefix="1" applyNumberFormat="1" applyFont="1" applyAlignment="1">
      <alignment horizontal="center"/>
    </xf>
    <xf numFmtId="0" fontId="18" fillId="0" borderId="0" xfId="2" applyFont="1"/>
    <xf numFmtId="0" fontId="51" fillId="0" borderId="22" xfId="2" applyFont="1" applyBorder="1" applyAlignment="1">
      <alignment horizontal="center"/>
    </xf>
    <xf numFmtId="183" fontId="15" fillId="7" borderId="0" xfId="2" applyNumberFormat="1" applyFont="1" applyFill="1" applyAlignment="1">
      <alignment horizontal="right"/>
    </xf>
    <xf numFmtId="177" fontId="15" fillId="7" borderId="0" xfId="2" applyNumberFormat="1" applyFont="1" applyFill="1" applyAlignment="1">
      <alignment horizontal="right"/>
    </xf>
    <xf numFmtId="0" fontId="13" fillId="7" borderId="0" xfId="2" applyFont="1" applyFill="1"/>
    <xf numFmtId="168" fontId="13" fillId="0" borderId="23" xfId="2" applyNumberFormat="1" applyFont="1" applyBorder="1"/>
    <xf numFmtId="168" fontId="13" fillId="0" borderId="13" xfId="2" applyNumberFormat="1" applyFont="1" applyBorder="1"/>
    <xf numFmtId="183" fontId="13" fillId="0" borderId="23" xfId="2" applyNumberFormat="1" applyFont="1" applyBorder="1"/>
    <xf numFmtId="183" fontId="13" fillId="0" borderId="13" xfId="2" applyNumberFormat="1" applyFont="1" applyBorder="1"/>
    <xf numFmtId="183" fontId="13" fillId="0" borderId="15" xfId="2" applyNumberFormat="1" applyFont="1" applyBorder="1"/>
    <xf numFmtId="183" fontId="13" fillId="0" borderId="12" xfId="2" applyNumberFormat="1" applyFont="1" applyBorder="1"/>
    <xf numFmtId="168" fontId="13" fillId="0" borderId="15" xfId="2" applyNumberFormat="1" applyFont="1" applyBorder="1"/>
    <xf numFmtId="168" fontId="13" fillId="0" borderId="12" xfId="2" applyNumberFormat="1" applyFont="1" applyBorder="1"/>
    <xf numFmtId="177" fontId="27" fillId="0" borderId="0" xfId="2" applyNumberFormat="1" applyFont="1"/>
    <xf numFmtId="0" fontId="15" fillId="5" borderId="0" xfId="2" applyFont="1" applyFill="1"/>
    <xf numFmtId="0" fontId="17" fillId="5" borderId="0" xfId="2" applyFont="1" applyFill="1"/>
    <xf numFmtId="0" fontId="13" fillId="5" borderId="0" xfId="2" applyFont="1" applyFill="1"/>
    <xf numFmtId="1" fontId="16" fillId="0" borderId="0" xfId="2" applyNumberFormat="1" applyFont="1"/>
    <xf numFmtId="194" fontId="16" fillId="2" borderId="8" xfId="2" applyNumberFormat="1" applyFont="1" applyFill="1" applyBorder="1" applyAlignment="1">
      <alignment horizontal="centerContinuous"/>
    </xf>
    <xf numFmtId="194" fontId="16" fillId="2" borderId="8" xfId="2" applyNumberFormat="1" applyFont="1" applyFill="1" applyBorder="1" applyAlignment="1">
      <alignment horizontal="center"/>
    </xf>
    <xf numFmtId="195" fontId="16" fillId="2" borderId="8" xfId="2" applyNumberFormat="1" applyFont="1" applyFill="1" applyBorder="1" applyAlignment="1">
      <alignment horizontal="centerContinuous"/>
    </xf>
    <xf numFmtId="185" fontId="49" fillId="2" borderId="24" xfId="2" applyNumberFormat="1" applyFont="1" applyFill="1" applyBorder="1" applyAlignment="1">
      <alignment horizontal="centerContinuous"/>
    </xf>
    <xf numFmtId="168" fontId="27" fillId="0" borderId="0" xfId="2" applyNumberFormat="1" applyFont="1"/>
    <xf numFmtId="0" fontId="15" fillId="0" borderId="13" xfId="2" applyFont="1" applyBorder="1"/>
    <xf numFmtId="0" fontId="15" fillId="0" borderId="14" xfId="2" applyFont="1" applyBorder="1" applyAlignment="1">
      <alignment horizontal="left" indent="2"/>
    </xf>
    <xf numFmtId="0" fontId="15" fillId="0" borderId="12" xfId="2" applyFont="1" applyBorder="1" applyAlignment="1">
      <alignment horizontal="center"/>
    </xf>
    <xf numFmtId="0" fontId="15" fillId="0" borderId="11" xfId="2" applyFont="1" applyBorder="1"/>
    <xf numFmtId="0" fontId="15" fillId="0" borderId="25" xfId="2" applyFont="1" applyBorder="1" applyAlignment="1">
      <alignment horizontal="left" indent="2"/>
    </xf>
    <xf numFmtId="0" fontId="15" fillId="0" borderId="10" xfId="2" applyFont="1" applyBorder="1" applyAlignment="1">
      <alignment horizontal="center"/>
    </xf>
    <xf numFmtId="0" fontId="13" fillId="0" borderId="9" xfId="2" applyFont="1" applyBorder="1" applyAlignment="1">
      <alignment horizontal="center"/>
    </xf>
    <xf numFmtId="0" fontId="15" fillId="0" borderId="0" xfId="2" applyFont="1" applyAlignment="1">
      <alignment horizontal="center"/>
    </xf>
    <xf numFmtId="0" fontId="14" fillId="0" borderId="0" xfId="2" applyFont="1"/>
    <xf numFmtId="0" fontId="15" fillId="0" borderId="10" xfId="2" applyFont="1" applyBorder="1"/>
    <xf numFmtId="196" fontId="15" fillId="0" borderId="11" xfId="2" applyNumberFormat="1" applyFont="1" applyBorder="1"/>
    <xf numFmtId="168" fontId="46" fillId="0" borderId="0" xfId="2" applyNumberFormat="1" applyFont="1"/>
    <xf numFmtId="0" fontId="13" fillId="0" borderId="0" xfId="2" applyFont="1" applyAlignment="1">
      <alignment horizontal="left" indent="1"/>
    </xf>
    <xf numFmtId="0" fontId="46" fillId="0" borderId="0" xfId="2" applyFont="1"/>
    <xf numFmtId="0" fontId="14" fillId="0" borderId="0" xfId="2" applyFont="1" applyAlignment="1">
      <alignment horizontal="left" indent="2"/>
    </xf>
    <xf numFmtId="177" fontId="14" fillId="0" borderId="0" xfId="2" applyNumberFormat="1" applyFont="1" applyAlignment="1">
      <alignment horizontal="right"/>
    </xf>
    <xf numFmtId="0" fontId="13" fillId="0" borderId="0" xfId="2" applyFont="1" applyAlignment="1">
      <alignment horizontal="centerContinuous"/>
    </xf>
    <xf numFmtId="0" fontId="15" fillId="0" borderId="0" xfId="2" applyFont="1" applyAlignment="1">
      <alignment horizontal="centerContinuous"/>
    </xf>
    <xf numFmtId="0" fontId="15" fillId="0" borderId="15" xfId="2" applyFont="1" applyBorder="1"/>
    <xf numFmtId="0" fontId="15" fillId="0" borderId="5" xfId="2" applyFont="1" applyBorder="1"/>
    <xf numFmtId="0" fontId="17" fillId="0" borderId="5" xfId="2" applyFont="1" applyBorder="1" applyAlignment="1">
      <alignment horizontal="right"/>
    </xf>
    <xf numFmtId="0" fontId="17" fillId="0" borderId="23" xfId="2" applyFont="1" applyBorder="1" applyAlignment="1">
      <alignment horizontal="center"/>
    </xf>
    <xf numFmtId="0" fontId="15" fillId="0" borderId="26" xfId="2" applyFont="1" applyBorder="1"/>
    <xf numFmtId="177" fontId="27" fillId="0" borderId="27" xfId="2" applyNumberFormat="1" applyFont="1" applyBorder="1"/>
    <xf numFmtId="177" fontId="15" fillId="0" borderId="27" xfId="2" applyNumberFormat="1" applyFont="1" applyBorder="1"/>
    <xf numFmtId="10" fontId="15" fillId="0" borderId="0" xfId="2" applyNumberFormat="1" applyFont="1"/>
    <xf numFmtId="0" fontId="15" fillId="0" borderId="27" xfId="2" applyFont="1" applyBorder="1"/>
    <xf numFmtId="168" fontId="28" fillId="0" borderId="0" xfId="2" applyNumberFormat="1" applyFont="1"/>
    <xf numFmtId="168" fontId="15" fillId="0" borderId="5" xfId="2" applyNumberFormat="1" applyFont="1" applyBorder="1"/>
    <xf numFmtId="0" fontId="15" fillId="0" borderId="12" xfId="2" applyFont="1" applyBorder="1"/>
    <xf numFmtId="14" fontId="15" fillId="0" borderId="0" xfId="2" applyNumberFormat="1" applyFont="1"/>
    <xf numFmtId="197" fontId="15" fillId="0" borderId="0" xfId="2" applyNumberFormat="1" applyFont="1"/>
    <xf numFmtId="198" fontId="15" fillId="0" borderId="0" xfId="2" applyNumberFormat="1" applyFont="1"/>
    <xf numFmtId="197" fontId="13" fillId="0" borderId="0" xfId="2" applyNumberFormat="1" applyFont="1"/>
    <xf numFmtId="168" fontId="15" fillId="0" borderId="14" xfId="2" applyNumberFormat="1" applyFont="1" applyBorder="1"/>
    <xf numFmtId="177" fontId="15" fillId="0" borderId="0" xfId="4" applyNumberFormat="1" applyFont="1"/>
    <xf numFmtId="177" fontId="15" fillId="0" borderId="0" xfId="4" applyNumberFormat="1" applyFont="1" applyAlignment="1">
      <alignment horizontal="right"/>
    </xf>
    <xf numFmtId="192" fontId="17" fillId="0" borderId="0" xfId="4" applyFont="1"/>
    <xf numFmtId="199" fontId="15" fillId="0" borderId="0" xfId="2" applyNumberFormat="1" applyFont="1"/>
    <xf numFmtId="177" fontId="27" fillId="0" borderId="10" xfId="2" applyNumberFormat="1" applyFont="1" applyBorder="1" applyAlignment="1">
      <alignment horizontal="center"/>
    </xf>
    <xf numFmtId="177" fontId="15" fillId="0" borderId="25" xfId="2" applyNumberFormat="1" applyFont="1" applyBorder="1" applyAlignment="1">
      <alignment horizontal="center"/>
    </xf>
    <xf numFmtId="177" fontId="15" fillId="0" borderId="11" xfId="2" applyNumberFormat="1" applyFont="1" applyBorder="1" applyAlignment="1">
      <alignment horizontal="center"/>
    </xf>
    <xf numFmtId="178" fontId="15" fillId="0" borderId="15" xfId="2" applyNumberFormat="1" applyFont="1" applyBorder="1" applyAlignment="1">
      <alignment horizontal="center"/>
    </xf>
    <xf numFmtId="178" fontId="15" fillId="0" borderId="5" xfId="2" applyNumberFormat="1" applyFont="1" applyBorder="1" applyAlignment="1">
      <alignment horizontal="center"/>
    </xf>
    <xf numFmtId="178" fontId="15" fillId="0" borderId="23" xfId="2" applyNumberFormat="1" applyFont="1" applyBorder="1" applyAlignment="1">
      <alignment horizontal="center"/>
    </xf>
    <xf numFmtId="178" fontId="15" fillId="0" borderId="26" xfId="2" applyNumberFormat="1" applyFont="1" applyBorder="1" applyAlignment="1">
      <alignment horizontal="center"/>
    </xf>
    <xf numFmtId="178" fontId="15" fillId="0" borderId="0" xfId="2" applyNumberFormat="1" applyFont="1" applyAlignment="1">
      <alignment horizontal="center"/>
    </xf>
    <xf numFmtId="178" fontId="15" fillId="0" borderId="27" xfId="2" applyNumberFormat="1" applyFont="1" applyBorder="1" applyAlignment="1">
      <alignment horizontal="center"/>
    </xf>
    <xf numFmtId="178" fontId="15" fillId="0" borderId="12" xfId="2" applyNumberFormat="1" applyFont="1" applyBorder="1" applyAlignment="1">
      <alignment horizontal="center"/>
    </xf>
    <xf numFmtId="178" fontId="15" fillId="0" borderId="14" xfId="2" applyNumberFormat="1" applyFont="1" applyBorder="1" applyAlignment="1">
      <alignment horizontal="center"/>
    </xf>
    <xf numFmtId="178" fontId="15" fillId="0" borderId="13" xfId="2" applyNumberFormat="1" applyFont="1" applyBorder="1" applyAlignment="1">
      <alignment horizontal="center"/>
    </xf>
    <xf numFmtId="194" fontId="16" fillId="0" borderId="0" xfId="2" applyNumberFormat="1" applyFont="1" applyAlignment="1">
      <alignment horizontal="centerContinuous"/>
    </xf>
    <xf numFmtId="168" fontId="13" fillId="0" borderId="0" xfId="2" applyNumberFormat="1" applyFont="1"/>
    <xf numFmtId="167" fontId="20" fillId="0" borderId="0" xfId="0" applyNumberFormat="1" applyFont="1"/>
    <xf numFmtId="0" fontId="26" fillId="0" borderId="0" xfId="0" applyFont="1" applyAlignment="1">
      <alignment horizontal="left" indent="5"/>
    </xf>
    <xf numFmtId="0" fontId="13" fillId="0" borderId="0" xfId="5" applyFont="1"/>
    <xf numFmtId="192" fontId="15" fillId="0" borderId="0" xfId="6" applyFont="1"/>
    <xf numFmtId="199" fontId="53" fillId="0" borderId="0" xfId="6" applyNumberFormat="1" applyFont="1"/>
    <xf numFmtId="192" fontId="53" fillId="0" borderId="0" xfId="6" applyFont="1"/>
    <xf numFmtId="0" fontId="14" fillId="0" borderId="0" xfId="5" applyFont="1"/>
    <xf numFmtId="168" fontId="15" fillId="0" borderId="0" xfId="7" applyNumberFormat="1" applyFont="1" applyAlignment="1">
      <alignment horizontal="left"/>
    </xf>
    <xf numFmtId="0" fontId="54" fillId="0" borderId="22" xfId="6" applyNumberFormat="1" applyFont="1" applyBorder="1" applyAlignment="1">
      <alignment horizontal="center"/>
    </xf>
    <xf numFmtId="192" fontId="13" fillId="0" borderId="22" xfId="6" applyFont="1" applyBorder="1" applyAlignment="1">
      <alignment horizontal="center"/>
    </xf>
    <xf numFmtId="200" fontId="27" fillId="0" borderId="9" xfId="6" applyNumberFormat="1" applyFont="1" applyBorder="1" applyAlignment="1">
      <alignment horizontal="center"/>
    </xf>
    <xf numFmtId="168" fontId="15" fillId="0" borderId="0" xfId="6" applyNumberFormat="1" applyFont="1"/>
    <xf numFmtId="168" fontId="15" fillId="5" borderId="0" xfId="6" applyNumberFormat="1" applyFont="1" applyFill="1"/>
    <xf numFmtId="168" fontId="17" fillId="5" borderId="0" xfId="6" applyNumberFormat="1" applyFont="1" applyFill="1"/>
    <xf numFmtId="168" fontId="13" fillId="5" borderId="0" xfId="6" applyNumberFormat="1" applyFont="1" applyFill="1" applyAlignment="1">
      <alignment horizontal="right"/>
    </xf>
    <xf numFmtId="169" fontId="16" fillId="2" borderId="1" xfId="6" applyNumberFormat="1" applyFont="1" applyFill="1" applyBorder="1" applyAlignment="1">
      <alignment horizontal="centerContinuous"/>
    </xf>
    <xf numFmtId="169" fontId="16" fillId="2" borderId="1" xfId="6" applyNumberFormat="1" applyFont="1" applyFill="1" applyBorder="1" applyAlignment="1">
      <alignment horizontal="center"/>
    </xf>
    <xf numFmtId="176" fontId="15" fillId="4" borderId="3" xfId="6" applyNumberFormat="1" applyFont="1" applyFill="1" applyBorder="1" applyAlignment="1">
      <alignment horizontal="center"/>
    </xf>
    <xf numFmtId="176" fontId="13" fillId="4" borderId="3" xfId="6" applyNumberFormat="1" applyFont="1" applyFill="1" applyBorder="1" applyAlignment="1">
      <alignment horizontal="center"/>
    </xf>
    <xf numFmtId="176" fontId="13" fillId="4" borderId="1" xfId="6" applyNumberFormat="1" applyFont="1" applyFill="1" applyBorder="1" applyAlignment="1">
      <alignment horizontal="center"/>
    </xf>
    <xf numFmtId="192" fontId="14" fillId="0" borderId="0" xfId="6" applyFont="1"/>
    <xf numFmtId="192" fontId="13" fillId="0" borderId="0" xfId="6" applyFont="1"/>
    <xf numFmtId="177" fontId="15" fillId="0" borderId="0" xfId="6" applyNumberFormat="1" applyFont="1"/>
    <xf numFmtId="199" fontId="15" fillId="0" borderId="0" xfId="6" applyNumberFormat="1" applyFont="1"/>
    <xf numFmtId="192" fontId="15" fillId="0" borderId="0" xfId="6" applyFont="1" applyAlignment="1">
      <alignment horizontal="left" indent="1"/>
    </xf>
    <xf numFmtId="168" fontId="15" fillId="0" borderId="0" xfId="6" applyNumberFormat="1" applyFont="1" applyAlignment="1">
      <alignment horizontal="right"/>
    </xf>
    <xf numFmtId="168" fontId="28" fillId="0" borderId="0" xfId="6" applyNumberFormat="1" applyFont="1" applyAlignment="1">
      <alignment horizontal="right"/>
    </xf>
    <xf numFmtId="177" fontId="15" fillId="0" borderId="0" xfId="6" applyNumberFormat="1" applyFont="1" applyAlignment="1">
      <alignment horizontal="right"/>
    </xf>
    <xf numFmtId="178" fontId="15" fillId="0" borderId="0" xfId="6" applyNumberFormat="1" applyFont="1"/>
    <xf numFmtId="178" fontId="28" fillId="0" borderId="0" xfId="6" applyNumberFormat="1" applyFont="1" applyAlignment="1">
      <alignment horizontal="right"/>
    </xf>
    <xf numFmtId="168" fontId="17" fillId="0" borderId="0" xfId="6" applyNumberFormat="1" applyFont="1"/>
    <xf numFmtId="192" fontId="15" fillId="0" borderId="0" xfId="6" applyFont="1" applyAlignment="1">
      <alignment horizontal="right"/>
    </xf>
    <xf numFmtId="192" fontId="15" fillId="0" borderId="0" xfId="6" applyFont="1" applyAlignment="1">
      <alignment horizontal="left" indent="2"/>
    </xf>
    <xf numFmtId="177" fontId="46" fillId="0" borderId="0" xfId="6" applyNumberFormat="1" applyFont="1"/>
    <xf numFmtId="0" fontId="13" fillId="0" borderId="0" xfId="8" applyNumberFormat="1" applyFont="1" applyAlignment="1">
      <alignment horizontal="left"/>
    </xf>
    <xf numFmtId="192" fontId="15" fillId="0" borderId="0" xfId="8" applyFont="1"/>
    <xf numFmtId="192" fontId="55" fillId="0" borderId="0" xfId="8" applyFont="1"/>
    <xf numFmtId="192" fontId="55" fillId="0" borderId="0" xfId="8" applyFont="1" applyAlignment="1">
      <alignment horizontal="right"/>
    </xf>
    <xf numFmtId="168" fontId="46" fillId="0" borderId="0" xfId="6" applyNumberFormat="1" applyFont="1"/>
    <xf numFmtId="192" fontId="15" fillId="0" borderId="0" xfId="6" applyFont="1" applyAlignment="1">
      <alignment horizontal="left"/>
    </xf>
    <xf numFmtId="178" fontId="27" fillId="0" borderId="0" xfId="6" applyNumberFormat="1" applyFont="1" applyAlignment="1">
      <alignment horizontal="right"/>
    </xf>
    <xf numFmtId="178" fontId="46" fillId="0" borderId="0" xfId="6" applyNumberFormat="1" applyFont="1"/>
    <xf numFmtId="183" fontId="27" fillId="0" borderId="0" xfId="2" applyNumberFormat="1" applyFont="1" applyAlignment="1">
      <alignment horizontal="center"/>
    </xf>
    <xf numFmtId="183" fontId="15" fillId="0" borderId="0" xfId="2" applyNumberFormat="1" applyFont="1" applyAlignment="1">
      <alignment horizontal="center"/>
    </xf>
    <xf numFmtId="0" fontId="52" fillId="0" borderId="0" xfId="2" applyFont="1"/>
    <xf numFmtId="177" fontId="28" fillId="0" borderId="0" xfId="2" applyNumberFormat="1" applyFont="1"/>
    <xf numFmtId="177" fontId="14" fillId="0" borderId="0" xfId="0" applyNumberFormat="1" applyFont="1"/>
    <xf numFmtId="177" fontId="56" fillId="0" borderId="0" xfId="0" applyNumberFormat="1" applyFont="1"/>
    <xf numFmtId="168" fontId="39" fillId="7" borderId="0" xfId="0" applyNumberFormat="1" applyFont="1" applyFill="1"/>
    <xf numFmtId="177" fontId="37" fillId="7" borderId="0" xfId="0" applyNumberFormat="1" applyFont="1" applyFill="1"/>
    <xf numFmtId="0" fontId="14" fillId="0" borderId="0" xfId="0" applyFont="1" applyAlignment="1">
      <alignment horizontal="left" indent="3"/>
    </xf>
    <xf numFmtId="184" fontId="37" fillId="0" borderId="0" xfId="0" applyNumberFormat="1" applyFont="1" applyAlignment="1">
      <alignment horizontal="right"/>
    </xf>
    <xf numFmtId="177" fontId="14" fillId="0" borderId="0" xfId="0" applyNumberFormat="1" applyFont="1" applyAlignment="1">
      <alignment horizontal="right"/>
    </xf>
    <xf numFmtId="0" fontId="30" fillId="0" borderId="0" xfId="0" applyFont="1" applyAlignment="1">
      <alignment horizontal="left"/>
    </xf>
    <xf numFmtId="169" fontId="16" fillId="2" borderId="1" xfId="0" applyNumberFormat="1" applyFont="1" applyFill="1" applyBorder="1" applyAlignment="1">
      <alignment horizontal="center"/>
    </xf>
    <xf numFmtId="0" fontId="15" fillId="0" borderId="0" xfId="1" applyFont="1" applyAlignment="1">
      <alignment horizontal="left" indent="2"/>
    </xf>
    <xf numFmtId="0" fontId="13" fillId="0" borderId="0" xfId="1" applyFont="1" applyAlignment="1">
      <alignment horizontal="left" indent="3"/>
    </xf>
    <xf numFmtId="168" fontId="15" fillId="0" borderId="0" xfId="1" applyNumberFormat="1" applyFont="1" applyAlignment="1">
      <alignment horizontal="left" indent="2"/>
    </xf>
    <xf numFmtId="168" fontId="13" fillId="0" borderId="0" xfId="1" applyNumberFormat="1" applyFont="1" applyAlignment="1">
      <alignment horizontal="left" indent="3"/>
    </xf>
    <xf numFmtId="0" fontId="22" fillId="0" borderId="0" xfId="0" applyFont="1" applyAlignment="1">
      <alignment horizontal="left" indent="4"/>
    </xf>
    <xf numFmtId="178" fontId="20" fillId="0" borderId="0" xfId="0" applyNumberFormat="1" applyFont="1" applyAlignment="1">
      <alignment horizontal="right"/>
    </xf>
    <xf numFmtId="177" fontId="13" fillId="0" borderId="15" xfId="2" applyNumberFormat="1" applyFont="1" applyBorder="1"/>
    <xf numFmtId="177" fontId="13" fillId="0" borderId="12" xfId="2" applyNumberFormat="1" applyFont="1" applyBorder="1"/>
    <xf numFmtId="181" fontId="24" fillId="0" borderId="0" xfId="0" applyNumberFormat="1" applyFont="1"/>
    <xf numFmtId="183" fontId="15" fillId="0" borderId="0" xfId="1" applyNumberFormat="1" applyFont="1" applyAlignment="1">
      <alignment horizontal="right"/>
    </xf>
    <xf numFmtId="0" fontId="15" fillId="0" borderId="0" xfId="2" applyFont="1" applyAlignment="1">
      <alignment horizontal="left" indent="1"/>
    </xf>
    <xf numFmtId="177" fontId="46" fillId="0" borderId="0" xfId="2" applyNumberFormat="1" applyFont="1"/>
    <xf numFmtId="0" fontId="19" fillId="0" borderId="0" xfId="0" applyFont="1" applyAlignment="1">
      <alignment horizontal="left"/>
    </xf>
    <xf numFmtId="0" fontId="17" fillId="0" borderId="0" xfId="2" applyFont="1"/>
    <xf numFmtId="184" fontId="15" fillId="0" borderId="0" xfId="2" applyNumberFormat="1" applyFont="1"/>
    <xf numFmtId="184" fontId="27" fillId="0" borderId="0" xfId="2" applyNumberFormat="1" applyFont="1"/>
    <xf numFmtId="184" fontId="46" fillId="0" borderId="0" xfId="2" applyNumberFormat="1" applyFont="1"/>
    <xf numFmtId="0" fontId="27" fillId="0" borderId="0" xfId="2" applyFont="1"/>
    <xf numFmtId="201" fontId="27" fillId="0" borderId="0" xfId="2" applyNumberFormat="1" applyFont="1"/>
    <xf numFmtId="201" fontId="28" fillId="0" borderId="0" xfId="2" applyNumberFormat="1" applyFont="1"/>
    <xf numFmtId="177" fontId="22" fillId="0" borderId="0" xfId="0" applyNumberFormat="1" applyFont="1" applyAlignment="1">
      <alignment horizontal="right"/>
    </xf>
    <xf numFmtId="184" fontId="32" fillId="0" borderId="0" xfId="0" applyNumberFormat="1" applyFont="1"/>
    <xf numFmtId="177" fontId="20" fillId="0" borderId="0" xfId="0" applyNumberFormat="1" applyFont="1"/>
    <xf numFmtId="177" fontId="57" fillId="0" borderId="0" xfId="0" applyNumberFormat="1" applyFont="1"/>
    <xf numFmtId="168" fontId="47" fillId="0" borderId="0" xfId="1" applyNumberFormat="1" applyFont="1" applyAlignment="1">
      <alignment horizontal="left" indent="2"/>
    </xf>
    <xf numFmtId="168" fontId="17" fillId="0" borderId="0" xfId="2" applyNumberFormat="1" applyFont="1" applyAlignment="1">
      <alignment horizontal="left"/>
    </xf>
    <xf numFmtId="177" fontId="13" fillId="0" borderId="23" xfId="2" applyNumberFormat="1" applyFont="1" applyBorder="1"/>
    <xf numFmtId="177" fontId="13" fillId="0" borderId="13" xfId="2" applyNumberFormat="1" applyFont="1" applyBorder="1"/>
    <xf numFmtId="184" fontId="19" fillId="7" borderId="0" xfId="0" applyNumberFormat="1" applyFont="1" applyFill="1"/>
    <xf numFmtId="177" fontId="23" fillId="0" borderId="0" xfId="0" applyNumberFormat="1" applyFont="1" applyAlignment="1">
      <alignment horizontal="right"/>
    </xf>
    <xf numFmtId="178" fontId="23" fillId="7" borderId="0" xfId="0" applyNumberFormat="1" applyFont="1" applyFill="1" applyAlignment="1">
      <alignment horizontal="right"/>
    </xf>
    <xf numFmtId="177" fontId="23" fillId="7" borderId="0" xfId="0" applyNumberFormat="1" applyFont="1" applyFill="1" applyAlignment="1">
      <alignment horizontal="right"/>
    </xf>
    <xf numFmtId="0" fontId="59" fillId="0" borderId="9" xfId="0" applyFont="1" applyBorder="1"/>
    <xf numFmtId="0" fontId="59" fillId="0" borderId="9" xfId="0" applyFont="1" applyBorder="1" applyAlignment="1">
      <alignment horizontal="center"/>
    </xf>
    <xf numFmtId="168" fontId="60" fillId="0" borderId="9" xfId="0" applyNumberFormat="1" applyFont="1" applyBorder="1"/>
    <xf numFmtId="168" fontId="61" fillId="0" borderId="9" xfId="0" applyNumberFormat="1" applyFont="1" applyBorder="1"/>
    <xf numFmtId="177" fontId="61" fillId="0" borderId="9" xfId="0" applyNumberFormat="1" applyFont="1" applyBorder="1"/>
    <xf numFmtId="168" fontId="13" fillId="5" borderId="0" xfId="6" applyNumberFormat="1" applyFont="1" applyFill="1"/>
    <xf numFmtId="167" fontId="23" fillId="0" borderId="0" xfId="0" applyNumberFormat="1" applyFont="1"/>
    <xf numFmtId="0" fontId="15" fillId="0" borderId="9" xfId="0" applyFont="1" applyBorder="1" applyAlignment="1">
      <alignment horizontal="center"/>
    </xf>
    <xf numFmtId="18" fontId="19" fillId="0" borderId="0" xfId="0" applyNumberFormat="1" applyFont="1"/>
    <xf numFmtId="0" fontId="0" fillId="0" borderId="0" xfId="0" applyAlignment="1">
      <alignment horizontal="left" indent="6"/>
    </xf>
    <xf numFmtId="0" fontId="32" fillId="0" borderId="0" xfId="0" applyFont="1" applyAlignment="1">
      <alignment horizontal="left" indent="2"/>
    </xf>
    <xf numFmtId="0" fontId="32" fillId="0" borderId="0" xfId="0" applyFont="1"/>
    <xf numFmtId="0" fontId="62" fillId="9" borderId="0" xfId="9"/>
    <xf numFmtId="0" fontId="13" fillId="0" borderId="15" xfId="2" applyFont="1" applyBorder="1" applyAlignment="1">
      <alignment horizontal="center"/>
    </xf>
    <xf numFmtId="0" fontId="13" fillId="0" borderId="5" xfId="2" applyFont="1" applyBorder="1" applyAlignment="1">
      <alignment horizontal="center"/>
    </xf>
    <xf numFmtId="0" fontId="13" fillId="0" borderId="23" xfId="2" applyFont="1" applyBorder="1" applyAlignment="1">
      <alignment horizontal="center"/>
    </xf>
    <xf numFmtId="177" fontId="23" fillId="0" borderId="0" xfId="0" applyNumberFormat="1" applyFont="1"/>
    <xf numFmtId="201" fontId="27" fillId="0" borderId="18" xfId="2" applyNumberFormat="1" applyFont="1" applyBorder="1" applyAlignment="1">
      <alignment horizontal="center"/>
    </xf>
    <xf numFmtId="177" fontId="27" fillId="0" borderId="9" xfId="2" applyNumberFormat="1" applyFont="1" applyBorder="1" applyAlignment="1">
      <alignment horizontal="center"/>
    </xf>
    <xf numFmtId="168" fontId="27" fillId="0" borderId="18" xfId="2" applyNumberFormat="1" applyFont="1" applyBorder="1" applyAlignment="1">
      <alignment horizontal="center"/>
    </xf>
    <xf numFmtId="168" fontId="27" fillId="0" borderId="9" xfId="2" applyNumberFormat="1" applyFont="1" applyBorder="1" applyAlignment="1">
      <alignment horizontal="center"/>
    </xf>
    <xf numFmtId="183" fontId="27" fillId="0" borderId="9" xfId="2" applyNumberFormat="1" applyFont="1" applyBorder="1"/>
    <xf numFmtId="183" fontId="27" fillId="0" borderId="16" xfId="2" applyNumberFormat="1" applyFont="1" applyBorder="1"/>
    <xf numFmtId="183" fontId="27" fillId="0" borderId="0" xfId="2" applyNumberFormat="1" applyFont="1"/>
    <xf numFmtId="0" fontId="13" fillId="0" borderId="10" xfId="2" applyFont="1" applyBorder="1" applyAlignment="1">
      <alignment horizontal="center"/>
    </xf>
    <xf numFmtId="0" fontId="13" fillId="0" borderId="25" xfId="2" applyFont="1" applyBorder="1" applyAlignment="1">
      <alignment horizontal="center"/>
    </xf>
    <xf numFmtId="0" fontId="13" fillId="0" borderId="11" xfId="2" applyFont="1" applyBorder="1" applyAlignment="1">
      <alignment horizontal="center"/>
    </xf>
    <xf numFmtId="0" fontId="8" fillId="0" borderId="0" xfId="11"/>
    <xf numFmtId="0" fontId="63" fillId="9" borderId="25" xfId="12">
      <alignment horizontal="left" vertical="center" readingOrder="1"/>
    </xf>
    <xf numFmtId="0" fontId="64" fillId="10" borderId="0" xfId="13">
      <alignment horizontal="center"/>
    </xf>
    <xf numFmtId="0" fontId="65" fillId="9" borderId="18" xfId="14">
      <alignment horizontal="left"/>
    </xf>
    <xf numFmtId="0" fontId="65" fillId="9" borderId="18" xfId="15">
      <alignment horizontal="right"/>
    </xf>
    <xf numFmtId="0" fontId="65" fillId="9" borderId="16" xfId="16">
      <alignment horizontal="left"/>
    </xf>
    <xf numFmtId="0" fontId="65" fillId="9" borderId="16" xfId="17">
      <alignment horizontal="right"/>
    </xf>
    <xf numFmtId="0" fontId="66" fillId="10" borderId="26" xfId="18"/>
    <xf numFmtId="3" fontId="66" fillId="10" borderId="17" xfId="19">
      <alignment horizontal="right"/>
    </xf>
    <xf numFmtId="0" fontId="67" fillId="10" borderId="26" xfId="20"/>
    <xf numFmtId="202" fontId="68" fillId="10" borderId="17" xfId="21">
      <alignment horizontal="right"/>
    </xf>
    <xf numFmtId="0" fontId="69" fillId="11" borderId="5" xfId="22"/>
    <xf numFmtId="0" fontId="13" fillId="0" borderId="0" xfId="11" applyFont="1"/>
    <xf numFmtId="0" fontId="15" fillId="0" borderId="0" xfId="11" applyFont="1"/>
    <xf numFmtId="168" fontId="46" fillId="0" borderId="0" xfId="11" applyNumberFormat="1" applyFont="1"/>
    <xf numFmtId="0" fontId="14" fillId="0" borderId="0" xfId="11" applyFont="1"/>
    <xf numFmtId="177" fontId="14" fillId="0" borderId="0" xfId="11" applyNumberFormat="1" applyFont="1"/>
    <xf numFmtId="177" fontId="15" fillId="0" borderId="0" xfId="11" applyNumberFormat="1" applyFont="1"/>
    <xf numFmtId="0" fontId="52" fillId="0" borderId="0" xfId="9" applyFont="1" applyFill="1"/>
    <xf numFmtId="0" fontId="52" fillId="0" borderId="0" xfId="12" applyFont="1" applyFill="1" applyBorder="1">
      <alignment horizontal="left" vertical="center" readingOrder="1"/>
    </xf>
    <xf numFmtId="0" fontId="53" fillId="10" borderId="0" xfId="13" applyFont="1">
      <alignment horizontal="center"/>
    </xf>
    <xf numFmtId="0" fontId="15" fillId="0" borderId="0" xfId="11" applyFont="1" applyAlignment="1">
      <alignment horizontal="right"/>
    </xf>
    <xf numFmtId="0" fontId="52" fillId="0" borderId="0" xfId="14" applyFont="1" applyFill="1" applyBorder="1">
      <alignment horizontal="left"/>
    </xf>
    <xf numFmtId="0" fontId="52" fillId="0" borderId="0" xfId="15" applyFont="1" applyFill="1" applyBorder="1">
      <alignment horizontal="right"/>
    </xf>
    <xf numFmtId="0" fontId="52" fillId="0" borderId="0" xfId="16" applyFont="1" applyFill="1" applyBorder="1">
      <alignment horizontal="left"/>
    </xf>
    <xf numFmtId="0" fontId="52" fillId="0" borderId="0" xfId="17" applyFont="1" applyFill="1" applyBorder="1">
      <alignment horizontal="right"/>
    </xf>
    <xf numFmtId="0" fontId="36" fillId="0" borderId="15" xfId="18" applyFont="1" applyFill="1" applyBorder="1"/>
    <xf numFmtId="0" fontId="36" fillId="0" borderId="5" xfId="18" applyFont="1" applyFill="1" applyBorder="1"/>
    <xf numFmtId="202" fontId="36" fillId="0" borderId="0" xfId="24" applyFont="1" applyFill="1" applyBorder="1">
      <alignment horizontal="right"/>
    </xf>
    <xf numFmtId="202" fontId="36" fillId="0" borderId="0" xfId="23" applyFont="1" applyFill="1" applyBorder="1">
      <alignment horizontal="right"/>
    </xf>
    <xf numFmtId="0" fontId="70" fillId="0" borderId="0" xfId="25" applyFont="1" applyFill="1" applyBorder="1"/>
    <xf numFmtId="202" fontId="28" fillId="0" borderId="0" xfId="26" applyFont="1" applyFill="1" applyBorder="1">
      <alignment horizontal="right"/>
    </xf>
    <xf numFmtId="202" fontId="28" fillId="0" borderId="0" xfId="21" applyFont="1" applyFill="1" applyBorder="1">
      <alignment horizontal="right"/>
    </xf>
    <xf numFmtId="0" fontId="36" fillId="0" borderId="26" xfId="18" applyFont="1" applyFill="1"/>
    <xf numFmtId="0" fontId="36" fillId="0" borderId="0" xfId="18" applyFont="1" applyFill="1" applyBorder="1"/>
    <xf numFmtId="3" fontId="36" fillId="0" borderId="0" xfId="19" applyFont="1" applyFill="1" applyBorder="1">
      <alignment horizontal="right"/>
    </xf>
    <xf numFmtId="168" fontId="36" fillId="0" borderId="0" xfId="19" applyNumberFormat="1" applyFont="1" applyFill="1" applyBorder="1">
      <alignment horizontal="right"/>
    </xf>
    <xf numFmtId="3" fontId="36" fillId="0" borderId="0" xfId="27" applyFont="1" applyFill="1" applyBorder="1">
      <alignment horizontal="right"/>
    </xf>
    <xf numFmtId="0" fontId="72" fillId="0" borderId="26" xfId="28" applyFont="1" applyFill="1"/>
    <xf numFmtId="0" fontId="72" fillId="0" borderId="0" xfId="28" applyFont="1" applyFill="1" applyBorder="1"/>
    <xf numFmtId="178" fontId="37" fillId="0" borderId="0" xfId="29" applyNumberFormat="1" applyFont="1" applyFill="1" applyBorder="1">
      <alignment horizontal="right"/>
    </xf>
    <xf numFmtId="168" fontId="37" fillId="0" borderId="0" xfId="29" applyNumberFormat="1" applyFont="1" applyFill="1" applyBorder="1">
      <alignment horizontal="right"/>
    </xf>
    <xf numFmtId="202" fontId="37" fillId="0" borderId="0" xfId="30" applyFont="1" applyFill="1" applyBorder="1">
      <alignment horizontal="right"/>
    </xf>
    <xf numFmtId="202" fontId="37" fillId="0" borderId="0" xfId="29" applyFont="1" applyFill="1" applyBorder="1">
      <alignment horizontal="right"/>
    </xf>
    <xf numFmtId="168" fontId="15" fillId="0" borderId="0" xfId="11" applyNumberFormat="1" applyFont="1"/>
    <xf numFmtId="197" fontId="15" fillId="0" borderId="0" xfId="11" applyNumberFormat="1" applyFont="1"/>
    <xf numFmtId="177" fontId="24" fillId="0" borderId="0" xfId="0" applyNumberFormat="1" applyFont="1"/>
    <xf numFmtId="177" fontId="19" fillId="0" borderId="0" xfId="0" applyNumberFormat="1" applyFont="1" applyAlignment="1">
      <alignment horizontal="right"/>
    </xf>
    <xf numFmtId="177" fontId="37" fillId="0" borderId="0" xfId="29" applyNumberFormat="1" applyFont="1" applyFill="1" applyBorder="1">
      <alignment horizontal="right"/>
    </xf>
    <xf numFmtId="184" fontId="14" fillId="0" borderId="0" xfId="11" applyNumberFormat="1" applyFont="1"/>
    <xf numFmtId="168" fontId="13" fillId="0" borderId="0" xfId="11" applyNumberFormat="1" applyFont="1"/>
    <xf numFmtId="0" fontId="54" fillId="5" borderId="0" xfId="13" applyFont="1" applyFill="1" applyAlignment="1">
      <alignment horizontal="right"/>
    </xf>
    <xf numFmtId="168" fontId="51" fillId="0" borderId="5" xfId="23" applyNumberFormat="1" applyFont="1" applyFill="1" applyBorder="1">
      <alignment horizontal="right"/>
    </xf>
    <xf numFmtId="168" fontId="27" fillId="0" borderId="0" xfId="21" applyNumberFormat="1" applyFont="1" applyFill="1" applyBorder="1">
      <alignment horizontal="right"/>
    </xf>
    <xf numFmtId="168" fontId="51" fillId="0" borderId="0" xfId="23" applyNumberFormat="1" applyFont="1" applyFill="1" applyBorder="1">
      <alignment horizontal="right"/>
    </xf>
    <xf numFmtId="0" fontId="28" fillId="0" borderId="26" xfId="18" applyFont="1" applyFill="1"/>
    <xf numFmtId="0" fontId="28" fillId="0" borderId="0" xfId="18" applyFont="1" applyFill="1" applyBorder="1"/>
    <xf numFmtId="168" fontId="27" fillId="0" borderId="0" xfId="23" applyNumberFormat="1" applyFont="1" applyFill="1" applyBorder="1">
      <alignment horizontal="right"/>
    </xf>
    <xf numFmtId="202" fontId="28" fillId="0" borderId="0" xfId="24" applyFont="1" applyFill="1" applyBorder="1">
      <alignment horizontal="right"/>
    </xf>
    <xf numFmtId="202" fontId="28" fillId="0" borderId="0" xfId="23" applyFont="1" applyFill="1" applyBorder="1">
      <alignment horizontal="right"/>
    </xf>
    <xf numFmtId="168" fontId="28" fillId="0" borderId="0" xfId="11" applyNumberFormat="1" applyFont="1"/>
    <xf numFmtId="0" fontId="13" fillId="5" borderId="0" xfId="11" applyFont="1" applyFill="1"/>
    <xf numFmtId="0" fontId="70" fillId="0" borderId="26" xfId="25" applyFont="1" applyFill="1"/>
    <xf numFmtId="0" fontId="13" fillId="0" borderId="26" xfId="11" applyFont="1" applyBorder="1"/>
    <xf numFmtId="0" fontId="14" fillId="0" borderId="26" xfId="11" applyFont="1" applyBorder="1" applyAlignment="1">
      <alignment horizontal="left" indent="1"/>
    </xf>
    <xf numFmtId="168" fontId="27" fillId="0" borderId="27" xfId="23" applyNumberFormat="1" applyFont="1" applyFill="1" applyBorder="1">
      <alignment horizontal="right"/>
    </xf>
    <xf numFmtId="0" fontId="37" fillId="0" borderId="12" xfId="22" applyFont="1" applyFill="1" applyBorder="1"/>
    <xf numFmtId="0" fontId="37" fillId="0" borderId="14" xfId="22" applyFont="1" applyFill="1" applyBorder="1"/>
    <xf numFmtId="178" fontId="35" fillId="0" borderId="14" xfId="0" applyNumberFormat="1" applyFont="1" applyBorder="1" applyAlignment="1">
      <alignment horizontal="right"/>
    </xf>
    <xf numFmtId="178" fontId="35" fillId="0" borderId="13" xfId="0" applyNumberFormat="1" applyFont="1" applyBorder="1" applyAlignment="1">
      <alignment horizontal="right"/>
    </xf>
    <xf numFmtId="168" fontId="51" fillId="0" borderId="23" xfId="23" applyNumberFormat="1" applyFont="1" applyFill="1" applyBorder="1">
      <alignment horizontal="right"/>
    </xf>
    <xf numFmtId="168" fontId="27" fillId="0" borderId="27" xfId="21" applyNumberFormat="1" applyFont="1" applyFill="1" applyBorder="1">
      <alignment horizontal="right"/>
    </xf>
    <xf numFmtId="168" fontId="36" fillId="0" borderId="27" xfId="19" applyNumberFormat="1" applyFont="1" applyFill="1" applyBorder="1">
      <alignment horizontal="right"/>
    </xf>
    <xf numFmtId="168" fontId="51" fillId="0" borderId="27" xfId="23" applyNumberFormat="1" applyFont="1" applyFill="1" applyBorder="1">
      <alignment horizontal="right"/>
    </xf>
    <xf numFmtId="177" fontId="37" fillId="0" borderId="27" xfId="29" applyNumberFormat="1" applyFont="1" applyFill="1" applyBorder="1">
      <alignment horizontal="right"/>
    </xf>
    <xf numFmtId="168" fontId="13" fillId="0" borderId="27" xfId="11" applyNumberFormat="1" applyFont="1" applyBorder="1"/>
    <xf numFmtId="177" fontId="15" fillId="0" borderId="27" xfId="11" applyNumberFormat="1" applyFont="1" applyBorder="1"/>
    <xf numFmtId="184" fontId="14" fillId="0" borderId="27" xfId="11" applyNumberFormat="1" applyFont="1" applyBorder="1"/>
    <xf numFmtId="168" fontId="37" fillId="0" borderId="27" xfId="29" applyNumberFormat="1" applyFont="1" applyFill="1" applyBorder="1">
      <alignment horizontal="right"/>
    </xf>
    <xf numFmtId="178" fontId="51" fillId="0" borderId="0" xfId="23" applyNumberFormat="1" applyFont="1" applyFill="1" applyBorder="1">
      <alignment horizontal="right"/>
    </xf>
    <xf numFmtId="178" fontId="51" fillId="0" borderId="27" xfId="23" applyNumberFormat="1" applyFont="1" applyFill="1" applyBorder="1">
      <alignment horizontal="right"/>
    </xf>
    <xf numFmtId="0" fontId="15" fillId="0" borderId="26" xfId="11" applyFont="1" applyBorder="1"/>
    <xf numFmtId="197" fontId="27" fillId="0" borderId="0" xfId="11" applyNumberFormat="1" applyFont="1"/>
    <xf numFmtId="197" fontId="27" fillId="0" borderId="27" xfId="11" applyNumberFormat="1" applyFont="1" applyBorder="1"/>
    <xf numFmtId="0" fontId="54" fillId="5" borderId="0" xfId="13" applyFont="1" applyFill="1" applyAlignment="1"/>
    <xf numFmtId="182" fontId="19" fillId="0" borderId="0" xfId="0" applyNumberFormat="1" applyFont="1"/>
    <xf numFmtId="203" fontId="19" fillId="0" borderId="0" xfId="0" applyNumberFormat="1" applyFont="1"/>
    <xf numFmtId="0" fontId="20" fillId="0" borderId="5" xfId="0" applyFont="1" applyBorder="1"/>
    <xf numFmtId="0" fontId="19" fillId="0" borderId="5" xfId="0" applyFont="1" applyBorder="1"/>
    <xf numFmtId="169" fontId="16" fillId="2" borderId="1" xfId="0" applyNumberFormat="1" applyFont="1" applyFill="1" applyBorder="1" applyAlignment="1">
      <alignment horizontal="center" wrapText="1"/>
    </xf>
    <xf numFmtId="176" fontId="15" fillId="4" borderId="3" xfId="0" applyNumberFormat="1" applyFont="1" applyFill="1" applyBorder="1" applyAlignment="1">
      <alignment horizontal="center" wrapText="1"/>
    </xf>
    <xf numFmtId="0" fontId="19" fillId="0" borderId="0" xfId="0" applyFont="1" applyAlignment="1">
      <alignment wrapText="1"/>
    </xf>
    <xf numFmtId="0" fontId="20" fillId="0" borderId="0" xfId="0" applyFont="1" applyAlignment="1">
      <alignment wrapText="1"/>
    </xf>
    <xf numFmtId="0" fontId="20" fillId="0" borderId="0" xfId="0" applyFont="1" applyAlignment="1">
      <alignment horizontal="left" wrapText="1" indent="1"/>
    </xf>
    <xf numFmtId="177" fontId="32" fillId="7" borderId="0" xfId="0" applyNumberFormat="1" applyFont="1" applyFill="1"/>
    <xf numFmtId="177" fontId="32" fillId="0" borderId="0" xfId="0" applyNumberFormat="1" applyFont="1" applyAlignment="1">
      <alignment horizontal="right"/>
    </xf>
    <xf numFmtId="178" fontId="36" fillId="14" borderId="0" xfId="23" applyNumberFormat="1" applyFont="1" applyFill="1" applyBorder="1">
      <alignment horizontal="right"/>
    </xf>
    <xf numFmtId="168" fontId="13" fillId="14" borderId="0" xfId="11" applyNumberFormat="1" applyFont="1" applyFill="1"/>
    <xf numFmtId="168" fontId="15" fillId="14" borderId="0" xfId="11" applyNumberFormat="1" applyFont="1" applyFill="1"/>
    <xf numFmtId="0" fontId="15" fillId="14" borderId="0" xfId="11" applyFont="1" applyFill="1"/>
    <xf numFmtId="168" fontId="13" fillId="0" borderId="0" xfId="2" applyNumberFormat="1" applyFont="1" applyAlignment="1">
      <alignment horizontal="right"/>
    </xf>
    <xf numFmtId="168" fontId="20" fillId="0" borderId="0" xfId="0" applyNumberFormat="1" applyFont="1" applyAlignment="1">
      <alignment horizontal="right"/>
    </xf>
    <xf numFmtId="177" fontId="20" fillId="0" borderId="5" xfId="0" applyNumberFormat="1" applyFont="1" applyBorder="1" applyAlignment="1">
      <alignment horizontal="right"/>
    </xf>
    <xf numFmtId="177" fontId="41" fillId="0" borderId="0" xfId="0" applyNumberFormat="1" applyFont="1" applyAlignment="1">
      <alignment horizontal="right"/>
    </xf>
    <xf numFmtId="205" fontId="15" fillId="0" borderId="0" xfId="2" applyNumberFormat="1" applyFont="1"/>
    <xf numFmtId="168" fontId="73" fillId="0" borderId="0" xfId="0" applyNumberFormat="1" applyFont="1"/>
    <xf numFmtId="0" fontId="40" fillId="0" borderId="0" xfId="0" applyFont="1"/>
    <xf numFmtId="197" fontId="13" fillId="0" borderId="0" xfId="0" applyNumberFormat="1" applyFont="1"/>
    <xf numFmtId="0" fontId="20" fillId="0" borderId="5" xfId="0" applyFont="1" applyBorder="1" applyAlignment="1">
      <alignment horizontal="left" indent="1"/>
    </xf>
    <xf numFmtId="0" fontId="13" fillId="0" borderId="0" xfId="0" applyFont="1" applyAlignment="1">
      <alignment horizontal="centerContinuous"/>
    </xf>
    <xf numFmtId="0" fontId="13" fillId="0" borderId="14" xfId="0" applyFont="1" applyBorder="1" applyAlignment="1">
      <alignment horizontal="left"/>
    </xf>
    <xf numFmtId="168" fontId="43" fillId="0" borderId="9" xfId="0" applyNumberFormat="1" applyFont="1" applyBorder="1" applyAlignment="1">
      <alignment horizontal="center"/>
    </xf>
    <xf numFmtId="177" fontId="43" fillId="0" borderId="9" xfId="0" applyNumberFormat="1" applyFont="1" applyBorder="1" applyAlignment="1">
      <alignment horizontal="center"/>
    </xf>
    <xf numFmtId="0" fontId="19" fillId="0" borderId="14" xfId="0" applyFont="1" applyBorder="1"/>
    <xf numFmtId="168" fontId="19" fillId="0" borderId="0" xfId="0" applyNumberFormat="1" applyFont="1" applyAlignment="1">
      <alignment horizontal="left"/>
    </xf>
    <xf numFmtId="183" fontId="19" fillId="0" borderId="0" xfId="0" applyNumberFormat="1" applyFont="1" applyAlignment="1">
      <alignment horizontal="left"/>
    </xf>
    <xf numFmtId="0" fontId="13" fillId="0" borderId="0" xfId="0" applyFont="1" applyAlignment="1">
      <alignment horizontal="left"/>
    </xf>
    <xf numFmtId="168" fontId="20" fillId="0" borderId="0" xfId="0" applyNumberFormat="1" applyFont="1" applyAlignment="1">
      <alignment horizontal="left"/>
    </xf>
    <xf numFmtId="183" fontId="20" fillId="0" borderId="0" xfId="0" applyNumberFormat="1" applyFont="1" applyAlignment="1">
      <alignment horizontal="left"/>
    </xf>
    <xf numFmtId="168" fontId="40" fillId="0" borderId="5" xfId="0" applyNumberFormat="1" applyFont="1" applyBorder="1" applyAlignment="1">
      <alignment horizontal="center"/>
    </xf>
    <xf numFmtId="183" fontId="21" fillId="0" borderId="5" xfId="0" applyNumberFormat="1" applyFont="1" applyBorder="1" applyAlignment="1">
      <alignment horizontal="center"/>
    </xf>
    <xf numFmtId="168" fontId="19" fillId="0" borderId="5" xfId="0" applyNumberFormat="1" applyFont="1" applyBorder="1" applyAlignment="1">
      <alignment horizontal="center"/>
    </xf>
    <xf numFmtId="168" fontId="40" fillId="0" borderId="0" xfId="0" applyNumberFormat="1" applyFont="1" applyAlignment="1">
      <alignment horizontal="center"/>
    </xf>
    <xf numFmtId="168" fontId="20" fillId="0" borderId="5" xfId="0" applyNumberFormat="1" applyFont="1" applyBorder="1" applyAlignment="1">
      <alignment horizontal="center"/>
    </xf>
    <xf numFmtId="183" fontId="20" fillId="0" borderId="5" xfId="0" applyNumberFormat="1" applyFont="1" applyBorder="1" applyAlignment="1">
      <alignment horizontal="center"/>
    </xf>
    <xf numFmtId="168" fontId="20" fillId="0" borderId="0" xfId="0" applyNumberFormat="1" applyFont="1" applyAlignment="1">
      <alignment horizontal="center"/>
    </xf>
    <xf numFmtId="197" fontId="20" fillId="0" borderId="5" xfId="0" applyNumberFormat="1" applyFont="1" applyBorder="1" applyAlignment="1">
      <alignment horizontal="center"/>
    </xf>
    <xf numFmtId="177" fontId="21" fillId="0" borderId="0" xfId="0" applyNumberFormat="1" applyFont="1" applyAlignment="1">
      <alignment horizontal="center"/>
    </xf>
    <xf numFmtId="197" fontId="20" fillId="0" borderId="9" xfId="0" applyNumberFormat="1" applyFont="1" applyBorder="1" applyAlignment="1">
      <alignment horizontal="center"/>
    </xf>
    <xf numFmtId="0" fontId="15" fillId="0" borderId="0" xfId="2" applyFont="1" applyAlignment="1">
      <alignment vertical="top" wrapText="1"/>
    </xf>
    <xf numFmtId="0" fontId="19" fillId="0" borderId="5" xfId="0" applyFont="1" applyBorder="1" applyAlignment="1">
      <alignment vertical="top"/>
    </xf>
    <xf numFmtId="0" fontId="19" fillId="0" borderId="28" xfId="0" applyFont="1" applyBorder="1"/>
    <xf numFmtId="168" fontId="40" fillId="0" borderId="28" xfId="0" applyNumberFormat="1" applyFont="1" applyBorder="1" applyAlignment="1">
      <alignment horizontal="center"/>
    </xf>
    <xf numFmtId="183" fontId="21" fillId="0" borderId="28" xfId="0" applyNumberFormat="1" applyFont="1" applyBorder="1" applyAlignment="1">
      <alignment horizontal="center"/>
    </xf>
    <xf numFmtId="168" fontId="19" fillId="0" borderId="28" xfId="0" applyNumberFormat="1" applyFont="1" applyBorder="1" applyAlignment="1">
      <alignment horizontal="center"/>
    </xf>
    <xf numFmtId="0" fontId="19" fillId="0" borderId="28" xfId="0" applyFont="1" applyBorder="1" applyAlignment="1">
      <alignment vertical="top"/>
    </xf>
    <xf numFmtId="0" fontId="19" fillId="0" borderId="29" xfId="0" applyFont="1" applyBorder="1"/>
    <xf numFmtId="168" fontId="40" fillId="0" borderId="29" xfId="0" applyNumberFormat="1" applyFont="1" applyBorder="1" applyAlignment="1">
      <alignment horizontal="center"/>
    </xf>
    <xf numFmtId="183" fontId="21" fillId="0" borderId="29" xfId="0" applyNumberFormat="1" applyFont="1" applyBorder="1" applyAlignment="1">
      <alignment horizontal="center"/>
    </xf>
    <xf numFmtId="168" fontId="19" fillId="0" borderId="29" xfId="0" applyNumberFormat="1" applyFont="1" applyBorder="1" applyAlignment="1">
      <alignment horizontal="center"/>
    </xf>
    <xf numFmtId="0" fontId="19" fillId="0" borderId="29" xfId="0" applyFont="1" applyBorder="1" applyAlignment="1">
      <alignment vertical="top"/>
    </xf>
    <xf numFmtId="0" fontId="19" fillId="0" borderId="30" xfId="0" applyFont="1" applyBorder="1"/>
    <xf numFmtId="0" fontId="19" fillId="0" borderId="30" xfId="0" applyFont="1" applyBorder="1" applyAlignment="1">
      <alignment horizontal="left"/>
    </xf>
    <xf numFmtId="168" fontId="40" fillId="0" borderId="30" xfId="0" applyNumberFormat="1" applyFont="1" applyBorder="1" applyAlignment="1">
      <alignment horizontal="center"/>
    </xf>
    <xf numFmtId="197" fontId="20" fillId="0" borderId="30" xfId="0" applyNumberFormat="1" applyFont="1" applyBorder="1" applyAlignment="1">
      <alignment horizontal="center"/>
    </xf>
    <xf numFmtId="197" fontId="20" fillId="0" borderId="0" xfId="0" applyNumberFormat="1" applyFont="1" applyAlignment="1">
      <alignment horizontal="center"/>
    </xf>
    <xf numFmtId="168" fontId="19" fillId="0" borderId="0" xfId="0" applyNumberFormat="1" applyFont="1" applyAlignment="1">
      <alignment horizontal="center"/>
    </xf>
    <xf numFmtId="168" fontId="21" fillId="0" borderId="0" xfId="0" applyNumberFormat="1" applyFont="1" applyAlignment="1">
      <alignment horizontal="center"/>
    </xf>
    <xf numFmtId="178" fontId="20" fillId="0" borderId="0" xfId="0" applyNumberFormat="1" applyFont="1"/>
    <xf numFmtId="0" fontId="20" fillId="0" borderId="0" xfId="0" applyFont="1" applyAlignment="1">
      <alignment horizontal="left" wrapText="1"/>
    </xf>
    <xf numFmtId="0" fontId="19" fillId="0" borderId="0" xfId="0" applyFont="1" applyAlignment="1">
      <alignment horizontal="left" wrapText="1" indent="1"/>
    </xf>
    <xf numFmtId="0" fontId="43" fillId="0" borderId="0" xfId="0" applyFont="1"/>
    <xf numFmtId="0" fontId="32" fillId="0" borderId="0" xfId="0" applyFont="1" applyAlignment="1">
      <alignment horizontal="left" wrapText="1" indent="2"/>
    </xf>
    <xf numFmtId="184" fontId="32" fillId="0" borderId="0" xfId="0" applyNumberFormat="1" applyFont="1" applyAlignment="1">
      <alignment horizontal="right"/>
    </xf>
    <xf numFmtId="204" fontId="19" fillId="0" borderId="0" xfId="0" applyNumberFormat="1" applyFont="1"/>
    <xf numFmtId="204" fontId="19" fillId="0" borderId="0" xfId="0" applyNumberFormat="1" applyFont="1" applyAlignment="1">
      <alignment wrapText="1"/>
    </xf>
    <xf numFmtId="0" fontId="75" fillId="15" borderId="0" xfId="31">
      <alignment horizontal="left" vertical="center"/>
    </xf>
    <xf numFmtId="0" fontId="7" fillId="0" borderId="0" xfId="32"/>
    <xf numFmtId="49" fontId="76" fillId="0" borderId="0" xfId="33" applyNumberFormat="1">
      <alignment horizontal="left" vertical="center"/>
    </xf>
    <xf numFmtId="206" fontId="76" fillId="0" borderId="0" xfId="33" applyNumberFormat="1" applyAlignment="1">
      <alignment horizontal="right" vertical="center"/>
    </xf>
    <xf numFmtId="207" fontId="76" fillId="0" borderId="0" xfId="33" applyNumberFormat="1">
      <alignment horizontal="left" vertical="center"/>
    </xf>
    <xf numFmtId="0" fontId="77" fillId="0" borderId="0" xfId="34" applyAlignment="1">
      <alignment horizontal="left" vertical="center"/>
    </xf>
    <xf numFmtId="49" fontId="76" fillId="0" borderId="0" xfId="35" applyNumberFormat="1">
      <alignment horizontal="left" vertical="center"/>
    </xf>
    <xf numFmtId="206" fontId="76" fillId="0" borderId="0" xfId="35" applyNumberFormat="1" applyAlignment="1">
      <alignment horizontal="right" vertical="center"/>
    </xf>
    <xf numFmtId="207" fontId="76" fillId="0" borderId="0" xfId="35" applyNumberFormat="1">
      <alignment horizontal="left" vertical="center"/>
    </xf>
    <xf numFmtId="206" fontId="74" fillId="0" borderId="9" xfId="32" applyNumberFormat="1" applyFont="1" applyBorder="1"/>
    <xf numFmtId="0" fontId="78" fillId="0" borderId="0" xfId="36">
      <alignment horizontal="left" vertical="center"/>
    </xf>
    <xf numFmtId="0" fontId="76" fillId="0" borderId="0" xfId="33">
      <alignment horizontal="left" vertical="center"/>
    </xf>
    <xf numFmtId="0" fontId="76" fillId="0" borderId="0" xfId="35">
      <alignment horizontal="left" vertical="center"/>
    </xf>
    <xf numFmtId="22" fontId="76" fillId="0" borderId="0" xfId="35" applyNumberFormat="1">
      <alignment horizontal="left" vertical="center"/>
    </xf>
    <xf numFmtId="206" fontId="78" fillId="0" borderId="9" xfId="35" applyNumberFormat="1" applyFont="1" applyBorder="1" applyAlignment="1">
      <alignment horizontal="right" vertical="center"/>
    </xf>
    <xf numFmtId="0" fontId="20" fillId="0" borderId="0" xfId="0" applyFont="1" applyAlignment="1">
      <alignment horizontal="left" wrapText="1" indent="2"/>
    </xf>
    <xf numFmtId="0" fontId="26" fillId="0" borderId="0" xfId="0" applyFont="1" applyAlignment="1">
      <alignment horizontal="left" wrapText="1" indent="2"/>
    </xf>
    <xf numFmtId="177" fontId="80" fillId="0" borderId="5" xfId="0" applyNumberFormat="1" applyFont="1" applyBorder="1"/>
    <xf numFmtId="177" fontId="80" fillId="7" borderId="5" xfId="0" applyNumberFormat="1" applyFont="1" applyFill="1" applyBorder="1"/>
    <xf numFmtId="177" fontId="79" fillId="0" borderId="5" xfId="0" applyNumberFormat="1" applyFont="1" applyBorder="1" applyAlignment="1">
      <alignment horizontal="right"/>
    </xf>
    <xf numFmtId="0" fontId="19" fillId="7" borderId="5" xfId="0" applyFont="1" applyFill="1" applyBorder="1"/>
    <xf numFmtId="0" fontId="20" fillId="7" borderId="5" xfId="0" applyFont="1" applyFill="1" applyBorder="1"/>
    <xf numFmtId="168" fontId="23" fillId="7" borderId="5" xfId="0" applyNumberFormat="1" applyFont="1" applyFill="1" applyBorder="1"/>
    <xf numFmtId="177" fontId="80" fillId="0" borderId="0" xfId="0" applyNumberFormat="1" applyFont="1"/>
    <xf numFmtId="177" fontId="79" fillId="7" borderId="5" xfId="0" applyNumberFormat="1" applyFont="1" applyFill="1" applyBorder="1"/>
    <xf numFmtId="177" fontId="79" fillId="0" borderId="5" xfId="0" applyNumberFormat="1" applyFont="1" applyBorder="1"/>
    <xf numFmtId="177" fontId="43" fillId="0" borderId="0" xfId="0" applyNumberFormat="1" applyFont="1" applyAlignment="1">
      <alignment horizontal="center"/>
    </xf>
    <xf numFmtId="179" fontId="41" fillId="0" borderId="0" xfId="0" applyNumberFormat="1" applyFont="1"/>
    <xf numFmtId="168" fontId="45" fillId="0" borderId="0" xfId="0" applyNumberFormat="1" applyFont="1"/>
    <xf numFmtId="179" fontId="23" fillId="0" borderId="0" xfId="0" applyNumberFormat="1" applyFont="1"/>
    <xf numFmtId="168" fontId="41" fillId="0" borderId="0" xfId="0" applyNumberFormat="1" applyFont="1" applyAlignment="1">
      <alignment horizontal="right"/>
    </xf>
    <xf numFmtId="167" fontId="20" fillId="0" borderId="6" xfId="0" applyNumberFormat="1" applyFont="1" applyBorder="1"/>
    <xf numFmtId="168" fontId="40" fillId="0" borderId="0" xfId="0" applyNumberFormat="1" applyFont="1" applyAlignment="1">
      <alignment horizontal="right"/>
    </xf>
    <xf numFmtId="168" fontId="23" fillId="7" borderId="0" xfId="0" applyNumberFormat="1" applyFont="1" applyFill="1"/>
    <xf numFmtId="168" fontId="26" fillId="6" borderId="0" xfId="0" applyNumberFormat="1" applyFont="1" applyFill="1"/>
    <xf numFmtId="167" fontId="29" fillId="0" borderId="0" xfId="0" applyNumberFormat="1" applyFont="1"/>
    <xf numFmtId="208" fontId="19" fillId="0" borderId="0" xfId="0" applyNumberFormat="1" applyFont="1"/>
    <xf numFmtId="39" fontId="19" fillId="0" borderId="0" xfId="0" applyNumberFormat="1" applyFont="1"/>
    <xf numFmtId="168" fontId="27" fillId="0" borderId="0" xfId="6" applyNumberFormat="1" applyFont="1" applyAlignment="1">
      <alignment horizontal="left"/>
    </xf>
    <xf numFmtId="183" fontId="27" fillId="0" borderId="0" xfId="6" applyNumberFormat="1" applyFont="1" applyAlignment="1">
      <alignment horizontal="left"/>
    </xf>
    <xf numFmtId="0" fontId="58" fillId="0" borderId="0" xfId="6" applyNumberFormat="1" applyFont="1"/>
    <xf numFmtId="178" fontId="27" fillId="0" borderId="0" xfId="6" applyNumberFormat="1" applyFont="1" applyAlignment="1">
      <alignment horizontal="left"/>
    </xf>
    <xf numFmtId="168" fontId="28" fillId="0" borderId="0" xfId="6" applyNumberFormat="1" applyFont="1" applyAlignment="1">
      <alignment horizontal="left"/>
    </xf>
    <xf numFmtId="178" fontId="28" fillId="0" borderId="0" xfId="6" applyNumberFormat="1" applyFont="1" applyAlignment="1">
      <alignment horizontal="left"/>
    </xf>
    <xf numFmtId="183" fontId="28" fillId="0" borderId="0" xfId="6" applyNumberFormat="1" applyFont="1" applyAlignment="1">
      <alignment horizontal="left"/>
    </xf>
    <xf numFmtId="168" fontId="13" fillId="0" borderId="0" xfId="6" applyNumberFormat="1" applyFont="1"/>
    <xf numFmtId="0" fontId="15" fillId="0" borderId="0" xfId="10" applyFont="1"/>
    <xf numFmtId="0" fontId="15" fillId="0" borderId="0" xfId="10" applyFont="1" applyAlignment="1">
      <alignment horizontal="left"/>
    </xf>
    <xf numFmtId="0" fontId="15" fillId="0" borderId="0" xfId="10" applyFont="1" applyAlignment="1">
      <alignment horizontal="center" vertical="top"/>
    </xf>
    <xf numFmtId="197" fontId="15" fillId="0" borderId="0" xfId="10" applyNumberFormat="1" applyFont="1" applyAlignment="1">
      <alignment horizontal="center"/>
    </xf>
    <xf numFmtId="0" fontId="15" fillId="0" borderId="0" xfId="10" applyFont="1" applyAlignment="1">
      <alignment horizontal="center"/>
    </xf>
    <xf numFmtId="197" fontId="27" fillId="0" borderId="0" xfId="6" applyNumberFormat="1" applyFont="1" applyAlignment="1">
      <alignment horizontal="right"/>
    </xf>
    <xf numFmtId="197" fontId="46" fillId="0" borderId="0" xfId="6" applyNumberFormat="1" applyFont="1"/>
    <xf numFmtId="0" fontId="81" fillId="0" borderId="0" xfId="0" applyFont="1" applyAlignment="1">
      <alignment horizontal="left" indent="2"/>
    </xf>
    <xf numFmtId="168" fontId="27" fillId="0" borderId="0" xfId="6" applyNumberFormat="1" applyFont="1" applyAlignment="1">
      <alignment horizontal="right"/>
    </xf>
    <xf numFmtId="10" fontId="57" fillId="0" borderId="0" xfId="0" applyNumberFormat="1" applyFont="1"/>
    <xf numFmtId="178" fontId="23" fillId="0" borderId="0" xfId="0" applyNumberFormat="1" applyFont="1"/>
    <xf numFmtId="168" fontId="13" fillId="5" borderId="0" xfId="0" applyNumberFormat="1" applyFont="1" applyFill="1"/>
    <xf numFmtId="169" fontId="49" fillId="2" borderId="1" xfId="0" applyNumberFormat="1" applyFont="1" applyFill="1" applyBorder="1" applyAlignment="1">
      <alignment horizontal="centerContinuous"/>
    </xf>
    <xf numFmtId="176" fontId="13" fillId="4" borderId="3" xfId="0" applyNumberFormat="1" applyFont="1" applyFill="1" applyBorder="1" applyAlignment="1">
      <alignment horizontal="center"/>
    </xf>
    <xf numFmtId="0" fontId="39" fillId="0" borderId="0" xfId="0" applyFont="1"/>
    <xf numFmtId="0" fontId="79" fillId="0" borderId="0" xfId="0" applyFont="1"/>
    <xf numFmtId="0" fontId="59" fillId="0" borderId="10" xfId="0" applyFont="1" applyBorder="1" applyAlignment="1">
      <alignment horizontal="center"/>
    </xf>
    <xf numFmtId="0" fontId="59" fillId="0" borderId="10" xfId="0" applyFont="1" applyBorder="1"/>
    <xf numFmtId="168" fontId="60" fillId="0" borderId="10" xfId="0" applyNumberFormat="1" applyFont="1" applyBorder="1"/>
    <xf numFmtId="177" fontId="61" fillId="0" borderId="10" xfId="0" applyNumberFormat="1" applyFont="1" applyBorder="1"/>
    <xf numFmtId="0" fontId="59" fillId="0" borderId="26" xfId="0" applyFont="1" applyBorder="1" applyAlignment="1">
      <alignment horizontal="center"/>
    </xf>
    <xf numFmtId="0" fontId="59" fillId="0" borderId="26" xfId="0" applyFont="1" applyBorder="1"/>
    <xf numFmtId="168" fontId="60" fillId="0" borderId="26" xfId="0" applyNumberFormat="1" applyFont="1" applyBorder="1"/>
    <xf numFmtId="177" fontId="61" fillId="0" borderId="26" xfId="0" applyNumberFormat="1" applyFont="1" applyBorder="1"/>
    <xf numFmtId="0" fontId="0" fillId="0" borderId="5" xfId="0" applyBorder="1"/>
    <xf numFmtId="178" fontId="13" fillId="0" borderId="9" xfId="2" applyNumberFormat="1" applyFont="1" applyBorder="1" applyAlignment="1">
      <alignment horizontal="center"/>
    </xf>
    <xf numFmtId="14" fontId="27" fillId="0" borderId="0" xfId="2" applyNumberFormat="1" applyFont="1"/>
    <xf numFmtId="209" fontId="59" fillId="0" borderId="9" xfId="0" applyNumberFormat="1" applyFont="1" applyBorder="1" applyAlignment="1">
      <alignment horizontal="center"/>
    </xf>
    <xf numFmtId="204" fontId="20" fillId="0" borderId="0" xfId="0" applyNumberFormat="1" applyFont="1"/>
    <xf numFmtId="0" fontId="15" fillId="0" borderId="0" xfId="2" applyFont="1" applyAlignment="1">
      <alignment wrapText="1"/>
    </xf>
    <xf numFmtId="177" fontId="15" fillId="5" borderId="0" xfId="0" applyNumberFormat="1" applyFont="1" applyFill="1"/>
    <xf numFmtId="192" fontId="55" fillId="0" borderId="0" xfId="6" applyFont="1"/>
    <xf numFmtId="0" fontId="15" fillId="0" borderId="0" xfId="2" applyFont="1" applyAlignment="1">
      <alignment vertical="top"/>
    </xf>
    <xf numFmtId="210" fontId="16" fillId="2" borderId="8" xfId="1" applyNumberFormat="1" applyFont="1" applyFill="1" applyBorder="1" applyAlignment="1">
      <alignment horizontal="center"/>
    </xf>
    <xf numFmtId="210" fontId="16" fillId="2" borderId="2" xfId="0" applyNumberFormat="1" applyFont="1" applyFill="1" applyBorder="1" applyAlignment="1">
      <alignment horizontal="center"/>
    </xf>
    <xf numFmtId="210" fontId="16" fillId="2" borderId="2" xfId="2" applyNumberFormat="1" applyFont="1" applyFill="1" applyBorder="1" applyAlignment="1">
      <alignment horizontal="center"/>
    </xf>
    <xf numFmtId="168" fontId="46" fillId="0" borderId="0" xfId="2" applyNumberFormat="1" applyFont="1" applyAlignment="1">
      <alignment horizontal="right"/>
    </xf>
    <xf numFmtId="0" fontId="15" fillId="0" borderId="0" xfId="2" applyFont="1" applyAlignment="1">
      <alignment horizontal="right"/>
    </xf>
    <xf numFmtId="0" fontId="16" fillId="2" borderId="8" xfId="1" applyFont="1" applyFill="1" applyBorder="1" applyAlignment="1">
      <alignment horizontal="center"/>
    </xf>
    <xf numFmtId="168" fontId="18" fillId="6" borderId="0" xfId="2" applyNumberFormat="1" applyFont="1" applyFill="1" applyAlignment="1">
      <alignment horizontal="right"/>
    </xf>
    <xf numFmtId="178" fontId="15" fillId="5" borderId="0" xfId="0" applyNumberFormat="1" applyFont="1" applyFill="1"/>
    <xf numFmtId="168" fontId="46" fillId="0" borderId="0" xfId="6" applyNumberFormat="1" applyFont="1" applyAlignment="1">
      <alignment horizontal="right"/>
    </xf>
    <xf numFmtId="178" fontId="46" fillId="0" borderId="0" xfId="6" applyNumberFormat="1" applyFont="1" applyAlignment="1">
      <alignment horizontal="right"/>
    </xf>
    <xf numFmtId="178" fontId="40" fillId="0" borderId="0" xfId="0" applyNumberFormat="1" applyFont="1" applyAlignment="1">
      <alignment horizontal="right"/>
    </xf>
    <xf numFmtId="168" fontId="13" fillId="0" borderId="0" xfId="2" applyNumberFormat="1" applyFont="1" applyAlignment="1">
      <alignment horizontal="center"/>
    </xf>
    <xf numFmtId="178" fontId="52" fillId="8" borderId="0" xfId="2" applyNumberFormat="1" applyFont="1" applyFill="1" applyAlignment="1">
      <alignment horizontal="center"/>
    </xf>
    <xf numFmtId="0" fontId="52" fillId="8" borderId="0" xfId="2" applyFont="1" applyFill="1"/>
    <xf numFmtId="0" fontId="52" fillId="8" borderId="15" xfId="2" applyFont="1" applyFill="1" applyBorder="1"/>
    <xf numFmtId="0" fontId="52" fillId="8" borderId="5" xfId="2" applyFont="1" applyFill="1" applyBorder="1"/>
    <xf numFmtId="0" fontId="52" fillId="8" borderId="23" xfId="2" applyFont="1" applyFill="1" applyBorder="1"/>
    <xf numFmtId="0" fontId="52" fillId="8" borderId="5" xfId="2" applyFont="1" applyFill="1" applyBorder="1" applyAlignment="1">
      <alignment horizontal="left" indent="2"/>
    </xf>
    <xf numFmtId="183" fontId="15" fillId="0" borderId="15" xfId="2" applyNumberFormat="1" applyFont="1" applyBorder="1" applyAlignment="1">
      <alignment horizontal="center"/>
    </xf>
    <xf numFmtId="183" fontId="15" fillId="0" borderId="5" xfId="2" applyNumberFormat="1" applyFont="1" applyBorder="1" applyAlignment="1">
      <alignment horizontal="center"/>
    </xf>
    <xf numFmtId="183" fontId="15" fillId="0" borderId="23" xfId="2" applyNumberFormat="1" applyFont="1" applyBorder="1" applyAlignment="1">
      <alignment horizontal="center"/>
    </xf>
    <xf numFmtId="183" fontId="15" fillId="0" borderId="14" xfId="2" applyNumberFormat="1" applyFont="1" applyBorder="1" applyAlignment="1">
      <alignment horizontal="center"/>
    </xf>
    <xf numFmtId="183" fontId="15" fillId="0" borderId="26" xfId="2" applyNumberFormat="1" applyFont="1" applyBorder="1" applyAlignment="1">
      <alignment horizontal="center"/>
    </xf>
    <xf numFmtId="183" fontId="15" fillId="0" borderId="27" xfId="2" applyNumberFormat="1" applyFont="1" applyBorder="1" applyAlignment="1">
      <alignment horizontal="center"/>
    </xf>
    <xf numFmtId="178" fontId="27" fillId="0" borderId="0" xfId="2" applyNumberFormat="1" applyFont="1"/>
    <xf numFmtId="178" fontId="46" fillId="0" borderId="0" xfId="2" applyNumberFormat="1" applyFont="1"/>
    <xf numFmtId="178" fontId="28" fillId="0" borderId="0" xfId="2" applyNumberFormat="1" applyFont="1"/>
    <xf numFmtId="178" fontId="22" fillId="0" borderId="0" xfId="0" applyNumberFormat="1" applyFont="1"/>
    <xf numFmtId="0" fontId="15" fillId="0" borderId="0" xfId="2" applyFont="1" applyAlignment="1">
      <alignment horizontal="justify" vertical="top" wrapText="1"/>
    </xf>
    <xf numFmtId="0" fontId="15" fillId="0" borderId="0" xfId="2" applyFont="1" applyAlignment="1">
      <alignment horizontal="left" vertical="top" wrapText="1"/>
    </xf>
    <xf numFmtId="0" fontId="15" fillId="0" borderId="0" xfId="2" applyFont="1" applyAlignment="1">
      <alignment horizontal="left" vertical="top"/>
    </xf>
    <xf numFmtId="168" fontId="20" fillId="0" borderId="0" xfId="0" applyNumberFormat="1" applyFont="1" applyAlignment="1">
      <alignment horizontal="left" indent="2"/>
    </xf>
    <xf numFmtId="0" fontId="29" fillId="0" borderId="0" xfId="0" applyFont="1"/>
    <xf numFmtId="0" fontId="21" fillId="0" borderId="0" xfId="0" applyFont="1"/>
    <xf numFmtId="168" fontId="19" fillId="0" borderId="0" xfId="0" applyNumberFormat="1" applyFont="1" applyAlignment="1">
      <alignment horizontal="left" indent="2"/>
    </xf>
    <xf numFmtId="170" fontId="16" fillId="2" borderId="0" xfId="0" applyNumberFormat="1" applyFont="1" applyFill="1" applyAlignment="1">
      <alignment horizontal="center"/>
    </xf>
    <xf numFmtId="177" fontId="32" fillId="16" borderId="31" xfId="37" applyNumberFormat="1" applyFont="1"/>
    <xf numFmtId="176" fontId="15" fillId="4" borderId="0" xfId="2" applyNumberFormat="1" applyFont="1" applyFill="1" applyAlignment="1">
      <alignment horizontal="center"/>
    </xf>
    <xf numFmtId="184" fontId="17" fillId="6" borderId="0" xfId="1" applyNumberFormat="1" applyFont="1" applyFill="1"/>
    <xf numFmtId="168" fontId="27" fillId="0" borderId="9" xfId="1" applyNumberFormat="1" applyFont="1" applyBorder="1"/>
    <xf numFmtId="194" fontId="16" fillId="2" borderId="0" xfId="2" applyNumberFormat="1" applyFont="1" applyFill="1" applyAlignment="1">
      <alignment horizontal="center"/>
    </xf>
    <xf numFmtId="177" fontId="20" fillId="6" borderId="5" xfId="0" applyNumberFormat="1" applyFont="1" applyFill="1" applyBorder="1" applyAlignment="1">
      <alignment horizontal="right"/>
    </xf>
    <xf numFmtId="168" fontId="21" fillId="0" borderId="0" xfId="0" applyNumberFormat="1" applyFont="1" applyAlignment="1">
      <alignment horizontal="right"/>
    </xf>
    <xf numFmtId="0" fontId="83" fillId="0" borderId="0" xfId="0" applyFont="1"/>
    <xf numFmtId="0" fontId="18" fillId="0" borderId="0" xfId="0" applyFont="1"/>
    <xf numFmtId="0" fontId="18" fillId="0" borderId="0" xfId="0" applyFont="1" applyAlignment="1">
      <alignment horizontal="center"/>
    </xf>
    <xf numFmtId="179" fontId="41" fillId="0" borderId="0" xfId="0" applyNumberFormat="1" applyFont="1" applyAlignment="1">
      <alignment horizontal="right"/>
    </xf>
    <xf numFmtId="179" fontId="21" fillId="0" borderId="0" xfId="0" applyNumberFormat="1" applyFont="1" applyAlignment="1">
      <alignment horizontal="right"/>
    </xf>
    <xf numFmtId="179" fontId="21" fillId="7" borderId="0" xfId="0" applyNumberFormat="1" applyFont="1" applyFill="1" applyAlignment="1">
      <alignment horizontal="right"/>
    </xf>
    <xf numFmtId="168" fontId="40" fillId="6" borderId="0" xfId="0" applyNumberFormat="1" applyFont="1" applyFill="1" applyAlignment="1">
      <alignment horizontal="right"/>
    </xf>
    <xf numFmtId="177" fontId="21" fillId="6" borderId="0" xfId="0" applyNumberFormat="1" applyFont="1" applyFill="1"/>
    <xf numFmtId="0" fontId="13" fillId="0" borderId="0" xfId="38" applyFont="1"/>
    <xf numFmtId="0" fontId="15" fillId="0" borderId="0" xfId="38" applyFont="1"/>
    <xf numFmtId="0" fontId="19" fillId="0" borderId="0" xfId="39"/>
    <xf numFmtId="0" fontId="14" fillId="0" borderId="0" xfId="38" applyFont="1"/>
    <xf numFmtId="0" fontId="13" fillId="0" borderId="9" xfId="38" applyFont="1" applyBorder="1" applyAlignment="1">
      <alignment horizontal="center"/>
    </xf>
    <xf numFmtId="183" fontId="15" fillId="0" borderId="0" xfId="38" applyNumberFormat="1" applyFont="1"/>
    <xf numFmtId="0" fontId="39" fillId="0" borderId="0" xfId="38" applyFont="1"/>
    <xf numFmtId="0" fontId="32" fillId="0" borderId="0" xfId="39" applyFont="1"/>
    <xf numFmtId="0" fontId="84" fillId="0" borderId="0" xfId="38" applyFont="1"/>
    <xf numFmtId="0" fontId="49" fillId="18" borderId="0" xfId="38" applyFont="1" applyFill="1" applyAlignment="1">
      <alignment horizontal="centerContinuous"/>
    </xf>
    <xf numFmtId="0" fontId="20" fillId="0" borderId="0" xfId="39" applyFont="1"/>
    <xf numFmtId="0" fontId="13" fillId="0" borderId="5" xfId="38" applyFont="1" applyBorder="1"/>
    <xf numFmtId="0" fontId="15" fillId="0" borderId="5" xfId="38" applyFont="1" applyBorder="1"/>
    <xf numFmtId="0" fontId="13" fillId="0" borderId="0" xfId="38" applyFont="1" applyAlignment="1">
      <alignment vertical="center" wrapText="1"/>
    </xf>
    <xf numFmtId="0" fontId="86" fillId="19" borderId="9" xfId="40" applyFont="1" applyFill="1" applyBorder="1" applyAlignment="1">
      <alignment horizontal="center" vertical="center" wrapText="1"/>
    </xf>
    <xf numFmtId="183" fontId="21" fillId="0" borderId="0" xfId="39" applyNumberFormat="1" applyFont="1"/>
    <xf numFmtId="0" fontId="20" fillId="0" borderId="0" xfId="39" applyFont="1" applyAlignment="1">
      <alignment horizontal="center"/>
    </xf>
    <xf numFmtId="183" fontId="20" fillId="0" borderId="0" xfId="39" applyNumberFormat="1" applyFont="1"/>
    <xf numFmtId="212" fontId="15" fillId="0" borderId="0" xfId="42" applyNumberFormat="1" applyFont="1"/>
    <xf numFmtId="213" fontId="13" fillId="0" borderId="0" xfId="38" applyNumberFormat="1" applyFont="1" applyAlignment="1">
      <alignment horizontal="centerContinuous"/>
    </xf>
    <xf numFmtId="214" fontId="13" fillId="0" borderId="0" xfId="38" applyNumberFormat="1" applyFont="1" applyAlignment="1">
      <alignment horizontal="centerContinuous"/>
    </xf>
    <xf numFmtId="0" fontId="26" fillId="0" borderId="0" xfId="39" applyFont="1"/>
    <xf numFmtId="0" fontId="87" fillId="0" borderId="0" xfId="39" applyFont="1"/>
    <xf numFmtId="192" fontId="13" fillId="0" borderId="0" xfId="43" applyFont="1"/>
    <xf numFmtId="192" fontId="14" fillId="0" borderId="0" xfId="43" applyFont="1"/>
    <xf numFmtId="192" fontId="15" fillId="0" borderId="0" xfId="43" applyFont="1"/>
    <xf numFmtId="199" fontId="53" fillId="0" borderId="0" xfId="43" applyNumberFormat="1" applyFont="1"/>
    <xf numFmtId="192" fontId="53" fillId="0" borderId="0" xfId="43" applyFont="1"/>
    <xf numFmtId="0" fontId="14" fillId="0" borderId="0" xfId="44" applyFont="1"/>
    <xf numFmtId="15" fontId="88" fillId="20" borderId="9" xfId="45" applyNumberFormat="1" applyFont="1" applyFill="1" applyBorder="1" applyAlignment="1">
      <alignment horizontal="centerContinuous"/>
    </xf>
    <xf numFmtId="15" fontId="51" fillId="20" borderId="9" xfId="45" applyNumberFormat="1" applyFont="1" applyFill="1" applyBorder="1" applyAlignment="1">
      <alignment horizontal="centerContinuous"/>
    </xf>
    <xf numFmtId="200" fontId="51" fillId="21" borderId="9" xfId="43" applyNumberFormat="1" applyFont="1" applyFill="1" applyBorder="1" applyAlignment="1">
      <alignment horizontal="center"/>
    </xf>
    <xf numFmtId="0" fontId="88" fillId="20" borderId="9" xfId="45" applyFont="1" applyFill="1" applyBorder="1" applyAlignment="1">
      <alignment horizontal="centerContinuous"/>
    </xf>
    <xf numFmtId="192" fontId="39" fillId="0" borderId="0" xfId="43" applyFont="1"/>
    <xf numFmtId="169" fontId="49" fillId="18" borderId="0" xfId="43" applyNumberFormat="1" applyFont="1" applyFill="1" applyAlignment="1">
      <alignment horizontal="center"/>
    </xf>
    <xf numFmtId="169" fontId="49" fillId="18" borderId="32" xfId="43" applyNumberFormat="1" applyFont="1" applyFill="1" applyBorder="1" applyAlignment="1">
      <alignment horizontal="center"/>
    </xf>
    <xf numFmtId="216" fontId="49" fillId="18" borderId="0" xfId="43" applyNumberFormat="1" applyFont="1" applyFill="1" applyAlignment="1">
      <alignment horizontal="centerContinuous"/>
    </xf>
    <xf numFmtId="169" fontId="49" fillId="18" borderId="0" xfId="43" applyNumberFormat="1" applyFont="1" applyFill="1" applyAlignment="1">
      <alignment horizontal="centerContinuous"/>
    </xf>
    <xf numFmtId="169" fontId="49" fillId="18" borderId="32" xfId="43" applyNumberFormat="1" applyFont="1" applyFill="1" applyBorder="1" applyAlignment="1">
      <alignment horizontal="centerContinuous"/>
    </xf>
    <xf numFmtId="176" fontId="13" fillId="21" borderId="0" xfId="43" applyNumberFormat="1" applyFont="1" applyFill="1" applyAlignment="1">
      <alignment horizontal="center"/>
    </xf>
    <xf numFmtId="176" fontId="39" fillId="21" borderId="0" xfId="43" applyNumberFormat="1" applyFont="1" applyFill="1" applyAlignment="1">
      <alignment horizontal="center"/>
    </xf>
    <xf numFmtId="176" fontId="13" fillId="21" borderId="32" xfId="43" applyNumberFormat="1" applyFont="1" applyFill="1" applyBorder="1" applyAlignment="1">
      <alignment horizontal="center"/>
    </xf>
    <xf numFmtId="176" fontId="13" fillId="21" borderId="33" xfId="43" applyNumberFormat="1" applyFont="1" applyFill="1" applyBorder="1" applyAlignment="1">
      <alignment horizontal="center"/>
    </xf>
    <xf numFmtId="176" fontId="13" fillId="21" borderId="34" xfId="43" applyNumberFormat="1" applyFont="1" applyFill="1" applyBorder="1" applyAlignment="1">
      <alignment horizontal="center"/>
    </xf>
    <xf numFmtId="176" fontId="13" fillId="0" borderId="0" xfId="43" applyNumberFormat="1" applyFont="1" applyAlignment="1">
      <alignment horizontal="center"/>
    </xf>
    <xf numFmtId="176" fontId="15" fillId="0" borderId="0" xfId="43" applyNumberFormat="1" applyFont="1" applyAlignment="1">
      <alignment horizontal="center"/>
    </xf>
    <xf numFmtId="168" fontId="46" fillId="0" borderId="0" xfId="43" applyNumberFormat="1" applyFont="1" applyAlignment="1">
      <alignment horizontal="right"/>
    </xf>
    <xf numFmtId="177" fontId="13" fillId="0" borderId="0" xfId="43" applyNumberFormat="1" applyFont="1" applyAlignment="1">
      <alignment horizontal="center"/>
    </xf>
    <xf numFmtId="177" fontId="18" fillId="0" borderId="0" xfId="43" applyNumberFormat="1" applyFont="1"/>
    <xf numFmtId="199" fontId="15" fillId="0" borderId="0" xfId="43" applyNumberFormat="1" applyFont="1"/>
    <xf numFmtId="177" fontId="14" fillId="0" borderId="0" xfId="43" applyNumberFormat="1" applyFont="1"/>
    <xf numFmtId="192" fontId="15" fillId="0" borderId="0" xfId="43" applyFont="1" applyAlignment="1">
      <alignment horizontal="left" indent="1"/>
    </xf>
    <xf numFmtId="168" fontId="15" fillId="0" borderId="0" xfId="43" applyNumberFormat="1" applyFont="1" applyAlignment="1">
      <alignment horizontal="right"/>
    </xf>
    <xf numFmtId="168" fontId="28" fillId="0" borderId="0" xfId="43" applyNumberFormat="1" applyFont="1" applyAlignment="1">
      <alignment horizontal="right"/>
    </xf>
    <xf numFmtId="177" fontId="15" fillId="0" borderId="0" xfId="43" applyNumberFormat="1" applyFont="1" applyAlignment="1">
      <alignment horizontal="right"/>
    </xf>
    <xf numFmtId="192" fontId="13" fillId="0" borderId="0" xfId="43" applyFont="1" applyAlignment="1">
      <alignment horizontal="left" indent="1"/>
    </xf>
    <xf numFmtId="168" fontId="13" fillId="0" borderId="0" xfId="43" applyNumberFormat="1" applyFont="1" applyAlignment="1">
      <alignment horizontal="right"/>
    </xf>
    <xf numFmtId="168" fontId="36" fillId="0" borderId="0" xfId="43" applyNumberFormat="1" applyFont="1" applyAlignment="1">
      <alignment horizontal="right"/>
    </xf>
    <xf numFmtId="177" fontId="13" fillId="0" borderId="0" xfId="43" applyNumberFormat="1" applyFont="1" applyAlignment="1">
      <alignment horizontal="right"/>
    </xf>
    <xf numFmtId="178" fontId="15" fillId="0" borderId="0" xfId="43" applyNumberFormat="1" applyFont="1" applyAlignment="1">
      <alignment horizontal="right"/>
    </xf>
    <xf numFmtId="178" fontId="46" fillId="0" borderId="0" xfId="43" applyNumberFormat="1" applyFont="1" applyAlignment="1">
      <alignment horizontal="right"/>
    </xf>
    <xf numFmtId="178" fontId="28" fillId="0" borderId="0" xfId="43" applyNumberFormat="1" applyFont="1" applyAlignment="1">
      <alignment horizontal="right"/>
    </xf>
    <xf numFmtId="168" fontId="15" fillId="0" borderId="0" xfId="43" applyNumberFormat="1" applyFont="1"/>
    <xf numFmtId="168" fontId="13" fillId="0" borderId="0" xfId="43" applyNumberFormat="1" applyFont="1"/>
    <xf numFmtId="168" fontId="14" fillId="0" borderId="0" xfId="43" applyNumberFormat="1" applyFont="1"/>
    <xf numFmtId="168" fontId="17" fillId="0" borderId="0" xfId="43" applyNumberFormat="1" applyFont="1"/>
    <xf numFmtId="0" fontId="26" fillId="6" borderId="0" xfId="0" applyFont="1" applyFill="1"/>
    <xf numFmtId="178" fontId="23" fillId="6" borderId="0" xfId="0" applyNumberFormat="1" applyFont="1" applyFill="1" applyAlignment="1">
      <alignment horizontal="right"/>
    </xf>
    <xf numFmtId="174" fontId="89" fillId="2" borderId="2" xfId="0" applyNumberFormat="1" applyFont="1" applyFill="1" applyBorder="1" applyAlignment="1">
      <alignment horizontal="center"/>
    </xf>
    <xf numFmtId="168" fontId="90" fillId="0" borderId="0" xfId="0" applyNumberFormat="1" applyFont="1"/>
    <xf numFmtId="0" fontId="91" fillId="0" borderId="0" xfId="0" applyFont="1"/>
    <xf numFmtId="0" fontId="90" fillId="0" borderId="0" xfId="0" applyFont="1"/>
    <xf numFmtId="176" fontId="90" fillId="4" borderId="3" xfId="0" applyNumberFormat="1" applyFont="1" applyFill="1" applyBorder="1" applyAlignment="1">
      <alignment horizontal="center"/>
    </xf>
    <xf numFmtId="0" fontId="92" fillId="0" borderId="0" xfId="0" applyFont="1"/>
    <xf numFmtId="168" fontId="90" fillId="0" borderId="0" xfId="1" applyNumberFormat="1" applyFont="1"/>
    <xf numFmtId="0" fontId="90" fillId="0" borderId="0" xfId="1" applyFont="1"/>
    <xf numFmtId="168" fontId="91" fillId="0" borderId="0" xfId="0" applyNumberFormat="1" applyFont="1"/>
    <xf numFmtId="168" fontId="21" fillId="20" borderId="0" xfId="0" applyNumberFormat="1" applyFont="1" applyFill="1"/>
    <xf numFmtId="168" fontId="29" fillId="20" borderId="0" xfId="0" applyNumberFormat="1" applyFont="1" applyFill="1"/>
    <xf numFmtId="168" fontId="23" fillId="20" borderId="0" xfId="0" applyNumberFormat="1" applyFont="1" applyFill="1"/>
    <xf numFmtId="205" fontId="15" fillId="3" borderId="10" xfId="47" applyNumberFormat="1" applyFont="1" applyFill="1" applyBorder="1" applyAlignment="1">
      <alignment horizontal="centerContinuous"/>
    </xf>
    <xf numFmtId="205" fontId="15" fillId="3" borderId="25" xfId="47" applyNumberFormat="1" applyFont="1" applyFill="1" applyBorder="1" applyAlignment="1">
      <alignment horizontal="centerContinuous"/>
    </xf>
    <xf numFmtId="205" fontId="15" fillId="3" borderId="11" xfId="47" applyNumberFormat="1" applyFont="1" applyFill="1" applyBorder="1" applyAlignment="1">
      <alignment horizontal="centerContinuous"/>
    </xf>
    <xf numFmtId="0" fontId="15" fillId="3" borderId="0" xfId="47" applyFont="1" applyFill="1"/>
    <xf numFmtId="0" fontId="15" fillId="3" borderId="0" xfId="47" applyFont="1" applyFill="1" applyAlignment="1">
      <alignment horizontal="center"/>
    </xf>
    <xf numFmtId="205" fontId="15" fillId="3" borderId="0" xfId="47" applyNumberFormat="1" applyFont="1" applyFill="1" applyAlignment="1">
      <alignment horizontal="center"/>
    </xf>
    <xf numFmtId="0" fontId="15" fillId="3" borderId="0" xfId="47" applyFont="1" applyFill="1" applyAlignment="1">
      <alignment horizontal="right"/>
    </xf>
    <xf numFmtId="177" fontId="27" fillId="3" borderId="35" xfId="47" applyNumberFormat="1" applyFont="1" applyFill="1" applyBorder="1" applyAlignment="1">
      <alignment horizontal="center"/>
    </xf>
    <xf numFmtId="183" fontId="27" fillId="3" borderId="35" xfId="47" applyNumberFormat="1" applyFont="1" applyFill="1" applyBorder="1"/>
    <xf numFmtId="177" fontId="27" fillId="3" borderId="36" xfId="47" applyNumberFormat="1" applyFont="1" applyFill="1" applyBorder="1" applyAlignment="1">
      <alignment horizontal="center"/>
    </xf>
    <xf numFmtId="183" fontId="27" fillId="3" borderId="36" xfId="47" applyNumberFormat="1" applyFont="1" applyFill="1" applyBorder="1"/>
    <xf numFmtId="177" fontId="28" fillId="3" borderId="37" xfId="47" applyNumberFormat="1" applyFont="1" applyFill="1" applyBorder="1" applyAlignment="1">
      <alignment horizontal="center"/>
    </xf>
    <xf numFmtId="183" fontId="27" fillId="3" borderId="37" xfId="47" applyNumberFormat="1" applyFont="1" applyFill="1" applyBorder="1"/>
    <xf numFmtId="183" fontId="36" fillId="3" borderId="5" xfId="47" applyNumberFormat="1" applyFont="1" applyFill="1" applyBorder="1"/>
    <xf numFmtId="0" fontId="15" fillId="0" borderId="26" xfId="47" applyFont="1" applyBorder="1"/>
    <xf numFmtId="168" fontId="21" fillId="6" borderId="30" xfId="0" applyNumberFormat="1" applyFont="1" applyFill="1" applyBorder="1" applyAlignment="1">
      <alignment horizontal="center"/>
    </xf>
    <xf numFmtId="197" fontId="51" fillId="0" borderId="9" xfId="2" applyNumberFormat="1" applyFont="1" applyBorder="1"/>
    <xf numFmtId="177" fontId="15" fillId="0" borderId="27" xfId="47" applyNumberFormat="1" applyFont="1" applyBorder="1"/>
    <xf numFmtId="0" fontId="93" fillId="22" borderId="0" xfId="45" applyFont="1" applyFill="1"/>
    <xf numFmtId="0" fontId="15" fillId="22" borderId="0" xfId="45" applyFill="1"/>
    <xf numFmtId="0" fontId="54" fillId="22" borderId="0" xfId="45" applyFont="1" applyFill="1"/>
    <xf numFmtId="0" fontId="15" fillId="0" borderId="0" xfId="45"/>
    <xf numFmtId="199" fontId="15" fillId="0" borderId="0" xfId="45" applyNumberFormat="1" applyAlignment="1">
      <alignment horizontal="centerContinuous"/>
    </xf>
    <xf numFmtId="0" fontId="14" fillId="0" borderId="0" xfId="45" applyFont="1"/>
    <xf numFmtId="168" fontId="15" fillId="0" borderId="0" xfId="48" applyNumberFormat="1" applyFont="1" applyAlignment="1">
      <alignment horizontal="center"/>
    </xf>
    <xf numFmtId="0" fontId="15" fillId="0" borderId="9" xfId="45" applyBorder="1" applyAlignment="1">
      <alignment horizontal="center"/>
    </xf>
    <xf numFmtId="177" fontId="15" fillId="0" borderId="0" xfId="45" applyNumberFormat="1"/>
    <xf numFmtId="0" fontId="88" fillId="0" borderId="0" xfId="45" applyFont="1" applyAlignment="1">
      <alignment horizontal="centerContinuous"/>
    </xf>
    <xf numFmtId="0" fontId="88" fillId="0" borderId="14" xfId="45" applyFont="1" applyBorder="1" applyAlignment="1">
      <alignment horizontal="centerContinuous"/>
    </xf>
    <xf numFmtId="0" fontId="88" fillId="0" borderId="0" xfId="45" applyFont="1"/>
    <xf numFmtId="0" fontId="15" fillId="0" borderId="14" xfId="45" applyBorder="1"/>
    <xf numFmtId="15" fontId="88" fillId="20" borderId="14" xfId="45" applyNumberFormat="1" applyFont="1" applyFill="1" applyBorder="1" applyAlignment="1">
      <alignment horizontal="centerContinuous"/>
    </xf>
    <xf numFmtId="217" fontId="88" fillId="0" borderId="14" xfId="45" applyNumberFormat="1" applyFont="1" applyBorder="1"/>
    <xf numFmtId="0" fontId="15" fillId="0" borderId="0" xfId="45" applyAlignment="1">
      <alignment horizontal="center" vertical="center"/>
    </xf>
    <xf numFmtId="0" fontId="49" fillId="23" borderId="0" xfId="45" applyFont="1" applyFill="1"/>
    <xf numFmtId="0" fontId="94" fillId="0" borderId="0" xfId="45" applyFont="1"/>
    <xf numFmtId="0" fontId="94" fillId="24" borderId="0" xfId="45" applyFont="1" applyFill="1" applyAlignment="1">
      <alignment horizontal="left"/>
    </xf>
    <xf numFmtId="199" fontId="94" fillId="0" borderId="0" xfId="45" applyNumberFormat="1" applyFont="1"/>
    <xf numFmtId="168" fontId="94" fillId="0" borderId="0" xfId="45" applyNumberFormat="1" applyFont="1"/>
    <xf numFmtId="184" fontId="94" fillId="0" borderId="0" xfId="45" applyNumberFormat="1" applyFont="1"/>
    <xf numFmtId="181" fontId="94" fillId="0" borderId="0" xfId="45" applyNumberFormat="1" applyFont="1"/>
    <xf numFmtId="168" fontId="94" fillId="4" borderId="0" xfId="45" applyNumberFormat="1" applyFont="1" applyFill="1"/>
    <xf numFmtId="14" fontId="94" fillId="0" borderId="0" xfId="45" applyNumberFormat="1" applyFont="1" applyAlignment="1">
      <alignment horizontal="right"/>
    </xf>
    <xf numFmtId="183" fontId="94" fillId="0" borderId="0" xfId="45" applyNumberFormat="1" applyFont="1" applyAlignment="1">
      <alignment horizontal="right"/>
    </xf>
    <xf numFmtId="4" fontId="94" fillId="0" borderId="0" xfId="45" applyNumberFormat="1" applyFont="1"/>
    <xf numFmtId="4" fontId="94" fillId="0" borderId="0" xfId="45" applyNumberFormat="1" applyFont="1" applyAlignment="1">
      <alignment horizontal="right"/>
    </xf>
    <xf numFmtId="183" fontId="95" fillId="0" borderId="0" xfId="45" applyNumberFormat="1" applyFont="1" applyAlignment="1">
      <alignment horizontal="right"/>
    </xf>
    <xf numFmtId="218" fontId="94" fillId="0" borderId="0" xfId="45" applyNumberFormat="1" applyFont="1" applyAlignment="1">
      <alignment horizontal="right"/>
    </xf>
    <xf numFmtId="0" fontId="53" fillId="24" borderId="0" xfId="45" applyFont="1" applyFill="1" applyAlignment="1">
      <alignment horizontal="left"/>
    </xf>
    <xf numFmtId="168" fontId="15" fillId="0" borderId="0" xfId="45" applyNumberFormat="1"/>
    <xf numFmtId="181" fontId="15" fillId="0" borderId="0" xfId="45" applyNumberFormat="1"/>
    <xf numFmtId="14" fontId="15" fillId="0" borderId="0" xfId="45" applyNumberFormat="1" applyAlignment="1">
      <alignment horizontal="right"/>
    </xf>
    <xf numFmtId="183" fontId="15" fillId="0" borderId="0" xfId="45" applyNumberFormat="1" applyAlignment="1">
      <alignment horizontal="right"/>
    </xf>
    <xf numFmtId="4" fontId="15" fillId="0" borderId="0" xfId="45" applyNumberFormat="1"/>
    <xf numFmtId="4" fontId="15" fillId="0" borderId="0" xfId="45" applyNumberFormat="1" applyAlignment="1">
      <alignment horizontal="right"/>
    </xf>
    <xf numFmtId="183" fontId="13" fillId="0" borderId="0" xfId="45" applyNumberFormat="1" applyFont="1" applyAlignment="1">
      <alignment horizontal="right"/>
    </xf>
    <xf numFmtId="218" fontId="15" fillId="0" borderId="0" xfId="45" applyNumberFormat="1" applyAlignment="1">
      <alignment horizontal="right"/>
    </xf>
    <xf numFmtId="0" fontId="15" fillId="20" borderId="0" xfId="45" applyFill="1"/>
    <xf numFmtId="0" fontId="53" fillId="20" borderId="0" xfId="45" applyFont="1" applyFill="1" applyAlignment="1">
      <alignment horizontal="left"/>
    </xf>
    <xf numFmtId="197" fontId="15" fillId="20" borderId="0" xfId="45" applyNumberFormat="1" applyFill="1"/>
    <xf numFmtId="184" fontId="15" fillId="20" borderId="0" xfId="45" applyNumberFormat="1" applyFill="1"/>
    <xf numFmtId="181" fontId="15" fillId="20" borderId="0" xfId="45" applyNumberFormat="1" applyFill="1"/>
    <xf numFmtId="168" fontId="15" fillId="20" borderId="0" xfId="45" applyNumberFormat="1" applyFill="1"/>
    <xf numFmtId="14" fontId="15" fillId="20" borderId="0" xfId="45" applyNumberFormat="1" applyFill="1" applyAlignment="1">
      <alignment horizontal="right"/>
    </xf>
    <xf numFmtId="183" fontId="15" fillId="20" borderId="0" xfId="45" applyNumberFormat="1" applyFill="1" applyAlignment="1">
      <alignment horizontal="right"/>
    </xf>
    <xf numFmtId="168" fontId="15" fillId="20" borderId="0" xfId="45" applyNumberFormat="1" applyFill="1" applyAlignment="1">
      <alignment horizontal="right"/>
    </xf>
    <xf numFmtId="4" fontId="15" fillId="20" borderId="0" xfId="45" applyNumberFormat="1" applyFill="1" applyAlignment="1">
      <alignment horizontal="right"/>
    </xf>
    <xf numFmtId="4" fontId="15" fillId="20" borderId="0" xfId="45" applyNumberFormat="1" applyFill="1"/>
    <xf numFmtId="168" fontId="13" fillId="20" borderId="0" xfId="45" applyNumberFormat="1" applyFont="1" applyFill="1" applyAlignment="1">
      <alignment horizontal="right"/>
    </xf>
    <xf numFmtId="189" fontId="15" fillId="20" borderId="0" xfId="45" applyNumberFormat="1" applyFill="1" applyAlignment="1">
      <alignment horizontal="right"/>
    </xf>
    <xf numFmtId="189" fontId="13" fillId="20" borderId="0" xfId="45" applyNumberFormat="1" applyFont="1" applyFill="1" applyAlignment="1">
      <alignment horizontal="right"/>
    </xf>
    <xf numFmtId="183" fontId="13" fillId="20" borderId="0" xfId="45" applyNumberFormat="1" applyFont="1" applyFill="1" applyAlignment="1">
      <alignment horizontal="right"/>
    </xf>
    <xf numFmtId="218" fontId="15" fillId="20" borderId="0" xfId="45" applyNumberFormat="1" applyFill="1" applyAlignment="1">
      <alignment horizontal="right"/>
    </xf>
    <xf numFmtId="197" fontId="15" fillId="0" borderId="0" xfId="45" applyNumberFormat="1"/>
    <xf numFmtId="184" fontId="15" fillId="0" borderId="0" xfId="45" applyNumberFormat="1"/>
    <xf numFmtId="168" fontId="15" fillId="0" borderId="0" xfId="45" applyNumberFormat="1" applyAlignment="1">
      <alignment horizontal="right"/>
    </xf>
    <xf numFmtId="4" fontId="15" fillId="6" borderId="0" xfId="45" applyNumberFormat="1" applyFill="1" applyAlignment="1">
      <alignment horizontal="right"/>
    </xf>
    <xf numFmtId="168" fontId="13" fillId="0" borderId="0" xfId="45" applyNumberFormat="1" applyFont="1" applyAlignment="1">
      <alignment horizontal="right"/>
    </xf>
    <xf numFmtId="189" fontId="15" fillId="0" borderId="0" xfId="45" applyNumberFormat="1" applyAlignment="1">
      <alignment horizontal="right"/>
    </xf>
    <xf numFmtId="189" fontId="13" fillId="0" borderId="0" xfId="45" applyNumberFormat="1" applyFont="1" applyAlignment="1">
      <alignment horizontal="right"/>
    </xf>
    <xf numFmtId="0" fontId="28" fillId="0" borderId="0" xfId="50" applyFont="1" applyAlignment="1">
      <alignment horizontal="left" vertical="center" indent="1"/>
    </xf>
    <xf numFmtId="0" fontId="28" fillId="0" borderId="0" xfId="50" applyFont="1" applyAlignment="1">
      <alignment horizontal="right" vertical="center" indent="1"/>
    </xf>
    <xf numFmtId="15" fontId="15" fillId="26" borderId="39" xfId="51" applyNumberFormat="1" applyFont="1" applyFill="1" applyBorder="1" applyAlignment="1">
      <alignment horizontal="left" vertical="center" indent="1"/>
    </xf>
    <xf numFmtId="0" fontId="98" fillId="0" borderId="0" xfId="50" applyFont="1" applyAlignment="1">
      <alignment horizontal="left" vertical="center" indent="1"/>
    </xf>
    <xf numFmtId="0" fontId="100" fillId="27" borderId="0" xfId="52" applyFont="1" applyAlignment="1">
      <alignment horizontal="left" vertical="center" indent="1"/>
    </xf>
    <xf numFmtId="0" fontId="36" fillId="0" borderId="40" xfId="53" applyFont="1" applyBorder="1" applyAlignment="1">
      <alignment horizontal="right" vertical="center" indent="1"/>
    </xf>
    <xf numFmtId="0" fontId="36" fillId="0" borderId="40" xfId="53" applyFont="1" applyBorder="1" applyAlignment="1">
      <alignment horizontal="left" vertical="center" indent="1"/>
    </xf>
    <xf numFmtId="0" fontId="36" fillId="0" borderId="0" xfId="53" applyFont="1" applyAlignment="1">
      <alignment horizontal="right" vertical="center" indent="1"/>
    </xf>
    <xf numFmtId="0" fontId="28" fillId="14" borderId="41" xfId="50" applyFont="1" applyFill="1" applyBorder="1" applyAlignment="1">
      <alignment horizontal="right" vertical="center" indent="1"/>
    </xf>
    <xf numFmtId="0" fontId="28" fillId="20" borderId="42" xfId="50" applyFont="1" applyFill="1" applyBorder="1" applyAlignment="1">
      <alignment horizontal="left" vertical="center" indent="1"/>
    </xf>
    <xf numFmtId="0" fontId="28" fillId="20" borderId="42" xfId="50" applyFont="1" applyFill="1" applyBorder="1" applyAlignment="1">
      <alignment horizontal="right" vertical="center" indent="1"/>
    </xf>
    <xf numFmtId="0" fontId="28" fillId="0" borderId="27" xfId="50" quotePrefix="1" applyFont="1" applyBorder="1" applyAlignment="1">
      <alignment horizontal="right" vertical="center" indent="1"/>
    </xf>
    <xf numFmtId="0" fontId="28" fillId="0" borderId="13" xfId="50" quotePrefix="1" applyFont="1" applyBorder="1" applyAlignment="1">
      <alignment horizontal="right" vertical="center" indent="1"/>
    </xf>
    <xf numFmtId="0" fontId="28" fillId="0" borderId="14" xfId="50" applyFont="1" applyBorder="1" applyAlignment="1">
      <alignment horizontal="left" vertical="center" indent="1"/>
    </xf>
    <xf numFmtId="0" fontId="28" fillId="0" borderId="14" xfId="50" applyFont="1" applyBorder="1" applyAlignment="1">
      <alignment horizontal="right" vertical="center" indent="1"/>
    </xf>
    <xf numFmtId="0" fontId="28" fillId="28" borderId="0" xfId="50" applyFont="1" applyFill="1" applyAlignment="1">
      <alignment horizontal="left" vertical="center" indent="1"/>
    </xf>
    <xf numFmtId="219" fontId="28" fillId="0" borderId="0" xfId="50" applyNumberFormat="1" applyFont="1" applyAlignment="1">
      <alignment horizontal="right" vertical="center" indent="1"/>
    </xf>
    <xf numFmtId="2" fontId="102" fillId="0" borderId="0" xfId="50" applyNumberFormat="1" applyFont="1" applyAlignment="1">
      <alignment horizontal="left" vertical="center" indent="1"/>
    </xf>
    <xf numFmtId="0" fontId="28" fillId="0" borderId="27" xfId="50" applyFont="1" applyBorder="1" applyAlignment="1">
      <alignment horizontal="right" vertical="center" indent="1"/>
    </xf>
    <xf numFmtId="0" fontId="28" fillId="14" borderId="0" xfId="50" applyFont="1" applyFill="1" applyAlignment="1">
      <alignment horizontal="right" vertical="center" indent="1"/>
    </xf>
    <xf numFmtId="0" fontId="28" fillId="0" borderId="0" xfId="50" quotePrefix="1" applyFont="1" applyAlignment="1">
      <alignment horizontal="left" vertical="center" indent="1"/>
    </xf>
    <xf numFmtId="0" fontId="28" fillId="14" borderId="27" xfId="50" applyFont="1" applyFill="1" applyBorder="1" applyAlignment="1">
      <alignment horizontal="right" vertical="center" indent="1"/>
    </xf>
    <xf numFmtId="0" fontId="28" fillId="14" borderId="0" xfId="50" applyFont="1" applyFill="1" applyAlignment="1">
      <alignment horizontal="left" vertical="center" indent="1"/>
    </xf>
    <xf numFmtId="220" fontId="28" fillId="0" borderId="0" xfId="50" applyNumberFormat="1" applyFont="1" applyAlignment="1">
      <alignment horizontal="right" vertical="center" indent="1"/>
    </xf>
    <xf numFmtId="2" fontId="28" fillId="0" borderId="0" xfId="50" applyNumberFormat="1" applyFont="1" applyAlignment="1">
      <alignment horizontal="right" vertical="center" indent="1"/>
    </xf>
    <xf numFmtId="0" fontId="28" fillId="0" borderId="13" xfId="50" applyFont="1" applyBorder="1" applyAlignment="1">
      <alignment horizontal="right" vertical="center" indent="1"/>
    </xf>
    <xf numFmtId="220" fontId="28" fillId="0" borderId="14" xfId="50" applyNumberFormat="1" applyFont="1" applyBorder="1" applyAlignment="1">
      <alignment horizontal="right" vertical="center" indent="1"/>
    </xf>
    <xf numFmtId="0" fontId="15" fillId="0" borderId="15" xfId="47" applyFont="1" applyBorder="1"/>
    <xf numFmtId="0" fontId="13" fillId="0" borderId="5" xfId="47" applyFont="1" applyBorder="1"/>
    <xf numFmtId="0" fontId="15" fillId="0" borderId="5" xfId="47" applyFont="1" applyBorder="1"/>
    <xf numFmtId="168" fontId="28" fillId="0" borderId="23" xfId="47" applyNumberFormat="1" applyFont="1" applyBorder="1"/>
    <xf numFmtId="168" fontId="46" fillId="0" borderId="27" xfId="47" applyNumberFormat="1" applyFont="1" applyBorder="1"/>
    <xf numFmtId="0" fontId="15" fillId="0" borderId="12" xfId="47" applyFont="1" applyBorder="1" applyAlignment="1">
      <alignment horizontal="left" indent="1"/>
    </xf>
    <xf numFmtId="0" fontId="15" fillId="0" borderId="14" xfId="47" applyFont="1" applyBorder="1" applyAlignment="1">
      <alignment horizontal="left" indent="1"/>
    </xf>
    <xf numFmtId="0" fontId="15" fillId="0" borderId="14" xfId="47" applyFont="1" applyBorder="1"/>
    <xf numFmtId="168" fontId="15" fillId="0" borderId="11" xfId="47" applyNumberFormat="1" applyFont="1" applyBorder="1"/>
    <xf numFmtId="0" fontId="15" fillId="0" borderId="0" xfId="47" applyFont="1"/>
    <xf numFmtId="168" fontId="27" fillId="0" borderId="27" xfId="2" applyNumberFormat="1" applyFont="1" applyBorder="1"/>
    <xf numFmtId="0" fontId="13" fillId="0" borderId="0" xfId="47" applyFont="1"/>
    <xf numFmtId="0" fontId="13" fillId="0" borderId="0" xfId="54" applyFont="1"/>
    <xf numFmtId="0" fontId="15" fillId="0" borderId="0" xfId="54" applyFont="1"/>
    <xf numFmtId="0" fontId="14" fillId="0" borderId="0" xfId="54" applyFont="1"/>
    <xf numFmtId="0" fontId="13" fillId="0" borderId="9" xfId="54" applyFont="1" applyBorder="1" applyAlignment="1">
      <alignment horizontal="center"/>
    </xf>
    <xf numFmtId="183" fontId="15" fillId="0" borderId="0" xfId="54" applyNumberFormat="1" applyFont="1"/>
    <xf numFmtId="0" fontId="39" fillId="0" borderId="0" xfId="54" applyFont="1"/>
    <xf numFmtId="0" fontId="49" fillId="18" borderId="0" xfId="54" applyFont="1" applyFill="1" applyAlignment="1">
      <alignment horizontal="centerContinuous"/>
    </xf>
    <xf numFmtId="0" fontId="13" fillId="0" borderId="5" xfId="54" applyFont="1" applyBorder="1"/>
    <xf numFmtId="0" fontId="15" fillId="0" borderId="5" xfId="54" applyFont="1" applyBorder="1"/>
    <xf numFmtId="0" fontId="13" fillId="0" borderId="0" xfId="54" applyFont="1" applyAlignment="1">
      <alignment vertical="center" wrapText="1"/>
    </xf>
    <xf numFmtId="211" fontId="13" fillId="0" borderId="0" xfId="54" applyNumberFormat="1" applyFont="1" applyAlignment="1">
      <alignment horizontal="centerContinuous"/>
    </xf>
    <xf numFmtId="176" fontId="15" fillId="0" borderId="0" xfId="55" applyNumberFormat="1" applyFont="1"/>
    <xf numFmtId="213" fontId="13" fillId="0" borderId="0" xfId="54" applyNumberFormat="1" applyFont="1" applyAlignment="1">
      <alignment horizontal="centerContinuous"/>
    </xf>
    <xf numFmtId="214" fontId="13" fillId="0" borderId="0" xfId="54" applyNumberFormat="1" applyFont="1" applyAlignment="1">
      <alignment horizontal="centerContinuous"/>
    </xf>
    <xf numFmtId="215" fontId="13" fillId="0" borderId="0" xfId="54" applyNumberFormat="1" applyFont="1" applyAlignment="1">
      <alignment horizontal="centerContinuous"/>
    </xf>
    <xf numFmtId="221" fontId="15" fillId="0" borderId="0" xfId="55" applyNumberFormat="1" applyFont="1"/>
    <xf numFmtId="177" fontId="15" fillId="0" borderId="0" xfId="55" applyNumberFormat="1" applyFont="1"/>
    <xf numFmtId="215" fontId="39" fillId="0" borderId="0" xfId="54" applyNumberFormat="1" applyFont="1" applyAlignment="1">
      <alignment horizontal="centerContinuous"/>
    </xf>
    <xf numFmtId="176" fontId="14" fillId="0" borderId="0" xfId="55" applyNumberFormat="1" applyFont="1"/>
    <xf numFmtId="176" fontId="14" fillId="0" borderId="0" xfId="55" applyNumberFormat="1" applyFont="1" applyAlignment="1">
      <alignment horizontal="left" indent="1"/>
    </xf>
    <xf numFmtId="222" fontId="15" fillId="0" borderId="0" xfId="55" applyNumberFormat="1" applyFont="1"/>
    <xf numFmtId="197" fontId="51" fillId="0" borderId="9" xfId="2" applyNumberFormat="1" applyFont="1" applyBorder="1" applyAlignment="1">
      <alignment horizontal="center"/>
    </xf>
    <xf numFmtId="177" fontId="15" fillId="0" borderId="0" xfId="4" applyNumberFormat="1" applyFont="1" applyAlignment="1">
      <alignment horizontal="center"/>
    </xf>
    <xf numFmtId="177" fontId="20" fillId="0" borderId="0" xfId="0" applyNumberFormat="1" applyFont="1" applyAlignment="1">
      <alignment horizontal="right"/>
    </xf>
    <xf numFmtId="177" fontId="20" fillId="6" borderId="0" xfId="0" applyNumberFormat="1" applyFont="1" applyFill="1" applyAlignment="1">
      <alignment horizontal="right"/>
    </xf>
    <xf numFmtId="218" fontId="15" fillId="0" borderId="0" xfId="45" quotePrefix="1" applyNumberFormat="1" applyAlignment="1">
      <alignment horizontal="right"/>
    </xf>
    <xf numFmtId="177" fontId="14" fillId="0" borderId="0" xfId="54" applyNumberFormat="1" applyFont="1"/>
    <xf numFmtId="183" fontId="14" fillId="0" borderId="0" xfId="54" applyNumberFormat="1" applyFont="1"/>
    <xf numFmtId="0" fontId="103" fillId="0" borderId="0" xfId="40" applyFont="1" applyAlignment="1">
      <alignment horizontal="center" vertical="center" wrapText="1"/>
    </xf>
    <xf numFmtId="197" fontId="15" fillId="0" borderId="0" xfId="54" applyNumberFormat="1" applyFont="1"/>
    <xf numFmtId="197" fontId="14" fillId="0" borderId="0" xfId="54" applyNumberFormat="1" applyFont="1"/>
    <xf numFmtId="181" fontId="15" fillId="0" borderId="23" xfId="47" applyNumberFormat="1" applyFont="1" applyBorder="1"/>
    <xf numFmtId="0" fontId="13" fillId="0" borderId="26" xfId="2" applyFont="1" applyBorder="1" applyAlignment="1">
      <alignment horizontal="left" indent="1"/>
    </xf>
    <xf numFmtId="0" fontId="13" fillId="0" borderId="10" xfId="2" applyFont="1" applyBorder="1"/>
    <xf numFmtId="0" fontId="13" fillId="0" borderId="25" xfId="2" applyFont="1" applyBorder="1"/>
    <xf numFmtId="177" fontId="13" fillId="0" borderId="11" xfId="2" applyNumberFormat="1" applyFont="1" applyBorder="1"/>
    <xf numFmtId="0" fontId="15" fillId="0" borderId="10" xfId="47" applyFont="1" applyBorder="1"/>
    <xf numFmtId="177" fontId="15" fillId="0" borderId="11" xfId="47" applyNumberFormat="1" applyFont="1" applyBorder="1"/>
    <xf numFmtId="168" fontId="21" fillId="0" borderId="0" xfId="39" applyNumberFormat="1" applyFont="1"/>
    <xf numFmtId="168" fontId="19" fillId="0" borderId="0" xfId="39" applyNumberFormat="1"/>
    <xf numFmtId="168" fontId="20" fillId="0" borderId="0" xfId="39" applyNumberFormat="1" applyFont="1"/>
    <xf numFmtId="168" fontId="15" fillId="0" borderId="0" xfId="38" applyNumberFormat="1" applyFont="1"/>
    <xf numFmtId="0" fontId="19" fillId="0" borderId="0" xfId="39" quotePrefix="1"/>
    <xf numFmtId="183" fontId="19" fillId="0" borderId="0" xfId="39" applyNumberFormat="1"/>
    <xf numFmtId="183" fontId="19" fillId="6" borderId="0" xfId="39" applyNumberFormat="1" applyFill="1"/>
    <xf numFmtId="183" fontId="19" fillId="0" borderId="0" xfId="39" applyNumberFormat="1" applyAlignment="1">
      <alignment horizontal="right"/>
    </xf>
    <xf numFmtId="177" fontId="15" fillId="0" borderId="0" xfId="38" applyNumberFormat="1" applyFont="1"/>
    <xf numFmtId="183" fontId="24" fillId="0" borderId="0" xfId="39" applyNumberFormat="1" applyFont="1"/>
    <xf numFmtId="0" fontId="22" fillId="0" borderId="0" xfId="0" applyFont="1"/>
    <xf numFmtId="0" fontId="22" fillId="0" borderId="0" xfId="0" applyFont="1" applyAlignment="1">
      <alignment horizontal="left" indent="1"/>
    </xf>
    <xf numFmtId="168" fontId="35" fillId="0" borderId="0" xfId="0" applyNumberFormat="1" applyFont="1"/>
    <xf numFmtId="168" fontId="80" fillId="0" borderId="5" xfId="0" applyNumberFormat="1" applyFont="1" applyBorder="1"/>
    <xf numFmtId="168" fontId="20" fillId="6" borderId="5" xfId="0" applyNumberFormat="1" applyFont="1" applyFill="1" applyBorder="1"/>
    <xf numFmtId="0" fontId="23" fillId="0" borderId="0" xfId="0" quotePrefix="1" applyFont="1"/>
    <xf numFmtId="183" fontId="13" fillId="6" borderId="0" xfId="45" applyNumberFormat="1" applyFont="1" applyFill="1" applyAlignment="1">
      <alignment horizontal="right"/>
    </xf>
    <xf numFmtId="14" fontId="19" fillId="0" borderId="0" xfId="39" applyNumberFormat="1"/>
    <xf numFmtId="43" fontId="15" fillId="0" borderId="0" xfId="56" applyFont="1"/>
    <xf numFmtId="168" fontId="43" fillId="0" borderId="0" xfId="0" applyNumberFormat="1" applyFont="1"/>
    <xf numFmtId="0" fontId="42" fillId="0" borderId="0" xfId="0" applyFont="1"/>
    <xf numFmtId="183" fontId="19" fillId="0" borderId="0" xfId="0" applyNumberFormat="1" applyFont="1"/>
    <xf numFmtId="0" fontId="22" fillId="0" borderId="10" xfId="0" applyFont="1" applyBorder="1"/>
    <xf numFmtId="0" fontId="25" fillId="0" borderId="25" xfId="0" applyFont="1" applyBorder="1"/>
    <xf numFmtId="168" fontId="22" fillId="0" borderId="25" xfId="0" applyNumberFormat="1" applyFont="1" applyBorder="1"/>
    <xf numFmtId="168" fontId="24" fillId="0" borderId="25" xfId="0" applyNumberFormat="1" applyFont="1" applyBorder="1"/>
    <xf numFmtId="183" fontId="23" fillId="0" borderId="0" xfId="0" applyNumberFormat="1" applyFont="1"/>
    <xf numFmtId="168" fontId="27" fillId="0" borderId="27" xfId="47" applyNumberFormat="1" applyFont="1" applyBorder="1"/>
    <xf numFmtId="168" fontId="24" fillId="0" borderId="0" xfId="0" applyNumberFormat="1" applyFont="1" applyAlignment="1">
      <alignment horizontal="left" wrapText="1" indent="1"/>
    </xf>
    <xf numFmtId="0" fontId="32" fillId="0" borderId="0" xfId="0" applyFont="1" applyAlignment="1">
      <alignment horizontal="left" wrapText="1" indent="1"/>
    </xf>
    <xf numFmtId="164" fontId="15" fillId="0" borderId="0" xfId="0" applyNumberFormat="1" applyFont="1"/>
    <xf numFmtId="177" fontId="21" fillId="4" borderId="0" xfId="0" applyNumberFormat="1" applyFont="1" applyFill="1"/>
    <xf numFmtId="0" fontId="27" fillId="0" borderId="0" xfId="38" applyFont="1"/>
    <xf numFmtId="177" fontId="35" fillId="6" borderId="0" xfId="0" applyNumberFormat="1" applyFont="1" applyFill="1"/>
    <xf numFmtId="177" fontId="28" fillId="0" borderId="0" xfId="50" applyNumberFormat="1" applyFont="1" applyAlignment="1">
      <alignment horizontal="right" vertical="center" indent="1"/>
    </xf>
    <xf numFmtId="177" fontId="46" fillId="0" borderId="23" xfId="2" applyNumberFormat="1" applyFont="1" applyBorder="1"/>
    <xf numFmtId="177" fontId="19" fillId="0" borderId="0" xfId="39" applyNumberFormat="1"/>
    <xf numFmtId="183" fontId="15" fillId="6" borderId="0" xfId="38" applyNumberFormat="1" applyFont="1" applyFill="1"/>
    <xf numFmtId="177" fontId="26" fillId="0" borderId="0" xfId="0" applyNumberFormat="1" applyFont="1"/>
    <xf numFmtId="183" fontId="28" fillId="0" borderId="14" xfId="2" applyNumberFormat="1" applyFont="1" applyBorder="1"/>
    <xf numFmtId="9" fontId="19" fillId="0" borderId="0" xfId="0" applyNumberFormat="1" applyFont="1"/>
    <xf numFmtId="176" fontId="15" fillId="4" borderId="1" xfId="0" applyNumberFormat="1" applyFont="1" applyFill="1" applyBorder="1" applyAlignment="1">
      <alignment horizontal="center"/>
    </xf>
    <xf numFmtId="176" fontId="15" fillId="4" borderId="43" xfId="0" applyNumberFormat="1" applyFont="1" applyFill="1" applyBorder="1" applyAlignment="1">
      <alignment horizontal="center"/>
    </xf>
    <xf numFmtId="197" fontId="13" fillId="0" borderId="9" xfId="2" applyNumberFormat="1" applyFont="1" applyBorder="1" applyAlignment="1">
      <alignment horizontal="right"/>
    </xf>
    <xf numFmtId="0" fontId="35" fillId="0" borderId="0" xfId="0" applyFont="1" applyAlignment="1">
      <alignment horizontal="left"/>
    </xf>
    <xf numFmtId="168" fontId="25" fillId="0" borderId="0" xfId="0" applyNumberFormat="1" applyFont="1" applyAlignment="1">
      <alignment horizontal="left" indent="2"/>
    </xf>
    <xf numFmtId="0" fontId="13" fillId="29" borderId="9" xfId="38" applyFont="1" applyFill="1" applyBorder="1" applyAlignment="1">
      <alignment horizontal="center"/>
    </xf>
    <xf numFmtId="0" fontId="104" fillId="30" borderId="0" xfId="57" applyFont="1" applyFill="1"/>
    <xf numFmtId="0" fontId="105" fillId="30" borderId="0" xfId="57" applyFont="1" applyFill="1"/>
    <xf numFmtId="14" fontId="105" fillId="30" borderId="0" xfId="57" applyNumberFormat="1" applyFont="1" applyFill="1"/>
    <xf numFmtId="0" fontId="105" fillId="0" borderId="0" xfId="57" applyFont="1"/>
    <xf numFmtId="14" fontId="105" fillId="0" borderId="0" xfId="57" applyNumberFormat="1" applyFont="1"/>
    <xf numFmtId="0" fontId="104" fillId="0" borderId="0" xfId="57" applyFont="1"/>
    <xf numFmtId="223" fontId="106" fillId="0" borderId="0" xfId="58" applyNumberFormat="1" applyFont="1" applyAlignment="1">
      <alignment horizontal="center" vertical="center"/>
    </xf>
    <xf numFmtId="0" fontId="104" fillId="0" borderId="0" xfId="57" applyFont="1" applyAlignment="1">
      <alignment horizontal="center"/>
    </xf>
    <xf numFmtId="0" fontId="107" fillId="0" borderId="0" xfId="57" applyFont="1" applyAlignment="1">
      <alignment horizontal="center"/>
    </xf>
    <xf numFmtId="224" fontId="105" fillId="0" borderId="0" xfId="57" applyNumberFormat="1" applyFont="1" applyAlignment="1">
      <alignment horizontal="center"/>
    </xf>
    <xf numFmtId="225" fontId="105" fillId="0" borderId="0" xfId="57" applyNumberFormat="1" applyFont="1" applyAlignment="1">
      <alignment horizontal="center"/>
    </xf>
    <xf numFmtId="226" fontId="105" fillId="0" borderId="0" xfId="57" applyNumberFormat="1" applyFont="1" applyAlignment="1">
      <alignment horizontal="center"/>
    </xf>
    <xf numFmtId="166" fontId="105" fillId="0" borderId="0" xfId="57" applyNumberFormat="1" applyFont="1"/>
    <xf numFmtId="0" fontId="105" fillId="31" borderId="0" xfId="57" applyFont="1" applyFill="1"/>
    <xf numFmtId="0" fontId="106" fillId="31" borderId="0" xfId="57" applyFont="1" applyFill="1" applyAlignment="1">
      <alignment horizontal="center"/>
    </xf>
    <xf numFmtId="0" fontId="108" fillId="0" borderId="44" xfId="57" applyFont="1" applyBorder="1" applyAlignment="1">
      <alignment horizontal="center"/>
    </xf>
    <xf numFmtId="0" fontId="109" fillId="0" borderId="0" xfId="57" applyFont="1"/>
    <xf numFmtId="0" fontId="85" fillId="0" borderId="0" xfId="57" applyFont="1" applyAlignment="1">
      <alignment horizontal="center"/>
    </xf>
    <xf numFmtId="0" fontId="110" fillId="0" borderId="45" xfId="57" quotePrefix="1" applyFont="1" applyBorder="1" applyAlignment="1">
      <alignment horizontal="left"/>
    </xf>
    <xf numFmtId="0" fontId="66" fillId="0" borderId="0" xfId="57" quotePrefix="1" applyFont="1" applyAlignment="1">
      <alignment horizontal="center"/>
    </xf>
    <xf numFmtId="0" fontId="106" fillId="0" borderId="0" xfId="57" quotePrefix="1" applyFont="1" applyAlignment="1">
      <alignment horizontal="center"/>
    </xf>
    <xf numFmtId="0" fontId="110" fillId="0" borderId="0" xfId="57" quotePrefix="1" applyFont="1" applyAlignment="1">
      <alignment horizontal="center"/>
    </xf>
    <xf numFmtId="0" fontId="85" fillId="0" borderId="45" xfId="57" applyFont="1" applyBorder="1"/>
    <xf numFmtId="14" fontId="66" fillId="0" borderId="14" xfId="57" applyNumberFormat="1" applyFont="1" applyBorder="1" applyAlignment="1">
      <alignment horizontal="center"/>
    </xf>
    <xf numFmtId="227" fontId="106" fillId="0" borderId="14" xfId="57" applyNumberFormat="1" applyFont="1" applyBorder="1" applyAlignment="1">
      <alignment horizontal="center"/>
    </xf>
    <xf numFmtId="227" fontId="111" fillId="0" borderId="0" xfId="57" applyNumberFormat="1" applyFont="1" applyAlignment="1">
      <alignment horizontal="center"/>
    </xf>
    <xf numFmtId="0" fontId="85" fillId="0" borderId="14" xfId="57" applyFont="1" applyBorder="1" applyAlignment="1">
      <alignment horizontal="center"/>
    </xf>
    <xf numFmtId="201" fontId="112" fillId="0" borderId="46" xfId="59" applyNumberFormat="1" applyFont="1" applyBorder="1" applyAlignment="1">
      <alignment horizontal="left"/>
    </xf>
    <xf numFmtId="225" fontId="85" fillId="0" borderId="0" xfId="59" applyNumberFormat="1" applyFont="1" applyFill="1" applyAlignment="1">
      <alignment horizontal="center"/>
    </xf>
    <xf numFmtId="201" fontId="105" fillId="0" borderId="0" xfId="59" applyNumberFormat="1" applyFont="1" applyAlignment="1">
      <alignment horizontal="center"/>
    </xf>
    <xf numFmtId="201" fontId="105" fillId="0" borderId="0" xfId="57" applyNumberFormat="1" applyFont="1"/>
    <xf numFmtId="225" fontId="85" fillId="0" borderId="0" xfId="57" applyNumberFormat="1" applyFont="1"/>
    <xf numFmtId="201" fontId="105" fillId="0" borderId="0" xfId="59" applyNumberFormat="1" applyFont="1" applyAlignment="1">
      <alignment horizontal="left"/>
    </xf>
    <xf numFmtId="37" fontId="105" fillId="0" borderId="0" xfId="57" applyNumberFormat="1" applyFont="1" applyAlignment="1">
      <alignment horizontal="center"/>
    </xf>
    <xf numFmtId="225" fontId="105" fillId="0" borderId="0" xfId="59" applyNumberFormat="1" applyFont="1" applyFill="1" applyAlignment="1">
      <alignment horizontal="center"/>
    </xf>
    <xf numFmtId="168" fontId="105" fillId="0" borderId="0" xfId="57" applyNumberFormat="1" applyFont="1"/>
    <xf numFmtId="177" fontId="105" fillId="0" borderId="0" xfId="57" applyNumberFormat="1" applyFont="1"/>
    <xf numFmtId="39" fontId="110" fillId="0" borderId="0" xfId="57" applyNumberFormat="1" applyFont="1" applyAlignment="1">
      <alignment horizontal="center"/>
    </xf>
    <xf numFmtId="224" fontId="85" fillId="0" borderId="0" xfId="59" applyNumberFormat="1" applyFont="1" applyFill="1" applyAlignment="1">
      <alignment horizontal="center"/>
    </xf>
    <xf numFmtId="0" fontId="113" fillId="0" borderId="0" xfId="57" applyFont="1"/>
    <xf numFmtId="0" fontId="114" fillId="0" borderId="0" xfId="57" applyFont="1"/>
    <xf numFmtId="201" fontId="113" fillId="0" borderId="0" xfId="59" applyNumberFormat="1" applyFont="1" applyAlignment="1">
      <alignment horizontal="center"/>
    </xf>
    <xf numFmtId="168" fontId="110" fillId="0" borderId="0" xfId="57" applyNumberFormat="1" applyFont="1" applyAlignment="1">
      <alignment horizontal="center"/>
    </xf>
    <xf numFmtId="0" fontId="85" fillId="0" borderId="0" xfId="57" applyFont="1"/>
    <xf numFmtId="168" fontId="105" fillId="0" borderId="0" xfId="57" applyNumberFormat="1" applyFont="1" applyAlignment="1">
      <alignment horizontal="center"/>
    </xf>
    <xf numFmtId="228" fontId="105" fillId="0" borderId="0" xfId="57" applyNumberFormat="1" applyFont="1" applyAlignment="1">
      <alignment horizontal="center"/>
    </xf>
    <xf numFmtId="224" fontId="105" fillId="0" borderId="0" xfId="59" applyNumberFormat="1" applyFont="1" applyFill="1" applyAlignment="1">
      <alignment horizontal="center"/>
    </xf>
    <xf numFmtId="229" fontId="105" fillId="0" borderId="0" xfId="57" applyNumberFormat="1" applyFont="1"/>
    <xf numFmtId="224" fontId="68" fillId="0" borderId="0" xfId="59" applyNumberFormat="1" applyFont="1" applyAlignment="1">
      <alignment horizontal="center"/>
    </xf>
    <xf numFmtId="201" fontId="110" fillId="0" borderId="0" xfId="59" quotePrefix="1" applyNumberFormat="1" applyFont="1" applyAlignment="1">
      <alignment horizontal="left"/>
    </xf>
    <xf numFmtId="0" fontId="115" fillId="0" borderId="0" xfId="57" applyFont="1"/>
    <xf numFmtId="225" fontId="85" fillId="0" borderId="0" xfId="57" applyNumberFormat="1" applyFont="1" applyAlignment="1">
      <alignment horizontal="center"/>
    </xf>
    <xf numFmtId="0" fontId="85" fillId="0" borderId="0" xfId="57" applyFont="1" applyAlignment="1">
      <alignment horizontal="left" indent="1"/>
    </xf>
    <xf numFmtId="230" fontId="105" fillId="0" borderId="0" xfId="59" applyNumberFormat="1" applyFont="1" applyAlignment="1">
      <alignment horizontal="center"/>
    </xf>
    <xf numFmtId="224" fontId="105" fillId="0" borderId="0" xfId="57" applyNumberFormat="1" applyFont="1"/>
    <xf numFmtId="0" fontId="116" fillId="0" borderId="0" xfId="57" applyFont="1"/>
    <xf numFmtId="231" fontId="105" fillId="0" borderId="0" xfId="57" applyNumberFormat="1" applyFont="1"/>
    <xf numFmtId="39" fontId="105" fillId="0" borderId="0" xfId="57" applyNumberFormat="1" applyFont="1"/>
    <xf numFmtId="37" fontId="117" fillId="0" borderId="0" xfId="57" applyNumberFormat="1" applyFont="1" applyAlignment="1">
      <alignment horizontal="center"/>
    </xf>
    <xf numFmtId="0" fontId="53" fillId="0" borderId="0" xfId="45" applyFont="1" applyAlignment="1">
      <alignment horizontal="left"/>
    </xf>
    <xf numFmtId="0" fontId="104" fillId="0" borderId="27" xfId="57" applyFont="1" applyBorder="1" applyAlignment="1">
      <alignment horizontal="center"/>
    </xf>
    <xf numFmtId="224" fontId="105" fillId="0" borderId="27" xfId="57" applyNumberFormat="1" applyFont="1" applyBorder="1" applyAlignment="1">
      <alignment horizontal="center"/>
    </xf>
    <xf numFmtId="224" fontId="104" fillId="0" borderId="27" xfId="57" applyNumberFormat="1" applyFont="1" applyBorder="1" applyAlignment="1">
      <alignment horizontal="center"/>
    </xf>
    <xf numFmtId="226" fontId="105" fillId="0" borderId="27" xfId="57" applyNumberFormat="1" applyFont="1" applyBorder="1" applyAlignment="1">
      <alignment horizontal="center"/>
    </xf>
    <xf numFmtId="177" fontId="105" fillId="0" borderId="27" xfId="57" applyNumberFormat="1" applyFont="1" applyBorder="1" applyAlignment="1">
      <alignment horizontal="center"/>
    </xf>
    <xf numFmtId="177" fontId="105" fillId="0" borderId="0" xfId="57" applyNumberFormat="1" applyFont="1" applyAlignment="1">
      <alignment horizontal="center"/>
    </xf>
    <xf numFmtId="225" fontId="105" fillId="0" borderId="27" xfId="57" applyNumberFormat="1" applyFont="1" applyBorder="1" applyAlignment="1">
      <alignment horizontal="center"/>
    </xf>
    <xf numFmtId="0" fontId="24" fillId="0" borderId="0" xfId="39" applyFont="1"/>
    <xf numFmtId="177" fontId="24" fillId="0" borderId="0" xfId="39" applyNumberFormat="1" applyFont="1"/>
    <xf numFmtId="0" fontId="18" fillId="0" borderId="0" xfId="38" applyFont="1"/>
    <xf numFmtId="0" fontId="19" fillId="6" borderId="0" xfId="39" applyFill="1"/>
    <xf numFmtId="168" fontId="40" fillId="6" borderId="0" xfId="0" applyNumberFormat="1" applyFont="1" applyFill="1"/>
    <xf numFmtId="0" fontId="19" fillId="6" borderId="0" xfId="0" applyFont="1" applyFill="1"/>
    <xf numFmtId="167" fontId="24" fillId="0" borderId="0" xfId="0" applyNumberFormat="1" applyFont="1"/>
    <xf numFmtId="168" fontId="23" fillId="6" borderId="0" xfId="0" applyNumberFormat="1" applyFont="1" applyFill="1"/>
    <xf numFmtId="168" fontId="46" fillId="0" borderId="5" xfId="2" applyNumberFormat="1" applyFont="1" applyBorder="1"/>
    <xf numFmtId="168" fontId="27" fillId="0" borderId="5" xfId="2" applyNumberFormat="1" applyFont="1" applyBorder="1"/>
    <xf numFmtId="0" fontId="13" fillId="0" borderId="0" xfId="2" applyFont="1" applyAlignment="1">
      <alignment horizontal="left"/>
    </xf>
    <xf numFmtId="168" fontId="23" fillId="0" borderId="0" xfId="0" quotePrefix="1" applyNumberFormat="1" applyFont="1"/>
    <xf numFmtId="167" fontId="15" fillId="0" borderId="0" xfId="2" applyNumberFormat="1" applyFont="1"/>
    <xf numFmtId="168" fontId="15" fillId="0" borderId="10" xfId="2" applyNumberFormat="1" applyFont="1" applyBorder="1"/>
    <xf numFmtId="168" fontId="15" fillId="0" borderId="25" xfId="2" applyNumberFormat="1" applyFont="1" applyBorder="1"/>
    <xf numFmtId="168" fontId="15" fillId="0" borderId="11" xfId="2" applyNumberFormat="1" applyFont="1" applyBorder="1"/>
    <xf numFmtId="0" fontId="13" fillId="0" borderId="0" xfId="2" applyFont="1" applyAlignment="1">
      <alignment horizontal="left" indent="3"/>
    </xf>
    <xf numFmtId="177" fontId="20" fillId="6" borderId="0" xfId="0" applyNumberFormat="1" applyFont="1" applyFill="1"/>
    <xf numFmtId="183" fontId="15" fillId="20" borderId="0" xfId="45" applyNumberFormat="1" applyFill="1"/>
    <xf numFmtId="183" fontId="15" fillId="0" borderId="0" xfId="45" applyNumberFormat="1"/>
    <xf numFmtId="0" fontId="15" fillId="20" borderId="0" xfId="45" quotePrefix="1" applyFill="1"/>
    <xf numFmtId="168" fontId="22" fillId="0" borderId="26" xfId="0" applyNumberFormat="1" applyFont="1" applyBorder="1" applyAlignment="1">
      <alignment horizontal="left"/>
    </xf>
    <xf numFmtId="178" fontId="23" fillId="0" borderId="26" xfId="0" applyNumberFormat="1" applyFont="1" applyBorder="1" applyAlignment="1">
      <alignment horizontal="left"/>
    </xf>
    <xf numFmtId="178" fontId="23" fillId="0" borderId="26" xfId="0" quotePrefix="1" applyNumberFormat="1" applyFont="1" applyBorder="1" applyAlignment="1">
      <alignment horizontal="left"/>
    </xf>
    <xf numFmtId="178" fontId="22" fillId="0" borderId="26" xfId="0" applyNumberFormat="1" applyFont="1" applyBorder="1" applyAlignment="1">
      <alignment horizontal="left"/>
    </xf>
    <xf numFmtId="178" fontId="42" fillId="0" borderId="26" xfId="0" applyNumberFormat="1" applyFont="1" applyBorder="1" applyAlignment="1">
      <alignment horizontal="left"/>
    </xf>
    <xf numFmtId="178" fontId="80" fillId="0" borderId="26" xfId="0" applyNumberFormat="1" applyFont="1" applyBorder="1" applyAlignment="1">
      <alignment horizontal="left"/>
    </xf>
    <xf numFmtId="178" fontId="35" fillId="0" borderId="26" xfId="0" applyNumberFormat="1" applyFont="1" applyBorder="1" applyAlignment="1">
      <alignment horizontal="left"/>
    </xf>
    <xf numFmtId="178" fontId="35" fillId="0" borderId="26" xfId="0" quotePrefix="1" applyNumberFormat="1" applyFont="1" applyBorder="1" applyAlignment="1">
      <alignment horizontal="left"/>
    </xf>
    <xf numFmtId="178" fontId="80" fillId="0" borderId="12" xfId="0" applyNumberFormat="1" applyFont="1" applyBorder="1" applyAlignment="1">
      <alignment horizontal="left" indent="1"/>
    </xf>
    <xf numFmtId="168" fontId="35" fillId="4" borderId="0" xfId="0" applyNumberFormat="1" applyFont="1" applyFill="1"/>
    <xf numFmtId="177" fontId="118" fillId="20" borderId="9" xfId="0" applyNumberFormat="1" applyFont="1" applyFill="1" applyBorder="1" applyAlignment="1">
      <alignment horizontal="center"/>
    </xf>
    <xf numFmtId="178" fontId="80" fillId="0" borderId="0" xfId="0" applyNumberFormat="1" applyFont="1" applyAlignment="1">
      <alignment horizontal="left" indent="1"/>
    </xf>
    <xf numFmtId="168" fontId="22" fillId="0" borderId="5" xfId="0" quotePrefix="1" applyNumberFormat="1" applyFont="1" applyBorder="1"/>
    <xf numFmtId="168" fontId="26" fillId="0" borderId="26" xfId="0" applyNumberFormat="1" applyFont="1" applyBorder="1" applyAlignment="1">
      <alignment horizontal="left"/>
    </xf>
    <xf numFmtId="168" fontId="24" fillId="0" borderId="0" xfId="0" quotePrefix="1" applyNumberFormat="1" applyFont="1"/>
    <xf numFmtId="168" fontId="83" fillId="0" borderId="0" xfId="0" applyNumberFormat="1" applyFont="1"/>
    <xf numFmtId="167" fontId="23" fillId="0" borderId="0" xfId="0" quotePrefix="1" applyNumberFormat="1" applyFont="1"/>
    <xf numFmtId="0" fontId="13" fillId="20" borderId="9" xfId="38" applyFont="1" applyFill="1" applyBorder="1" applyAlignment="1">
      <alignment horizontal="center"/>
    </xf>
    <xf numFmtId="165" fontId="19" fillId="0" borderId="0" xfId="0" applyNumberFormat="1" applyFont="1"/>
    <xf numFmtId="168" fontId="18" fillId="0" borderId="0" xfId="43" applyNumberFormat="1" applyFont="1"/>
    <xf numFmtId="0" fontId="27" fillId="0" borderId="0" xfId="23" applyNumberFormat="1" applyFont="1" applyFill="1" applyBorder="1">
      <alignment horizontal="right"/>
    </xf>
    <xf numFmtId="177" fontId="27" fillId="0" borderId="0" xfId="23" applyNumberFormat="1" applyFont="1" applyFill="1" applyBorder="1">
      <alignment horizontal="right"/>
    </xf>
    <xf numFmtId="183" fontId="15" fillId="0" borderId="0" xfId="0" applyNumberFormat="1" applyFont="1"/>
    <xf numFmtId="0" fontId="104" fillId="20" borderId="9" xfId="57" applyFont="1" applyFill="1" applyBorder="1" applyAlignment="1">
      <alignment horizontal="center"/>
    </xf>
    <xf numFmtId="0" fontId="121" fillId="0" borderId="0" xfId="0" applyFont="1"/>
    <xf numFmtId="0" fontId="2" fillId="0" borderId="0" xfId="61"/>
    <xf numFmtId="49" fontId="2" fillId="0" borderId="0" xfId="61" applyNumberFormat="1"/>
    <xf numFmtId="49" fontId="74" fillId="32" borderId="0" xfId="61" applyNumberFormat="1" applyFont="1" applyFill="1"/>
    <xf numFmtId="0" fontId="105" fillId="0" borderId="0" xfId="61" applyFont="1"/>
    <xf numFmtId="0" fontId="124" fillId="0" borderId="0" xfId="61" applyFont="1"/>
    <xf numFmtId="0" fontId="125" fillId="0" borderId="0" xfId="61" applyFont="1"/>
    <xf numFmtId="0" fontId="126" fillId="33" borderId="0" xfId="61" applyFont="1" applyFill="1" applyAlignment="1">
      <alignment vertical="center" wrapText="1"/>
    </xf>
    <xf numFmtId="196" fontId="104" fillId="0" borderId="0" xfId="61" applyNumberFormat="1" applyFont="1" applyAlignment="1">
      <alignment horizontal="left"/>
    </xf>
    <xf numFmtId="2" fontId="127" fillId="0" borderId="0" xfId="61" applyNumberFormat="1" applyFont="1"/>
    <xf numFmtId="2" fontId="105" fillId="0" borderId="0" xfId="61" applyNumberFormat="1" applyFont="1"/>
    <xf numFmtId="0" fontId="128" fillId="0" borderId="0" xfId="61" applyFont="1" applyAlignment="1">
      <alignment horizontal="left" vertical="center" indent="1"/>
    </xf>
    <xf numFmtId="232" fontId="129" fillId="0" borderId="0" xfId="61" applyNumberFormat="1" applyFont="1"/>
    <xf numFmtId="232" fontId="85" fillId="0" borderId="0" xfId="61" applyNumberFormat="1" applyFont="1"/>
    <xf numFmtId="15" fontId="125" fillId="0" borderId="0" xfId="61" applyNumberFormat="1" applyFont="1"/>
    <xf numFmtId="212" fontId="126" fillId="33" borderId="0" xfId="61" applyNumberFormat="1" applyFont="1" applyFill="1" applyAlignment="1">
      <alignment vertical="center" wrapText="1"/>
    </xf>
    <xf numFmtId="14" fontId="125" fillId="0" borderId="0" xfId="61" applyNumberFormat="1" applyFont="1"/>
    <xf numFmtId="196" fontId="105" fillId="0" borderId="51" xfId="61" applyNumberFormat="1" applyFont="1" applyBorder="1" applyAlignment="1">
      <alignment horizontal="left"/>
    </xf>
    <xf numFmtId="0" fontId="85" fillId="0" borderId="0" xfId="61" applyFont="1"/>
    <xf numFmtId="196" fontId="105" fillId="0" borderId="0" xfId="61" applyNumberFormat="1" applyFont="1" applyAlignment="1">
      <alignment horizontal="left"/>
    </xf>
    <xf numFmtId="2" fontId="85" fillId="0" borderId="0" xfId="61" applyNumberFormat="1" applyFont="1"/>
    <xf numFmtId="0" fontId="2" fillId="0" borderId="0" xfId="61" quotePrefix="1"/>
    <xf numFmtId="2" fontId="85" fillId="0" borderId="52" xfId="61" applyNumberFormat="1" applyFont="1" applyBorder="1" applyAlignment="1">
      <alignment horizontal="left" wrapText="1"/>
    </xf>
    <xf numFmtId="2" fontId="131" fillId="0" borderId="52" xfId="61" applyNumberFormat="1" applyFont="1" applyBorder="1" applyAlignment="1">
      <alignment horizontal="right"/>
    </xf>
    <xf numFmtId="2" fontId="131" fillId="0" borderId="52" xfId="61" applyNumberFormat="1" applyFont="1" applyBorder="1" applyAlignment="1">
      <alignment horizontal="left"/>
    </xf>
    <xf numFmtId="2" fontId="85" fillId="0" borderId="0" xfId="61" applyNumberFormat="1" applyFont="1" applyAlignment="1">
      <alignment horizontal="left" wrapText="1"/>
    </xf>
    <xf numFmtId="2" fontId="129" fillId="0" borderId="0" xfId="61" applyNumberFormat="1" applyFont="1" applyAlignment="1">
      <alignment horizontal="right"/>
    </xf>
    <xf numFmtId="2" fontId="129" fillId="0" borderId="0" xfId="61" applyNumberFormat="1" applyFont="1" applyAlignment="1">
      <alignment horizontal="left"/>
    </xf>
    <xf numFmtId="14" fontId="105" fillId="0" borderId="0" xfId="61" applyNumberFormat="1" applyFont="1"/>
    <xf numFmtId="2" fontId="132" fillId="0" borderId="0" xfId="61" applyNumberFormat="1" applyFont="1"/>
    <xf numFmtId="0" fontId="132" fillId="0" borderId="0" xfId="61" applyFont="1"/>
    <xf numFmtId="14" fontId="104" fillId="20" borderId="9" xfId="57" applyNumberFormat="1" applyFont="1" applyFill="1" applyBorder="1"/>
    <xf numFmtId="14" fontId="122" fillId="0" borderId="0" xfId="0" applyNumberFormat="1" applyFont="1" applyAlignment="1">
      <alignment horizontal="left" vertical="center" wrapText="1"/>
    </xf>
    <xf numFmtId="0" fontId="123" fillId="0" borderId="0" xfId="0" applyFont="1" applyAlignment="1">
      <alignment horizontal="left" vertical="center" wrapText="1"/>
    </xf>
    <xf numFmtId="166" fontId="123" fillId="0" borderId="0" xfId="0" applyNumberFormat="1" applyFont="1" applyAlignment="1">
      <alignment horizontal="left" vertical="center" wrapText="1"/>
    </xf>
    <xf numFmtId="14" fontId="123" fillId="0" borderId="0" xfId="0" applyNumberFormat="1" applyFont="1" applyAlignment="1">
      <alignment horizontal="left" vertical="center" wrapText="1"/>
    </xf>
    <xf numFmtId="233" fontId="123" fillId="0" borderId="0" xfId="0" applyNumberFormat="1" applyFont="1" applyAlignment="1">
      <alignment horizontal="left" vertical="center" wrapText="1"/>
    </xf>
    <xf numFmtId="212" fontId="126" fillId="0" borderId="0" xfId="61" applyNumberFormat="1" applyFont="1" applyAlignment="1">
      <alignment vertical="center" wrapText="1"/>
    </xf>
    <xf numFmtId="0" fontId="120" fillId="0" borderId="0" xfId="63"/>
    <xf numFmtId="0" fontId="106" fillId="0" borderId="0" xfId="57" applyFont="1" applyAlignment="1">
      <alignment horizontal="center"/>
    </xf>
    <xf numFmtId="0" fontId="108" fillId="0" borderId="0" xfId="57" applyFont="1" applyAlignment="1">
      <alignment horizontal="center"/>
    </xf>
    <xf numFmtId="49" fontId="74" fillId="0" borderId="0" xfId="61" applyNumberFormat="1" applyFont="1"/>
    <xf numFmtId="177" fontId="105" fillId="0" borderId="0" xfId="57" applyNumberFormat="1" applyFont="1" applyAlignment="1">
      <alignment horizontal="left"/>
    </xf>
    <xf numFmtId="177" fontId="107" fillId="0" borderId="0" xfId="57" applyNumberFormat="1" applyFont="1" applyAlignment="1">
      <alignment horizontal="center"/>
    </xf>
    <xf numFmtId="234" fontId="105" fillId="0" borderId="0" xfId="59" applyNumberFormat="1" applyFont="1" applyAlignment="1">
      <alignment horizontal="center"/>
    </xf>
    <xf numFmtId="168" fontId="85" fillId="0" borderId="0" xfId="57" applyNumberFormat="1" applyFont="1"/>
    <xf numFmtId="235" fontId="85" fillId="0" borderId="0" xfId="57" applyNumberFormat="1" applyFont="1"/>
    <xf numFmtId="197" fontId="15" fillId="0" borderId="0" xfId="38" applyNumberFormat="1" applyFont="1"/>
    <xf numFmtId="177" fontId="104" fillId="0" borderId="54" xfId="64" applyNumberFormat="1" applyFont="1" applyBorder="1" applyAlignment="1">
      <alignment horizontal="center"/>
    </xf>
    <xf numFmtId="177" fontId="104" fillId="0" borderId="55" xfId="64" applyNumberFormat="1" applyFont="1" applyBorder="1" applyAlignment="1">
      <alignment horizontal="center"/>
    </xf>
    <xf numFmtId="177" fontId="107" fillId="0" borderId="56" xfId="64" applyNumberFormat="1" applyFont="1" applyBorder="1" applyAlignment="1">
      <alignment horizontal="center"/>
    </xf>
    <xf numFmtId="177" fontId="107" fillId="0" borderId="57" xfId="64" applyNumberFormat="1" applyFont="1" applyBorder="1" applyAlignment="1">
      <alignment horizontal="center"/>
    </xf>
    <xf numFmtId="177" fontId="107" fillId="0" borderId="0" xfId="64" applyNumberFormat="1" applyFont="1" applyBorder="1" applyAlignment="1">
      <alignment horizontal="center"/>
    </xf>
    <xf numFmtId="177" fontId="107" fillId="0" borderId="58" xfId="64" applyNumberFormat="1" applyFont="1" applyBorder="1" applyAlignment="1">
      <alignment horizontal="center"/>
    </xf>
    <xf numFmtId="177" fontId="107" fillId="0" borderId="59" xfId="64" applyNumberFormat="1" applyFont="1" applyBorder="1" applyAlignment="1">
      <alignment horizontal="center"/>
    </xf>
    <xf numFmtId="177" fontId="107" fillId="0" borderId="60" xfId="64" applyNumberFormat="1" applyFont="1" applyBorder="1" applyAlignment="1">
      <alignment horizontal="center"/>
    </xf>
    <xf numFmtId="177" fontId="104" fillId="0" borderId="0" xfId="64" applyNumberFormat="1" applyFont="1" applyBorder="1" applyAlignment="1">
      <alignment horizontal="center"/>
    </xf>
    <xf numFmtId="177" fontId="104" fillId="0" borderId="58" xfId="64" applyNumberFormat="1" applyFont="1" applyBorder="1" applyAlignment="1">
      <alignment horizontal="center"/>
    </xf>
    <xf numFmtId="0" fontId="104" fillId="13" borderId="56" xfId="57" applyFont="1" applyFill="1" applyBorder="1" applyAlignment="1">
      <alignment horizontal="centerContinuous"/>
    </xf>
    <xf numFmtId="177" fontId="105" fillId="13" borderId="56" xfId="57" applyNumberFormat="1" applyFont="1" applyFill="1" applyBorder="1" applyAlignment="1">
      <alignment horizontal="centerContinuous"/>
    </xf>
    <xf numFmtId="0" fontId="105" fillId="13" borderId="56" xfId="57" applyFont="1" applyFill="1" applyBorder="1" applyAlignment="1">
      <alignment horizontal="centerContinuous"/>
    </xf>
    <xf numFmtId="0" fontId="105" fillId="13" borderId="56" xfId="61" applyFont="1" applyFill="1" applyBorder="1" applyAlignment="1">
      <alignment horizontal="centerContinuous"/>
    </xf>
    <xf numFmtId="0" fontId="104" fillId="13" borderId="57" xfId="57" applyFont="1" applyFill="1" applyBorder="1" applyAlignment="1">
      <alignment horizontal="centerContinuous"/>
    </xf>
    <xf numFmtId="0" fontId="104" fillId="0" borderId="54" xfId="57" applyFont="1" applyBorder="1"/>
    <xf numFmtId="177" fontId="104" fillId="0" borderId="54" xfId="57" applyNumberFormat="1" applyFont="1" applyBorder="1" applyAlignment="1">
      <alignment horizontal="center"/>
    </xf>
    <xf numFmtId="14" fontId="104" fillId="0" borderId="54" xfId="57" applyNumberFormat="1" applyFont="1" applyBorder="1"/>
    <xf numFmtId="0" fontId="104" fillId="0" borderId="55" xfId="57" applyFont="1" applyBorder="1"/>
    <xf numFmtId="177" fontId="105" fillId="0" borderId="44" xfId="57" applyNumberFormat="1" applyFont="1" applyBorder="1" applyAlignment="1">
      <alignment horizontal="center"/>
    </xf>
    <xf numFmtId="177" fontId="104" fillId="0" borderId="53" xfId="57" applyNumberFormat="1" applyFont="1" applyBorder="1" applyAlignment="1">
      <alignment horizontal="left"/>
    </xf>
    <xf numFmtId="177" fontId="105" fillId="0" borderId="45" xfId="57" applyNumberFormat="1" applyFont="1" applyBorder="1" applyAlignment="1">
      <alignment horizontal="left"/>
    </xf>
    <xf numFmtId="177" fontId="105" fillId="0" borderId="44" xfId="57" applyNumberFormat="1" applyFont="1" applyBorder="1" applyAlignment="1">
      <alignment horizontal="left" indent="1"/>
    </xf>
    <xf numFmtId="177" fontId="105" fillId="0" borderId="45" xfId="57" applyNumberFormat="1" applyFont="1" applyBorder="1" applyAlignment="1">
      <alignment horizontal="left" indent="1"/>
    </xf>
    <xf numFmtId="177" fontId="105" fillId="0" borderId="46" xfId="57" applyNumberFormat="1" applyFont="1" applyBorder="1" applyAlignment="1">
      <alignment horizontal="left" indent="1"/>
    </xf>
    <xf numFmtId="0" fontId="104" fillId="0" borderId="53" xfId="57" applyFont="1" applyBorder="1"/>
    <xf numFmtId="177" fontId="105" fillId="0" borderId="45" xfId="57" applyNumberFormat="1" applyFont="1" applyBorder="1"/>
    <xf numFmtId="177" fontId="105" fillId="0" borderId="46" xfId="57" applyNumberFormat="1" applyFont="1" applyBorder="1"/>
    <xf numFmtId="177" fontId="105" fillId="0" borderId="44" xfId="57" applyNumberFormat="1" applyFont="1" applyBorder="1"/>
    <xf numFmtId="177" fontId="104" fillId="34" borderId="53" xfId="57" applyNumberFormat="1" applyFont="1" applyFill="1" applyBorder="1"/>
    <xf numFmtId="177" fontId="66" fillId="0" borderId="54" xfId="64" applyNumberFormat="1" applyFont="1" applyBorder="1" applyAlignment="1">
      <alignment horizontal="center"/>
    </xf>
    <xf numFmtId="177" fontId="66" fillId="0" borderId="55" xfId="64" applyNumberFormat="1" applyFont="1" applyBorder="1" applyAlignment="1">
      <alignment horizontal="center"/>
    </xf>
    <xf numFmtId="177" fontId="66" fillId="0" borderId="0" xfId="64" applyNumberFormat="1" applyFont="1" applyBorder="1" applyAlignment="1">
      <alignment horizontal="center"/>
    </xf>
    <xf numFmtId="177" fontId="66" fillId="0" borderId="58" xfId="64" applyNumberFormat="1" applyFont="1" applyBorder="1" applyAlignment="1">
      <alignment horizontal="center"/>
    </xf>
    <xf numFmtId="177" fontId="69" fillId="0" borderId="56" xfId="64" applyNumberFormat="1" applyFont="1" applyBorder="1" applyAlignment="1">
      <alignment horizontal="center"/>
    </xf>
    <xf numFmtId="177" fontId="69" fillId="0" borderId="57" xfId="64" applyNumberFormat="1" applyFont="1" applyBorder="1" applyAlignment="1">
      <alignment horizontal="center"/>
    </xf>
    <xf numFmtId="177" fontId="69" fillId="0" borderId="0" xfId="64" applyNumberFormat="1" applyFont="1" applyBorder="1" applyAlignment="1">
      <alignment horizontal="center"/>
    </xf>
    <xf numFmtId="177" fontId="69" fillId="0" borderId="58" xfId="64" applyNumberFormat="1" applyFont="1" applyBorder="1" applyAlignment="1">
      <alignment horizontal="center"/>
    </xf>
    <xf numFmtId="177" fontId="69" fillId="0" borderId="59" xfId="64" applyNumberFormat="1" applyFont="1" applyBorder="1" applyAlignment="1">
      <alignment horizontal="center"/>
    </xf>
    <xf numFmtId="177" fontId="69" fillId="0" borderId="60" xfId="64" applyNumberFormat="1" applyFont="1" applyBorder="1" applyAlignment="1">
      <alignment horizontal="center"/>
    </xf>
    <xf numFmtId="211" fontId="19" fillId="0" borderId="0" xfId="39" applyNumberFormat="1"/>
    <xf numFmtId="168" fontId="24" fillId="0" borderId="0" xfId="39" applyNumberFormat="1" applyFont="1"/>
    <xf numFmtId="184" fontId="19" fillId="0" borderId="0" xfId="39" applyNumberFormat="1"/>
    <xf numFmtId="183" fontId="113" fillId="0" borderId="0" xfId="57" applyNumberFormat="1" applyFont="1"/>
    <xf numFmtId="177" fontId="105" fillId="6" borderId="0" xfId="57" applyNumberFormat="1" applyFont="1" applyFill="1" applyAlignment="1">
      <alignment horizontal="center"/>
    </xf>
    <xf numFmtId="183" fontId="13" fillId="0" borderId="0" xfId="38" applyNumberFormat="1" applyFont="1"/>
    <xf numFmtId="236" fontId="13" fillId="0" borderId="0" xfId="54" applyNumberFormat="1" applyFont="1" applyAlignment="1">
      <alignment horizontal="centerContinuous"/>
    </xf>
    <xf numFmtId="10" fontId="19" fillId="0" borderId="0" xfId="0" applyNumberFormat="1" applyFont="1"/>
    <xf numFmtId="177" fontId="13" fillId="0" borderId="0" xfId="38" applyNumberFormat="1" applyFont="1"/>
    <xf numFmtId="183" fontId="15" fillId="0" borderId="0" xfId="11" applyNumberFormat="1" applyFont="1"/>
    <xf numFmtId="0" fontId="37" fillId="0" borderId="0" xfId="22" applyFont="1" applyFill="1" applyBorder="1"/>
    <xf numFmtId="178" fontId="35" fillId="0" borderId="0" xfId="0" applyNumberFormat="1" applyFont="1" applyAlignment="1">
      <alignment horizontal="right"/>
    </xf>
    <xf numFmtId="0" fontId="19" fillId="35" borderId="0" xfId="0" applyFont="1" applyFill="1"/>
    <xf numFmtId="0" fontId="20" fillId="35" borderId="0" xfId="0" applyFont="1" applyFill="1"/>
    <xf numFmtId="0" fontId="32" fillId="35" borderId="0" xfId="0" applyFont="1" applyFill="1" applyAlignment="1">
      <alignment horizontal="left" indent="4"/>
    </xf>
    <xf numFmtId="184" fontId="32" fillId="35" borderId="0" xfId="0" applyNumberFormat="1" applyFont="1" applyFill="1"/>
    <xf numFmtId="168" fontId="24" fillId="35" borderId="0" xfId="0" applyNumberFormat="1" applyFont="1" applyFill="1"/>
    <xf numFmtId="184" fontId="19" fillId="35" borderId="0" xfId="0" applyNumberFormat="1" applyFont="1" applyFill="1"/>
    <xf numFmtId="0" fontId="13" fillId="35" borderId="0" xfId="0" applyFont="1" applyFill="1"/>
    <xf numFmtId="0" fontId="26" fillId="35" borderId="0" xfId="0" applyFont="1" applyFill="1"/>
    <xf numFmtId="0" fontId="25" fillId="35" borderId="0" xfId="0" applyFont="1" applyFill="1"/>
    <xf numFmtId="0" fontId="26" fillId="35" borderId="0" xfId="0" applyFont="1" applyFill="1" applyAlignment="1">
      <alignment horizontal="left" indent="3"/>
    </xf>
    <xf numFmtId="168" fontId="26" fillId="35" borderId="0" xfId="0" applyNumberFormat="1" applyFont="1" applyFill="1"/>
    <xf numFmtId="0" fontId="19" fillId="35" borderId="0" xfId="0" applyFont="1" applyFill="1" applyAlignment="1">
      <alignment horizontal="left" indent="2"/>
    </xf>
    <xf numFmtId="168" fontId="21" fillId="35" borderId="0" xfId="0" applyNumberFormat="1" applyFont="1" applyFill="1"/>
    <xf numFmtId="0" fontId="20" fillId="35" borderId="0" xfId="0" applyFont="1" applyFill="1" applyAlignment="1">
      <alignment horizontal="left" indent="3"/>
    </xf>
    <xf numFmtId="168" fontId="20" fillId="35" borderId="0" xfId="0" applyNumberFormat="1" applyFont="1" applyFill="1"/>
    <xf numFmtId="177" fontId="32" fillId="4" borderId="0" xfId="0" applyNumberFormat="1" applyFont="1" applyFill="1"/>
    <xf numFmtId="177" fontId="105" fillId="20" borderId="0" xfId="57" applyNumberFormat="1" applyFont="1" applyFill="1" applyAlignment="1">
      <alignment horizontal="center"/>
    </xf>
    <xf numFmtId="37" fontId="68" fillId="0" borderId="0" xfId="57" applyNumberFormat="1" applyFont="1" applyAlignment="1">
      <alignment horizontal="center"/>
    </xf>
    <xf numFmtId="177" fontId="79" fillId="0" borderId="0" xfId="0" applyNumberFormat="1" applyFont="1"/>
    <xf numFmtId="197" fontId="117" fillId="0" borderId="0" xfId="57" applyNumberFormat="1" applyFont="1" applyAlignment="1">
      <alignment horizontal="center"/>
    </xf>
    <xf numFmtId="0" fontId="25" fillId="0" borderId="0" xfId="0" applyFont="1" applyAlignment="1">
      <alignment horizontal="left"/>
    </xf>
    <xf numFmtId="0" fontId="15" fillId="0" borderId="9" xfId="0" applyFont="1" applyBorder="1"/>
    <xf numFmtId="0" fontId="15" fillId="0" borderId="10" xfId="0" applyFont="1" applyBorder="1" applyAlignment="1">
      <alignment horizontal="center"/>
    </xf>
    <xf numFmtId="0" fontId="15" fillId="0" borderId="26" xfId="0" applyFont="1" applyBorder="1" applyAlignment="1">
      <alignment horizontal="center"/>
    </xf>
    <xf numFmtId="0" fontId="15" fillId="0" borderId="10" xfId="0" applyFont="1" applyBorder="1"/>
    <xf numFmtId="0" fontId="15" fillId="0" borderId="26" xfId="0" applyFont="1" applyBorder="1"/>
    <xf numFmtId="168" fontId="46" fillId="0" borderId="9" xfId="0" applyNumberFormat="1" applyFont="1" applyBorder="1"/>
    <xf numFmtId="168" fontId="46" fillId="0" borderId="10" xfId="0" applyNumberFormat="1" applyFont="1" applyBorder="1"/>
    <xf numFmtId="168" fontId="46" fillId="0" borderId="26" xfId="0" applyNumberFormat="1" applyFont="1" applyBorder="1"/>
    <xf numFmtId="168" fontId="28" fillId="0" borderId="9" xfId="0" applyNumberFormat="1" applyFont="1" applyBorder="1"/>
    <xf numFmtId="177" fontId="28" fillId="0" borderId="9" xfId="0" applyNumberFormat="1" applyFont="1" applyBorder="1"/>
    <xf numFmtId="177" fontId="28" fillId="0" borderId="10" xfId="0" applyNumberFormat="1" applyFont="1" applyBorder="1"/>
    <xf numFmtId="177" fontId="28" fillId="0" borderId="26" xfId="0" applyNumberFormat="1" applyFont="1" applyBorder="1"/>
    <xf numFmtId="0" fontId="53" fillId="0" borderId="0" xfId="65" applyFont="1"/>
    <xf numFmtId="237" fontId="53" fillId="0" borderId="0" xfId="65" applyNumberFormat="1" applyFont="1"/>
    <xf numFmtId="1" fontId="53" fillId="0" borderId="0" xfId="65" applyNumberFormat="1" applyFont="1"/>
    <xf numFmtId="212" fontId="53" fillId="0" borderId="0" xfId="65" applyNumberFormat="1" applyFont="1"/>
    <xf numFmtId="14" fontId="53" fillId="0" borderId="0" xfId="65" applyNumberFormat="1" applyFont="1"/>
    <xf numFmtId="168" fontId="53" fillId="0" borderId="0" xfId="65" applyNumberFormat="1" applyFont="1"/>
    <xf numFmtId="177" fontId="21" fillId="16" borderId="31" xfId="37" applyNumberFormat="1" applyFont="1"/>
    <xf numFmtId="201" fontId="19" fillId="0" borderId="0" xfId="0" applyNumberFormat="1" applyFont="1"/>
    <xf numFmtId="177" fontId="21" fillId="17" borderId="0" xfId="0" applyNumberFormat="1" applyFont="1" applyFill="1"/>
    <xf numFmtId="177" fontId="21" fillId="36" borderId="0" xfId="0" applyNumberFormat="1" applyFont="1" applyFill="1"/>
    <xf numFmtId="168" fontId="19" fillId="17" borderId="0" xfId="0" applyNumberFormat="1" applyFont="1" applyFill="1"/>
    <xf numFmtId="0" fontId="19" fillId="17" borderId="0" xfId="0" applyFont="1" applyFill="1"/>
    <xf numFmtId="168" fontId="19" fillId="36" borderId="0" xfId="0" applyNumberFormat="1" applyFont="1" applyFill="1"/>
    <xf numFmtId="0" fontId="20" fillId="36" borderId="0" xfId="0" applyFont="1" applyFill="1"/>
    <xf numFmtId="0" fontId="19" fillId="36" borderId="0" xfId="0" applyFont="1" applyFill="1"/>
    <xf numFmtId="174" fontId="16" fillId="2" borderId="2" xfId="0" applyNumberFormat="1" applyFont="1" applyFill="1" applyBorder="1" applyAlignment="1">
      <alignment horizontal="centerContinuous"/>
    </xf>
    <xf numFmtId="177" fontId="23" fillId="36" borderId="0" xfId="0" applyNumberFormat="1" applyFont="1" applyFill="1"/>
    <xf numFmtId="0" fontId="19" fillId="17" borderId="0" xfId="0" applyFont="1" applyFill="1" applyAlignment="1">
      <alignment horizontal="left"/>
    </xf>
    <xf numFmtId="0" fontId="19" fillId="20" borderId="0" xfId="0" applyFont="1" applyFill="1" applyAlignment="1">
      <alignment horizontal="left"/>
    </xf>
    <xf numFmtId="177" fontId="21" fillId="20" borderId="0" xfId="0" applyNumberFormat="1" applyFont="1" applyFill="1"/>
    <xf numFmtId="0" fontId="19" fillId="20" borderId="0" xfId="0" applyFont="1" applyFill="1"/>
    <xf numFmtId="0" fontId="20" fillId="20" borderId="0" xfId="0" applyFont="1" applyFill="1"/>
    <xf numFmtId="168" fontId="19" fillId="20" borderId="0" xfId="0" applyNumberFormat="1" applyFont="1" applyFill="1"/>
    <xf numFmtId="0" fontId="19" fillId="36" borderId="0" xfId="0" applyFont="1" applyFill="1" applyAlignment="1">
      <alignment horizontal="left"/>
    </xf>
    <xf numFmtId="0" fontId="26" fillId="37" borderId="0" xfId="0" applyFont="1" applyFill="1"/>
    <xf numFmtId="0" fontId="20" fillId="37" borderId="0" xfId="0" applyFont="1" applyFill="1"/>
    <xf numFmtId="177" fontId="21" fillId="37" borderId="0" xfId="0" applyNumberFormat="1" applyFont="1" applyFill="1"/>
    <xf numFmtId="168" fontId="19" fillId="37" borderId="0" xfId="0" applyNumberFormat="1" applyFont="1" applyFill="1"/>
    <xf numFmtId="0" fontId="26" fillId="17" borderId="0" xfId="0" applyFont="1" applyFill="1"/>
    <xf numFmtId="177" fontId="19" fillId="17" borderId="0" xfId="0" applyNumberFormat="1" applyFont="1" applyFill="1" applyAlignment="1">
      <alignment horizontal="left"/>
    </xf>
    <xf numFmtId="177" fontId="19" fillId="17" borderId="0" xfId="0" applyNumberFormat="1" applyFont="1" applyFill="1" applyAlignment="1">
      <alignment horizontal="right"/>
    </xf>
    <xf numFmtId="177" fontId="19" fillId="20" borderId="0" xfId="0" applyNumberFormat="1" applyFont="1" applyFill="1" applyAlignment="1">
      <alignment horizontal="right"/>
    </xf>
    <xf numFmtId="177" fontId="19" fillId="36" borderId="0" xfId="0" applyNumberFormat="1" applyFont="1" applyFill="1" applyAlignment="1">
      <alignment horizontal="right"/>
    </xf>
    <xf numFmtId="168" fontId="19" fillId="17" borderId="0" xfId="0" applyNumberFormat="1" applyFont="1" applyFill="1" applyAlignment="1">
      <alignment horizontal="right"/>
    </xf>
    <xf numFmtId="168" fontId="19" fillId="20" borderId="0" xfId="0" applyNumberFormat="1" applyFont="1" applyFill="1" applyAlignment="1">
      <alignment horizontal="right"/>
    </xf>
    <xf numFmtId="168" fontId="19" fillId="36" borderId="0" xfId="0" applyNumberFormat="1" applyFont="1" applyFill="1" applyAlignment="1">
      <alignment horizontal="right"/>
    </xf>
    <xf numFmtId="168" fontId="19" fillId="37" borderId="0" xfId="0" applyNumberFormat="1" applyFont="1" applyFill="1" applyAlignment="1">
      <alignment horizontal="right"/>
    </xf>
    <xf numFmtId="177" fontId="19" fillId="17" borderId="0" xfId="0" applyNumberFormat="1" applyFont="1" applyFill="1"/>
    <xf numFmtId="177" fontId="23" fillId="17" borderId="0" xfId="0" applyNumberFormat="1" applyFont="1" applyFill="1"/>
    <xf numFmtId="177" fontId="23" fillId="20" borderId="0" xfId="0" applyNumberFormat="1" applyFont="1" applyFill="1"/>
    <xf numFmtId="177" fontId="19" fillId="20" borderId="0" xfId="0" applyNumberFormat="1" applyFont="1" applyFill="1"/>
    <xf numFmtId="168" fontId="23" fillId="36" borderId="0" xfId="0" applyNumberFormat="1" applyFont="1" applyFill="1"/>
    <xf numFmtId="168" fontId="23" fillId="17" borderId="0" xfId="0" applyNumberFormat="1" applyFont="1" applyFill="1"/>
    <xf numFmtId="177" fontId="19" fillId="0" borderId="0" xfId="0" applyNumberFormat="1" applyFont="1" applyAlignment="1">
      <alignment horizontal="left"/>
    </xf>
    <xf numFmtId="0" fontId="16" fillId="2" borderId="2" xfId="0" applyFont="1" applyFill="1" applyBorder="1" applyAlignment="1">
      <alignment horizontal="center"/>
    </xf>
    <xf numFmtId="177" fontId="23" fillId="17" borderId="0" xfId="0" applyNumberFormat="1" applyFont="1" applyFill="1" applyAlignment="1">
      <alignment horizontal="left" indent="1"/>
    </xf>
    <xf numFmtId="177" fontId="23" fillId="36" borderId="0" xfId="0" applyNumberFormat="1" applyFont="1" applyFill="1" applyAlignment="1">
      <alignment horizontal="left" indent="1"/>
    </xf>
    <xf numFmtId="174" fontId="133" fillId="2" borderId="2" xfId="0" applyNumberFormat="1" applyFont="1" applyFill="1" applyBorder="1" applyAlignment="1">
      <alignment horizontal="centerContinuous"/>
    </xf>
    <xf numFmtId="174" fontId="133" fillId="2" borderId="2" xfId="0" applyNumberFormat="1" applyFont="1" applyFill="1" applyBorder="1" applyAlignment="1">
      <alignment horizontal="center"/>
    </xf>
    <xf numFmtId="0" fontId="133" fillId="2" borderId="2" xfId="0" applyFont="1" applyFill="1" applyBorder="1" applyAlignment="1">
      <alignment horizontal="center"/>
    </xf>
    <xf numFmtId="177" fontId="35" fillId="17" borderId="0" xfId="0" applyNumberFormat="1" applyFont="1" applyFill="1" applyAlignment="1">
      <alignment horizontal="left" indent="1"/>
    </xf>
    <xf numFmtId="177" fontId="35" fillId="17" borderId="0" xfId="0" applyNumberFormat="1" applyFont="1" applyFill="1"/>
    <xf numFmtId="177" fontId="57" fillId="17" borderId="0" xfId="0" applyNumberFormat="1" applyFont="1" applyFill="1"/>
    <xf numFmtId="177" fontId="35" fillId="36" borderId="0" xfId="0" applyNumberFormat="1" applyFont="1" applyFill="1" applyAlignment="1">
      <alignment horizontal="left" indent="1"/>
    </xf>
    <xf numFmtId="177" fontId="35" fillId="36" borderId="0" xfId="0" applyNumberFormat="1" applyFont="1" applyFill="1"/>
    <xf numFmtId="177" fontId="57" fillId="36" borderId="0" xfId="0" applyNumberFormat="1" applyFont="1" applyFill="1"/>
    <xf numFmtId="0" fontId="19" fillId="17" borderId="0" xfId="0" applyFont="1" applyFill="1" applyAlignment="1">
      <alignment horizontal="left" indent="1"/>
    </xf>
    <xf numFmtId="0" fontId="19" fillId="36" borderId="0" xfId="0" applyFont="1" applyFill="1" applyAlignment="1">
      <alignment horizontal="left" indent="1"/>
    </xf>
    <xf numFmtId="174" fontId="16" fillId="2" borderId="2" xfId="0" applyNumberFormat="1" applyFont="1" applyFill="1" applyBorder="1" applyAlignment="1">
      <alignment horizontal="left"/>
    </xf>
    <xf numFmtId="0" fontId="32" fillId="17" borderId="0" xfId="0" applyFont="1" applyFill="1" applyAlignment="1">
      <alignment horizontal="left" indent="1"/>
    </xf>
    <xf numFmtId="0" fontId="32" fillId="17" borderId="0" xfId="0" applyFont="1" applyFill="1"/>
    <xf numFmtId="177" fontId="32" fillId="17" borderId="0" xfId="0" applyNumberFormat="1" applyFont="1" applyFill="1"/>
    <xf numFmtId="0" fontId="32" fillId="36" borderId="0" xfId="0" applyFont="1" applyFill="1" applyAlignment="1">
      <alignment horizontal="left" indent="1"/>
    </xf>
    <xf numFmtId="0" fontId="32" fillId="36" borderId="0" xfId="0" applyFont="1" applyFill="1"/>
    <xf numFmtId="177" fontId="32" fillId="36" borderId="0" xfId="0" applyNumberFormat="1" applyFont="1" applyFill="1"/>
    <xf numFmtId="174" fontId="133" fillId="2" borderId="2" xfId="0" applyNumberFormat="1" applyFont="1" applyFill="1" applyBorder="1" applyAlignment="1">
      <alignment horizontal="left"/>
    </xf>
    <xf numFmtId="177" fontId="23" fillId="20" borderId="0" xfId="0" applyNumberFormat="1" applyFont="1" applyFill="1" applyAlignment="1">
      <alignment horizontal="left" indent="1"/>
    </xf>
    <xf numFmtId="0" fontId="19" fillId="20" borderId="0" xfId="0" applyFont="1" applyFill="1" applyAlignment="1">
      <alignment horizontal="left" indent="1"/>
    </xf>
    <xf numFmtId="177" fontId="19" fillId="17" borderId="0" xfId="0" applyNumberFormat="1" applyFont="1" applyFill="1" applyAlignment="1">
      <alignment horizontal="left" indent="1"/>
    </xf>
    <xf numFmtId="0" fontId="19" fillId="37" borderId="0" xfId="0" applyFont="1" applyFill="1" applyAlignment="1">
      <alignment horizontal="left" indent="1"/>
    </xf>
    <xf numFmtId="0" fontId="32" fillId="17" borderId="0" xfId="0" applyFont="1" applyFill="1" applyAlignment="1">
      <alignment horizontal="left"/>
    </xf>
    <xf numFmtId="177" fontId="32" fillId="17" borderId="0" xfId="0" applyNumberFormat="1" applyFont="1" applyFill="1" applyAlignment="1">
      <alignment horizontal="right"/>
    </xf>
    <xf numFmtId="0" fontId="32" fillId="20" borderId="0" xfId="0" applyFont="1" applyFill="1" applyAlignment="1">
      <alignment horizontal="left"/>
    </xf>
    <xf numFmtId="177" fontId="32" fillId="20" borderId="0" xfId="0" applyNumberFormat="1" applyFont="1" applyFill="1" applyAlignment="1">
      <alignment horizontal="right"/>
    </xf>
    <xf numFmtId="0" fontId="32" fillId="36" borderId="0" xfId="0" applyFont="1" applyFill="1" applyAlignment="1">
      <alignment horizontal="left"/>
    </xf>
    <xf numFmtId="177" fontId="32" fillId="36" borderId="0" xfId="0" applyNumberFormat="1" applyFont="1" applyFill="1" applyAlignment="1">
      <alignment horizontal="right"/>
    </xf>
    <xf numFmtId="0" fontId="32" fillId="37" borderId="0" xfId="0" applyFont="1" applyFill="1" applyAlignment="1">
      <alignment horizontal="left"/>
    </xf>
    <xf numFmtId="177" fontId="32" fillId="37" borderId="0" xfId="0" applyNumberFormat="1" applyFont="1" applyFill="1" applyAlignment="1">
      <alignment horizontal="right"/>
    </xf>
    <xf numFmtId="0" fontId="32" fillId="20" borderId="0" xfId="0" applyFont="1" applyFill="1" applyAlignment="1">
      <alignment horizontal="left" indent="1"/>
    </xf>
    <xf numFmtId="0" fontId="32" fillId="37" borderId="0" xfId="0" applyFont="1" applyFill="1" applyAlignment="1">
      <alignment horizontal="left" indent="1"/>
    </xf>
    <xf numFmtId="177" fontId="32" fillId="20" borderId="0" xfId="0" applyNumberFormat="1" applyFont="1" applyFill="1"/>
    <xf numFmtId="177" fontId="57" fillId="20" borderId="0" xfId="0" applyNumberFormat="1" applyFont="1" applyFill="1"/>
    <xf numFmtId="177" fontId="25" fillId="0" borderId="5" xfId="0" applyNumberFormat="1" applyFont="1" applyBorder="1"/>
    <xf numFmtId="177" fontId="23" fillId="0" borderId="0" xfId="0" applyNumberFormat="1" applyFont="1" applyAlignment="1">
      <alignment horizontal="left"/>
    </xf>
    <xf numFmtId="0" fontId="20" fillId="20" borderId="0" xfId="0" applyFont="1" applyFill="1" applyAlignment="1">
      <alignment horizontal="centerContinuous"/>
    </xf>
    <xf numFmtId="177" fontId="32" fillId="0" borderId="11" xfId="0" applyNumberFormat="1" applyFont="1" applyBorder="1"/>
    <xf numFmtId="0" fontId="20" fillId="0" borderId="11" xfId="0" applyFont="1" applyBorder="1"/>
    <xf numFmtId="0" fontId="20" fillId="0" borderId="9" xfId="0" applyFont="1" applyBorder="1"/>
    <xf numFmtId="0" fontId="19" fillId="0" borderId="18" xfId="0" applyFont="1" applyBorder="1"/>
    <xf numFmtId="0" fontId="19" fillId="0" borderId="17" xfId="0" applyFont="1" applyBorder="1"/>
    <xf numFmtId="0" fontId="32" fillId="0" borderId="16" xfId="0" applyFont="1" applyBorder="1" applyAlignment="1">
      <alignment horizontal="left" indent="1"/>
    </xf>
    <xf numFmtId="168" fontId="21" fillId="0" borderId="23" xfId="0" applyNumberFormat="1" applyFont="1" applyBorder="1"/>
    <xf numFmtId="168" fontId="21" fillId="0" borderId="27" xfId="0" applyNumberFormat="1" applyFont="1" applyBorder="1"/>
    <xf numFmtId="168" fontId="21" fillId="0" borderId="18" xfId="0" applyNumberFormat="1" applyFont="1" applyBorder="1"/>
    <xf numFmtId="168" fontId="21" fillId="0" borderId="17" xfId="0" applyNumberFormat="1" applyFont="1" applyBorder="1"/>
    <xf numFmtId="177" fontId="32" fillId="0" borderId="9" xfId="0" applyNumberFormat="1" applyFont="1" applyBorder="1"/>
    <xf numFmtId="0" fontId="32" fillId="20" borderId="0" xfId="0" applyFont="1" applyFill="1"/>
    <xf numFmtId="177" fontId="35" fillId="20" borderId="0" xfId="0" applyNumberFormat="1" applyFont="1" applyFill="1" applyAlignment="1">
      <alignment horizontal="left" indent="1"/>
    </xf>
    <xf numFmtId="177" fontId="23" fillId="16" borderId="31" xfId="37" applyNumberFormat="1" applyFont="1"/>
    <xf numFmtId="0" fontId="105" fillId="6" borderId="0" xfId="57" applyFont="1" applyFill="1"/>
    <xf numFmtId="0" fontId="105" fillId="0" borderId="0" xfId="57" applyFont="1" applyAlignment="1">
      <alignment wrapText="1"/>
    </xf>
    <xf numFmtId="168" fontId="104" fillId="0" borderId="0" xfId="57" applyNumberFormat="1" applyFont="1"/>
    <xf numFmtId="0" fontId="74" fillId="0" borderId="0" xfId="61" applyFont="1"/>
    <xf numFmtId="0" fontId="134" fillId="38" borderId="9" xfId="57" applyFont="1" applyFill="1" applyBorder="1" applyAlignment="1">
      <alignment horizontal="center" vertical="center"/>
    </xf>
    <xf numFmtId="0" fontId="134" fillId="38" borderId="9" xfId="57" applyFont="1" applyFill="1" applyBorder="1" applyAlignment="1">
      <alignment horizontal="centerContinuous" vertical="center"/>
    </xf>
    <xf numFmtId="0" fontId="134" fillId="38" borderId="9" xfId="57" applyFont="1" applyFill="1" applyBorder="1" applyAlignment="1">
      <alignment horizontal="center" vertical="center" wrapText="1"/>
    </xf>
    <xf numFmtId="0" fontId="105" fillId="17" borderId="11" xfId="57" applyFont="1" applyFill="1" applyBorder="1" applyAlignment="1">
      <alignment horizontal="center" vertical="center" wrapText="1"/>
    </xf>
    <xf numFmtId="177" fontId="105" fillId="17" borderId="11" xfId="57" applyNumberFormat="1" applyFont="1" applyFill="1" applyBorder="1" applyAlignment="1">
      <alignment horizontal="center" vertical="center" wrapText="1"/>
    </xf>
    <xf numFmtId="0" fontId="134" fillId="38" borderId="18" xfId="57" applyFont="1" applyFill="1" applyBorder="1" applyAlignment="1">
      <alignment horizontal="center" vertical="center"/>
    </xf>
    <xf numFmtId="0" fontId="105" fillId="37" borderId="61" xfId="57" applyFont="1" applyFill="1" applyBorder="1" applyAlignment="1">
      <alignment horizontal="center" vertical="center" wrapText="1"/>
    </xf>
    <xf numFmtId="177" fontId="105" fillId="37" borderId="61" xfId="57" applyNumberFormat="1" applyFont="1" applyFill="1" applyBorder="1" applyAlignment="1">
      <alignment horizontal="center" vertical="center" wrapText="1"/>
    </xf>
    <xf numFmtId="0" fontId="105" fillId="34" borderId="63" xfId="57" applyFont="1" applyFill="1" applyBorder="1" applyAlignment="1">
      <alignment horizontal="center" vertical="center" wrapText="1"/>
    </xf>
    <xf numFmtId="0" fontId="105" fillId="17" borderId="62" xfId="57" applyFont="1" applyFill="1" applyBorder="1" applyAlignment="1">
      <alignment horizontal="center" vertical="center" wrapText="1"/>
    </xf>
    <xf numFmtId="0" fontId="105" fillId="34" borderId="64" xfId="57" applyFont="1" applyFill="1" applyBorder="1" applyAlignment="1">
      <alignment horizontal="center" vertical="center" wrapText="1"/>
    </xf>
    <xf numFmtId="177" fontId="105" fillId="0" borderId="45" xfId="57" applyNumberFormat="1" applyFont="1" applyBorder="1" applyAlignment="1">
      <alignment horizontal="left" wrapText="1" indent="1"/>
    </xf>
    <xf numFmtId="177" fontId="105" fillId="0" borderId="46" xfId="57" applyNumberFormat="1" applyFont="1" applyBorder="1" applyAlignment="1">
      <alignment horizontal="left" wrapText="1" indent="1"/>
    </xf>
    <xf numFmtId="177" fontId="24" fillId="6" borderId="0" xfId="0" applyNumberFormat="1" applyFont="1" applyFill="1"/>
    <xf numFmtId="168" fontId="28" fillId="0" borderId="0" xfId="24" applyNumberFormat="1" applyFont="1" applyFill="1" applyBorder="1">
      <alignment horizontal="right"/>
    </xf>
    <xf numFmtId="177" fontId="37" fillId="0" borderId="0" xfId="30" applyNumberFormat="1" applyFont="1" applyFill="1" applyBorder="1">
      <alignment horizontal="right"/>
    </xf>
    <xf numFmtId="0" fontId="104" fillId="0" borderId="59" xfId="57" applyFont="1" applyBorder="1" applyAlignment="1">
      <alignment horizontal="center"/>
    </xf>
    <xf numFmtId="0" fontId="104" fillId="0" borderId="46" xfId="57" applyFont="1" applyBorder="1"/>
    <xf numFmtId="177" fontId="104" fillId="0" borderId="46" xfId="57" applyNumberFormat="1" applyFont="1" applyBorder="1" applyAlignment="1">
      <alignment horizontal="left"/>
    </xf>
    <xf numFmtId="177" fontId="104" fillId="20" borderId="53" xfId="57" applyNumberFormat="1" applyFont="1" applyFill="1" applyBorder="1" applyAlignment="1">
      <alignment horizontal="left"/>
    </xf>
    <xf numFmtId="177" fontId="104" fillId="20" borderId="54" xfId="64" applyNumberFormat="1" applyFont="1" applyFill="1" applyBorder="1" applyAlignment="1">
      <alignment horizontal="center"/>
    </xf>
    <xf numFmtId="177" fontId="104" fillId="20" borderId="53" xfId="57" applyNumberFormat="1" applyFont="1" applyFill="1" applyBorder="1"/>
    <xf numFmtId="0" fontId="134" fillId="35" borderId="65" xfId="57" applyFont="1" applyFill="1" applyBorder="1" applyAlignment="1">
      <alignment horizontal="centerContinuous"/>
    </xf>
    <xf numFmtId="177" fontId="136" fillId="35" borderId="66" xfId="57" applyNumberFormat="1" applyFont="1" applyFill="1" applyBorder="1" applyAlignment="1">
      <alignment horizontal="centerContinuous"/>
    </xf>
    <xf numFmtId="177" fontId="136" fillId="35" borderId="55" xfId="57" applyNumberFormat="1" applyFont="1" applyFill="1" applyBorder="1" applyAlignment="1">
      <alignment horizontal="centerContinuous"/>
    </xf>
    <xf numFmtId="168" fontId="15" fillId="0" borderId="0" xfId="47" applyNumberFormat="1" applyFont="1"/>
    <xf numFmtId="168" fontId="15" fillId="0" borderId="15" xfId="2" applyNumberFormat="1" applyFont="1" applyBorder="1" applyAlignment="1">
      <alignment horizontal="center"/>
    </xf>
    <xf numFmtId="168" fontId="15" fillId="0" borderId="5" xfId="2" applyNumberFormat="1" applyFont="1" applyBorder="1" applyAlignment="1">
      <alignment horizontal="center"/>
    </xf>
    <xf numFmtId="168" fontId="15" fillId="0" borderId="23" xfId="2" applyNumberFormat="1" applyFont="1" applyBorder="1" applyAlignment="1">
      <alignment horizontal="center"/>
    </xf>
    <xf numFmtId="168" fontId="15" fillId="0" borderId="26" xfId="2" applyNumberFormat="1" applyFont="1" applyBorder="1" applyAlignment="1">
      <alignment horizontal="center"/>
    </xf>
    <xf numFmtId="168" fontId="15" fillId="0" borderId="0" xfId="2" applyNumberFormat="1" applyFont="1" applyAlignment="1">
      <alignment horizontal="center"/>
    </xf>
    <xf numFmtId="168" fontId="15" fillId="0" borderId="27" xfId="2" applyNumberFormat="1" applyFont="1" applyBorder="1" applyAlignment="1">
      <alignment horizontal="center"/>
    </xf>
    <xf numFmtId="168" fontId="13" fillId="0" borderId="9" xfId="2" applyNumberFormat="1" applyFont="1" applyBorder="1" applyAlignment="1">
      <alignment horizontal="center"/>
    </xf>
    <xf numFmtId="168" fontId="15" fillId="0" borderId="12" xfId="2" applyNumberFormat="1" applyFont="1" applyBorder="1" applyAlignment="1">
      <alignment horizontal="center"/>
    </xf>
    <xf numFmtId="168" fontId="15" fillId="0" borderId="14" xfId="2" applyNumberFormat="1" applyFont="1" applyBorder="1" applyAlignment="1">
      <alignment horizontal="center"/>
    </xf>
    <xf numFmtId="168" fontId="15" fillId="0" borderId="13" xfId="2" applyNumberFormat="1" applyFont="1" applyBorder="1" applyAlignment="1">
      <alignment horizontal="center"/>
    </xf>
    <xf numFmtId="183" fontId="51" fillId="0" borderId="10" xfId="2" applyNumberFormat="1" applyFont="1" applyBorder="1" applyAlignment="1">
      <alignment horizontal="center"/>
    </xf>
    <xf numFmtId="183" fontId="13" fillId="0" borderId="25" xfId="2" applyNumberFormat="1" applyFont="1" applyBorder="1" applyAlignment="1">
      <alignment horizontal="center"/>
    </xf>
    <xf numFmtId="177" fontId="51" fillId="0" borderId="0" xfId="2" applyNumberFormat="1" applyFont="1"/>
    <xf numFmtId="0" fontId="105" fillId="37" borderId="61" xfId="57" applyFont="1" applyFill="1" applyBorder="1" applyAlignment="1">
      <alignment horizontal="center" vertical="center"/>
    </xf>
    <xf numFmtId="177" fontId="13" fillId="0" borderId="0" xfId="0" applyNumberFormat="1" applyFont="1"/>
    <xf numFmtId="0" fontId="137" fillId="0" borderId="0" xfId="0" applyFont="1" applyAlignment="1">
      <alignment horizontal="right" vertical="center" wrapText="1"/>
    </xf>
    <xf numFmtId="0" fontId="19" fillId="0" borderId="0" xfId="0" applyFont="1" applyAlignment="1">
      <alignment horizontal="right"/>
    </xf>
    <xf numFmtId="0" fontId="20" fillId="0" borderId="0" xfId="0" applyFont="1" applyAlignment="1">
      <alignment horizontal="right"/>
    </xf>
    <xf numFmtId="177" fontId="36" fillId="0" borderId="0" xfId="19" applyNumberFormat="1" applyFont="1" applyFill="1" applyBorder="1">
      <alignment horizontal="right"/>
    </xf>
    <xf numFmtId="177" fontId="15" fillId="6" borderId="0" xfId="11" applyNumberFormat="1" applyFont="1" applyFill="1"/>
    <xf numFmtId="0" fontId="15" fillId="6" borderId="0" xfId="11" applyFont="1" applyFill="1"/>
    <xf numFmtId="168" fontId="36" fillId="0" borderId="0" xfId="24" applyNumberFormat="1" applyFont="1" applyFill="1" applyBorder="1">
      <alignment horizontal="right"/>
    </xf>
    <xf numFmtId="0" fontId="15" fillId="0" borderId="12" xfId="11" applyFont="1" applyBorder="1" applyAlignment="1">
      <alignment horizontal="left" indent="1"/>
    </xf>
    <xf numFmtId="0" fontId="13" fillId="0" borderId="11" xfId="11" applyFont="1" applyBorder="1" applyAlignment="1">
      <alignment horizontal="center"/>
    </xf>
    <xf numFmtId="0" fontId="13" fillId="0" borderId="9" xfId="11" applyFont="1" applyBorder="1"/>
    <xf numFmtId="177" fontId="14" fillId="0" borderId="13" xfId="11" applyNumberFormat="1" applyFont="1" applyBorder="1" applyAlignment="1">
      <alignment horizontal="center"/>
    </xf>
    <xf numFmtId="0" fontId="13" fillId="13" borderId="10" xfId="11" applyFont="1" applyFill="1" applyBorder="1" applyAlignment="1">
      <alignment horizontal="centerContinuous"/>
    </xf>
    <xf numFmtId="0" fontId="13" fillId="13" borderId="25" xfId="11" applyFont="1" applyFill="1" applyBorder="1" applyAlignment="1">
      <alignment horizontal="centerContinuous"/>
    </xf>
    <xf numFmtId="0" fontId="13" fillId="13" borderId="11" xfId="11" applyFont="1" applyFill="1" applyBorder="1" applyAlignment="1">
      <alignment horizontal="centerContinuous"/>
    </xf>
    <xf numFmtId="0" fontId="13" fillId="0" borderId="9" xfId="11" applyFont="1" applyBorder="1" applyAlignment="1">
      <alignment horizontal="center"/>
    </xf>
    <xf numFmtId="177" fontId="14" fillId="0" borderId="16" xfId="11" applyNumberFormat="1" applyFont="1" applyBorder="1" applyAlignment="1">
      <alignment horizontal="center"/>
    </xf>
    <xf numFmtId="0" fontId="105" fillId="34" borderId="64" xfId="57" quotePrefix="1" applyFont="1" applyFill="1" applyBorder="1" applyAlignment="1">
      <alignment horizontal="center" vertical="center" wrapText="1"/>
    </xf>
    <xf numFmtId="167" fontId="42" fillId="0" borderId="0" xfId="0" applyNumberFormat="1" applyFont="1"/>
    <xf numFmtId="168" fontId="27" fillId="6" borderId="0" xfId="1" applyNumberFormat="1" applyFont="1" applyFill="1"/>
    <xf numFmtId="168" fontId="13" fillId="6" borderId="5" xfId="1" applyNumberFormat="1" applyFont="1" applyFill="1" applyBorder="1"/>
    <xf numFmtId="168" fontId="21" fillId="39" borderId="0" xfId="0" applyNumberFormat="1" applyFont="1" applyFill="1"/>
    <xf numFmtId="0" fontId="15" fillId="6" borderId="0" xfId="1" applyFont="1" applyFill="1" applyAlignment="1">
      <alignment horizontal="left" indent="1"/>
    </xf>
    <xf numFmtId="0" fontId="15" fillId="6" borderId="0" xfId="1" applyFont="1" applyFill="1"/>
    <xf numFmtId="168" fontId="15" fillId="6" borderId="0" xfId="1" applyNumberFormat="1" applyFont="1" applyFill="1"/>
    <xf numFmtId="168" fontId="28" fillId="6" borderId="0" xfId="1" applyNumberFormat="1" applyFont="1" applyFill="1"/>
    <xf numFmtId="197" fontId="21" fillId="0" borderId="0" xfId="0" applyNumberFormat="1" applyFont="1"/>
    <xf numFmtId="0" fontId="13" fillId="0" borderId="0" xfId="66" applyFont="1"/>
    <xf numFmtId="0" fontId="1" fillId="0" borderId="0" xfId="66"/>
    <xf numFmtId="177" fontId="18" fillId="0" borderId="0" xfId="66" applyNumberFormat="1" applyFont="1"/>
    <xf numFmtId="0" fontId="14" fillId="0" borderId="0" xfId="66" applyFont="1"/>
    <xf numFmtId="0" fontId="15" fillId="0" borderId="0" xfId="66" applyFont="1"/>
    <xf numFmtId="0" fontId="15" fillId="40" borderId="0" xfId="66" applyFont="1" applyFill="1" applyAlignment="1">
      <alignment horizontal="center"/>
    </xf>
    <xf numFmtId="0" fontId="15" fillId="41" borderId="0" xfId="66" applyFont="1" applyFill="1" applyAlignment="1">
      <alignment horizontal="center"/>
    </xf>
    <xf numFmtId="168" fontId="27" fillId="0" borderId="0" xfId="66" applyNumberFormat="1" applyFont="1"/>
    <xf numFmtId="0" fontId="1" fillId="0" borderId="0" xfId="66" applyAlignment="1">
      <alignment vertical="center"/>
    </xf>
    <xf numFmtId="169" fontId="16" fillId="2" borderId="1" xfId="66" applyNumberFormat="1" applyFont="1" applyFill="1" applyBorder="1" applyAlignment="1">
      <alignment horizontal="centerContinuous" vertical="center"/>
    </xf>
    <xf numFmtId="169" fontId="16" fillId="2" borderId="1" xfId="66" applyNumberFormat="1" applyFont="1" applyFill="1" applyBorder="1" applyAlignment="1">
      <alignment horizontal="center" vertical="center"/>
    </xf>
    <xf numFmtId="176" fontId="15" fillId="4" borderId="3" xfId="66" applyNumberFormat="1" applyFont="1" applyFill="1" applyBorder="1" applyAlignment="1">
      <alignment horizontal="center" vertical="center"/>
    </xf>
    <xf numFmtId="176" fontId="13" fillId="4" borderId="3" xfId="66" applyNumberFormat="1" applyFont="1" applyFill="1" applyBorder="1" applyAlignment="1">
      <alignment horizontal="center" vertical="center"/>
    </xf>
    <xf numFmtId="176" fontId="13" fillId="4" borderId="1" xfId="66" applyNumberFormat="1" applyFont="1" applyFill="1" applyBorder="1" applyAlignment="1">
      <alignment horizontal="center" vertical="center"/>
    </xf>
    <xf numFmtId="168" fontId="15" fillId="0" borderId="0" xfId="66" applyNumberFormat="1" applyFont="1"/>
    <xf numFmtId="168" fontId="18" fillId="0" borderId="0" xfId="66" applyNumberFormat="1" applyFont="1"/>
    <xf numFmtId="168" fontId="46" fillId="0" borderId="0" xfId="66" applyNumberFormat="1" applyFont="1"/>
    <xf numFmtId="168" fontId="28" fillId="0" borderId="0" xfId="66" applyNumberFormat="1" applyFont="1"/>
    <xf numFmtId="177" fontId="15" fillId="0" borderId="0" xfId="66" applyNumberFormat="1" applyFont="1"/>
    <xf numFmtId="168" fontId="13" fillId="0" borderId="0" xfId="66" applyNumberFormat="1" applyFont="1"/>
    <xf numFmtId="168" fontId="15" fillId="0" borderId="0" xfId="66" applyNumberFormat="1" applyFont="1" applyAlignment="1">
      <alignment horizontal="left" indent="1"/>
    </xf>
    <xf numFmtId="168" fontId="13" fillId="0" borderId="0" xfId="66" applyNumberFormat="1" applyFont="1" applyAlignment="1">
      <alignment horizontal="left"/>
    </xf>
    <xf numFmtId="168" fontId="14" fillId="0" borderId="0" xfId="66" applyNumberFormat="1" applyFont="1" applyAlignment="1">
      <alignment horizontal="left" indent="2"/>
    </xf>
    <xf numFmtId="0" fontId="138" fillId="0" borderId="0" xfId="66" applyFont="1"/>
    <xf numFmtId="177" fontId="139" fillId="0" borderId="0" xfId="66" applyNumberFormat="1" applyFont="1"/>
    <xf numFmtId="177" fontId="56" fillId="0" borderId="0" xfId="66" applyNumberFormat="1" applyFont="1"/>
    <xf numFmtId="177" fontId="24" fillId="4" borderId="0" xfId="0" applyNumberFormat="1" applyFont="1" applyFill="1"/>
    <xf numFmtId="177" fontId="28" fillId="0" borderId="0" xfId="66" applyNumberFormat="1" applyFont="1"/>
    <xf numFmtId="9" fontId="15" fillId="0" borderId="0" xfId="64" applyFont="1" applyAlignment="1">
      <alignment horizontal="right"/>
    </xf>
    <xf numFmtId="177" fontId="37" fillId="0" borderId="0" xfId="66" applyNumberFormat="1" applyFont="1"/>
    <xf numFmtId="168" fontId="83" fillId="0" borderId="0" xfId="66" applyNumberFormat="1" applyFont="1" applyAlignment="1">
      <alignment horizontal="left"/>
    </xf>
    <xf numFmtId="177" fontId="32" fillId="6" borderId="0" xfId="0" applyNumberFormat="1" applyFont="1" applyFill="1"/>
    <xf numFmtId="177" fontId="32" fillId="6" borderId="0" xfId="0" applyNumberFormat="1" applyFont="1" applyFill="1" applyAlignment="1">
      <alignment horizontal="right"/>
    </xf>
    <xf numFmtId="177" fontId="79" fillId="6" borderId="5" xfId="0" applyNumberFormat="1" applyFont="1" applyFill="1" applyBorder="1"/>
    <xf numFmtId="168" fontId="73" fillId="6" borderId="0" xfId="0" applyNumberFormat="1" applyFont="1" applyFill="1"/>
    <xf numFmtId="199" fontId="14" fillId="0" borderId="0" xfId="43" applyNumberFormat="1" applyFont="1"/>
    <xf numFmtId="168" fontId="14" fillId="0" borderId="0" xfId="43" applyNumberFormat="1" applyFont="1" applyAlignment="1">
      <alignment horizontal="right"/>
    </xf>
    <xf numFmtId="168" fontId="56" fillId="0" borderId="0" xfId="43" applyNumberFormat="1" applyFont="1" applyAlignment="1">
      <alignment horizontal="right"/>
    </xf>
    <xf numFmtId="168" fontId="37" fillId="0" borderId="0" xfId="43" applyNumberFormat="1" applyFont="1" applyAlignment="1">
      <alignment horizontal="right"/>
    </xf>
    <xf numFmtId="177" fontId="14" fillId="0" borderId="0" xfId="43" applyNumberFormat="1" applyFont="1" applyAlignment="1">
      <alignment horizontal="right"/>
    </xf>
    <xf numFmtId="192" fontId="14" fillId="0" borderId="0" xfId="43" applyFont="1" applyAlignment="1">
      <alignment horizontal="left" indent="1"/>
    </xf>
    <xf numFmtId="192" fontId="39" fillId="0" borderId="0" xfId="43" applyFont="1" applyAlignment="1">
      <alignment horizontal="left"/>
    </xf>
    <xf numFmtId="0" fontId="13" fillId="0" borderId="0" xfId="67" applyFont="1"/>
    <xf numFmtId="0" fontId="15" fillId="0" borderId="0" xfId="67" applyFont="1"/>
    <xf numFmtId="0" fontId="14" fillId="0" borderId="0" xfId="67" applyFont="1"/>
    <xf numFmtId="0" fontId="82" fillId="0" borderId="0" xfId="68"/>
    <xf numFmtId="0" fontId="13" fillId="0" borderId="9" xfId="67" applyFont="1" applyBorder="1" applyAlignment="1">
      <alignment horizontal="center"/>
    </xf>
    <xf numFmtId="183" fontId="15" fillId="0" borderId="0" xfId="67" applyNumberFormat="1" applyFont="1"/>
    <xf numFmtId="0" fontId="13" fillId="20" borderId="9" xfId="67" applyFont="1" applyFill="1" applyBorder="1" applyAlignment="1">
      <alignment horizontal="center"/>
    </xf>
    <xf numFmtId="0" fontId="39" fillId="0" borderId="0" xfId="67" applyFont="1"/>
    <xf numFmtId="0" fontId="84" fillId="0" borderId="0" xfId="67" applyFont="1"/>
    <xf numFmtId="0" fontId="49" fillId="18" borderId="0" xfId="67" applyFont="1" applyFill="1" applyAlignment="1">
      <alignment horizontal="centerContinuous"/>
    </xf>
    <xf numFmtId="0" fontId="13" fillId="0" borderId="5" xfId="67" applyFont="1" applyBorder="1"/>
    <xf numFmtId="0" fontId="15" fillId="0" borderId="5" xfId="67" applyFont="1" applyBorder="1"/>
    <xf numFmtId="0" fontId="13" fillId="0" borderId="0" xfId="67" applyFont="1" applyAlignment="1">
      <alignment vertical="center" wrapText="1"/>
    </xf>
    <xf numFmtId="238" fontId="13" fillId="0" borderId="0" xfId="67" applyNumberFormat="1" applyFont="1" applyAlignment="1">
      <alignment horizontal="centerContinuous"/>
    </xf>
    <xf numFmtId="221" fontId="15" fillId="0" borderId="0" xfId="69" applyNumberFormat="1" applyFont="1"/>
    <xf numFmtId="168" fontId="15" fillId="0" borderId="0" xfId="67" applyNumberFormat="1" applyFont="1"/>
    <xf numFmtId="9" fontId="15" fillId="0" borderId="0" xfId="70" applyFont="1"/>
    <xf numFmtId="177" fontId="15" fillId="0" borderId="0" xfId="67" applyNumberFormat="1" applyFont="1"/>
    <xf numFmtId="0" fontId="139" fillId="0" borderId="0" xfId="67" applyFont="1"/>
    <xf numFmtId="0" fontId="139" fillId="6" borderId="0" xfId="67" applyFont="1" applyFill="1"/>
    <xf numFmtId="9" fontId="15" fillId="0" borderId="0" xfId="64" applyFont="1"/>
    <xf numFmtId="0" fontId="15" fillId="0" borderId="15" xfId="11" applyFont="1" applyBorder="1" applyAlignment="1">
      <alignment horizontal="left" indent="1"/>
    </xf>
    <xf numFmtId="177" fontId="14" fillId="0" borderId="18" xfId="11" applyNumberFormat="1" applyFont="1" applyBorder="1" applyAlignment="1">
      <alignment horizontal="center"/>
    </xf>
    <xf numFmtId="177" fontId="14" fillId="0" borderId="23" xfId="11" applyNumberFormat="1" applyFont="1" applyBorder="1" applyAlignment="1">
      <alignment horizontal="center"/>
    </xf>
    <xf numFmtId="0" fontId="15" fillId="0" borderId="27" xfId="11" applyFont="1" applyBorder="1"/>
    <xf numFmtId="9" fontId="14" fillId="0" borderId="0" xfId="64" applyFont="1"/>
    <xf numFmtId="238" fontId="14" fillId="0" borderId="0" xfId="67" applyNumberFormat="1" applyFont="1" applyAlignment="1">
      <alignment horizontal="centerContinuous"/>
    </xf>
    <xf numFmtId="183" fontId="13" fillId="0" borderId="0" xfId="67" applyNumberFormat="1" applyFont="1" applyAlignment="1">
      <alignment horizontal="center"/>
    </xf>
    <xf numFmtId="183" fontId="14" fillId="0" borderId="0" xfId="67" applyNumberFormat="1" applyFont="1"/>
    <xf numFmtId="184" fontId="32" fillId="0" borderId="0" xfId="39" applyNumberFormat="1" applyFont="1"/>
    <xf numFmtId="183" fontId="32" fillId="0" borderId="0" xfId="39" applyNumberFormat="1" applyFont="1"/>
    <xf numFmtId="177" fontId="14" fillId="0" borderId="0" xfId="67" applyNumberFormat="1" applyFont="1"/>
    <xf numFmtId="183" fontId="15" fillId="0" borderId="13" xfId="2" applyNumberFormat="1" applyFont="1" applyBorder="1" applyAlignment="1">
      <alignment horizontal="center"/>
    </xf>
    <xf numFmtId="0" fontId="15" fillId="0" borderId="18" xfId="2" applyFont="1" applyBorder="1"/>
    <xf numFmtId="0" fontId="13" fillId="0" borderId="16" xfId="2" applyFont="1" applyBorder="1"/>
    <xf numFmtId="194" fontId="16" fillId="2" borderId="8" xfId="2" applyNumberFormat="1" applyFont="1" applyFill="1" applyBorder="1" applyAlignment="1">
      <alignment horizontal="center"/>
    </xf>
    <xf numFmtId="0" fontId="15" fillId="0" borderId="0" xfId="2" applyFont="1" applyAlignment="1">
      <alignment horizontal="justify" vertical="top" wrapText="1"/>
    </xf>
    <xf numFmtId="0" fontId="15" fillId="0" borderId="0" xfId="2" applyFont="1" applyAlignment="1">
      <alignment horizontal="left" vertical="top" wrapText="1"/>
    </xf>
    <xf numFmtId="0" fontId="15" fillId="0" borderId="0" xfId="2" applyFont="1" applyAlignment="1">
      <alignment horizontal="left" vertical="top"/>
    </xf>
    <xf numFmtId="176" fontId="15" fillId="4" borderId="1" xfId="2" applyNumberFormat="1" applyFont="1" applyFill="1" applyBorder="1" applyAlignment="1">
      <alignment horizontal="center"/>
    </xf>
    <xf numFmtId="176" fontId="15" fillId="4" borderId="2" xfId="2" applyNumberFormat="1" applyFont="1" applyFill="1" applyBorder="1" applyAlignment="1">
      <alignment horizontal="center"/>
    </xf>
    <xf numFmtId="0" fontId="52" fillId="8" borderId="14" xfId="2" applyFont="1" applyFill="1" applyBorder="1" applyAlignment="1">
      <alignment horizontal="center"/>
    </xf>
    <xf numFmtId="170" fontId="16" fillId="2" borderId="7" xfId="0" applyNumberFormat="1" applyFont="1" applyFill="1" applyBorder="1" applyAlignment="1">
      <alignment horizontal="center"/>
    </xf>
    <xf numFmtId="170" fontId="16" fillId="2" borderId="8" xfId="0" applyNumberFormat="1" applyFont="1" applyFill="1" applyBorder="1" applyAlignment="1">
      <alignment horizontal="center"/>
    </xf>
    <xf numFmtId="170" fontId="16" fillId="2" borderId="1" xfId="66" applyNumberFormat="1" applyFont="1" applyFill="1" applyBorder="1" applyAlignment="1">
      <alignment horizontal="center" vertical="center"/>
    </xf>
    <xf numFmtId="170" fontId="16" fillId="2" borderId="43" xfId="66" applyNumberFormat="1" applyFont="1" applyFill="1" applyBorder="1" applyAlignment="1">
      <alignment horizontal="center" vertical="center"/>
    </xf>
    <xf numFmtId="169" fontId="16" fillId="2" borderId="1" xfId="66" applyNumberFormat="1" applyFont="1" applyFill="1" applyBorder="1" applyAlignment="1">
      <alignment horizontal="center" vertical="center"/>
    </xf>
    <xf numFmtId="169" fontId="16" fillId="2" borderId="2" xfId="66" applyNumberFormat="1" applyFont="1" applyFill="1" applyBorder="1" applyAlignment="1">
      <alignment horizontal="center" vertical="center"/>
    </xf>
    <xf numFmtId="212" fontId="105" fillId="26" borderId="47" xfId="61" applyNumberFormat="1" applyFont="1" applyFill="1" applyBorder="1" applyAlignment="1">
      <alignment horizontal="left" vertical="center"/>
    </xf>
    <xf numFmtId="212" fontId="105" fillId="26" borderId="48" xfId="61" applyNumberFormat="1" applyFont="1" applyFill="1" applyBorder="1" applyAlignment="1">
      <alignment horizontal="left" vertical="center"/>
    </xf>
    <xf numFmtId="212" fontId="105" fillId="28" borderId="49" xfId="61" applyNumberFormat="1" applyFont="1" applyFill="1" applyBorder="1" applyAlignment="1">
      <alignment horizontal="left" vertical="center"/>
    </xf>
    <xf numFmtId="212" fontId="105" fillId="28" borderId="50" xfId="61" applyNumberFormat="1" applyFont="1" applyFill="1" applyBorder="1" applyAlignment="1">
      <alignment horizontal="left" vertical="center"/>
    </xf>
    <xf numFmtId="196" fontId="130" fillId="0" borderId="0" xfId="62" applyNumberFormat="1" applyFont="1" applyBorder="1" applyAlignment="1" applyProtection="1">
      <alignment horizontal="center"/>
    </xf>
    <xf numFmtId="169" fontId="16" fillId="2" borderId="7" xfId="6" applyNumberFormat="1" applyFont="1" applyFill="1" applyBorder="1" applyAlignment="1">
      <alignment horizontal="center"/>
    </xf>
    <xf numFmtId="169" fontId="16" fillId="2" borderId="8" xfId="6" applyNumberFormat="1" applyFont="1" applyFill="1" applyBorder="1" applyAlignment="1">
      <alignment horizontal="center"/>
    </xf>
    <xf numFmtId="169" fontId="16" fillId="2" borderId="24" xfId="6" applyNumberFormat="1" applyFont="1" applyFill="1" applyBorder="1" applyAlignment="1">
      <alignment horizontal="center"/>
    </xf>
  </cellXfs>
  <cellStyles count="71">
    <cellStyle name="A" xfId="35" xr:uid="{DEFE4439-4A77-4521-8556-2A48D8562A5C}"/>
    <cellStyle name="AFE" xfId="40" xr:uid="{A374685C-9F38-40FA-9AEE-EE5C8A205C56}"/>
    <cellStyle name="blp_column_header" xfId="9" xr:uid="{9E9B6FAD-DAAC-4D10-B404-AA060152CB8D}"/>
    <cellStyle name="blp_title_header_row_left" xfId="12" xr:uid="{297DD693-51DC-41A0-AA8D-89278013DC73}"/>
    <cellStyle name="Comma" xfId="56" builtinId="3"/>
    <cellStyle name="F" xfId="31" xr:uid="{07CC1688-9DD3-4811-9B70-5931DE67636F}"/>
    <cellStyle name="fa_column_header_bottom" xfId="17" xr:uid="{42769183-2F18-438A-91B8-C322A98FAD68}"/>
    <cellStyle name="fa_column_header_bottom_left" xfId="16" xr:uid="{72A2D335-8EDC-4A19-84D4-B3700723B611}"/>
    <cellStyle name="fa_column_header_empty" xfId="13" xr:uid="{CCE6B902-C518-4F1A-9298-86A6F04C4104}"/>
    <cellStyle name="fa_column_header_top" xfId="15" xr:uid="{821306F9-CFA4-442F-9089-B6BE21C14019}"/>
    <cellStyle name="fa_column_header_top_left" xfId="14" xr:uid="{19293BD7-F089-4392-87FB-E216879AC98C}"/>
    <cellStyle name="fa_data_bold_0_grouped" xfId="19" xr:uid="{43E12200-ADE1-4B04-B375-4223FB5D5205}"/>
    <cellStyle name="fa_data_bold_3_grouped" xfId="23" xr:uid="{BE33CFBA-0CFE-46C5-804F-EE5C5122D51D}"/>
    <cellStyle name="fa_data_current_bold_0_grouped" xfId="27" xr:uid="{F3466476-204F-46CC-BD95-72D8A41BF80A}"/>
    <cellStyle name="fa_data_current_bold_3_grouped" xfId="24" xr:uid="{E6739E95-7AFC-44F6-A889-EB340B7EFA1B}"/>
    <cellStyle name="fa_data_current_italic_3_grouped" xfId="30" xr:uid="{44266EDE-FE42-4D74-8E89-5826932DCBD6}"/>
    <cellStyle name="fa_data_current_standard_3_grouped" xfId="26" xr:uid="{EE8E9FAF-5DDE-4C84-BF12-6F9063522CC1}"/>
    <cellStyle name="fa_data_italic_3_grouped" xfId="29" xr:uid="{239327D7-6CED-4CA4-8E6C-710AE751D60C}"/>
    <cellStyle name="fa_data_standard_3_grouped" xfId="21" xr:uid="{353ED87D-5010-473A-82DF-3AFE9830EE18}"/>
    <cellStyle name="fa_footer_italic" xfId="22" xr:uid="{3C4D4126-2320-4EE6-90B8-A06271839BBC}"/>
    <cellStyle name="fa_row_header_bold" xfId="18" xr:uid="{0A243861-5438-4833-B55E-4544C8DB961A}"/>
    <cellStyle name="fa_row_header_italic" xfId="28" xr:uid="{350F12F7-9633-4AE0-A017-A07855021C20}"/>
    <cellStyle name="fa_row_header_standard" xfId="20" xr:uid="{81972D64-8C65-4213-A0E9-5F33C27621F7}"/>
    <cellStyle name="fa_row_header_standard 2" xfId="25" xr:uid="{918F139E-41E7-452C-8404-7127B93B0866}"/>
    <cellStyle name="Hyperlink" xfId="63" builtinId="8"/>
    <cellStyle name="Hyperlink 2" xfId="34" xr:uid="{369BCAF1-4029-4F37-8C08-45039382A835}"/>
    <cellStyle name="Hyperlink 3" xfId="49" xr:uid="{C44770A4-180A-4102-BA29-C705E74EA872}"/>
    <cellStyle name="Hyperlink 4" xfId="62" xr:uid="{32DFDC64-7660-4E00-92F6-1838222690A7}"/>
    <cellStyle name="Normal" xfId="0" builtinId="0"/>
    <cellStyle name="Normal 10" xfId="8" xr:uid="{4CB2E929-7FAE-4FEE-A1E9-4500328FA41B}"/>
    <cellStyle name="Normal 11" xfId="46" xr:uid="{05E50F03-12CC-49E8-9095-E99CBE61D47D}"/>
    <cellStyle name="Normal 12" xfId="57" xr:uid="{AD006C74-3519-47B7-AD73-A1C96DA57F2A}"/>
    <cellStyle name="Normal 13" xfId="61" xr:uid="{FC09727A-0E14-4D0D-BF14-913983E795DA}"/>
    <cellStyle name="Normal 14" xfId="65" xr:uid="{B779D4E6-7ED4-42C3-BAAF-291B948CF319}"/>
    <cellStyle name="Normal 15" xfId="66" xr:uid="{93B90A17-7784-4E2C-83AF-9FB6F470FEE1}"/>
    <cellStyle name="Normal 2" xfId="1" xr:uid="{64664DE0-90A8-4F3F-BF9D-2251E0454212}"/>
    <cellStyle name="Normal 2 2" xfId="3" xr:uid="{4610FE19-5163-42E6-BD6C-7B1654FA7026}"/>
    <cellStyle name="Normal 2 3" xfId="4" xr:uid="{C0FF599E-D5B0-48AF-983B-010BD0AAC31E}"/>
    <cellStyle name="Normal 2 4" xfId="6" xr:uid="{E1FA02B9-D5C8-4F15-9569-0AA5AB94852F}"/>
    <cellStyle name="Normal 2 4 2 2" xfId="43" xr:uid="{4309E858-19CB-4AC0-BF5A-B8E5C902F9EC}"/>
    <cellStyle name="Normal 2 5" xfId="58" xr:uid="{4278FB02-B803-4921-8534-D8AA7576EDC5}"/>
    <cellStyle name="Normal 3" xfId="2" xr:uid="{43035D4F-F5D1-43C8-907D-6BEBCEEE9D02}"/>
    <cellStyle name="Normal 3 2" xfId="47" xr:uid="{3CE53AD5-490F-4BB3-9558-0EE1CB98BF64}"/>
    <cellStyle name="Normal 3 2 2 2" xfId="55" xr:uid="{9C803CDF-7527-4536-BEF3-96869EF53335}"/>
    <cellStyle name="Normal 3 2 2 2 2" xfId="42" xr:uid="{0A1D6735-B1FA-441C-B832-A9EB9BE6C580}"/>
    <cellStyle name="Normal 3 2 2 2 3" xfId="69" xr:uid="{2915AFB2-FB9E-4F82-A359-BFA2967E5B78}"/>
    <cellStyle name="Normal 3 3" xfId="68" xr:uid="{69AF21E3-3502-41D9-998D-188F88B71EC7}"/>
    <cellStyle name="Normal 4" xfId="5" xr:uid="{2D3D93AF-407F-4C26-8457-AE8AF91A1ED0}"/>
    <cellStyle name="Normal 4 2 2" xfId="44" xr:uid="{4129B806-89FD-48A3-ABFD-6A03120B9125}"/>
    <cellStyle name="Normal 5" xfId="7" xr:uid="{27A625EC-92A4-4F9B-940C-845117B31427}"/>
    <cellStyle name="Normal 5 2" xfId="48" xr:uid="{91E16270-39C4-47FF-BA88-7C5291C40294}"/>
    <cellStyle name="Normal 6" xfId="10" xr:uid="{18FCDD4E-C503-45DD-BDA6-A80E4A5CF906}"/>
    <cellStyle name="Normal 6 2" xfId="54" xr:uid="{CBFAA24A-75A2-4B82-81F2-4BA7028A71EE}"/>
    <cellStyle name="Normal 6 2 2" xfId="38" xr:uid="{D29399A3-9317-4A4E-B4F3-9DDE77BB6451}"/>
    <cellStyle name="Normal 6 2 2 2" xfId="67" xr:uid="{0592DAAF-D2C3-4959-BB6B-047F0EEFFBD9}"/>
    <cellStyle name="Normal 7" xfId="11" xr:uid="{7F5B739B-83EB-4B2E-81B8-60508ADE74EE}"/>
    <cellStyle name="Normal 7 2" xfId="39" xr:uid="{50F83C46-6B39-4270-9D81-01A46B25DDB3}"/>
    <cellStyle name="Normal 7 3" xfId="50" xr:uid="{9216B788-B196-49A6-B5E1-2F3E02005CB1}"/>
    <cellStyle name="Normal 8" xfId="32" xr:uid="{8DB7DFA7-DAC0-40E1-8A33-1D89E2184D1F}"/>
    <cellStyle name="Normal 8 2" xfId="45" xr:uid="{6DCD6305-1CA4-479A-A546-684F38F6CBC5}"/>
    <cellStyle name="Normal 9" xfId="41" xr:uid="{6CE26A81-1D00-443B-9F3B-12EE496710C5}"/>
    <cellStyle name="Note" xfId="37" builtinId="10"/>
    <cellStyle name="Percent" xfId="64" builtinId="5"/>
    <cellStyle name="Percent 2" xfId="59" xr:uid="{DF88057F-E5F4-4393-8714-A9D10CC40D82}"/>
    <cellStyle name="Percent 3" xfId="70" xr:uid="{8BA332CC-0A7F-4F4C-B8B6-0B93BA462FCC}"/>
    <cellStyle name="R" xfId="33" xr:uid="{CBB51CE3-0D92-43AC-94FB-F0EEF47DA204}"/>
    <cellStyle name="S" xfId="36" xr:uid="{6EA6849B-88DC-4670-A8DD-36C1F6A2E457}"/>
    <cellStyle name="TextNormal" xfId="60" xr:uid="{64A73CDB-EF5B-4A44-B3BC-36C03F812A64}"/>
    <cellStyle name="TR_InputData" xfId="51" xr:uid="{26ED8354-BE63-4A30-BC7C-058D5F20AC0D}"/>
    <cellStyle name="TR_OutputData1" xfId="53" xr:uid="{0AB65D3E-6CDE-49DB-92BE-8EA3EDB7F4B7}"/>
    <cellStyle name="TR_Title1" xfId="52" xr:uid="{08F43E18-F0BD-41E3-81DE-42F6EE850B80}"/>
  </cellStyles>
  <dxfs count="81">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CCCCFF"/>
        </patternFill>
      </fill>
    </dxf>
    <dxf>
      <fill>
        <patternFill>
          <bgColor rgb="FFCCCCFF"/>
        </patternFill>
      </fill>
    </dxf>
    <dxf>
      <fill>
        <patternFill>
          <bgColor rgb="FF88CE9A"/>
        </patternFill>
      </fill>
    </dxf>
    <dxf>
      <fill>
        <patternFill>
          <bgColor rgb="FFF9878A"/>
        </patternFill>
      </fill>
    </dxf>
    <dxf>
      <font>
        <color rgb="FF006100"/>
      </font>
      <fill>
        <patternFill>
          <bgColor rgb="FFC6EFCE"/>
        </patternFill>
      </fill>
    </dxf>
    <dxf>
      <font>
        <color rgb="FF9C0006"/>
      </font>
      <fill>
        <patternFill>
          <bgColor rgb="FFFFC7CE"/>
        </patternFill>
      </fill>
    </dxf>
    <dxf>
      <border>
        <top style="thin">
          <color theme="0" tint="-0.499984740745262"/>
        </top>
        <bottom style="thin">
          <color theme="0" tint="-0.499984740745262"/>
        </bottom>
        <vertical/>
        <horizontal/>
      </border>
    </dxf>
    <dxf>
      <font>
        <color theme="0"/>
      </font>
      <fill>
        <patternFill>
          <bgColor theme="0"/>
        </patternFill>
      </fill>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border>
        <top style="thin">
          <color theme="0" tint="-0.499984740745262"/>
        </top>
        <bottom style="thin">
          <color theme="0" tint="-0.499984740745262"/>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rgb="FF99A5FF"/>
        </top>
        <bottom/>
        <vertical/>
        <horizontal/>
      </border>
    </dxf>
    <dxf>
      <font>
        <color auto="1"/>
      </font>
      <fill>
        <patternFill>
          <bgColor rgb="FFCCCCFF"/>
        </patternFill>
      </fill>
      <border>
        <left style="thin">
          <color rgb="FF99A5FF"/>
        </left>
        <right style="thin">
          <color rgb="FF99A5FF"/>
        </right>
        <top style="thin">
          <color rgb="FF99A5FF"/>
        </top>
        <bottom style="thin">
          <color rgb="FF99A5FF"/>
        </bottom>
        <vertical/>
        <horizontal/>
      </border>
    </dxf>
    <dxf>
      <border>
        <top style="thin">
          <color theme="0" tint="-0.499984740745262"/>
        </top>
        <bottom style="thin">
          <color theme="0" tint="-0.499984740745262"/>
        </bottom>
        <vertical/>
        <horizontal/>
      </border>
    </dxf>
    <dxf>
      <border>
        <left/>
        <right/>
        <top/>
        <bottom/>
        <vertical/>
        <horizontal/>
      </border>
    </dxf>
    <dxf>
      <font>
        <color auto="1"/>
      </font>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102" Type="http://schemas.openxmlformats.org/officeDocument/2006/relationships/externalLink" Target="externalLinks/externalLink63.xml"/><Relationship Id="rId5" Type="http://schemas.openxmlformats.org/officeDocument/2006/relationships/worksheet" Target="worksheets/sheet5.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113" Type="http://schemas.openxmlformats.org/officeDocument/2006/relationships/customXml" Target="../customXml/item2.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0.xml"/><Relationship Id="rId103" Type="http://schemas.openxmlformats.org/officeDocument/2006/relationships/externalLink" Target="externalLinks/externalLink64.xml"/><Relationship Id="rId108" Type="http://schemas.openxmlformats.org/officeDocument/2006/relationships/styles" Target="styles.xml"/><Relationship Id="rId54" Type="http://schemas.openxmlformats.org/officeDocument/2006/relationships/externalLink" Target="externalLinks/externalLink15.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110" Type="http://schemas.openxmlformats.org/officeDocument/2006/relationships/sheetMetadata" Target="metadata.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7.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7.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62" Type="http://schemas.openxmlformats.org/officeDocument/2006/relationships/externalLink" Target="externalLinks/externalLink23.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11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EV-EBITDA'!$E$11</c:f>
          <c:strCache>
            <c:ptCount val="1"/>
            <c:pt idx="0">
              <c:v>Eastman Chemical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4549449529006584"/>
        </c:manualLayout>
      </c:layout>
      <c:lineChart>
        <c:grouping val="standard"/>
        <c:varyColors val="0"/>
        <c:ser>
          <c:idx val="0"/>
          <c:order val="0"/>
          <c:tx>
            <c:strRef>
              <c:f>'Forward EV-EBITDA'!$E$11</c:f>
              <c:strCache>
                <c:ptCount val="1"/>
                <c:pt idx="0">
                  <c:v>Eastman Chemical Co</c:v>
                </c:pt>
              </c:strCache>
            </c:strRef>
          </c:tx>
          <c:spPr>
            <a:ln w="28575" cap="rnd">
              <a:solidFill>
                <a:srgbClr val="0070C0"/>
              </a:solidFill>
              <a:round/>
            </a:ln>
            <a:effectLst/>
          </c:spPr>
          <c:marker>
            <c:symbol val="none"/>
          </c:marker>
          <c:cat>
            <c:numRef>
              <c:f>'Forward EV-EBITDA'!$C$20:$D$61</c:f>
              <c:numCache>
                <c:formatCode>"Q2"\ yyyy</c:formatCode>
                <c:ptCount val="42"/>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EV-EBITDA'!$E$20:$E$61</c:f>
              <c:numCache>
                <c:formatCode>0.0\x_);\(0.0\x\);\-\ </c:formatCode>
                <c:ptCount val="42"/>
                <c:pt idx="0">
                  <c:v>7.3925278844614404</c:v>
                </c:pt>
                <c:pt idx="1">
                  <c:v>7.7920271393888303</c:v>
                </c:pt>
                <c:pt idx="2">
                  <c:v>7.7148548871086602</c:v>
                </c:pt>
                <c:pt idx="3">
                  <c:v>7.9226599951817596</c:v>
                </c:pt>
                <c:pt idx="4">
                  <c:v>8.0386374338896704</c:v>
                </c:pt>
                <c:pt idx="5">
                  <c:v>7.7710426848552601</c:v>
                </c:pt>
                <c:pt idx="6">
                  <c:v>7.4467288782765904</c:v>
                </c:pt>
                <c:pt idx="7">
                  <c:v>6.9296338430472204</c:v>
                </c:pt>
                <c:pt idx="8">
                  <c:v>8.2565020886253606</c:v>
                </c:pt>
                <c:pt idx="9">
                  <c:v>7.7631885983009097</c:v>
                </c:pt>
                <c:pt idx="10">
                  <c:v>7.2711183570638598</c:v>
                </c:pt>
                <c:pt idx="11">
                  <c:v>7.1603280818444901</c:v>
                </c:pt>
                <c:pt idx="12">
                  <c:v>7.8611620646486102</c:v>
                </c:pt>
                <c:pt idx="13">
                  <c:v>7.4409689632156102</c:v>
                </c:pt>
                <c:pt idx="14">
                  <c:v>7.8806669581190301</c:v>
                </c:pt>
                <c:pt idx="15">
                  <c:v>8.2584597768041892</c:v>
                </c:pt>
                <c:pt idx="16">
                  <c:v>8.1286033293183397</c:v>
                </c:pt>
                <c:pt idx="17">
                  <c:v>8.3615309094421608</c:v>
                </c:pt>
                <c:pt idx="18">
                  <c:v>8.5433213500236693</c:v>
                </c:pt>
                <c:pt idx="19">
                  <c:v>8.9477286757746892</c:v>
                </c:pt>
                <c:pt idx="20">
                  <c:v>9.2461479850569592</c:v>
                </c:pt>
                <c:pt idx="21">
                  <c:v>8.5354105219265808</c:v>
                </c:pt>
                <c:pt idx="22">
                  <c:v>7.5448281157362196</c:v>
                </c:pt>
                <c:pt idx="23">
                  <c:v>7.7196499070828004</c:v>
                </c:pt>
                <c:pt idx="24">
                  <c:v>7.1041326552310702</c:v>
                </c:pt>
                <c:pt idx="25">
                  <c:v>6.8293388553292402</c:v>
                </c:pt>
                <c:pt idx="26">
                  <c:v>8.0806416947550908</c:v>
                </c:pt>
                <c:pt idx="27">
                  <c:v>8.1025042109024508</c:v>
                </c:pt>
                <c:pt idx="28">
                  <c:v>7.7360333434325597</c:v>
                </c:pt>
                <c:pt idx="29">
                  <c:v>8.5137936424066005</c:v>
                </c:pt>
                <c:pt idx="30">
                  <c:v>9.4849104948247795</c:v>
                </c:pt>
                <c:pt idx="31">
                  <c:v>9.8442805486113105</c:v>
                </c:pt>
                <c:pt idx="32">
                  <c:v>10.271528513511701</c:v>
                </c:pt>
                <c:pt idx="33">
                  <c:v>9.1276133775656394</c:v>
                </c:pt>
                <c:pt idx="34">
                  <c:v>9.2449286711192098</c:v>
                </c:pt>
                <c:pt idx="35">
                  <c:v>9.3087136255806993</c:v>
                </c:pt>
                <c:pt idx="36">
                  <c:v>8.3097007763091906</c:v>
                </c:pt>
                <c:pt idx="37">
                  <c:v>7.8880948363602297</c:v>
                </c:pt>
                <c:pt idx="38">
                  <c:v>8.0898627834786403</c:v>
                </c:pt>
                <c:pt idx="39">
                  <c:v>8.2746410890455397</c:v>
                </c:pt>
                <c:pt idx="40">
                  <c:v>7.7168043757585503</c:v>
                </c:pt>
              </c:numCache>
            </c:numRef>
          </c:val>
          <c:smooth val="0"/>
          <c:extLst>
            <c:ext xmlns:c16="http://schemas.microsoft.com/office/drawing/2014/chart" uri="{C3380CC4-5D6E-409C-BE32-E72D297353CC}">
              <c16:uniqueId val="{00000000-D945-4CC5-86A6-881617CDFCDC}"/>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D945-4CC5-86A6-881617CDFCDC}"/>
              </c:ext>
            </c:extLst>
          </c:dPt>
          <c:dLbls>
            <c:dLbl>
              <c:idx val="0"/>
              <c:delete val="1"/>
              <c:extLst>
                <c:ext xmlns:c15="http://schemas.microsoft.com/office/drawing/2012/chart" uri="{CE6537A1-D6FC-4f65-9D91-7224C49458BB}"/>
                <c:ext xmlns:c16="http://schemas.microsoft.com/office/drawing/2014/chart" uri="{C3380CC4-5D6E-409C-BE32-E72D297353CC}">
                  <c16:uniqueId val="{00000002-D945-4CC5-86A6-881617CDFCD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EV-EBITDA'!$E$16,'Forward EV-EBITDA'!$E$16)</c:f>
              <c:numCache>
                <c:formatCode>0.0\x_);\(0.0\x\);\-\ </c:formatCode>
                <c:ptCount val="2"/>
                <c:pt idx="0">
                  <c:v>8.1428110225223271</c:v>
                </c:pt>
                <c:pt idx="1">
                  <c:v>8.1428110225223271</c:v>
                </c:pt>
              </c:numCache>
            </c:numRef>
          </c:yVal>
          <c:smooth val="1"/>
          <c:extLst>
            <c:ext xmlns:c16="http://schemas.microsoft.com/office/drawing/2014/chart" uri="{C3380CC4-5D6E-409C-BE32-E72D297353CC}">
              <c16:uniqueId val="{00000003-D945-4CC5-86A6-881617CDFCDC}"/>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D945-4CC5-86A6-881617CDFCD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EV-EBITDA'!$E$17,'Forward EV-EBITDA'!$E$17)</c:f>
              <c:numCache>
                <c:formatCode>0.0\x_);\(0.0\x\);\-\ </c:formatCode>
                <c:ptCount val="2"/>
                <c:pt idx="0">
                  <c:v>7.3697562740241223</c:v>
                </c:pt>
                <c:pt idx="1">
                  <c:v>7.3697562740241223</c:v>
                </c:pt>
              </c:numCache>
            </c:numRef>
          </c:yVal>
          <c:smooth val="1"/>
          <c:extLst>
            <c:ext xmlns:c16="http://schemas.microsoft.com/office/drawing/2014/chart" uri="{C3380CC4-5D6E-409C-BE32-E72D297353CC}">
              <c16:uniqueId val="{00000005-D945-4CC5-86A6-881617CDFCDC}"/>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D945-4CC5-86A6-881617CDFCD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EV-EBITDA'!$E$18,'Forward EV-EBITDA'!$E$18)</c:f>
              <c:numCache>
                <c:formatCode>0.0\x_);\(0.0\x\);\-\ </c:formatCode>
                <c:ptCount val="2"/>
                <c:pt idx="0">
                  <c:v>8.9158657710205311</c:v>
                </c:pt>
                <c:pt idx="1">
                  <c:v>8.9158657710205311</c:v>
                </c:pt>
              </c:numCache>
            </c:numRef>
          </c:yVal>
          <c:smooth val="1"/>
          <c:extLst>
            <c:ext xmlns:c16="http://schemas.microsoft.com/office/drawing/2014/chart" uri="{C3380CC4-5D6E-409C-BE32-E72D297353CC}">
              <c16:uniqueId val="{00000007-D945-4CC5-86A6-881617CDFCDC}"/>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1"/>
        <c:noMultiLvlLbl val="0"/>
      </c:catAx>
      <c:valAx>
        <c:axId val="1797475792"/>
        <c:scaling>
          <c:orientation val="minMax"/>
          <c:min val="6"/>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At val="1"/>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'Historicals (Peers- A) '!$C$24:$C$41</c:f>
              <c:numCache>
                <c:formatCode>yyyy</c:formatCode>
                <c:ptCount val="18"/>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numCache>
            </c:numRef>
          </c:cat>
          <c:val>
            <c:numRef>
              <c:f>'Historicals (Peers- A) '!$EI$49:$EI$65</c:f>
              <c:numCache>
                <c:formatCode>0.0%_);\(0.0%\)</c:formatCode>
                <c:ptCount val="17"/>
                <c:pt idx="0">
                  <c:v>0.10938040844582901</c:v>
                </c:pt>
                <c:pt idx="1">
                  <c:v>0.11731843575418995</c:v>
                </c:pt>
                <c:pt idx="2">
                  <c:v>8.7791294152132493E-2</c:v>
                </c:pt>
                <c:pt idx="3">
                  <c:v>7.6347894529712718E-2</c:v>
                </c:pt>
                <c:pt idx="4">
                  <c:v>9.496451503886448E-2</c:v>
                </c:pt>
                <c:pt idx="5">
                  <c:v>0.10971462368771255</c:v>
                </c:pt>
                <c:pt idx="6">
                  <c:v>3.0539108756622E-2</c:v>
                </c:pt>
                <c:pt idx="7">
                  <c:v>0.14393241167434717</c:v>
                </c:pt>
                <c:pt idx="8">
                  <c:v>0.11055571890620405</c:v>
                </c:pt>
                <c:pt idx="9">
                  <c:v>0.12019739161085653</c:v>
                </c:pt>
                <c:pt idx="10">
                  <c:v>0.16737799220634625</c:v>
                </c:pt>
                <c:pt idx="11">
                  <c:v>0.15016286644951141</c:v>
                </c:pt>
                <c:pt idx="12">
                  <c:v>0.18588399720475193</c:v>
                </c:pt>
                <c:pt idx="13">
                  <c:v>0.16388756550738448</c:v>
                </c:pt>
                <c:pt idx="14">
                  <c:v>0.12661361626878867</c:v>
                </c:pt>
                <c:pt idx="15">
                  <c:v>0.22701183085392995</c:v>
                </c:pt>
                <c:pt idx="16">
                  <c:v>0.19312499999999999</c:v>
                </c:pt>
              </c:numCache>
            </c:numRef>
          </c:val>
          <c:smooth val="0"/>
          <c:extLst>
            <c:ext xmlns:c16="http://schemas.microsoft.com/office/drawing/2014/chart" uri="{C3380CC4-5D6E-409C-BE32-E72D297353CC}">
              <c16:uniqueId val="{00000000-FB09-4BA7-9294-8995894AF66D}"/>
            </c:ext>
          </c:extLst>
        </c:ser>
        <c:dLbls>
          <c:showLegendKey val="0"/>
          <c:showVal val="0"/>
          <c:showCatName val="0"/>
          <c:showSerName val="0"/>
          <c:showPercent val="0"/>
          <c:showBubbleSize val="0"/>
        </c:dLbls>
        <c:marker val="1"/>
        <c:smooth val="0"/>
        <c:axId val="337215584"/>
        <c:axId val="337226144"/>
      </c:lineChart>
      <c:lineChart>
        <c:grouping val="standard"/>
        <c:varyColors val="0"/>
        <c:ser>
          <c:idx val="1"/>
          <c:order val="1"/>
          <c:spPr>
            <a:ln w="28575" cap="rnd">
              <a:solidFill>
                <a:schemeClr val="accent2"/>
              </a:solidFill>
              <a:round/>
            </a:ln>
            <a:effectLst/>
          </c:spPr>
          <c:marker>
            <c:symbol val="none"/>
          </c:marker>
          <c:val>
            <c:numRef>
              <c:f>'Historicals (Peers- A) '!$F$24:$F$41</c:f>
              <c:numCache>
                <c:formatCode>0.0\x_);\(0.0\x\);\-\ </c:formatCode>
                <c:ptCount val="18"/>
                <c:pt idx="0">
                  <c:v>5.9150139856867696</c:v>
                </c:pt>
                <c:pt idx="1">
                  <c:v>6.4843101014492603</c:v>
                </c:pt>
                <c:pt idx="2">
                  <c:v>6.8774853206424602</c:v>
                </c:pt>
                <c:pt idx="3">
                  <c:v>4.9289060952092898</c:v>
                </c:pt>
                <c:pt idx="4">
                  <c:v>6.1093186533901198</c:v>
                </c:pt>
                <c:pt idx="5">
                  <c:v>7.2385142449467299</c:v>
                </c:pt>
                <c:pt idx="6">
                  <c:v>7.0863523891336504</c:v>
                </c:pt>
                <c:pt idx="7">
                  <c:v>7.4533763994153697</c:v>
                </c:pt>
                <c:pt idx="8">
                  <c:v>7.0030993714546099</c:v>
                </c:pt>
                <c:pt idx="9">
                  <c:v>7.7170195086687201</c:v>
                </c:pt>
                <c:pt idx="10">
                  <c:v>7.0129921563583997</c:v>
                </c:pt>
                <c:pt idx="11">
                  <c:v>9.2638216886287701</c:v>
                </c:pt>
                <c:pt idx="12">
                  <c:v>9.6484871426549201</c:v>
                </c:pt>
                <c:pt idx="13">
                  <c:v>7.7935245040986301</c:v>
                </c:pt>
                <c:pt idx="14">
                  <c:v>8.8249935636539192</c:v>
                </c:pt>
                <c:pt idx="15">
                  <c:v>10.024387493356899</c:v>
                </c:pt>
                <c:pt idx="16">
                  <c:v>8.3329857326987202</c:v>
                </c:pt>
                <c:pt idx="17">
                  <c:v>5.2515122000512404</c:v>
                </c:pt>
              </c:numCache>
            </c:numRef>
          </c:val>
          <c:smooth val="0"/>
          <c:extLst>
            <c:ext xmlns:c16="http://schemas.microsoft.com/office/drawing/2014/chart" uri="{C3380CC4-5D6E-409C-BE32-E72D297353CC}">
              <c16:uniqueId val="{00000001-FB09-4BA7-9294-8995894AF66D}"/>
            </c:ext>
          </c:extLst>
        </c:ser>
        <c:dLbls>
          <c:showLegendKey val="0"/>
          <c:showVal val="0"/>
          <c:showCatName val="0"/>
          <c:showSerName val="0"/>
          <c:showPercent val="0"/>
          <c:showBubbleSize val="0"/>
        </c:dLbls>
        <c:marker val="1"/>
        <c:smooth val="0"/>
        <c:axId val="1096550304"/>
        <c:axId val="1096549824"/>
      </c:lineChart>
      <c:dateAx>
        <c:axId val="337215584"/>
        <c:scaling>
          <c:orientation val="minMax"/>
        </c:scaling>
        <c:delete val="0"/>
        <c:axPos val="b"/>
        <c:numFmt formatCode="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26144"/>
        <c:crosses val="autoZero"/>
        <c:auto val="1"/>
        <c:lblOffset val="100"/>
        <c:baseTimeUnit val="years"/>
      </c:dateAx>
      <c:valAx>
        <c:axId val="337226144"/>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15584"/>
        <c:crosses val="autoZero"/>
        <c:crossBetween val="between"/>
      </c:valAx>
      <c:valAx>
        <c:axId val="1096549824"/>
        <c:scaling>
          <c:orientation val="minMax"/>
        </c:scaling>
        <c:delete val="0"/>
        <c:axPos val="r"/>
        <c:numFmt formatCode="0.0\x_);\(0.0\x\);\-\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550304"/>
        <c:crosses val="max"/>
        <c:crossBetween val="between"/>
      </c:valAx>
      <c:catAx>
        <c:axId val="1096550304"/>
        <c:scaling>
          <c:orientation val="minMax"/>
        </c:scaling>
        <c:delete val="1"/>
        <c:axPos val="b"/>
        <c:majorTickMark val="out"/>
        <c:minorTickMark val="none"/>
        <c:tickLblPos val="nextTo"/>
        <c:crossAx val="10965498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'Historicals (Peers- A) '!$C$72:$C$89</c:f>
              <c:numCache>
                <c:formatCode>yyyy</c:formatCode>
                <c:ptCount val="18"/>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numCache>
            </c:numRef>
          </c:cat>
          <c:val>
            <c:numRef>
              <c:f>'Historicals (Peers- A) '!$E$72:$E$89</c:f>
              <c:numCache>
                <c:formatCode>0.0\x_);\(0.0\x\);\-\ </c:formatCode>
                <c:ptCount val="18"/>
                <c:pt idx="0">
                  <c:v>5.1637922224389996</c:v>
                </c:pt>
                <c:pt idx="1">
                  <c:v>6.4594073510234598</c:v>
                </c:pt>
                <c:pt idx="2">
                  <c:v>6.5182680604198504</c:v>
                </c:pt>
                <c:pt idx="3">
                  <c:v>4.7369274153280196</c:v>
                </c:pt>
                <c:pt idx="4">
                  <c:v>5.7097225011042596</c:v>
                </c:pt>
                <c:pt idx="5">
                  <c:v>6.2917095413208504</c:v>
                </c:pt>
                <c:pt idx="6">
                  <c:v>5.3720191970030298</c:v>
                </c:pt>
                <c:pt idx="7">
                  <c:v>7.7034646244575802</c:v>
                </c:pt>
                <c:pt idx="8">
                  <c:v>7.9226599951817596</c:v>
                </c:pt>
                <c:pt idx="9">
                  <c:v>6.9296338430472204</c:v>
                </c:pt>
                <c:pt idx="10">
                  <c:v>7.1603280818444901</c:v>
                </c:pt>
                <c:pt idx="11">
                  <c:v>8.2584597768041892</c:v>
                </c:pt>
                <c:pt idx="12">
                  <c:v>8.9477286757746892</c:v>
                </c:pt>
                <c:pt idx="13">
                  <c:v>7.7196499070828004</c:v>
                </c:pt>
                <c:pt idx="14">
                  <c:v>8.1025042109024508</c:v>
                </c:pt>
                <c:pt idx="15">
                  <c:v>9.8442805486113105</c:v>
                </c:pt>
                <c:pt idx="16">
                  <c:v>9.3087136255806993</c:v>
                </c:pt>
                <c:pt idx="17">
                  <c:v>8.2746410890455397</c:v>
                </c:pt>
              </c:numCache>
            </c:numRef>
          </c:val>
          <c:smooth val="0"/>
          <c:extLst>
            <c:ext xmlns:c16="http://schemas.microsoft.com/office/drawing/2014/chart" uri="{C3380CC4-5D6E-409C-BE32-E72D297353CC}">
              <c16:uniqueId val="{00000000-40C8-4342-9F9F-89D8BE9A927C}"/>
            </c:ext>
          </c:extLst>
        </c:ser>
        <c:dLbls>
          <c:showLegendKey val="0"/>
          <c:showVal val="0"/>
          <c:showCatName val="0"/>
          <c:showSerName val="0"/>
          <c:showPercent val="0"/>
          <c:showBubbleSize val="0"/>
        </c:dLbls>
        <c:marker val="1"/>
        <c:smooth val="0"/>
        <c:axId val="1261964496"/>
        <c:axId val="1261960656"/>
      </c:lineChart>
      <c:lineChart>
        <c:grouping val="standard"/>
        <c:varyColors val="0"/>
        <c:ser>
          <c:idx val="1"/>
          <c:order val="1"/>
          <c:spPr>
            <a:ln w="28575" cap="rnd">
              <a:solidFill>
                <a:schemeClr val="accent2"/>
              </a:solidFill>
              <a:round/>
            </a:ln>
            <a:effectLst/>
          </c:spPr>
          <c:marker>
            <c:symbol val="none"/>
          </c:marker>
          <c:val>
            <c:numRef>
              <c:f>'Historicals (Peers- A) '!$F$72:$F$89</c:f>
              <c:numCache>
                <c:formatCode>0.0%_);\(0.0%\)</c:formatCode>
                <c:ptCount val="18"/>
                <c:pt idx="0">
                  <c:v>0.11191386881994617</c:v>
                </c:pt>
                <c:pt idx="1">
                  <c:v>0.10326385079539221</c:v>
                </c:pt>
                <c:pt idx="2">
                  <c:v>9.0190336749633962E-2</c:v>
                </c:pt>
                <c:pt idx="3">
                  <c:v>8.4002378828426996E-2</c:v>
                </c:pt>
                <c:pt idx="4">
                  <c:v>0.11070336391437309</c:v>
                </c:pt>
                <c:pt idx="5">
                  <c:v>0.15251626155426223</c:v>
                </c:pt>
                <c:pt idx="6">
                  <c:v>0.12956255224296462</c:v>
                </c:pt>
                <c:pt idx="7">
                  <c:v>0.12651197235250555</c:v>
                </c:pt>
                <c:pt idx="8">
                  <c:v>0.20780748663101603</c:v>
                </c:pt>
                <c:pt idx="9">
                  <c:v>0.16605437178545188</c:v>
                </c:pt>
                <c:pt idx="10">
                  <c:v>0.17796434494195687</c:v>
                </c:pt>
                <c:pt idx="11">
                  <c:v>0.17029307282415632</c:v>
                </c:pt>
                <c:pt idx="12">
                  <c:v>0.15876007958948582</c:v>
                </c:pt>
                <c:pt idx="13">
                  <c:v>0.16215151216628904</c:v>
                </c:pt>
                <c:pt idx="14">
                  <c:v>0.14968187210180092</c:v>
                </c:pt>
                <c:pt idx="15">
                  <c:v>0.11377316180809631</c:v>
                </c:pt>
                <c:pt idx="16">
                  <c:v>0.17888507063764797</c:v>
                </c:pt>
                <c:pt idx="17">
                  <c:v>0.12391304347826088</c:v>
                </c:pt>
              </c:numCache>
            </c:numRef>
          </c:val>
          <c:smooth val="0"/>
          <c:extLst>
            <c:ext xmlns:c16="http://schemas.microsoft.com/office/drawing/2014/chart" uri="{C3380CC4-5D6E-409C-BE32-E72D297353CC}">
              <c16:uniqueId val="{00000001-40C8-4342-9F9F-89D8BE9A927C}"/>
            </c:ext>
          </c:extLst>
        </c:ser>
        <c:dLbls>
          <c:showLegendKey val="0"/>
          <c:showVal val="0"/>
          <c:showCatName val="0"/>
          <c:showSerName val="0"/>
          <c:showPercent val="0"/>
          <c:showBubbleSize val="0"/>
        </c:dLbls>
        <c:marker val="1"/>
        <c:smooth val="0"/>
        <c:axId val="337234784"/>
        <c:axId val="337219904"/>
      </c:lineChart>
      <c:dateAx>
        <c:axId val="1261964496"/>
        <c:scaling>
          <c:orientation val="minMax"/>
        </c:scaling>
        <c:delete val="0"/>
        <c:axPos val="b"/>
        <c:numFmt formatCode="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0656"/>
        <c:crosses val="autoZero"/>
        <c:auto val="1"/>
        <c:lblOffset val="100"/>
        <c:baseTimeUnit val="years"/>
      </c:dateAx>
      <c:valAx>
        <c:axId val="1261960656"/>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4496"/>
        <c:crosses val="autoZero"/>
        <c:crossBetween val="between"/>
      </c:valAx>
      <c:valAx>
        <c:axId val="337219904"/>
        <c:scaling>
          <c:orientation val="minMax"/>
          <c:min val="7.0000000000000019E-3"/>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34784"/>
        <c:crosses val="max"/>
        <c:crossBetween val="between"/>
      </c:valAx>
      <c:catAx>
        <c:axId val="337234784"/>
        <c:scaling>
          <c:orientation val="minMax"/>
        </c:scaling>
        <c:delete val="1"/>
        <c:axPos val="b"/>
        <c:majorTickMark val="out"/>
        <c:minorTickMark val="none"/>
        <c:tickLblPos val="nextTo"/>
        <c:crossAx val="337219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'Historicals (Peers- A) '!$C$72:$C$89</c:f>
              <c:numCache>
                <c:formatCode>yyyy</c:formatCode>
                <c:ptCount val="18"/>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numCache>
            </c:numRef>
          </c:cat>
          <c:val>
            <c:numRef>
              <c:f>'Historicals (Peers- A) '!$G$72:$G$89</c:f>
              <c:numCache>
                <c:formatCode>0.0\x_);\(0.0\x\);\-\ </c:formatCode>
                <c:ptCount val="18"/>
                <c:pt idx="0">
                  <c:v>5.9150139856867696</c:v>
                </c:pt>
                <c:pt idx="1">
                  <c:v>6.4843101014492603</c:v>
                </c:pt>
                <c:pt idx="2">
                  <c:v>6.8774853206424602</c:v>
                </c:pt>
                <c:pt idx="3">
                  <c:v>4.9289060952092898</c:v>
                </c:pt>
                <c:pt idx="4">
                  <c:v>6.1093186533901198</c:v>
                </c:pt>
                <c:pt idx="5">
                  <c:v>7.2385142449467299</c:v>
                </c:pt>
                <c:pt idx="6">
                  <c:v>7.0863523891336504</c:v>
                </c:pt>
                <c:pt idx="7">
                  <c:v>7.4533763994153697</c:v>
                </c:pt>
                <c:pt idx="8">
                  <c:v>7.0030993714546099</c:v>
                </c:pt>
                <c:pt idx="9">
                  <c:v>7.7170195086687201</c:v>
                </c:pt>
                <c:pt idx="10">
                  <c:v>7.0129921563583997</c:v>
                </c:pt>
                <c:pt idx="11">
                  <c:v>9.2638216886287701</c:v>
                </c:pt>
                <c:pt idx="12">
                  <c:v>9.6484871426549201</c:v>
                </c:pt>
                <c:pt idx="13">
                  <c:v>7.7935245040986301</c:v>
                </c:pt>
                <c:pt idx="14">
                  <c:v>8.8249935636539192</c:v>
                </c:pt>
                <c:pt idx="15">
                  <c:v>10.024387493356899</c:v>
                </c:pt>
                <c:pt idx="16">
                  <c:v>8.3329857326987202</c:v>
                </c:pt>
              </c:numCache>
            </c:numRef>
          </c:val>
          <c:smooth val="0"/>
          <c:extLst>
            <c:ext xmlns:c16="http://schemas.microsoft.com/office/drawing/2014/chart" uri="{C3380CC4-5D6E-409C-BE32-E72D297353CC}">
              <c16:uniqueId val="{00000000-4E4D-4552-8347-986D122A454E}"/>
            </c:ext>
          </c:extLst>
        </c:ser>
        <c:dLbls>
          <c:showLegendKey val="0"/>
          <c:showVal val="0"/>
          <c:showCatName val="0"/>
          <c:showSerName val="0"/>
          <c:showPercent val="0"/>
          <c:showBubbleSize val="0"/>
        </c:dLbls>
        <c:marker val="1"/>
        <c:smooth val="0"/>
        <c:axId val="1261964496"/>
        <c:axId val="1261960656"/>
      </c:lineChart>
      <c:lineChart>
        <c:grouping val="standard"/>
        <c:varyColors val="0"/>
        <c:ser>
          <c:idx val="1"/>
          <c:order val="1"/>
          <c:spPr>
            <a:ln w="28575" cap="rnd">
              <a:solidFill>
                <a:schemeClr val="accent2"/>
              </a:solidFill>
              <a:round/>
            </a:ln>
            <a:effectLst/>
          </c:spPr>
          <c:marker>
            <c:symbol val="none"/>
          </c:marker>
          <c:val>
            <c:numRef>
              <c:f>'Historicals (Peers- A) '!$H$72:$H$89</c:f>
              <c:numCache>
                <c:formatCode>0.0%_);\(0.0%\)</c:formatCode>
                <c:ptCount val="18"/>
                <c:pt idx="0">
                  <c:v>9.4495091164095366E-2</c:v>
                </c:pt>
                <c:pt idx="1">
                  <c:v>0.10938040844582901</c:v>
                </c:pt>
                <c:pt idx="2">
                  <c:v>0.11731843575418995</c:v>
                </c:pt>
                <c:pt idx="3">
                  <c:v>8.7791294152132493E-2</c:v>
                </c:pt>
                <c:pt idx="4">
                  <c:v>7.6347894529712718E-2</c:v>
                </c:pt>
                <c:pt idx="5">
                  <c:v>9.496451503886448E-2</c:v>
                </c:pt>
                <c:pt idx="6">
                  <c:v>0.10971462368771255</c:v>
                </c:pt>
                <c:pt idx="7">
                  <c:v>3.0539108756622E-2</c:v>
                </c:pt>
                <c:pt idx="8">
                  <c:v>0.14393241167434717</c:v>
                </c:pt>
                <c:pt idx="9">
                  <c:v>0.11055571890620405</c:v>
                </c:pt>
                <c:pt idx="10">
                  <c:v>0.12019739161085653</c:v>
                </c:pt>
                <c:pt idx="11">
                  <c:v>0.16737799220634625</c:v>
                </c:pt>
                <c:pt idx="12">
                  <c:v>0.15016286644951141</c:v>
                </c:pt>
                <c:pt idx="13">
                  <c:v>0.18588399720475193</c:v>
                </c:pt>
                <c:pt idx="14">
                  <c:v>0.16388756550738448</c:v>
                </c:pt>
                <c:pt idx="15">
                  <c:v>0.12661361626878867</c:v>
                </c:pt>
                <c:pt idx="16">
                  <c:v>0.22701183085392995</c:v>
                </c:pt>
                <c:pt idx="17">
                  <c:v>0.19312499999999999</c:v>
                </c:pt>
              </c:numCache>
            </c:numRef>
          </c:val>
          <c:smooth val="0"/>
          <c:extLst>
            <c:ext xmlns:c16="http://schemas.microsoft.com/office/drawing/2014/chart" uri="{C3380CC4-5D6E-409C-BE32-E72D297353CC}">
              <c16:uniqueId val="{00000001-4E4D-4552-8347-986D122A454E}"/>
            </c:ext>
          </c:extLst>
        </c:ser>
        <c:dLbls>
          <c:showLegendKey val="0"/>
          <c:showVal val="0"/>
          <c:showCatName val="0"/>
          <c:showSerName val="0"/>
          <c:showPercent val="0"/>
          <c:showBubbleSize val="0"/>
        </c:dLbls>
        <c:marker val="1"/>
        <c:smooth val="0"/>
        <c:axId val="337234784"/>
        <c:axId val="337219904"/>
      </c:lineChart>
      <c:dateAx>
        <c:axId val="1261964496"/>
        <c:scaling>
          <c:orientation val="minMax"/>
        </c:scaling>
        <c:delete val="0"/>
        <c:axPos val="b"/>
        <c:numFmt formatCode="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0656"/>
        <c:crosses val="autoZero"/>
        <c:auto val="1"/>
        <c:lblOffset val="100"/>
        <c:baseTimeUnit val="years"/>
      </c:dateAx>
      <c:valAx>
        <c:axId val="1261960656"/>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4496"/>
        <c:crosses val="autoZero"/>
        <c:crossBetween val="between"/>
      </c:valAx>
      <c:valAx>
        <c:axId val="337219904"/>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34784"/>
        <c:crosses val="max"/>
        <c:crossBetween val="between"/>
      </c:valAx>
      <c:catAx>
        <c:axId val="337234784"/>
        <c:scaling>
          <c:orientation val="minMax"/>
        </c:scaling>
        <c:delete val="1"/>
        <c:axPos val="b"/>
        <c:majorTickMark val="out"/>
        <c:minorTickMark val="none"/>
        <c:tickLblPos val="nextTo"/>
        <c:crossAx val="337219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BASF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'Historicals (Peers- A) '!$I$72:$I$89</c:f>
              <c:numCache>
                <c:formatCode>0.0\x_);\(0.0\x\);\-\ </c:formatCode>
                <c:ptCount val="18"/>
                <c:pt idx="0">
                  <c:v>4.1778896675090502</c:v>
                </c:pt>
                <c:pt idx="1">
                  <c:v>5.10444115827526</c:v>
                </c:pt>
                <c:pt idx="2">
                  <c:v>5.0671232671321498</c:v>
                </c:pt>
                <c:pt idx="3">
                  <c:v>4.7220345732420901</c:v>
                </c:pt>
                <c:pt idx="4">
                  <c:v>5.9301668828837597</c:v>
                </c:pt>
                <c:pt idx="5">
                  <c:v>5.6131026037756202</c:v>
                </c:pt>
                <c:pt idx="6">
                  <c:v>6.0872655791151002</c:v>
                </c:pt>
                <c:pt idx="7">
                  <c:v>5.8269092105557601</c:v>
                </c:pt>
                <c:pt idx="8">
                  <c:v>8.1722696134745494</c:v>
                </c:pt>
                <c:pt idx="9">
                  <c:v>8.5283065726027694</c:v>
                </c:pt>
                <c:pt idx="10">
                  <c:v>6.4782044515291197</c:v>
                </c:pt>
                <c:pt idx="11">
                  <c:v>8.4628597091161097</c:v>
                </c:pt>
                <c:pt idx="12">
                  <c:v>7.2281137736824004</c:v>
                </c:pt>
                <c:pt idx="13">
                  <c:v>7.9925036961179803</c:v>
                </c:pt>
                <c:pt idx="14">
                  <c:v>8.4287509151522393</c:v>
                </c:pt>
                <c:pt idx="15">
                  <c:v>8.8725018858468694</c:v>
                </c:pt>
                <c:pt idx="16">
                  <c:v>7.2495152440428203</c:v>
                </c:pt>
                <c:pt idx="17">
                  <c:v>7.0614903688472204</c:v>
                </c:pt>
              </c:numCache>
            </c:numRef>
          </c:val>
          <c:smooth val="0"/>
          <c:extLst>
            <c:ext xmlns:c16="http://schemas.microsoft.com/office/drawing/2014/chart" uri="{C3380CC4-5D6E-409C-BE32-E72D297353CC}">
              <c16:uniqueId val="{00000000-7FCE-4100-ABC1-617A20A07EE6}"/>
            </c:ext>
          </c:extLst>
        </c:ser>
        <c:dLbls>
          <c:showLegendKey val="0"/>
          <c:showVal val="0"/>
          <c:showCatName val="0"/>
          <c:showSerName val="0"/>
          <c:showPercent val="0"/>
          <c:showBubbleSize val="0"/>
        </c:dLbls>
        <c:marker val="1"/>
        <c:smooth val="0"/>
        <c:axId val="1261964496"/>
        <c:axId val="1261960656"/>
      </c:lineChart>
      <c:lineChart>
        <c:grouping val="standard"/>
        <c:varyColors val="0"/>
        <c:ser>
          <c:idx val="1"/>
          <c:order val="1"/>
          <c:spPr>
            <a:ln w="28575" cap="rnd">
              <a:solidFill>
                <a:schemeClr val="accent2"/>
              </a:solidFill>
              <a:round/>
            </a:ln>
            <a:effectLst/>
          </c:spPr>
          <c:marker>
            <c:symbol val="none"/>
          </c:marker>
          <c:val>
            <c:numRef>
              <c:f>'Historicals (Peers- A) '!$J$72:$J$89</c:f>
              <c:numCache>
                <c:formatCode>0.0%_);\(0.0%\)</c:formatCode>
                <c:ptCount val="18"/>
                <c:pt idx="0">
                  <c:v>0.15017391261808202</c:v>
                </c:pt>
                <c:pt idx="1">
                  <c:v>0.13168952922322133</c:v>
                </c:pt>
                <c:pt idx="2">
                  <c:v>0.1277078962731725</c:v>
                </c:pt>
                <c:pt idx="3">
                  <c:v>0.12699387383708968</c:v>
                </c:pt>
                <c:pt idx="4">
                  <c:v>7.0892426435118186E-2</c:v>
                </c:pt>
                <c:pt idx="5">
                  <c:v>0.10753344440228955</c:v>
                </c:pt>
                <c:pt idx="6">
                  <c:v>0.10975185448067583</c:v>
                </c:pt>
                <c:pt idx="7">
                  <c:v>8.4828846792954465E-2</c:v>
                </c:pt>
                <c:pt idx="8">
                  <c:v>0.10399024456337647</c:v>
                </c:pt>
                <c:pt idx="9">
                  <c:v>9.6280969527597141E-2</c:v>
                </c:pt>
                <c:pt idx="10">
                  <c:v>0.10096665673040071</c:v>
                </c:pt>
                <c:pt idx="11">
                  <c:v>0.11353032659409021</c:v>
                </c:pt>
                <c:pt idx="12">
                  <c:v>0.11496104408428942</c:v>
                </c:pt>
                <c:pt idx="13">
                  <c:v>0.11164955070603337</c:v>
                </c:pt>
                <c:pt idx="14">
                  <c:v>7.1241841380862522E-2</c:v>
                </c:pt>
                <c:pt idx="15">
                  <c:v>5.6467564963059394E-2</c:v>
                </c:pt>
                <c:pt idx="16">
                  <c:v>9.3714453945695664E-2</c:v>
                </c:pt>
                <c:pt idx="17">
                  <c:v>8.6948057896665445E-2</c:v>
                </c:pt>
              </c:numCache>
            </c:numRef>
          </c:val>
          <c:smooth val="0"/>
          <c:extLst>
            <c:ext xmlns:c16="http://schemas.microsoft.com/office/drawing/2014/chart" uri="{C3380CC4-5D6E-409C-BE32-E72D297353CC}">
              <c16:uniqueId val="{00000001-7FCE-4100-ABC1-617A20A07EE6}"/>
            </c:ext>
          </c:extLst>
        </c:ser>
        <c:dLbls>
          <c:showLegendKey val="0"/>
          <c:showVal val="0"/>
          <c:showCatName val="0"/>
          <c:showSerName val="0"/>
          <c:showPercent val="0"/>
          <c:showBubbleSize val="0"/>
        </c:dLbls>
        <c:marker val="1"/>
        <c:smooth val="0"/>
        <c:axId val="337234784"/>
        <c:axId val="337219904"/>
      </c:lineChart>
      <c:catAx>
        <c:axId val="1261964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0656"/>
        <c:crosses val="autoZero"/>
        <c:auto val="1"/>
        <c:lblAlgn val="ctr"/>
        <c:lblOffset val="100"/>
        <c:noMultiLvlLbl val="0"/>
      </c:catAx>
      <c:valAx>
        <c:axId val="1261960656"/>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964496"/>
        <c:crosses val="autoZero"/>
        <c:crossBetween val="between"/>
      </c:valAx>
      <c:valAx>
        <c:axId val="337219904"/>
        <c:scaling>
          <c:orientation val="minMax"/>
          <c:min val="5.000000000000001E-2"/>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34784"/>
        <c:crosses val="max"/>
        <c:crossBetween val="between"/>
      </c:valAx>
      <c:catAx>
        <c:axId val="337234784"/>
        <c:scaling>
          <c:orientation val="minMax"/>
        </c:scaling>
        <c:delete val="1"/>
        <c:axPos val="b"/>
        <c:majorTickMark val="out"/>
        <c:minorTickMark val="none"/>
        <c:tickLblPos val="nextTo"/>
        <c:crossAx val="337219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Margins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Gross Margin</c:v>
          </c:tx>
          <c:spPr>
            <a:ln w="28575" cap="rnd">
              <a:solidFill>
                <a:schemeClr val="accent1"/>
              </a:solidFill>
              <a:round/>
            </a:ln>
            <a:effectLst/>
          </c:spPr>
          <c:marker>
            <c:symbol val="none"/>
          </c:marker>
          <c:cat>
            <c:numRef>
              <c:f>'Historical Consolidated'!$E$3:$AB$3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'Historical Consolidated'!$E$20:$AB$20</c:f>
              <c:numCache>
                <c:formatCode>0.0%_);\(0.0%\)</c:formatCode>
                <c:ptCount val="24"/>
                <c:pt idx="0">
                  <c:v>0.29841269841269841</c:v>
                </c:pt>
                <c:pt idx="1">
                  <c:v>0.24654956085319951</c:v>
                </c:pt>
                <c:pt idx="2">
                  <c:v>0.23428815733219324</c:v>
                </c:pt>
                <c:pt idx="3">
                  <c:v>0.2086587815219817</c:v>
                </c:pt>
                <c:pt idx="4">
                  <c:v>0.19041394335511982</c:v>
                </c:pt>
                <c:pt idx="5">
                  <c:v>0.20370370370370369</c:v>
                </c:pt>
                <c:pt idx="6">
                  <c:v>0.16567717996289424</c:v>
                </c:pt>
                <c:pt idx="7">
                  <c:v>0.14642857142857144</c:v>
                </c:pt>
                <c:pt idx="8">
                  <c:v>0.1396551724137931</c:v>
                </c:pt>
                <c:pt idx="9">
                  <c:v>0.14863221884498481</c:v>
                </c:pt>
                <c:pt idx="10">
                  <c:v>0.19889502762430938</c:v>
                </c:pt>
                <c:pt idx="11">
                  <c:v>0.18660569405517038</c:v>
                </c:pt>
                <c:pt idx="12">
                  <c:v>0.17452415812591507</c:v>
                </c:pt>
                <c:pt idx="13">
                  <c:v>0.16741005055010408</c:v>
                </c:pt>
                <c:pt idx="14">
                  <c:v>0.23475887170154686</c:v>
                </c:pt>
                <c:pt idx="15">
                  <c:v>0.25231085244779183</c:v>
                </c:pt>
                <c:pt idx="16">
                  <c:v>0.21858456394538869</c:v>
                </c:pt>
                <c:pt idx="17">
                  <c:v>0.21747716613181931</c:v>
                </c:pt>
                <c:pt idx="18">
                  <c:v>0.29689839572192511</c:v>
                </c:pt>
                <c:pt idx="19">
                  <c:v>0.25831846331478953</c:v>
                </c:pt>
                <c:pt idx="20">
                  <c:v>0.27611940298507465</c:v>
                </c:pt>
                <c:pt idx="21">
                  <c:v>0.26953818827708703</c:v>
                </c:pt>
                <c:pt idx="22">
                  <c:v>0.24746046706461411</c:v>
                </c:pt>
                <c:pt idx="23">
                  <c:v>0.24421239286769778</c:v>
                </c:pt>
              </c:numCache>
            </c:numRef>
          </c:val>
          <c:smooth val="1"/>
          <c:extLst>
            <c:ext xmlns:c16="http://schemas.microsoft.com/office/drawing/2014/chart" uri="{C3380CC4-5D6E-409C-BE32-E72D297353CC}">
              <c16:uniqueId val="{00000000-4CAB-42AD-A8EE-608EE06FB2BA}"/>
            </c:ext>
          </c:extLst>
        </c:ser>
        <c:ser>
          <c:idx val="1"/>
          <c:order val="1"/>
          <c:tx>
            <c:v>EBITDA Margin</c:v>
          </c:tx>
          <c:spPr>
            <a:ln w="28575" cap="rnd">
              <a:solidFill>
                <a:schemeClr val="accent2"/>
              </a:solidFill>
              <a:round/>
            </a:ln>
            <a:effectLst/>
          </c:spPr>
          <c:marker>
            <c:symbol val="none"/>
          </c:marker>
          <c:cat>
            <c:numRef>
              <c:f>'Historical Consolidated'!$E$3:$AB$3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'Historical Consolidated'!$E$23:$AB$23</c:f>
              <c:numCache>
                <c:formatCode>0.0%_);\(0.0%\)</c:formatCode>
                <c:ptCount val="24"/>
                <c:pt idx="0">
                  <c:v>0.25238095238095237</c:v>
                </c:pt>
                <c:pt idx="1">
                  <c:v>0.2043078209953994</c:v>
                </c:pt>
                <c:pt idx="2">
                  <c:v>0.19132107738349721</c:v>
                </c:pt>
                <c:pt idx="3">
                  <c:v>0.17518411068957823</c:v>
                </c:pt>
                <c:pt idx="4">
                  <c:v>0.15577342047930284</c:v>
                </c:pt>
                <c:pt idx="5">
                  <c:v>0.18915343915343916</c:v>
                </c:pt>
                <c:pt idx="6">
                  <c:v>0.14118738404452691</c:v>
                </c:pt>
                <c:pt idx="7">
                  <c:v>0.11466165413533834</c:v>
                </c:pt>
                <c:pt idx="8">
                  <c:v>0.10172413793103448</c:v>
                </c:pt>
                <c:pt idx="9">
                  <c:v>0.10683890577507599</c:v>
                </c:pt>
                <c:pt idx="10">
                  <c:v>0.15497945884686215</c:v>
                </c:pt>
                <c:pt idx="11">
                  <c:v>0.15680778875940404</c:v>
                </c:pt>
                <c:pt idx="12">
                  <c:v>0.13806734992679356</c:v>
                </c:pt>
                <c:pt idx="13">
                  <c:v>0.12369907820398454</c:v>
                </c:pt>
                <c:pt idx="14">
                  <c:v>0.23089171974522293</c:v>
                </c:pt>
                <c:pt idx="15">
                  <c:v>0.20044505306401916</c:v>
                </c:pt>
                <c:pt idx="16">
                  <c:v>0.18751741432153804</c:v>
                </c:pt>
                <c:pt idx="17">
                  <c:v>0.2111824240928166</c:v>
                </c:pt>
                <c:pt idx="18">
                  <c:v>0.21647058823529411</c:v>
                </c:pt>
                <c:pt idx="19">
                  <c:v>0.21150414611105281</c:v>
                </c:pt>
                <c:pt idx="20">
                  <c:v>0.23652570480928689</c:v>
                </c:pt>
                <c:pt idx="21">
                  <c:v>0.23956483126110123</c:v>
                </c:pt>
                <c:pt idx="22">
                  <c:v>0.23395119907843753</c:v>
                </c:pt>
                <c:pt idx="23">
                  <c:v>0.22037237710570387</c:v>
                </c:pt>
              </c:numCache>
            </c:numRef>
          </c:val>
          <c:smooth val="1"/>
          <c:extLst>
            <c:ext xmlns:c16="http://schemas.microsoft.com/office/drawing/2014/chart" uri="{C3380CC4-5D6E-409C-BE32-E72D297353CC}">
              <c16:uniqueId val="{00000001-4CAB-42AD-A8EE-608EE06FB2BA}"/>
            </c:ext>
          </c:extLst>
        </c:ser>
        <c:dLbls>
          <c:showLegendKey val="0"/>
          <c:showVal val="0"/>
          <c:showCatName val="0"/>
          <c:showSerName val="0"/>
          <c:showPercent val="0"/>
          <c:showBubbleSize val="0"/>
        </c:dLbls>
        <c:smooth val="0"/>
        <c:axId val="1798177647"/>
        <c:axId val="1801071247"/>
      </c:lineChart>
      <c:dateAx>
        <c:axId val="179817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1071247"/>
        <c:crosses val="autoZero"/>
        <c:auto val="0"/>
        <c:lblOffset val="100"/>
        <c:baseTimeUnit val="days"/>
        <c:majorUnit val="2"/>
        <c:majorTimeUnit val="days"/>
      </c:dateAx>
      <c:valAx>
        <c:axId val="1801071247"/>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8177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'Historical Consolidated'!$L$23:$AB$23</c:f>
              <c:numCache>
                <c:formatCode>0.0%_);\(0.0%\)</c:formatCode>
                <c:ptCount val="17"/>
                <c:pt idx="0">
                  <c:v>0.11466165413533834</c:v>
                </c:pt>
                <c:pt idx="1">
                  <c:v>0.10172413793103448</c:v>
                </c:pt>
                <c:pt idx="2">
                  <c:v>0.10683890577507599</c:v>
                </c:pt>
                <c:pt idx="3">
                  <c:v>0.15497945884686215</c:v>
                </c:pt>
                <c:pt idx="4">
                  <c:v>0.15680778875940404</c:v>
                </c:pt>
                <c:pt idx="5">
                  <c:v>0.13806734992679356</c:v>
                </c:pt>
                <c:pt idx="6">
                  <c:v>0.12369907820398454</c:v>
                </c:pt>
                <c:pt idx="7">
                  <c:v>0.23089171974522293</c:v>
                </c:pt>
                <c:pt idx="8">
                  <c:v>0.20044505306401916</c:v>
                </c:pt>
                <c:pt idx="9">
                  <c:v>0.18751741432153804</c:v>
                </c:pt>
                <c:pt idx="10">
                  <c:v>0.2111824240928166</c:v>
                </c:pt>
                <c:pt idx="11">
                  <c:v>0.21647058823529411</c:v>
                </c:pt>
                <c:pt idx="12">
                  <c:v>0.21150414611105281</c:v>
                </c:pt>
                <c:pt idx="13">
                  <c:v>0.23652570480928689</c:v>
                </c:pt>
                <c:pt idx="14">
                  <c:v>0.23956483126110123</c:v>
                </c:pt>
                <c:pt idx="15">
                  <c:v>0.23395119907843753</c:v>
                </c:pt>
                <c:pt idx="16">
                  <c:v>0.22037237710570387</c:v>
                </c:pt>
              </c:numCache>
            </c:numRef>
          </c:val>
          <c:smooth val="0"/>
          <c:extLst>
            <c:ext xmlns:c16="http://schemas.microsoft.com/office/drawing/2014/chart" uri="{C3380CC4-5D6E-409C-BE32-E72D297353CC}">
              <c16:uniqueId val="{00000000-0819-4CCB-B24C-17E2EFA85497}"/>
            </c:ext>
          </c:extLst>
        </c:ser>
        <c:dLbls>
          <c:showLegendKey val="0"/>
          <c:showVal val="0"/>
          <c:showCatName val="0"/>
          <c:showSerName val="0"/>
          <c:showPercent val="0"/>
          <c:showBubbleSize val="0"/>
        </c:dLbls>
        <c:smooth val="0"/>
        <c:axId val="1734923183"/>
        <c:axId val="1018247071"/>
      </c:lineChart>
      <c:catAx>
        <c:axId val="173492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247071"/>
        <c:crosses val="autoZero"/>
        <c:auto val="1"/>
        <c:lblAlgn val="ctr"/>
        <c:lblOffset val="100"/>
        <c:noMultiLvlLbl val="0"/>
      </c:catAx>
      <c:valAx>
        <c:axId val="1018247071"/>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49231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'Historical Consolidated'!$D$41</c:f>
              <c:strCache>
                <c:ptCount val="1"/>
                <c:pt idx="0">
                  <c:v>Free Cash Flow</c:v>
                </c:pt>
              </c:strCache>
            </c:strRef>
          </c:tx>
          <c:spPr>
            <a:solidFill>
              <a:schemeClr val="accent1">
                <a:lumMod val="75000"/>
              </a:schemeClr>
            </a:solidFill>
            <a:ln>
              <a:solidFill>
                <a:schemeClr val="accent1">
                  <a:lumMod val="50000"/>
                </a:schemeClr>
              </a:solidFill>
            </a:ln>
            <a:effectLst/>
          </c:spPr>
          <c:invertIfNegative val="0"/>
          <c:cat>
            <c:numRef>
              <c:f>'Historical Consolidated'!$E$39:$AF$39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'Historical Consolidated'!$E$41:$AF$41</c:f>
              <c:numCache>
                <c:formatCode>#,##0.0_);\(#,##0.0\);\-\ </c:formatCode>
                <c:ptCount val="28"/>
                <c:pt idx="0">
                  <c:v>392</c:v>
                </c:pt>
                <c:pt idx="1">
                  <c:v>-43</c:v>
                </c:pt>
                <c:pt idx="2">
                  <c:v>-51</c:v>
                </c:pt>
                <c:pt idx="3">
                  <c:v>231</c:v>
                </c:pt>
                <c:pt idx="4">
                  <c:v>452</c:v>
                </c:pt>
                <c:pt idx="5">
                  <c:v>605</c:v>
                </c:pt>
                <c:pt idx="6">
                  <c:v>163</c:v>
                </c:pt>
                <c:pt idx="7">
                  <c:v>374</c:v>
                </c:pt>
                <c:pt idx="8">
                  <c:v>14</c:v>
                </c:pt>
                <c:pt idx="9">
                  <c:v>246</c:v>
                </c:pt>
                <c:pt idx="10">
                  <c:v>426</c:v>
                </c:pt>
                <c:pt idx="11">
                  <c:v>220</c:v>
                </c:pt>
                <c:pt idx="12">
                  <c:v>214</c:v>
                </c:pt>
                <c:pt idx="13">
                  <c:v>3</c:v>
                </c:pt>
                <c:pt idx="14">
                  <c:v>448</c:v>
                </c:pt>
                <c:pt idx="15">
                  <c:v>332</c:v>
                </c:pt>
                <c:pt idx="16">
                  <c:v>168</c:v>
                </c:pt>
                <c:pt idx="17">
                  <c:v>663</c:v>
                </c:pt>
                <c:pt idx="18">
                  <c:v>814</c:v>
                </c:pt>
                <c:pt idx="19">
                  <c:v>840</c:v>
                </c:pt>
                <c:pt idx="20">
                  <c:v>972</c:v>
                </c:pt>
                <c:pt idx="21">
                  <c:v>759</c:v>
                </c:pt>
                <c:pt idx="22">
                  <c:v>1008</c:v>
                </c:pt>
                <c:pt idx="23">
                  <c:v>1015</c:v>
                </c:pt>
                <c:pt idx="24">
                  <c:v>1079</c:v>
                </c:pt>
                <c:pt idx="25">
                  <c:v>1059</c:v>
                </c:pt>
                <c:pt idx="26">
                  <c:v>1041</c:v>
                </c:pt>
                <c:pt idx="27">
                  <c:v>351</c:v>
                </c:pt>
              </c:numCache>
            </c:numRef>
          </c:val>
          <c:extLst>
            <c:ext xmlns:c16="http://schemas.microsoft.com/office/drawing/2014/chart" uri="{C3380CC4-5D6E-409C-BE32-E72D297353CC}">
              <c16:uniqueId val="{00000001-6E98-4AEA-995D-F92190AF0145}"/>
            </c:ext>
          </c:extLst>
        </c:ser>
        <c:dLbls>
          <c:showLegendKey val="0"/>
          <c:showVal val="0"/>
          <c:showCatName val="0"/>
          <c:showSerName val="0"/>
          <c:showPercent val="0"/>
          <c:showBubbleSize val="0"/>
        </c:dLbls>
        <c:gapWidth val="219"/>
        <c:axId val="1117208831"/>
        <c:axId val="1635534847"/>
      </c:barChart>
      <c:lineChart>
        <c:grouping val="standard"/>
        <c:varyColors val="0"/>
        <c:ser>
          <c:idx val="0"/>
          <c:order val="0"/>
          <c:tx>
            <c:strRef>
              <c:f>'Historical Consolidated'!$D$40</c:f>
              <c:strCache>
                <c:ptCount val="1"/>
                <c:pt idx="0">
                  <c:v>Adj. EBITDA margins</c:v>
                </c:pt>
              </c:strCache>
            </c:strRef>
          </c:tx>
          <c:spPr>
            <a:ln w="28575" cap="rnd">
              <a:solidFill>
                <a:schemeClr val="accent1">
                  <a:lumMod val="40000"/>
                  <a:lumOff val="60000"/>
                </a:schemeClr>
              </a:solidFill>
              <a:round/>
            </a:ln>
            <a:effectLst/>
          </c:spPr>
          <c:marker>
            <c:symbol val="none"/>
          </c:marker>
          <c:cat>
            <c:numRef>
              <c:f>'Historical Consolidated'!$E$39:$AF$39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'Historical Consolidated'!$E$40:$AF$40</c:f>
              <c:numCache>
                <c:formatCode>0.0%_);\(0.0%\)</c:formatCode>
                <c:ptCount val="28"/>
                <c:pt idx="0">
                  <c:v>0.25238095238095237</c:v>
                </c:pt>
                <c:pt idx="1">
                  <c:v>0.2043078209953994</c:v>
                </c:pt>
                <c:pt idx="2">
                  <c:v>0.19132107738349721</c:v>
                </c:pt>
                <c:pt idx="3">
                  <c:v>0.17518411068957823</c:v>
                </c:pt>
                <c:pt idx="4">
                  <c:v>0.15577342047930284</c:v>
                </c:pt>
                <c:pt idx="5">
                  <c:v>0.18915343915343916</c:v>
                </c:pt>
                <c:pt idx="6">
                  <c:v>0.14118738404452691</c:v>
                </c:pt>
                <c:pt idx="7">
                  <c:v>0.11466165413533834</c:v>
                </c:pt>
                <c:pt idx="8">
                  <c:v>0.10172413793103448</c:v>
                </c:pt>
                <c:pt idx="9">
                  <c:v>0.10683890577507599</c:v>
                </c:pt>
                <c:pt idx="10">
                  <c:v>0.15497945884686215</c:v>
                </c:pt>
                <c:pt idx="11">
                  <c:v>0.15680778875940404</c:v>
                </c:pt>
                <c:pt idx="12">
                  <c:v>0.13806734992679356</c:v>
                </c:pt>
                <c:pt idx="13">
                  <c:v>0.12369907820398454</c:v>
                </c:pt>
                <c:pt idx="14">
                  <c:v>0.23089171974522293</c:v>
                </c:pt>
                <c:pt idx="15">
                  <c:v>0.20044505306401916</c:v>
                </c:pt>
                <c:pt idx="16">
                  <c:v>0.18751741432153804</c:v>
                </c:pt>
                <c:pt idx="17">
                  <c:v>0.2111824240928166</c:v>
                </c:pt>
                <c:pt idx="18">
                  <c:v>0.21647058823529411</c:v>
                </c:pt>
                <c:pt idx="19">
                  <c:v>0.21150414611105281</c:v>
                </c:pt>
                <c:pt idx="20">
                  <c:v>0.23652570480928689</c:v>
                </c:pt>
                <c:pt idx="21">
                  <c:v>0.23956483126110123</c:v>
                </c:pt>
                <c:pt idx="22">
                  <c:v>0.23395119907843753</c:v>
                </c:pt>
                <c:pt idx="23">
                  <c:v>0.22037237710570387</c:v>
                </c:pt>
                <c:pt idx="24">
                  <c:v>0.21567993098242208</c:v>
                </c:pt>
                <c:pt idx="25">
                  <c:v>0.21125929422872655</c:v>
                </c:pt>
                <c:pt idx="26">
                  <c:v>0.20742649866361207</c:v>
                </c:pt>
                <c:pt idx="27">
                  <c:v>0.1716446124763705</c:v>
                </c:pt>
              </c:numCache>
            </c:numRef>
          </c:val>
          <c:smooth val="0"/>
          <c:extLst>
            <c:ext xmlns:c16="http://schemas.microsoft.com/office/drawing/2014/chart" uri="{C3380CC4-5D6E-409C-BE32-E72D297353CC}">
              <c16:uniqueId val="{00000000-6E98-4AEA-995D-F92190AF0145}"/>
            </c:ext>
          </c:extLst>
        </c:ser>
        <c:ser>
          <c:idx val="2"/>
          <c:order val="2"/>
          <c:tx>
            <c:strRef>
              <c:f>'Historical Consolidated'!$D$42</c:f>
              <c:strCache>
                <c:ptCount val="1"/>
              </c:strCache>
            </c:strRef>
          </c:tx>
          <c:spPr>
            <a:ln w="28575" cap="rnd">
              <a:solidFill>
                <a:schemeClr val="accent3"/>
              </a:solidFill>
              <a:round/>
            </a:ln>
            <a:effectLst/>
          </c:spPr>
          <c:marker>
            <c:symbol val="none"/>
          </c:marker>
          <c:cat>
            <c:numRef>
              <c:f>'Historical Consolidated'!$E$39:$AF$39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'Historical Consolidated'!$E$42:$AF$42</c:f>
              <c:numCache>
                <c:formatCode>0.0%_);\(0.0%\)</c:formatCode>
                <c:ptCount val="28"/>
                <c:pt idx="0">
                  <c:v>7.8337769447339375E-2</c:v>
                </c:pt>
                <c:pt idx="1">
                  <c:v>-9.9956402736434379E-3</c:v>
                </c:pt>
                <c:pt idx="2">
                  <c:v>-1.0941709469727667E-2</c:v>
                </c:pt>
                <c:pt idx="3">
                  <c:v>6.5255179543434336E-2</c:v>
                </c:pt>
                <c:pt idx="4">
                  <c:v>0.12137758076060079</c:v>
                </c:pt>
                <c:pt idx="5">
                  <c:v>0.16171190884660758</c:v>
                </c:pt>
                <c:pt idx="6">
                  <c:v>5.4266035580638181E-2</c:v>
                </c:pt>
                <c:pt idx="7">
                  <c:v>0.13175054053503868</c:v>
                </c:pt>
                <c:pt idx="8">
                  <c:v>4.5849694646764869E-3</c:v>
                </c:pt>
                <c:pt idx="9">
                  <c:v>5.3793732906434556E-2</c:v>
                </c:pt>
                <c:pt idx="10">
                  <c:v>0.10127917668531101</c:v>
                </c:pt>
                <c:pt idx="11">
                  <c:v>4.4406633030725222E-2</c:v>
                </c:pt>
                <c:pt idx="12">
                  <c:v>4.396903885036306E-2</c:v>
                </c:pt>
                <c:pt idx="13">
                  <c:v>1.3055685951636718E-3</c:v>
                </c:pt>
                <c:pt idx="14">
                  <c:v>0.1027406393962053</c:v>
                </c:pt>
                <c:pt idx="15">
                  <c:v>5.5872651674364435E-2</c:v>
                </c:pt>
                <c:pt idx="16">
                  <c:v>3.141408629080613E-2</c:v>
                </c:pt>
                <c:pt idx="17">
                  <c:v>6.3308391759334337E-2</c:v>
                </c:pt>
                <c:pt idx="18">
                  <c:v>6.6178853486669034E-2</c:v>
                </c:pt>
                <c:pt idx="19">
                  <c:v>7.4517350614416972E-2</c:v>
                </c:pt>
                <c:pt idx="20">
                  <c:v>9.7439584333030543E-2</c:v>
                </c:pt>
                <c:pt idx="21">
                  <c:v>6.8914724568979749E-2</c:v>
                </c:pt>
                <c:pt idx="22">
                  <c:v>7.6134499114290516E-2</c:v>
                </c:pt>
                <c:pt idx="23">
                  <c:v>9.9359722998468153E-2</c:v>
                </c:pt>
              </c:numCache>
            </c:numRef>
          </c:val>
          <c:smooth val="0"/>
          <c:extLst>
            <c:ext xmlns:c16="http://schemas.microsoft.com/office/drawing/2014/chart" uri="{C3380CC4-5D6E-409C-BE32-E72D297353CC}">
              <c16:uniqueId val="{00000002-6E98-4AEA-995D-F92190AF0145}"/>
            </c:ext>
          </c:extLst>
        </c:ser>
        <c:dLbls>
          <c:showLegendKey val="0"/>
          <c:showVal val="0"/>
          <c:showCatName val="0"/>
          <c:showSerName val="0"/>
          <c:showPercent val="0"/>
          <c:showBubbleSize val="0"/>
        </c:dLbls>
        <c:marker val="1"/>
        <c:smooth val="0"/>
        <c:axId val="1048800991"/>
        <c:axId val="850976239"/>
      </c:lineChart>
      <c:dateAx>
        <c:axId val="111720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35534847"/>
        <c:crosses val="autoZero"/>
        <c:auto val="0"/>
        <c:lblOffset val="100"/>
        <c:baseTimeUnit val="days"/>
        <c:majorUnit val="3"/>
        <c:majorTimeUnit val="days"/>
      </c:dateAx>
      <c:valAx>
        <c:axId val="1635534847"/>
        <c:scaling>
          <c:orientation val="minMax"/>
        </c:scaling>
        <c:delete val="0"/>
        <c:axPos val="l"/>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17208831"/>
        <c:crosses val="autoZero"/>
        <c:crossBetween val="between"/>
      </c:valAx>
      <c:valAx>
        <c:axId val="850976239"/>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48800991"/>
        <c:crosses val="max"/>
        <c:crossBetween val="between"/>
        <c:majorUnit val="4.0000000000000008E-2"/>
      </c:valAx>
      <c:catAx>
        <c:axId val="1048800991"/>
        <c:scaling>
          <c:orientation val="minMax"/>
        </c:scaling>
        <c:delete val="1"/>
        <c:axPos val="b"/>
        <c:numFmt formatCode="General" sourceLinked="1"/>
        <c:majorTickMark val="out"/>
        <c:minorTickMark val="none"/>
        <c:tickLblPos val="nextTo"/>
        <c:crossAx val="850976239"/>
        <c:crossesAt val="0"/>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 Capital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'New Peers'!$EU$37</c:f>
              <c:strCache>
                <c:ptCount val="1"/>
              </c:strCache>
            </c:strRef>
          </c:tx>
          <c:spPr>
            <a:ln w="28575" cap="rnd">
              <a:solidFill>
                <a:schemeClr val="accent1"/>
              </a:solidFill>
              <a:round/>
            </a:ln>
            <a:effectLst/>
          </c:spPr>
          <c:marker>
            <c:symbol val="none"/>
          </c:marker>
          <c:cat>
            <c:numRef>
              <c:f>'New Peers'!$ET$38:$ET$60</c:f>
              <c:numCache>
                <c:formatCode>General</c:formatCode>
                <c:ptCount val="23"/>
              </c:numCache>
            </c:numRef>
          </c:cat>
          <c:val>
            <c:numRef>
              <c:f>'New Peers'!$EU$38:$EU$60</c:f>
              <c:numCache>
                <c:formatCode>General</c:formatCode>
                <c:ptCount val="23"/>
              </c:numCache>
            </c:numRef>
          </c:val>
          <c:smooth val="0"/>
          <c:extLst>
            <c:ext xmlns:c16="http://schemas.microsoft.com/office/drawing/2014/chart" uri="{C3380CC4-5D6E-409C-BE32-E72D297353CC}">
              <c16:uniqueId val="{00000000-EE16-4D9F-8C38-390E63C9003B}"/>
            </c:ext>
          </c:extLst>
        </c:ser>
        <c:ser>
          <c:idx val="1"/>
          <c:order val="1"/>
          <c:tx>
            <c:strRef>
              <c:f>'New Peers'!$EV$37</c:f>
              <c:strCache>
                <c:ptCount val="1"/>
              </c:strCache>
            </c:strRef>
          </c:tx>
          <c:spPr>
            <a:ln w="28575" cap="rnd">
              <a:solidFill>
                <a:schemeClr val="accent2"/>
              </a:solidFill>
              <a:round/>
            </a:ln>
            <a:effectLst/>
          </c:spPr>
          <c:marker>
            <c:symbol val="none"/>
          </c:marker>
          <c:cat>
            <c:numRef>
              <c:f>'New Peers'!$ET$38:$ET$60</c:f>
              <c:numCache>
                <c:formatCode>General</c:formatCode>
                <c:ptCount val="23"/>
              </c:numCache>
            </c:numRef>
          </c:cat>
          <c:val>
            <c:numRef>
              <c:f>'New Peers'!$EV$38:$EV$60</c:f>
              <c:numCache>
                <c:formatCode>General</c:formatCode>
                <c:ptCount val="23"/>
              </c:numCache>
            </c:numRef>
          </c:val>
          <c:smooth val="0"/>
          <c:extLst>
            <c:ext xmlns:c16="http://schemas.microsoft.com/office/drawing/2014/chart" uri="{C3380CC4-5D6E-409C-BE32-E72D297353CC}">
              <c16:uniqueId val="{00000001-EE16-4D9F-8C38-390E63C9003B}"/>
            </c:ext>
          </c:extLst>
        </c:ser>
        <c:dLbls>
          <c:showLegendKey val="0"/>
          <c:showVal val="0"/>
          <c:showCatName val="0"/>
          <c:showSerName val="0"/>
          <c:showPercent val="0"/>
          <c:showBubbleSize val="0"/>
        </c:dLbls>
        <c:smooth val="0"/>
        <c:axId val="1013596095"/>
        <c:axId val="160469663"/>
      </c:lineChart>
      <c:catAx>
        <c:axId val="1013596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69663"/>
        <c:crosses val="autoZero"/>
        <c:auto val="1"/>
        <c:lblAlgn val="ctr"/>
        <c:lblOffset val="100"/>
        <c:noMultiLvlLbl val="0"/>
      </c:catAx>
      <c:valAx>
        <c:axId val="160469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596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'New Peers'!$AI$111:$AI$198</c:f>
              <c:numCache>
                <c:formatCode>0.0%_);\(0.0%\)</c:formatCode>
                <c:ptCount val="88"/>
                <c:pt idx="0">
                  <c:v>0.57970881530775586</c:v>
                </c:pt>
                <c:pt idx="1">
                  <c:v>0.57034332329513715</c:v>
                </c:pt>
                <c:pt idx="2">
                  <c:v>0.5887212405839457</c:v>
                </c:pt>
                <c:pt idx="3">
                  <c:v>0.59211705000027126</c:v>
                </c:pt>
                <c:pt idx="4">
                  <c:v>0.59421900965874586</c:v>
                </c:pt>
                <c:pt idx="5">
                  <c:v>0.60255662278499367</c:v>
                </c:pt>
                <c:pt idx="6">
                  <c:v>0.63534655558684505</c:v>
                </c:pt>
                <c:pt idx="7">
                  <c:v>0.64253695671058431</c:v>
                </c:pt>
                <c:pt idx="8">
                  <c:v>0.62956843565131915</c:v>
                </c:pt>
                <c:pt idx="9">
                  <c:v>0.64435134813585304</c:v>
                </c:pt>
                <c:pt idx="10">
                  <c:v>0.65833663895133043</c:v>
                </c:pt>
                <c:pt idx="11">
                  <c:v>0.65037104982438132</c:v>
                </c:pt>
                <c:pt idx="12">
                  <c:v>0.65859859193405035</c:v>
                </c:pt>
                <c:pt idx="13">
                  <c:v>0.64224070108920539</c:v>
                </c:pt>
                <c:pt idx="14">
                  <c:v>0.62325454429597971</c:v>
                </c:pt>
                <c:pt idx="15">
                  <c:v>0.55352645386939225</c:v>
                </c:pt>
                <c:pt idx="16">
                  <c:v>0.54667843754499545</c:v>
                </c:pt>
                <c:pt idx="17">
                  <c:v>0.54361308206272163</c:v>
                </c:pt>
                <c:pt idx="18">
                  <c:v>0.56883891312586576</c:v>
                </c:pt>
                <c:pt idx="19">
                  <c:v>0.55466295688615541</c:v>
                </c:pt>
                <c:pt idx="20">
                  <c:v>0.5863176982387911</c:v>
                </c:pt>
                <c:pt idx="21">
                  <c:v>0.53944881461945404</c:v>
                </c:pt>
                <c:pt idx="22">
                  <c:v>0.55642454143592668</c:v>
                </c:pt>
                <c:pt idx="23">
                  <c:v>0.53129580143712185</c:v>
                </c:pt>
                <c:pt idx="24">
                  <c:v>0.55287363555474733</c:v>
                </c:pt>
                <c:pt idx="25">
                  <c:v>0.5553898121129619</c:v>
                </c:pt>
                <c:pt idx="26">
                  <c:v>0.54238193358402464</c:v>
                </c:pt>
                <c:pt idx="27">
                  <c:v>0.55572370139313132</c:v>
                </c:pt>
                <c:pt idx="28">
                  <c:v>0.51394839719587093</c:v>
                </c:pt>
                <c:pt idx="29">
                  <c:v>0.52804210554933029</c:v>
                </c:pt>
                <c:pt idx="30">
                  <c:v>0.5474641672067958</c:v>
                </c:pt>
                <c:pt idx="31">
                  <c:v>0.49788235367717798</c:v>
                </c:pt>
                <c:pt idx="32">
                  <c:v>0.5395174950653886</c:v>
                </c:pt>
                <c:pt idx="33">
                  <c:v>0.55650381096777679</c:v>
                </c:pt>
                <c:pt idx="34">
                  <c:v>0.56412192208607104</c:v>
                </c:pt>
                <c:pt idx="35">
                  <c:v>0.56489853313271265</c:v>
                </c:pt>
                <c:pt idx="36">
                  <c:v>0.58143189808976392</c:v>
                </c:pt>
                <c:pt idx="37">
                  <c:v>0.58404303750897624</c:v>
                </c:pt>
                <c:pt idx="38">
                  <c:v>0.55503058298186569</c:v>
                </c:pt>
                <c:pt idx="39">
                  <c:v>0.54200175374258608</c:v>
                </c:pt>
                <c:pt idx="40">
                  <c:v>0.53120883519306528</c:v>
                </c:pt>
                <c:pt idx="41">
                  <c:v>0.5354775122181139</c:v>
                </c:pt>
                <c:pt idx="42">
                  <c:v>0.5228919035028311</c:v>
                </c:pt>
                <c:pt idx="43">
                  <c:v>0.49605456066358272</c:v>
                </c:pt>
                <c:pt idx="44">
                  <c:v>0.47815209055685692</c:v>
                </c:pt>
                <c:pt idx="45">
                  <c:v>0.48650666196458603</c:v>
                </c:pt>
                <c:pt idx="46">
                  <c:v>0.45502233195323355</c:v>
                </c:pt>
                <c:pt idx="47">
                  <c:v>0.45839177391672692</c:v>
                </c:pt>
                <c:pt idx="48">
                  <c:v>0.46903004348315513</c:v>
                </c:pt>
                <c:pt idx="49">
                  <c:v>0.4738573198037806</c:v>
                </c:pt>
                <c:pt idx="50">
                  <c:v>0.48079542962706484</c:v>
                </c:pt>
                <c:pt idx="51">
                  <c:v>0.48141334418310294</c:v>
                </c:pt>
                <c:pt idx="52">
                  <c:v>0.4926214131735786</c:v>
                </c:pt>
                <c:pt idx="53">
                  <c:v>0.4950746623696034</c:v>
                </c:pt>
                <c:pt idx="54">
                  <c:v>0.52650430644016211</c:v>
                </c:pt>
                <c:pt idx="55">
                  <c:v>0.51549731880519878</c:v>
                </c:pt>
                <c:pt idx="56">
                  <c:v>0.48771158626164163</c:v>
                </c:pt>
                <c:pt idx="57">
                  <c:v>0.48743582429009152</c:v>
                </c:pt>
                <c:pt idx="58">
                  <c:v>0.52352750871336295</c:v>
                </c:pt>
                <c:pt idx="59">
                  <c:v>0.53629761479653415</c:v>
                </c:pt>
                <c:pt idx="60">
                  <c:v>0.5129537023711479</c:v>
                </c:pt>
                <c:pt idx="61">
                  <c:v>0.52812415799572665</c:v>
                </c:pt>
                <c:pt idx="62">
                  <c:v>0.52048931515000441</c:v>
                </c:pt>
                <c:pt idx="63">
                  <c:v>0.51459158922881265</c:v>
                </c:pt>
                <c:pt idx="64">
                  <c:v>0.53254053717568994</c:v>
                </c:pt>
                <c:pt idx="65">
                  <c:v>0.5418392586957903</c:v>
                </c:pt>
                <c:pt idx="66">
                  <c:v>0.54819467677325218</c:v>
                </c:pt>
                <c:pt idx="67">
                  <c:v>0.55936961390511075</c:v>
                </c:pt>
                <c:pt idx="68">
                  <c:v>0.53247491920421175</c:v>
                </c:pt>
                <c:pt idx="69">
                  <c:v>0.52806586822397594</c:v>
                </c:pt>
                <c:pt idx="70">
                  <c:v>0.54301793939443876</c:v>
                </c:pt>
                <c:pt idx="71">
                  <c:v>0.5568791248656435</c:v>
                </c:pt>
                <c:pt idx="72">
                  <c:v>0.53163967012980706</c:v>
                </c:pt>
                <c:pt idx="73">
                  <c:v>0.51377407742164671</c:v>
                </c:pt>
                <c:pt idx="74">
                  <c:v>0.50150256414388994</c:v>
                </c:pt>
                <c:pt idx="75">
                  <c:v>0.50408335422170636</c:v>
                </c:pt>
                <c:pt idx="76">
                  <c:v>0.53706174358824343</c:v>
                </c:pt>
                <c:pt idx="77">
                  <c:v>0.52104587585895024</c:v>
                </c:pt>
                <c:pt idx="78">
                  <c:v>0.49003867686284519</c:v>
                </c:pt>
                <c:pt idx="79">
                  <c:v>0.47870360299205755</c:v>
                </c:pt>
                <c:pt idx="80">
                  <c:v>0.47751714612395496</c:v>
                </c:pt>
                <c:pt idx="81">
                  <c:v>0.4691037887839678</c:v>
                </c:pt>
                <c:pt idx="82">
                  <c:v>0.43840409487101062</c:v>
                </c:pt>
                <c:pt idx="83">
                  <c:v>0.41780693954502457</c:v>
                </c:pt>
                <c:pt idx="84">
                  <c:v>0.425997603092093</c:v>
                </c:pt>
                <c:pt idx="85">
                  <c:v>0.41771645451508554</c:v>
                </c:pt>
                <c:pt idx="86">
                  <c:v>0.37378180103677994</c:v>
                </c:pt>
                <c:pt idx="87">
                  <c:v>0.35124440286280484</c:v>
                </c:pt>
              </c:numCache>
            </c:numRef>
          </c:val>
          <c:smooth val="0"/>
          <c:extLst>
            <c:ext xmlns:c16="http://schemas.microsoft.com/office/drawing/2014/chart" uri="{C3380CC4-5D6E-409C-BE32-E72D297353CC}">
              <c16:uniqueId val="{00000000-5C97-4FBA-8C77-469037C4D8ED}"/>
            </c:ext>
          </c:extLst>
        </c:ser>
        <c:ser>
          <c:idx val="1"/>
          <c:order val="1"/>
          <c:spPr>
            <a:ln w="28575" cap="rnd">
              <a:solidFill>
                <a:schemeClr val="accent2"/>
              </a:solidFill>
              <a:round/>
            </a:ln>
            <a:effectLst/>
          </c:spPr>
          <c:marker>
            <c:symbol val="none"/>
          </c:marker>
          <c:val>
            <c:numRef>
              <c:f>'New Peers'!$AJ$111:$AJ$198</c:f>
              <c:numCache>
                <c:formatCode>0.0%_);\(0.0%\)</c:formatCode>
                <c:ptCount val="88"/>
                <c:pt idx="0">
                  <c:v>1.2755679405089242E-2</c:v>
                </c:pt>
                <c:pt idx="1">
                  <c:v>1.2846418787151277E-2</c:v>
                </c:pt>
                <c:pt idx="2">
                  <c:v>1.3893917019965672E-2</c:v>
                </c:pt>
                <c:pt idx="3">
                  <c:v>1.5288795914979435E-2</c:v>
                </c:pt>
                <c:pt idx="4">
                  <c:v>1.6906187538269783E-2</c:v>
                </c:pt>
                <c:pt idx="5">
                  <c:v>1.7123791817775631E-2</c:v>
                </c:pt>
                <c:pt idx="6">
                  <c:v>1.6258574092602694E-2</c:v>
                </c:pt>
                <c:pt idx="7">
                  <c:v>1.4821004181682711E-2</c:v>
                </c:pt>
                <c:pt idx="8">
                  <c:v>1.4679380351057817E-2</c:v>
                </c:pt>
                <c:pt idx="9">
                  <c:v>1.3843126812155175E-2</c:v>
                </c:pt>
                <c:pt idx="10">
                  <c:v>1.3779204347929282E-2</c:v>
                </c:pt>
                <c:pt idx="11">
                  <c:v>1.410572892399131E-2</c:v>
                </c:pt>
                <c:pt idx="12">
                  <c:v>1.2951511574333947E-2</c:v>
                </c:pt>
                <c:pt idx="13">
                  <c:v>1.4970011198412783E-2</c:v>
                </c:pt>
                <c:pt idx="14">
                  <c:v>2.4210292840006208E-2</c:v>
                </c:pt>
                <c:pt idx="15">
                  <c:v>2.0063571374313076E-2</c:v>
                </c:pt>
                <c:pt idx="16">
                  <c:v>2.3120448872876943E-2</c:v>
                </c:pt>
                <c:pt idx="17">
                  <c:v>2.4819314120768675E-2</c:v>
                </c:pt>
                <c:pt idx="18">
                  <c:v>2.4062391950788634E-2</c:v>
                </c:pt>
                <c:pt idx="19">
                  <c:v>2.7538572355138596E-2</c:v>
                </c:pt>
                <c:pt idx="20">
                  <c:v>2.6245119614047907E-2</c:v>
                </c:pt>
                <c:pt idx="21">
                  <c:v>3.1687549116920108E-2</c:v>
                </c:pt>
                <c:pt idx="22">
                  <c:v>3.4968703761124945E-2</c:v>
                </c:pt>
                <c:pt idx="23">
                  <c:v>4.1713151018590591E-2</c:v>
                </c:pt>
                <c:pt idx="24">
                  <c:v>3.9513293033961255E-2</c:v>
                </c:pt>
                <c:pt idx="25">
                  <c:v>3.5977809246159814E-2</c:v>
                </c:pt>
                <c:pt idx="26">
                  <c:v>4.3080813472440284E-2</c:v>
                </c:pt>
                <c:pt idx="27">
                  <c:v>4.109771717522822E-2</c:v>
                </c:pt>
                <c:pt idx="28">
                  <c:v>4.2953104677554657E-2</c:v>
                </c:pt>
                <c:pt idx="29">
                  <c:v>4.3080454321795303E-2</c:v>
                </c:pt>
                <c:pt idx="30">
                  <c:v>3.636722402450928E-2</c:v>
                </c:pt>
                <c:pt idx="31">
                  <c:v>4.2722980064291732E-2</c:v>
                </c:pt>
                <c:pt idx="32">
                  <c:v>3.8850745218701507E-2</c:v>
                </c:pt>
                <c:pt idx="33">
                  <c:v>3.7662754200737406E-2</c:v>
                </c:pt>
                <c:pt idx="34">
                  <c:v>3.6973374902065745E-2</c:v>
                </c:pt>
                <c:pt idx="35">
                  <c:v>3.7878576119792069E-2</c:v>
                </c:pt>
                <c:pt idx="36">
                  <c:v>4.1532055611559329E-2</c:v>
                </c:pt>
                <c:pt idx="37">
                  <c:v>4.1504025665147895E-2</c:v>
                </c:pt>
                <c:pt idx="38">
                  <c:v>4.6229571559493698E-2</c:v>
                </c:pt>
                <c:pt idx="39">
                  <c:v>4.6834008948578226E-2</c:v>
                </c:pt>
                <c:pt idx="40">
                  <c:v>5.0335431932420016E-2</c:v>
                </c:pt>
                <c:pt idx="41">
                  <c:v>5.0729089713703039E-2</c:v>
                </c:pt>
                <c:pt idx="42">
                  <c:v>4.6196367925911731E-2</c:v>
                </c:pt>
                <c:pt idx="43">
                  <c:v>4.9690469020956432E-2</c:v>
                </c:pt>
                <c:pt idx="44">
                  <c:v>4.5462976360599393E-2</c:v>
                </c:pt>
                <c:pt idx="45">
                  <c:v>4.2889357532051711E-2</c:v>
                </c:pt>
                <c:pt idx="46">
                  <c:v>3.7933617520818232E-2</c:v>
                </c:pt>
                <c:pt idx="47">
                  <c:v>3.915676479442317E-2</c:v>
                </c:pt>
                <c:pt idx="48">
                  <c:v>3.6518251425985748E-2</c:v>
                </c:pt>
                <c:pt idx="49">
                  <c:v>3.4422686746953979E-2</c:v>
                </c:pt>
                <c:pt idx="50">
                  <c:v>3.3472723572895394E-2</c:v>
                </c:pt>
                <c:pt idx="51">
                  <c:v>3.1711233285742789E-2</c:v>
                </c:pt>
                <c:pt idx="52">
                  <c:v>3.0904229025159553E-2</c:v>
                </c:pt>
                <c:pt idx="53">
                  <c:v>2.7738123485585225E-2</c:v>
                </c:pt>
                <c:pt idx="54">
                  <c:v>2.6510228937292026E-2</c:v>
                </c:pt>
                <c:pt idx="55">
                  <c:v>3.1490912343170634E-2</c:v>
                </c:pt>
                <c:pt idx="56">
                  <c:v>5.0458999345616047E-2</c:v>
                </c:pt>
                <c:pt idx="57">
                  <c:v>4.8164456540567557E-2</c:v>
                </c:pt>
                <c:pt idx="58">
                  <c:v>4.5124084733972301E-2</c:v>
                </c:pt>
                <c:pt idx="59">
                  <c:v>4.9912025058823237E-2</c:v>
                </c:pt>
                <c:pt idx="60">
                  <c:v>5.5285429499177044E-2</c:v>
                </c:pt>
                <c:pt idx="61">
                  <c:v>5.6862172950151661E-2</c:v>
                </c:pt>
                <c:pt idx="62">
                  <c:v>5.5086250699879137E-2</c:v>
                </c:pt>
                <c:pt idx="63">
                  <c:v>5.975543813337985E-2</c:v>
                </c:pt>
                <c:pt idx="64">
                  <c:v>5.4366925476233674E-2</c:v>
                </c:pt>
                <c:pt idx="65">
                  <c:v>5.3664354112148829E-2</c:v>
                </c:pt>
                <c:pt idx="66">
                  <c:v>6.0893375078565626E-2</c:v>
                </c:pt>
                <c:pt idx="67">
                  <c:v>5.0029465762107359E-2</c:v>
                </c:pt>
                <c:pt idx="68">
                  <c:v>4.8857549608766683E-2</c:v>
                </c:pt>
                <c:pt idx="69">
                  <c:v>4.6683815373428861E-2</c:v>
                </c:pt>
                <c:pt idx="70">
                  <c:v>5.0688512757179116E-2</c:v>
                </c:pt>
                <c:pt idx="71">
                  <c:v>4.1944266911220322E-2</c:v>
                </c:pt>
                <c:pt idx="72">
                  <c:v>4.1806446523667808E-2</c:v>
                </c:pt>
                <c:pt idx="73">
                  <c:v>4.1734264746864716E-2</c:v>
                </c:pt>
                <c:pt idx="74">
                  <c:v>3.9719208988579002E-2</c:v>
                </c:pt>
                <c:pt idx="75">
                  <c:v>5.1570728199308524E-2</c:v>
                </c:pt>
                <c:pt idx="76">
                  <c:v>5.0898207725791865E-2</c:v>
                </c:pt>
                <c:pt idx="77">
                  <c:v>5.9577290419357436E-2</c:v>
                </c:pt>
                <c:pt idx="78">
                  <c:v>6.9716173729339151E-2</c:v>
                </c:pt>
                <c:pt idx="79">
                  <c:v>9.0689056726463643E-2</c:v>
                </c:pt>
                <c:pt idx="80">
                  <c:v>7.5395556265876823E-2</c:v>
                </c:pt>
                <c:pt idx="81">
                  <c:v>0.1053015002560123</c:v>
                </c:pt>
                <c:pt idx="82">
                  <c:v>0.12581389161072895</c:v>
                </c:pt>
                <c:pt idx="83">
                  <c:v>0.11468486241975999</c:v>
                </c:pt>
                <c:pt idx="84">
                  <c:v>0.12574754101457283</c:v>
                </c:pt>
                <c:pt idx="85">
                  <c:v>0.14909394959651703</c:v>
                </c:pt>
                <c:pt idx="86">
                  <c:v>0.17351310009236073</c:v>
                </c:pt>
                <c:pt idx="87">
                  <c:v>0.13947664012287891</c:v>
                </c:pt>
              </c:numCache>
            </c:numRef>
          </c:val>
          <c:smooth val="0"/>
          <c:extLst>
            <c:ext xmlns:c16="http://schemas.microsoft.com/office/drawing/2014/chart" uri="{C3380CC4-5D6E-409C-BE32-E72D297353CC}">
              <c16:uniqueId val="{00000001-5C97-4FBA-8C77-469037C4D8ED}"/>
            </c:ext>
          </c:extLst>
        </c:ser>
        <c:ser>
          <c:idx val="2"/>
          <c:order val="2"/>
          <c:spPr>
            <a:ln w="28575" cap="rnd">
              <a:solidFill>
                <a:schemeClr val="accent3"/>
              </a:solidFill>
              <a:round/>
            </a:ln>
            <a:effectLst/>
          </c:spPr>
          <c:marker>
            <c:symbol val="none"/>
          </c:marker>
          <c:val>
            <c:numRef>
              <c:f>'New Peers'!$AK$111:$AK$198</c:f>
              <c:numCache>
                <c:formatCode>0.0%_);\(0.0%\)</c:formatCode>
                <c:ptCount val="88"/>
                <c:pt idx="0">
                  <c:v>5.8822860512183946E-2</c:v>
                </c:pt>
                <c:pt idx="1">
                  <c:v>5.9113639320429311E-2</c:v>
                </c:pt>
                <c:pt idx="2">
                  <c:v>5.9057023222977206E-2</c:v>
                </c:pt>
                <c:pt idx="3">
                  <c:v>5.6671870553795835E-2</c:v>
                </c:pt>
                <c:pt idx="4">
                  <c:v>4.963575000019893E-2</c:v>
                </c:pt>
                <c:pt idx="5">
                  <c:v>4.5208997983283837E-2</c:v>
                </c:pt>
                <c:pt idx="6">
                  <c:v>4.1858534883044599E-2</c:v>
                </c:pt>
                <c:pt idx="7">
                  <c:v>4.4522353128379072E-2</c:v>
                </c:pt>
                <c:pt idx="8">
                  <c:v>4.6858467940464894E-2</c:v>
                </c:pt>
                <c:pt idx="9">
                  <c:v>4.4608906241218334E-2</c:v>
                </c:pt>
                <c:pt idx="10">
                  <c:v>4.5827609165118584E-2</c:v>
                </c:pt>
                <c:pt idx="11">
                  <c:v>4.640101165343314E-2</c:v>
                </c:pt>
                <c:pt idx="12">
                  <c:v>4.5283732918167507E-2</c:v>
                </c:pt>
                <c:pt idx="13">
                  <c:v>5.0723036497927379E-2</c:v>
                </c:pt>
                <c:pt idx="14">
                  <c:v>5.2389126346855948E-2</c:v>
                </c:pt>
                <c:pt idx="15">
                  <c:v>5.1122673245200867E-2</c:v>
                </c:pt>
                <c:pt idx="16">
                  <c:v>6.0523266630442357E-2</c:v>
                </c:pt>
                <c:pt idx="17">
                  <c:v>4.0415971839906244E-2</c:v>
                </c:pt>
                <c:pt idx="18">
                  <c:v>3.3121103636507852E-2</c:v>
                </c:pt>
                <c:pt idx="19">
                  <c:v>3.532746348759927E-2</c:v>
                </c:pt>
                <c:pt idx="20">
                  <c:v>3.0863959024649789E-2</c:v>
                </c:pt>
                <c:pt idx="21">
                  <c:v>3.6710208696163787E-2</c:v>
                </c:pt>
                <c:pt idx="22">
                  <c:v>3.0063831879711667E-2</c:v>
                </c:pt>
                <c:pt idx="23">
                  <c:v>3.0452399648037472E-2</c:v>
                </c:pt>
                <c:pt idx="24">
                  <c:v>2.4163283908999543E-2</c:v>
                </c:pt>
                <c:pt idx="25">
                  <c:v>2.2597641514820632E-2</c:v>
                </c:pt>
                <c:pt idx="26">
                  <c:v>2.2028940428226298E-2</c:v>
                </c:pt>
                <c:pt idx="27">
                  <c:v>1.7105343525621469E-2</c:v>
                </c:pt>
                <c:pt idx="28">
                  <c:v>2.4616713847320018E-2</c:v>
                </c:pt>
                <c:pt idx="29">
                  <c:v>1.6376780265722771E-2</c:v>
                </c:pt>
                <c:pt idx="30">
                  <c:v>3.8049784778832712E-3</c:v>
                </c:pt>
                <c:pt idx="31">
                  <c:v>4.1337494846477078E-2</c:v>
                </c:pt>
                <c:pt idx="32">
                  <c:v>4.6413983311634377E-2</c:v>
                </c:pt>
                <c:pt idx="33">
                  <c:v>4.4542733394568712E-2</c:v>
                </c:pt>
                <c:pt idx="34">
                  <c:v>4.457638902521141E-2</c:v>
                </c:pt>
                <c:pt idx="35">
                  <c:v>4.4227525204088576E-2</c:v>
                </c:pt>
                <c:pt idx="36">
                  <c:v>5.1092123186507674E-2</c:v>
                </c:pt>
                <c:pt idx="37">
                  <c:v>4.6014373827043292E-2</c:v>
                </c:pt>
                <c:pt idx="38">
                  <c:v>4.5087672605285824E-2</c:v>
                </c:pt>
                <c:pt idx="39">
                  <c:v>4.567917016492002E-2</c:v>
                </c:pt>
                <c:pt idx="40">
                  <c:v>3.4967459366950254E-2</c:v>
                </c:pt>
                <c:pt idx="41">
                  <c:v>3.5550188808449582E-2</c:v>
                </c:pt>
                <c:pt idx="42">
                  <c:v>3.4840650092924044E-2</c:v>
                </c:pt>
                <c:pt idx="43">
                  <c:v>6.5735631782951304E-2</c:v>
                </c:pt>
                <c:pt idx="44">
                  <c:v>6.46638318156188E-2</c:v>
                </c:pt>
                <c:pt idx="45">
                  <c:v>6.6005907934813104E-2</c:v>
                </c:pt>
                <c:pt idx="46">
                  <c:v>6.2597278355509239E-2</c:v>
                </c:pt>
                <c:pt idx="47">
                  <c:v>5.8528319037837166E-2</c:v>
                </c:pt>
                <c:pt idx="48">
                  <c:v>6.0317749956261275E-2</c:v>
                </c:pt>
                <c:pt idx="49">
                  <c:v>5.7473284005950247E-2</c:v>
                </c:pt>
                <c:pt idx="50">
                  <c:v>5.372835697459221E-2</c:v>
                </c:pt>
                <c:pt idx="51">
                  <c:v>5.5448924657697823E-2</c:v>
                </c:pt>
                <c:pt idx="52">
                  <c:v>5.5304982192421796E-2</c:v>
                </c:pt>
                <c:pt idx="53">
                  <c:v>5.5999164652437594E-2</c:v>
                </c:pt>
                <c:pt idx="54">
                  <c:v>5.1126963841384342E-2</c:v>
                </c:pt>
                <c:pt idx="55">
                  <c:v>5.1389005090439116E-2</c:v>
                </c:pt>
                <c:pt idx="56">
                  <c:v>4.9413149484377784E-2</c:v>
                </c:pt>
                <c:pt idx="57">
                  <c:v>5.17603711226284E-2</c:v>
                </c:pt>
                <c:pt idx="58">
                  <c:v>4.908969170394261E-2</c:v>
                </c:pt>
                <c:pt idx="59">
                  <c:v>4.6269462273264055E-2</c:v>
                </c:pt>
                <c:pt idx="60">
                  <c:v>4.5351723551479532E-2</c:v>
                </c:pt>
                <c:pt idx="61">
                  <c:v>4.3863818910988138E-2</c:v>
                </c:pt>
                <c:pt idx="62">
                  <c:v>4.3932958989440475E-2</c:v>
                </c:pt>
                <c:pt idx="63">
                  <c:v>4.1883673811457092E-2</c:v>
                </c:pt>
                <c:pt idx="64">
                  <c:v>2.5386790899642787E-2</c:v>
                </c:pt>
                <c:pt idx="65">
                  <c:v>2.5144467644836251E-2</c:v>
                </c:pt>
                <c:pt idx="66">
                  <c:v>2.4456404021114771E-2</c:v>
                </c:pt>
                <c:pt idx="67">
                  <c:v>2.570234963307505E-2</c:v>
                </c:pt>
                <c:pt idx="68">
                  <c:v>2.8776057153697045E-2</c:v>
                </c:pt>
                <c:pt idx="69">
                  <c:v>3.1286711721343272E-2</c:v>
                </c:pt>
                <c:pt idx="70">
                  <c:v>3.172351261301716E-2</c:v>
                </c:pt>
                <c:pt idx="71">
                  <c:v>3.1366465456916619E-2</c:v>
                </c:pt>
                <c:pt idx="72">
                  <c:v>3.2804346085398985E-2</c:v>
                </c:pt>
                <c:pt idx="73">
                  <c:v>3.357348153675252E-2</c:v>
                </c:pt>
                <c:pt idx="74">
                  <c:v>3.2745725452341105E-2</c:v>
                </c:pt>
                <c:pt idx="75">
                  <c:v>2.9210563600433195E-2</c:v>
                </c:pt>
                <c:pt idx="76">
                  <c:v>2.8672156703238912E-2</c:v>
                </c:pt>
                <c:pt idx="77">
                  <c:v>2.899302863289973E-2</c:v>
                </c:pt>
                <c:pt idx="78">
                  <c:v>2.8263427564362027E-2</c:v>
                </c:pt>
                <c:pt idx="79">
                  <c:v>2.6889848742540957E-2</c:v>
                </c:pt>
                <c:pt idx="80">
                  <c:v>2.4286401171771464E-2</c:v>
                </c:pt>
                <c:pt idx="81">
                  <c:v>2.4341415030948148E-2</c:v>
                </c:pt>
                <c:pt idx="82">
                  <c:v>2.763128092767338E-2</c:v>
                </c:pt>
                <c:pt idx="83">
                  <c:v>2.9122029769217055E-2</c:v>
                </c:pt>
                <c:pt idx="84">
                  <c:v>2.4763623792851745E-2</c:v>
                </c:pt>
                <c:pt idx="85">
                  <c:v>2.6858128926365021E-2</c:v>
                </c:pt>
                <c:pt idx="86">
                  <c:v>2.9027292983121247E-2</c:v>
                </c:pt>
                <c:pt idx="87">
                  <c:v>3.183830255934552E-2</c:v>
                </c:pt>
              </c:numCache>
            </c:numRef>
          </c:val>
          <c:smooth val="0"/>
          <c:extLst>
            <c:ext xmlns:c16="http://schemas.microsoft.com/office/drawing/2014/chart" uri="{C3380CC4-5D6E-409C-BE32-E72D297353CC}">
              <c16:uniqueId val="{00000002-5C97-4FBA-8C77-469037C4D8ED}"/>
            </c:ext>
          </c:extLst>
        </c:ser>
        <c:ser>
          <c:idx val="3"/>
          <c:order val="3"/>
          <c:spPr>
            <a:ln w="28575" cap="rnd">
              <a:solidFill>
                <a:schemeClr val="accent4"/>
              </a:solidFill>
              <a:round/>
            </a:ln>
            <a:effectLst/>
          </c:spPr>
          <c:marker>
            <c:symbol val="none"/>
          </c:marker>
          <c:val>
            <c:numRef>
              <c:f>'New Peers'!$AL$111:$AL$198</c:f>
              <c:numCache>
                <c:formatCode>0.0%_);\(0.0%\)</c:formatCode>
                <c:ptCount val="88"/>
                <c:pt idx="0">
                  <c:v>1.6670285703739168E-2</c:v>
                </c:pt>
                <c:pt idx="1">
                  <c:v>1.7261568226943757E-2</c:v>
                </c:pt>
                <c:pt idx="2">
                  <c:v>1.6077384878202945E-2</c:v>
                </c:pt>
                <c:pt idx="3">
                  <c:v>1.7009609940319501E-2</c:v>
                </c:pt>
                <c:pt idx="4">
                  <c:v>1.896249671341424E-2</c:v>
                </c:pt>
                <c:pt idx="5">
                  <c:v>1.745683097467967E-2</c:v>
                </c:pt>
                <c:pt idx="6">
                  <c:v>1.5528531268319488E-2</c:v>
                </c:pt>
                <c:pt idx="7">
                  <c:v>1.1150068446205594E-2</c:v>
                </c:pt>
                <c:pt idx="8">
                  <c:v>1.2404802427952348E-2</c:v>
                </c:pt>
                <c:pt idx="9">
                  <c:v>1.3482189902658145E-2</c:v>
                </c:pt>
                <c:pt idx="10">
                  <c:v>1.2658834773661587E-2</c:v>
                </c:pt>
                <c:pt idx="11">
                  <c:v>1.3211071826236853E-2</c:v>
                </c:pt>
                <c:pt idx="12">
                  <c:v>1.3257368414531392E-2</c:v>
                </c:pt>
                <c:pt idx="13">
                  <c:v>1.4117160017782415E-2</c:v>
                </c:pt>
                <c:pt idx="14">
                  <c:v>1.370657986713885E-2</c:v>
                </c:pt>
                <c:pt idx="15">
                  <c:v>1.2075941895581477E-2</c:v>
                </c:pt>
                <c:pt idx="16">
                  <c:v>1.1673443899692382E-2</c:v>
                </c:pt>
                <c:pt idx="17">
                  <c:v>1.3286012608728118E-2</c:v>
                </c:pt>
                <c:pt idx="18">
                  <c:v>1.0710226218851355E-2</c:v>
                </c:pt>
                <c:pt idx="19">
                  <c:v>1.3973514516212877E-2</c:v>
                </c:pt>
                <c:pt idx="20">
                  <c:v>1.2661588974090313E-2</c:v>
                </c:pt>
                <c:pt idx="21">
                  <c:v>1.3909024746231282E-2</c:v>
                </c:pt>
                <c:pt idx="22">
                  <c:v>1.2704318468783476E-2</c:v>
                </c:pt>
                <c:pt idx="23">
                  <c:v>1.0574840775171356E-2</c:v>
                </c:pt>
                <c:pt idx="24">
                  <c:v>1.0264085768934301E-2</c:v>
                </c:pt>
                <c:pt idx="25">
                  <c:v>1.0102151410040863E-2</c:v>
                </c:pt>
                <c:pt idx="26">
                  <c:v>8.101325029881928E-3</c:v>
                </c:pt>
                <c:pt idx="27">
                  <c:v>8.519710342925587E-3</c:v>
                </c:pt>
                <c:pt idx="28">
                  <c:v>9.5847516355365252E-3</c:v>
                </c:pt>
                <c:pt idx="29">
                  <c:v>1.1516076353606255E-2</c:v>
                </c:pt>
                <c:pt idx="30">
                  <c:v>9.208132063387834E-3</c:v>
                </c:pt>
                <c:pt idx="31">
                  <c:v>9.6524159269952663E-3</c:v>
                </c:pt>
                <c:pt idx="32">
                  <c:v>7.1494659734186458E-3</c:v>
                </c:pt>
                <c:pt idx="33">
                  <c:v>8.0917133423636222E-3</c:v>
                </c:pt>
                <c:pt idx="34">
                  <c:v>7.7689980401757994E-3</c:v>
                </c:pt>
                <c:pt idx="35">
                  <c:v>8.4333033401120961E-3</c:v>
                </c:pt>
                <c:pt idx="36">
                  <c:v>1.1326769826056937E-2</c:v>
                </c:pt>
                <c:pt idx="37">
                  <c:v>1.0105758177643122E-2</c:v>
                </c:pt>
                <c:pt idx="38">
                  <c:v>1.1740192216197874E-2</c:v>
                </c:pt>
                <c:pt idx="39">
                  <c:v>1.2676032064820004E-2</c:v>
                </c:pt>
                <c:pt idx="40">
                  <c:v>1.0346506526931989E-2</c:v>
                </c:pt>
                <c:pt idx="41">
                  <c:v>1.110546808950736E-2</c:v>
                </c:pt>
                <c:pt idx="42">
                  <c:v>9.1331866872028256E-3</c:v>
                </c:pt>
                <c:pt idx="43">
                  <c:v>1.043904562609247E-2</c:v>
                </c:pt>
                <c:pt idx="44">
                  <c:v>1.3550900244163515E-2</c:v>
                </c:pt>
                <c:pt idx="45">
                  <c:v>1.4020419688326947E-2</c:v>
                </c:pt>
                <c:pt idx="46">
                  <c:v>1.5479880555538703E-2</c:v>
                </c:pt>
                <c:pt idx="47">
                  <c:v>1.6366076435627597E-2</c:v>
                </c:pt>
                <c:pt idx="48">
                  <c:v>2.0022634332665885E-2</c:v>
                </c:pt>
                <c:pt idx="49">
                  <c:v>1.9649752929100543E-2</c:v>
                </c:pt>
                <c:pt idx="50">
                  <c:v>1.9322145541293103E-2</c:v>
                </c:pt>
                <c:pt idx="51">
                  <c:v>2.1439994374862544E-2</c:v>
                </c:pt>
                <c:pt idx="52">
                  <c:v>2.1841103195074475E-2</c:v>
                </c:pt>
                <c:pt idx="53">
                  <c:v>2.2305841458469134E-2</c:v>
                </c:pt>
                <c:pt idx="54">
                  <c:v>2.0032611960682553E-2</c:v>
                </c:pt>
                <c:pt idx="55">
                  <c:v>2.0284635925420694E-2</c:v>
                </c:pt>
                <c:pt idx="56">
                  <c:v>2.0298412762223387E-2</c:v>
                </c:pt>
                <c:pt idx="57">
                  <c:v>1.8946211258640058E-2</c:v>
                </c:pt>
                <c:pt idx="58">
                  <c:v>1.8768116100001897E-2</c:v>
                </c:pt>
                <c:pt idx="59">
                  <c:v>1.6138316516600363E-2</c:v>
                </c:pt>
                <c:pt idx="60">
                  <c:v>1.8896444961878801E-2</c:v>
                </c:pt>
                <c:pt idx="61">
                  <c:v>1.6942862081985713E-2</c:v>
                </c:pt>
                <c:pt idx="62">
                  <c:v>1.7341078646101449E-2</c:v>
                </c:pt>
                <c:pt idx="63">
                  <c:v>1.6773995695287224E-2</c:v>
                </c:pt>
                <c:pt idx="64">
                  <c:v>1.8058853923775729E-2</c:v>
                </c:pt>
                <c:pt idx="65">
                  <c:v>1.7200141422341067E-2</c:v>
                </c:pt>
                <c:pt idx="66">
                  <c:v>1.8038014709803523E-2</c:v>
                </c:pt>
                <c:pt idx="67">
                  <c:v>1.7026051526506977E-2</c:v>
                </c:pt>
                <c:pt idx="68">
                  <c:v>1.8581656417306962E-2</c:v>
                </c:pt>
                <c:pt idx="69">
                  <c:v>1.9113452177525376E-2</c:v>
                </c:pt>
                <c:pt idx="70">
                  <c:v>1.6273588154979066E-2</c:v>
                </c:pt>
                <c:pt idx="71">
                  <c:v>1.5661961999016313E-2</c:v>
                </c:pt>
                <c:pt idx="72">
                  <c:v>1.6051777935870013E-2</c:v>
                </c:pt>
                <c:pt idx="73">
                  <c:v>1.7566612801410138E-2</c:v>
                </c:pt>
                <c:pt idx="74">
                  <c:v>1.7090269744186225E-2</c:v>
                </c:pt>
                <c:pt idx="75">
                  <c:v>1.889007362420235E-2</c:v>
                </c:pt>
                <c:pt idx="76">
                  <c:v>1.036746496279887E-2</c:v>
                </c:pt>
                <c:pt idx="77">
                  <c:v>1.0652449747402627E-2</c:v>
                </c:pt>
                <c:pt idx="78">
                  <c:v>1.9644951711550705E-2</c:v>
                </c:pt>
                <c:pt idx="79">
                  <c:v>2.1782912558609441E-2</c:v>
                </c:pt>
                <c:pt idx="80">
                  <c:v>2.2465779991588466E-2</c:v>
                </c:pt>
                <c:pt idx="81">
                  <c:v>2.1215850711468788E-2</c:v>
                </c:pt>
                <c:pt idx="82">
                  <c:v>2.4987030398380034E-2</c:v>
                </c:pt>
                <c:pt idx="83">
                  <c:v>2.4957572671422599E-2</c:v>
                </c:pt>
                <c:pt idx="84">
                  <c:v>2.4263132244495344E-2</c:v>
                </c:pt>
                <c:pt idx="85">
                  <c:v>2.3703244182673042E-2</c:v>
                </c:pt>
                <c:pt idx="86">
                  <c:v>2.4926294344341977E-2</c:v>
                </c:pt>
                <c:pt idx="87">
                  <c:v>2.6562421736075838E-2</c:v>
                </c:pt>
              </c:numCache>
            </c:numRef>
          </c:val>
          <c:smooth val="0"/>
          <c:extLst>
            <c:ext xmlns:c16="http://schemas.microsoft.com/office/drawing/2014/chart" uri="{C3380CC4-5D6E-409C-BE32-E72D297353CC}">
              <c16:uniqueId val="{00000003-5C97-4FBA-8C77-469037C4D8ED}"/>
            </c:ext>
          </c:extLst>
        </c:ser>
        <c:ser>
          <c:idx val="4"/>
          <c:order val="4"/>
          <c:spPr>
            <a:ln w="28575" cap="rnd">
              <a:solidFill>
                <a:schemeClr val="accent5"/>
              </a:solidFill>
              <a:round/>
            </a:ln>
            <a:effectLst/>
          </c:spPr>
          <c:marker>
            <c:symbol val="none"/>
          </c:marker>
          <c:val>
            <c:numRef>
              <c:f>'New Peers'!$AM$111:$AM$198</c:f>
              <c:numCache>
                <c:formatCode>0.0%_);\(0.0%\)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0.10025453173274995</c:v>
                </c:pt>
                <c:pt idx="16">
                  <c:v>8.8010984400752612E-2</c:v>
                </c:pt>
                <c:pt idx="17">
                  <c:v>9.4571870685976306E-2</c:v>
                </c:pt>
                <c:pt idx="18">
                  <c:v>8.4434721792528714E-2</c:v>
                </c:pt>
                <c:pt idx="19">
                  <c:v>8.7876655266835552E-2</c:v>
                </c:pt>
                <c:pt idx="20">
                  <c:v>7.7440291966900374E-2</c:v>
                </c:pt>
                <c:pt idx="21">
                  <c:v>8.3799253578431571E-2</c:v>
                </c:pt>
                <c:pt idx="22">
                  <c:v>7.5659292444906462E-2</c:v>
                </c:pt>
                <c:pt idx="23">
                  <c:v>8.2444491807261377E-2</c:v>
                </c:pt>
                <c:pt idx="24">
                  <c:v>7.084670433936141E-2</c:v>
                </c:pt>
                <c:pt idx="25">
                  <c:v>8.0520551404301838E-2</c:v>
                </c:pt>
                <c:pt idx="26">
                  <c:v>8.6161897969489559E-2</c:v>
                </c:pt>
                <c:pt idx="27">
                  <c:v>8.4037273939883195E-2</c:v>
                </c:pt>
                <c:pt idx="28">
                  <c:v>8.1219021662807603E-2</c:v>
                </c:pt>
                <c:pt idx="29">
                  <c:v>6.8899069293922477E-2</c:v>
                </c:pt>
                <c:pt idx="30">
                  <c:v>7.6591198816245015E-2</c:v>
                </c:pt>
                <c:pt idx="31">
                  <c:v>6.7127444022492461E-2</c:v>
                </c:pt>
                <c:pt idx="32">
                  <c:v>5.6751496542087124E-2</c:v>
                </c:pt>
                <c:pt idx="33">
                  <c:v>4.2757186692464248E-2</c:v>
                </c:pt>
                <c:pt idx="34">
                  <c:v>4.5146199297616749E-2</c:v>
                </c:pt>
                <c:pt idx="35">
                  <c:v>5.2908448416875857E-2</c:v>
                </c:pt>
                <c:pt idx="36">
                  <c:v>5.1135004068949767E-2</c:v>
                </c:pt>
                <c:pt idx="37">
                  <c:v>5.1215886246659563E-2</c:v>
                </c:pt>
                <c:pt idx="38">
                  <c:v>5.8988415100367508E-2</c:v>
                </c:pt>
                <c:pt idx="39">
                  <c:v>6.4942569873350189E-2</c:v>
                </c:pt>
                <c:pt idx="40">
                  <c:v>6.1305299202523519E-2</c:v>
                </c:pt>
                <c:pt idx="41">
                  <c:v>6.2291085328477186E-2</c:v>
                </c:pt>
                <c:pt idx="42">
                  <c:v>5.7963994318374963E-2</c:v>
                </c:pt>
                <c:pt idx="43">
                  <c:v>5.4489959448793916E-2</c:v>
                </c:pt>
                <c:pt idx="44">
                  <c:v>5.4593885047615358E-2</c:v>
                </c:pt>
                <c:pt idx="45">
                  <c:v>4.9362570987659317E-2</c:v>
                </c:pt>
                <c:pt idx="46">
                  <c:v>5.2230676026876408E-2</c:v>
                </c:pt>
                <c:pt idx="47">
                  <c:v>4.8201995678150727E-2</c:v>
                </c:pt>
                <c:pt idx="48">
                  <c:v>4.9453670226570365E-2</c:v>
                </c:pt>
                <c:pt idx="49">
                  <c:v>4.7248743798452474E-2</c:v>
                </c:pt>
                <c:pt idx="50">
                  <c:v>4.9267510576418455E-2</c:v>
                </c:pt>
                <c:pt idx="51">
                  <c:v>4.8691580861363049E-2</c:v>
                </c:pt>
                <c:pt idx="52">
                  <c:v>5.032895067109449E-2</c:v>
                </c:pt>
                <c:pt idx="53">
                  <c:v>5.3302293971763663E-2</c:v>
                </c:pt>
                <c:pt idx="54">
                  <c:v>4.9016645766205506E-2</c:v>
                </c:pt>
                <c:pt idx="55">
                  <c:v>4.5473480558484651E-2</c:v>
                </c:pt>
                <c:pt idx="56">
                  <c:v>4.5570990038117341E-2</c:v>
                </c:pt>
                <c:pt idx="57">
                  <c:v>4.3792504029549095E-2</c:v>
                </c:pt>
                <c:pt idx="58">
                  <c:v>3.8282224154065791E-2</c:v>
                </c:pt>
                <c:pt idx="59">
                  <c:v>3.5415309247742256E-2</c:v>
                </c:pt>
                <c:pt idx="60">
                  <c:v>3.734085447175526E-2</c:v>
                </c:pt>
                <c:pt idx="61">
                  <c:v>3.7725813372633511E-2</c:v>
                </c:pt>
                <c:pt idx="62">
                  <c:v>4.0124443259410322E-2</c:v>
                </c:pt>
                <c:pt idx="63">
                  <c:v>4.1716269455075269E-2</c:v>
                </c:pt>
                <c:pt idx="64">
                  <c:v>4.3063379153601034E-2</c:v>
                </c:pt>
                <c:pt idx="65">
                  <c:v>4.0907397957327674E-2</c:v>
                </c:pt>
                <c:pt idx="66">
                  <c:v>3.8729829582225081E-2</c:v>
                </c:pt>
                <c:pt idx="67">
                  <c:v>4.1333585926126626E-2</c:v>
                </c:pt>
                <c:pt idx="68">
                  <c:v>4.2803294550953434E-2</c:v>
                </c:pt>
                <c:pt idx="69">
                  <c:v>4.4788597135815213E-2</c:v>
                </c:pt>
                <c:pt idx="70">
                  <c:v>3.5885033877063613E-2</c:v>
                </c:pt>
                <c:pt idx="71">
                  <c:v>3.2692550298224099E-2</c:v>
                </c:pt>
                <c:pt idx="72">
                  <c:v>3.3644518188645604E-2</c:v>
                </c:pt>
                <c:pt idx="73">
                  <c:v>3.2754099352338951E-2</c:v>
                </c:pt>
                <c:pt idx="74">
                  <c:v>3.331385213916184E-2</c:v>
                </c:pt>
                <c:pt idx="75">
                  <c:v>3.0938525475738887E-2</c:v>
                </c:pt>
                <c:pt idx="76">
                  <c:v>2.209365168113896E-2</c:v>
                </c:pt>
                <c:pt idx="77">
                  <c:v>2.6627110655749599E-2</c:v>
                </c:pt>
                <c:pt idx="78">
                  <c:v>2.822297651130902E-2</c:v>
                </c:pt>
                <c:pt idx="79">
                  <c:v>3.0318950362711376E-2</c:v>
                </c:pt>
                <c:pt idx="80">
                  <c:v>2.8143135593913071E-2</c:v>
                </c:pt>
                <c:pt idx="81">
                  <c:v>2.5123508978137369E-2</c:v>
                </c:pt>
                <c:pt idx="82">
                  <c:v>3.2002343505726706E-2</c:v>
                </c:pt>
                <c:pt idx="83">
                  <c:v>3.7062800092917951E-2</c:v>
                </c:pt>
                <c:pt idx="84">
                  <c:v>3.5827389310986411E-2</c:v>
                </c:pt>
                <c:pt idx="85">
                  <c:v>2.9993514803289437E-2</c:v>
                </c:pt>
                <c:pt idx="86">
                  <c:v>2.9830612715737739E-2</c:v>
                </c:pt>
                <c:pt idx="87">
                  <c:v>3.179354822251472E-2</c:v>
                </c:pt>
              </c:numCache>
            </c:numRef>
          </c:val>
          <c:smooth val="0"/>
          <c:extLst>
            <c:ext xmlns:c16="http://schemas.microsoft.com/office/drawing/2014/chart" uri="{C3380CC4-5D6E-409C-BE32-E72D297353CC}">
              <c16:uniqueId val="{00000004-5C97-4FBA-8C77-469037C4D8ED}"/>
            </c:ext>
          </c:extLst>
        </c:ser>
        <c:ser>
          <c:idx val="5"/>
          <c:order val="5"/>
          <c:spPr>
            <a:ln w="28575" cap="rnd">
              <a:solidFill>
                <a:schemeClr val="accent6"/>
              </a:solidFill>
              <a:round/>
            </a:ln>
            <a:effectLst/>
          </c:spPr>
          <c:marker>
            <c:symbol val="none"/>
          </c:marker>
          <c:val>
            <c:numRef>
              <c:f>'New Peers'!$AN$111:$AN$198</c:f>
              <c:numCache>
                <c:formatCode>0.0%_);\(0.0%\)</c:formatCode>
                <c:ptCount val="88"/>
                <c:pt idx="0">
                  <c:v>4.3067118543578628E-2</c:v>
                </c:pt>
                <c:pt idx="1">
                  <c:v>3.963434804049288E-2</c:v>
                </c:pt>
                <c:pt idx="2">
                  <c:v>3.4761549170997309E-2</c:v>
                </c:pt>
                <c:pt idx="3">
                  <c:v>2.7885836635207217E-2</c:v>
                </c:pt>
                <c:pt idx="4">
                  <c:v>2.6006600685567649E-2</c:v>
                </c:pt>
                <c:pt idx="5">
                  <c:v>2.1981369441866017E-2</c:v>
                </c:pt>
                <c:pt idx="6">
                  <c:v>2.2224860377378832E-2</c:v>
                </c:pt>
                <c:pt idx="7">
                  <c:v>1.8920626071566034E-2</c:v>
                </c:pt>
                <c:pt idx="8">
                  <c:v>2.5976825428400796E-2</c:v>
                </c:pt>
                <c:pt idx="9">
                  <c:v>2.3182985594654142E-2</c:v>
                </c:pt>
                <c:pt idx="10">
                  <c:v>2.0654556768802641E-2</c:v>
                </c:pt>
                <c:pt idx="11">
                  <c:v>2.3295212962843828E-2</c:v>
                </c:pt>
                <c:pt idx="12">
                  <c:v>2.4757815550630221E-2</c:v>
                </c:pt>
                <c:pt idx="13">
                  <c:v>2.6756303901256811E-2</c:v>
                </c:pt>
                <c:pt idx="14">
                  <c:v>2.5939575202918567E-2</c:v>
                </c:pt>
                <c:pt idx="15">
                  <c:v>2.2547190373664729E-2</c:v>
                </c:pt>
                <c:pt idx="16">
                  <c:v>2.4738004967395179E-2</c:v>
                </c:pt>
                <c:pt idx="17">
                  <c:v>2.8950007541746699E-2</c:v>
                </c:pt>
                <c:pt idx="18">
                  <c:v>2.3882623240397728E-2</c:v>
                </c:pt>
                <c:pt idx="19">
                  <c:v>2.8925455845736837E-2</c:v>
                </c:pt>
                <c:pt idx="20">
                  <c:v>2.711100534674251E-2</c:v>
                </c:pt>
                <c:pt idx="21">
                  <c:v>2.8800010906149989E-2</c:v>
                </c:pt>
                <c:pt idx="22">
                  <c:v>2.8389588958715628E-2</c:v>
                </c:pt>
                <c:pt idx="23">
                  <c:v>2.9562719334322023E-2</c:v>
                </c:pt>
                <c:pt idx="24">
                  <c:v>3.2649578751686677E-2</c:v>
                </c:pt>
                <c:pt idx="25">
                  <c:v>3.4201606465974921E-2</c:v>
                </c:pt>
                <c:pt idx="26">
                  <c:v>4.0935116606378386E-2</c:v>
                </c:pt>
                <c:pt idx="27">
                  <c:v>4.3202980996860076E-2</c:v>
                </c:pt>
                <c:pt idx="28">
                  <c:v>5.1550131172186646E-2</c:v>
                </c:pt>
                <c:pt idx="29">
                  <c:v>5.8156227858456935E-2</c:v>
                </c:pt>
                <c:pt idx="30">
                  <c:v>4.1430407627123175E-2</c:v>
                </c:pt>
                <c:pt idx="31">
                  <c:v>5.8560913505191381E-2</c:v>
                </c:pt>
                <c:pt idx="32">
                  <c:v>5.0514226985580959E-2</c:v>
                </c:pt>
                <c:pt idx="33">
                  <c:v>4.5090980645868674E-2</c:v>
                </c:pt>
                <c:pt idx="34">
                  <c:v>4.4960938866412607E-2</c:v>
                </c:pt>
                <c:pt idx="35">
                  <c:v>4.4385269564374358E-2</c:v>
                </c:pt>
                <c:pt idx="36">
                  <c:v>4.8899459698680488E-2</c:v>
                </c:pt>
                <c:pt idx="37">
                  <c:v>4.7285112762861452E-2</c:v>
                </c:pt>
                <c:pt idx="38">
                  <c:v>5.3017393453980377E-2</c:v>
                </c:pt>
                <c:pt idx="39">
                  <c:v>5.1916822562126076E-2</c:v>
                </c:pt>
                <c:pt idx="40">
                  <c:v>5.0229106045191339E-2</c:v>
                </c:pt>
                <c:pt idx="41">
                  <c:v>5.2416120118809729E-2</c:v>
                </c:pt>
                <c:pt idx="42">
                  <c:v>5.5866786021115673E-2</c:v>
                </c:pt>
                <c:pt idx="43">
                  <c:v>5.5102729245528538E-2</c:v>
                </c:pt>
                <c:pt idx="44">
                  <c:v>6.248271373275581E-2</c:v>
                </c:pt>
                <c:pt idx="45">
                  <c:v>6.0984322545957002E-2</c:v>
                </c:pt>
                <c:pt idx="46">
                  <c:v>5.7109449725592329E-2</c:v>
                </c:pt>
                <c:pt idx="47">
                  <c:v>5.6531275696087672E-2</c:v>
                </c:pt>
                <c:pt idx="48">
                  <c:v>5.8308598173215147E-2</c:v>
                </c:pt>
                <c:pt idx="49">
                  <c:v>5.7280123772539104E-2</c:v>
                </c:pt>
                <c:pt idx="50">
                  <c:v>6.1200620967100924E-2</c:v>
                </c:pt>
                <c:pt idx="51">
                  <c:v>6.0198374940342761E-2</c:v>
                </c:pt>
                <c:pt idx="52">
                  <c:v>5.8211920888510994E-2</c:v>
                </c:pt>
                <c:pt idx="53">
                  <c:v>5.3431797183174201E-2</c:v>
                </c:pt>
                <c:pt idx="54">
                  <c:v>4.5565294244370828E-2</c:v>
                </c:pt>
                <c:pt idx="55">
                  <c:v>4.8089485660384082E-2</c:v>
                </c:pt>
                <c:pt idx="56">
                  <c:v>4.4412222127063784E-2</c:v>
                </c:pt>
                <c:pt idx="57">
                  <c:v>4.0375775747490586E-2</c:v>
                </c:pt>
                <c:pt idx="58">
                  <c:v>3.7068491080642037E-2</c:v>
                </c:pt>
                <c:pt idx="59">
                  <c:v>3.5292874045368669E-2</c:v>
                </c:pt>
                <c:pt idx="60">
                  <c:v>3.7783523384282779E-2</c:v>
                </c:pt>
                <c:pt idx="61">
                  <c:v>3.7179931134688447E-2</c:v>
                </c:pt>
                <c:pt idx="62">
                  <c:v>4.0926600889400401E-2</c:v>
                </c:pt>
                <c:pt idx="63">
                  <c:v>4.2297515253429771E-2</c:v>
                </c:pt>
                <c:pt idx="64">
                  <c:v>4.9944145503517473E-2</c:v>
                </c:pt>
                <c:pt idx="65">
                  <c:v>5.2688536214115053E-2</c:v>
                </c:pt>
                <c:pt idx="66">
                  <c:v>5.3406756252827599E-2</c:v>
                </c:pt>
                <c:pt idx="67">
                  <c:v>4.9409087230097584E-2</c:v>
                </c:pt>
                <c:pt idx="68">
                  <c:v>6.0993071385921013E-2</c:v>
                </c:pt>
                <c:pt idx="69">
                  <c:v>5.8522005925088022E-2</c:v>
                </c:pt>
                <c:pt idx="70">
                  <c:v>5.7864318754810053E-2</c:v>
                </c:pt>
                <c:pt idx="71">
                  <c:v>5.893128034724425E-2</c:v>
                </c:pt>
                <c:pt idx="72">
                  <c:v>6.1050906317596146E-2</c:v>
                </c:pt>
                <c:pt idx="73">
                  <c:v>6.9507507938749727E-2</c:v>
                </c:pt>
                <c:pt idx="74">
                  <c:v>7.1807417394960577E-2</c:v>
                </c:pt>
                <c:pt idx="75">
                  <c:v>7.6871911482355809E-2</c:v>
                </c:pt>
                <c:pt idx="76">
                  <c:v>8.1047418608132679E-2</c:v>
                </c:pt>
                <c:pt idx="77">
                  <c:v>8.1024377187126406E-2</c:v>
                </c:pt>
                <c:pt idx="78">
                  <c:v>7.3874459020250013E-2</c:v>
                </c:pt>
                <c:pt idx="79">
                  <c:v>6.8808345647434793E-2</c:v>
                </c:pt>
                <c:pt idx="80">
                  <c:v>6.6928045339529646E-2</c:v>
                </c:pt>
                <c:pt idx="81">
                  <c:v>5.5509572748941624E-2</c:v>
                </c:pt>
                <c:pt idx="82">
                  <c:v>6.1221877204541246E-2</c:v>
                </c:pt>
                <c:pt idx="83">
                  <c:v>7.1499983818417823E-2</c:v>
                </c:pt>
                <c:pt idx="84">
                  <c:v>7.8555457913153451E-2</c:v>
                </c:pt>
                <c:pt idx="85">
                  <c:v>7.2854586100585206E-2</c:v>
                </c:pt>
                <c:pt idx="86">
                  <c:v>8.4919956257812068E-2</c:v>
                </c:pt>
                <c:pt idx="87">
                  <c:v>9.0176309541910457E-2</c:v>
                </c:pt>
              </c:numCache>
            </c:numRef>
          </c:val>
          <c:smooth val="0"/>
          <c:extLst>
            <c:ext xmlns:c16="http://schemas.microsoft.com/office/drawing/2014/chart" uri="{C3380CC4-5D6E-409C-BE32-E72D297353CC}">
              <c16:uniqueId val="{00000005-5C97-4FBA-8C77-469037C4D8ED}"/>
            </c:ext>
          </c:extLst>
        </c:ser>
        <c:ser>
          <c:idx val="6"/>
          <c:order val="6"/>
          <c:spPr>
            <a:ln w="28575" cap="rnd">
              <a:solidFill>
                <a:schemeClr val="accent1">
                  <a:lumMod val="60000"/>
                </a:schemeClr>
              </a:solidFill>
              <a:round/>
            </a:ln>
            <a:effectLst/>
          </c:spPr>
          <c:marker>
            <c:symbol val="none"/>
          </c:marker>
          <c:val>
            <c:numRef>
              <c:f>'New Peers'!$AO$111:$AO$198</c:f>
              <c:numCache>
                <c:formatCode>0.0%_);\(0.0%\)</c:formatCode>
                <c:ptCount val="88"/>
                <c:pt idx="0">
                  <c:v>0.14665325209442537</c:v>
                </c:pt>
                <c:pt idx="1">
                  <c:v>0.14933233575813976</c:v>
                </c:pt>
                <c:pt idx="2">
                  <c:v>0.14345708393354392</c:v>
                </c:pt>
                <c:pt idx="3">
                  <c:v>0.13145238797937431</c:v>
                </c:pt>
                <c:pt idx="4">
                  <c:v>0.13676793233478601</c:v>
                </c:pt>
                <c:pt idx="5">
                  <c:v>0.13958440039512829</c:v>
                </c:pt>
                <c:pt idx="6">
                  <c:v>0.12463206496299899</c:v>
                </c:pt>
                <c:pt idx="7">
                  <c:v>0.12748322019237177</c:v>
                </c:pt>
                <c:pt idx="8">
                  <c:v>0.12357980462366526</c:v>
                </c:pt>
                <c:pt idx="9">
                  <c:v>0.12479939336417993</c:v>
                </c:pt>
                <c:pt idx="10">
                  <c:v>0.11861057991353027</c:v>
                </c:pt>
                <c:pt idx="11">
                  <c:v>0.11803718261357432</c:v>
                </c:pt>
                <c:pt idx="12">
                  <c:v>0.11118767554007235</c:v>
                </c:pt>
                <c:pt idx="13">
                  <c:v>0.11416987347288664</c:v>
                </c:pt>
                <c:pt idx="14">
                  <c:v>0.11910530110538531</c:v>
                </c:pt>
                <c:pt idx="15">
                  <c:v>0.11066650392934479</c:v>
                </c:pt>
                <c:pt idx="16">
                  <c:v>0.11000951969560366</c:v>
                </c:pt>
                <c:pt idx="17">
                  <c:v>0.11765545885783214</c:v>
                </c:pt>
                <c:pt idx="18">
                  <c:v>0.10309423379375168</c:v>
                </c:pt>
                <c:pt idx="19">
                  <c:v>0.10493260042135373</c:v>
                </c:pt>
                <c:pt idx="20">
                  <c:v>0.10461404078318205</c:v>
                </c:pt>
                <c:pt idx="21">
                  <c:v>0.11375844790466122</c:v>
                </c:pt>
                <c:pt idx="22">
                  <c:v>0.1113568766171243</c:v>
                </c:pt>
                <c:pt idx="23">
                  <c:v>0.11075750305605427</c:v>
                </c:pt>
                <c:pt idx="24">
                  <c:v>0.11721584710392755</c:v>
                </c:pt>
                <c:pt idx="25">
                  <c:v>0.11425415584764965</c:v>
                </c:pt>
                <c:pt idx="26">
                  <c:v>0.11223993757934753</c:v>
                </c:pt>
                <c:pt idx="27">
                  <c:v>0.10986308088658957</c:v>
                </c:pt>
                <c:pt idx="28">
                  <c:v>0.13362936278807275</c:v>
                </c:pt>
                <c:pt idx="29">
                  <c:v>0.13875072601418731</c:v>
                </c:pt>
                <c:pt idx="30">
                  <c:v>0.13965571877898886</c:v>
                </c:pt>
                <c:pt idx="31">
                  <c:v>0.14016016494345382</c:v>
                </c:pt>
                <c:pt idx="32">
                  <c:v>0.12577789275969692</c:v>
                </c:pt>
                <c:pt idx="33">
                  <c:v>0.12883630554734576</c:v>
                </c:pt>
                <c:pt idx="34">
                  <c:v>0.1267270817051043</c:v>
                </c:pt>
                <c:pt idx="35">
                  <c:v>0.12278169003290117</c:v>
                </c:pt>
                <c:pt idx="36">
                  <c:v>0.12690647665888022</c:v>
                </c:pt>
                <c:pt idx="37">
                  <c:v>0.12871401895691365</c:v>
                </c:pt>
                <c:pt idx="38">
                  <c:v>0.13408263142299734</c:v>
                </c:pt>
                <c:pt idx="39">
                  <c:v>0.13740998768381793</c:v>
                </c:pt>
                <c:pt idx="40">
                  <c:v>0.1280811751575916</c:v>
                </c:pt>
                <c:pt idx="41">
                  <c:v>0.12961664240478243</c:v>
                </c:pt>
                <c:pt idx="42">
                  <c:v>0.14220109566347411</c:v>
                </c:pt>
                <c:pt idx="43">
                  <c:v>0.12909829647358986</c:v>
                </c:pt>
                <c:pt idx="44">
                  <c:v>0.14334074103641403</c:v>
                </c:pt>
                <c:pt idx="45">
                  <c:v>0.14178666648113397</c:v>
                </c:pt>
                <c:pt idx="46">
                  <c:v>0.14508953031496047</c:v>
                </c:pt>
                <c:pt idx="47">
                  <c:v>0.13934693079056562</c:v>
                </c:pt>
                <c:pt idx="48">
                  <c:v>0.1401511363271114</c:v>
                </c:pt>
                <c:pt idx="49">
                  <c:v>0.1438969040070005</c:v>
                </c:pt>
                <c:pt idx="50">
                  <c:v>0.14786358238378602</c:v>
                </c:pt>
                <c:pt idx="51">
                  <c:v>0.14634222077474712</c:v>
                </c:pt>
                <c:pt idx="52">
                  <c:v>0.13969762233671121</c:v>
                </c:pt>
                <c:pt idx="53">
                  <c:v>0.14512215957456348</c:v>
                </c:pt>
                <c:pt idx="54">
                  <c:v>0.14031646313630283</c:v>
                </c:pt>
                <c:pt idx="55">
                  <c:v>0.15435283352692716</c:v>
                </c:pt>
                <c:pt idx="56">
                  <c:v>0.15964469627462202</c:v>
                </c:pt>
                <c:pt idx="57">
                  <c:v>0.15845653854657846</c:v>
                </c:pt>
                <c:pt idx="58">
                  <c:v>0.1509111781171687</c:v>
                </c:pt>
                <c:pt idx="59">
                  <c:v>0.14550921945233466</c:v>
                </c:pt>
                <c:pt idx="60">
                  <c:v>0.14588621534522811</c:v>
                </c:pt>
                <c:pt idx="61">
                  <c:v>0.13869526665599086</c:v>
                </c:pt>
                <c:pt idx="62">
                  <c:v>0.13213858278593346</c:v>
                </c:pt>
                <c:pt idx="63">
                  <c:v>0.12995971977543672</c:v>
                </c:pt>
                <c:pt idx="64">
                  <c:v>0.12862361185453564</c:v>
                </c:pt>
                <c:pt idx="65">
                  <c:v>0.12043734014307188</c:v>
                </c:pt>
                <c:pt idx="66">
                  <c:v>0.11949770066620369</c:v>
                </c:pt>
                <c:pt idx="67">
                  <c:v>0.11917170629309926</c:v>
                </c:pt>
                <c:pt idx="68">
                  <c:v>0.11497311215350835</c:v>
                </c:pt>
                <c:pt idx="69">
                  <c:v>0.1225609189861761</c:v>
                </c:pt>
                <c:pt idx="70">
                  <c:v>0.12533849971227276</c:v>
                </c:pt>
                <c:pt idx="71">
                  <c:v>0.12588994558331568</c:v>
                </c:pt>
                <c:pt idx="72">
                  <c:v>0.14519898500014236</c:v>
                </c:pt>
                <c:pt idx="73">
                  <c:v>0.15079965142445936</c:v>
                </c:pt>
                <c:pt idx="74">
                  <c:v>0.15852124509205218</c:v>
                </c:pt>
                <c:pt idx="75">
                  <c:v>0.14843070434019334</c:v>
                </c:pt>
                <c:pt idx="76">
                  <c:v>0.13661429621283988</c:v>
                </c:pt>
                <c:pt idx="77">
                  <c:v>0.14969708190313896</c:v>
                </c:pt>
                <c:pt idx="78">
                  <c:v>0.16151326534599356</c:v>
                </c:pt>
                <c:pt idx="79">
                  <c:v>0.14810676032052414</c:v>
                </c:pt>
                <c:pt idx="80">
                  <c:v>0.17003002917599472</c:v>
                </c:pt>
                <c:pt idx="81">
                  <c:v>0.1685966071891617</c:v>
                </c:pt>
                <c:pt idx="82">
                  <c:v>0.16309100040532842</c:v>
                </c:pt>
                <c:pt idx="83">
                  <c:v>0.16579709537037207</c:v>
                </c:pt>
                <c:pt idx="84">
                  <c:v>0.15215862906151739</c:v>
                </c:pt>
                <c:pt idx="85">
                  <c:v>0.15885973074353255</c:v>
                </c:pt>
                <c:pt idx="86">
                  <c:v>0.15852374271063813</c:v>
                </c:pt>
                <c:pt idx="87">
                  <c:v>0.18636646819926495</c:v>
                </c:pt>
              </c:numCache>
            </c:numRef>
          </c:val>
          <c:smooth val="0"/>
          <c:extLst>
            <c:ext xmlns:c16="http://schemas.microsoft.com/office/drawing/2014/chart" uri="{C3380CC4-5D6E-409C-BE32-E72D297353CC}">
              <c16:uniqueId val="{00000006-5C97-4FBA-8C77-469037C4D8ED}"/>
            </c:ext>
          </c:extLst>
        </c:ser>
        <c:ser>
          <c:idx val="7"/>
          <c:order val="7"/>
          <c:spPr>
            <a:ln w="28575" cap="rnd">
              <a:solidFill>
                <a:schemeClr val="accent2">
                  <a:lumMod val="60000"/>
                </a:schemeClr>
              </a:solidFill>
              <a:round/>
            </a:ln>
            <a:effectLst/>
          </c:spPr>
          <c:marker>
            <c:symbol val="none"/>
          </c:marker>
          <c:val>
            <c:numRef>
              <c:f>'New Peers'!$AP$111:$AP$198</c:f>
              <c:numCache>
                <c:formatCode>0.0%_);\(0.0%\)</c:formatCode>
                <c:ptCount val="88"/>
                <c:pt idx="0">
                  <c:v>7.0497079847113855E-2</c:v>
                </c:pt>
                <c:pt idx="1">
                  <c:v>8.2799275116951163E-2</c:v>
                </c:pt>
                <c:pt idx="2">
                  <c:v>8.1187088405488966E-2</c:v>
                </c:pt>
                <c:pt idx="3">
                  <c:v>9.5172739866129327E-2</c:v>
                </c:pt>
                <c:pt idx="4">
                  <c:v>9.3453376958246043E-2</c:v>
                </c:pt>
                <c:pt idx="5">
                  <c:v>9.1643335037791054E-2</c:v>
                </c:pt>
                <c:pt idx="6">
                  <c:v>8.6172155833274033E-2</c:v>
                </c:pt>
                <c:pt idx="7">
                  <c:v>8.55117855343792E-2</c:v>
                </c:pt>
                <c:pt idx="8">
                  <c:v>9.1605148130211339E-2</c:v>
                </c:pt>
                <c:pt idx="9">
                  <c:v>8.0900942935533904E-2</c:v>
                </c:pt>
                <c:pt idx="10">
                  <c:v>7.9797493445087908E-2</c:v>
                </c:pt>
                <c:pt idx="11">
                  <c:v>7.9809731423314406E-2</c:v>
                </c:pt>
                <c:pt idx="12">
                  <c:v>7.8588956534212023E-2</c:v>
                </c:pt>
                <c:pt idx="13">
                  <c:v>8.1024271409919954E-2</c:v>
                </c:pt>
                <c:pt idx="14">
                  <c:v>8.5205127431462885E-2</c:v>
                </c:pt>
                <c:pt idx="15">
                  <c:v>7.7090062769886405E-2</c:v>
                </c:pt>
                <c:pt idx="16">
                  <c:v>7.7419955370092178E-2</c:v>
                </c:pt>
                <c:pt idx="17">
                  <c:v>8.2878065170143636E-2</c:v>
                </c:pt>
                <c:pt idx="18">
                  <c:v>9.854131120732959E-2</c:v>
                </c:pt>
                <c:pt idx="19">
                  <c:v>9.5740202540830793E-2</c:v>
                </c:pt>
                <c:pt idx="20">
                  <c:v>8.4370834064460845E-2</c:v>
                </c:pt>
                <c:pt idx="21">
                  <c:v>9.8379276258221904E-2</c:v>
                </c:pt>
                <c:pt idx="22">
                  <c:v>9.4922963590634055E-2</c:v>
                </c:pt>
                <c:pt idx="23">
                  <c:v>0.10731368094440398</c:v>
                </c:pt>
                <c:pt idx="24">
                  <c:v>9.916027324637372E-2</c:v>
                </c:pt>
                <c:pt idx="25">
                  <c:v>9.3523138252131224E-2</c:v>
                </c:pt>
                <c:pt idx="26">
                  <c:v>9.0579337015704961E-2</c:v>
                </c:pt>
                <c:pt idx="27">
                  <c:v>8.3270165913909594E-2</c:v>
                </c:pt>
                <c:pt idx="28">
                  <c:v>8.3063590750404426E-2</c:v>
                </c:pt>
                <c:pt idx="29">
                  <c:v>8.1938691574504549E-2</c:v>
                </c:pt>
                <c:pt idx="30">
                  <c:v>9.8892157257852928E-2</c:v>
                </c:pt>
                <c:pt idx="31">
                  <c:v>9.9388714823804944E-2</c:v>
                </c:pt>
                <c:pt idx="32">
                  <c:v>8.8264129746507686E-2</c:v>
                </c:pt>
                <c:pt idx="33">
                  <c:v>8.4895011223782332E-2</c:v>
                </c:pt>
                <c:pt idx="34">
                  <c:v>7.9970578302589038E-2</c:v>
                </c:pt>
                <c:pt idx="35">
                  <c:v>7.6693334342521707E-2</c:v>
                </c:pt>
                <c:pt idx="36">
                  <c:v>3.437533303978331E-2</c:v>
                </c:pt>
                <c:pt idx="37">
                  <c:v>3.8222666809976984E-2</c:v>
                </c:pt>
                <c:pt idx="38">
                  <c:v>3.5749593417173119E-2</c:v>
                </c:pt>
                <c:pt idx="39">
                  <c:v>3.460729185548294E-2</c:v>
                </c:pt>
                <c:pt idx="40">
                  <c:v>7.1521174717537078E-2</c:v>
                </c:pt>
                <c:pt idx="41">
                  <c:v>6.2799517642475156E-2</c:v>
                </c:pt>
                <c:pt idx="42">
                  <c:v>7.3282919624540394E-2</c:v>
                </c:pt>
                <c:pt idx="43">
                  <c:v>7.3352297907085529E-2</c:v>
                </c:pt>
                <c:pt idx="44">
                  <c:v>7.9387615595776076E-2</c:v>
                </c:pt>
                <c:pt idx="45">
                  <c:v>7.7239349001062552E-2</c:v>
                </c:pt>
                <c:pt idx="46">
                  <c:v>7.8585135170640572E-2</c:v>
                </c:pt>
                <c:pt idx="47">
                  <c:v>8.1508617878747691E-2</c:v>
                </c:pt>
                <c:pt idx="48">
                  <c:v>7.3204911273807557E-2</c:v>
                </c:pt>
                <c:pt idx="49">
                  <c:v>6.9286997647534571E-2</c:v>
                </c:pt>
                <c:pt idx="50">
                  <c:v>6.6583909388194376E-2</c:v>
                </c:pt>
                <c:pt idx="51">
                  <c:v>6.4986294073165599E-2</c:v>
                </c:pt>
                <c:pt idx="52">
                  <c:v>6.3198431209288364E-2</c:v>
                </c:pt>
                <c:pt idx="53">
                  <c:v>6.1175511206042171E-2</c:v>
                </c:pt>
                <c:pt idx="54">
                  <c:v>5.7200940876706741E-2</c:v>
                </c:pt>
                <c:pt idx="55">
                  <c:v>5.9209970007459693E-2</c:v>
                </c:pt>
                <c:pt idx="56">
                  <c:v>5.5489159280454795E-2</c:v>
                </c:pt>
                <c:pt idx="57">
                  <c:v>5.873172015141203E-2</c:v>
                </c:pt>
                <c:pt idx="58">
                  <c:v>5.154902873463213E-2</c:v>
                </c:pt>
                <c:pt idx="59">
                  <c:v>5.1051278687894268E-2</c:v>
                </c:pt>
                <c:pt idx="60">
                  <c:v>6.5170235158358972E-2</c:v>
                </c:pt>
                <c:pt idx="61">
                  <c:v>6.8584404382688799E-2</c:v>
                </c:pt>
                <c:pt idx="62">
                  <c:v>7.0463428285223256E-2</c:v>
                </c:pt>
                <c:pt idx="63">
                  <c:v>7.2849462510021459E-2</c:v>
                </c:pt>
                <c:pt idx="64">
                  <c:v>7.1874083886382389E-2</c:v>
                </c:pt>
                <c:pt idx="65">
                  <c:v>7.0537395906101599E-2</c:v>
                </c:pt>
                <c:pt idx="66">
                  <c:v>6.2833474315653462E-2</c:v>
                </c:pt>
                <c:pt idx="67">
                  <c:v>5.9285764221877056E-2</c:v>
                </c:pt>
                <c:pt idx="68">
                  <c:v>6.3141943977359116E-2</c:v>
                </c:pt>
                <c:pt idx="69">
                  <c:v>6.4784497758570717E-2</c:v>
                </c:pt>
                <c:pt idx="70">
                  <c:v>6.2096210727114368E-2</c:v>
                </c:pt>
                <c:pt idx="71">
                  <c:v>5.9513484281398944E-2</c:v>
                </c:pt>
                <c:pt idx="72">
                  <c:v>6.0986391594111448E-2</c:v>
                </c:pt>
                <c:pt idx="73">
                  <c:v>6.6607490569560765E-2</c:v>
                </c:pt>
                <c:pt idx="74">
                  <c:v>6.8211989935837075E-2</c:v>
                </c:pt>
                <c:pt idx="75">
                  <c:v>6.5753480716465904E-2</c:v>
                </c:pt>
                <c:pt idx="76">
                  <c:v>5.7293414777401575E-2</c:v>
                </c:pt>
                <c:pt idx="77">
                  <c:v>5.0638775623173524E-2</c:v>
                </c:pt>
                <c:pt idx="78">
                  <c:v>5.0563480695822859E-2</c:v>
                </c:pt>
                <c:pt idx="79">
                  <c:v>5.2609134417968627E-2</c:v>
                </c:pt>
                <c:pt idx="80">
                  <c:v>5.2936207848522147E-2</c:v>
                </c:pt>
                <c:pt idx="81">
                  <c:v>5.5342105616471224E-2</c:v>
                </c:pt>
                <c:pt idx="82">
                  <c:v>5.11452754269257E-2</c:v>
                </c:pt>
                <c:pt idx="83">
                  <c:v>5.6231611945191391E-2</c:v>
                </c:pt>
                <c:pt idx="84">
                  <c:v>5.3678119662678443E-2</c:v>
                </c:pt>
                <c:pt idx="85">
                  <c:v>4.9785422716207166E-2</c:v>
                </c:pt>
                <c:pt idx="86">
                  <c:v>5.8363742867288786E-2</c:v>
                </c:pt>
                <c:pt idx="87">
                  <c:v>6.8486780562853303E-2</c:v>
                </c:pt>
              </c:numCache>
            </c:numRef>
          </c:val>
          <c:smooth val="0"/>
          <c:extLst>
            <c:ext xmlns:c16="http://schemas.microsoft.com/office/drawing/2014/chart" uri="{C3380CC4-5D6E-409C-BE32-E72D297353CC}">
              <c16:uniqueId val="{00000007-5C97-4FBA-8C77-469037C4D8ED}"/>
            </c:ext>
          </c:extLst>
        </c:ser>
        <c:ser>
          <c:idx val="8"/>
          <c:order val="8"/>
          <c:spPr>
            <a:ln w="28575" cap="rnd">
              <a:solidFill>
                <a:schemeClr val="accent3">
                  <a:lumMod val="60000"/>
                </a:schemeClr>
              </a:solidFill>
              <a:round/>
            </a:ln>
            <a:effectLst/>
          </c:spPr>
          <c:marker>
            <c:symbol val="none"/>
          </c:marker>
          <c:val>
            <c:numRef>
              <c:f>'New Peers'!$AQ$111:$AQ$198</c:f>
              <c:numCache>
                <c:formatCode>0.0%_);\(0.0%\)</c:formatCode>
                <c:ptCount val="88"/>
                <c:pt idx="0">
                  <c:v>7.1824908586113789E-2</c:v>
                </c:pt>
                <c:pt idx="1">
                  <c:v>6.8669091454754694E-2</c:v>
                </c:pt>
                <c:pt idx="2">
                  <c:v>6.2844712784878382E-2</c:v>
                </c:pt>
                <c:pt idx="3">
                  <c:v>6.4401709109923183E-2</c:v>
                </c:pt>
                <c:pt idx="4">
                  <c:v>6.4048646110771573E-2</c:v>
                </c:pt>
                <c:pt idx="5">
                  <c:v>6.4444651564481856E-2</c:v>
                </c:pt>
                <c:pt idx="6">
                  <c:v>5.7978722995536497E-2</c:v>
                </c:pt>
                <c:pt idx="7">
                  <c:v>5.5053985734831189E-2</c:v>
                </c:pt>
                <c:pt idx="8">
                  <c:v>5.5327135446928168E-2</c:v>
                </c:pt>
                <c:pt idx="9">
                  <c:v>5.4831107013747361E-2</c:v>
                </c:pt>
                <c:pt idx="10">
                  <c:v>5.0335082634539279E-2</c:v>
                </c:pt>
                <c:pt idx="11">
                  <c:v>5.4769010772224853E-2</c:v>
                </c:pt>
                <c:pt idx="12">
                  <c:v>5.5374347534002326E-2</c:v>
                </c:pt>
                <c:pt idx="13">
                  <c:v>5.5998642412608643E-2</c:v>
                </c:pt>
                <c:pt idx="14">
                  <c:v>5.6189452910252541E-2</c:v>
                </c:pt>
                <c:pt idx="15">
                  <c:v>5.265307080986658E-2</c:v>
                </c:pt>
                <c:pt idx="16">
                  <c:v>5.7825938618149234E-2</c:v>
                </c:pt>
                <c:pt idx="17">
                  <c:v>5.381021711217672E-2</c:v>
                </c:pt>
                <c:pt idx="18">
                  <c:v>5.3314475033978799E-2</c:v>
                </c:pt>
                <c:pt idx="19">
                  <c:v>5.1022578680136974E-2</c:v>
                </c:pt>
                <c:pt idx="20">
                  <c:v>5.0375461987135002E-2</c:v>
                </c:pt>
                <c:pt idx="21">
                  <c:v>5.3507414173766046E-2</c:v>
                </c:pt>
                <c:pt idx="22">
                  <c:v>5.550988284307274E-2</c:v>
                </c:pt>
                <c:pt idx="23">
                  <c:v>5.5885411979037021E-2</c:v>
                </c:pt>
                <c:pt idx="24">
                  <c:v>5.3313298292008114E-2</c:v>
                </c:pt>
                <c:pt idx="25">
                  <c:v>5.343313374595908E-2</c:v>
                </c:pt>
                <c:pt idx="26">
                  <c:v>5.4490698314506369E-2</c:v>
                </c:pt>
                <c:pt idx="27">
                  <c:v>5.7180025825850939E-2</c:v>
                </c:pt>
                <c:pt idx="28">
                  <c:v>5.9434926270246449E-2</c:v>
                </c:pt>
                <c:pt idx="29">
                  <c:v>5.3239868768474079E-2</c:v>
                </c:pt>
                <c:pt idx="30">
                  <c:v>4.6586015747213855E-2</c:v>
                </c:pt>
                <c:pt idx="31">
                  <c:v>4.3167518190115273E-2</c:v>
                </c:pt>
                <c:pt idx="32">
                  <c:v>4.67605643969842E-2</c:v>
                </c:pt>
                <c:pt idx="33">
                  <c:v>5.1619503985092484E-2</c:v>
                </c:pt>
                <c:pt idx="34">
                  <c:v>4.9754517774753142E-2</c:v>
                </c:pt>
                <c:pt idx="35">
                  <c:v>4.7793319846621461E-2</c:v>
                </c:pt>
                <c:pt idx="36">
                  <c:v>5.3300879819818514E-2</c:v>
                </c:pt>
                <c:pt idx="37">
                  <c:v>5.28951200447779E-2</c:v>
                </c:pt>
                <c:pt idx="38">
                  <c:v>6.0073947242638585E-2</c:v>
                </c:pt>
                <c:pt idx="39">
                  <c:v>6.393236310431856E-2</c:v>
                </c:pt>
                <c:pt idx="40">
                  <c:v>6.2005011857788915E-2</c:v>
                </c:pt>
                <c:pt idx="41">
                  <c:v>6.001437567568163E-2</c:v>
                </c:pt>
                <c:pt idx="42">
                  <c:v>5.7623096163625154E-2</c:v>
                </c:pt>
                <c:pt idx="43">
                  <c:v>6.6037009831419233E-2</c:v>
                </c:pt>
                <c:pt idx="44">
                  <c:v>5.8365245610200109E-2</c:v>
                </c:pt>
                <c:pt idx="45">
                  <c:v>6.1204743864409342E-2</c:v>
                </c:pt>
                <c:pt idx="46">
                  <c:v>9.5952100376830662E-2</c:v>
                </c:pt>
                <c:pt idx="47">
                  <c:v>0.10196824577183342</c:v>
                </c:pt>
                <c:pt idx="48">
                  <c:v>9.2993004801227477E-2</c:v>
                </c:pt>
                <c:pt idx="49">
                  <c:v>9.6884187288687987E-2</c:v>
                </c:pt>
                <c:pt idx="50">
                  <c:v>8.7765720968654676E-2</c:v>
                </c:pt>
                <c:pt idx="51">
                  <c:v>8.9768032848975263E-2</c:v>
                </c:pt>
                <c:pt idx="52">
                  <c:v>8.7891347308160658E-2</c:v>
                </c:pt>
                <c:pt idx="53">
                  <c:v>8.5850446098361136E-2</c:v>
                </c:pt>
                <c:pt idx="54">
                  <c:v>8.3726544796893024E-2</c:v>
                </c:pt>
                <c:pt idx="55">
                  <c:v>7.4212358082515265E-2</c:v>
                </c:pt>
                <c:pt idx="56">
                  <c:v>8.7000784425883271E-2</c:v>
                </c:pt>
                <c:pt idx="57">
                  <c:v>9.2336598313042167E-2</c:v>
                </c:pt>
                <c:pt idx="58">
                  <c:v>8.567967666221174E-2</c:v>
                </c:pt>
                <c:pt idx="59">
                  <c:v>8.4113899921438223E-2</c:v>
                </c:pt>
                <c:pt idx="60">
                  <c:v>8.1331871256691696E-2</c:v>
                </c:pt>
                <c:pt idx="61">
                  <c:v>7.2021572515146084E-2</c:v>
                </c:pt>
                <c:pt idx="62">
                  <c:v>7.9497341294607171E-2</c:v>
                </c:pt>
                <c:pt idx="63">
                  <c:v>8.0172336137099995E-2</c:v>
                </c:pt>
                <c:pt idx="64">
                  <c:v>7.6141672126621429E-2</c:v>
                </c:pt>
                <c:pt idx="65">
                  <c:v>7.7581107904267296E-2</c:v>
                </c:pt>
                <c:pt idx="66">
                  <c:v>7.3949768600353849E-2</c:v>
                </c:pt>
                <c:pt idx="67">
                  <c:v>7.8672375501999625E-2</c:v>
                </c:pt>
                <c:pt idx="68">
                  <c:v>8.9398395548275778E-2</c:v>
                </c:pt>
                <c:pt idx="69">
                  <c:v>8.419413269807656E-2</c:v>
                </c:pt>
                <c:pt idx="70">
                  <c:v>7.7112384009124971E-2</c:v>
                </c:pt>
                <c:pt idx="71">
                  <c:v>7.7120920257019998E-2</c:v>
                </c:pt>
                <c:pt idx="72">
                  <c:v>7.6816958224760645E-2</c:v>
                </c:pt>
                <c:pt idx="73">
                  <c:v>7.3682814208217123E-2</c:v>
                </c:pt>
                <c:pt idx="74">
                  <c:v>7.7087727108991894E-2</c:v>
                </c:pt>
                <c:pt idx="75">
                  <c:v>7.4250658339595849E-2</c:v>
                </c:pt>
                <c:pt idx="76">
                  <c:v>7.595164574041377E-2</c:v>
                </c:pt>
                <c:pt idx="77">
                  <c:v>7.1744009972201539E-2</c:v>
                </c:pt>
                <c:pt idx="78">
                  <c:v>7.8162588558527493E-2</c:v>
                </c:pt>
                <c:pt idx="79">
                  <c:v>8.2091388231689558E-2</c:v>
                </c:pt>
                <c:pt idx="80">
                  <c:v>8.2297698488848783E-2</c:v>
                </c:pt>
                <c:pt idx="81">
                  <c:v>7.5465650684891E-2</c:v>
                </c:pt>
                <c:pt idx="82">
                  <c:v>7.5703205649685121E-2</c:v>
                </c:pt>
                <c:pt idx="83">
                  <c:v>8.2837104367676481E-2</c:v>
                </c:pt>
                <c:pt idx="84">
                  <c:v>7.900850390765142E-2</c:v>
                </c:pt>
                <c:pt idx="85">
                  <c:v>7.1134968415745028E-2</c:v>
                </c:pt>
                <c:pt idx="86">
                  <c:v>6.711345699191941E-2</c:v>
                </c:pt>
                <c:pt idx="87">
                  <c:v>7.4055126192351439E-2</c:v>
                </c:pt>
              </c:numCache>
            </c:numRef>
          </c:val>
          <c:smooth val="0"/>
          <c:extLst>
            <c:ext xmlns:c16="http://schemas.microsoft.com/office/drawing/2014/chart" uri="{C3380CC4-5D6E-409C-BE32-E72D297353CC}">
              <c16:uniqueId val="{00000008-5C97-4FBA-8C77-469037C4D8ED}"/>
            </c:ext>
          </c:extLst>
        </c:ser>
        <c:dLbls>
          <c:showLegendKey val="0"/>
          <c:showVal val="0"/>
          <c:showCatName val="0"/>
          <c:showSerName val="0"/>
          <c:showPercent val="0"/>
          <c:showBubbleSize val="0"/>
        </c:dLbls>
        <c:smooth val="0"/>
        <c:axId val="1734925967"/>
        <c:axId val="1250578495"/>
      </c:lineChart>
      <c:catAx>
        <c:axId val="173492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578495"/>
        <c:crosses val="autoZero"/>
        <c:auto val="1"/>
        <c:lblAlgn val="ctr"/>
        <c:lblOffset val="100"/>
        <c:noMultiLvlLbl val="0"/>
      </c:catAx>
      <c:valAx>
        <c:axId val="1250578495"/>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492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'New Peers'!$O$208</c:f>
              <c:strCache>
                <c:ptCount val="1"/>
                <c:pt idx="0">
                  <c:v>2001</c:v>
                </c:pt>
              </c:strCache>
            </c:strRef>
          </c:tx>
          <c:spPr>
            <a:solidFill>
              <a:schemeClr val="accent1"/>
            </a:solidFill>
            <a:ln>
              <a:noFill/>
            </a:ln>
            <a:effectLst/>
          </c:spPr>
          <c:invertIfNegative val="0"/>
          <c:cat>
            <c:strRef>
              <c:f>'New Peers'!$N$209:$N$217</c:f>
              <c:strCache>
                <c:ptCount val="9"/>
                <c:pt idx="0">
                  <c:v>3M Co</c:v>
                </c:pt>
                <c:pt idx="1">
                  <c:v>PPG Industries Inc</c:v>
                </c:pt>
                <c:pt idx="2">
                  <c:v>Solvay SA</c:v>
                </c:pt>
                <c:pt idx="3">
                  <c:v>Eastman Chemical Co</c:v>
                </c:pt>
                <c:pt idx="4">
                  <c:v>Ashland Inc</c:v>
                </c:pt>
                <c:pt idx="5">
                  <c:v>FMC Corp</c:v>
                </c:pt>
                <c:pt idx="6">
                  <c:v>Albemarle Corp</c:v>
                </c:pt>
                <c:pt idx="7">
                  <c:v>Avient Corp</c:v>
                </c:pt>
                <c:pt idx="8">
                  <c:v>Huntsman Corp</c:v>
                </c:pt>
              </c:strCache>
            </c:strRef>
          </c:cat>
          <c:val>
            <c:numRef>
              <c:f>'New Peers'!$O$209:$O$217</c:f>
              <c:numCache>
                <c:formatCode>0.0%_);\(0.0%\)</c:formatCode>
                <c:ptCount val="9"/>
                <c:pt idx="0">
                  <c:v>0.64865656864204013</c:v>
                </c:pt>
                <c:pt idx="1">
                  <c:v>0.1325900528915791</c:v>
                </c:pt>
                <c:pt idx="2">
                  <c:v>6.3603479275063296E-2</c:v>
                </c:pt>
                <c:pt idx="3">
                  <c:v>5.5839105543251034E-2</c:v>
                </c:pt>
                <c:pt idx="4">
                  <c:v>4.1264119099734139E-2</c:v>
                </c:pt>
                <c:pt idx="5">
                  <c:v>3.2340157636644336E-2</c:v>
                </c:pt>
                <c:pt idx="6">
                  <c:v>1.4182891153575588E-2</c:v>
                </c:pt>
                <c:pt idx="7">
                  <c:v>1.1523625758112407E-2</c:v>
                </c:pt>
                <c:pt idx="8">
                  <c:v>0</c:v>
                </c:pt>
              </c:numCache>
            </c:numRef>
          </c:val>
          <c:extLst>
            <c:ext xmlns:c16="http://schemas.microsoft.com/office/drawing/2014/chart" uri="{C3380CC4-5D6E-409C-BE32-E72D297353CC}">
              <c16:uniqueId val="{00000000-D45F-494B-9EFE-DA4090395B79}"/>
            </c:ext>
          </c:extLst>
        </c:ser>
        <c:ser>
          <c:idx val="1"/>
          <c:order val="1"/>
          <c:tx>
            <c:strRef>
              <c:f>'New Peers'!$P$208</c:f>
              <c:strCache>
                <c:ptCount val="1"/>
                <c:pt idx="0">
                  <c:v>2023</c:v>
                </c:pt>
              </c:strCache>
            </c:strRef>
          </c:tx>
          <c:spPr>
            <a:solidFill>
              <a:schemeClr val="accent2"/>
            </a:solidFill>
            <a:ln>
              <a:noFill/>
            </a:ln>
            <a:effectLst/>
          </c:spPr>
          <c:invertIfNegative val="0"/>
          <c:cat>
            <c:strRef>
              <c:f>'New Peers'!$N$209:$N$217</c:f>
              <c:strCache>
                <c:ptCount val="9"/>
                <c:pt idx="0">
                  <c:v>3M Co</c:v>
                </c:pt>
                <c:pt idx="1">
                  <c:v>PPG Industries Inc</c:v>
                </c:pt>
                <c:pt idx="2">
                  <c:v>Solvay SA</c:v>
                </c:pt>
                <c:pt idx="3">
                  <c:v>Eastman Chemical Co</c:v>
                </c:pt>
                <c:pt idx="4">
                  <c:v>Ashland Inc</c:v>
                </c:pt>
                <c:pt idx="5">
                  <c:v>FMC Corp</c:v>
                </c:pt>
                <c:pt idx="6">
                  <c:v>Albemarle Corp</c:v>
                </c:pt>
                <c:pt idx="7">
                  <c:v>Avient Corp</c:v>
                </c:pt>
                <c:pt idx="8">
                  <c:v>Huntsman Corp</c:v>
                </c:pt>
              </c:strCache>
            </c:strRef>
          </c:cat>
          <c:val>
            <c:numRef>
              <c:f>'New Peers'!$P$209:$P$217</c:f>
              <c:numCache>
                <c:formatCode>0.0%_);\(0.0%\)</c:formatCode>
                <c:ptCount val="9"/>
                <c:pt idx="0">
                  <c:v>0.34870425924643167</c:v>
                </c:pt>
                <c:pt idx="1">
                  <c:v>0.18913093975679574</c:v>
                </c:pt>
                <c:pt idx="2">
                  <c:v>6.7483819806027759E-2</c:v>
                </c:pt>
                <c:pt idx="3">
                  <c:v>6.0447201716369678E-2</c:v>
                </c:pt>
                <c:pt idx="4">
                  <c:v>3.3533389882937102E-2</c:v>
                </c:pt>
                <c:pt idx="5">
                  <c:v>9.1942620074805609E-2</c:v>
                </c:pt>
                <c:pt idx="6">
                  <c:v>0.15597638145152168</c:v>
                </c:pt>
                <c:pt idx="7">
                  <c:v>2.2550288118800561E-2</c:v>
                </c:pt>
                <c:pt idx="8">
                  <c:v>3.0231099946309927E-2</c:v>
                </c:pt>
              </c:numCache>
            </c:numRef>
          </c:val>
          <c:extLst>
            <c:ext xmlns:c16="http://schemas.microsoft.com/office/drawing/2014/chart" uri="{C3380CC4-5D6E-409C-BE32-E72D297353CC}">
              <c16:uniqueId val="{00000001-D45F-494B-9EFE-DA4090395B79}"/>
            </c:ext>
          </c:extLst>
        </c:ser>
        <c:dLbls>
          <c:showLegendKey val="0"/>
          <c:showVal val="0"/>
          <c:showCatName val="0"/>
          <c:showSerName val="0"/>
          <c:showPercent val="0"/>
          <c:showBubbleSize val="0"/>
        </c:dLbls>
        <c:gapWidth val="219"/>
        <c:axId val="1909479727"/>
        <c:axId val="1250625535"/>
      </c:barChart>
      <c:catAx>
        <c:axId val="190947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625535"/>
        <c:crosses val="autoZero"/>
        <c:auto val="1"/>
        <c:lblAlgn val="ctr"/>
        <c:lblOffset val="100"/>
        <c:noMultiLvlLbl val="0"/>
      </c:catAx>
      <c:valAx>
        <c:axId val="1250625535"/>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47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EV-EBITDA'!$E$11</c:f>
          <c:strCache>
            <c:ptCount val="1"/>
            <c:pt idx="0">
              <c:v>Eastman Chemical Co</c:v>
            </c:pt>
          </c:strCache>
        </c:strRef>
      </c:tx>
      <c:overlay val="0"/>
      <c:txPr>
        <a:bodyPr/>
        <a:lstStyle/>
        <a:p>
          <a:pPr>
            <a:defRPr b="1"/>
          </a:pPr>
          <a:endParaRPr lang="en-US"/>
        </a:p>
      </c:txPr>
    </c:title>
    <c:autoTitleDeleted val="0"/>
    <c:plotArea>
      <c:layout>
        <c:manualLayout>
          <c:layoutTarget val="inner"/>
          <c:xMode val="edge"/>
          <c:yMode val="edge"/>
          <c:x val="7.5437201060527329E-2"/>
          <c:y val="9.5038109423477152E-2"/>
          <c:w val="0.88375034973420186"/>
          <c:h val="0.74549449529006584"/>
        </c:manualLayout>
      </c:layout>
      <c:lineChart>
        <c:grouping val="standard"/>
        <c:varyColors val="0"/>
        <c:ser>
          <c:idx val="0"/>
          <c:order val="0"/>
          <c:tx>
            <c:strRef>
              <c:f>'Forward EV-EBITDA'!$E$11</c:f>
              <c:strCache>
                <c:ptCount val="1"/>
                <c:pt idx="0">
                  <c:v>Eastman Chemical Co</c:v>
                </c:pt>
              </c:strCache>
            </c:strRef>
          </c:tx>
          <c:spPr>
            <a:ln w="25400">
              <a:solidFill>
                <a:schemeClr val="accent1">
                  <a:lumMod val="75000"/>
                </a:schemeClr>
              </a:solidFill>
            </a:ln>
          </c:spPr>
          <c:marker>
            <c:symbol val="none"/>
          </c:marker>
          <c:cat>
            <c:numRef>
              <c:f>'New Peers'!$C$28:$C$107</c:f>
              <c:numCache>
                <c:formatCode>"Q1"\ yyyy</c:formatCode>
                <c:ptCount val="80"/>
                <c:pt idx="0" formatCode="&quot;Q4&quot;\ yyyy">
                  <c:v>37711</c:v>
                </c:pt>
                <c:pt idx="1">
                  <c:v>37802</c:v>
                </c:pt>
                <c:pt idx="2" formatCode="&quot;Q2&quot;\ yyyy">
                  <c:v>37894</c:v>
                </c:pt>
                <c:pt idx="3" formatCode="&quot;Q3&quot;\ yyyy">
                  <c:v>37986</c:v>
                </c:pt>
                <c:pt idx="4" formatCode="&quot;Q4&quot;\ yyyy">
                  <c:v>38077</c:v>
                </c:pt>
                <c:pt idx="5">
                  <c:v>38168</c:v>
                </c:pt>
                <c:pt idx="6" formatCode="&quot;Q2&quot;\ yyyy">
                  <c:v>38260</c:v>
                </c:pt>
                <c:pt idx="7" formatCode="&quot;Q3&quot;\ yyyy">
                  <c:v>38352</c:v>
                </c:pt>
                <c:pt idx="8" formatCode="&quot;Q4&quot;\ yyyy">
                  <c:v>38442</c:v>
                </c:pt>
                <c:pt idx="9">
                  <c:v>38533</c:v>
                </c:pt>
                <c:pt idx="10" formatCode="&quot;Q2&quot;\ yyyy">
                  <c:v>38625</c:v>
                </c:pt>
                <c:pt idx="11" formatCode="&quot;Q3&quot;\ yyyy">
                  <c:v>38717</c:v>
                </c:pt>
                <c:pt idx="12" formatCode="&quot;Q4&quot;\ yyyy">
                  <c:v>38807</c:v>
                </c:pt>
                <c:pt idx="13">
                  <c:v>38898</c:v>
                </c:pt>
                <c:pt idx="14" formatCode="&quot;Q2&quot;\ yyyy">
                  <c:v>38990</c:v>
                </c:pt>
                <c:pt idx="15" formatCode="&quot;Q3&quot;\ yyyy">
                  <c:v>39082</c:v>
                </c:pt>
                <c:pt idx="16" formatCode="&quot;Q4&quot;\ yyyy">
                  <c:v>39172</c:v>
                </c:pt>
                <c:pt idx="17">
                  <c:v>39263</c:v>
                </c:pt>
                <c:pt idx="18" formatCode="&quot;Q2&quot;\ yyyy">
                  <c:v>39355</c:v>
                </c:pt>
                <c:pt idx="19" formatCode="&quot;Q3&quot;\ yyyy">
                  <c:v>39447</c:v>
                </c:pt>
                <c:pt idx="20" formatCode="&quot;Q4&quot;\ yyyy">
                  <c:v>39538</c:v>
                </c:pt>
                <c:pt idx="21">
                  <c:v>39629</c:v>
                </c:pt>
                <c:pt idx="22" formatCode="&quot;Q2&quot;\ yyyy">
                  <c:v>39721</c:v>
                </c:pt>
                <c:pt idx="23" formatCode="&quot;Q3&quot;\ yyyy">
                  <c:v>39813</c:v>
                </c:pt>
                <c:pt idx="24" formatCode="&quot;Q4&quot;\ yyyy">
                  <c:v>39903</c:v>
                </c:pt>
                <c:pt idx="25">
                  <c:v>39994</c:v>
                </c:pt>
                <c:pt idx="26" formatCode="&quot;Q2&quot;\ yyyy">
                  <c:v>40086</c:v>
                </c:pt>
                <c:pt idx="27" formatCode="&quot;Q3&quot;\ yyyy">
                  <c:v>40178</c:v>
                </c:pt>
                <c:pt idx="28" formatCode="&quot;Q4&quot;\ yyyy">
                  <c:v>40268</c:v>
                </c:pt>
                <c:pt idx="29">
                  <c:v>40359</c:v>
                </c:pt>
                <c:pt idx="30" formatCode="&quot;Q2&quot;\ yyyy">
                  <c:v>40451</c:v>
                </c:pt>
                <c:pt idx="31" formatCode="&quot;Q3&quot;\ yyyy">
                  <c:v>40543</c:v>
                </c:pt>
                <c:pt idx="32" formatCode="&quot;Q4&quot;\ yyyy">
                  <c:v>40633</c:v>
                </c:pt>
                <c:pt idx="33">
                  <c:v>40724</c:v>
                </c:pt>
                <c:pt idx="34" formatCode="&quot;Q2&quot;\ yyyy">
                  <c:v>40816</c:v>
                </c:pt>
                <c:pt idx="35" formatCode="&quot;Q3&quot;\ yyyy">
                  <c:v>40908</c:v>
                </c:pt>
                <c:pt idx="36" formatCode="&quot;Q4&quot;\ yyyy">
                  <c:v>40999</c:v>
                </c:pt>
                <c:pt idx="37">
                  <c:v>41090</c:v>
                </c:pt>
                <c:pt idx="38" formatCode="&quot;Q2&quot;\ yyyy">
                  <c:v>41182</c:v>
                </c:pt>
                <c:pt idx="39" formatCode="&quot;Q3&quot;\ yyyy">
                  <c:v>41274</c:v>
                </c:pt>
                <c:pt idx="40" formatCode="&quot;Q4&quot;\ yyyy">
                  <c:v>41364</c:v>
                </c:pt>
                <c:pt idx="41">
                  <c:v>41455</c:v>
                </c:pt>
                <c:pt idx="42" formatCode="&quot;Q2&quot;\ yyyy">
                  <c:v>41547</c:v>
                </c:pt>
                <c:pt idx="43" formatCode="&quot;Q3&quot;\ yyyy">
                  <c:v>41639</c:v>
                </c:pt>
                <c:pt idx="44" formatCode="&quot;Q4&quot;\ yyyy">
                  <c:v>41729</c:v>
                </c:pt>
                <c:pt idx="45">
                  <c:v>41820</c:v>
                </c:pt>
                <c:pt idx="46" formatCode="&quot;Q2&quot;\ yyyy">
                  <c:v>41912</c:v>
                </c:pt>
                <c:pt idx="47" formatCode="&quot;Q3&quot;\ yyyy">
                  <c:v>42004</c:v>
                </c:pt>
                <c:pt idx="48" formatCode="&quot;Q4&quot;\ yyyy">
                  <c:v>42094</c:v>
                </c:pt>
                <c:pt idx="49">
                  <c:v>42185</c:v>
                </c:pt>
                <c:pt idx="50" formatCode="&quot;Q2&quot;\ yyyy">
                  <c:v>42277</c:v>
                </c:pt>
                <c:pt idx="51" formatCode="&quot;Q3&quot;\ yyyy">
                  <c:v>42369</c:v>
                </c:pt>
                <c:pt idx="52" formatCode="&quot;Q4&quot;\ yyyy">
                  <c:v>42460</c:v>
                </c:pt>
                <c:pt idx="53" formatCode="&quot;Q4&quot;\ yyyy">
                  <c:v>42551</c:v>
                </c:pt>
                <c:pt idx="54" formatCode="&quot;Q4&quot;\ yyyy">
                  <c:v>42643</c:v>
                </c:pt>
                <c:pt idx="55" formatCode="&quot;Q4&quot;\ yyyy">
                  <c:v>42735</c:v>
                </c:pt>
                <c:pt idx="56" formatCode="&quot;Q4&quot;\ yyyy">
                  <c:v>42825</c:v>
                </c:pt>
                <c:pt idx="57" formatCode="&quot;Q4&quot;\ yyyy">
                  <c:v>42916</c:v>
                </c:pt>
                <c:pt idx="58" formatCode="&quot;Q4&quot;\ yyyy">
                  <c:v>43008</c:v>
                </c:pt>
                <c:pt idx="59" formatCode="&quot;Q4&quot;\ yyyy">
                  <c:v>43100</c:v>
                </c:pt>
                <c:pt idx="60" formatCode="&quot;Q4&quot;\ yyyy">
                  <c:v>43190</c:v>
                </c:pt>
                <c:pt idx="61" formatCode="&quot;Q4&quot;\ yyyy">
                  <c:v>43281</c:v>
                </c:pt>
                <c:pt idx="62" formatCode="&quot;Q4&quot;\ yyyy">
                  <c:v>43373</c:v>
                </c:pt>
                <c:pt idx="63" formatCode="&quot;Q4&quot;\ yyyy">
                  <c:v>43465</c:v>
                </c:pt>
                <c:pt idx="64" formatCode="&quot;Q4&quot;\ yyyy">
                  <c:v>43555</c:v>
                </c:pt>
                <c:pt idx="65" formatCode="&quot;Q4&quot;\ yyyy">
                  <c:v>43646</c:v>
                </c:pt>
                <c:pt idx="66" formatCode="&quot;Q4&quot;\ yyyy">
                  <c:v>43738</c:v>
                </c:pt>
                <c:pt idx="67" formatCode="&quot;Q4&quot;\ yyyy">
                  <c:v>43830</c:v>
                </c:pt>
                <c:pt idx="68" formatCode="&quot;Q4&quot;\ yyyy">
                  <c:v>43921</c:v>
                </c:pt>
                <c:pt idx="69" formatCode="&quot;Q4&quot;\ yyyy">
                  <c:v>44012</c:v>
                </c:pt>
                <c:pt idx="70" formatCode="&quot;Q4&quot;\ yyyy">
                  <c:v>44104</c:v>
                </c:pt>
                <c:pt idx="71" formatCode="&quot;Q4&quot;\ yyyy">
                  <c:v>44196</c:v>
                </c:pt>
                <c:pt idx="72" formatCode="&quot;Q4&quot;\ yyyy">
                  <c:v>44286</c:v>
                </c:pt>
                <c:pt idx="73" formatCode="&quot;Q4&quot;\ yyyy">
                  <c:v>44377</c:v>
                </c:pt>
                <c:pt idx="74" formatCode="&quot;Q4&quot;\ yyyy">
                  <c:v>44469</c:v>
                </c:pt>
                <c:pt idx="75" formatCode="&quot;Q4&quot;\ yyyy">
                  <c:v>44561</c:v>
                </c:pt>
                <c:pt idx="76" formatCode="&quot;Q4&quot;\ yyyy">
                  <c:v>44651</c:v>
                </c:pt>
                <c:pt idx="77" formatCode="&quot;Q4&quot;\ yyyy">
                  <c:v>44742</c:v>
                </c:pt>
                <c:pt idx="78" formatCode="&quot;Q4&quot;\ yyyy">
                  <c:v>44834</c:v>
                </c:pt>
                <c:pt idx="79" formatCode="&quot;Q4&quot;\ yyyy">
                  <c:v>44926</c:v>
                </c:pt>
              </c:numCache>
            </c:numRef>
          </c:cat>
          <c:val>
            <c:numRef>
              <c:f>'New Peers'!$M$28:$M$107</c:f>
              <c:numCache>
                <c:formatCode>0.0\x_);\(0.0\x\);\-\ </c:formatCode>
                <c:ptCount val="80"/>
                <c:pt idx="0">
                  <c:v>6.4170304622231198</c:v>
                </c:pt>
                <c:pt idx="1">
                  <c:v>6.7750575682194203</c:v>
                </c:pt>
                <c:pt idx="2">
                  <c:v>6.8654685030770901</c:v>
                </c:pt>
                <c:pt idx="3">
                  <c:v>7.8432490350863402</c:v>
                </c:pt>
                <c:pt idx="4">
                  <c:v>7.5569167040128704</c:v>
                </c:pt>
                <c:pt idx="5">
                  <c:v>6.8471384363263397</c:v>
                </c:pt>
                <c:pt idx="6">
                  <c:v>7.1984570420328797</c:v>
                </c:pt>
                <c:pt idx="7">
                  <c:v>7.1596350422116304</c:v>
                </c:pt>
                <c:pt idx="8">
                  <c:v>6.1408772534009701</c:v>
                </c:pt>
                <c:pt idx="9">
                  <c:v>4.9706892077254903</c:v>
                </c:pt>
                <c:pt idx="10">
                  <c:v>5.1884370354057499</c:v>
                </c:pt>
                <c:pt idx="11">
                  <c:v>5.1637922224389996</c:v>
                </c:pt>
                <c:pt idx="12">
                  <c:v>5.6476763149678</c:v>
                </c:pt>
                <c:pt idx="13">
                  <c:v>5.2823194489265299</c:v>
                </c:pt>
                <c:pt idx="14">
                  <c:v>6.28923035184381</c:v>
                </c:pt>
                <c:pt idx="15">
                  <c:v>6.4594073510234598</c:v>
                </c:pt>
                <c:pt idx="16">
                  <c:v>6.3013393976710699</c:v>
                </c:pt>
                <c:pt idx="17">
                  <c:v>6.2204451120573099</c:v>
                </c:pt>
                <c:pt idx="18">
                  <c:v>6.1587363369563999</c:v>
                </c:pt>
                <c:pt idx="19">
                  <c:v>6.5182680604198504</c:v>
                </c:pt>
                <c:pt idx="20">
                  <c:v>6.87129923344866</c:v>
                </c:pt>
                <c:pt idx="21">
                  <c:v>5.8946740294686801</c:v>
                </c:pt>
                <c:pt idx="22">
                  <c:v>4.2557566656646602</c:v>
                </c:pt>
                <c:pt idx="23">
                  <c:v>4.7369274153280196</c:v>
                </c:pt>
                <c:pt idx="24">
                  <c:v>5.8701955247192297</c:v>
                </c:pt>
                <c:pt idx="25">
                  <c:v>6.7166062671253997</c:v>
                </c:pt>
                <c:pt idx="26">
                  <c:v>6.4572382014794396</c:v>
                </c:pt>
                <c:pt idx="27">
                  <c:v>5.7097225011042596</c:v>
                </c:pt>
                <c:pt idx="28">
                  <c:v>5.7560726798505204</c:v>
                </c:pt>
                <c:pt idx="29">
                  <c:v>4.8535986256227197</c:v>
                </c:pt>
                <c:pt idx="30">
                  <c:v>5.5657451420982502</c:v>
                </c:pt>
                <c:pt idx="31">
                  <c:v>6.2917095413208504</c:v>
                </c:pt>
                <c:pt idx="32">
                  <c:v>5.9462120607608604</c:v>
                </c:pt>
                <c:pt idx="33">
                  <c:v>4.8606812980485499</c:v>
                </c:pt>
                <c:pt idx="34">
                  <c:v>4.8776071327803603</c:v>
                </c:pt>
                <c:pt idx="35">
                  <c:v>5.3720191970030298</c:v>
                </c:pt>
                <c:pt idx="36">
                  <c:v>4.5802052792951899</c:v>
                </c:pt>
                <c:pt idx="37">
                  <c:v>4.2829373560378796</c:v>
                </c:pt>
                <c:pt idx="38">
                  <c:v>6.5670487505641697</c:v>
                </c:pt>
                <c:pt idx="39">
                  <c:v>7.7034646244575802</c:v>
                </c:pt>
                <c:pt idx="40">
                  <c:v>7.3925278844614404</c:v>
                </c:pt>
                <c:pt idx="41">
                  <c:v>7.7920271393888303</c:v>
                </c:pt>
                <c:pt idx="42">
                  <c:v>7.7148548871086602</c:v>
                </c:pt>
                <c:pt idx="43">
                  <c:v>7.9226599951817596</c:v>
                </c:pt>
                <c:pt idx="44">
                  <c:v>8.0386374338896704</c:v>
                </c:pt>
                <c:pt idx="45">
                  <c:v>7.7710426848552601</c:v>
                </c:pt>
                <c:pt idx="46">
                  <c:v>7.4467288782765904</c:v>
                </c:pt>
                <c:pt idx="47">
                  <c:v>6.9296338430472204</c:v>
                </c:pt>
                <c:pt idx="48">
                  <c:v>8.2565020886253606</c:v>
                </c:pt>
                <c:pt idx="49">
                  <c:v>7.7631885983009097</c:v>
                </c:pt>
                <c:pt idx="50">
                  <c:v>7.2711183570638598</c:v>
                </c:pt>
                <c:pt idx="51">
                  <c:v>7.1603280818444901</c:v>
                </c:pt>
                <c:pt idx="52">
                  <c:v>7.8611620646486102</c:v>
                </c:pt>
                <c:pt idx="53">
                  <c:v>7.4409689632156102</c:v>
                </c:pt>
                <c:pt idx="54">
                  <c:v>7.8806669581190301</c:v>
                </c:pt>
                <c:pt idx="55">
                  <c:v>8.2584597768041892</c:v>
                </c:pt>
                <c:pt idx="56">
                  <c:v>8.1286033293183397</c:v>
                </c:pt>
                <c:pt idx="57">
                  <c:v>8.3615309094421608</c:v>
                </c:pt>
                <c:pt idx="58">
                  <c:v>8.5433213500236693</c:v>
                </c:pt>
                <c:pt idx="59">
                  <c:v>8.9477286757746892</c:v>
                </c:pt>
                <c:pt idx="60">
                  <c:v>9.2461479850569592</c:v>
                </c:pt>
                <c:pt idx="61">
                  <c:v>8.5354105219265808</c:v>
                </c:pt>
                <c:pt idx="62">
                  <c:v>7.5448281157362196</c:v>
                </c:pt>
                <c:pt idx="63">
                  <c:v>7.7196499070828004</c:v>
                </c:pt>
                <c:pt idx="64">
                  <c:v>7.1041326552310702</c:v>
                </c:pt>
                <c:pt idx="65">
                  <c:v>6.8293388553292402</c:v>
                </c:pt>
                <c:pt idx="66">
                  <c:v>8.0806416947550908</c:v>
                </c:pt>
                <c:pt idx="67">
                  <c:v>8.1025042109024508</c:v>
                </c:pt>
                <c:pt idx="68">
                  <c:v>7.7360333434325597</c:v>
                </c:pt>
                <c:pt idx="69">
                  <c:v>8.5137936424066005</c:v>
                </c:pt>
                <c:pt idx="70">
                  <c:v>9.4849104948247795</c:v>
                </c:pt>
                <c:pt idx="71">
                  <c:v>9.8442805486113105</c:v>
                </c:pt>
                <c:pt idx="72">
                  <c:v>10.271528513511701</c:v>
                </c:pt>
                <c:pt idx="73">
                  <c:v>9.1276133775656394</c:v>
                </c:pt>
                <c:pt idx="74">
                  <c:v>9.2449286711192098</c:v>
                </c:pt>
                <c:pt idx="75">
                  <c:v>9.3087136255806993</c:v>
                </c:pt>
                <c:pt idx="76">
                  <c:v>8.3097007763091906</c:v>
                </c:pt>
                <c:pt idx="77">
                  <c:v>7.8880948363602297</c:v>
                </c:pt>
                <c:pt idx="78">
                  <c:v>8.0898627834786403</c:v>
                </c:pt>
                <c:pt idx="79">
                  <c:v>7.99841751965862</c:v>
                </c:pt>
              </c:numCache>
            </c:numRef>
          </c:val>
          <c:smooth val="0"/>
          <c:extLst>
            <c:ext xmlns:c16="http://schemas.microsoft.com/office/drawing/2014/chart" uri="{C3380CC4-5D6E-409C-BE32-E72D297353CC}">
              <c16:uniqueId val="{00000000-39BA-4829-B08C-FEA31A8BD1CB}"/>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marker>
            <c:symbol val="none"/>
          </c:marker>
          <c:dPt>
            <c:idx val="0"/>
            <c:bubble3D val="0"/>
            <c:spPr>
              <a:ln>
                <a:solidFill>
                  <a:schemeClr val="accent6">
                    <a:lumMod val="60000"/>
                    <a:lumOff val="40000"/>
                  </a:schemeClr>
                </a:solidFill>
              </a:ln>
            </c:spPr>
            <c:extLst>
              <c:ext xmlns:c16="http://schemas.microsoft.com/office/drawing/2014/chart" uri="{C3380CC4-5D6E-409C-BE32-E72D297353CC}">
                <c16:uniqueId val="{00000001-559C-45F0-95FD-3E1EB3E245DD}"/>
              </c:ext>
            </c:extLst>
          </c:dPt>
          <c:dLbls>
            <c:dLbl>
              <c:idx val="0"/>
              <c:layout>
                <c:manualLayout>
                  <c:x val="0.77775978331537798"/>
                  <c:y val="5.5749228719916624E-2"/>
                </c:manualLayout>
              </c:layout>
              <c:tx>
                <c:rich>
                  <a:bodyPr wrap="square" lIns="38100" tIns="19050" rIns="38100" bIns="19050" anchor="ctr">
                    <a:spAutoFit/>
                  </a:bodyPr>
                  <a:lstStyle/>
                  <a:p>
                    <a:pPr>
                      <a:defRPr b="1"/>
                    </a:pPr>
                    <a:r>
                      <a:rPr lang="en-US" b="1"/>
                      <a:t>20Y </a:t>
                    </a:r>
                    <a:fld id="{3E2DE295-AE3D-4DFA-8736-ED56AFEBA0C7}" type="SERIESNAME">
                      <a:rPr lang="en-US" b="1"/>
                      <a:pPr>
                        <a:defRPr b="1"/>
                      </a:pPr>
                      <a:t>[SERIES NAME]</a:t>
                    </a:fld>
                    <a:r>
                      <a:rPr lang="en-US" b="1" baseline="0"/>
                      <a:t>, </a:t>
                    </a:r>
                    <a:fld id="{FC900832-F3D1-488D-A382-84379FDF5478}" type="YVALUE">
                      <a:rPr lang="en-US" b="1" baseline="0"/>
                      <a:pPr>
                        <a:defRPr b="1"/>
                      </a:pPr>
                      <a:t>[Y VALUE]</a:t>
                    </a:fld>
                    <a:endParaRPr lang="en-US" b="1" baseline="0"/>
                  </a:p>
                </c:rich>
              </c:tx>
              <c:spPr>
                <a:noFill/>
                <a:ln>
                  <a:noFill/>
                </a:ln>
                <a:effectLst/>
              </c:spPr>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59C-45F0-95FD-3E1EB3E245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2"/>
              <c:pt idx="0">
                <c:v>0.5</c:v>
              </c:pt>
              <c:pt idx="1">
                <c:v>80</c:v>
              </c:pt>
            </c:numLit>
          </c:xVal>
          <c:yVal>
            <c:numRef>
              <c:f>('New Peers'!$M$16,'New Peers'!$M$16)</c:f>
              <c:numCache>
                <c:formatCode>0.0\x_);\(0.0\x\);\-\ </c:formatCode>
                <c:ptCount val="2"/>
                <c:pt idx="0">
                  <c:v>6.7974175946574382</c:v>
                </c:pt>
                <c:pt idx="1">
                  <c:v>6.7974175946574382</c:v>
                </c:pt>
              </c:numCache>
            </c:numRef>
          </c:yVal>
          <c:smooth val="1"/>
          <c:extLst>
            <c:ext xmlns:c16="http://schemas.microsoft.com/office/drawing/2014/chart" uri="{C3380CC4-5D6E-409C-BE32-E72D297353CC}">
              <c16:uniqueId val="{00000003-39BA-4829-B08C-FEA31A8BD1CB}"/>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yyyy" sourceLinked="0"/>
        <c:majorTickMark val="out"/>
        <c:minorTickMark val="none"/>
        <c:tickLblPos val="nextTo"/>
        <c:spPr>
          <a:ln>
            <a:solidFill>
              <a:schemeClr val="tx1"/>
            </a:solidFill>
          </a:ln>
        </c:spPr>
        <c:crossAx val="1797475792"/>
        <c:crosses val="autoZero"/>
        <c:auto val="0"/>
        <c:lblAlgn val="ctr"/>
        <c:lblOffset val="100"/>
        <c:tickLblSkip val="4"/>
        <c:tickMarkSkip val="4"/>
        <c:noMultiLvlLbl val="0"/>
      </c:catAx>
      <c:valAx>
        <c:axId val="1797475792"/>
        <c:scaling>
          <c:orientation val="minMax"/>
          <c:min val="3"/>
        </c:scaling>
        <c:delete val="0"/>
        <c:axPos val="l"/>
        <c:numFmt formatCode="0.0\x_);\(0.0\x\);\-\ " sourceLinked="1"/>
        <c:majorTickMark val="out"/>
        <c:minorTickMark val="none"/>
        <c:tickLblPos val="nextTo"/>
        <c:spPr>
          <a:ln>
            <a:solidFill>
              <a:schemeClr val="tx1"/>
            </a:solidFill>
          </a:ln>
        </c:spPr>
        <c:crossAx val="1797476624"/>
        <c:crossesAt val="1"/>
        <c:crossBetween val="between"/>
      </c:valAx>
      <c:spPr>
        <a:noFill/>
        <a:ln w="25400">
          <a:noFill/>
        </a:ln>
      </c:spPr>
    </c:plotArea>
    <c:plotVisOnly val="1"/>
    <c:dispBlanksAs val="gap"/>
    <c:showDLblsOverMax val="0"/>
  </c:chart>
  <c:spPr>
    <a:ln w="12700">
      <a:solidFill>
        <a:srgbClr val="1F4E78"/>
      </a:solidFill>
    </a:ln>
  </c:spPr>
  <c:txPr>
    <a:bodyPr/>
    <a:lstStyle/>
    <a:p>
      <a:pPr>
        <a:defRPr sz="900">
          <a:solidFill>
            <a:sysClr val="windowText" lastClr="000000"/>
          </a:solidFill>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Peers'!$H$110</c:f>
              <c:strCache>
                <c:ptCount val="1"/>
                <c:pt idx="0">
                  <c:v>Average FWD EV/EBITDA</c:v>
                </c:pt>
              </c:strCache>
            </c:strRef>
          </c:tx>
          <c:spPr>
            <a:ln w="28575" cap="rnd">
              <a:solidFill>
                <a:schemeClr val="accent1">
                  <a:lumMod val="75000"/>
                </a:schemeClr>
              </a:solidFill>
              <a:round/>
            </a:ln>
            <a:effectLst/>
          </c:spPr>
          <c:marker>
            <c:symbol val="none"/>
          </c:marker>
          <c:cat>
            <c:numRef>
              <c:f>'New Peers'!$G$111:$G$130</c:f>
              <c:numCache>
                <c:formatCode>m/d/yy;@</c:formatCode>
                <c:ptCount val="20"/>
                <c:pt idx="0">
                  <c:v>37711</c:v>
                </c:pt>
                <c:pt idx="1">
                  <c:v>38077</c:v>
                </c:pt>
                <c:pt idx="2">
                  <c:v>38442</c:v>
                </c:pt>
                <c:pt idx="3">
                  <c:v>38807</c:v>
                </c:pt>
                <c:pt idx="4">
                  <c:v>39172</c:v>
                </c:pt>
                <c:pt idx="5">
                  <c:v>39538</c:v>
                </c:pt>
                <c:pt idx="6">
                  <c:v>39903</c:v>
                </c:pt>
                <c:pt idx="7">
                  <c:v>40268</c:v>
                </c:pt>
                <c:pt idx="8">
                  <c:v>40633</c:v>
                </c:pt>
                <c:pt idx="9">
                  <c:v>40999</c:v>
                </c:pt>
                <c:pt idx="10">
                  <c:v>41364</c:v>
                </c:pt>
                <c:pt idx="11">
                  <c:v>41729</c:v>
                </c:pt>
                <c:pt idx="12">
                  <c:v>42094</c:v>
                </c:pt>
                <c:pt idx="13">
                  <c:v>42460</c:v>
                </c:pt>
                <c:pt idx="14">
                  <c:v>42825</c:v>
                </c:pt>
                <c:pt idx="15">
                  <c:v>43190</c:v>
                </c:pt>
                <c:pt idx="16">
                  <c:v>43555</c:v>
                </c:pt>
                <c:pt idx="17">
                  <c:v>43921</c:v>
                </c:pt>
                <c:pt idx="18">
                  <c:v>44286</c:v>
                </c:pt>
                <c:pt idx="19">
                  <c:v>44651</c:v>
                </c:pt>
              </c:numCache>
            </c:numRef>
          </c:cat>
          <c:val>
            <c:numRef>
              <c:f>'New Peers'!$H$111:$H$130</c:f>
              <c:numCache>
                <c:formatCode>0.0\x_);\(0.0\x\);\-\ </c:formatCode>
                <c:ptCount val="20"/>
                <c:pt idx="0">
                  <c:v>5.3431890401648099</c:v>
                </c:pt>
                <c:pt idx="1">
                  <c:v>6.2884751692341396</c:v>
                </c:pt>
                <c:pt idx="2">
                  <c:v>6.1692973583051796</c:v>
                </c:pt>
                <c:pt idx="3">
                  <c:v>6.3848722838046497</c:v>
                </c:pt>
                <c:pt idx="4">
                  <c:v>7.2575435426744903</c:v>
                </c:pt>
                <c:pt idx="5">
                  <c:v>5.7990494049450003</c:v>
                </c:pt>
                <c:pt idx="6">
                  <c:v>5.8009733630415603</c:v>
                </c:pt>
                <c:pt idx="7">
                  <c:v>4.2169345768157998</c:v>
                </c:pt>
                <c:pt idx="8">
                  <c:v>8.4207634356412608</c:v>
                </c:pt>
                <c:pt idx="9">
                  <c:v>5.02173786536079</c:v>
                </c:pt>
                <c:pt idx="10">
                  <c:v>5.9738516326459399</c:v>
                </c:pt>
                <c:pt idx="11">
                  <c:v>6.3913600830519002</c:v>
                </c:pt>
                <c:pt idx="12">
                  <c:v>6.1299111483528899</c:v>
                </c:pt>
                <c:pt idx="13">
                  <c:v>5.7490231654047799</c:v>
                </c:pt>
                <c:pt idx="14">
                  <c:v>6.9702365393921504</c:v>
                </c:pt>
                <c:pt idx="15">
                  <c:v>6.8744490549253499</c:v>
                </c:pt>
                <c:pt idx="16">
                  <c:v>5.5007126555727899</c:v>
                </c:pt>
                <c:pt idx="17">
                  <c:v>5.3169568633144602</c:v>
                </c:pt>
                <c:pt idx="18">
                  <c:v>6.7741887179279301</c:v>
                </c:pt>
                <c:pt idx="19">
                  <c:v>5.0280306426519701</c:v>
                </c:pt>
              </c:numCache>
            </c:numRef>
          </c:val>
          <c:smooth val="0"/>
          <c:extLst>
            <c:ext xmlns:c16="http://schemas.microsoft.com/office/drawing/2014/chart" uri="{C3380CC4-5D6E-409C-BE32-E72D297353CC}">
              <c16:uniqueId val="{00000000-2721-48A1-9985-738971621B0D}"/>
            </c:ext>
          </c:extLst>
        </c:ser>
        <c:ser>
          <c:idx val="1"/>
          <c:order val="1"/>
          <c:tx>
            <c:strRef>
              <c:f>'New Peers'!$I$110</c:f>
              <c:strCache>
                <c:ptCount val="1"/>
                <c:pt idx="0">
                  <c:v>EMN FWD EV/EBITDA</c:v>
                </c:pt>
              </c:strCache>
            </c:strRef>
          </c:tx>
          <c:spPr>
            <a:ln w="28575" cap="rnd">
              <a:solidFill>
                <a:schemeClr val="accent1">
                  <a:lumMod val="40000"/>
                  <a:lumOff val="60000"/>
                </a:schemeClr>
              </a:solidFill>
              <a:round/>
            </a:ln>
            <a:effectLst/>
          </c:spPr>
          <c:marker>
            <c:symbol val="none"/>
          </c:marker>
          <c:cat>
            <c:numRef>
              <c:f>'New Peers'!$G$111:$G$130</c:f>
              <c:numCache>
                <c:formatCode>m/d/yy;@</c:formatCode>
                <c:ptCount val="20"/>
                <c:pt idx="0">
                  <c:v>37711</c:v>
                </c:pt>
                <c:pt idx="1">
                  <c:v>38077</c:v>
                </c:pt>
                <c:pt idx="2">
                  <c:v>38442</c:v>
                </c:pt>
                <c:pt idx="3">
                  <c:v>38807</c:v>
                </c:pt>
                <c:pt idx="4">
                  <c:v>39172</c:v>
                </c:pt>
                <c:pt idx="5">
                  <c:v>39538</c:v>
                </c:pt>
                <c:pt idx="6">
                  <c:v>39903</c:v>
                </c:pt>
                <c:pt idx="7">
                  <c:v>40268</c:v>
                </c:pt>
                <c:pt idx="8">
                  <c:v>40633</c:v>
                </c:pt>
                <c:pt idx="9">
                  <c:v>40999</c:v>
                </c:pt>
                <c:pt idx="10">
                  <c:v>41364</c:v>
                </c:pt>
                <c:pt idx="11">
                  <c:v>41729</c:v>
                </c:pt>
                <c:pt idx="12">
                  <c:v>42094</c:v>
                </c:pt>
                <c:pt idx="13">
                  <c:v>42460</c:v>
                </c:pt>
                <c:pt idx="14">
                  <c:v>42825</c:v>
                </c:pt>
                <c:pt idx="15">
                  <c:v>43190</c:v>
                </c:pt>
                <c:pt idx="16">
                  <c:v>43555</c:v>
                </c:pt>
                <c:pt idx="17">
                  <c:v>43921</c:v>
                </c:pt>
                <c:pt idx="18">
                  <c:v>44286</c:v>
                </c:pt>
                <c:pt idx="19">
                  <c:v>44651</c:v>
                </c:pt>
              </c:numCache>
            </c:numRef>
          </c:cat>
          <c:val>
            <c:numRef>
              <c:f>'New Peers'!$I$111:$I$130</c:f>
              <c:numCache>
                <c:formatCode>0.0\x_);\(0.0\x\);\-\ </c:formatCode>
                <c:ptCount val="20"/>
                <c:pt idx="0">
                  <c:v>6.4170304622231198</c:v>
                </c:pt>
                <c:pt idx="1">
                  <c:v>7.5569167040128704</c:v>
                </c:pt>
                <c:pt idx="2">
                  <c:v>6.1408772534009701</c:v>
                </c:pt>
                <c:pt idx="3">
                  <c:v>5.6476763149678</c:v>
                </c:pt>
                <c:pt idx="4">
                  <c:v>6.3013393976710699</c:v>
                </c:pt>
                <c:pt idx="5">
                  <c:v>6.87129923344866</c:v>
                </c:pt>
                <c:pt idx="6">
                  <c:v>5.8701955247192297</c:v>
                </c:pt>
                <c:pt idx="7">
                  <c:v>5.7560726798505204</c:v>
                </c:pt>
                <c:pt idx="8">
                  <c:v>5.9462120607608604</c:v>
                </c:pt>
                <c:pt idx="9">
                  <c:v>4.5802052792951899</c:v>
                </c:pt>
                <c:pt idx="10">
                  <c:v>7.3925278844614404</c:v>
                </c:pt>
                <c:pt idx="11">
                  <c:v>8.0386374338896704</c:v>
                </c:pt>
                <c:pt idx="12">
                  <c:v>8.2565020886253606</c:v>
                </c:pt>
                <c:pt idx="13">
                  <c:v>7.8611620646486102</c:v>
                </c:pt>
                <c:pt idx="14">
                  <c:v>8.1286033293183397</c:v>
                </c:pt>
                <c:pt idx="15">
                  <c:v>9.2461479850569592</c:v>
                </c:pt>
                <c:pt idx="16">
                  <c:v>7.1041326552310702</c:v>
                </c:pt>
                <c:pt idx="17">
                  <c:v>7.7360333434325597</c:v>
                </c:pt>
                <c:pt idx="18">
                  <c:v>10.271528513511701</c:v>
                </c:pt>
                <c:pt idx="19">
                  <c:v>8.3097007763091906</c:v>
                </c:pt>
              </c:numCache>
            </c:numRef>
          </c:val>
          <c:smooth val="0"/>
          <c:extLst>
            <c:ext xmlns:c16="http://schemas.microsoft.com/office/drawing/2014/chart" uri="{C3380CC4-5D6E-409C-BE32-E72D297353CC}">
              <c16:uniqueId val="{00000001-2721-48A1-9985-738971621B0D}"/>
            </c:ext>
          </c:extLst>
        </c:ser>
        <c:dLbls>
          <c:showLegendKey val="0"/>
          <c:showVal val="0"/>
          <c:showCatName val="0"/>
          <c:showSerName val="0"/>
          <c:showPercent val="0"/>
          <c:showBubbleSize val="0"/>
        </c:dLbls>
        <c:marker val="1"/>
        <c:smooth val="0"/>
        <c:axId val="1222486927"/>
        <c:axId val="1049702239"/>
      </c:lineChart>
      <c:lineChart>
        <c:grouping val="standard"/>
        <c:varyColors val="0"/>
        <c:ser>
          <c:idx val="2"/>
          <c:order val="2"/>
          <c:tx>
            <c:strRef>
              <c:f>'New Peers'!$J$110</c:f>
              <c:strCache>
                <c:ptCount val="1"/>
                <c:pt idx="0">
                  <c:v>Brent</c:v>
                </c:pt>
              </c:strCache>
            </c:strRef>
          </c:tx>
          <c:spPr>
            <a:ln w="28575" cap="rnd">
              <a:solidFill>
                <a:schemeClr val="accent3"/>
              </a:solidFill>
              <a:round/>
            </a:ln>
            <a:effectLst/>
          </c:spPr>
          <c:marker>
            <c:symbol val="none"/>
          </c:marker>
          <c:cat>
            <c:numRef>
              <c:f>'New Peers'!$G$111:$G$130</c:f>
              <c:numCache>
                <c:formatCode>m/d/yy;@</c:formatCode>
                <c:ptCount val="20"/>
                <c:pt idx="0">
                  <c:v>37711</c:v>
                </c:pt>
                <c:pt idx="1">
                  <c:v>38077</c:v>
                </c:pt>
                <c:pt idx="2">
                  <c:v>38442</c:v>
                </c:pt>
                <c:pt idx="3">
                  <c:v>38807</c:v>
                </c:pt>
                <c:pt idx="4">
                  <c:v>39172</c:v>
                </c:pt>
                <c:pt idx="5">
                  <c:v>39538</c:v>
                </c:pt>
                <c:pt idx="6">
                  <c:v>39903</c:v>
                </c:pt>
                <c:pt idx="7">
                  <c:v>40268</c:v>
                </c:pt>
                <c:pt idx="8">
                  <c:v>40633</c:v>
                </c:pt>
                <c:pt idx="9">
                  <c:v>40999</c:v>
                </c:pt>
                <c:pt idx="10">
                  <c:v>41364</c:v>
                </c:pt>
                <c:pt idx="11">
                  <c:v>41729</c:v>
                </c:pt>
                <c:pt idx="12">
                  <c:v>42094</c:v>
                </c:pt>
                <c:pt idx="13">
                  <c:v>42460</c:v>
                </c:pt>
                <c:pt idx="14">
                  <c:v>42825</c:v>
                </c:pt>
                <c:pt idx="15">
                  <c:v>43190</c:v>
                </c:pt>
                <c:pt idx="16">
                  <c:v>43555</c:v>
                </c:pt>
                <c:pt idx="17">
                  <c:v>43921</c:v>
                </c:pt>
                <c:pt idx="18">
                  <c:v>44286</c:v>
                </c:pt>
                <c:pt idx="19">
                  <c:v>44651</c:v>
                </c:pt>
              </c:numCache>
            </c:numRef>
          </c:cat>
          <c:val>
            <c:numRef>
              <c:f>'New Peers'!$J$111:$J$130</c:f>
              <c:numCache>
                <c:formatCode>"$"#,##0.0_);\("$"#,##0.0\);\-\ </c:formatCode>
                <c:ptCount val="20"/>
                <c:pt idx="0">
                  <c:v>19.765000000000001</c:v>
                </c:pt>
                <c:pt idx="1">
                  <c:v>28.864999999999998</c:v>
                </c:pt>
                <c:pt idx="2">
                  <c:v>25.795000000000002</c:v>
                </c:pt>
                <c:pt idx="3">
                  <c:v>29.655000000000001</c:v>
                </c:pt>
                <c:pt idx="4">
                  <c:v>30.545000000000002</c:v>
                </c:pt>
                <c:pt idx="5">
                  <c:v>15.855</c:v>
                </c:pt>
                <c:pt idx="6">
                  <c:v>30.12</c:v>
                </c:pt>
                <c:pt idx="7">
                  <c:v>42.04</c:v>
                </c:pt>
                <c:pt idx="8">
                  <c:v>39.06</c:v>
                </c:pt>
                <c:pt idx="9">
                  <c:v>68.05</c:v>
                </c:pt>
                <c:pt idx="10">
                  <c:v>80.7</c:v>
                </c:pt>
                <c:pt idx="11">
                  <c:v>75.86</c:v>
                </c:pt>
                <c:pt idx="12">
                  <c:v>67.510000000000005</c:v>
                </c:pt>
                <c:pt idx="13">
                  <c:v>75.209999999999994</c:v>
                </c:pt>
                <c:pt idx="14">
                  <c:v>92.64</c:v>
                </c:pt>
                <c:pt idx="15">
                  <c:v>73.11</c:v>
                </c:pt>
                <c:pt idx="16">
                  <c:v>63.3</c:v>
                </c:pt>
                <c:pt idx="17">
                  <c:v>42.3</c:v>
                </c:pt>
                <c:pt idx="18">
                  <c:v>70.599999999999994</c:v>
                </c:pt>
                <c:pt idx="19">
                  <c:v>97.8</c:v>
                </c:pt>
              </c:numCache>
            </c:numRef>
          </c:val>
          <c:smooth val="0"/>
          <c:extLst>
            <c:ext xmlns:c16="http://schemas.microsoft.com/office/drawing/2014/chart" uri="{C3380CC4-5D6E-409C-BE32-E72D297353CC}">
              <c16:uniqueId val="{00000002-2721-48A1-9985-738971621B0D}"/>
            </c:ext>
          </c:extLst>
        </c:ser>
        <c:dLbls>
          <c:showLegendKey val="0"/>
          <c:showVal val="0"/>
          <c:showCatName val="0"/>
          <c:showSerName val="0"/>
          <c:showPercent val="0"/>
          <c:showBubbleSize val="0"/>
        </c:dLbls>
        <c:marker val="1"/>
        <c:smooth val="0"/>
        <c:axId val="728743087"/>
        <c:axId val="1049706079"/>
      </c:lineChart>
      <c:dateAx>
        <c:axId val="122248692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702239"/>
        <c:crosses val="autoZero"/>
        <c:auto val="1"/>
        <c:lblOffset val="100"/>
        <c:baseTimeUnit val="years"/>
      </c:dateAx>
      <c:valAx>
        <c:axId val="1049702239"/>
        <c:scaling>
          <c:orientation val="minMax"/>
        </c:scaling>
        <c:delete val="0"/>
        <c:axPos val="l"/>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486927"/>
        <c:crosses val="autoZero"/>
        <c:crossBetween val="between"/>
      </c:valAx>
      <c:valAx>
        <c:axId val="1049706079"/>
        <c:scaling>
          <c:orientation val="minMax"/>
        </c:scaling>
        <c:delete val="0"/>
        <c:axPos val="r"/>
        <c:numFmt formatCode="&quot;$&quot;#,##0.0_);\(&quot;$&quot;#,##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3087"/>
        <c:crosses val="max"/>
        <c:crossBetween val="between"/>
      </c:valAx>
      <c:dateAx>
        <c:axId val="728743087"/>
        <c:scaling>
          <c:orientation val="minMax"/>
        </c:scaling>
        <c:delete val="1"/>
        <c:axPos val="b"/>
        <c:numFmt formatCode="m/d/yy;@" sourceLinked="1"/>
        <c:majorTickMark val="out"/>
        <c:minorTickMark val="none"/>
        <c:tickLblPos val="nextTo"/>
        <c:crossAx val="1049706079"/>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'New Peers'!$C$28:$C$107</c:f>
              <c:numCache>
                <c:formatCode>"Q1"\ yyyy</c:formatCode>
                <c:ptCount val="80"/>
                <c:pt idx="0" formatCode="&quot;Q4&quot;\ yyyy">
                  <c:v>37711</c:v>
                </c:pt>
                <c:pt idx="1">
                  <c:v>37802</c:v>
                </c:pt>
                <c:pt idx="2" formatCode="&quot;Q2&quot;\ yyyy">
                  <c:v>37894</c:v>
                </c:pt>
                <c:pt idx="3" formatCode="&quot;Q3&quot;\ yyyy">
                  <c:v>37986</c:v>
                </c:pt>
                <c:pt idx="4" formatCode="&quot;Q4&quot;\ yyyy">
                  <c:v>38077</c:v>
                </c:pt>
                <c:pt idx="5">
                  <c:v>38168</c:v>
                </c:pt>
                <c:pt idx="6" formatCode="&quot;Q2&quot;\ yyyy">
                  <c:v>38260</c:v>
                </c:pt>
                <c:pt idx="7" formatCode="&quot;Q3&quot;\ yyyy">
                  <c:v>38352</c:v>
                </c:pt>
                <c:pt idx="8" formatCode="&quot;Q4&quot;\ yyyy">
                  <c:v>38442</c:v>
                </c:pt>
                <c:pt idx="9">
                  <c:v>38533</c:v>
                </c:pt>
                <c:pt idx="10" formatCode="&quot;Q2&quot;\ yyyy">
                  <c:v>38625</c:v>
                </c:pt>
                <c:pt idx="11" formatCode="&quot;Q3&quot;\ yyyy">
                  <c:v>38717</c:v>
                </c:pt>
                <c:pt idx="12" formatCode="&quot;Q4&quot;\ yyyy">
                  <c:v>38807</c:v>
                </c:pt>
                <c:pt idx="13">
                  <c:v>38898</c:v>
                </c:pt>
                <c:pt idx="14" formatCode="&quot;Q2&quot;\ yyyy">
                  <c:v>38990</c:v>
                </c:pt>
                <c:pt idx="15" formatCode="&quot;Q3&quot;\ yyyy">
                  <c:v>39082</c:v>
                </c:pt>
                <c:pt idx="16" formatCode="&quot;Q4&quot;\ yyyy">
                  <c:v>39172</c:v>
                </c:pt>
                <c:pt idx="17">
                  <c:v>39263</c:v>
                </c:pt>
                <c:pt idx="18" formatCode="&quot;Q2&quot;\ yyyy">
                  <c:v>39355</c:v>
                </c:pt>
                <c:pt idx="19" formatCode="&quot;Q3&quot;\ yyyy">
                  <c:v>39447</c:v>
                </c:pt>
                <c:pt idx="20" formatCode="&quot;Q4&quot;\ yyyy">
                  <c:v>39538</c:v>
                </c:pt>
                <c:pt idx="21">
                  <c:v>39629</c:v>
                </c:pt>
                <c:pt idx="22" formatCode="&quot;Q2&quot;\ yyyy">
                  <c:v>39721</c:v>
                </c:pt>
                <c:pt idx="23" formatCode="&quot;Q3&quot;\ yyyy">
                  <c:v>39813</c:v>
                </c:pt>
                <c:pt idx="24" formatCode="&quot;Q4&quot;\ yyyy">
                  <c:v>39903</c:v>
                </c:pt>
                <c:pt idx="25">
                  <c:v>39994</c:v>
                </c:pt>
                <c:pt idx="26" formatCode="&quot;Q2&quot;\ yyyy">
                  <c:v>40086</c:v>
                </c:pt>
                <c:pt idx="27" formatCode="&quot;Q3&quot;\ yyyy">
                  <c:v>40178</c:v>
                </c:pt>
                <c:pt idx="28" formatCode="&quot;Q4&quot;\ yyyy">
                  <c:v>40268</c:v>
                </c:pt>
                <c:pt idx="29">
                  <c:v>40359</c:v>
                </c:pt>
                <c:pt idx="30" formatCode="&quot;Q2&quot;\ yyyy">
                  <c:v>40451</c:v>
                </c:pt>
                <c:pt idx="31" formatCode="&quot;Q3&quot;\ yyyy">
                  <c:v>40543</c:v>
                </c:pt>
                <c:pt idx="32" formatCode="&quot;Q4&quot;\ yyyy">
                  <c:v>40633</c:v>
                </c:pt>
                <c:pt idx="33">
                  <c:v>40724</c:v>
                </c:pt>
                <c:pt idx="34" formatCode="&quot;Q2&quot;\ yyyy">
                  <c:v>40816</c:v>
                </c:pt>
                <c:pt idx="35" formatCode="&quot;Q3&quot;\ yyyy">
                  <c:v>40908</c:v>
                </c:pt>
                <c:pt idx="36" formatCode="&quot;Q4&quot;\ yyyy">
                  <c:v>40999</c:v>
                </c:pt>
                <c:pt idx="37">
                  <c:v>41090</c:v>
                </c:pt>
                <c:pt idx="38" formatCode="&quot;Q2&quot;\ yyyy">
                  <c:v>41182</c:v>
                </c:pt>
                <c:pt idx="39" formatCode="&quot;Q3&quot;\ yyyy">
                  <c:v>41274</c:v>
                </c:pt>
                <c:pt idx="40" formatCode="&quot;Q4&quot;\ yyyy">
                  <c:v>41364</c:v>
                </c:pt>
                <c:pt idx="41">
                  <c:v>41455</c:v>
                </c:pt>
                <c:pt idx="42" formatCode="&quot;Q2&quot;\ yyyy">
                  <c:v>41547</c:v>
                </c:pt>
                <c:pt idx="43" formatCode="&quot;Q3&quot;\ yyyy">
                  <c:v>41639</c:v>
                </c:pt>
                <c:pt idx="44" formatCode="&quot;Q4&quot;\ yyyy">
                  <c:v>41729</c:v>
                </c:pt>
                <c:pt idx="45">
                  <c:v>41820</c:v>
                </c:pt>
                <c:pt idx="46" formatCode="&quot;Q2&quot;\ yyyy">
                  <c:v>41912</c:v>
                </c:pt>
                <c:pt idx="47" formatCode="&quot;Q3&quot;\ yyyy">
                  <c:v>42004</c:v>
                </c:pt>
                <c:pt idx="48" formatCode="&quot;Q4&quot;\ yyyy">
                  <c:v>42094</c:v>
                </c:pt>
                <c:pt idx="49">
                  <c:v>42185</c:v>
                </c:pt>
                <c:pt idx="50" formatCode="&quot;Q2&quot;\ yyyy">
                  <c:v>42277</c:v>
                </c:pt>
                <c:pt idx="51" formatCode="&quot;Q3&quot;\ yyyy">
                  <c:v>42369</c:v>
                </c:pt>
                <c:pt idx="52" formatCode="&quot;Q4&quot;\ yyyy">
                  <c:v>42460</c:v>
                </c:pt>
                <c:pt idx="53" formatCode="&quot;Q4&quot;\ yyyy">
                  <c:v>42551</c:v>
                </c:pt>
                <c:pt idx="54" formatCode="&quot;Q4&quot;\ yyyy">
                  <c:v>42643</c:v>
                </c:pt>
                <c:pt idx="55" formatCode="&quot;Q4&quot;\ yyyy">
                  <c:v>42735</c:v>
                </c:pt>
                <c:pt idx="56" formatCode="&quot;Q4&quot;\ yyyy">
                  <c:v>42825</c:v>
                </c:pt>
                <c:pt idx="57" formatCode="&quot;Q4&quot;\ yyyy">
                  <c:v>42916</c:v>
                </c:pt>
                <c:pt idx="58" formatCode="&quot;Q4&quot;\ yyyy">
                  <c:v>43008</c:v>
                </c:pt>
                <c:pt idx="59" formatCode="&quot;Q4&quot;\ yyyy">
                  <c:v>43100</c:v>
                </c:pt>
                <c:pt idx="60" formatCode="&quot;Q4&quot;\ yyyy">
                  <c:v>43190</c:v>
                </c:pt>
                <c:pt idx="61" formatCode="&quot;Q4&quot;\ yyyy">
                  <c:v>43281</c:v>
                </c:pt>
                <c:pt idx="62" formatCode="&quot;Q4&quot;\ yyyy">
                  <c:v>43373</c:v>
                </c:pt>
                <c:pt idx="63" formatCode="&quot;Q4&quot;\ yyyy">
                  <c:v>43465</c:v>
                </c:pt>
                <c:pt idx="64" formatCode="&quot;Q4&quot;\ yyyy">
                  <c:v>43555</c:v>
                </c:pt>
                <c:pt idx="65" formatCode="&quot;Q4&quot;\ yyyy">
                  <c:v>43646</c:v>
                </c:pt>
                <c:pt idx="66" formatCode="&quot;Q4&quot;\ yyyy">
                  <c:v>43738</c:v>
                </c:pt>
                <c:pt idx="67" formatCode="&quot;Q4&quot;\ yyyy">
                  <c:v>43830</c:v>
                </c:pt>
                <c:pt idx="68" formatCode="&quot;Q4&quot;\ yyyy">
                  <c:v>43921</c:v>
                </c:pt>
                <c:pt idx="69" formatCode="&quot;Q4&quot;\ yyyy">
                  <c:v>44012</c:v>
                </c:pt>
                <c:pt idx="70" formatCode="&quot;Q4&quot;\ yyyy">
                  <c:v>44104</c:v>
                </c:pt>
                <c:pt idx="71" formatCode="&quot;Q4&quot;\ yyyy">
                  <c:v>44196</c:v>
                </c:pt>
                <c:pt idx="72" formatCode="&quot;Q4&quot;\ yyyy">
                  <c:v>44286</c:v>
                </c:pt>
                <c:pt idx="73" formatCode="&quot;Q4&quot;\ yyyy">
                  <c:v>44377</c:v>
                </c:pt>
                <c:pt idx="74" formatCode="&quot;Q4&quot;\ yyyy">
                  <c:v>44469</c:v>
                </c:pt>
                <c:pt idx="75" formatCode="&quot;Q4&quot;\ yyyy">
                  <c:v>44561</c:v>
                </c:pt>
                <c:pt idx="76" formatCode="&quot;Q4&quot;\ yyyy">
                  <c:v>44651</c:v>
                </c:pt>
                <c:pt idx="77" formatCode="&quot;Q4&quot;\ yyyy">
                  <c:v>44742</c:v>
                </c:pt>
                <c:pt idx="78" formatCode="&quot;Q4&quot;\ yyyy">
                  <c:v>44834</c:v>
                </c:pt>
                <c:pt idx="79" formatCode="&quot;Q4&quot;\ yyyy">
                  <c:v>44926</c:v>
                </c:pt>
              </c:numCache>
            </c:numRef>
          </c:cat>
          <c:val>
            <c:numRef>
              <c:f>'New Peers'!$N$28:$N$107</c:f>
              <c:numCache>
                <c:formatCode>0.0\x_);\(0.0\x\);\-\ </c:formatCode>
                <c:ptCount val="80"/>
                <c:pt idx="0">
                  <c:v>5.740462478012498</c:v>
                </c:pt>
                <c:pt idx="1">
                  <c:v>6.5851221735878838</c:v>
                </c:pt>
                <c:pt idx="2">
                  <c:v>7.4278244039845234</c:v>
                </c:pt>
                <c:pt idx="3">
                  <c:v>7.215608397242546</c:v>
                </c:pt>
                <c:pt idx="4">
                  <c:v>7.3130248184100903</c:v>
                </c:pt>
                <c:pt idx="5">
                  <c:v>7.3473299130280623</c:v>
                </c:pt>
                <c:pt idx="6">
                  <c:v>7.6098924723006478</c:v>
                </c:pt>
                <c:pt idx="7">
                  <c:v>6.9115053319679989</c:v>
                </c:pt>
                <c:pt idx="8">
                  <c:v>6.2300605750553233</c:v>
                </c:pt>
                <c:pt idx="9">
                  <c:v>6.0842424732485183</c:v>
                </c:pt>
                <c:pt idx="10">
                  <c:v>5.7704184370804512</c:v>
                </c:pt>
                <c:pt idx="11">
                  <c:v>5.9713247754990135</c:v>
                </c:pt>
                <c:pt idx="12">
                  <c:v>6.2501165632479765</c:v>
                </c:pt>
                <c:pt idx="13">
                  <c:v>5.8739755594361034</c:v>
                </c:pt>
                <c:pt idx="14">
                  <c:v>6.7631287914298897</c:v>
                </c:pt>
                <c:pt idx="15">
                  <c:v>7.0120133943441934</c:v>
                </c:pt>
                <c:pt idx="16">
                  <c:v>7.0336576712765551</c:v>
                </c:pt>
                <c:pt idx="17">
                  <c:v>6.8644179280521671</c:v>
                </c:pt>
                <c:pt idx="18">
                  <c:v>6.9405701717169297</c:v>
                </c:pt>
                <c:pt idx="19">
                  <c:v>6.2550091412073234</c:v>
                </c:pt>
                <c:pt idx="20">
                  <c:v>7.4451551971724834</c:v>
                </c:pt>
                <c:pt idx="21">
                  <c:v>6.5604245131503562</c:v>
                </c:pt>
                <c:pt idx="22">
                  <c:v>4.5296238027217939</c:v>
                </c:pt>
                <c:pt idx="23">
                  <c:v>5.3645901179596818</c:v>
                </c:pt>
                <c:pt idx="24">
                  <c:v>6.1147486079739695</c:v>
                </c:pt>
                <c:pt idx="25">
                  <c:v>6.3643697576462985</c:v>
                </c:pt>
                <c:pt idx="26">
                  <c:v>6.5566748066641551</c:v>
                </c:pt>
                <c:pt idx="27">
                  <c:v>6.8104668475568184</c:v>
                </c:pt>
                <c:pt idx="28">
                  <c:v>6.2101293310145254</c:v>
                </c:pt>
                <c:pt idx="29">
                  <c:v>5.572571771266726</c:v>
                </c:pt>
                <c:pt idx="30">
                  <c:v>6.0877650417087468</c:v>
                </c:pt>
                <c:pt idx="31">
                  <c:v>6.597681984132584</c:v>
                </c:pt>
                <c:pt idx="32">
                  <c:v>6.8512158370570555</c:v>
                </c:pt>
                <c:pt idx="33">
                  <c:v>5.0609349853968233</c:v>
                </c:pt>
                <c:pt idx="34">
                  <c:v>5.0833902190017399</c:v>
                </c:pt>
                <c:pt idx="35">
                  <c:v>5.9803838424412739</c:v>
                </c:pt>
                <c:pt idx="36">
                  <c:v>6.3749225562473129</c:v>
                </c:pt>
                <c:pt idx="37">
                  <c:v>6.5294572555758172</c:v>
                </c:pt>
                <c:pt idx="38">
                  <c:v>6.7048395335077799</c:v>
                </c:pt>
                <c:pt idx="39">
                  <c:v>7.3234255249090028</c:v>
                </c:pt>
                <c:pt idx="40">
                  <c:v>7.9979216166323637</c:v>
                </c:pt>
                <c:pt idx="41">
                  <c:v>8.0489099257881858</c:v>
                </c:pt>
                <c:pt idx="42">
                  <c:v>8.605867545123667</c:v>
                </c:pt>
                <c:pt idx="43">
                  <c:v>8.4561730819102792</c:v>
                </c:pt>
                <c:pt idx="44">
                  <c:v>8.8356571771717025</c:v>
                </c:pt>
                <c:pt idx="45">
                  <c:v>8.5717542580318842</c:v>
                </c:pt>
                <c:pt idx="46">
                  <c:v>8.030772700636474</c:v>
                </c:pt>
                <c:pt idx="47">
                  <c:v>8.8537176327891771</c:v>
                </c:pt>
                <c:pt idx="48">
                  <c:v>9.1631022814989098</c:v>
                </c:pt>
                <c:pt idx="49">
                  <c:v>8.0718983553102763</c:v>
                </c:pt>
                <c:pt idx="50">
                  <c:v>7.9797190180640536</c:v>
                </c:pt>
                <c:pt idx="51">
                  <c:v>7.1984522235321364</c:v>
                </c:pt>
                <c:pt idx="52">
                  <c:v>8.6769471572080388</c:v>
                </c:pt>
                <c:pt idx="53">
                  <c:v>8.5907736288696199</c:v>
                </c:pt>
                <c:pt idx="54">
                  <c:v>8.8996640161301048</c:v>
                </c:pt>
                <c:pt idx="55">
                  <c:v>9.7663096487705179</c:v>
                </c:pt>
                <c:pt idx="56">
                  <c:v>9.7827783785006002</c:v>
                </c:pt>
                <c:pt idx="57">
                  <c:v>9.5340149167937032</c:v>
                </c:pt>
                <c:pt idx="58">
                  <c:v>9.9464677079116637</c:v>
                </c:pt>
                <c:pt idx="59">
                  <c:v>9.5553423169878489</c:v>
                </c:pt>
                <c:pt idx="60">
                  <c:v>9.3047846256358095</c:v>
                </c:pt>
                <c:pt idx="61">
                  <c:v>9.4066775258214737</c:v>
                </c:pt>
                <c:pt idx="62">
                  <c:v>8.8092520974152624</c:v>
                </c:pt>
                <c:pt idx="63">
                  <c:v>9.0608920062374523</c:v>
                </c:pt>
                <c:pt idx="64">
                  <c:v>8.7580293015425017</c:v>
                </c:pt>
                <c:pt idx="65">
                  <c:v>8.9634510251776458</c:v>
                </c:pt>
                <c:pt idx="66">
                  <c:v>10.562827742043272</c:v>
                </c:pt>
                <c:pt idx="67">
                  <c:v>10.553506963030113</c:v>
                </c:pt>
                <c:pt idx="68">
                  <c:v>8.490421747545339</c:v>
                </c:pt>
                <c:pt idx="69">
                  <c:v>9.5284610313462004</c:v>
                </c:pt>
                <c:pt idx="70">
                  <c:v>10.083043517321526</c:v>
                </c:pt>
                <c:pt idx="71">
                  <c:v>9.9555609542702879</c:v>
                </c:pt>
                <c:pt idx="72">
                  <c:v>10.405417078358237</c:v>
                </c:pt>
                <c:pt idx="73">
                  <c:v>9.5774240903924941</c:v>
                </c:pt>
                <c:pt idx="74">
                  <c:v>10.260722294571817</c:v>
                </c:pt>
                <c:pt idx="75">
                  <c:v>10.070269270189693</c:v>
                </c:pt>
                <c:pt idx="76">
                  <c:v>8.7480669997218587</c:v>
                </c:pt>
                <c:pt idx="77">
                  <c:v>8.9038096539669329</c:v>
                </c:pt>
                <c:pt idx="78">
                  <c:v>9.7150699519707899</c:v>
                </c:pt>
                <c:pt idx="79">
                  <c:v>9.5209052086762771</c:v>
                </c:pt>
              </c:numCache>
            </c:numRef>
          </c:val>
          <c:smooth val="0"/>
          <c:extLst>
            <c:ext xmlns:c16="http://schemas.microsoft.com/office/drawing/2014/chart" uri="{C3380CC4-5D6E-409C-BE32-E72D297353CC}">
              <c16:uniqueId val="{00000000-745A-4BB9-96AC-9F6BD77A300C}"/>
            </c:ext>
          </c:extLst>
        </c:ser>
        <c:ser>
          <c:idx val="1"/>
          <c:order val="1"/>
          <c:spPr>
            <a:ln w="28575" cap="rnd">
              <a:solidFill>
                <a:schemeClr val="accent2"/>
              </a:solidFill>
              <a:round/>
            </a:ln>
            <a:effectLst/>
          </c:spPr>
          <c:marker>
            <c:symbol val="none"/>
          </c:marker>
          <c:cat>
            <c:numRef>
              <c:f>'New Peers'!$C$28:$C$107</c:f>
              <c:numCache>
                <c:formatCode>"Q1"\ yyyy</c:formatCode>
                <c:ptCount val="80"/>
                <c:pt idx="0" formatCode="&quot;Q4&quot;\ yyyy">
                  <c:v>37711</c:v>
                </c:pt>
                <c:pt idx="1">
                  <c:v>37802</c:v>
                </c:pt>
                <c:pt idx="2" formatCode="&quot;Q2&quot;\ yyyy">
                  <c:v>37894</c:v>
                </c:pt>
                <c:pt idx="3" formatCode="&quot;Q3&quot;\ yyyy">
                  <c:v>37986</c:v>
                </c:pt>
                <c:pt idx="4" formatCode="&quot;Q4&quot;\ yyyy">
                  <c:v>38077</c:v>
                </c:pt>
                <c:pt idx="5">
                  <c:v>38168</c:v>
                </c:pt>
                <c:pt idx="6" formatCode="&quot;Q2&quot;\ yyyy">
                  <c:v>38260</c:v>
                </c:pt>
                <c:pt idx="7" formatCode="&quot;Q3&quot;\ yyyy">
                  <c:v>38352</c:v>
                </c:pt>
                <c:pt idx="8" formatCode="&quot;Q4&quot;\ yyyy">
                  <c:v>38442</c:v>
                </c:pt>
                <c:pt idx="9">
                  <c:v>38533</c:v>
                </c:pt>
                <c:pt idx="10" formatCode="&quot;Q2&quot;\ yyyy">
                  <c:v>38625</c:v>
                </c:pt>
                <c:pt idx="11" formatCode="&quot;Q3&quot;\ yyyy">
                  <c:v>38717</c:v>
                </c:pt>
                <c:pt idx="12" formatCode="&quot;Q4&quot;\ yyyy">
                  <c:v>38807</c:v>
                </c:pt>
                <c:pt idx="13">
                  <c:v>38898</c:v>
                </c:pt>
                <c:pt idx="14" formatCode="&quot;Q2&quot;\ yyyy">
                  <c:v>38990</c:v>
                </c:pt>
                <c:pt idx="15" formatCode="&quot;Q3&quot;\ yyyy">
                  <c:v>39082</c:v>
                </c:pt>
                <c:pt idx="16" formatCode="&quot;Q4&quot;\ yyyy">
                  <c:v>39172</c:v>
                </c:pt>
                <c:pt idx="17">
                  <c:v>39263</c:v>
                </c:pt>
                <c:pt idx="18" formatCode="&quot;Q2&quot;\ yyyy">
                  <c:v>39355</c:v>
                </c:pt>
                <c:pt idx="19" formatCode="&quot;Q3&quot;\ yyyy">
                  <c:v>39447</c:v>
                </c:pt>
                <c:pt idx="20" formatCode="&quot;Q4&quot;\ yyyy">
                  <c:v>39538</c:v>
                </c:pt>
                <c:pt idx="21">
                  <c:v>39629</c:v>
                </c:pt>
                <c:pt idx="22" formatCode="&quot;Q2&quot;\ yyyy">
                  <c:v>39721</c:v>
                </c:pt>
                <c:pt idx="23" formatCode="&quot;Q3&quot;\ yyyy">
                  <c:v>39813</c:v>
                </c:pt>
                <c:pt idx="24" formatCode="&quot;Q4&quot;\ yyyy">
                  <c:v>39903</c:v>
                </c:pt>
                <c:pt idx="25">
                  <c:v>39994</c:v>
                </c:pt>
                <c:pt idx="26" formatCode="&quot;Q2&quot;\ yyyy">
                  <c:v>40086</c:v>
                </c:pt>
                <c:pt idx="27" formatCode="&quot;Q3&quot;\ yyyy">
                  <c:v>40178</c:v>
                </c:pt>
                <c:pt idx="28" formatCode="&quot;Q4&quot;\ yyyy">
                  <c:v>40268</c:v>
                </c:pt>
                <c:pt idx="29">
                  <c:v>40359</c:v>
                </c:pt>
                <c:pt idx="30" formatCode="&quot;Q2&quot;\ yyyy">
                  <c:v>40451</c:v>
                </c:pt>
                <c:pt idx="31" formatCode="&quot;Q3&quot;\ yyyy">
                  <c:v>40543</c:v>
                </c:pt>
                <c:pt idx="32" formatCode="&quot;Q4&quot;\ yyyy">
                  <c:v>40633</c:v>
                </c:pt>
                <c:pt idx="33">
                  <c:v>40724</c:v>
                </c:pt>
                <c:pt idx="34" formatCode="&quot;Q2&quot;\ yyyy">
                  <c:v>40816</c:v>
                </c:pt>
                <c:pt idx="35" formatCode="&quot;Q3&quot;\ yyyy">
                  <c:v>40908</c:v>
                </c:pt>
                <c:pt idx="36" formatCode="&quot;Q4&quot;\ yyyy">
                  <c:v>40999</c:v>
                </c:pt>
                <c:pt idx="37">
                  <c:v>41090</c:v>
                </c:pt>
                <c:pt idx="38" formatCode="&quot;Q2&quot;\ yyyy">
                  <c:v>41182</c:v>
                </c:pt>
                <c:pt idx="39" formatCode="&quot;Q3&quot;\ yyyy">
                  <c:v>41274</c:v>
                </c:pt>
                <c:pt idx="40" formatCode="&quot;Q4&quot;\ yyyy">
                  <c:v>41364</c:v>
                </c:pt>
                <c:pt idx="41">
                  <c:v>41455</c:v>
                </c:pt>
                <c:pt idx="42" formatCode="&quot;Q2&quot;\ yyyy">
                  <c:v>41547</c:v>
                </c:pt>
                <c:pt idx="43" formatCode="&quot;Q3&quot;\ yyyy">
                  <c:v>41639</c:v>
                </c:pt>
                <c:pt idx="44" formatCode="&quot;Q4&quot;\ yyyy">
                  <c:v>41729</c:v>
                </c:pt>
                <c:pt idx="45">
                  <c:v>41820</c:v>
                </c:pt>
                <c:pt idx="46" formatCode="&quot;Q2&quot;\ yyyy">
                  <c:v>41912</c:v>
                </c:pt>
                <c:pt idx="47" formatCode="&quot;Q3&quot;\ yyyy">
                  <c:v>42004</c:v>
                </c:pt>
                <c:pt idx="48" formatCode="&quot;Q4&quot;\ yyyy">
                  <c:v>42094</c:v>
                </c:pt>
                <c:pt idx="49">
                  <c:v>42185</c:v>
                </c:pt>
                <c:pt idx="50" formatCode="&quot;Q2&quot;\ yyyy">
                  <c:v>42277</c:v>
                </c:pt>
                <c:pt idx="51" formatCode="&quot;Q3&quot;\ yyyy">
                  <c:v>42369</c:v>
                </c:pt>
                <c:pt idx="52" formatCode="&quot;Q4&quot;\ yyyy">
                  <c:v>42460</c:v>
                </c:pt>
                <c:pt idx="53" formatCode="&quot;Q4&quot;\ yyyy">
                  <c:v>42551</c:v>
                </c:pt>
                <c:pt idx="54" formatCode="&quot;Q4&quot;\ yyyy">
                  <c:v>42643</c:v>
                </c:pt>
                <c:pt idx="55" formatCode="&quot;Q4&quot;\ yyyy">
                  <c:v>42735</c:v>
                </c:pt>
                <c:pt idx="56" formatCode="&quot;Q4&quot;\ yyyy">
                  <c:v>42825</c:v>
                </c:pt>
                <c:pt idx="57" formatCode="&quot;Q4&quot;\ yyyy">
                  <c:v>42916</c:v>
                </c:pt>
                <c:pt idx="58" formatCode="&quot;Q4&quot;\ yyyy">
                  <c:v>43008</c:v>
                </c:pt>
                <c:pt idx="59" formatCode="&quot;Q4&quot;\ yyyy">
                  <c:v>43100</c:v>
                </c:pt>
                <c:pt idx="60" formatCode="&quot;Q4&quot;\ yyyy">
                  <c:v>43190</c:v>
                </c:pt>
                <c:pt idx="61" formatCode="&quot;Q4&quot;\ yyyy">
                  <c:v>43281</c:v>
                </c:pt>
                <c:pt idx="62" formatCode="&quot;Q4&quot;\ yyyy">
                  <c:v>43373</c:v>
                </c:pt>
                <c:pt idx="63" formatCode="&quot;Q4&quot;\ yyyy">
                  <c:v>43465</c:v>
                </c:pt>
                <c:pt idx="64" formatCode="&quot;Q4&quot;\ yyyy">
                  <c:v>43555</c:v>
                </c:pt>
                <c:pt idx="65" formatCode="&quot;Q4&quot;\ yyyy">
                  <c:v>43646</c:v>
                </c:pt>
                <c:pt idx="66" formatCode="&quot;Q4&quot;\ yyyy">
                  <c:v>43738</c:v>
                </c:pt>
                <c:pt idx="67" formatCode="&quot;Q4&quot;\ yyyy">
                  <c:v>43830</c:v>
                </c:pt>
                <c:pt idx="68" formatCode="&quot;Q4&quot;\ yyyy">
                  <c:v>43921</c:v>
                </c:pt>
                <c:pt idx="69" formatCode="&quot;Q4&quot;\ yyyy">
                  <c:v>44012</c:v>
                </c:pt>
                <c:pt idx="70" formatCode="&quot;Q4&quot;\ yyyy">
                  <c:v>44104</c:v>
                </c:pt>
                <c:pt idx="71" formatCode="&quot;Q4&quot;\ yyyy">
                  <c:v>44196</c:v>
                </c:pt>
                <c:pt idx="72" formatCode="&quot;Q4&quot;\ yyyy">
                  <c:v>44286</c:v>
                </c:pt>
                <c:pt idx="73" formatCode="&quot;Q4&quot;\ yyyy">
                  <c:v>44377</c:v>
                </c:pt>
                <c:pt idx="74" formatCode="&quot;Q4&quot;\ yyyy">
                  <c:v>44469</c:v>
                </c:pt>
                <c:pt idx="75" formatCode="&quot;Q4&quot;\ yyyy">
                  <c:v>44561</c:v>
                </c:pt>
                <c:pt idx="76" formatCode="&quot;Q4&quot;\ yyyy">
                  <c:v>44651</c:v>
                </c:pt>
                <c:pt idx="77" formatCode="&quot;Q4&quot;\ yyyy">
                  <c:v>44742</c:v>
                </c:pt>
                <c:pt idx="78" formatCode="&quot;Q4&quot;\ yyyy">
                  <c:v>44834</c:v>
                </c:pt>
                <c:pt idx="79" formatCode="&quot;Q4&quot;\ yyyy">
                  <c:v>44926</c:v>
                </c:pt>
              </c:numCache>
            </c:numRef>
          </c:cat>
          <c:val>
            <c:numRef>
              <c:f>'New Peers'!$M$28:$M$107</c:f>
              <c:numCache>
                <c:formatCode>0.0\x_);\(0.0\x\);\-\ </c:formatCode>
                <c:ptCount val="80"/>
                <c:pt idx="0">
                  <c:v>6.4170304622231198</c:v>
                </c:pt>
                <c:pt idx="1">
                  <c:v>6.7750575682194203</c:v>
                </c:pt>
                <c:pt idx="2">
                  <c:v>6.8654685030770901</c:v>
                </c:pt>
                <c:pt idx="3">
                  <c:v>7.8432490350863402</c:v>
                </c:pt>
                <c:pt idx="4">
                  <c:v>7.5569167040128704</c:v>
                </c:pt>
                <c:pt idx="5">
                  <c:v>6.8471384363263397</c:v>
                </c:pt>
                <c:pt idx="6">
                  <c:v>7.1984570420328797</c:v>
                </c:pt>
                <c:pt idx="7">
                  <c:v>7.1596350422116304</c:v>
                </c:pt>
                <c:pt idx="8">
                  <c:v>6.1408772534009701</c:v>
                </c:pt>
                <c:pt idx="9">
                  <c:v>4.9706892077254903</c:v>
                </c:pt>
                <c:pt idx="10">
                  <c:v>5.1884370354057499</c:v>
                </c:pt>
                <c:pt idx="11">
                  <c:v>5.1637922224389996</c:v>
                </c:pt>
                <c:pt idx="12">
                  <c:v>5.6476763149678</c:v>
                </c:pt>
                <c:pt idx="13">
                  <c:v>5.2823194489265299</c:v>
                </c:pt>
                <c:pt idx="14">
                  <c:v>6.28923035184381</c:v>
                </c:pt>
                <c:pt idx="15">
                  <c:v>6.4594073510234598</c:v>
                </c:pt>
                <c:pt idx="16">
                  <c:v>6.3013393976710699</c:v>
                </c:pt>
                <c:pt idx="17">
                  <c:v>6.2204451120573099</c:v>
                </c:pt>
                <c:pt idx="18">
                  <c:v>6.1587363369563999</c:v>
                </c:pt>
                <c:pt idx="19">
                  <c:v>6.5182680604198504</c:v>
                </c:pt>
                <c:pt idx="20">
                  <c:v>6.87129923344866</c:v>
                </c:pt>
                <c:pt idx="21">
                  <c:v>5.8946740294686801</c:v>
                </c:pt>
                <c:pt idx="22">
                  <c:v>4.2557566656646602</c:v>
                </c:pt>
                <c:pt idx="23">
                  <c:v>4.7369274153280196</c:v>
                </c:pt>
                <c:pt idx="24">
                  <c:v>5.8701955247192297</c:v>
                </c:pt>
                <c:pt idx="25">
                  <c:v>6.7166062671253997</c:v>
                </c:pt>
                <c:pt idx="26">
                  <c:v>6.4572382014794396</c:v>
                </c:pt>
                <c:pt idx="27">
                  <c:v>5.7097225011042596</c:v>
                </c:pt>
                <c:pt idx="28">
                  <c:v>5.7560726798505204</c:v>
                </c:pt>
                <c:pt idx="29">
                  <c:v>4.8535986256227197</c:v>
                </c:pt>
                <c:pt idx="30">
                  <c:v>5.5657451420982502</c:v>
                </c:pt>
                <c:pt idx="31">
                  <c:v>6.2917095413208504</c:v>
                </c:pt>
                <c:pt idx="32">
                  <c:v>5.9462120607608604</c:v>
                </c:pt>
                <c:pt idx="33">
                  <c:v>4.8606812980485499</c:v>
                </c:pt>
                <c:pt idx="34">
                  <c:v>4.8776071327803603</c:v>
                </c:pt>
                <c:pt idx="35">
                  <c:v>5.3720191970030298</c:v>
                </c:pt>
                <c:pt idx="36">
                  <c:v>4.5802052792951899</c:v>
                </c:pt>
                <c:pt idx="37">
                  <c:v>4.2829373560378796</c:v>
                </c:pt>
                <c:pt idx="38">
                  <c:v>6.5670487505641697</c:v>
                </c:pt>
                <c:pt idx="39">
                  <c:v>7.7034646244575802</c:v>
                </c:pt>
                <c:pt idx="40">
                  <c:v>7.3925278844614404</c:v>
                </c:pt>
                <c:pt idx="41">
                  <c:v>7.7920271393888303</c:v>
                </c:pt>
                <c:pt idx="42">
                  <c:v>7.7148548871086602</c:v>
                </c:pt>
                <c:pt idx="43">
                  <c:v>7.9226599951817596</c:v>
                </c:pt>
                <c:pt idx="44">
                  <c:v>8.0386374338896704</c:v>
                </c:pt>
                <c:pt idx="45">
                  <c:v>7.7710426848552601</c:v>
                </c:pt>
                <c:pt idx="46">
                  <c:v>7.4467288782765904</c:v>
                </c:pt>
                <c:pt idx="47">
                  <c:v>6.9296338430472204</c:v>
                </c:pt>
                <c:pt idx="48">
                  <c:v>8.2565020886253606</c:v>
                </c:pt>
                <c:pt idx="49">
                  <c:v>7.7631885983009097</c:v>
                </c:pt>
                <c:pt idx="50">
                  <c:v>7.2711183570638598</c:v>
                </c:pt>
                <c:pt idx="51">
                  <c:v>7.1603280818444901</c:v>
                </c:pt>
                <c:pt idx="52">
                  <c:v>7.8611620646486102</c:v>
                </c:pt>
                <c:pt idx="53">
                  <c:v>7.4409689632156102</c:v>
                </c:pt>
                <c:pt idx="54">
                  <c:v>7.8806669581190301</c:v>
                </c:pt>
                <c:pt idx="55">
                  <c:v>8.2584597768041892</c:v>
                </c:pt>
                <c:pt idx="56">
                  <c:v>8.1286033293183397</c:v>
                </c:pt>
                <c:pt idx="57">
                  <c:v>8.3615309094421608</c:v>
                </c:pt>
                <c:pt idx="58">
                  <c:v>8.5433213500236693</c:v>
                </c:pt>
                <c:pt idx="59">
                  <c:v>8.9477286757746892</c:v>
                </c:pt>
                <c:pt idx="60">
                  <c:v>9.2461479850569592</c:v>
                </c:pt>
                <c:pt idx="61">
                  <c:v>8.5354105219265808</c:v>
                </c:pt>
                <c:pt idx="62">
                  <c:v>7.5448281157362196</c:v>
                </c:pt>
                <c:pt idx="63">
                  <c:v>7.7196499070828004</c:v>
                </c:pt>
                <c:pt idx="64">
                  <c:v>7.1041326552310702</c:v>
                </c:pt>
                <c:pt idx="65">
                  <c:v>6.8293388553292402</c:v>
                </c:pt>
                <c:pt idx="66">
                  <c:v>8.0806416947550908</c:v>
                </c:pt>
                <c:pt idx="67">
                  <c:v>8.1025042109024508</c:v>
                </c:pt>
                <c:pt idx="68">
                  <c:v>7.7360333434325597</c:v>
                </c:pt>
                <c:pt idx="69">
                  <c:v>8.5137936424066005</c:v>
                </c:pt>
                <c:pt idx="70">
                  <c:v>9.4849104948247795</c:v>
                </c:pt>
                <c:pt idx="71">
                  <c:v>9.8442805486113105</c:v>
                </c:pt>
                <c:pt idx="72">
                  <c:v>10.271528513511701</c:v>
                </c:pt>
                <c:pt idx="73">
                  <c:v>9.1276133775656394</c:v>
                </c:pt>
                <c:pt idx="74">
                  <c:v>9.2449286711192098</c:v>
                </c:pt>
                <c:pt idx="75">
                  <c:v>9.3087136255806993</c:v>
                </c:pt>
                <c:pt idx="76">
                  <c:v>8.3097007763091906</c:v>
                </c:pt>
                <c:pt idx="77">
                  <c:v>7.8880948363602297</c:v>
                </c:pt>
                <c:pt idx="78">
                  <c:v>8.0898627834786403</c:v>
                </c:pt>
                <c:pt idx="79">
                  <c:v>7.99841751965862</c:v>
                </c:pt>
              </c:numCache>
            </c:numRef>
          </c:val>
          <c:smooth val="0"/>
          <c:extLst>
            <c:ext xmlns:c16="http://schemas.microsoft.com/office/drawing/2014/chart" uri="{C3380CC4-5D6E-409C-BE32-E72D297353CC}">
              <c16:uniqueId val="{00000001-745A-4BB9-96AC-9F6BD77A300C}"/>
            </c:ext>
          </c:extLst>
        </c:ser>
        <c:dLbls>
          <c:showLegendKey val="0"/>
          <c:showVal val="0"/>
          <c:showCatName val="0"/>
          <c:showSerName val="0"/>
          <c:showPercent val="0"/>
          <c:showBubbleSize val="0"/>
        </c:dLbls>
        <c:smooth val="0"/>
        <c:axId val="1734941279"/>
        <c:axId val="1018225951"/>
      </c:lineChart>
      <c:dateAx>
        <c:axId val="1734941279"/>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225951"/>
        <c:crosses val="autoZero"/>
        <c:auto val="1"/>
        <c:lblOffset val="100"/>
        <c:baseTimeUnit val="months"/>
      </c:dateAx>
      <c:valAx>
        <c:axId val="1018225951"/>
        <c:scaling>
          <c:orientation val="minMax"/>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494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'New Peers'!$AY$71:$AY$107</c:f>
              <c:numCache>
                <c:formatCode>0.0\x_);\(0.0\x\);\-\ </c:formatCode>
                <c:ptCount val="37"/>
                <c:pt idx="0">
                  <c:v>14.233333333333301</c:v>
                </c:pt>
                <c:pt idx="1">
                  <c:v>14.408333333333299</c:v>
                </c:pt>
                <c:pt idx="2">
                  <c:v>15.233333333333301</c:v>
                </c:pt>
                <c:pt idx="3">
                  <c:v>15.391666666666699</c:v>
                </c:pt>
                <c:pt idx="4">
                  <c:v>16.324999999999999</c:v>
                </c:pt>
                <c:pt idx="5">
                  <c:v>18.375</c:v>
                </c:pt>
                <c:pt idx="6">
                  <c:v>18.466666666666701</c:v>
                </c:pt>
                <c:pt idx="7">
                  <c:v>15.9125</c:v>
                </c:pt>
                <c:pt idx="8">
                  <c:v>15.891666666666699</c:v>
                </c:pt>
                <c:pt idx="9">
                  <c:v>16.470833333333299</c:v>
                </c:pt>
                <c:pt idx="10">
                  <c:v>19.316666666666698</c:v>
                </c:pt>
                <c:pt idx="11">
                  <c:v>18.134719166666699</c:v>
                </c:pt>
                <c:pt idx="12">
                  <c:v>18.994441666666699</c:v>
                </c:pt>
                <c:pt idx="13">
                  <c:v>20.430554999999998</c:v>
                </c:pt>
                <c:pt idx="14">
                  <c:v>15.977776666666699</c:v>
                </c:pt>
                <c:pt idx="15">
                  <c:v>14.177777499999999</c:v>
                </c:pt>
                <c:pt idx="16">
                  <c:v>15.766666666666699</c:v>
                </c:pt>
                <c:pt idx="17">
                  <c:v>16.116666666666699</c:v>
                </c:pt>
                <c:pt idx="18">
                  <c:v>16.366666666666699</c:v>
                </c:pt>
                <c:pt idx="19">
                  <c:v>16.4375</c:v>
                </c:pt>
                <c:pt idx="20">
                  <c:v>16.491666666666699</c:v>
                </c:pt>
                <c:pt idx="21">
                  <c:v>18.008333333333301</c:v>
                </c:pt>
                <c:pt idx="22">
                  <c:v>14.6944466666667</c:v>
                </c:pt>
                <c:pt idx="23">
                  <c:v>14.090280833333299</c:v>
                </c:pt>
                <c:pt idx="24">
                  <c:v>13.9944466666667</c:v>
                </c:pt>
                <c:pt idx="25">
                  <c:v>12.450003333333299</c:v>
                </c:pt>
                <c:pt idx="26">
                  <c:v>11.755556666666701</c:v>
                </c:pt>
                <c:pt idx="27">
                  <c:v>11.3611083333333</c:v>
                </c:pt>
                <c:pt idx="28">
                  <c:v>11.577775000000001</c:v>
                </c:pt>
                <c:pt idx="29">
                  <c:v>11.9944425</c:v>
                </c:pt>
                <c:pt idx="30">
                  <c:v>11.88889</c:v>
                </c:pt>
                <c:pt idx="31">
                  <c:v>10.949996666666699</c:v>
                </c:pt>
                <c:pt idx="32">
                  <c:v>10.994441666666701</c:v>
                </c:pt>
                <c:pt idx="33">
                  <c:v>11.0861091666667</c:v>
                </c:pt>
                <c:pt idx="34">
                  <c:v>10.244443333333299</c:v>
                </c:pt>
                <c:pt idx="35">
                  <c:v>9.2527775000000005</c:v>
                </c:pt>
                <c:pt idx="36">
                  <c:v>9.15</c:v>
                </c:pt>
              </c:numCache>
            </c:numRef>
          </c:val>
          <c:smooth val="0"/>
          <c:extLst>
            <c:ext xmlns:c16="http://schemas.microsoft.com/office/drawing/2014/chart" uri="{C3380CC4-5D6E-409C-BE32-E72D297353CC}">
              <c16:uniqueId val="{00000000-769A-4EAD-A30F-4B75876FA122}"/>
            </c:ext>
          </c:extLst>
        </c:ser>
        <c:ser>
          <c:idx val="1"/>
          <c:order val="1"/>
          <c:spPr>
            <a:ln w="28575" cap="rnd">
              <a:solidFill>
                <a:schemeClr val="accent2"/>
              </a:solidFill>
              <a:round/>
            </a:ln>
            <a:effectLst/>
          </c:spPr>
          <c:marker>
            <c:symbol val="none"/>
          </c:marker>
          <c:val>
            <c:numRef>
              <c:f>'New Peers'!$AZ$71:$AZ$107</c:f>
              <c:numCache>
                <c:formatCode>0.0\x_);\(0.0\x\);\-\ </c:formatCode>
                <c:ptCount val="37"/>
                <c:pt idx="0">
                  <c:v>5.62083333333333</c:v>
                </c:pt>
                <c:pt idx="1">
                  <c:v>6.3493041666666699</c:v>
                </c:pt>
                <c:pt idx="2">
                  <c:v>6.7972200000000003</c:v>
                </c:pt>
                <c:pt idx="3">
                  <c:v>8.96875</c:v>
                </c:pt>
                <c:pt idx="4">
                  <c:v>9.3976183333333303</c:v>
                </c:pt>
                <c:pt idx="5">
                  <c:v>10.294442500000001</c:v>
                </c:pt>
                <c:pt idx="6">
                  <c:v>9.0888899999999992</c:v>
                </c:pt>
                <c:pt idx="7">
                  <c:v>7.5399966666666698</c:v>
                </c:pt>
                <c:pt idx="8">
                  <c:v>5.8968333333333298</c:v>
                </c:pt>
                <c:pt idx="9">
                  <c:v>7.43333333333333</c:v>
                </c:pt>
                <c:pt idx="10">
                  <c:v>7.7853333333333303</c:v>
                </c:pt>
                <c:pt idx="11">
                  <c:v>8.4837500000000006</c:v>
                </c:pt>
                <c:pt idx="12">
                  <c:v>8.5625</c:v>
                </c:pt>
                <c:pt idx="13">
                  <c:v>8.9152791666666698</c:v>
                </c:pt>
                <c:pt idx="14">
                  <c:v>9.3849999999999998</c:v>
                </c:pt>
                <c:pt idx="15">
                  <c:v>5.81471916666667</c:v>
                </c:pt>
                <c:pt idx="16">
                  <c:v>5.5616666666666701</c:v>
                </c:pt>
                <c:pt idx="17">
                  <c:v>5.8284166666666701</c:v>
                </c:pt>
                <c:pt idx="18">
                  <c:v>7.4983333333333304</c:v>
                </c:pt>
                <c:pt idx="19">
                  <c:v>8.1979166666666696</c:v>
                </c:pt>
                <c:pt idx="20">
                  <c:v>8.02</c:v>
                </c:pt>
                <c:pt idx="21">
                  <c:v>8.4566666666666706</c:v>
                </c:pt>
                <c:pt idx="22">
                  <c:v>8.66</c:v>
                </c:pt>
                <c:pt idx="23">
                  <c:v>9.15</c:v>
                </c:pt>
                <c:pt idx="24">
                  <c:v>10</c:v>
                </c:pt>
                <c:pt idx="25">
                  <c:v>9.1930541666666699</c:v>
                </c:pt>
                <c:pt idx="26">
                  <c:v>6.5166666666666702</c:v>
                </c:pt>
                <c:pt idx="27">
                  <c:v>5.2658333333333296</c:v>
                </c:pt>
                <c:pt idx="28">
                  <c:v>8.7333333333333307</c:v>
                </c:pt>
                <c:pt idx="29">
                  <c:v>9.5541666666666707</c:v>
                </c:pt>
                <c:pt idx="30">
                  <c:v>12.4166666666667</c:v>
                </c:pt>
                <c:pt idx="31">
                  <c:v>11.658333333333299</c:v>
                </c:pt>
                <c:pt idx="32">
                  <c:v>10.75</c:v>
                </c:pt>
                <c:pt idx="33">
                  <c:v>10.9104166666667</c:v>
                </c:pt>
                <c:pt idx="34">
                  <c:v>10.116666666666699</c:v>
                </c:pt>
                <c:pt idx="35">
                  <c:v>15.3708333333333</c:v>
                </c:pt>
                <c:pt idx="36">
                  <c:v>14.525</c:v>
                </c:pt>
              </c:numCache>
            </c:numRef>
          </c:val>
          <c:smooth val="0"/>
          <c:extLst>
            <c:ext xmlns:c16="http://schemas.microsoft.com/office/drawing/2014/chart" uri="{C3380CC4-5D6E-409C-BE32-E72D297353CC}">
              <c16:uniqueId val="{00000001-769A-4EAD-A30F-4B75876FA122}"/>
            </c:ext>
          </c:extLst>
        </c:ser>
        <c:ser>
          <c:idx val="2"/>
          <c:order val="2"/>
          <c:spPr>
            <a:ln w="28575" cap="rnd">
              <a:solidFill>
                <a:schemeClr val="accent3"/>
              </a:solidFill>
              <a:round/>
            </a:ln>
            <a:effectLst/>
          </c:spPr>
          <c:marker>
            <c:symbol val="none"/>
          </c:marker>
          <c:val>
            <c:numRef>
              <c:f>'New Peers'!$BA$71:$BA$107</c:f>
              <c:numCache>
                <c:formatCode>0.0\x_);\(0.0\x\);\-\ </c:formatCode>
                <c:ptCount val="37"/>
                <c:pt idx="0">
                  <c:v>11.758333333333301</c:v>
                </c:pt>
                <c:pt idx="1">
                  <c:v>11.904166666666701</c:v>
                </c:pt>
                <c:pt idx="2">
                  <c:v>11.75</c:v>
                </c:pt>
                <c:pt idx="3">
                  <c:v>11.534719166666701</c:v>
                </c:pt>
                <c:pt idx="4">
                  <c:v>11.699996666666699</c:v>
                </c:pt>
                <c:pt idx="5">
                  <c:v>10.6027758333333</c:v>
                </c:pt>
                <c:pt idx="6">
                  <c:v>10.1444433333333</c:v>
                </c:pt>
                <c:pt idx="7">
                  <c:v>10.9527775</c:v>
                </c:pt>
                <c:pt idx="8">
                  <c:v>10.6666666666667</c:v>
                </c:pt>
                <c:pt idx="9">
                  <c:v>11.3791666666667</c:v>
                </c:pt>
                <c:pt idx="10">
                  <c:v>9.4666666666666703</c:v>
                </c:pt>
                <c:pt idx="11">
                  <c:v>9.6472191666666696</c:v>
                </c:pt>
                <c:pt idx="12">
                  <c:v>10.07222</c:v>
                </c:pt>
                <c:pt idx="13">
                  <c:v>11.4777758333333</c:v>
                </c:pt>
                <c:pt idx="14">
                  <c:v>12.6777766666667</c:v>
                </c:pt>
                <c:pt idx="15">
                  <c:v>11.7027775</c:v>
                </c:pt>
                <c:pt idx="16">
                  <c:v>11.944445</c:v>
                </c:pt>
                <c:pt idx="17">
                  <c:v>11.983333333333301</c:v>
                </c:pt>
                <c:pt idx="18">
                  <c:v>12.1</c:v>
                </c:pt>
                <c:pt idx="19">
                  <c:v>11.991666666666699</c:v>
                </c:pt>
                <c:pt idx="20">
                  <c:v>11.991666666666699</c:v>
                </c:pt>
                <c:pt idx="21">
                  <c:v>11.875</c:v>
                </c:pt>
                <c:pt idx="22">
                  <c:v>11.1</c:v>
                </c:pt>
                <c:pt idx="23">
                  <c:v>10.029166666666701</c:v>
                </c:pt>
                <c:pt idx="24">
                  <c:v>10.091666666666701</c:v>
                </c:pt>
                <c:pt idx="25">
                  <c:v>9.12083333333333</c:v>
                </c:pt>
                <c:pt idx="26">
                  <c:v>8.0833333333333304</c:v>
                </c:pt>
                <c:pt idx="27">
                  <c:v>7.5430524999999999</c:v>
                </c:pt>
                <c:pt idx="28">
                  <c:v>7.8388866666666699</c:v>
                </c:pt>
                <c:pt idx="29">
                  <c:v>9.1527758333333296</c:v>
                </c:pt>
                <c:pt idx="30">
                  <c:v>8.7111099999999997</c:v>
                </c:pt>
                <c:pt idx="31">
                  <c:v>9.2888916666666699</c:v>
                </c:pt>
                <c:pt idx="32">
                  <c:v>10.17778</c:v>
                </c:pt>
                <c:pt idx="33">
                  <c:v>11.6680575</c:v>
                </c:pt>
                <c:pt idx="34">
                  <c:v>14.022223333333301</c:v>
                </c:pt>
                <c:pt idx="35">
                  <c:v>14.0805558333333</c:v>
                </c:pt>
                <c:pt idx="36">
                  <c:v>14.025</c:v>
                </c:pt>
              </c:numCache>
            </c:numRef>
          </c:val>
          <c:smooth val="0"/>
          <c:extLst>
            <c:ext xmlns:c16="http://schemas.microsoft.com/office/drawing/2014/chart" uri="{C3380CC4-5D6E-409C-BE32-E72D297353CC}">
              <c16:uniqueId val="{00000002-769A-4EAD-A30F-4B75876FA122}"/>
            </c:ext>
          </c:extLst>
        </c:ser>
        <c:dLbls>
          <c:showLegendKey val="0"/>
          <c:showVal val="0"/>
          <c:showCatName val="0"/>
          <c:showSerName val="0"/>
          <c:showPercent val="0"/>
          <c:showBubbleSize val="0"/>
        </c:dLbls>
        <c:smooth val="0"/>
        <c:axId val="1862565423"/>
        <c:axId val="1242389967"/>
      </c:lineChart>
      <c:catAx>
        <c:axId val="1862565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2389967"/>
        <c:crosses val="autoZero"/>
        <c:auto val="1"/>
        <c:lblAlgn val="ctr"/>
        <c:lblOffset val="100"/>
        <c:noMultiLvlLbl val="0"/>
      </c:catAx>
      <c:valAx>
        <c:axId val="1242389967"/>
        <c:scaling>
          <c:orientation val="minMax"/>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565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'New Peers'!$C$20:$C$107</c:f>
              <c:numCache>
                <c:formatCode>"Q1"\ yyyy</c:formatCode>
                <c:ptCount val="88"/>
                <c:pt idx="0" formatCode="&quot;Q4&quot;\ yyyy">
                  <c:v>36981</c:v>
                </c:pt>
                <c:pt idx="1">
                  <c:v>37072</c:v>
                </c:pt>
                <c:pt idx="2" formatCode="&quot;Q2&quot;\ yyyy">
                  <c:v>37164</c:v>
                </c:pt>
                <c:pt idx="3" formatCode="&quot;Q3&quot;\ yyyy">
                  <c:v>37256</c:v>
                </c:pt>
                <c:pt idx="4" formatCode="&quot;Q4&quot;\ yyyy">
                  <c:v>37346</c:v>
                </c:pt>
                <c:pt idx="5">
                  <c:v>37437</c:v>
                </c:pt>
                <c:pt idx="6" formatCode="&quot;Q2&quot;\ yyyy">
                  <c:v>37529</c:v>
                </c:pt>
                <c:pt idx="7" formatCode="&quot;Q3&quot;\ yyyy">
                  <c:v>37621</c:v>
                </c:pt>
                <c:pt idx="8" formatCode="&quot;Q4&quot;\ yyyy">
                  <c:v>37711</c:v>
                </c:pt>
                <c:pt idx="9">
                  <c:v>37802</c:v>
                </c:pt>
                <c:pt idx="10" formatCode="&quot;Q2&quot;\ yyyy">
                  <c:v>37894</c:v>
                </c:pt>
                <c:pt idx="11" formatCode="&quot;Q3&quot;\ yyyy">
                  <c:v>37986</c:v>
                </c:pt>
                <c:pt idx="12" formatCode="&quot;Q4&quot;\ yyyy">
                  <c:v>38077</c:v>
                </c:pt>
                <c:pt idx="13">
                  <c:v>38168</c:v>
                </c:pt>
                <c:pt idx="14" formatCode="&quot;Q2&quot;\ yyyy">
                  <c:v>38260</c:v>
                </c:pt>
                <c:pt idx="15" formatCode="&quot;Q3&quot;\ yyyy">
                  <c:v>38352</c:v>
                </c:pt>
                <c:pt idx="16" formatCode="&quot;Q4&quot;\ yyyy">
                  <c:v>38442</c:v>
                </c:pt>
                <c:pt idx="17">
                  <c:v>38533</c:v>
                </c:pt>
                <c:pt idx="18" formatCode="&quot;Q2&quot;\ yyyy">
                  <c:v>38625</c:v>
                </c:pt>
                <c:pt idx="19" formatCode="&quot;Q3&quot;\ yyyy">
                  <c:v>38717</c:v>
                </c:pt>
                <c:pt idx="20" formatCode="&quot;Q4&quot;\ yyyy">
                  <c:v>38807</c:v>
                </c:pt>
                <c:pt idx="21">
                  <c:v>38898</c:v>
                </c:pt>
                <c:pt idx="22" formatCode="&quot;Q2&quot;\ yyyy">
                  <c:v>38990</c:v>
                </c:pt>
                <c:pt idx="23" formatCode="&quot;Q3&quot;\ yyyy">
                  <c:v>39082</c:v>
                </c:pt>
                <c:pt idx="24" formatCode="&quot;Q4&quot;\ yyyy">
                  <c:v>39172</c:v>
                </c:pt>
                <c:pt idx="25">
                  <c:v>39263</c:v>
                </c:pt>
                <c:pt idx="26" formatCode="&quot;Q2&quot;\ yyyy">
                  <c:v>39355</c:v>
                </c:pt>
                <c:pt idx="27" formatCode="&quot;Q3&quot;\ yyyy">
                  <c:v>39447</c:v>
                </c:pt>
                <c:pt idx="28" formatCode="&quot;Q4&quot;\ yyyy">
                  <c:v>39538</c:v>
                </c:pt>
                <c:pt idx="29">
                  <c:v>39629</c:v>
                </c:pt>
                <c:pt idx="30" formatCode="&quot;Q2&quot;\ yyyy">
                  <c:v>39721</c:v>
                </c:pt>
                <c:pt idx="31" formatCode="&quot;Q3&quot;\ yyyy">
                  <c:v>39813</c:v>
                </c:pt>
                <c:pt idx="32" formatCode="&quot;Q4&quot;\ yyyy">
                  <c:v>39903</c:v>
                </c:pt>
                <c:pt idx="33">
                  <c:v>39994</c:v>
                </c:pt>
                <c:pt idx="34" formatCode="&quot;Q2&quot;\ yyyy">
                  <c:v>40086</c:v>
                </c:pt>
                <c:pt idx="35" formatCode="&quot;Q3&quot;\ yyyy">
                  <c:v>40178</c:v>
                </c:pt>
                <c:pt idx="36" formatCode="&quot;Q4&quot;\ yyyy">
                  <c:v>40268</c:v>
                </c:pt>
                <c:pt idx="37">
                  <c:v>40359</c:v>
                </c:pt>
                <c:pt idx="38" formatCode="&quot;Q2&quot;\ yyyy">
                  <c:v>40451</c:v>
                </c:pt>
                <c:pt idx="39" formatCode="&quot;Q3&quot;\ yyyy">
                  <c:v>40543</c:v>
                </c:pt>
                <c:pt idx="40" formatCode="&quot;Q4&quot;\ yyyy">
                  <c:v>40633</c:v>
                </c:pt>
                <c:pt idx="41">
                  <c:v>40724</c:v>
                </c:pt>
                <c:pt idx="42" formatCode="&quot;Q2&quot;\ yyyy">
                  <c:v>40816</c:v>
                </c:pt>
                <c:pt idx="43" formatCode="&quot;Q3&quot;\ yyyy">
                  <c:v>40908</c:v>
                </c:pt>
                <c:pt idx="44" formatCode="&quot;Q4&quot;\ yyyy">
                  <c:v>40999</c:v>
                </c:pt>
                <c:pt idx="45">
                  <c:v>41090</c:v>
                </c:pt>
                <c:pt idx="46" formatCode="&quot;Q2&quot;\ yyyy">
                  <c:v>41182</c:v>
                </c:pt>
                <c:pt idx="47" formatCode="&quot;Q3&quot;\ yyyy">
                  <c:v>41274</c:v>
                </c:pt>
                <c:pt idx="48" formatCode="&quot;Q4&quot;\ yyyy">
                  <c:v>41364</c:v>
                </c:pt>
                <c:pt idx="49">
                  <c:v>41455</c:v>
                </c:pt>
                <c:pt idx="50" formatCode="&quot;Q2&quot;\ yyyy">
                  <c:v>41547</c:v>
                </c:pt>
                <c:pt idx="51" formatCode="&quot;Q3&quot;\ yyyy">
                  <c:v>41639</c:v>
                </c:pt>
                <c:pt idx="52" formatCode="&quot;Q4&quot;\ yyyy">
                  <c:v>41729</c:v>
                </c:pt>
                <c:pt idx="53">
                  <c:v>41820</c:v>
                </c:pt>
                <c:pt idx="54" formatCode="&quot;Q2&quot;\ yyyy">
                  <c:v>41912</c:v>
                </c:pt>
                <c:pt idx="55" formatCode="&quot;Q3&quot;\ yyyy">
                  <c:v>42004</c:v>
                </c:pt>
                <c:pt idx="56" formatCode="&quot;Q4&quot;\ yyyy">
                  <c:v>42094</c:v>
                </c:pt>
                <c:pt idx="57">
                  <c:v>42185</c:v>
                </c:pt>
                <c:pt idx="58" formatCode="&quot;Q2&quot;\ yyyy">
                  <c:v>42277</c:v>
                </c:pt>
                <c:pt idx="59" formatCode="&quot;Q3&quot;\ yyyy">
                  <c:v>42369</c:v>
                </c:pt>
                <c:pt idx="60" formatCode="&quot;Q4&quot;\ yyyy">
                  <c:v>42460</c:v>
                </c:pt>
                <c:pt idx="61" formatCode="&quot;Q4&quot;\ yyyy">
                  <c:v>42551</c:v>
                </c:pt>
                <c:pt idx="62" formatCode="&quot;Q4&quot;\ yyyy">
                  <c:v>42643</c:v>
                </c:pt>
                <c:pt idx="63" formatCode="&quot;Q4&quot;\ yyyy">
                  <c:v>42735</c:v>
                </c:pt>
                <c:pt idx="64" formatCode="&quot;Q4&quot;\ yyyy">
                  <c:v>42825</c:v>
                </c:pt>
                <c:pt idx="65" formatCode="&quot;Q4&quot;\ yyyy">
                  <c:v>42916</c:v>
                </c:pt>
                <c:pt idx="66" formatCode="&quot;Q4&quot;\ yyyy">
                  <c:v>43008</c:v>
                </c:pt>
                <c:pt idx="67" formatCode="&quot;Q4&quot;\ yyyy">
                  <c:v>43100</c:v>
                </c:pt>
                <c:pt idx="68" formatCode="&quot;Q4&quot;\ yyyy">
                  <c:v>43190</c:v>
                </c:pt>
                <c:pt idx="69" formatCode="&quot;Q4&quot;\ yyyy">
                  <c:v>43281</c:v>
                </c:pt>
                <c:pt idx="70" formatCode="&quot;Q4&quot;\ yyyy">
                  <c:v>43373</c:v>
                </c:pt>
                <c:pt idx="71" formatCode="&quot;Q4&quot;\ yyyy">
                  <c:v>43465</c:v>
                </c:pt>
                <c:pt idx="72" formatCode="&quot;Q4&quot;\ yyyy">
                  <c:v>43555</c:v>
                </c:pt>
                <c:pt idx="73" formatCode="&quot;Q4&quot;\ yyyy">
                  <c:v>43646</c:v>
                </c:pt>
                <c:pt idx="74" formatCode="&quot;Q4&quot;\ yyyy">
                  <c:v>43738</c:v>
                </c:pt>
                <c:pt idx="75" formatCode="&quot;Q4&quot;\ yyyy">
                  <c:v>43830</c:v>
                </c:pt>
                <c:pt idx="76" formatCode="&quot;Q4&quot;\ yyyy">
                  <c:v>43921</c:v>
                </c:pt>
                <c:pt idx="77" formatCode="&quot;Q4&quot;\ yyyy">
                  <c:v>44012</c:v>
                </c:pt>
                <c:pt idx="78" formatCode="&quot;Q4&quot;\ yyyy">
                  <c:v>44104</c:v>
                </c:pt>
                <c:pt idx="79" formatCode="&quot;Q4&quot;\ yyyy">
                  <c:v>44196</c:v>
                </c:pt>
                <c:pt idx="80" formatCode="&quot;Q4&quot;\ yyyy">
                  <c:v>44286</c:v>
                </c:pt>
                <c:pt idx="81" formatCode="&quot;Q4&quot;\ yyyy">
                  <c:v>44377</c:v>
                </c:pt>
                <c:pt idx="82" formatCode="&quot;Q4&quot;\ yyyy">
                  <c:v>44469</c:v>
                </c:pt>
                <c:pt idx="83" formatCode="&quot;Q4&quot;\ yyyy">
                  <c:v>44561</c:v>
                </c:pt>
                <c:pt idx="84" formatCode="&quot;Q4&quot;\ yyyy">
                  <c:v>44651</c:v>
                </c:pt>
                <c:pt idx="85" formatCode="&quot;Q4&quot;\ yyyy">
                  <c:v>44742</c:v>
                </c:pt>
                <c:pt idx="86" formatCode="&quot;Q4&quot;\ yyyy">
                  <c:v>44834</c:v>
                </c:pt>
                <c:pt idx="87" formatCode="&quot;Q4&quot;\ yyyy">
                  <c:v>44926</c:v>
                </c:pt>
              </c:numCache>
            </c:numRef>
          </c:cat>
          <c:val>
            <c:numRef>
              <c:f>'New Peers'!$DF$20:$DF$107</c:f>
              <c:numCache>
                <c:formatCode>#,##0.0_);\(#,##0.0\);\-\ </c:formatCode>
                <c:ptCount val="88"/>
                <c:pt idx="0">
                  <c:v>621.32500000000005</c:v>
                </c:pt>
                <c:pt idx="1">
                  <c:v>704.42499999999995</c:v>
                </c:pt>
                <c:pt idx="2">
                  <c:v>685.47500000000002</c:v>
                </c:pt>
                <c:pt idx="3">
                  <c:v>680.42499999999995</c:v>
                </c:pt>
                <c:pt idx="4">
                  <c:v>674.65</c:v>
                </c:pt>
                <c:pt idx="5">
                  <c:v>677.07500000000005</c:v>
                </c:pt>
                <c:pt idx="6">
                  <c:v>681</c:v>
                </c:pt>
                <c:pt idx="7">
                  <c:v>637.07500000000005</c:v>
                </c:pt>
                <c:pt idx="8">
                  <c:v>636.9</c:v>
                </c:pt>
                <c:pt idx="9">
                  <c:v>632.92499999999995</c:v>
                </c:pt>
                <c:pt idx="10">
                  <c:v>625.54999999999995</c:v>
                </c:pt>
                <c:pt idx="11">
                  <c:v>620.1</c:v>
                </c:pt>
                <c:pt idx="12">
                  <c:v>570.42499999999995</c:v>
                </c:pt>
                <c:pt idx="13">
                  <c:v>513.52499999999998</c:v>
                </c:pt>
                <c:pt idx="14">
                  <c:v>457.9</c:v>
                </c:pt>
                <c:pt idx="15">
                  <c:v>456.1</c:v>
                </c:pt>
                <c:pt idx="16">
                  <c:v>445.42500000000001</c:v>
                </c:pt>
                <c:pt idx="17">
                  <c:v>438.92500000000001</c:v>
                </c:pt>
                <c:pt idx="18">
                  <c:v>432.52499999999998</c:v>
                </c:pt>
                <c:pt idx="19">
                  <c:v>421.8</c:v>
                </c:pt>
                <c:pt idx="20">
                  <c:v>420.5</c:v>
                </c:pt>
                <c:pt idx="21">
                  <c:v>422.67500000000001</c:v>
                </c:pt>
                <c:pt idx="22">
                  <c:v>427.3</c:v>
                </c:pt>
                <c:pt idx="23">
                  <c:v>428.9</c:v>
                </c:pt>
                <c:pt idx="24">
                  <c:v>431.7</c:v>
                </c:pt>
                <c:pt idx="25">
                  <c:v>435.75</c:v>
                </c:pt>
                <c:pt idx="26">
                  <c:v>442.52499999999998</c:v>
                </c:pt>
                <c:pt idx="27">
                  <c:v>444.35</c:v>
                </c:pt>
                <c:pt idx="28">
                  <c:v>452.25</c:v>
                </c:pt>
                <c:pt idx="29">
                  <c:v>459.32499999999999</c:v>
                </c:pt>
                <c:pt idx="30">
                  <c:v>457.65</c:v>
                </c:pt>
                <c:pt idx="31">
                  <c:v>453.22500000000002</c:v>
                </c:pt>
                <c:pt idx="32">
                  <c:v>438.47500000000002</c:v>
                </c:pt>
                <c:pt idx="33">
                  <c:v>423.8</c:v>
                </c:pt>
                <c:pt idx="34">
                  <c:v>411.57499999999999</c:v>
                </c:pt>
                <c:pt idx="35">
                  <c:v>401.67500000000001</c:v>
                </c:pt>
                <c:pt idx="36">
                  <c:v>393.97500000000002</c:v>
                </c:pt>
                <c:pt idx="37">
                  <c:v>382.7</c:v>
                </c:pt>
                <c:pt idx="38">
                  <c:v>375.82499999999999</c:v>
                </c:pt>
                <c:pt idx="39">
                  <c:v>371.32499999999999</c:v>
                </c:pt>
                <c:pt idx="40">
                  <c:v>371.45</c:v>
                </c:pt>
                <c:pt idx="41">
                  <c:v>375.375</c:v>
                </c:pt>
                <c:pt idx="42">
                  <c:v>374.6</c:v>
                </c:pt>
                <c:pt idx="43">
                  <c:v>374.6</c:v>
                </c:pt>
                <c:pt idx="44">
                  <c:v>383.8</c:v>
                </c:pt>
                <c:pt idx="45">
                  <c:v>383.77499999999998</c:v>
                </c:pt>
                <c:pt idx="46">
                  <c:v>387.7</c:v>
                </c:pt>
                <c:pt idx="47">
                  <c:v>384.75</c:v>
                </c:pt>
                <c:pt idx="48">
                  <c:v>454.35</c:v>
                </c:pt>
                <c:pt idx="49">
                  <c:v>523.20000000000005</c:v>
                </c:pt>
                <c:pt idx="50">
                  <c:v>589.125</c:v>
                </c:pt>
                <c:pt idx="51">
                  <c:v>654.22500000000002</c:v>
                </c:pt>
                <c:pt idx="52">
                  <c:v>644.125</c:v>
                </c:pt>
                <c:pt idx="53">
                  <c:v>633.52499999999998</c:v>
                </c:pt>
                <c:pt idx="54">
                  <c:v>621.32500000000005</c:v>
                </c:pt>
                <c:pt idx="55">
                  <c:v>608.95000000000005</c:v>
                </c:pt>
                <c:pt idx="56">
                  <c:v>595.67499999999995</c:v>
                </c:pt>
                <c:pt idx="57">
                  <c:v>588.04999999999995</c:v>
                </c:pt>
                <c:pt idx="58">
                  <c:v>582.77499999999998</c:v>
                </c:pt>
                <c:pt idx="59">
                  <c:v>579.47500000000002</c:v>
                </c:pt>
                <c:pt idx="60">
                  <c:v>579.92499999999995</c:v>
                </c:pt>
                <c:pt idx="61">
                  <c:v>579.9</c:v>
                </c:pt>
                <c:pt idx="62">
                  <c:v>587.52499999999998</c:v>
                </c:pt>
                <c:pt idx="63">
                  <c:v>548.22500000000002</c:v>
                </c:pt>
                <c:pt idx="64">
                  <c:v>554.65</c:v>
                </c:pt>
                <c:pt idx="65">
                  <c:v>518.125</c:v>
                </c:pt>
                <c:pt idx="66">
                  <c:v>478.82499999999999</c:v>
                </c:pt>
                <c:pt idx="67">
                  <c:v>487.65</c:v>
                </c:pt>
                <c:pt idx="68">
                  <c:v>457.875</c:v>
                </c:pt>
                <c:pt idx="69">
                  <c:v>470.55</c:v>
                </c:pt>
                <c:pt idx="70">
                  <c:v>480.52499999999998</c:v>
                </c:pt>
                <c:pt idx="71">
                  <c:v>461.25</c:v>
                </c:pt>
                <c:pt idx="72">
                  <c:v>483.05</c:v>
                </c:pt>
                <c:pt idx="73">
                  <c:v>504.52499999999998</c:v>
                </c:pt>
                <c:pt idx="74">
                  <c:v>495.35</c:v>
                </c:pt>
                <c:pt idx="75">
                  <c:v>517.02499999999998</c:v>
                </c:pt>
                <c:pt idx="76">
                  <c:v>488.52499999999998</c:v>
                </c:pt>
                <c:pt idx="77">
                  <c:v>460.22500000000002</c:v>
                </c:pt>
                <c:pt idx="78">
                  <c:v>538.17499999999995</c:v>
                </c:pt>
                <c:pt idx="79">
                  <c:v>614.32500000000005</c:v>
                </c:pt>
                <c:pt idx="80">
                  <c:v>688.5</c:v>
                </c:pt>
                <c:pt idx="81">
                  <c:v>765.6</c:v>
                </c:pt>
                <c:pt idx="82">
                  <c:v>762.7</c:v>
                </c:pt>
                <c:pt idx="83">
                  <c:v>756.3</c:v>
                </c:pt>
                <c:pt idx="84">
                  <c:v>749.45</c:v>
                </c:pt>
                <c:pt idx="85">
                  <c:v>733</c:v>
                </c:pt>
                <c:pt idx="86">
                  <c:v>800.55</c:v>
                </c:pt>
                <c:pt idx="87">
                  <c:v>890.4</c:v>
                </c:pt>
              </c:numCache>
            </c:numRef>
          </c:val>
          <c:smooth val="0"/>
          <c:extLst>
            <c:ext xmlns:c16="http://schemas.microsoft.com/office/drawing/2014/chart" uri="{C3380CC4-5D6E-409C-BE32-E72D297353CC}">
              <c16:uniqueId val="{00000000-9865-4C1D-8E9B-0A0344CF2190}"/>
            </c:ext>
          </c:extLst>
        </c:ser>
        <c:dLbls>
          <c:showLegendKey val="0"/>
          <c:showVal val="0"/>
          <c:showCatName val="0"/>
          <c:showSerName val="0"/>
          <c:showPercent val="0"/>
          <c:showBubbleSize val="0"/>
        </c:dLbls>
        <c:smooth val="0"/>
        <c:axId val="1087094304"/>
        <c:axId val="1087092864"/>
      </c:lineChart>
      <c:dateAx>
        <c:axId val="1087094304"/>
        <c:scaling>
          <c:orientation val="minMax"/>
        </c:scaling>
        <c:delete val="0"/>
        <c:axPos val="b"/>
        <c:numFmt formatCode="&quot;Q4&quot;\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092864"/>
        <c:crosses val="autoZero"/>
        <c:auto val="1"/>
        <c:lblOffset val="100"/>
        <c:baseTimeUnit val="months"/>
      </c:dateAx>
      <c:valAx>
        <c:axId val="1087092864"/>
        <c:scaling>
          <c:orientation val="minMax"/>
        </c:scaling>
        <c:delete val="0"/>
        <c:axPos val="l"/>
        <c:majorGridlines>
          <c:spPr>
            <a:ln w="9525" cap="flat" cmpd="sng" algn="ctr">
              <a:solidFill>
                <a:schemeClr val="tx1">
                  <a:lumMod val="15000"/>
                  <a:lumOff val="85000"/>
                </a:schemeClr>
              </a:solidFill>
              <a:round/>
            </a:ln>
            <a:effectLst/>
          </c:spPr>
        </c:majorGridlines>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094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2"/>
              <c:layout>
                <c:manualLayout>
                  <c:x val="-0.13470844269466317"/>
                  <c:y val="-0.10425269842428445"/>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7B-412F-9AF7-F2B8258DC917}"/>
                </c:ext>
              </c:extLst>
            </c:dLbl>
            <c:dLbl>
              <c:idx val="3"/>
              <c:layout>
                <c:manualLayout>
                  <c:x val="-8.1152887139107607E-2"/>
                  <c:y val="3.4797127763432814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7B-412F-9AF7-F2B8258DC917}"/>
                </c:ext>
              </c:extLst>
            </c:dLbl>
            <c:dLbl>
              <c:idx val="7"/>
              <c:layout>
                <c:manualLayout>
                  <c:x val="-0.11170844269466317"/>
                  <c:y val="-3.9362779536683143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7B-412F-9AF7-F2B8258DC917}"/>
                </c:ext>
              </c:extLst>
            </c:dLbl>
            <c:dLbl>
              <c:idx val="8"/>
              <c:layout>
                <c:manualLayout>
                  <c:x val="-0.14781955380577427"/>
                  <c:y val="-0.11352268683679893"/>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7B-412F-9AF7-F2B8258DC9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'Other Pulls'!$AT$62:$BB$62</c:f>
              <c:numCache>
                <c:formatCode>0.0\x_);\(0.0\x\);\-\ </c:formatCode>
                <c:ptCount val="9"/>
                <c:pt idx="0">
                  <c:v>7.6585533433844102</c:v>
                </c:pt>
                <c:pt idx="1">
                  <c:v>8.4167920164571903</c:v>
                </c:pt>
                <c:pt idx="2">
                  <c:v>6.3673259962186401</c:v>
                </c:pt>
                <c:pt idx="3">
                  <c:v>7.1834033156799704</c:v>
                </c:pt>
                <c:pt idx="4">
                  <c:v>6.5972906681438497</c:v>
                </c:pt>
                <c:pt idx="5">
                  <c:v>10.3580251779157</c:v>
                </c:pt>
                <c:pt idx="6">
                  <c:v>8.9985662475123007</c:v>
                </c:pt>
                <c:pt idx="7">
                  <c:v>5.3264673069112503</c:v>
                </c:pt>
                <c:pt idx="8">
                  <c:v>#N/A</c:v>
                </c:pt>
              </c:numCache>
            </c:numRef>
          </c:xVal>
          <c:yVal>
            <c:numRef>
              <c:f>'Other Pulls'!$AT$63:$BB$63</c:f>
              <c:numCache>
                <c:formatCode>0.0%_);\(0.0%\)</c:formatCode>
                <c:ptCount val="9"/>
                <c:pt idx="0">
                  <c:v>0.11810623378378381</c:v>
                </c:pt>
                <c:pt idx="1">
                  <c:v>0.17369068851351346</c:v>
                </c:pt>
                <c:pt idx="2">
                  <c:v>0.1070719862270751</c:v>
                </c:pt>
                <c:pt idx="3">
                  <c:v>9.8582701374177725E-2</c:v>
                </c:pt>
                <c:pt idx="4">
                  <c:v>0.20234920833333334</c:v>
                </c:pt>
                <c:pt idx="5">
                  <c:v>0.12525078143392809</c:v>
                </c:pt>
                <c:pt idx="6">
                  <c:v>9.940155054239673E-2</c:v>
                </c:pt>
                <c:pt idx="7">
                  <c:v>5.7579869928866732E-2</c:v>
                </c:pt>
                <c:pt idx="8">
                  <c:v>8.2519911574074026E-2</c:v>
                </c:pt>
              </c:numCache>
            </c:numRef>
          </c:yVal>
          <c:smooth val="0"/>
          <c:extLst>
            <c:ext xmlns:c16="http://schemas.microsoft.com/office/drawing/2014/chart" uri="{C3380CC4-5D6E-409C-BE32-E72D297353CC}">
              <c16:uniqueId val="{00000000-947B-412F-9AF7-F2B8258DC917}"/>
            </c:ext>
          </c:extLst>
        </c:ser>
        <c:dLbls>
          <c:showLegendKey val="0"/>
          <c:showVal val="0"/>
          <c:showCatName val="0"/>
          <c:showSerName val="0"/>
          <c:showPercent val="0"/>
          <c:showBubbleSize val="0"/>
        </c:dLbls>
        <c:axId val="1914999520"/>
        <c:axId val="638134751"/>
      </c:scatterChart>
      <c:valAx>
        <c:axId val="1914999520"/>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134751"/>
        <c:crosses val="autoZero"/>
        <c:crossBetween val="midCat"/>
      </c:valAx>
      <c:valAx>
        <c:axId val="638134751"/>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499952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EV-EBITDA'!$E$11</c:f>
          <c:strCache>
            <c:ptCount val="1"/>
            <c:pt idx="0">
              <c:v>Eastman Chemical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4549449529006584"/>
        </c:manualLayout>
      </c:layout>
      <c:lineChart>
        <c:grouping val="standard"/>
        <c:varyColors val="0"/>
        <c:ser>
          <c:idx val="0"/>
          <c:order val="0"/>
          <c:tx>
            <c:strRef>
              <c:f>'Forward EV-EBITDA'!$E$11</c:f>
              <c:strCache>
                <c:ptCount val="1"/>
                <c:pt idx="0">
                  <c:v>Eastman Chemical Co</c:v>
                </c:pt>
              </c:strCache>
            </c:strRef>
          </c:tx>
          <c:spPr>
            <a:ln w="28575" cap="rnd">
              <a:solidFill>
                <a:srgbClr val="0070C0"/>
              </a:solidFill>
              <a:round/>
            </a:ln>
            <a:effectLst/>
          </c:spPr>
          <c:marker>
            <c:symbol val="none"/>
          </c:marker>
          <c:cat>
            <c:numRef>
              <c:f>'Forward EV-EBITDA'!$C$20:$D$61</c:f>
              <c:numCache>
                <c:formatCode>"Q2"\ yyyy</c:formatCode>
                <c:ptCount val="42"/>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EV-EBITDA'!$E$20:$E$61</c:f>
              <c:numCache>
                <c:formatCode>0.0\x_);\(0.0\x\);\-\ </c:formatCode>
                <c:ptCount val="42"/>
                <c:pt idx="0">
                  <c:v>7.3925278844614404</c:v>
                </c:pt>
                <c:pt idx="1">
                  <c:v>7.7920271393888303</c:v>
                </c:pt>
                <c:pt idx="2">
                  <c:v>7.7148548871086602</c:v>
                </c:pt>
                <c:pt idx="3">
                  <c:v>7.9226599951817596</c:v>
                </c:pt>
                <c:pt idx="4">
                  <c:v>8.0386374338896704</c:v>
                </c:pt>
                <c:pt idx="5">
                  <c:v>7.7710426848552601</c:v>
                </c:pt>
                <c:pt idx="6">
                  <c:v>7.4467288782765904</c:v>
                </c:pt>
                <c:pt idx="7">
                  <c:v>6.9296338430472204</c:v>
                </c:pt>
                <c:pt idx="8">
                  <c:v>8.2565020886253606</c:v>
                </c:pt>
                <c:pt idx="9">
                  <c:v>7.7631885983009097</c:v>
                </c:pt>
                <c:pt idx="10">
                  <c:v>7.2711183570638598</c:v>
                </c:pt>
                <c:pt idx="11">
                  <c:v>7.1603280818444901</c:v>
                </c:pt>
                <c:pt idx="12">
                  <c:v>7.8611620646486102</c:v>
                </c:pt>
                <c:pt idx="13">
                  <c:v>7.4409689632156102</c:v>
                </c:pt>
                <c:pt idx="14">
                  <c:v>7.8806669581190301</c:v>
                </c:pt>
                <c:pt idx="15">
                  <c:v>8.2584597768041892</c:v>
                </c:pt>
                <c:pt idx="16">
                  <c:v>8.1286033293183397</c:v>
                </c:pt>
                <c:pt idx="17">
                  <c:v>8.3615309094421608</c:v>
                </c:pt>
                <c:pt idx="18">
                  <c:v>8.5433213500236693</c:v>
                </c:pt>
                <c:pt idx="19">
                  <c:v>8.9477286757746892</c:v>
                </c:pt>
                <c:pt idx="20">
                  <c:v>9.2461479850569592</c:v>
                </c:pt>
                <c:pt idx="21">
                  <c:v>8.5354105219265808</c:v>
                </c:pt>
                <c:pt idx="22">
                  <c:v>7.5448281157362196</c:v>
                </c:pt>
                <c:pt idx="23">
                  <c:v>7.7196499070828004</c:v>
                </c:pt>
                <c:pt idx="24">
                  <c:v>7.1041326552310702</c:v>
                </c:pt>
                <c:pt idx="25">
                  <c:v>6.8293388553292402</c:v>
                </c:pt>
                <c:pt idx="26">
                  <c:v>8.0806416947550908</c:v>
                </c:pt>
                <c:pt idx="27">
                  <c:v>8.1025042109024508</c:v>
                </c:pt>
                <c:pt idx="28">
                  <c:v>7.7360333434325597</c:v>
                </c:pt>
                <c:pt idx="29">
                  <c:v>8.5137936424066005</c:v>
                </c:pt>
                <c:pt idx="30">
                  <c:v>9.4849104948247795</c:v>
                </c:pt>
                <c:pt idx="31">
                  <c:v>9.8442805486113105</c:v>
                </c:pt>
                <c:pt idx="32">
                  <c:v>10.271528513511701</c:v>
                </c:pt>
                <c:pt idx="33">
                  <c:v>9.1276133775656394</c:v>
                </c:pt>
                <c:pt idx="34">
                  <c:v>9.2449286711192098</c:v>
                </c:pt>
                <c:pt idx="35">
                  <c:v>9.3087136255806993</c:v>
                </c:pt>
                <c:pt idx="36">
                  <c:v>8.3097007763091906</c:v>
                </c:pt>
                <c:pt idx="37">
                  <c:v>7.8880948363602297</c:v>
                </c:pt>
                <c:pt idx="38">
                  <c:v>8.0898627834786403</c:v>
                </c:pt>
                <c:pt idx="39">
                  <c:v>8.2746410890455397</c:v>
                </c:pt>
                <c:pt idx="40">
                  <c:v>7.7168043757585503</c:v>
                </c:pt>
              </c:numCache>
            </c:numRef>
          </c:val>
          <c:smooth val="0"/>
          <c:extLst>
            <c:ext xmlns:c16="http://schemas.microsoft.com/office/drawing/2014/chart" uri="{C3380CC4-5D6E-409C-BE32-E72D297353CC}">
              <c16:uniqueId val="{00000000-72CC-4215-9236-65AEA21374CA}"/>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72CC-4215-9236-65AEA21374CA}"/>
              </c:ext>
            </c:extLst>
          </c:dPt>
          <c:dLbls>
            <c:dLbl>
              <c:idx val="0"/>
              <c:delete val="1"/>
              <c:extLst>
                <c:ext xmlns:c15="http://schemas.microsoft.com/office/drawing/2012/chart" uri="{CE6537A1-D6FC-4f65-9D91-7224C49458BB}"/>
                <c:ext xmlns:c16="http://schemas.microsoft.com/office/drawing/2014/chart" uri="{C3380CC4-5D6E-409C-BE32-E72D297353CC}">
                  <c16:uniqueId val="{00000002-72CC-4215-9236-65AEA21374C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EV-EBITDA'!$E$16,'Forward EV-EBITDA'!$E$16)</c:f>
              <c:numCache>
                <c:formatCode>0.0\x_);\(0.0\x\);\-\ </c:formatCode>
                <c:ptCount val="2"/>
                <c:pt idx="0">
                  <c:v>8.1428110225223271</c:v>
                </c:pt>
                <c:pt idx="1">
                  <c:v>8.1428110225223271</c:v>
                </c:pt>
              </c:numCache>
            </c:numRef>
          </c:yVal>
          <c:smooth val="1"/>
          <c:extLst>
            <c:ext xmlns:c16="http://schemas.microsoft.com/office/drawing/2014/chart" uri="{C3380CC4-5D6E-409C-BE32-E72D297353CC}">
              <c16:uniqueId val="{00000003-72CC-4215-9236-65AEA21374CA}"/>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72CC-4215-9236-65AEA21374C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EV-EBITDA'!$E$17,'Forward EV-EBITDA'!$E$17)</c:f>
              <c:numCache>
                <c:formatCode>0.0\x_);\(0.0\x\);\-\ </c:formatCode>
                <c:ptCount val="2"/>
                <c:pt idx="0">
                  <c:v>7.3697562740241223</c:v>
                </c:pt>
                <c:pt idx="1">
                  <c:v>7.3697562740241223</c:v>
                </c:pt>
              </c:numCache>
            </c:numRef>
          </c:yVal>
          <c:smooth val="1"/>
          <c:extLst>
            <c:ext xmlns:c16="http://schemas.microsoft.com/office/drawing/2014/chart" uri="{C3380CC4-5D6E-409C-BE32-E72D297353CC}">
              <c16:uniqueId val="{00000005-72CC-4215-9236-65AEA21374CA}"/>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72CC-4215-9236-65AEA21374C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EV-EBITDA'!$E$18,'Forward EV-EBITDA'!$E$18)</c:f>
              <c:numCache>
                <c:formatCode>0.0\x_);\(0.0\x\);\-\ </c:formatCode>
                <c:ptCount val="2"/>
                <c:pt idx="0">
                  <c:v>8.9158657710205311</c:v>
                </c:pt>
                <c:pt idx="1">
                  <c:v>8.9158657710205311</c:v>
                </c:pt>
              </c:numCache>
            </c:numRef>
          </c:yVal>
          <c:smooth val="1"/>
          <c:extLst>
            <c:ext xmlns:c16="http://schemas.microsoft.com/office/drawing/2014/chart" uri="{C3380CC4-5D6E-409C-BE32-E72D297353CC}">
              <c16:uniqueId val="{00000007-72CC-4215-9236-65AEA21374CA}"/>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1"/>
        <c:tickMarkSkip val="2"/>
        <c:noMultiLvlLbl val="0"/>
      </c:catAx>
      <c:valAx>
        <c:axId val="1797475792"/>
        <c:scaling>
          <c:orientation val="minMax"/>
          <c:min val="6"/>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EV-EBITDA'!$F$11</c:f>
          <c:strCache>
            <c:ptCount val="1"/>
            <c:pt idx="0">
              <c:v>Celanese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EV-EBITDA'!$F$11</c:f>
              <c:strCache>
                <c:ptCount val="1"/>
                <c:pt idx="0">
                  <c:v>Celanese Corp</c:v>
                </c:pt>
              </c:strCache>
            </c:strRef>
          </c:tx>
          <c:spPr>
            <a:ln w="28575" cap="rnd">
              <a:solidFill>
                <a:srgbClr val="0070C0"/>
              </a:solidFill>
              <a:round/>
            </a:ln>
            <a:effectLst/>
          </c:spPr>
          <c:marker>
            <c:symbol val="none"/>
          </c:marker>
          <c:cat>
            <c:numRef>
              <c:f>'Forward EV-EBITDA'!$C$21:$D$61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EV-EBITDA'!$F$21:$F$61</c:f>
              <c:numCache>
                <c:formatCode>0.0\x_);\(0.0\x\);\-\ </c:formatCode>
                <c:ptCount val="41"/>
                <c:pt idx="0">
                  <c:v>6.9462604239508297</c:v>
                </c:pt>
                <c:pt idx="1">
                  <c:v>7.6905757256787703</c:v>
                </c:pt>
                <c:pt idx="2">
                  <c:v>7.0030993714546099</c:v>
                </c:pt>
                <c:pt idx="3">
                  <c:v>7.5228291339738798</c:v>
                </c:pt>
                <c:pt idx="4">
                  <c:v>7.48637277195962</c:v>
                </c:pt>
                <c:pt idx="5">
                  <c:v>7.4373143165697098</c:v>
                </c:pt>
                <c:pt idx="6">
                  <c:v>7.7170195086687201</c:v>
                </c:pt>
                <c:pt idx="7">
                  <c:v>8.2595890808119705</c:v>
                </c:pt>
                <c:pt idx="8">
                  <c:v>7.7268626580478301</c:v>
                </c:pt>
                <c:pt idx="9">
                  <c:v>8.2298992470739893</c:v>
                </c:pt>
                <c:pt idx="10">
                  <c:v>7.0129921563583997</c:v>
                </c:pt>
                <c:pt idx="11">
                  <c:v>7.8773388077530999</c:v>
                </c:pt>
                <c:pt idx="12">
                  <c:v>7.4070925552826399</c:v>
                </c:pt>
                <c:pt idx="13">
                  <c:v>8.2400268040106006</c:v>
                </c:pt>
                <c:pt idx="14">
                  <c:v>9.2638216886287701</c:v>
                </c:pt>
                <c:pt idx="15">
                  <c:v>8.9429515092210696</c:v>
                </c:pt>
                <c:pt idx="16">
                  <c:v>9.7736161918054592</c:v>
                </c:pt>
                <c:pt idx="17">
                  <c:v>9.9913381899909801</c:v>
                </c:pt>
                <c:pt idx="18">
                  <c:v>9.6484871426549201</c:v>
                </c:pt>
                <c:pt idx="19">
                  <c:v>9.3145021312226106</c:v>
                </c:pt>
                <c:pt idx="20">
                  <c:v>8.9296832089248497</c:v>
                </c:pt>
                <c:pt idx="21">
                  <c:v>7.5991428892986699</c:v>
                </c:pt>
                <c:pt idx="22">
                  <c:v>7.7935245040986301</c:v>
                </c:pt>
                <c:pt idx="23">
                  <c:v>7.87426662752768</c:v>
                </c:pt>
                <c:pt idx="24">
                  <c:v>8.4923617759156595</c:v>
                </c:pt>
                <c:pt idx="25">
                  <c:v>9.6078171384473592</c:v>
                </c:pt>
                <c:pt idx="26">
                  <c:v>8.8249935636539192</c:v>
                </c:pt>
                <c:pt idx="27">
                  <c:v>8.5236365642680898</c:v>
                </c:pt>
                <c:pt idx="28">
                  <c:v>10.2149931736712</c:v>
                </c:pt>
                <c:pt idx="29">
                  <c:v>11.6035812903928</c:v>
                </c:pt>
                <c:pt idx="30">
                  <c:v>10.024387493356899</c:v>
                </c:pt>
                <c:pt idx="31">
                  <c:v>10.105019303900599</c:v>
                </c:pt>
                <c:pt idx="32">
                  <c:v>8.9261359696164195</c:v>
                </c:pt>
                <c:pt idx="33">
                  <c:v>8.5933641281883109</c:v>
                </c:pt>
                <c:pt idx="34">
                  <c:v>8.3329857326987202</c:v>
                </c:pt>
                <c:pt idx="35">
                  <c:v>7.0486361998093399</c:v>
                </c:pt>
                <c:pt idx="36">
                  <c:v>5.9366347276011897</c:v>
                </c:pt>
                <c:pt idx="37">
                  <c:v>4.7586257730608503</c:v>
                </c:pt>
                <c:pt idx="38">
                  <c:v>5.2515122000512404</c:v>
                </c:pt>
                <c:pt idx="39">
                  <c:v>8.6954848777734899</c:v>
                </c:pt>
              </c:numCache>
            </c:numRef>
          </c:val>
          <c:smooth val="0"/>
          <c:extLst>
            <c:ext xmlns:c16="http://schemas.microsoft.com/office/drawing/2014/chart" uri="{C3380CC4-5D6E-409C-BE32-E72D297353CC}">
              <c16:uniqueId val="{00000000-6321-4A40-8C30-E9664FD9BF44}"/>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321-4A40-8C30-E9664FD9BF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EV-EBITDA'!$F$16,'Forward EV-EBITDA'!$F$16)</c:f>
              <c:numCache>
                <c:formatCode>0.0\x_);\(0.0\x\);\-\ </c:formatCode>
                <c:ptCount val="2"/>
                <c:pt idx="0">
                  <c:v>8.231105956791783</c:v>
                </c:pt>
                <c:pt idx="1">
                  <c:v>8.231105956791783</c:v>
                </c:pt>
              </c:numCache>
            </c:numRef>
          </c:yVal>
          <c:smooth val="1"/>
          <c:extLst>
            <c:ext xmlns:c16="http://schemas.microsoft.com/office/drawing/2014/chart" uri="{C3380CC4-5D6E-409C-BE32-E72D297353CC}">
              <c16:uniqueId val="{00000002-6321-4A40-8C30-E9664FD9BF44}"/>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6321-4A40-8C30-E9664FD9BF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EV-EBITDA'!$F$17,'Forward EV-EBITDA'!$F$17)</c:f>
              <c:numCache>
                <c:formatCode>0.0\x_);\(0.0\x\);\-\ </c:formatCode>
                <c:ptCount val="2"/>
                <c:pt idx="0">
                  <c:v>6.8860195862814626</c:v>
                </c:pt>
                <c:pt idx="1">
                  <c:v>6.8860195862814626</c:v>
                </c:pt>
              </c:numCache>
            </c:numRef>
          </c:yVal>
          <c:smooth val="1"/>
          <c:extLst>
            <c:ext xmlns:c16="http://schemas.microsoft.com/office/drawing/2014/chart" uri="{C3380CC4-5D6E-409C-BE32-E72D297353CC}">
              <c16:uniqueId val="{00000004-6321-4A40-8C30-E9664FD9BF44}"/>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6321-4A40-8C30-E9664FD9BF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EV-EBITDA'!$F$18,'Forward EV-EBITDA'!$F$18)</c:f>
              <c:numCache>
                <c:formatCode>0.0\x_);\(0.0\x\);\-\ </c:formatCode>
                <c:ptCount val="2"/>
                <c:pt idx="0">
                  <c:v>9.5761923273021026</c:v>
                </c:pt>
                <c:pt idx="1">
                  <c:v>9.5761923273021026</c:v>
                </c:pt>
              </c:numCache>
            </c:numRef>
          </c:yVal>
          <c:smooth val="1"/>
          <c:extLst>
            <c:ext xmlns:c16="http://schemas.microsoft.com/office/drawing/2014/chart" uri="{C3380CC4-5D6E-409C-BE32-E72D297353CC}">
              <c16:uniqueId val="{00000006-6321-4A40-8C30-E9664FD9BF44}"/>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EV-EBITDA'!$G$11</c:f>
          <c:strCache>
            <c:ptCount val="1"/>
            <c:pt idx="0">
              <c:v>BASF SE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EV-EBITDA'!$G$11</c:f>
              <c:strCache>
                <c:ptCount val="1"/>
                <c:pt idx="0">
                  <c:v>BASF SE</c:v>
                </c:pt>
              </c:strCache>
            </c:strRef>
          </c:tx>
          <c:spPr>
            <a:ln w="28575" cap="rnd">
              <a:solidFill>
                <a:srgbClr val="0070C0"/>
              </a:solidFill>
              <a:round/>
            </a:ln>
            <a:effectLst/>
          </c:spPr>
          <c:marker>
            <c:symbol val="none"/>
          </c:marker>
          <c:cat>
            <c:numRef>
              <c:f>'Forward EV-EBITDA'!$C$21:$D$61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EV-EBITDA'!$G$21:$G$61</c:f>
              <c:numCache>
                <c:formatCode>0.0\x_);\(0.0\x\);\-\ </c:formatCode>
                <c:ptCount val="41"/>
                <c:pt idx="0">
                  <c:v>7.08722189502042</c:v>
                </c:pt>
                <c:pt idx="1">
                  <c:v>7.8985608994462</c:v>
                </c:pt>
                <c:pt idx="2">
                  <c:v>8.1722696134745494</c:v>
                </c:pt>
                <c:pt idx="3">
                  <c:v>8.0516010774883799</c:v>
                </c:pt>
                <c:pt idx="4">
                  <c:v>7.6854651562964804</c:v>
                </c:pt>
                <c:pt idx="5">
                  <c:v>7.2289979823952502</c:v>
                </c:pt>
                <c:pt idx="6">
                  <c:v>8.5283065726027694</c:v>
                </c:pt>
                <c:pt idx="7">
                  <c:v>8.3144139987158905</c:v>
                </c:pt>
                <c:pt idx="8">
                  <c:v>7.4296425186067001</c:v>
                </c:pt>
                <c:pt idx="9">
                  <c:v>7.55902134795822</c:v>
                </c:pt>
                <c:pt idx="10">
                  <c:v>6.4782044515291197</c:v>
                </c:pt>
                <c:pt idx="11">
                  <c:v>7.3724565022680801</c:v>
                </c:pt>
                <c:pt idx="12">
                  <c:v>7.8482977435233003</c:v>
                </c:pt>
                <c:pt idx="13">
                  <c:v>8.1676696313551798</c:v>
                </c:pt>
                <c:pt idx="14">
                  <c:v>8.4628597091161097</c:v>
                </c:pt>
                <c:pt idx="15">
                  <c:v>8.1608618704008205</c:v>
                </c:pt>
                <c:pt idx="16">
                  <c:v>7.5509969221330699</c:v>
                </c:pt>
                <c:pt idx="17">
                  <c:v>7.9890905531750001</c:v>
                </c:pt>
                <c:pt idx="18">
                  <c:v>7.2281137736824004</c:v>
                </c:pt>
                <c:pt idx="19">
                  <c:v>7.0839925161214996</c:v>
                </c:pt>
                <c:pt idx="20">
                  <c:v>6.5494497305664101</c:v>
                </c:pt>
                <c:pt idx="21">
                  <c:v>7.4238436947828097</c:v>
                </c:pt>
                <c:pt idx="22">
                  <c:v>7.9925036961179803</c:v>
                </c:pt>
                <c:pt idx="23">
                  <c:v>7.8161592062989396</c:v>
                </c:pt>
                <c:pt idx="24">
                  <c:v>7.8974402251650204</c:v>
                </c:pt>
                <c:pt idx="25">
                  <c:v>8.9565500841877803</c:v>
                </c:pt>
                <c:pt idx="26">
                  <c:v>8.4287509151522393</c:v>
                </c:pt>
                <c:pt idx="27">
                  <c:v>7.7833295329462597</c:v>
                </c:pt>
                <c:pt idx="28">
                  <c:v>8.8966084027665193</c:v>
                </c:pt>
                <c:pt idx="29">
                  <c:v>8.4769870682224795</c:v>
                </c:pt>
                <c:pt idx="30">
                  <c:v>8.8725018858468694</c:v>
                </c:pt>
                <c:pt idx="31">
                  <c:v>8.2831737899536009</c:v>
                </c:pt>
                <c:pt idx="32">
                  <c:v>7.4810006167214</c:v>
                </c:pt>
                <c:pt idx="33">
                  <c:v>7.0134191941254498</c:v>
                </c:pt>
                <c:pt idx="34">
                  <c:v>7.2495152440428203</c:v>
                </c:pt>
                <c:pt idx="35">
                  <c:v>5.9463012519511897</c:v>
                </c:pt>
                <c:pt idx="36">
                  <c:v>6.0303691244003303</c:v>
                </c:pt>
                <c:pt idx="37">
                  <c:v>7.1368550051145601</c:v>
                </c:pt>
                <c:pt idx="38">
                  <c:v>7.0614903688472204</c:v>
                </c:pt>
                <c:pt idx="39">
                  <c:v>6.6084970490499799</c:v>
                </c:pt>
              </c:numCache>
            </c:numRef>
          </c:val>
          <c:smooth val="0"/>
          <c:extLst>
            <c:ext xmlns:c16="http://schemas.microsoft.com/office/drawing/2014/chart" uri="{C3380CC4-5D6E-409C-BE32-E72D297353CC}">
              <c16:uniqueId val="{00000000-1248-4507-8D2E-62257CB8CC56}"/>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248-4507-8D2E-62257CB8CC5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EV-EBITDA'!$G$16,'Forward EV-EBITDA'!$G$16)</c:f>
              <c:numCache>
                <c:formatCode>0.0\x_);\(0.0\x\);\-\ </c:formatCode>
                <c:ptCount val="2"/>
                <c:pt idx="0">
                  <c:v>7.6442203998143663</c:v>
                </c:pt>
                <c:pt idx="1">
                  <c:v>7.6442203998143663</c:v>
                </c:pt>
              </c:numCache>
            </c:numRef>
          </c:yVal>
          <c:smooth val="1"/>
          <c:extLst>
            <c:ext xmlns:c16="http://schemas.microsoft.com/office/drawing/2014/chart" uri="{C3380CC4-5D6E-409C-BE32-E72D297353CC}">
              <c16:uniqueId val="{00000002-1248-4507-8D2E-62257CB8CC56}"/>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248-4507-8D2E-62257CB8CC5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EV-EBITDA'!$G$17,'Forward EV-EBITDA'!$G$17)</c:f>
              <c:numCache>
                <c:formatCode>0.0\x_);\(0.0\x\);\-\ </c:formatCode>
                <c:ptCount val="2"/>
                <c:pt idx="0">
                  <c:v>6.9200287243125986</c:v>
                </c:pt>
                <c:pt idx="1">
                  <c:v>6.9200287243125986</c:v>
                </c:pt>
              </c:numCache>
            </c:numRef>
          </c:yVal>
          <c:smooth val="1"/>
          <c:extLst>
            <c:ext xmlns:c16="http://schemas.microsoft.com/office/drawing/2014/chart" uri="{C3380CC4-5D6E-409C-BE32-E72D297353CC}">
              <c16:uniqueId val="{00000004-1248-4507-8D2E-62257CB8CC56}"/>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248-4507-8D2E-62257CB8CC5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EV-EBITDA'!$G$18,'Forward EV-EBITDA'!$G$18)</c:f>
              <c:numCache>
                <c:formatCode>0.0\x_);\(0.0\x\);\-\ </c:formatCode>
                <c:ptCount val="2"/>
                <c:pt idx="0">
                  <c:v>8.3684120753161331</c:v>
                </c:pt>
                <c:pt idx="1">
                  <c:v>8.3684120753161331</c:v>
                </c:pt>
              </c:numCache>
            </c:numRef>
          </c:yVal>
          <c:smooth val="1"/>
          <c:extLst>
            <c:ext xmlns:c16="http://schemas.microsoft.com/office/drawing/2014/chart" uri="{C3380CC4-5D6E-409C-BE32-E72D297353CC}">
              <c16:uniqueId val="{00000006-1248-4507-8D2E-62257CB8CC56}"/>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EV-EBITDA'!$H$11</c:f>
          <c:strCache>
            <c:ptCount val="1"/>
            <c:pt idx="0">
              <c:v>Dow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EV-EBITDA'!$H$11</c:f>
              <c:strCache>
                <c:ptCount val="1"/>
                <c:pt idx="0">
                  <c:v>Dow Inc</c:v>
                </c:pt>
              </c:strCache>
            </c:strRef>
          </c:tx>
          <c:spPr>
            <a:ln w="28575" cap="rnd">
              <a:solidFill>
                <a:srgbClr val="0070C0"/>
              </a:solidFill>
              <a:round/>
            </a:ln>
            <a:effectLst/>
          </c:spPr>
          <c:marker>
            <c:symbol val="none"/>
          </c:marker>
          <c:cat>
            <c:numRef>
              <c:f>'Forward EV-EBITDA'!$C$21:$D$61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EV-EBITDA'!$H$21:$H$61</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6.8075877019504896</c:v>
                </c:pt>
                <c:pt idx="24">
                  <c:v>6.2567009047385902</c:v>
                </c:pt>
                <c:pt idx="25">
                  <c:v>7.0781147747508903</c:v>
                </c:pt>
                <c:pt idx="26">
                  <c:v>6.8679294504435999</c:v>
                </c:pt>
                <c:pt idx="27">
                  <c:v>7.1380942331501096</c:v>
                </c:pt>
                <c:pt idx="28">
                  <c:v>8.7633145536679606</c:v>
                </c:pt>
                <c:pt idx="29">
                  <c:v>8.1106390783534401</c:v>
                </c:pt>
                <c:pt idx="30">
                  <c:v>7.63776557868092</c:v>
                </c:pt>
                <c:pt idx="31">
                  <c:v>6.9239209207180297</c:v>
                </c:pt>
                <c:pt idx="32">
                  <c:v>5.8296738160087997</c:v>
                </c:pt>
                <c:pt idx="33">
                  <c:v>5.5671660663270002</c:v>
                </c:pt>
                <c:pt idx="34">
                  <c:v>5.7086142801296704</c:v>
                </c:pt>
                <c:pt idx="35">
                  <c:v>5.5176290568054203</c:v>
                </c:pt>
                <c:pt idx="36">
                  <c:v>5.2172138573368603</c:v>
                </c:pt>
                <c:pt idx="37">
                  <c:v>6.4801135057196397</c:v>
                </c:pt>
                <c:pt idx="38">
                  <c:v>8.0676748768117807</c:v>
                </c:pt>
                <c:pt idx="39">
                  <c:v>7.2781938659212901</c:v>
                </c:pt>
              </c:numCache>
            </c:numRef>
          </c:val>
          <c:smooth val="0"/>
          <c:extLst>
            <c:ext xmlns:c16="http://schemas.microsoft.com/office/drawing/2014/chart" uri="{C3380CC4-5D6E-409C-BE32-E72D297353CC}">
              <c16:uniqueId val="{00000000-2B4B-4E86-B05C-3899CD75F714}"/>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B4B-4E86-B05C-3899CD75F71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EV-EBITDA'!$H$16,'Forward EV-EBITDA'!$H$16)</c:f>
              <c:numCache>
                <c:formatCode>0.0\x_);\(0.0\x\);\-\ </c:formatCode>
                <c:ptCount val="2"/>
                <c:pt idx="0">
                  <c:v>6.779432148324382</c:v>
                </c:pt>
                <c:pt idx="1">
                  <c:v>6.779432148324382</c:v>
                </c:pt>
              </c:numCache>
            </c:numRef>
          </c:yVal>
          <c:smooth val="1"/>
          <c:extLst>
            <c:ext xmlns:c16="http://schemas.microsoft.com/office/drawing/2014/chart" uri="{C3380CC4-5D6E-409C-BE32-E72D297353CC}">
              <c16:uniqueId val="{00000002-2B4B-4E86-B05C-3899CD75F714}"/>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B4B-4E86-B05C-3899CD75F71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EV-EBITDA'!$H$17,'Forward EV-EBITDA'!$H$17)</c:f>
              <c:numCache>
                <c:formatCode>0.0\x_);\(0.0\x\);\-\ </c:formatCode>
                <c:ptCount val="2"/>
                <c:pt idx="0">
                  <c:v>5.7938264837155815</c:v>
                </c:pt>
                <c:pt idx="1">
                  <c:v>5.7938264837155815</c:v>
                </c:pt>
              </c:numCache>
            </c:numRef>
          </c:yVal>
          <c:smooth val="1"/>
          <c:extLst>
            <c:ext xmlns:c16="http://schemas.microsoft.com/office/drawing/2014/chart" uri="{C3380CC4-5D6E-409C-BE32-E72D297353CC}">
              <c16:uniqueId val="{00000004-2B4B-4E86-B05C-3899CD75F714}"/>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B4B-4E86-B05C-3899CD75F71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EV-EBITDA'!$H$18,'Forward EV-EBITDA'!$H$18)</c:f>
              <c:numCache>
                <c:formatCode>0.0\x_);\(0.0\x\);\-\ </c:formatCode>
                <c:ptCount val="2"/>
                <c:pt idx="0">
                  <c:v>7.7650378129331825</c:v>
                </c:pt>
                <c:pt idx="1">
                  <c:v>7.7650378129331825</c:v>
                </c:pt>
              </c:numCache>
            </c:numRef>
          </c:yVal>
          <c:smooth val="1"/>
          <c:extLst>
            <c:ext xmlns:c16="http://schemas.microsoft.com/office/drawing/2014/chart" uri="{C3380CC4-5D6E-409C-BE32-E72D297353CC}">
              <c16:uniqueId val="{00000006-2B4B-4E86-B05C-3899CD75F714}"/>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EV-EBITDA'!$L$11</c:f>
          <c:strCache>
            <c:ptCount val="1"/>
            <c:pt idx="0">
              <c:v>Huntsman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EV-EBITDA'!$L$11</c:f>
              <c:strCache>
                <c:ptCount val="1"/>
                <c:pt idx="0">
                  <c:v>Huntsman Corp</c:v>
                </c:pt>
              </c:strCache>
            </c:strRef>
          </c:tx>
          <c:spPr>
            <a:ln w="28575" cap="rnd">
              <a:solidFill>
                <a:srgbClr val="0070C0"/>
              </a:solidFill>
              <a:round/>
            </a:ln>
            <a:effectLst/>
          </c:spPr>
          <c:marker>
            <c:symbol val="none"/>
          </c:marker>
          <c:cat>
            <c:numRef>
              <c:f>'Forward EV-EBITDA'!$C$21:$C$61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EV-EBITDA'!$L$21:$L$61</c:f>
              <c:numCache>
                <c:formatCode>0.0\x_);\(0.0\x\);\-\ </c:formatCode>
                <c:ptCount val="41"/>
                <c:pt idx="0">
                  <c:v>6.1709319514946497</c:v>
                </c:pt>
                <c:pt idx="1">
                  <c:v>6.5733298475710003</c:v>
                </c:pt>
                <c:pt idx="2">
                  <c:v>6.1643106287311804</c:v>
                </c:pt>
                <c:pt idx="3">
                  <c:v>6.3675079838323096</c:v>
                </c:pt>
                <c:pt idx="4">
                  <c:v>6.5916984378105701</c:v>
                </c:pt>
                <c:pt idx="5">
                  <c:v>6.15095808887523</c:v>
                </c:pt>
                <c:pt idx="6">
                  <c:v>5.9658327422441202</c:v>
                </c:pt>
                <c:pt idx="7">
                  <c:v>6.6210447031213997</c:v>
                </c:pt>
                <c:pt idx="8">
                  <c:v>5.7405870370381402</c:v>
                </c:pt>
                <c:pt idx="9">
                  <c:v>5.7366277526196203</c:v>
                </c:pt>
                <c:pt idx="10">
                  <c:v>5.4312746393979303</c:v>
                </c:pt>
                <c:pt idx="11">
                  <c:v>6.5626959490298802</c:v>
                </c:pt>
                <c:pt idx="12">
                  <c:v>6.6928684957804396</c:v>
                </c:pt>
                <c:pt idx="13">
                  <c:v>7.0696623255931899</c:v>
                </c:pt>
                <c:pt idx="14">
                  <c:v>7.4537429084077802</c:v>
                </c:pt>
                <c:pt idx="15">
                  <c:v>7.5948022758904896</c:v>
                </c:pt>
                <c:pt idx="16">
                  <c:v>7.4597784732890604</c:v>
                </c:pt>
                <c:pt idx="17">
                  <c:v>8.0406974306395806</c:v>
                </c:pt>
                <c:pt idx="18">
                  <c:v>8.0771278329659992</c:v>
                </c:pt>
                <c:pt idx="19">
                  <c:v>7.2295657705564196</c:v>
                </c:pt>
                <c:pt idx="20">
                  <c:v>7.1764401109556699</c:v>
                </c:pt>
                <c:pt idx="21">
                  <c:v>5.6564327096620897</c:v>
                </c:pt>
                <c:pt idx="22">
                  <c:v>5.4819116319725296</c:v>
                </c:pt>
                <c:pt idx="23">
                  <c:v>5.2806818966205604</c:v>
                </c:pt>
                <c:pt idx="24">
                  <c:v>5.5166759803668803</c:v>
                </c:pt>
                <c:pt idx="25">
                  <c:v>8.1668153058829596</c:v>
                </c:pt>
                <c:pt idx="26">
                  <c:v>7.8634431969832299</c:v>
                </c:pt>
                <c:pt idx="27">
                  <c:v>6.7487223072337699</c:v>
                </c:pt>
                <c:pt idx="28">
                  <c:v>8.8574234010890702</c:v>
                </c:pt>
                <c:pt idx="29">
                  <c:v>7.9031256698938703</c:v>
                </c:pt>
                <c:pt idx="30">
                  <c:v>7.8854594778868004</c:v>
                </c:pt>
                <c:pt idx="31">
                  <c:v>6.8020072407491901</c:v>
                </c:pt>
                <c:pt idx="32">
                  <c:v>5.5722583913685897</c:v>
                </c:pt>
                <c:pt idx="33">
                  <c:v>6.2063029061506496</c:v>
                </c:pt>
                <c:pt idx="34">
                  <c:v>6.4527309413302696</c:v>
                </c:pt>
                <c:pt idx="35">
                  <c:v>5.3549706056366801</c:v>
                </c:pt>
                <c:pt idx="36">
                  <c:v>5.0210555542059003</c:v>
                </c:pt>
                <c:pt idx="37">
                  <c:v>6.6139054172892999</c:v>
                </c:pt>
                <c:pt idx="38">
                  <c:v>6.96533103944705</c:v>
                </c:pt>
                <c:pt idx="39">
                  <c:v>6.8502132192201497</c:v>
                </c:pt>
              </c:numCache>
            </c:numRef>
          </c:val>
          <c:smooth val="0"/>
          <c:extLst>
            <c:ext xmlns:c16="http://schemas.microsoft.com/office/drawing/2014/chart" uri="{C3380CC4-5D6E-409C-BE32-E72D297353CC}">
              <c16:uniqueId val="{00000000-2174-4DC0-9498-C88CAF860364}"/>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174-4DC0-9498-C88CAF86036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EV-EBITDA'!$L$16,'Forward EV-EBITDA'!$L$16)</c:f>
              <c:numCache>
                <c:formatCode>0.0\x_);\(0.0\x\);\-\ </c:formatCode>
                <c:ptCount val="2"/>
                <c:pt idx="0">
                  <c:v>6.6422232159684009</c:v>
                </c:pt>
                <c:pt idx="1">
                  <c:v>6.6422232159684009</c:v>
                </c:pt>
              </c:numCache>
            </c:numRef>
          </c:yVal>
          <c:smooth val="1"/>
          <c:extLst>
            <c:ext xmlns:c16="http://schemas.microsoft.com/office/drawing/2014/chart" uri="{C3380CC4-5D6E-409C-BE32-E72D297353CC}">
              <c16:uniqueId val="{00000002-2174-4DC0-9498-C88CAF860364}"/>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174-4DC0-9498-C88CAF86036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EV-EBITDA'!$L$17,'Forward EV-EBITDA'!$L$17)</c:f>
              <c:numCache>
                <c:formatCode>0.0\x_);\(0.0\x\);\-\ </c:formatCode>
                <c:ptCount val="2"/>
                <c:pt idx="0">
                  <c:v>5.7224220144976448</c:v>
                </c:pt>
                <c:pt idx="1">
                  <c:v>5.7224220144976448</c:v>
                </c:pt>
              </c:numCache>
            </c:numRef>
          </c:yVal>
          <c:smooth val="1"/>
          <c:extLst>
            <c:ext xmlns:c16="http://schemas.microsoft.com/office/drawing/2014/chart" uri="{C3380CC4-5D6E-409C-BE32-E72D297353CC}">
              <c16:uniqueId val="{00000004-2174-4DC0-9498-C88CAF860364}"/>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174-4DC0-9498-C88CAF86036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EV-EBITDA'!$L$18,'Forward EV-EBITDA'!$L$18)</c:f>
              <c:numCache>
                <c:formatCode>0.0\x_);\(0.0\x\);\-\ </c:formatCode>
                <c:ptCount val="2"/>
                <c:pt idx="0">
                  <c:v>7.5620244174391571</c:v>
                </c:pt>
                <c:pt idx="1">
                  <c:v>7.5620244174391571</c:v>
                </c:pt>
              </c:numCache>
            </c:numRef>
          </c:yVal>
          <c:smooth val="1"/>
          <c:extLst>
            <c:ext xmlns:c16="http://schemas.microsoft.com/office/drawing/2014/chart" uri="{C3380CC4-5D6E-409C-BE32-E72D297353CC}">
              <c16:uniqueId val="{00000006-2174-4DC0-9498-C88CAF860364}"/>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2"/>
        <c:tickMarkSkip val="2"/>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4472C4"/>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CI  Product Line Mix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Financials!$C$491</c:f>
              <c:strCache>
                <c:ptCount val="1"/>
                <c:pt idx="0">
                  <c:v>Intermediates</c:v>
                </c:pt>
              </c:strCache>
            </c:strRef>
          </c:tx>
          <c:spPr>
            <a:solidFill>
              <a:schemeClr val="accent1"/>
            </a:solidFill>
            <a:ln>
              <a:noFill/>
            </a:ln>
            <a:effectLst/>
          </c:spPr>
          <c:invertIfNegative val="0"/>
          <c:cat>
            <c:numRef>
              <c:f>Financials!$AQ$6:$AS$6</c:f>
              <c:numCache>
                <c:formatCode>General"A"</c:formatCode>
                <c:ptCount val="3"/>
                <c:pt idx="0">
                  <c:v>2019</c:v>
                </c:pt>
                <c:pt idx="1">
                  <c:v>2020</c:v>
                </c:pt>
                <c:pt idx="2">
                  <c:v>2021</c:v>
                </c:pt>
              </c:numCache>
            </c:numRef>
          </c:cat>
          <c:val>
            <c:numRef>
              <c:f>Financials!$AQ$491:$AQ$493</c:f>
              <c:numCache>
                <c:formatCode>0.0%_);\(0.0%\)</c:formatCode>
                <c:ptCount val="3"/>
                <c:pt idx="0">
                  <c:v>0.59</c:v>
                </c:pt>
                <c:pt idx="1">
                  <c:v>0.21</c:v>
                </c:pt>
                <c:pt idx="2">
                  <c:v>0.2</c:v>
                </c:pt>
              </c:numCache>
            </c:numRef>
          </c:val>
          <c:extLst>
            <c:ext xmlns:c16="http://schemas.microsoft.com/office/drawing/2014/chart" uri="{C3380CC4-5D6E-409C-BE32-E72D297353CC}">
              <c16:uniqueId val="{00000000-8D54-47C8-A252-3020AE9CAA68}"/>
            </c:ext>
          </c:extLst>
        </c:ser>
        <c:ser>
          <c:idx val="1"/>
          <c:order val="1"/>
          <c:tx>
            <c:strRef>
              <c:f>Financials!$C$492</c:f>
              <c:strCache>
                <c:ptCount val="1"/>
                <c:pt idx="0">
                  <c:v>Plasticizers</c:v>
                </c:pt>
              </c:strCache>
            </c:strRef>
          </c:tx>
          <c:spPr>
            <a:solidFill>
              <a:schemeClr val="accent2"/>
            </a:solidFill>
            <a:ln>
              <a:noFill/>
            </a:ln>
            <a:effectLst/>
          </c:spPr>
          <c:invertIfNegative val="0"/>
          <c:cat>
            <c:numRef>
              <c:f>Financials!$AQ$6:$AS$6</c:f>
              <c:numCache>
                <c:formatCode>General"A"</c:formatCode>
                <c:ptCount val="3"/>
                <c:pt idx="0">
                  <c:v>2019</c:v>
                </c:pt>
                <c:pt idx="1">
                  <c:v>2020</c:v>
                </c:pt>
                <c:pt idx="2">
                  <c:v>2021</c:v>
                </c:pt>
              </c:numCache>
            </c:numRef>
          </c:cat>
          <c:val>
            <c:numRef>
              <c:f>Financials!$AR$491:$AR$493</c:f>
              <c:numCache>
                <c:formatCode>0.0%_);\(0.0%\)</c:formatCode>
                <c:ptCount val="3"/>
                <c:pt idx="0">
                  <c:v>0.56999999999999995</c:v>
                </c:pt>
                <c:pt idx="1">
                  <c:v>0.2</c:v>
                </c:pt>
                <c:pt idx="2">
                  <c:v>0.23</c:v>
                </c:pt>
              </c:numCache>
            </c:numRef>
          </c:val>
          <c:extLst>
            <c:ext xmlns:c16="http://schemas.microsoft.com/office/drawing/2014/chart" uri="{C3380CC4-5D6E-409C-BE32-E72D297353CC}">
              <c16:uniqueId val="{00000001-8D54-47C8-A252-3020AE9CAA68}"/>
            </c:ext>
          </c:extLst>
        </c:ser>
        <c:ser>
          <c:idx val="2"/>
          <c:order val="2"/>
          <c:tx>
            <c:strRef>
              <c:f>Financials!$C$493</c:f>
              <c:strCache>
                <c:ptCount val="1"/>
                <c:pt idx="0">
                  <c:v>Functional Amines</c:v>
                </c:pt>
              </c:strCache>
            </c:strRef>
          </c:tx>
          <c:spPr>
            <a:solidFill>
              <a:schemeClr val="accent3"/>
            </a:solidFill>
            <a:ln>
              <a:noFill/>
            </a:ln>
            <a:effectLst/>
          </c:spPr>
          <c:invertIfNegative val="0"/>
          <c:cat>
            <c:numRef>
              <c:f>Financials!$AQ$6:$AS$6</c:f>
              <c:numCache>
                <c:formatCode>General"A"</c:formatCode>
                <c:ptCount val="3"/>
                <c:pt idx="0">
                  <c:v>2019</c:v>
                </c:pt>
                <c:pt idx="1">
                  <c:v>2020</c:v>
                </c:pt>
                <c:pt idx="2">
                  <c:v>2021</c:v>
                </c:pt>
              </c:numCache>
            </c:numRef>
          </c:cat>
          <c:val>
            <c:numRef>
              <c:f>Financials!$AS$491:$AS$493</c:f>
              <c:numCache>
                <c:formatCode>0.0%_);\(0.0%\)</c:formatCode>
                <c:ptCount val="3"/>
                <c:pt idx="0">
                  <c:v>0.56999999999999995</c:v>
                </c:pt>
                <c:pt idx="1">
                  <c:v>0.22</c:v>
                </c:pt>
                <c:pt idx="2">
                  <c:v>0.21</c:v>
                </c:pt>
              </c:numCache>
            </c:numRef>
          </c:val>
          <c:extLst>
            <c:ext xmlns:c16="http://schemas.microsoft.com/office/drawing/2014/chart" uri="{C3380CC4-5D6E-409C-BE32-E72D297353CC}">
              <c16:uniqueId val="{00000002-8D54-47C8-A252-3020AE9CAA68}"/>
            </c:ext>
          </c:extLst>
        </c:ser>
        <c:dLbls>
          <c:showLegendKey val="0"/>
          <c:showVal val="0"/>
          <c:showCatName val="0"/>
          <c:showSerName val="0"/>
          <c:showPercent val="0"/>
          <c:showBubbleSize val="0"/>
        </c:dLbls>
        <c:gapWidth val="219"/>
        <c:overlap val="-27"/>
        <c:axId val="141529567"/>
        <c:axId val="141530399"/>
      </c:barChart>
      <c:catAx>
        <c:axId val="141529567"/>
        <c:scaling>
          <c:orientation val="minMax"/>
        </c:scaling>
        <c:delete val="0"/>
        <c:axPos val="b"/>
        <c:numFmt formatCode="General&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30399"/>
        <c:crosses val="autoZero"/>
        <c:auto val="1"/>
        <c:lblAlgn val="ctr"/>
        <c:lblOffset val="100"/>
        <c:noMultiLvlLbl val="0"/>
      </c:catAx>
      <c:valAx>
        <c:axId val="141530399"/>
        <c:scaling>
          <c:orientation val="minMax"/>
        </c:scaling>
        <c:delete val="0"/>
        <c:axPos val="l"/>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2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EV-EBITDA'!$I$11</c:f>
          <c:strCache>
            <c:ptCount val="1"/>
            <c:pt idx="0">
              <c:v>LyondellBasell Industries NV</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EV-EBITDA'!$I$11</c:f>
              <c:strCache>
                <c:ptCount val="1"/>
                <c:pt idx="0">
                  <c:v>LyondellBasell Industries NV</c:v>
                </c:pt>
              </c:strCache>
            </c:strRef>
          </c:tx>
          <c:spPr>
            <a:ln w="28575" cap="rnd">
              <a:solidFill>
                <a:srgbClr val="0070C0"/>
              </a:solidFill>
              <a:round/>
            </a:ln>
            <a:effectLst/>
          </c:spPr>
          <c:marker>
            <c:symbol val="none"/>
          </c:marker>
          <c:cat>
            <c:numRef>
              <c:f>'Forward EV-EBITDA'!$C$21:$D$61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EV-EBITDA'!$I$21:$I$61</c:f>
              <c:numCache>
                <c:formatCode>0.0\x_);\(0.0\x\);\-\ </c:formatCode>
                <c:ptCount val="41"/>
                <c:pt idx="0">
                  <c:v>6.05125981164948</c:v>
                </c:pt>
                <c:pt idx="1">
                  <c:v>6.5921560411392601</c:v>
                </c:pt>
                <c:pt idx="2">
                  <c:v>6.9886856822345997</c:v>
                </c:pt>
                <c:pt idx="3">
                  <c:v>7.4343701741106303</c:v>
                </c:pt>
                <c:pt idx="4">
                  <c:v>7.95482651351554</c:v>
                </c:pt>
                <c:pt idx="5">
                  <c:v>6.5175497834162304</c:v>
                </c:pt>
                <c:pt idx="6">
                  <c:v>7.2038826097064197</c:v>
                </c:pt>
                <c:pt idx="7">
                  <c:v>7.4564790673453096</c:v>
                </c:pt>
                <c:pt idx="8">
                  <c:v>5.8983468252069198</c:v>
                </c:pt>
                <c:pt idx="9">
                  <c:v>6.2684371205558396</c:v>
                </c:pt>
                <c:pt idx="10">
                  <c:v>5.6172360568669797</c:v>
                </c:pt>
                <c:pt idx="11">
                  <c:v>5.9895051330702698</c:v>
                </c:pt>
                <c:pt idx="12">
                  <c:v>5.7795183443048499</c:v>
                </c:pt>
                <c:pt idx="13">
                  <c:v>6.0773015626733899</c:v>
                </c:pt>
                <c:pt idx="14">
                  <c:v>6.7903620348907197</c:v>
                </c:pt>
                <c:pt idx="15">
                  <c:v>6.1981467625036899</c:v>
                </c:pt>
                <c:pt idx="16">
                  <c:v>6.4388961141869796</c:v>
                </c:pt>
                <c:pt idx="17">
                  <c:v>7.1766719395421399</c:v>
                </c:pt>
                <c:pt idx="18">
                  <c:v>7.5602199875713803</c:v>
                </c:pt>
                <c:pt idx="19">
                  <c:v>7.1404314795366801</c:v>
                </c:pt>
                <c:pt idx="20">
                  <c:v>6.9057205918735098</c:v>
                </c:pt>
                <c:pt idx="21">
                  <c:v>5.9878661128410897</c:v>
                </c:pt>
                <c:pt idx="22">
                  <c:v>6.0324088610704401</c:v>
                </c:pt>
                <c:pt idx="23">
                  <c:v>5.8572364089477897</c:v>
                </c:pt>
                <c:pt idx="24">
                  <c:v>5.2301489134082502</c:v>
                </c:pt>
                <c:pt idx="25">
                  <c:v>6.8148184103694902</c:v>
                </c:pt>
                <c:pt idx="26">
                  <c:v>6.6161280821414898</c:v>
                </c:pt>
                <c:pt idx="27">
                  <c:v>7.0902724690180099</c:v>
                </c:pt>
                <c:pt idx="28">
                  <c:v>7.8123924009288102</c:v>
                </c:pt>
                <c:pt idx="29">
                  <c:v>8.0734728848752706</c:v>
                </c:pt>
                <c:pt idx="30">
                  <c:v>7.7058426015905397</c:v>
                </c:pt>
                <c:pt idx="31">
                  <c:v>7.0250936849198098</c:v>
                </c:pt>
                <c:pt idx="32">
                  <c:v>5.6238141697110899</c:v>
                </c:pt>
                <c:pt idx="33">
                  <c:v>5.3548545033412296</c:v>
                </c:pt>
                <c:pt idx="34">
                  <c:v>5.7337046233334101</c:v>
                </c:pt>
                <c:pt idx="35">
                  <c:v>5.3062075447522297</c:v>
                </c:pt>
                <c:pt idx="36">
                  <c:v>5.1703640281036103</c:v>
                </c:pt>
                <c:pt idx="37">
                  <c:v>6.8018743625990101</c:v>
                </c:pt>
                <c:pt idx="38">
                  <c:v>7.6727749262231901</c:v>
                </c:pt>
                <c:pt idx="39">
                  <c:v>7.1186282920001096</c:v>
                </c:pt>
              </c:numCache>
            </c:numRef>
          </c:val>
          <c:smooth val="0"/>
          <c:extLst>
            <c:ext xmlns:c16="http://schemas.microsoft.com/office/drawing/2014/chart" uri="{C3380CC4-5D6E-409C-BE32-E72D297353CC}">
              <c16:uniqueId val="{00000000-3367-41EC-83FF-950223A95382}"/>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367-41EC-83FF-950223A9538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EV-EBITDA'!$I$16,'Forward EV-EBITDA'!$I$16)</c:f>
              <c:numCache>
                <c:formatCode>0.0\x_);\(0.0\x\);\-\ </c:formatCode>
                <c:ptCount val="2"/>
                <c:pt idx="0">
                  <c:v>6.5599131368480519</c:v>
                </c:pt>
                <c:pt idx="1">
                  <c:v>6.5599131368480519</c:v>
                </c:pt>
              </c:numCache>
            </c:numRef>
          </c:yVal>
          <c:smooth val="1"/>
          <c:extLst>
            <c:ext xmlns:c16="http://schemas.microsoft.com/office/drawing/2014/chart" uri="{C3380CC4-5D6E-409C-BE32-E72D297353CC}">
              <c16:uniqueId val="{00000002-3367-41EC-83FF-950223A95382}"/>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3367-41EC-83FF-950223A9538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EV-EBITDA'!$I$17,'Forward EV-EBITDA'!$I$17)</c:f>
              <c:numCache>
                <c:formatCode>0.0\x_);\(0.0\x\);\-\ </c:formatCode>
                <c:ptCount val="2"/>
                <c:pt idx="0">
                  <c:v>5.7609985197938611</c:v>
                </c:pt>
                <c:pt idx="1">
                  <c:v>5.7609985197938611</c:v>
                </c:pt>
              </c:numCache>
            </c:numRef>
          </c:yVal>
          <c:smooth val="1"/>
          <c:extLst>
            <c:ext xmlns:c16="http://schemas.microsoft.com/office/drawing/2014/chart" uri="{C3380CC4-5D6E-409C-BE32-E72D297353CC}">
              <c16:uniqueId val="{00000004-3367-41EC-83FF-950223A95382}"/>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3367-41EC-83FF-950223A9538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EV-EBITDA'!$I$18,'Forward EV-EBITDA'!$I$18)</c:f>
              <c:numCache>
                <c:formatCode>0.0\x_);\(0.0\x\);\-\ </c:formatCode>
                <c:ptCount val="2"/>
                <c:pt idx="0">
                  <c:v>7.3588277539022426</c:v>
                </c:pt>
                <c:pt idx="1">
                  <c:v>7.3588277539022426</c:v>
                </c:pt>
              </c:numCache>
            </c:numRef>
          </c:yVal>
          <c:smooth val="1"/>
          <c:extLst>
            <c:ext xmlns:c16="http://schemas.microsoft.com/office/drawing/2014/chart" uri="{C3380CC4-5D6E-409C-BE32-E72D297353CC}">
              <c16:uniqueId val="{00000006-3367-41EC-83FF-950223A95382}"/>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EV-EBITDA'!$J$11</c:f>
          <c:strCache>
            <c:ptCount val="1"/>
            <c:pt idx="0">
              <c:v>Dupont De Nemours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EV-EBITDA'!$J$11</c:f>
              <c:strCache>
                <c:ptCount val="1"/>
                <c:pt idx="0">
                  <c:v>Dupont De Nemours Inc</c:v>
                </c:pt>
              </c:strCache>
            </c:strRef>
          </c:tx>
          <c:spPr>
            <a:ln w="28575" cap="rnd">
              <a:solidFill>
                <a:srgbClr val="0070C0"/>
              </a:solidFill>
              <a:round/>
            </a:ln>
            <a:effectLst/>
          </c:spPr>
          <c:marker>
            <c:symbol val="none"/>
          </c:marker>
          <c:cat>
            <c:numRef>
              <c:f>'Forward EV-EBITDA'!$C$20:$D$60</c:f>
              <c:numCache>
                <c:formatCode>"Q2"\ yyyy</c:formatCode>
                <c:ptCount val="41"/>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9.8581409512840796</c:v>
                </c:pt>
                <c:pt idx="19">
                  <c:v>10.000948360331799</c:v>
                </c:pt>
                <c:pt idx="20">
                  <c:v>9.2597604030010405</c:v>
                </c:pt>
                <c:pt idx="21">
                  <c:v>9.0720588198132699</c:v>
                </c:pt>
                <c:pt idx="22">
                  <c:v>8.1307422517632304</c:v>
                </c:pt>
                <c:pt idx="23">
                  <c:v>6.8167994185015903</c:v>
                </c:pt>
                <c:pt idx="24">
                  <c:v>10.028036512297399</c:v>
                </c:pt>
                <c:pt idx="25">
                  <c:v>10.896386398731501</c:v>
                </c:pt>
                <c:pt idx="26">
                  <c:v>11.4867829324446</c:v>
                </c:pt>
                <c:pt idx="27">
                  <c:v>9.9936024426812509</c:v>
                </c:pt>
                <c:pt idx="28">
                  <c:v>10.1679282825252</c:v>
                </c:pt>
                <c:pt idx="29">
                  <c:v>11.512848111198</c:v>
                </c:pt>
                <c:pt idx="30">
                  <c:v>12.8069219921456</c:v>
                </c:pt>
                <c:pt idx="31">
                  <c:v>15.051721126721599</c:v>
                </c:pt>
                <c:pt idx="32">
                  <c:v>12.174991893522501</c:v>
                </c:pt>
                <c:pt idx="33">
                  <c:v>10.656712730241599</c:v>
                </c:pt>
                <c:pt idx="34">
                  <c:v>11.502701068827401</c:v>
                </c:pt>
                <c:pt idx="35">
                  <c:v>11.2248851386253</c:v>
                </c:pt>
                <c:pt idx="36">
                  <c:v>12.122583228175801</c:v>
                </c:pt>
                <c:pt idx="37">
                  <c:v>12.0704694937957</c:v>
                </c:pt>
                <c:pt idx="38">
                  <c:v>14.049192409800201</c:v>
                </c:pt>
                <c:pt idx="39">
                  <c:v>14.2358017273475</c:v>
                </c:pt>
                <c:pt idx="40">
                  <c:v>10.9166233865969</c:v>
                </c:pt>
              </c:numCache>
            </c:numRef>
          </c:val>
          <c:smooth val="0"/>
          <c:extLst>
            <c:ext xmlns:c16="http://schemas.microsoft.com/office/drawing/2014/chart" uri="{C3380CC4-5D6E-409C-BE32-E72D297353CC}">
              <c16:uniqueId val="{00000000-A7D2-4D0A-BE41-04875E9D6C8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7D2-4D0A-BE41-04875E9D6C8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EV-EBITDA'!$J$16,'Forward EV-EBITDA'!$J$16)</c:f>
              <c:numCache>
                <c:formatCode>0.0\x_);\(0.0\x\);\-\ </c:formatCode>
                <c:ptCount val="2"/>
                <c:pt idx="0">
                  <c:v>11.045071264364047</c:v>
                </c:pt>
                <c:pt idx="1">
                  <c:v>11.045071264364047</c:v>
                </c:pt>
              </c:numCache>
            </c:numRef>
          </c:yVal>
          <c:smooth val="1"/>
          <c:extLst>
            <c:ext xmlns:c16="http://schemas.microsoft.com/office/drawing/2014/chart" uri="{C3380CC4-5D6E-409C-BE32-E72D297353CC}">
              <c16:uniqueId val="{00000002-A7D2-4D0A-BE41-04875E9D6C89}"/>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7D2-4D0A-BE41-04875E9D6C8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EV-EBITDA'!$J$17,'Forward EV-EBITDA'!$J$17)</c:f>
              <c:numCache>
                <c:formatCode>0.0\x_);\(0.0\x\);\-\ </c:formatCode>
                <c:ptCount val="2"/>
                <c:pt idx="0">
                  <c:v>9.1619978902564938</c:v>
                </c:pt>
                <c:pt idx="1">
                  <c:v>9.1619978902564938</c:v>
                </c:pt>
              </c:numCache>
            </c:numRef>
          </c:yVal>
          <c:smooth val="1"/>
          <c:extLst>
            <c:ext xmlns:c16="http://schemas.microsoft.com/office/drawing/2014/chart" uri="{C3380CC4-5D6E-409C-BE32-E72D297353CC}">
              <c16:uniqueId val="{00000004-A7D2-4D0A-BE41-04875E9D6C89}"/>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A7D2-4D0A-BE41-04875E9D6C8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EV-EBITDA'!$J$18,'Forward EV-EBITDA'!$J$18)</c:f>
              <c:numCache>
                <c:formatCode>0.0\x_);\(0.0\x\);\-\ </c:formatCode>
                <c:ptCount val="2"/>
                <c:pt idx="0">
                  <c:v>12.928144638471601</c:v>
                </c:pt>
                <c:pt idx="1">
                  <c:v>12.928144638471601</c:v>
                </c:pt>
              </c:numCache>
            </c:numRef>
          </c:yVal>
          <c:smooth val="1"/>
          <c:extLst>
            <c:ext xmlns:c16="http://schemas.microsoft.com/office/drawing/2014/chart" uri="{C3380CC4-5D6E-409C-BE32-E72D297353CC}">
              <c16:uniqueId val="{00000006-A7D2-4D0A-BE41-04875E9D6C8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EV-EBITDA'!$K$11</c:f>
          <c:strCache>
            <c:ptCount val="1"/>
            <c:pt idx="0">
              <c:v>Avient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EV-EBITDA'!$K$11</c:f>
              <c:strCache>
                <c:ptCount val="1"/>
                <c:pt idx="0">
                  <c:v>Avient Corp</c:v>
                </c:pt>
              </c:strCache>
            </c:strRef>
          </c:tx>
          <c:spPr>
            <a:ln w="28575" cap="rnd">
              <a:solidFill>
                <a:srgbClr val="0070C0"/>
              </a:solidFill>
              <a:round/>
            </a:ln>
            <a:effectLst/>
          </c:spPr>
          <c:marker>
            <c:symbol val="none"/>
          </c:marker>
          <c:cat>
            <c:numRef>
              <c:f>'Forward EV-EBITDA'!$C$21:$D$61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EV-EBITDA'!$K$21:$K$61</c:f>
              <c:numCache>
                <c:formatCode>0.0\x_);\(0.0\x\);\-\ </c:formatCode>
                <c:ptCount val="41"/>
                <c:pt idx="0">
                  <c:v>8.6114269810518405</c:v>
                </c:pt>
                <c:pt idx="1">
                  <c:v>8.4063011242511791</c:v>
                </c:pt>
                <c:pt idx="2">
                  <c:v>8.5604085834951</c:v>
                </c:pt>
                <c:pt idx="3">
                  <c:v>8.9738889913692201</c:v>
                </c:pt>
                <c:pt idx="4">
                  <c:v>8.7063723175934804</c:v>
                </c:pt>
                <c:pt idx="5">
                  <c:v>8.1700468801471793</c:v>
                </c:pt>
                <c:pt idx="6">
                  <c:v>8.7662034069860599</c:v>
                </c:pt>
                <c:pt idx="7">
                  <c:v>9.1976113441661997</c:v>
                </c:pt>
                <c:pt idx="8">
                  <c:v>8.0002764536747595</c:v>
                </c:pt>
                <c:pt idx="9">
                  <c:v>8.3083517188247598</c:v>
                </c:pt>
                <c:pt idx="10">
                  <c:v>6.8175579805070798</c:v>
                </c:pt>
                <c:pt idx="11">
                  <c:v>8.9242136810277604</c:v>
                </c:pt>
                <c:pt idx="12">
                  <c:v>8.2130557007303402</c:v>
                </c:pt>
                <c:pt idx="13">
                  <c:v>8.2805861468607205</c:v>
                </c:pt>
                <c:pt idx="14">
                  <c:v>8.3971765178003004</c:v>
                </c:pt>
                <c:pt idx="15">
                  <c:v>9.2956181283728991</c:v>
                </c:pt>
                <c:pt idx="16">
                  <c:v>9.5664800503901795</c:v>
                </c:pt>
                <c:pt idx="17">
                  <c:v>10.9229126179304</c:v>
                </c:pt>
                <c:pt idx="18">
                  <c:v>10.3863722263353</c:v>
                </c:pt>
                <c:pt idx="19">
                  <c:v>10.3448585974613</c:v>
                </c:pt>
                <c:pt idx="20">
                  <c:v>10.4871230168393</c:v>
                </c:pt>
                <c:pt idx="21">
                  <c:v>8.8528965154588395</c:v>
                </c:pt>
                <c:pt idx="22">
                  <c:v>8.4498532407750808</c:v>
                </c:pt>
                <c:pt idx="23">
                  <c:v>8.0918338070828604</c:v>
                </c:pt>
                <c:pt idx="24">
                  <c:v>8.2665823209227405</c:v>
                </c:pt>
                <c:pt idx="25">
                  <c:v>11.7238614448422</c:v>
                </c:pt>
                <c:pt idx="26">
                  <c:v>13.1195324277727</c:v>
                </c:pt>
                <c:pt idx="27">
                  <c:v>6.3614658435631997</c:v>
                </c:pt>
                <c:pt idx="28">
                  <c:v>5.5244673219029199</c:v>
                </c:pt>
                <c:pt idx="29">
                  <c:v>9.7336204654455205</c:v>
                </c:pt>
                <c:pt idx="30">
                  <c:v>10.3904782137223</c:v>
                </c:pt>
                <c:pt idx="31">
                  <c:v>10.663492570231901</c:v>
                </c:pt>
                <c:pt idx="32">
                  <c:v>9.4572590663950091</c:v>
                </c:pt>
                <c:pt idx="33">
                  <c:v>10.7563839283254</c:v>
                </c:pt>
                <c:pt idx="34">
                  <c:v>9.5114507653931106</c:v>
                </c:pt>
                <c:pt idx="35">
                  <c:v>8.4221422880121892</c:v>
                </c:pt>
                <c:pt idx="36">
                  <c:v>8.5025787891329596</c:v>
                </c:pt>
                <c:pt idx="37">
                  <c:v>10.3206076882411</c:v>
                </c:pt>
                <c:pt idx="38">
                  <c:v>11.125886694019201</c:v>
                </c:pt>
                <c:pt idx="39">
                  <c:v>9.3630776465076906</c:v>
                </c:pt>
              </c:numCache>
            </c:numRef>
          </c:val>
          <c:smooth val="0"/>
          <c:extLst>
            <c:ext xmlns:c16="http://schemas.microsoft.com/office/drawing/2014/chart" uri="{C3380CC4-5D6E-409C-BE32-E72D297353CC}">
              <c16:uniqueId val="{00000000-468E-47F2-B41D-B5115A620B4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68E-47F2-B41D-B5115A620B4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EV-EBITDA'!$K$16,'Forward EV-EBITDA'!$K$16)</c:f>
              <c:numCache>
                <c:formatCode>0.0\x_);\(0.0\x\);\-\ </c:formatCode>
                <c:ptCount val="2"/>
                <c:pt idx="0">
                  <c:v>9.1455010381082289</c:v>
                </c:pt>
                <c:pt idx="1">
                  <c:v>9.1455010381082289</c:v>
                </c:pt>
              </c:numCache>
            </c:numRef>
          </c:yVal>
          <c:smooth val="1"/>
          <c:extLst>
            <c:ext xmlns:c16="http://schemas.microsoft.com/office/drawing/2014/chart" uri="{C3380CC4-5D6E-409C-BE32-E72D297353CC}">
              <c16:uniqueId val="{00000002-468E-47F2-B41D-B5115A620B49}"/>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468E-47F2-B41D-B5115A620B4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EV-EBITDA'!$K$17,'Forward EV-EBITDA'!$K$17)</c:f>
              <c:numCache>
                <c:formatCode>0.0\x_);\(0.0\x\);\-\ </c:formatCode>
                <c:ptCount val="2"/>
                <c:pt idx="0">
                  <c:v>7.7540440330335354</c:v>
                </c:pt>
                <c:pt idx="1">
                  <c:v>7.7540440330335354</c:v>
                </c:pt>
              </c:numCache>
            </c:numRef>
          </c:yVal>
          <c:smooth val="1"/>
          <c:extLst>
            <c:ext xmlns:c16="http://schemas.microsoft.com/office/drawing/2014/chart" uri="{C3380CC4-5D6E-409C-BE32-E72D297353CC}">
              <c16:uniqueId val="{00000004-468E-47F2-B41D-B5115A620B49}"/>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468E-47F2-B41D-B5115A620B4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EV-EBITDA'!$K$18,'Forward EV-EBITDA'!$K$18)</c:f>
              <c:numCache>
                <c:formatCode>0.0\x_);\(0.0\x\);\-\ </c:formatCode>
                <c:ptCount val="2"/>
                <c:pt idx="0">
                  <c:v>10.536958043182922</c:v>
                </c:pt>
                <c:pt idx="1">
                  <c:v>10.536958043182922</c:v>
                </c:pt>
              </c:numCache>
            </c:numRef>
          </c:yVal>
          <c:smooth val="1"/>
          <c:extLst>
            <c:ext xmlns:c16="http://schemas.microsoft.com/office/drawing/2014/chart" uri="{C3380CC4-5D6E-409C-BE32-E72D297353CC}">
              <c16:uniqueId val="{00000006-468E-47F2-B41D-B5115A620B4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ax val="13"/>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EV-EBITDA'!$M$11</c:f>
          <c:strCache>
            <c:ptCount val="1"/>
            <c:pt idx="0">
              <c:v>Westlake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EV-EBITDA'!$L$11</c:f>
              <c:strCache>
                <c:ptCount val="1"/>
                <c:pt idx="0">
                  <c:v>Huntsman Corp</c:v>
                </c:pt>
              </c:strCache>
            </c:strRef>
          </c:tx>
          <c:spPr>
            <a:ln w="28575" cap="rnd">
              <a:solidFill>
                <a:schemeClr val="accent1"/>
              </a:solidFill>
              <a:round/>
            </a:ln>
            <a:effectLst/>
          </c:spPr>
          <c:marker>
            <c:symbol val="none"/>
          </c:marker>
          <c:dLbls>
            <c:delete val="1"/>
          </c:dLbls>
          <c:cat>
            <c:numRef>
              <c:f>'Forward EV-EBITDA'!$C$21:$C$61</c:f>
              <c:numCache>
                <c:formatCode>"Q3"\ yyyy</c:formatCode>
                <c:ptCount val="41"/>
                <c:pt idx="0" formatCode="&quot;Q2&quot;\ yyyy">
                  <c:v>41455</c:v>
                </c:pt>
                <c:pt idx="1">
                  <c:v>41547</c:v>
                </c:pt>
                <c:pt idx="2" formatCode="&quot;Q4&quot;\ yyyy">
                  <c:v>41639</c:v>
                </c:pt>
                <c:pt idx="3" formatCode="&quot;Q1&quot;\ yyyy">
                  <c:v>41729</c:v>
                </c:pt>
                <c:pt idx="4" formatCode="&quot;Q2&quot;\ yyyy">
                  <c:v>41820</c:v>
                </c:pt>
                <c:pt idx="5">
                  <c:v>41912</c:v>
                </c:pt>
                <c:pt idx="6" formatCode="&quot;Q4&quot;\ yyyy">
                  <c:v>42004</c:v>
                </c:pt>
                <c:pt idx="7" formatCode="&quot;Q1&quot;\ yyyy">
                  <c:v>42094</c:v>
                </c:pt>
                <c:pt idx="8" formatCode="&quot;Q2&quot;\ yyyy">
                  <c:v>42185</c:v>
                </c:pt>
                <c:pt idx="9">
                  <c:v>42277</c:v>
                </c:pt>
                <c:pt idx="10" formatCode="&quot;Q4&quot;\ yyyy">
                  <c:v>42369</c:v>
                </c:pt>
                <c:pt idx="11" formatCode="&quot;Q1&quot;\ yyyy">
                  <c:v>42460</c:v>
                </c:pt>
                <c:pt idx="12" formatCode="&quot;Q2&quot;\ yyyy">
                  <c:v>42551</c:v>
                </c:pt>
                <c:pt idx="13">
                  <c:v>42643</c:v>
                </c:pt>
                <c:pt idx="14" formatCode="&quot;Q4&quot;\ yyyy">
                  <c:v>42735</c:v>
                </c:pt>
                <c:pt idx="15" formatCode="&quot;Q1&quot;\ yyyy">
                  <c:v>42825</c:v>
                </c:pt>
                <c:pt idx="16" formatCode="&quot;Q2&quot;\ yyyy">
                  <c:v>42916</c:v>
                </c:pt>
                <c:pt idx="17">
                  <c:v>43008</c:v>
                </c:pt>
                <c:pt idx="18" formatCode="&quot;Q4&quot;\ yyyy">
                  <c:v>43100</c:v>
                </c:pt>
                <c:pt idx="19" formatCode="&quot;Q1&quot;\ yyyy">
                  <c:v>43190</c:v>
                </c:pt>
                <c:pt idx="20" formatCode="&quot;Q2&quot;\ yyyy">
                  <c:v>43281</c:v>
                </c:pt>
                <c:pt idx="21">
                  <c:v>43373</c:v>
                </c:pt>
                <c:pt idx="22" formatCode="&quot;Q4&quot;\ yyyy">
                  <c:v>43465</c:v>
                </c:pt>
                <c:pt idx="23" formatCode="&quot;Q1&quot;\ yyyy">
                  <c:v>43555</c:v>
                </c:pt>
                <c:pt idx="24" formatCode="&quot;Q2&quot;\ yyyy">
                  <c:v>43646</c:v>
                </c:pt>
                <c:pt idx="25">
                  <c:v>43738</c:v>
                </c:pt>
                <c:pt idx="26" formatCode="&quot;Q4&quot;\ yyyy">
                  <c:v>43830</c:v>
                </c:pt>
                <c:pt idx="27" formatCode="&quot;Q1&quot;\ yyyy">
                  <c:v>43921</c:v>
                </c:pt>
                <c:pt idx="28" formatCode="&quot;Q2&quot;\ yyyy">
                  <c:v>44012</c:v>
                </c:pt>
                <c:pt idx="29">
                  <c:v>44104</c:v>
                </c:pt>
                <c:pt idx="30" formatCode="&quot;Q4&quot;\ yyyy">
                  <c:v>44196</c:v>
                </c:pt>
                <c:pt idx="31" formatCode="&quot;Q1&quot;\ yyyy">
                  <c:v>44286</c:v>
                </c:pt>
                <c:pt idx="32" formatCode="&quot;Q2&quot;\ yyyy">
                  <c:v>44377</c:v>
                </c:pt>
                <c:pt idx="33">
                  <c:v>44469</c:v>
                </c:pt>
                <c:pt idx="34" formatCode="&quot;Q4&quot;\ yyyy">
                  <c:v>44561</c:v>
                </c:pt>
                <c:pt idx="35" formatCode="&quot;Q1&quot;\ yyyy">
                  <c:v>44651</c:v>
                </c:pt>
                <c:pt idx="36" formatCode="&quot;Q2&quot;\ yyyy">
                  <c:v>44742</c:v>
                </c:pt>
                <c:pt idx="37">
                  <c:v>44834</c:v>
                </c:pt>
                <c:pt idx="38" formatCode="&quot;Q4&quot;\ yyyy">
                  <c:v>44926</c:v>
                </c:pt>
                <c:pt idx="39" formatCode="&quot;Q1&quot;\ yyyy">
                  <c:v>45016</c:v>
                </c:pt>
              </c:numCache>
            </c:numRef>
          </c:cat>
          <c:val>
            <c:numRef>
              <c:f>'Forward EV-EBITDA'!$M$21:$M$61</c:f>
              <c:numCache>
                <c:formatCode>0.0\x_);\(0.0\x\);\-\ </c:formatCode>
                <c:ptCount val="41"/>
                <c:pt idx="0">
                  <c:v>6.5990518878602398</c:v>
                </c:pt>
                <c:pt idx="1">
                  <c:v>6.6821966545755798</c:v>
                </c:pt>
                <c:pt idx="2">
                  <c:v>7.0321319947183696</c:v>
                </c:pt>
                <c:pt idx="3">
                  <c:v>7.3138887389473997</c:v>
                </c:pt>
                <c:pt idx="4">
                  <c:v>8.1372313519017592</c:v>
                </c:pt>
                <c:pt idx="5">
                  <c:v>6.4558644007414197</c:v>
                </c:pt>
                <c:pt idx="6">
                  <c:v>7.30894414544459</c:v>
                </c:pt>
                <c:pt idx="7">
                  <c:v>7.3628922348828398</c:v>
                </c:pt>
                <c:pt idx="8">
                  <c:v>6.0130175890352398</c:v>
                </c:pt>
                <c:pt idx="9">
                  <c:v>5.9925766010012804</c:v>
                </c:pt>
                <c:pt idx="10">
                  <c:v>4.69164091622594</c:v>
                </c:pt>
                <c:pt idx="11">
                  <c:v>5.2607946762240001</c:v>
                </c:pt>
                <c:pt idx="12">
                  <c:v>5.8477415628226304</c:v>
                </c:pt>
                <c:pt idx="13">
                  <c:v>7.4719812513434896</c:v>
                </c:pt>
                <c:pt idx="14">
                  <c:v>7.9182596598463704</c:v>
                </c:pt>
                <c:pt idx="15">
                  <c:v>7.3250099258620001</c:v>
                </c:pt>
                <c:pt idx="16">
                  <c:v>7.4217894346417701</c:v>
                </c:pt>
                <c:pt idx="17">
                  <c:v>7.6260522241687898</c:v>
                </c:pt>
                <c:pt idx="18">
                  <c:v>7.9937165838012803</c:v>
                </c:pt>
                <c:pt idx="19">
                  <c:v>7.7207561321127001</c:v>
                </c:pt>
                <c:pt idx="20">
                  <c:v>6.5631326680859798</c:v>
                </c:pt>
                <c:pt idx="21">
                  <c:v>5.2920328122993601</c:v>
                </c:pt>
                <c:pt idx="22">
                  <c:v>5.8084917413530901</c:v>
                </c:pt>
                <c:pt idx="23">
                  <c:v>5.7557630794599302</c:v>
                </c:pt>
                <c:pt idx="24">
                  <c:v>6.2177899090236499</c:v>
                </c:pt>
                <c:pt idx="25">
                  <c:v>7.2473041491463697</c:v>
                </c:pt>
                <c:pt idx="26">
                  <c:v>6.7320675937804202</c:v>
                </c:pt>
                <c:pt idx="27">
                  <c:v>7.1091764709527698</c:v>
                </c:pt>
                <c:pt idx="28">
                  <c:v>8.7328053829263794</c:v>
                </c:pt>
                <c:pt idx="29">
                  <c:v>8.9235596185822299</c:v>
                </c:pt>
                <c:pt idx="30">
                  <c:v>9.2873817244923096</c:v>
                </c:pt>
                <c:pt idx="31">
                  <c:v>7.15114040297905</c:v>
                </c:pt>
                <c:pt idx="32">
                  <c:v>4.7941582369517004</c:v>
                </c:pt>
                <c:pt idx="33">
                  <c:v>4.7564757836018297</c:v>
                </c:pt>
                <c:pt idx="34">
                  <c:v>4.4680155131980896</c:v>
                </c:pt>
                <c:pt idx="35">
                  <c:v>4.7754302213112201</c:v>
                </c:pt>
                <c:pt idx="36">
                  <c:v>4.0918582307153297</c:v>
                </c:pt>
                <c:pt idx="37">
                  <c:v>5.56636981959445</c:v>
                </c:pt>
                <c:pt idx="38">
                  <c:v>6.3167381814598</c:v>
                </c:pt>
                <c:pt idx="39">
                  <c:v>5.7712276653031003</c:v>
                </c:pt>
              </c:numCache>
            </c:numRef>
          </c:val>
          <c:smooth val="0"/>
          <c:extLst>
            <c:ext xmlns:c16="http://schemas.microsoft.com/office/drawing/2014/chart" uri="{C3380CC4-5D6E-409C-BE32-E72D297353CC}">
              <c16:uniqueId val="{00000000-863F-48E6-90E7-F0F21FFEDAA3}"/>
            </c:ext>
          </c:extLst>
        </c:ser>
        <c:dLbls>
          <c:showLegendKey val="0"/>
          <c:showVal val="1"/>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63F-48E6-90E7-F0F21FFEDA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EV-EBITDA'!$M$16,'Forward EV-EBITDA'!$M$16)</c:f>
              <c:numCache>
                <c:formatCode>0.0\x_);\(0.0\x\);\-\ </c:formatCode>
                <c:ptCount val="2"/>
                <c:pt idx="0">
                  <c:v>6.5864804771222207</c:v>
                </c:pt>
                <c:pt idx="1">
                  <c:v>6.5864804771222207</c:v>
                </c:pt>
              </c:numCache>
            </c:numRef>
          </c:yVal>
          <c:smooth val="1"/>
          <c:extLst>
            <c:ext xmlns:c16="http://schemas.microsoft.com/office/drawing/2014/chart" uri="{C3380CC4-5D6E-409C-BE32-E72D297353CC}">
              <c16:uniqueId val="{00000002-863F-48E6-90E7-F0F21FFEDAA3}"/>
            </c:ext>
          </c:extLst>
        </c:ser>
        <c:ser>
          <c:idx val="2"/>
          <c:order val="2"/>
          <c:tx>
            <c:strRef>
              <c:f>'Forward EV-EBITDA'!$C$17</c:f>
              <c:strCache>
                <c:ptCount val="1"/>
                <c:pt idx="0">
                  <c:v>-1 S.Dev</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63F-48E6-90E7-F0F21FFEDA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EV-EBITDA'!$M$17,'Forward EV-EBITDA'!$M$17)</c:f>
              <c:numCache>
                <c:formatCode>0.0\x_);\(0.0\x\);\-\ </c:formatCode>
                <c:ptCount val="2"/>
                <c:pt idx="0">
                  <c:v>5.3482229874529148</c:v>
                </c:pt>
                <c:pt idx="1">
                  <c:v>5.3482229874529148</c:v>
                </c:pt>
              </c:numCache>
            </c:numRef>
          </c:yVal>
          <c:smooth val="1"/>
          <c:extLst>
            <c:ext xmlns:c16="http://schemas.microsoft.com/office/drawing/2014/chart" uri="{C3380CC4-5D6E-409C-BE32-E72D297353CC}">
              <c16:uniqueId val="{00000004-863F-48E6-90E7-F0F21FFEDAA3}"/>
            </c:ext>
          </c:extLst>
        </c:ser>
        <c:ser>
          <c:idx val="3"/>
          <c:order val="3"/>
          <c:tx>
            <c:strRef>
              <c:f>'Forward EV-EBITDA'!$C$18</c:f>
              <c:strCache>
                <c:ptCount val="1"/>
                <c:pt idx="0">
                  <c:v>+1 S.Dev</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63F-48E6-90E7-F0F21FFEDA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EV-EBITDA'!$M$18,'Forward EV-EBITDA'!$M$18)</c:f>
              <c:numCache>
                <c:formatCode>0.0\x_);\(0.0\x\);\-\ </c:formatCode>
                <c:ptCount val="2"/>
                <c:pt idx="0">
                  <c:v>7.8247379667915267</c:v>
                </c:pt>
                <c:pt idx="1">
                  <c:v>7.8247379667915267</c:v>
                </c:pt>
              </c:numCache>
            </c:numRef>
          </c:yVal>
          <c:smooth val="1"/>
          <c:extLst>
            <c:ext xmlns:c16="http://schemas.microsoft.com/office/drawing/2014/chart" uri="{C3380CC4-5D6E-409C-BE32-E72D297353CC}">
              <c16:uniqueId val="{00000006-863F-48E6-90E7-F0F21FFEDAA3}"/>
            </c:ext>
          </c:extLst>
        </c:ser>
        <c:dLbls>
          <c:showLegendKey val="0"/>
          <c:showVal val="1"/>
          <c:showCatName val="0"/>
          <c:showSerName val="0"/>
          <c:showPercent val="0"/>
          <c:showBubbleSize val="0"/>
        </c:dLbls>
        <c:axId val="1797476624"/>
        <c:axId val="1797475792"/>
      </c:scatterChart>
      <c:catAx>
        <c:axId val="1797476624"/>
        <c:scaling>
          <c:orientation val="minMax"/>
        </c:scaling>
        <c:delete val="0"/>
        <c:axPos val="b"/>
        <c:numFmt formatCode="&quot;Q2&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2"/>
        <c:tickMarkSkip val="2"/>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4472C4"/>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'Forward EV-EBITDA'!$P$19</c:f>
              <c:strCache>
                <c:ptCount val="1"/>
                <c:pt idx="0">
                  <c:v>Average</c:v>
                </c:pt>
              </c:strCache>
            </c:strRef>
          </c:tx>
          <c:spPr>
            <a:ln w="28575" cap="rnd">
              <a:solidFill>
                <a:schemeClr val="accent1"/>
              </a:solidFill>
              <a:round/>
            </a:ln>
            <a:effectLst/>
          </c:spPr>
          <c:marker>
            <c:symbol val="none"/>
          </c:marker>
          <c:cat>
            <c:numRef>
              <c:f>'Forward EV-EBITDA'!$O$20:$O$60</c:f>
              <c:numCache>
                <c:formatCode>"Q2"\ yyyy</c:formatCode>
                <c:ptCount val="41"/>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EV-EBITDA'!$P$20:$P$60</c:f>
              <c:numCache>
                <c:formatCode>0.0\x_);\(0.0\x\);\-\ </c:formatCode>
                <c:ptCount val="41"/>
                <c:pt idx="0">
                  <c:v>6.9510026603307367</c:v>
                </c:pt>
                <c:pt idx="1">
                  <c:v>6.9110254918379104</c:v>
                </c:pt>
                <c:pt idx="2">
                  <c:v>7.307186715443664</c:v>
                </c:pt>
                <c:pt idx="3">
                  <c:v>7.3201509790180692</c:v>
                </c:pt>
                <c:pt idx="4">
                  <c:v>7.6106810166203038</c:v>
                </c:pt>
                <c:pt idx="5">
                  <c:v>7.7603277581795744</c:v>
                </c:pt>
                <c:pt idx="6">
                  <c:v>6.9934552420241696</c:v>
                </c:pt>
                <c:pt idx="7">
                  <c:v>7.5816981642754468</c:v>
                </c:pt>
                <c:pt idx="8">
                  <c:v>7.8686717381739362</c:v>
                </c:pt>
                <c:pt idx="9">
                  <c:v>6.8014555136015984</c:v>
                </c:pt>
                <c:pt idx="10">
                  <c:v>7.0158189646722846</c:v>
                </c:pt>
                <c:pt idx="11">
                  <c:v>6.0081510334809076</c:v>
                </c:pt>
                <c:pt idx="12">
                  <c:v>6.9978341248955154</c:v>
                </c:pt>
                <c:pt idx="13">
                  <c:v>6.9647624004073663</c:v>
                </c:pt>
                <c:pt idx="14">
                  <c:v>7.5512046203060947</c:v>
                </c:pt>
                <c:pt idx="15">
                  <c:v>8.0477037531150089</c:v>
                </c:pt>
                <c:pt idx="16">
                  <c:v>7.9195650787084944</c:v>
                </c:pt>
                <c:pt idx="17">
                  <c:v>8.0352595310744181</c:v>
                </c:pt>
                <c:pt idx="18">
                  <c:v>8.800700558104424</c:v>
                </c:pt>
                <c:pt idx="19">
                  <c:v>8.6992837010490103</c:v>
                </c:pt>
                <c:pt idx="20">
                  <c:v>8.2991238614303207</c:v>
                </c:pt>
                <c:pt idx="21">
                  <c:v>7.9548011638655689</c:v>
                </c:pt>
                <c:pt idx="22">
                  <c:v>6.9918509980151553</c:v>
                </c:pt>
                <c:pt idx="23">
                  <c:v>6.9107847276984762</c:v>
                </c:pt>
                <c:pt idx="24">
                  <c:v>7.1889456550232067</c:v>
                </c:pt>
                <c:pt idx="25">
                  <c:v>7.3467608035340373</c:v>
                </c:pt>
                <c:pt idx="26">
                  <c:v>8.8852580300089574</c:v>
                </c:pt>
                <c:pt idx="27">
                  <c:v>8.5558059590761051</c:v>
                </c:pt>
                <c:pt idx="28">
                  <c:v>7.6153282129571762</c:v>
                </c:pt>
                <c:pt idx="29">
                  <c:v>8.7893565935188569</c:v>
                </c:pt>
                <c:pt idx="30">
                  <c:v>9.4539885084889015</c:v>
                </c:pt>
                <c:pt idx="31">
                  <c:v>9.60694226278728</c:v>
                </c:pt>
                <c:pt idx="32">
                  <c:v>8.6411049758718352</c:v>
                </c:pt>
                <c:pt idx="33">
                  <c:v>7.292626624626827</c:v>
                </c:pt>
                <c:pt idx="34">
                  <c:v>7.4688334473609084</c:v>
                </c:pt>
                <c:pt idx="35">
                  <c:v>7.3352377798439248</c:v>
                </c:pt>
                <c:pt idx="36">
                  <c:v>6.8117375495567583</c:v>
                </c:pt>
                <c:pt idx="37">
                  <c:v>6.5050679756614853</c:v>
                </c:pt>
                <c:pt idx="38">
                  <c:v>7.7159429976773888</c:v>
                </c:pt>
                <c:pt idx="39">
                  <c:v>8.3371512517758735</c:v>
                </c:pt>
                <c:pt idx="40">
                  <c:v>7.8252432502965892</c:v>
                </c:pt>
              </c:numCache>
            </c:numRef>
          </c:val>
          <c:smooth val="0"/>
          <c:extLst>
            <c:ext xmlns:c16="http://schemas.microsoft.com/office/drawing/2014/chart" uri="{C3380CC4-5D6E-409C-BE32-E72D297353CC}">
              <c16:uniqueId val="{00000000-A92A-48E0-BEC4-F62A01C76895}"/>
            </c:ext>
          </c:extLst>
        </c:ser>
        <c:ser>
          <c:idx val="1"/>
          <c:order val="1"/>
          <c:tx>
            <c:strRef>
              <c:f>'Forward EV-EBITDA'!$Q$19</c:f>
              <c:strCache>
                <c:ptCount val="1"/>
                <c:pt idx="0">
                  <c:v>EMN</c:v>
                </c:pt>
              </c:strCache>
            </c:strRef>
          </c:tx>
          <c:spPr>
            <a:ln w="28575" cap="rnd">
              <a:solidFill>
                <a:schemeClr val="accent2"/>
              </a:solidFill>
              <a:round/>
            </a:ln>
            <a:effectLst/>
          </c:spPr>
          <c:marker>
            <c:symbol val="none"/>
          </c:marker>
          <c:cat>
            <c:numRef>
              <c:f>'Forward EV-EBITDA'!$O$20:$O$60</c:f>
              <c:numCache>
                <c:formatCode>"Q2"\ yyyy</c:formatCode>
                <c:ptCount val="41"/>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EV-EBITDA'!$Q$20:$Q$60</c:f>
              <c:numCache>
                <c:formatCode>0.0\x_);\(0.0\x\);\-\ </c:formatCode>
                <c:ptCount val="41"/>
                <c:pt idx="0">
                  <c:v>7.3925278844614404</c:v>
                </c:pt>
                <c:pt idx="1">
                  <c:v>7.7920271393888303</c:v>
                </c:pt>
                <c:pt idx="2">
                  <c:v>7.7148548871086602</c:v>
                </c:pt>
                <c:pt idx="3">
                  <c:v>7.9226599951817596</c:v>
                </c:pt>
                <c:pt idx="4">
                  <c:v>8.0386374338896704</c:v>
                </c:pt>
                <c:pt idx="5">
                  <c:v>7.7710426848552601</c:v>
                </c:pt>
                <c:pt idx="6">
                  <c:v>7.4467288782765904</c:v>
                </c:pt>
                <c:pt idx="7">
                  <c:v>6.9296338430472204</c:v>
                </c:pt>
                <c:pt idx="8">
                  <c:v>8.2565020886253606</c:v>
                </c:pt>
                <c:pt idx="9">
                  <c:v>7.7631885983009097</c:v>
                </c:pt>
                <c:pt idx="10">
                  <c:v>7.2711183570638598</c:v>
                </c:pt>
                <c:pt idx="11">
                  <c:v>7.1603280818444901</c:v>
                </c:pt>
                <c:pt idx="12">
                  <c:v>7.8611620646486102</c:v>
                </c:pt>
                <c:pt idx="13">
                  <c:v>7.4409689632156102</c:v>
                </c:pt>
                <c:pt idx="14">
                  <c:v>7.8806669581190301</c:v>
                </c:pt>
                <c:pt idx="15">
                  <c:v>8.2584597768041892</c:v>
                </c:pt>
                <c:pt idx="16">
                  <c:v>8.1286033293183397</c:v>
                </c:pt>
                <c:pt idx="17">
                  <c:v>8.3615309094421608</c:v>
                </c:pt>
                <c:pt idx="18">
                  <c:v>8.5433213500236693</c:v>
                </c:pt>
                <c:pt idx="19">
                  <c:v>8.9477286757746892</c:v>
                </c:pt>
                <c:pt idx="20">
                  <c:v>9.2461479850569592</c:v>
                </c:pt>
                <c:pt idx="21">
                  <c:v>8.5354105219265808</c:v>
                </c:pt>
                <c:pt idx="22">
                  <c:v>7.5448281157362196</c:v>
                </c:pt>
                <c:pt idx="23">
                  <c:v>7.7196499070828004</c:v>
                </c:pt>
                <c:pt idx="24">
                  <c:v>7.1041326552310702</c:v>
                </c:pt>
                <c:pt idx="25">
                  <c:v>6.8293388553292402</c:v>
                </c:pt>
                <c:pt idx="26">
                  <c:v>8.0806416947550908</c:v>
                </c:pt>
                <c:pt idx="27">
                  <c:v>8.1025042109024508</c:v>
                </c:pt>
                <c:pt idx="28">
                  <c:v>7.7360333434325597</c:v>
                </c:pt>
                <c:pt idx="29">
                  <c:v>8.5137936424066005</c:v>
                </c:pt>
                <c:pt idx="30">
                  <c:v>9.4849104948247795</c:v>
                </c:pt>
                <c:pt idx="31">
                  <c:v>9.8442805486113105</c:v>
                </c:pt>
                <c:pt idx="32">
                  <c:v>10.271528513511701</c:v>
                </c:pt>
                <c:pt idx="33">
                  <c:v>9.1276133775656394</c:v>
                </c:pt>
                <c:pt idx="34">
                  <c:v>9.2449286711192098</c:v>
                </c:pt>
                <c:pt idx="35">
                  <c:v>9.3087136255806993</c:v>
                </c:pt>
                <c:pt idx="36">
                  <c:v>8.3097007763091906</c:v>
                </c:pt>
                <c:pt idx="37">
                  <c:v>7.8880948363602297</c:v>
                </c:pt>
                <c:pt idx="38">
                  <c:v>8.0898627834786403</c:v>
                </c:pt>
                <c:pt idx="39">
                  <c:v>8.2746410890455397</c:v>
                </c:pt>
                <c:pt idx="40">
                  <c:v>7.7168043757585503</c:v>
                </c:pt>
              </c:numCache>
            </c:numRef>
          </c:val>
          <c:smooth val="0"/>
          <c:extLst>
            <c:ext xmlns:c16="http://schemas.microsoft.com/office/drawing/2014/chart" uri="{C3380CC4-5D6E-409C-BE32-E72D297353CC}">
              <c16:uniqueId val="{00000001-A92A-48E0-BEC4-F62A01C76895}"/>
            </c:ext>
          </c:extLst>
        </c:ser>
        <c:ser>
          <c:idx val="2"/>
          <c:order val="2"/>
          <c:tx>
            <c:strRef>
              <c:f>'Forward EV-EBITDA'!$R$19</c:f>
              <c:strCache>
                <c:ptCount val="1"/>
                <c:pt idx="0">
                  <c:v>BASF</c:v>
                </c:pt>
              </c:strCache>
            </c:strRef>
          </c:tx>
          <c:spPr>
            <a:ln w="28575" cap="rnd">
              <a:solidFill>
                <a:schemeClr val="accent3"/>
              </a:solidFill>
              <a:round/>
            </a:ln>
            <a:effectLst/>
          </c:spPr>
          <c:marker>
            <c:symbol val="none"/>
          </c:marker>
          <c:cat>
            <c:numRef>
              <c:f>'Forward EV-EBITDA'!$O$20:$O$60</c:f>
              <c:numCache>
                <c:formatCode>"Q2"\ yyyy</c:formatCode>
                <c:ptCount val="41"/>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EV-EBITDA'!$R$20:$R$60</c:f>
              <c:numCache>
                <c:formatCode>0.0\x_);\(0.0\x\);\-\ </c:formatCode>
                <c:ptCount val="41"/>
                <c:pt idx="0">
                  <c:v>7.2102455708196898</c:v>
                </c:pt>
                <c:pt idx="1">
                  <c:v>7.08722189502042</c:v>
                </c:pt>
                <c:pt idx="2">
                  <c:v>7.8985608994462</c:v>
                </c:pt>
                <c:pt idx="3">
                  <c:v>8.1722696134745494</c:v>
                </c:pt>
                <c:pt idx="4">
                  <c:v>8.0516010774883799</c:v>
                </c:pt>
                <c:pt idx="5">
                  <c:v>7.6854651562964804</c:v>
                </c:pt>
                <c:pt idx="6">
                  <c:v>7.2289979823952502</c:v>
                </c:pt>
                <c:pt idx="7">
                  <c:v>8.5283065726027694</c:v>
                </c:pt>
                <c:pt idx="8">
                  <c:v>8.3144139987158905</c:v>
                </c:pt>
                <c:pt idx="9">
                  <c:v>7.4296425186067001</c:v>
                </c:pt>
                <c:pt idx="10">
                  <c:v>7.55902134795822</c:v>
                </c:pt>
                <c:pt idx="11">
                  <c:v>6.4782044515291197</c:v>
                </c:pt>
                <c:pt idx="12">
                  <c:v>7.3724565022680801</c:v>
                </c:pt>
                <c:pt idx="13">
                  <c:v>7.8482977435233003</c:v>
                </c:pt>
                <c:pt idx="14">
                  <c:v>8.1676696313551798</c:v>
                </c:pt>
                <c:pt idx="15">
                  <c:v>8.4628597091161097</c:v>
                </c:pt>
                <c:pt idx="16">
                  <c:v>8.1608618704008205</c:v>
                </c:pt>
                <c:pt idx="17">
                  <c:v>7.5509969221330699</c:v>
                </c:pt>
                <c:pt idx="18">
                  <c:v>7.9890905531750001</c:v>
                </c:pt>
                <c:pt idx="19">
                  <c:v>7.2281137736824004</c:v>
                </c:pt>
                <c:pt idx="20">
                  <c:v>7.0839925161214996</c:v>
                </c:pt>
                <c:pt idx="21">
                  <c:v>6.5494497305664101</c:v>
                </c:pt>
                <c:pt idx="22">
                  <c:v>7.4238436947828097</c:v>
                </c:pt>
                <c:pt idx="23">
                  <c:v>7.9925036961179803</c:v>
                </c:pt>
                <c:pt idx="24">
                  <c:v>7.8161592062989396</c:v>
                </c:pt>
                <c:pt idx="25">
                  <c:v>7.8974402251650204</c:v>
                </c:pt>
                <c:pt idx="26">
                  <c:v>8.9565500841877803</c:v>
                </c:pt>
                <c:pt idx="27">
                  <c:v>8.4287509151522393</c:v>
                </c:pt>
                <c:pt idx="28">
                  <c:v>7.7833295329462597</c:v>
                </c:pt>
                <c:pt idx="29">
                  <c:v>8.8966084027665193</c:v>
                </c:pt>
                <c:pt idx="30">
                  <c:v>8.4769870682224795</c:v>
                </c:pt>
                <c:pt idx="31">
                  <c:v>8.8725018858468694</c:v>
                </c:pt>
                <c:pt idx="32">
                  <c:v>8.2831737899536009</c:v>
                </c:pt>
                <c:pt idx="33">
                  <c:v>7.4810006167214</c:v>
                </c:pt>
                <c:pt idx="34">
                  <c:v>7.0134191941254498</c:v>
                </c:pt>
                <c:pt idx="35">
                  <c:v>7.2495152440428203</c:v>
                </c:pt>
                <c:pt idx="36">
                  <c:v>5.9463012519511897</c:v>
                </c:pt>
                <c:pt idx="37">
                  <c:v>6.0303691244003303</c:v>
                </c:pt>
                <c:pt idx="38">
                  <c:v>7.1368550051145601</c:v>
                </c:pt>
                <c:pt idx="39">
                  <c:v>7.0614903688472204</c:v>
                </c:pt>
                <c:pt idx="40">
                  <c:v>6.6084970490499799</c:v>
                </c:pt>
              </c:numCache>
            </c:numRef>
          </c:val>
          <c:smooth val="0"/>
          <c:extLst>
            <c:ext xmlns:c16="http://schemas.microsoft.com/office/drawing/2014/chart" uri="{C3380CC4-5D6E-409C-BE32-E72D297353CC}">
              <c16:uniqueId val="{00000002-A92A-48E0-BEC4-F62A01C76895}"/>
            </c:ext>
          </c:extLst>
        </c:ser>
        <c:ser>
          <c:idx val="3"/>
          <c:order val="3"/>
          <c:tx>
            <c:strRef>
              <c:f>'Forward EV-EBITDA'!$S$19</c:f>
              <c:strCache>
                <c:ptCount val="1"/>
                <c:pt idx="0">
                  <c:v>CEL</c:v>
                </c:pt>
              </c:strCache>
            </c:strRef>
          </c:tx>
          <c:spPr>
            <a:ln w="28575" cap="rnd">
              <a:solidFill>
                <a:schemeClr val="accent4"/>
              </a:solidFill>
              <a:round/>
            </a:ln>
            <a:effectLst/>
          </c:spPr>
          <c:marker>
            <c:symbol val="none"/>
          </c:marker>
          <c:cat>
            <c:numRef>
              <c:f>'Forward EV-EBITDA'!$O$20:$O$60</c:f>
              <c:numCache>
                <c:formatCode>"Q2"\ yyyy</c:formatCode>
                <c:ptCount val="41"/>
                <c:pt idx="0" formatCode="&quot;Q1&quot;\ yyyy">
                  <c:v>41364</c:v>
                </c:pt>
                <c:pt idx="1">
                  <c:v>41455</c:v>
                </c:pt>
                <c:pt idx="2" formatCode="&quot;Q3&quot;\ yyyy">
                  <c:v>41547</c:v>
                </c:pt>
                <c:pt idx="3" formatCode="&quot;Q4&quot;\ yyyy">
                  <c:v>41639</c:v>
                </c:pt>
                <c:pt idx="4" formatCode="&quot;Q1&quot;\ yyyy">
                  <c:v>41729</c:v>
                </c:pt>
                <c:pt idx="5">
                  <c:v>41820</c:v>
                </c:pt>
                <c:pt idx="6" formatCode="&quot;Q3&quot;\ yyyy">
                  <c:v>41912</c:v>
                </c:pt>
                <c:pt idx="7" formatCode="&quot;Q4&quot;\ yyyy">
                  <c:v>42004</c:v>
                </c:pt>
                <c:pt idx="8" formatCode="&quot;Q1&quot;\ yyyy">
                  <c:v>42094</c:v>
                </c:pt>
                <c:pt idx="9">
                  <c:v>42185</c:v>
                </c:pt>
                <c:pt idx="10" formatCode="&quot;Q3&quot;\ yyyy">
                  <c:v>42277</c:v>
                </c:pt>
                <c:pt idx="11" formatCode="&quot;Q4&quot;\ yyyy">
                  <c:v>42369</c:v>
                </c:pt>
                <c:pt idx="12" formatCode="&quot;Q1&quot;\ yyyy">
                  <c:v>42460</c:v>
                </c:pt>
                <c:pt idx="13">
                  <c:v>42551</c:v>
                </c:pt>
                <c:pt idx="14" formatCode="&quot;Q3&quot;\ yyyy">
                  <c:v>42643</c:v>
                </c:pt>
                <c:pt idx="15" formatCode="&quot;Q4&quot;\ yyyy">
                  <c:v>42735</c:v>
                </c:pt>
                <c:pt idx="16" formatCode="&quot;Q1&quot;\ yyyy">
                  <c:v>42825</c:v>
                </c:pt>
                <c:pt idx="17">
                  <c:v>42916</c:v>
                </c:pt>
                <c:pt idx="18" formatCode="&quot;Q3&quot;\ yyyy">
                  <c:v>43008</c:v>
                </c:pt>
                <c:pt idx="19" formatCode="&quot;Q4&quot;\ yyyy">
                  <c:v>43100</c:v>
                </c:pt>
                <c:pt idx="20" formatCode="&quot;Q1&quot;\ yyyy">
                  <c:v>43190</c:v>
                </c:pt>
                <c:pt idx="21">
                  <c:v>43281</c:v>
                </c:pt>
                <c:pt idx="22" formatCode="&quot;Q3&quot;\ yyyy">
                  <c:v>43373</c:v>
                </c:pt>
                <c:pt idx="23" formatCode="&quot;Q4&quot;\ yyyy">
                  <c:v>43465</c:v>
                </c:pt>
                <c:pt idx="24" formatCode="&quot;Q1&quot;\ yyyy">
                  <c:v>43555</c:v>
                </c:pt>
                <c:pt idx="25">
                  <c:v>43646</c:v>
                </c:pt>
                <c:pt idx="26" formatCode="&quot;Q3&quot;\ yyyy">
                  <c:v>43738</c:v>
                </c:pt>
                <c:pt idx="27" formatCode="&quot;Q4&quot;\ yyyy">
                  <c:v>43830</c:v>
                </c:pt>
                <c:pt idx="28" formatCode="&quot;Q1&quot;\ yyyy">
                  <c:v>43921</c:v>
                </c:pt>
                <c:pt idx="29">
                  <c:v>44012</c:v>
                </c:pt>
                <c:pt idx="30" formatCode="&quot;Q3&quot;\ yyyy">
                  <c:v>44104</c:v>
                </c:pt>
                <c:pt idx="31" formatCode="&quot;Q4&quot;\ yyyy">
                  <c:v>44196</c:v>
                </c:pt>
                <c:pt idx="32" formatCode="&quot;Q1&quot;\ yyyy">
                  <c:v>44286</c:v>
                </c:pt>
                <c:pt idx="33">
                  <c:v>44377</c:v>
                </c:pt>
                <c:pt idx="34" formatCode="&quot;Q3&quot;\ yyyy">
                  <c:v>44469</c:v>
                </c:pt>
                <c:pt idx="35" formatCode="&quot;Q4&quot;\ yyyy">
                  <c:v>44561</c:v>
                </c:pt>
                <c:pt idx="36" formatCode="&quot;Q1&quot;\ yyyy">
                  <c:v>44651</c:v>
                </c:pt>
                <c:pt idx="37">
                  <c:v>44742</c:v>
                </c:pt>
                <c:pt idx="38" formatCode="&quot;Q3&quot;\ yyyy">
                  <c:v>44834</c:v>
                </c:pt>
                <c:pt idx="39" formatCode="&quot;Q4&quot;\ yyyy">
                  <c:v>44926</c:v>
                </c:pt>
                <c:pt idx="40" formatCode="&quot;Q1&quot;\ yyyy">
                  <c:v>45016</c:v>
                </c:pt>
              </c:numCache>
            </c:numRef>
          </c:cat>
          <c:val>
            <c:numRef>
              <c:f>'Forward EV-EBITDA'!$S$20:$S$60</c:f>
              <c:numCache>
                <c:formatCode>0.0\x_);\(0.0\x\);\-\ </c:formatCode>
                <c:ptCount val="41"/>
                <c:pt idx="0">
                  <c:v>6.8465676710887902</c:v>
                </c:pt>
                <c:pt idx="1">
                  <c:v>6.9462604239508297</c:v>
                </c:pt>
                <c:pt idx="2">
                  <c:v>7.6905757256787703</c:v>
                </c:pt>
                <c:pt idx="3">
                  <c:v>7.0030993714546099</c:v>
                </c:pt>
                <c:pt idx="4">
                  <c:v>7.5228291339738798</c:v>
                </c:pt>
                <c:pt idx="5">
                  <c:v>7.48637277195962</c:v>
                </c:pt>
                <c:pt idx="6">
                  <c:v>7.4373143165697098</c:v>
                </c:pt>
                <c:pt idx="7">
                  <c:v>7.7170195086687201</c:v>
                </c:pt>
                <c:pt idx="8">
                  <c:v>8.2595890808119705</c:v>
                </c:pt>
                <c:pt idx="9">
                  <c:v>7.7268626580478301</c:v>
                </c:pt>
                <c:pt idx="10">
                  <c:v>8.2298992470739893</c:v>
                </c:pt>
                <c:pt idx="11">
                  <c:v>7.0129921563583997</c:v>
                </c:pt>
                <c:pt idx="12">
                  <c:v>7.8773388077530999</c:v>
                </c:pt>
                <c:pt idx="13">
                  <c:v>7.4070925552826399</c:v>
                </c:pt>
                <c:pt idx="14">
                  <c:v>8.2400268040106006</c:v>
                </c:pt>
                <c:pt idx="15">
                  <c:v>9.2638216886287701</c:v>
                </c:pt>
                <c:pt idx="16">
                  <c:v>8.9429515092210696</c:v>
                </c:pt>
                <c:pt idx="17">
                  <c:v>9.7736161918054592</c:v>
                </c:pt>
                <c:pt idx="18">
                  <c:v>9.9913381899909801</c:v>
                </c:pt>
                <c:pt idx="19">
                  <c:v>9.6484871426549201</c:v>
                </c:pt>
                <c:pt idx="20">
                  <c:v>9.3145021312226106</c:v>
                </c:pt>
                <c:pt idx="21">
                  <c:v>8.9296832089248497</c:v>
                </c:pt>
                <c:pt idx="22">
                  <c:v>7.5991428892986699</c:v>
                </c:pt>
                <c:pt idx="23">
                  <c:v>7.7935245040986301</c:v>
                </c:pt>
                <c:pt idx="24">
                  <c:v>7.87426662752768</c:v>
                </c:pt>
                <c:pt idx="25">
                  <c:v>8.4923617759156595</c:v>
                </c:pt>
                <c:pt idx="26">
                  <c:v>9.6078171384473592</c:v>
                </c:pt>
                <c:pt idx="27">
                  <c:v>8.8249935636539192</c:v>
                </c:pt>
                <c:pt idx="28">
                  <c:v>8.5236365642680898</c:v>
                </c:pt>
                <c:pt idx="29">
                  <c:v>10.2149931736712</c:v>
                </c:pt>
                <c:pt idx="30">
                  <c:v>11.6035812903928</c:v>
                </c:pt>
                <c:pt idx="31">
                  <c:v>10.024387493356899</c:v>
                </c:pt>
                <c:pt idx="32">
                  <c:v>10.105019303900599</c:v>
                </c:pt>
                <c:pt idx="33">
                  <c:v>8.9261359696164195</c:v>
                </c:pt>
                <c:pt idx="34">
                  <c:v>8.5933641281883109</c:v>
                </c:pt>
                <c:pt idx="35">
                  <c:v>8.3329857326987202</c:v>
                </c:pt>
                <c:pt idx="36">
                  <c:v>7.0486361998093399</c:v>
                </c:pt>
                <c:pt idx="37">
                  <c:v>5.9366347276011897</c:v>
                </c:pt>
                <c:pt idx="38">
                  <c:v>4.7586257730608503</c:v>
                </c:pt>
                <c:pt idx="39">
                  <c:v>5.2515122000512404</c:v>
                </c:pt>
                <c:pt idx="40">
                  <c:v>8.6954848777734899</c:v>
                </c:pt>
              </c:numCache>
            </c:numRef>
          </c:val>
          <c:smooth val="0"/>
          <c:extLst>
            <c:ext xmlns:c16="http://schemas.microsoft.com/office/drawing/2014/chart" uri="{C3380CC4-5D6E-409C-BE32-E72D297353CC}">
              <c16:uniqueId val="{00000000-5AB4-4486-9FF1-C2DBA2D73C9B}"/>
            </c:ext>
          </c:extLst>
        </c:ser>
        <c:dLbls>
          <c:showLegendKey val="0"/>
          <c:showVal val="0"/>
          <c:showCatName val="0"/>
          <c:showSerName val="0"/>
          <c:showPercent val="0"/>
          <c:showBubbleSize val="0"/>
        </c:dLbls>
        <c:smooth val="0"/>
        <c:axId val="31776463"/>
        <c:axId val="1961279791"/>
      </c:lineChart>
      <c:dateAx>
        <c:axId val="31776463"/>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1279791"/>
        <c:crosses val="autoZero"/>
        <c:auto val="1"/>
        <c:lblOffset val="100"/>
        <c:baseTimeUnit val="months"/>
        <c:majorUnit val="12"/>
        <c:majorTimeUnit val="months"/>
      </c:dateAx>
      <c:valAx>
        <c:axId val="1961279791"/>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764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'Forward EV-EBITDA'!$V$20:$V$60</c:f>
              <c:numCache>
                <c:formatCode>0.0\x_);\(0.0\x\);\-\ </c:formatCode>
                <c:ptCount val="41"/>
                <c:pt idx="0">
                  <c:v>0.18228231364175063</c:v>
                </c:pt>
                <c:pt idx="1">
                  <c:v>0.7048052443684103</c:v>
                </c:pt>
                <c:pt idx="2">
                  <c:v>-0.1837060123375398</c:v>
                </c:pt>
                <c:pt idx="3">
                  <c:v>-0.24960961829278983</c:v>
                </c:pt>
                <c:pt idx="4">
                  <c:v>-1.2963643598709496E-2</c:v>
                </c:pt>
                <c:pt idx="5">
                  <c:v>8.5577528558779647E-2</c:v>
                </c:pt>
                <c:pt idx="6">
                  <c:v>0.2177308958813402</c:v>
                </c:pt>
                <c:pt idx="7">
                  <c:v>-1.598672729555549</c:v>
                </c:pt>
                <c:pt idx="8">
                  <c:v>-5.7911910090529872E-2</c:v>
                </c:pt>
                <c:pt idx="9">
                  <c:v>0.33354607969420957</c:v>
                </c:pt>
                <c:pt idx="10">
                  <c:v>-0.28790299089436022</c:v>
                </c:pt>
                <c:pt idx="11">
                  <c:v>0.68212363031537038</c:v>
                </c:pt>
                <c:pt idx="12">
                  <c:v>0.48870556238053009</c:v>
                </c:pt>
                <c:pt idx="13">
                  <c:v>-0.40732878030769015</c:v>
                </c:pt>
                <c:pt idx="14">
                  <c:v>-0.2870026732361497</c:v>
                </c:pt>
                <c:pt idx="15">
                  <c:v>-0.20439993231192055</c:v>
                </c:pt>
                <c:pt idx="16">
                  <c:v>-3.2258541082480718E-2</c:v>
                </c:pt>
                <c:pt idx="17">
                  <c:v>0.81053398730909088</c:v>
                </c:pt>
                <c:pt idx="18">
                  <c:v>0.55423079684866927</c:v>
                </c:pt>
                <c:pt idx="19">
                  <c:v>1.7196149020922888</c:v>
                </c:pt>
                <c:pt idx="20">
                  <c:v>2.1621554689354596</c:v>
                </c:pt>
                <c:pt idx="21">
                  <c:v>1.9859607913601707</c:v>
                </c:pt>
                <c:pt idx="22">
                  <c:v>0.12098442095340989</c:v>
                </c:pt>
                <c:pt idx="23">
                  <c:v>-0.27285378903517987</c:v>
                </c:pt>
                <c:pt idx="24">
                  <c:v>-0.71202655106786938</c:v>
                </c:pt>
                <c:pt idx="25">
                  <c:v>-1.0681013698357802</c:v>
                </c:pt>
                <c:pt idx="26">
                  <c:v>-0.87590838943268956</c:v>
                </c:pt>
                <c:pt idx="27">
                  <c:v>-0.32624670424978852</c:v>
                </c:pt>
                <c:pt idx="28">
                  <c:v>-4.7296189513700071E-2</c:v>
                </c:pt>
                <c:pt idx="29">
                  <c:v>-0.38281476035991879</c:v>
                </c:pt>
                <c:pt idx="30">
                  <c:v>1.0079234266023001</c:v>
                </c:pt>
                <c:pt idx="31">
                  <c:v>0.97177866276444114</c:v>
                </c:pt>
                <c:pt idx="32">
                  <c:v>1.9883547235580998</c:v>
                </c:pt>
                <c:pt idx="33">
                  <c:v>1.6466127608442394</c:v>
                </c:pt>
                <c:pt idx="34">
                  <c:v>2.23150947699376</c:v>
                </c:pt>
                <c:pt idx="35">
                  <c:v>2.0591983815378789</c:v>
                </c:pt>
                <c:pt idx="36">
                  <c:v>2.3633995243580008</c:v>
                </c:pt>
                <c:pt idx="37">
                  <c:v>1.8577257119598993</c:v>
                </c:pt>
                <c:pt idx="38">
                  <c:v>0.95300777836408024</c:v>
                </c:pt>
                <c:pt idx="39">
                  <c:v>1.2131507201983194</c:v>
                </c:pt>
                <c:pt idx="40">
                  <c:v>1.1083073267085704</c:v>
                </c:pt>
              </c:numCache>
            </c:numRef>
          </c:val>
          <c:smooth val="0"/>
          <c:extLst>
            <c:ext xmlns:c16="http://schemas.microsoft.com/office/drawing/2014/chart" uri="{C3380CC4-5D6E-409C-BE32-E72D297353CC}">
              <c16:uniqueId val="{00000000-CE98-4D88-8DE3-3B50090FB04F}"/>
            </c:ext>
          </c:extLst>
        </c:ser>
        <c:ser>
          <c:idx val="1"/>
          <c:order val="1"/>
          <c:spPr>
            <a:ln w="28575" cap="rnd">
              <a:solidFill>
                <a:schemeClr val="accent2"/>
              </a:solidFill>
              <a:round/>
            </a:ln>
            <a:effectLst/>
          </c:spPr>
          <c:marker>
            <c:symbol val="none"/>
          </c:marker>
          <c:val>
            <c:numRef>
              <c:f>'Forward EV-EBITDA'!$W$20:$W$60</c:f>
              <c:numCache>
                <c:formatCode>0.0\x_);\(0.0\x\);\-\ </c:formatCode>
                <c:ptCount val="41"/>
                <c:pt idx="0">
                  <c:v>0.54596021337265022</c:v>
                </c:pt>
                <c:pt idx="1">
                  <c:v>0.84576671543800064</c:v>
                </c:pt>
                <c:pt idx="2">
                  <c:v>2.4279161429889839E-2</c:v>
                </c:pt>
                <c:pt idx="3">
                  <c:v>0.91956062372714964</c:v>
                </c:pt>
                <c:pt idx="4">
                  <c:v>0.51580829991579069</c:v>
                </c:pt>
                <c:pt idx="5">
                  <c:v>0.28466991289564003</c:v>
                </c:pt>
                <c:pt idx="6">
                  <c:v>9.4145617068805976E-3</c:v>
                </c:pt>
                <c:pt idx="7">
                  <c:v>-0.7873856656214997</c:v>
                </c:pt>
                <c:pt idx="8">
                  <c:v>-3.0869921866099048E-3</c:v>
                </c:pt>
                <c:pt idx="9">
                  <c:v>3.6325940253079558E-2</c:v>
                </c:pt>
                <c:pt idx="10">
                  <c:v>-0.95878089001012956</c:v>
                </c:pt>
                <c:pt idx="11">
                  <c:v>0.14733592548609042</c:v>
                </c:pt>
                <c:pt idx="12">
                  <c:v>-1.6176743104489688E-2</c:v>
                </c:pt>
                <c:pt idx="13">
                  <c:v>3.3876407932970309E-2</c:v>
                </c:pt>
                <c:pt idx="14">
                  <c:v>-0.35935984589157055</c:v>
                </c:pt>
                <c:pt idx="15">
                  <c:v>-1.0053619118245809</c:v>
                </c:pt>
                <c:pt idx="16">
                  <c:v>-0.8143481799027299</c:v>
                </c:pt>
                <c:pt idx="17">
                  <c:v>-1.4120852823632983</c:v>
                </c:pt>
                <c:pt idx="18">
                  <c:v>-1.4480168399673108</c:v>
                </c:pt>
                <c:pt idx="19">
                  <c:v>-0.70075846688023091</c:v>
                </c:pt>
                <c:pt idx="20">
                  <c:v>-6.8354146165651386E-2</c:v>
                </c:pt>
                <c:pt idx="21">
                  <c:v>-0.3942726869982689</c:v>
                </c:pt>
                <c:pt idx="22">
                  <c:v>-5.4314773562450291E-2</c:v>
                </c:pt>
                <c:pt idx="23">
                  <c:v>-7.3874597015829657E-2</c:v>
                </c:pt>
                <c:pt idx="24">
                  <c:v>-0.77013397229660985</c:v>
                </c:pt>
                <c:pt idx="25">
                  <c:v>-1.6630229205864193</c:v>
                </c:pt>
                <c:pt idx="26">
                  <c:v>-1.5271754436922684</c:v>
                </c:pt>
                <c:pt idx="27">
                  <c:v>-0.72248935275146842</c:v>
                </c:pt>
                <c:pt idx="28">
                  <c:v>-0.78760322083553014</c:v>
                </c:pt>
                <c:pt idx="29">
                  <c:v>-1.7011995312645993</c:v>
                </c:pt>
                <c:pt idx="30">
                  <c:v>-2.1186707955680202</c:v>
                </c:pt>
                <c:pt idx="31">
                  <c:v>-0.18010694474558875</c:v>
                </c:pt>
                <c:pt idx="32">
                  <c:v>0.16650920961110138</c:v>
                </c:pt>
                <c:pt idx="33">
                  <c:v>0.20147740794921987</c:v>
                </c:pt>
                <c:pt idx="34">
                  <c:v>0.65156454293089894</c:v>
                </c:pt>
                <c:pt idx="35">
                  <c:v>0.97572789288197903</c:v>
                </c:pt>
                <c:pt idx="36">
                  <c:v>1.2610645764998507</c:v>
                </c:pt>
                <c:pt idx="37">
                  <c:v>1.95146010875904</c:v>
                </c:pt>
                <c:pt idx="38">
                  <c:v>3.33123701041779</c:v>
                </c:pt>
                <c:pt idx="39">
                  <c:v>3.0231288889942993</c:v>
                </c:pt>
                <c:pt idx="40">
                  <c:v>-0.97868050201493961</c:v>
                </c:pt>
              </c:numCache>
            </c:numRef>
          </c:val>
          <c:smooth val="0"/>
          <c:extLst>
            <c:ext xmlns:c16="http://schemas.microsoft.com/office/drawing/2014/chart" uri="{C3380CC4-5D6E-409C-BE32-E72D297353CC}">
              <c16:uniqueId val="{00000001-CE98-4D88-8DE3-3B50090FB04F}"/>
            </c:ext>
          </c:extLst>
        </c:ser>
        <c:dLbls>
          <c:showLegendKey val="0"/>
          <c:showVal val="0"/>
          <c:showCatName val="0"/>
          <c:showSerName val="0"/>
          <c:showPercent val="0"/>
          <c:showBubbleSize val="0"/>
        </c:dLbls>
        <c:smooth val="0"/>
        <c:axId val="488336832"/>
        <c:axId val="165956240"/>
      </c:lineChart>
      <c:catAx>
        <c:axId val="48833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956240"/>
        <c:crosses val="autoZero"/>
        <c:auto val="1"/>
        <c:lblAlgn val="ctr"/>
        <c:lblOffset val="100"/>
        <c:noMultiLvlLbl val="0"/>
      </c:catAx>
      <c:valAx>
        <c:axId val="165956240"/>
        <c:scaling>
          <c:orientation val="minMax"/>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33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'Construction Spending'!$B$306:$B$340</c:f>
              <c:numCache>
                <c:formatCode>[$-409]d\-mmm\-yy;@</c:formatCode>
                <c:ptCount val="35"/>
                <c:pt idx="0">
                  <c:v>42916</c:v>
                </c:pt>
                <c:pt idx="1">
                  <c:v>42947</c:v>
                </c:pt>
                <c:pt idx="2">
                  <c:v>42978</c:v>
                </c:pt>
                <c:pt idx="3">
                  <c:v>43008</c:v>
                </c:pt>
                <c:pt idx="4">
                  <c:v>43039</c:v>
                </c:pt>
                <c:pt idx="5">
                  <c:v>43069</c:v>
                </c:pt>
                <c:pt idx="6">
                  <c:v>43100</c:v>
                </c:pt>
                <c:pt idx="7">
                  <c:v>43131</c:v>
                </c:pt>
                <c:pt idx="8">
                  <c:v>43159</c:v>
                </c:pt>
                <c:pt idx="9">
                  <c:v>43190</c:v>
                </c:pt>
                <c:pt idx="10">
                  <c:v>43220</c:v>
                </c:pt>
                <c:pt idx="11">
                  <c:v>43251</c:v>
                </c:pt>
                <c:pt idx="12">
                  <c:v>43281</c:v>
                </c:pt>
                <c:pt idx="13">
                  <c:v>43312</c:v>
                </c:pt>
                <c:pt idx="14">
                  <c:v>43343</c:v>
                </c:pt>
                <c:pt idx="15">
                  <c:v>43373</c:v>
                </c:pt>
                <c:pt idx="16">
                  <c:v>43404</c:v>
                </c:pt>
                <c:pt idx="17">
                  <c:v>43434</c:v>
                </c:pt>
                <c:pt idx="18">
                  <c:v>43465</c:v>
                </c:pt>
                <c:pt idx="19">
                  <c:v>43496</c:v>
                </c:pt>
                <c:pt idx="20">
                  <c:v>43524</c:v>
                </c:pt>
                <c:pt idx="21">
                  <c:v>43555</c:v>
                </c:pt>
                <c:pt idx="22">
                  <c:v>43585</c:v>
                </c:pt>
                <c:pt idx="23">
                  <c:v>43616</c:v>
                </c:pt>
                <c:pt idx="24">
                  <c:v>43646</c:v>
                </c:pt>
                <c:pt idx="25">
                  <c:v>43677</c:v>
                </c:pt>
                <c:pt idx="26">
                  <c:v>43708</c:v>
                </c:pt>
                <c:pt idx="27">
                  <c:v>43738</c:v>
                </c:pt>
                <c:pt idx="28">
                  <c:v>43769</c:v>
                </c:pt>
                <c:pt idx="29">
                  <c:v>43799</c:v>
                </c:pt>
                <c:pt idx="30">
                  <c:v>43830</c:v>
                </c:pt>
                <c:pt idx="31">
                  <c:v>43861</c:v>
                </c:pt>
                <c:pt idx="32">
                  <c:v>43890</c:v>
                </c:pt>
                <c:pt idx="33">
                  <c:v>43921</c:v>
                </c:pt>
                <c:pt idx="34">
                  <c:v>43951</c:v>
                </c:pt>
              </c:numCache>
            </c:numRef>
          </c:cat>
          <c:val>
            <c:numRef>
              <c:f>'Construction Spending'!$C$306:$C$340</c:f>
              <c:numCache>
                <c:formatCode>0</c:formatCode>
                <c:ptCount val="35"/>
                <c:pt idx="0">
                  <c:v>1277071</c:v>
                </c:pt>
                <c:pt idx="1">
                  <c:v>1274859</c:v>
                </c:pt>
                <c:pt idx="2">
                  <c:v>1281382</c:v>
                </c:pt>
                <c:pt idx="3">
                  <c:v>1282298</c:v>
                </c:pt>
                <c:pt idx="4">
                  <c:v>1305629</c:v>
                </c:pt>
                <c:pt idx="5">
                  <c:v>1313472</c:v>
                </c:pt>
                <c:pt idx="6">
                  <c:v>1335174</c:v>
                </c:pt>
                <c:pt idx="7">
                  <c:v>1355642</c:v>
                </c:pt>
                <c:pt idx="8">
                  <c:v>1345261</c:v>
                </c:pt>
                <c:pt idx="9">
                  <c:v>1356953</c:v>
                </c:pt>
                <c:pt idx="10">
                  <c:v>1364892</c:v>
                </c:pt>
                <c:pt idx="11">
                  <c:v>1346265</c:v>
                </c:pt>
                <c:pt idx="12">
                  <c:v>1338377</c:v>
                </c:pt>
                <c:pt idx="13">
                  <c:v>1339536</c:v>
                </c:pt>
                <c:pt idx="14">
                  <c:v>1325585</c:v>
                </c:pt>
                <c:pt idx="15">
                  <c:v>1308508</c:v>
                </c:pt>
                <c:pt idx="16">
                  <c:v>1296961</c:v>
                </c:pt>
                <c:pt idx="17">
                  <c:v>1287899</c:v>
                </c:pt>
                <c:pt idx="18">
                  <c:v>1294398</c:v>
                </c:pt>
                <c:pt idx="19">
                  <c:v>1312418</c:v>
                </c:pt>
                <c:pt idx="20">
                  <c:v>1323764</c:v>
                </c:pt>
                <c:pt idx="21">
                  <c:v>1358075</c:v>
                </c:pt>
                <c:pt idx="22">
                  <c:v>1367893</c:v>
                </c:pt>
                <c:pt idx="23">
                  <c:v>1386880</c:v>
                </c:pt>
                <c:pt idx="24">
                  <c:v>1412995</c:v>
                </c:pt>
                <c:pt idx="25">
                  <c:v>1424952</c:v>
                </c:pt>
                <c:pt idx="26">
                  <c:v>1434950</c:v>
                </c:pt>
                <c:pt idx="27">
                  <c:v>1436789</c:v>
                </c:pt>
                <c:pt idx="28">
                  <c:v>1459790</c:v>
                </c:pt>
                <c:pt idx="29">
                  <c:v>1463531</c:v>
                </c:pt>
                <c:pt idx="30">
                  <c:v>1489988</c:v>
                </c:pt>
                <c:pt idx="31">
                  <c:v>1501841</c:v>
                </c:pt>
                <c:pt idx="32">
                  <c:v>1508887</c:v>
                </c:pt>
                <c:pt idx="33">
                  <c:v>1466175</c:v>
                </c:pt>
                <c:pt idx="34">
                  <c:v>1461910</c:v>
                </c:pt>
              </c:numCache>
            </c:numRef>
          </c:val>
          <c:smooth val="0"/>
          <c:extLst>
            <c:ext xmlns:c16="http://schemas.microsoft.com/office/drawing/2014/chart" uri="{C3380CC4-5D6E-409C-BE32-E72D297353CC}">
              <c16:uniqueId val="{00000000-2388-44D0-B8D3-7EFFF783A655}"/>
            </c:ext>
          </c:extLst>
        </c:ser>
        <c:dLbls>
          <c:showLegendKey val="0"/>
          <c:showVal val="0"/>
          <c:showCatName val="0"/>
          <c:showSerName val="0"/>
          <c:showPercent val="0"/>
          <c:showBubbleSize val="0"/>
        </c:dLbls>
        <c:smooth val="0"/>
        <c:axId val="811885248"/>
        <c:axId val="811907808"/>
      </c:lineChart>
      <c:dateAx>
        <c:axId val="811885248"/>
        <c:scaling>
          <c:orientation val="minMax"/>
        </c:scaling>
        <c:delete val="0"/>
        <c:axPos val="b"/>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1907808"/>
        <c:crosses val="autoZero"/>
        <c:auto val="1"/>
        <c:lblOffset val="100"/>
        <c:baseTimeUnit val="months"/>
      </c:dateAx>
      <c:valAx>
        <c:axId val="81190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188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'Construction Spending'!$B$12:$B$373</c:f>
              <c:numCache>
                <c:formatCode>[$-409]d\-mmm\-yy;@</c:formatCode>
                <c:ptCount val="362"/>
                <c:pt idx="0">
                  <c:v>33969</c:v>
                </c:pt>
                <c:pt idx="1">
                  <c:v>34000</c:v>
                </c:pt>
                <c:pt idx="2">
                  <c:v>34028</c:v>
                </c:pt>
                <c:pt idx="3">
                  <c:v>34059</c:v>
                </c:pt>
                <c:pt idx="4">
                  <c:v>34089</c:v>
                </c:pt>
                <c:pt idx="5">
                  <c:v>34120</c:v>
                </c:pt>
                <c:pt idx="6">
                  <c:v>34150</c:v>
                </c:pt>
                <c:pt idx="7">
                  <c:v>34181</c:v>
                </c:pt>
                <c:pt idx="8">
                  <c:v>34212</c:v>
                </c:pt>
                <c:pt idx="9">
                  <c:v>34242</c:v>
                </c:pt>
                <c:pt idx="10">
                  <c:v>34273</c:v>
                </c:pt>
                <c:pt idx="11">
                  <c:v>34303</c:v>
                </c:pt>
                <c:pt idx="12">
                  <c:v>34334</c:v>
                </c:pt>
                <c:pt idx="13">
                  <c:v>34365</c:v>
                </c:pt>
                <c:pt idx="14">
                  <c:v>34393</c:v>
                </c:pt>
                <c:pt idx="15">
                  <c:v>34424</c:v>
                </c:pt>
                <c:pt idx="16">
                  <c:v>34454</c:v>
                </c:pt>
                <c:pt idx="17">
                  <c:v>34485</c:v>
                </c:pt>
                <c:pt idx="18">
                  <c:v>34515</c:v>
                </c:pt>
                <c:pt idx="19">
                  <c:v>34546</c:v>
                </c:pt>
                <c:pt idx="20">
                  <c:v>34577</c:v>
                </c:pt>
                <c:pt idx="21">
                  <c:v>34607</c:v>
                </c:pt>
                <c:pt idx="22">
                  <c:v>34638</c:v>
                </c:pt>
                <c:pt idx="23">
                  <c:v>34668</c:v>
                </c:pt>
                <c:pt idx="24">
                  <c:v>34699</c:v>
                </c:pt>
                <c:pt idx="25">
                  <c:v>34730</c:v>
                </c:pt>
                <c:pt idx="26">
                  <c:v>34758</c:v>
                </c:pt>
                <c:pt idx="27">
                  <c:v>34789</c:v>
                </c:pt>
                <c:pt idx="28">
                  <c:v>34819</c:v>
                </c:pt>
                <c:pt idx="29">
                  <c:v>34850</c:v>
                </c:pt>
                <c:pt idx="30">
                  <c:v>34880</c:v>
                </c:pt>
                <c:pt idx="31">
                  <c:v>34911</c:v>
                </c:pt>
                <c:pt idx="32">
                  <c:v>34942</c:v>
                </c:pt>
                <c:pt idx="33">
                  <c:v>34972</c:v>
                </c:pt>
                <c:pt idx="34">
                  <c:v>35003</c:v>
                </c:pt>
                <c:pt idx="35">
                  <c:v>35033</c:v>
                </c:pt>
                <c:pt idx="36">
                  <c:v>35064</c:v>
                </c:pt>
                <c:pt idx="37">
                  <c:v>35095</c:v>
                </c:pt>
                <c:pt idx="38">
                  <c:v>35124</c:v>
                </c:pt>
                <c:pt idx="39">
                  <c:v>35155</c:v>
                </c:pt>
                <c:pt idx="40">
                  <c:v>35185</c:v>
                </c:pt>
                <c:pt idx="41">
                  <c:v>35216</c:v>
                </c:pt>
                <c:pt idx="42">
                  <c:v>35246</c:v>
                </c:pt>
                <c:pt idx="43">
                  <c:v>35277</c:v>
                </c:pt>
                <c:pt idx="44">
                  <c:v>35308</c:v>
                </c:pt>
                <c:pt idx="45">
                  <c:v>35338</c:v>
                </c:pt>
                <c:pt idx="46">
                  <c:v>35369</c:v>
                </c:pt>
                <c:pt idx="47">
                  <c:v>35399</c:v>
                </c:pt>
                <c:pt idx="48">
                  <c:v>35430</c:v>
                </c:pt>
                <c:pt idx="49">
                  <c:v>35461</c:v>
                </c:pt>
                <c:pt idx="50">
                  <c:v>35489</c:v>
                </c:pt>
                <c:pt idx="51">
                  <c:v>35520</c:v>
                </c:pt>
                <c:pt idx="52">
                  <c:v>35550</c:v>
                </c:pt>
                <c:pt idx="53">
                  <c:v>35581</c:v>
                </c:pt>
                <c:pt idx="54">
                  <c:v>35611</c:v>
                </c:pt>
                <c:pt idx="55">
                  <c:v>35642</c:v>
                </c:pt>
                <c:pt idx="56">
                  <c:v>35673</c:v>
                </c:pt>
                <c:pt idx="57">
                  <c:v>35703</c:v>
                </c:pt>
                <c:pt idx="58">
                  <c:v>35734</c:v>
                </c:pt>
                <c:pt idx="59">
                  <c:v>35764</c:v>
                </c:pt>
                <c:pt idx="60">
                  <c:v>35795</c:v>
                </c:pt>
                <c:pt idx="61">
                  <c:v>35826</c:v>
                </c:pt>
                <c:pt idx="62">
                  <c:v>35854</c:v>
                </c:pt>
                <c:pt idx="63">
                  <c:v>35885</c:v>
                </c:pt>
                <c:pt idx="64">
                  <c:v>35915</c:v>
                </c:pt>
                <c:pt idx="65">
                  <c:v>35946</c:v>
                </c:pt>
                <c:pt idx="66">
                  <c:v>35976</c:v>
                </c:pt>
                <c:pt idx="67">
                  <c:v>36007</c:v>
                </c:pt>
                <c:pt idx="68">
                  <c:v>36038</c:v>
                </c:pt>
                <c:pt idx="69">
                  <c:v>36068</c:v>
                </c:pt>
                <c:pt idx="70">
                  <c:v>36099</c:v>
                </c:pt>
                <c:pt idx="71">
                  <c:v>36129</c:v>
                </c:pt>
                <c:pt idx="72">
                  <c:v>36160</c:v>
                </c:pt>
                <c:pt idx="73">
                  <c:v>36191</c:v>
                </c:pt>
                <c:pt idx="74">
                  <c:v>36219</c:v>
                </c:pt>
                <c:pt idx="75">
                  <c:v>36250</c:v>
                </c:pt>
                <c:pt idx="76">
                  <c:v>36280</c:v>
                </c:pt>
                <c:pt idx="77">
                  <c:v>36311</c:v>
                </c:pt>
                <c:pt idx="78">
                  <c:v>36341</c:v>
                </c:pt>
                <c:pt idx="79">
                  <c:v>36372</c:v>
                </c:pt>
                <c:pt idx="80">
                  <c:v>36403</c:v>
                </c:pt>
                <c:pt idx="81">
                  <c:v>36433</c:v>
                </c:pt>
                <c:pt idx="82">
                  <c:v>36464</c:v>
                </c:pt>
                <c:pt idx="83">
                  <c:v>36494</c:v>
                </c:pt>
                <c:pt idx="84">
                  <c:v>36525</c:v>
                </c:pt>
                <c:pt idx="85">
                  <c:v>36556</c:v>
                </c:pt>
                <c:pt idx="86">
                  <c:v>36585</c:v>
                </c:pt>
                <c:pt idx="87">
                  <c:v>36616</c:v>
                </c:pt>
                <c:pt idx="88">
                  <c:v>36646</c:v>
                </c:pt>
                <c:pt idx="89">
                  <c:v>36677</c:v>
                </c:pt>
                <c:pt idx="90">
                  <c:v>36707</c:v>
                </c:pt>
                <c:pt idx="91">
                  <c:v>36738</c:v>
                </c:pt>
                <c:pt idx="92">
                  <c:v>36769</c:v>
                </c:pt>
                <c:pt idx="93">
                  <c:v>36799</c:v>
                </c:pt>
                <c:pt idx="94">
                  <c:v>36830</c:v>
                </c:pt>
                <c:pt idx="95">
                  <c:v>36860</c:v>
                </c:pt>
                <c:pt idx="96">
                  <c:v>36891</c:v>
                </c:pt>
                <c:pt idx="97">
                  <c:v>36922</c:v>
                </c:pt>
                <c:pt idx="98">
                  <c:v>36950</c:v>
                </c:pt>
                <c:pt idx="99">
                  <c:v>36981</c:v>
                </c:pt>
                <c:pt idx="100">
                  <c:v>37011</c:v>
                </c:pt>
                <c:pt idx="101">
                  <c:v>37042</c:v>
                </c:pt>
                <c:pt idx="102">
                  <c:v>37072</c:v>
                </c:pt>
                <c:pt idx="103">
                  <c:v>37103</c:v>
                </c:pt>
                <c:pt idx="104">
                  <c:v>37134</c:v>
                </c:pt>
                <c:pt idx="105">
                  <c:v>37164</c:v>
                </c:pt>
                <c:pt idx="106">
                  <c:v>37195</c:v>
                </c:pt>
                <c:pt idx="107">
                  <c:v>37225</c:v>
                </c:pt>
                <c:pt idx="108">
                  <c:v>37256</c:v>
                </c:pt>
                <c:pt idx="109">
                  <c:v>37287</c:v>
                </c:pt>
                <c:pt idx="110">
                  <c:v>37315</c:v>
                </c:pt>
                <c:pt idx="111">
                  <c:v>37346</c:v>
                </c:pt>
                <c:pt idx="112">
                  <c:v>37376</c:v>
                </c:pt>
                <c:pt idx="113">
                  <c:v>37407</c:v>
                </c:pt>
                <c:pt idx="114">
                  <c:v>37437</c:v>
                </c:pt>
                <c:pt idx="115">
                  <c:v>37468</c:v>
                </c:pt>
                <c:pt idx="116">
                  <c:v>37499</c:v>
                </c:pt>
                <c:pt idx="117">
                  <c:v>37529</c:v>
                </c:pt>
                <c:pt idx="118">
                  <c:v>37560</c:v>
                </c:pt>
                <c:pt idx="119">
                  <c:v>37590</c:v>
                </c:pt>
                <c:pt idx="120">
                  <c:v>37621</c:v>
                </c:pt>
                <c:pt idx="121">
                  <c:v>37652</c:v>
                </c:pt>
                <c:pt idx="122">
                  <c:v>37680</c:v>
                </c:pt>
                <c:pt idx="123">
                  <c:v>37711</c:v>
                </c:pt>
                <c:pt idx="124">
                  <c:v>37741</c:v>
                </c:pt>
                <c:pt idx="125">
                  <c:v>37772</c:v>
                </c:pt>
                <c:pt idx="126">
                  <c:v>37802</c:v>
                </c:pt>
                <c:pt idx="127">
                  <c:v>37833</c:v>
                </c:pt>
                <c:pt idx="128">
                  <c:v>37864</c:v>
                </c:pt>
                <c:pt idx="129">
                  <c:v>37894</c:v>
                </c:pt>
                <c:pt idx="130">
                  <c:v>37925</c:v>
                </c:pt>
                <c:pt idx="131">
                  <c:v>37955</c:v>
                </c:pt>
                <c:pt idx="132">
                  <c:v>37986</c:v>
                </c:pt>
                <c:pt idx="133">
                  <c:v>38017</c:v>
                </c:pt>
                <c:pt idx="134">
                  <c:v>38046</c:v>
                </c:pt>
                <c:pt idx="135">
                  <c:v>38077</c:v>
                </c:pt>
                <c:pt idx="136">
                  <c:v>38107</c:v>
                </c:pt>
                <c:pt idx="137">
                  <c:v>38138</c:v>
                </c:pt>
                <c:pt idx="138">
                  <c:v>38168</c:v>
                </c:pt>
                <c:pt idx="139">
                  <c:v>38199</c:v>
                </c:pt>
                <c:pt idx="140">
                  <c:v>38230</c:v>
                </c:pt>
                <c:pt idx="141">
                  <c:v>38260</c:v>
                </c:pt>
                <c:pt idx="142">
                  <c:v>38291</c:v>
                </c:pt>
                <c:pt idx="143">
                  <c:v>38321</c:v>
                </c:pt>
                <c:pt idx="144">
                  <c:v>38352</c:v>
                </c:pt>
                <c:pt idx="145">
                  <c:v>38383</c:v>
                </c:pt>
                <c:pt idx="146">
                  <c:v>38411</c:v>
                </c:pt>
                <c:pt idx="147">
                  <c:v>38442</c:v>
                </c:pt>
                <c:pt idx="148">
                  <c:v>38472</c:v>
                </c:pt>
                <c:pt idx="149">
                  <c:v>38503</c:v>
                </c:pt>
                <c:pt idx="150">
                  <c:v>38533</c:v>
                </c:pt>
                <c:pt idx="151">
                  <c:v>38564</c:v>
                </c:pt>
                <c:pt idx="152">
                  <c:v>38595</c:v>
                </c:pt>
                <c:pt idx="153">
                  <c:v>38625</c:v>
                </c:pt>
                <c:pt idx="154">
                  <c:v>38656</c:v>
                </c:pt>
                <c:pt idx="155">
                  <c:v>38686</c:v>
                </c:pt>
                <c:pt idx="156">
                  <c:v>38717</c:v>
                </c:pt>
                <c:pt idx="157">
                  <c:v>38748</c:v>
                </c:pt>
                <c:pt idx="158">
                  <c:v>38776</c:v>
                </c:pt>
                <c:pt idx="159">
                  <c:v>38807</c:v>
                </c:pt>
                <c:pt idx="160">
                  <c:v>38837</c:v>
                </c:pt>
                <c:pt idx="161">
                  <c:v>38868</c:v>
                </c:pt>
                <c:pt idx="162">
                  <c:v>38898</c:v>
                </c:pt>
                <c:pt idx="163">
                  <c:v>38929</c:v>
                </c:pt>
                <c:pt idx="164">
                  <c:v>38960</c:v>
                </c:pt>
                <c:pt idx="165">
                  <c:v>38990</c:v>
                </c:pt>
                <c:pt idx="166">
                  <c:v>39021</c:v>
                </c:pt>
                <c:pt idx="167">
                  <c:v>39051</c:v>
                </c:pt>
                <c:pt idx="168">
                  <c:v>39082</c:v>
                </c:pt>
                <c:pt idx="169">
                  <c:v>39113</c:v>
                </c:pt>
                <c:pt idx="170">
                  <c:v>39141</c:v>
                </c:pt>
                <c:pt idx="171">
                  <c:v>39172</c:v>
                </c:pt>
                <c:pt idx="172">
                  <c:v>39202</c:v>
                </c:pt>
                <c:pt idx="173">
                  <c:v>39233</c:v>
                </c:pt>
                <c:pt idx="174">
                  <c:v>39263</c:v>
                </c:pt>
                <c:pt idx="175">
                  <c:v>39294</c:v>
                </c:pt>
                <c:pt idx="176">
                  <c:v>39325</c:v>
                </c:pt>
                <c:pt idx="177">
                  <c:v>39355</c:v>
                </c:pt>
                <c:pt idx="178">
                  <c:v>39386</c:v>
                </c:pt>
                <c:pt idx="179">
                  <c:v>39416</c:v>
                </c:pt>
                <c:pt idx="180">
                  <c:v>39447</c:v>
                </c:pt>
                <c:pt idx="181">
                  <c:v>39478</c:v>
                </c:pt>
                <c:pt idx="182">
                  <c:v>39507</c:v>
                </c:pt>
                <c:pt idx="183">
                  <c:v>39538</c:v>
                </c:pt>
                <c:pt idx="184">
                  <c:v>39568</c:v>
                </c:pt>
                <c:pt idx="185">
                  <c:v>39599</c:v>
                </c:pt>
                <c:pt idx="186">
                  <c:v>39629</c:v>
                </c:pt>
                <c:pt idx="187">
                  <c:v>39660</c:v>
                </c:pt>
                <c:pt idx="188">
                  <c:v>39691</c:v>
                </c:pt>
                <c:pt idx="189">
                  <c:v>39721</c:v>
                </c:pt>
                <c:pt idx="190">
                  <c:v>39752</c:v>
                </c:pt>
                <c:pt idx="191">
                  <c:v>39782</c:v>
                </c:pt>
                <c:pt idx="192">
                  <c:v>39813</c:v>
                </c:pt>
                <c:pt idx="193">
                  <c:v>39844</c:v>
                </c:pt>
                <c:pt idx="194">
                  <c:v>39872</c:v>
                </c:pt>
                <c:pt idx="195">
                  <c:v>39903</c:v>
                </c:pt>
                <c:pt idx="196">
                  <c:v>39933</c:v>
                </c:pt>
                <c:pt idx="197">
                  <c:v>39964</c:v>
                </c:pt>
                <c:pt idx="198">
                  <c:v>39994</c:v>
                </c:pt>
                <c:pt idx="199">
                  <c:v>40025</c:v>
                </c:pt>
                <c:pt idx="200">
                  <c:v>40056</c:v>
                </c:pt>
                <c:pt idx="201">
                  <c:v>40086</c:v>
                </c:pt>
                <c:pt idx="202">
                  <c:v>40117</c:v>
                </c:pt>
                <c:pt idx="203">
                  <c:v>40147</c:v>
                </c:pt>
                <c:pt idx="204">
                  <c:v>40178</c:v>
                </c:pt>
                <c:pt idx="205">
                  <c:v>40209</c:v>
                </c:pt>
                <c:pt idx="206">
                  <c:v>40237</c:v>
                </c:pt>
                <c:pt idx="207">
                  <c:v>40268</c:v>
                </c:pt>
                <c:pt idx="208">
                  <c:v>40298</c:v>
                </c:pt>
                <c:pt idx="209">
                  <c:v>40329</c:v>
                </c:pt>
                <c:pt idx="210">
                  <c:v>40359</c:v>
                </c:pt>
                <c:pt idx="211">
                  <c:v>40390</c:v>
                </c:pt>
                <c:pt idx="212">
                  <c:v>40421</c:v>
                </c:pt>
                <c:pt idx="213">
                  <c:v>40451</c:v>
                </c:pt>
                <c:pt idx="214">
                  <c:v>40482</c:v>
                </c:pt>
                <c:pt idx="215">
                  <c:v>40512</c:v>
                </c:pt>
                <c:pt idx="216">
                  <c:v>40543</c:v>
                </c:pt>
                <c:pt idx="217">
                  <c:v>40574</c:v>
                </c:pt>
                <c:pt idx="218">
                  <c:v>40602</c:v>
                </c:pt>
                <c:pt idx="219">
                  <c:v>40633</c:v>
                </c:pt>
                <c:pt idx="220">
                  <c:v>40663</c:v>
                </c:pt>
                <c:pt idx="221">
                  <c:v>40694</c:v>
                </c:pt>
                <c:pt idx="222">
                  <c:v>40724</c:v>
                </c:pt>
                <c:pt idx="223">
                  <c:v>40755</c:v>
                </c:pt>
                <c:pt idx="224">
                  <c:v>40786</c:v>
                </c:pt>
                <c:pt idx="225">
                  <c:v>40816</c:v>
                </c:pt>
                <c:pt idx="226">
                  <c:v>40847</c:v>
                </c:pt>
                <c:pt idx="227">
                  <c:v>40877</c:v>
                </c:pt>
                <c:pt idx="228">
                  <c:v>40908</c:v>
                </c:pt>
                <c:pt idx="229">
                  <c:v>40939</c:v>
                </c:pt>
                <c:pt idx="230">
                  <c:v>40968</c:v>
                </c:pt>
                <c:pt idx="231">
                  <c:v>40999</c:v>
                </c:pt>
                <c:pt idx="232">
                  <c:v>41029</c:v>
                </c:pt>
                <c:pt idx="233">
                  <c:v>41060</c:v>
                </c:pt>
                <c:pt idx="234">
                  <c:v>41090</c:v>
                </c:pt>
                <c:pt idx="235">
                  <c:v>41121</c:v>
                </c:pt>
                <c:pt idx="236">
                  <c:v>41152</c:v>
                </c:pt>
                <c:pt idx="237">
                  <c:v>41182</c:v>
                </c:pt>
                <c:pt idx="238">
                  <c:v>41213</c:v>
                </c:pt>
                <c:pt idx="239">
                  <c:v>41243</c:v>
                </c:pt>
                <c:pt idx="240">
                  <c:v>41274</c:v>
                </c:pt>
                <c:pt idx="241">
                  <c:v>41305</c:v>
                </c:pt>
                <c:pt idx="242">
                  <c:v>41333</c:v>
                </c:pt>
                <c:pt idx="243">
                  <c:v>41364</c:v>
                </c:pt>
                <c:pt idx="244">
                  <c:v>41394</c:v>
                </c:pt>
                <c:pt idx="245">
                  <c:v>41425</c:v>
                </c:pt>
                <c:pt idx="246">
                  <c:v>41455</c:v>
                </c:pt>
                <c:pt idx="247">
                  <c:v>41486</c:v>
                </c:pt>
                <c:pt idx="248">
                  <c:v>41517</c:v>
                </c:pt>
                <c:pt idx="249">
                  <c:v>41547</c:v>
                </c:pt>
                <c:pt idx="250">
                  <c:v>41578</c:v>
                </c:pt>
                <c:pt idx="251">
                  <c:v>41608</c:v>
                </c:pt>
                <c:pt idx="252">
                  <c:v>41639</c:v>
                </c:pt>
                <c:pt idx="253">
                  <c:v>41670</c:v>
                </c:pt>
                <c:pt idx="254">
                  <c:v>41698</c:v>
                </c:pt>
                <c:pt idx="255">
                  <c:v>41729</c:v>
                </c:pt>
                <c:pt idx="256">
                  <c:v>41759</c:v>
                </c:pt>
                <c:pt idx="257">
                  <c:v>41790</c:v>
                </c:pt>
                <c:pt idx="258">
                  <c:v>41820</c:v>
                </c:pt>
                <c:pt idx="259">
                  <c:v>41851</c:v>
                </c:pt>
                <c:pt idx="260">
                  <c:v>41882</c:v>
                </c:pt>
                <c:pt idx="261">
                  <c:v>41912</c:v>
                </c:pt>
                <c:pt idx="262">
                  <c:v>41943</c:v>
                </c:pt>
                <c:pt idx="263">
                  <c:v>41973</c:v>
                </c:pt>
                <c:pt idx="264">
                  <c:v>42004</c:v>
                </c:pt>
                <c:pt idx="265">
                  <c:v>42035</c:v>
                </c:pt>
                <c:pt idx="266">
                  <c:v>42063</c:v>
                </c:pt>
                <c:pt idx="267">
                  <c:v>42094</c:v>
                </c:pt>
                <c:pt idx="268">
                  <c:v>42124</c:v>
                </c:pt>
                <c:pt idx="269">
                  <c:v>42155</c:v>
                </c:pt>
                <c:pt idx="270">
                  <c:v>42185</c:v>
                </c:pt>
                <c:pt idx="271">
                  <c:v>42216</c:v>
                </c:pt>
                <c:pt idx="272">
                  <c:v>42247</c:v>
                </c:pt>
                <c:pt idx="273">
                  <c:v>42277</c:v>
                </c:pt>
                <c:pt idx="274">
                  <c:v>42308</c:v>
                </c:pt>
                <c:pt idx="275">
                  <c:v>42338</c:v>
                </c:pt>
                <c:pt idx="276">
                  <c:v>42369</c:v>
                </c:pt>
                <c:pt idx="277">
                  <c:v>42400</c:v>
                </c:pt>
                <c:pt idx="278">
                  <c:v>42429</c:v>
                </c:pt>
                <c:pt idx="279">
                  <c:v>42460</c:v>
                </c:pt>
                <c:pt idx="280">
                  <c:v>42490</c:v>
                </c:pt>
                <c:pt idx="281">
                  <c:v>42521</c:v>
                </c:pt>
                <c:pt idx="282">
                  <c:v>42551</c:v>
                </c:pt>
                <c:pt idx="283">
                  <c:v>42582</c:v>
                </c:pt>
                <c:pt idx="284">
                  <c:v>42613</c:v>
                </c:pt>
                <c:pt idx="285">
                  <c:v>42643</c:v>
                </c:pt>
                <c:pt idx="286">
                  <c:v>42674</c:v>
                </c:pt>
                <c:pt idx="287">
                  <c:v>42704</c:v>
                </c:pt>
                <c:pt idx="288">
                  <c:v>42735</c:v>
                </c:pt>
                <c:pt idx="289">
                  <c:v>42766</c:v>
                </c:pt>
                <c:pt idx="290">
                  <c:v>42794</c:v>
                </c:pt>
                <c:pt idx="291">
                  <c:v>42825</c:v>
                </c:pt>
                <c:pt idx="292">
                  <c:v>42855</c:v>
                </c:pt>
                <c:pt idx="293">
                  <c:v>42886</c:v>
                </c:pt>
                <c:pt idx="294">
                  <c:v>42916</c:v>
                </c:pt>
                <c:pt idx="295">
                  <c:v>42947</c:v>
                </c:pt>
                <c:pt idx="296">
                  <c:v>42978</c:v>
                </c:pt>
                <c:pt idx="297">
                  <c:v>43008</c:v>
                </c:pt>
                <c:pt idx="298">
                  <c:v>43039</c:v>
                </c:pt>
                <c:pt idx="299">
                  <c:v>43069</c:v>
                </c:pt>
                <c:pt idx="300">
                  <c:v>43100</c:v>
                </c:pt>
                <c:pt idx="301">
                  <c:v>43131</c:v>
                </c:pt>
                <c:pt idx="302">
                  <c:v>43159</c:v>
                </c:pt>
                <c:pt idx="303">
                  <c:v>43190</c:v>
                </c:pt>
                <c:pt idx="304">
                  <c:v>43220</c:v>
                </c:pt>
                <c:pt idx="305">
                  <c:v>43251</c:v>
                </c:pt>
                <c:pt idx="306">
                  <c:v>43281</c:v>
                </c:pt>
                <c:pt idx="307">
                  <c:v>43312</c:v>
                </c:pt>
                <c:pt idx="308">
                  <c:v>43343</c:v>
                </c:pt>
                <c:pt idx="309">
                  <c:v>43373</c:v>
                </c:pt>
                <c:pt idx="310">
                  <c:v>43404</c:v>
                </c:pt>
                <c:pt idx="311">
                  <c:v>43434</c:v>
                </c:pt>
                <c:pt idx="312">
                  <c:v>43465</c:v>
                </c:pt>
                <c:pt idx="313">
                  <c:v>43496</c:v>
                </c:pt>
                <c:pt idx="314">
                  <c:v>43524</c:v>
                </c:pt>
                <c:pt idx="315">
                  <c:v>43555</c:v>
                </c:pt>
                <c:pt idx="316">
                  <c:v>43585</c:v>
                </c:pt>
                <c:pt idx="317">
                  <c:v>43616</c:v>
                </c:pt>
                <c:pt idx="318">
                  <c:v>43646</c:v>
                </c:pt>
                <c:pt idx="319">
                  <c:v>43677</c:v>
                </c:pt>
                <c:pt idx="320">
                  <c:v>43708</c:v>
                </c:pt>
                <c:pt idx="321">
                  <c:v>43738</c:v>
                </c:pt>
                <c:pt idx="322">
                  <c:v>43769</c:v>
                </c:pt>
                <c:pt idx="323">
                  <c:v>43799</c:v>
                </c:pt>
                <c:pt idx="324">
                  <c:v>43830</c:v>
                </c:pt>
                <c:pt idx="325">
                  <c:v>43861</c:v>
                </c:pt>
                <c:pt idx="326">
                  <c:v>43890</c:v>
                </c:pt>
                <c:pt idx="327">
                  <c:v>43921</c:v>
                </c:pt>
                <c:pt idx="328">
                  <c:v>43951</c:v>
                </c:pt>
                <c:pt idx="329">
                  <c:v>43982</c:v>
                </c:pt>
                <c:pt idx="330">
                  <c:v>44012</c:v>
                </c:pt>
                <c:pt idx="331">
                  <c:v>44043</c:v>
                </c:pt>
                <c:pt idx="332">
                  <c:v>44074</c:v>
                </c:pt>
                <c:pt idx="333">
                  <c:v>44104</c:v>
                </c:pt>
                <c:pt idx="334">
                  <c:v>44135</c:v>
                </c:pt>
                <c:pt idx="335">
                  <c:v>44165</c:v>
                </c:pt>
                <c:pt idx="336">
                  <c:v>44196</c:v>
                </c:pt>
                <c:pt idx="337">
                  <c:v>44227</c:v>
                </c:pt>
                <c:pt idx="338">
                  <c:v>44255</c:v>
                </c:pt>
                <c:pt idx="339">
                  <c:v>44286</c:v>
                </c:pt>
                <c:pt idx="340">
                  <c:v>44316</c:v>
                </c:pt>
                <c:pt idx="341">
                  <c:v>44347</c:v>
                </c:pt>
                <c:pt idx="342">
                  <c:v>44377</c:v>
                </c:pt>
                <c:pt idx="343">
                  <c:v>44408</c:v>
                </c:pt>
                <c:pt idx="344">
                  <c:v>44439</c:v>
                </c:pt>
                <c:pt idx="345">
                  <c:v>44469</c:v>
                </c:pt>
                <c:pt idx="346">
                  <c:v>44500</c:v>
                </c:pt>
                <c:pt idx="347">
                  <c:v>44530</c:v>
                </c:pt>
                <c:pt idx="348">
                  <c:v>44561</c:v>
                </c:pt>
                <c:pt idx="349">
                  <c:v>44592</c:v>
                </c:pt>
                <c:pt idx="350">
                  <c:v>44620</c:v>
                </c:pt>
                <c:pt idx="351">
                  <c:v>44651</c:v>
                </c:pt>
                <c:pt idx="352">
                  <c:v>44681</c:v>
                </c:pt>
                <c:pt idx="353">
                  <c:v>44712</c:v>
                </c:pt>
                <c:pt idx="354">
                  <c:v>44742</c:v>
                </c:pt>
                <c:pt idx="355">
                  <c:v>44773</c:v>
                </c:pt>
                <c:pt idx="356">
                  <c:v>44804</c:v>
                </c:pt>
                <c:pt idx="357">
                  <c:v>44834</c:v>
                </c:pt>
                <c:pt idx="358">
                  <c:v>44865</c:v>
                </c:pt>
                <c:pt idx="359">
                  <c:v>44895</c:v>
                </c:pt>
                <c:pt idx="360">
                  <c:v>44926</c:v>
                </c:pt>
                <c:pt idx="361">
                  <c:v>44957</c:v>
                </c:pt>
              </c:numCache>
            </c:numRef>
          </c:cat>
          <c:val>
            <c:numRef>
              <c:f>'Construction Spending'!$C$12:$C$373</c:f>
              <c:numCache>
                <c:formatCode>0</c:formatCode>
                <c:ptCount val="362"/>
                <c:pt idx="0">
                  <c:v>458080</c:v>
                </c:pt>
                <c:pt idx="1">
                  <c:v>462967</c:v>
                </c:pt>
                <c:pt idx="2">
                  <c:v>458399</c:v>
                </c:pt>
                <c:pt idx="3">
                  <c:v>469425</c:v>
                </c:pt>
                <c:pt idx="4">
                  <c:v>468998</c:v>
                </c:pt>
                <c:pt idx="5">
                  <c:v>480247</c:v>
                </c:pt>
                <c:pt idx="6">
                  <c:v>483571</c:v>
                </c:pt>
                <c:pt idx="7">
                  <c:v>491494</c:v>
                </c:pt>
                <c:pt idx="8">
                  <c:v>497297</c:v>
                </c:pt>
                <c:pt idx="9">
                  <c:v>492823</c:v>
                </c:pt>
                <c:pt idx="10">
                  <c:v>515934</c:v>
                </c:pt>
                <c:pt idx="11">
                  <c:v>533150</c:v>
                </c:pt>
                <c:pt idx="12">
                  <c:v>513314</c:v>
                </c:pt>
                <c:pt idx="13">
                  <c:v>513196</c:v>
                </c:pt>
                <c:pt idx="14">
                  <c:v>521040</c:v>
                </c:pt>
                <c:pt idx="15">
                  <c:v>528063</c:v>
                </c:pt>
                <c:pt idx="16">
                  <c:v>532328</c:v>
                </c:pt>
                <c:pt idx="17">
                  <c:v>536198</c:v>
                </c:pt>
                <c:pt idx="18">
                  <c:v>537232</c:v>
                </c:pt>
                <c:pt idx="19">
                  <c:v>537960</c:v>
                </c:pt>
                <c:pt idx="20">
                  <c:v>538215</c:v>
                </c:pt>
                <c:pt idx="21">
                  <c:v>533273</c:v>
                </c:pt>
                <c:pt idx="22">
                  <c:v>539150</c:v>
                </c:pt>
                <c:pt idx="23">
                  <c:v>541794</c:v>
                </c:pt>
                <c:pt idx="24">
                  <c:v>543930</c:v>
                </c:pt>
                <c:pt idx="25">
                  <c:v>537826</c:v>
                </c:pt>
                <c:pt idx="26">
                  <c:v>542715</c:v>
                </c:pt>
                <c:pt idx="27">
                  <c:v>543096</c:v>
                </c:pt>
                <c:pt idx="28">
                  <c:v>542566</c:v>
                </c:pt>
                <c:pt idx="29">
                  <c:v>546131</c:v>
                </c:pt>
                <c:pt idx="30">
                  <c:v>547342</c:v>
                </c:pt>
                <c:pt idx="31">
                  <c:v>550996</c:v>
                </c:pt>
                <c:pt idx="32">
                  <c:v>554011</c:v>
                </c:pt>
                <c:pt idx="33">
                  <c:v>555132</c:v>
                </c:pt>
                <c:pt idx="34">
                  <c:v>557445</c:v>
                </c:pt>
                <c:pt idx="35">
                  <c:v>557953</c:v>
                </c:pt>
                <c:pt idx="36">
                  <c:v>575138</c:v>
                </c:pt>
                <c:pt idx="37">
                  <c:v>568052</c:v>
                </c:pt>
                <c:pt idx="38">
                  <c:v>574538</c:v>
                </c:pt>
                <c:pt idx="39">
                  <c:v>590464</c:v>
                </c:pt>
                <c:pt idx="40">
                  <c:v>600186</c:v>
                </c:pt>
                <c:pt idx="41">
                  <c:v>602150</c:v>
                </c:pt>
                <c:pt idx="42">
                  <c:v>599899</c:v>
                </c:pt>
                <c:pt idx="43">
                  <c:v>603959</c:v>
                </c:pt>
                <c:pt idx="44">
                  <c:v>615466</c:v>
                </c:pt>
                <c:pt idx="45">
                  <c:v>621761</c:v>
                </c:pt>
                <c:pt idx="46">
                  <c:v>620812</c:v>
                </c:pt>
                <c:pt idx="47">
                  <c:v>606078</c:v>
                </c:pt>
                <c:pt idx="48">
                  <c:v>608608</c:v>
                </c:pt>
                <c:pt idx="49">
                  <c:v>615415</c:v>
                </c:pt>
                <c:pt idx="50">
                  <c:v>620467</c:v>
                </c:pt>
                <c:pt idx="51">
                  <c:v>616175</c:v>
                </c:pt>
                <c:pt idx="52">
                  <c:v>624743</c:v>
                </c:pt>
                <c:pt idx="53">
                  <c:v>626396</c:v>
                </c:pt>
                <c:pt idx="54">
                  <c:v>637410</c:v>
                </c:pt>
                <c:pt idx="55">
                  <c:v>639593</c:v>
                </c:pt>
                <c:pt idx="56">
                  <c:v>646526</c:v>
                </c:pt>
                <c:pt idx="57">
                  <c:v>653196</c:v>
                </c:pt>
                <c:pt idx="58">
                  <c:v>643710</c:v>
                </c:pt>
                <c:pt idx="59">
                  <c:v>642021</c:v>
                </c:pt>
                <c:pt idx="60">
                  <c:v>645686</c:v>
                </c:pt>
                <c:pt idx="61">
                  <c:v>648121</c:v>
                </c:pt>
                <c:pt idx="62">
                  <c:v>666906</c:v>
                </c:pt>
                <c:pt idx="63">
                  <c:v>674351</c:v>
                </c:pt>
                <c:pt idx="64">
                  <c:v>674325</c:v>
                </c:pt>
                <c:pt idx="65">
                  <c:v>703177</c:v>
                </c:pt>
                <c:pt idx="66">
                  <c:v>696540</c:v>
                </c:pt>
                <c:pt idx="67">
                  <c:v>698156</c:v>
                </c:pt>
                <c:pt idx="68">
                  <c:v>707561</c:v>
                </c:pt>
                <c:pt idx="69">
                  <c:v>707943</c:v>
                </c:pt>
                <c:pt idx="70">
                  <c:v>707845</c:v>
                </c:pt>
                <c:pt idx="71">
                  <c:v>706989</c:v>
                </c:pt>
                <c:pt idx="72">
                  <c:v>708818</c:v>
                </c:pt>
                <c:pt idx="73">
                  <c:v>726308</c:v>
                </c:pt>
                <c:pt idx="74">
                  <c:v>737226</c:v>
                </c:pt>
                <c:pt idx="75">
                  <c:v>728788</c:v>
                </c:pt>
                <c:pt idx="76">
                  <c:v>727358</c:v>
                </c:pt>
                <c:pt idx="77">
                  <c:v>739167</c:v>
                </c:pt>
                <c:pt idx="78">
                  <c:v>745815</c:v>
                </c:pt>
                <c:pt idx="79">
                  <c:v>741524</c:v>
                </c:pt>
                <c:pt idx="80">
                  <c:v>751402</c:v>
                </c:pt>
                <c:pt idx="81">
                  <c:v>759906</c:v>
                </c:pt>
                <c:pt idx="82">
                  <c:v>781199</c:v>
                </c:pt>
                <c:pt idx="83">
                  <c:v>789431</c:v>
                </c:pt>
                <c:pt idx="84">
                  <c:v>784940</c:v>
                </c:pt>
                <c:pt idx="85">
                  <c:v>793737</c:v>
                </c:pt>
                <c:pt idx="86">
                  <c:v>809459</c:v>
                </c:pt>
                <c:pt idx="87">
                  <c:v>804766</c:v>
                </c:pt>
                <c:pt idx="88">
                  <c:v>805005</c:v>
                </c:pt>
                <c:pt idx="89">
                  <c:v>795411</c:v>
                </c:pt>
                <c:pt idx="90">
                  <c:v>783795</c:v>
                </c:pt>
                <c:pt idx="91">
                  <c:v>805341</c:v>
                </c:pt>
                <c:pt idx="92">
                  <c:v>814330</c:v>
                </c:pt>
                <c:pt idx="93">
                  <c:v>816100</c:v>
                </c:pt>
                <c:pt idx="94">
                  <c:v>820054</c:v>
                </c:pt>
                <c:pt idx="95">
                  <c:v>811516</c:v>
                </c:pt>
                <c:pt idx="96">
                  <c:v>814479</c:v>
                </c:pt>
                <c:pt idx="97">
                  <c:v>813647</c:v>
                </c:pt>
                <c:pt idx="98">
                  <c:v>828057</c:v>
                </c:pt>
                <c:pt idx="99">
                  <c:v>842392</c:v>
                </c:pt>
                <c:pt idx="100">
                  <c:v>848146</c:v>
                </c:pt>
                <c:pt idx="101">
                  <c:v>855730</c:v>
                </c:pt>
                <c:pt idx="102">
                  <c:v>850471</c:v>
                </c:pt>
                <c:pt idx="103">
                  <c:v>847465</c:v>
                </c:pt>
                <c:pt idx="104">
                  <c:v>837412</c:v>
                </c:pt>
                <c:pt idx="105">
                  <c:v>845941</c:v>
                </c:pt>
                <c:pt idx="106">
                  <c:v>843911</c:v>
                </c:pt>
                <c:pt idx="107">
                  <c:v>849689</c:v>
                </c:pt>
                <c:pt idx="108">
                  <c:v>858654</c:v>
                </c:pt>
                <c:pt idx="109">
                  <c:v>862338</c:v>
                </c:pt>
                <c:pt idx="110">
                  <c:v>844551</c:v>
                </c:pt>
                <c:pt idx="111">
                  <c:v>858240</c:v>
                </c:pt>
                <c:pt idx="112">
                  <c:v>850935</c:v>
                </c:pt>
                <c:pt idx="113">
                  <c:v>846777</c:v>
                </c:pt>
                <c:pt idx="114">
                  <c:v>847129</c:v>
                </c:pt>
                <c:pt idx="115">
                  <c:v>839008</c:v>
                </c:pt>
                <c:pt idx="116">
                  <c:v>832134</c:v>
                </c:pt>
                <c:pt idx="117">
                  <c:v>839690</c:v>
                </c:pt>
                <c:pt idx="118">
                  <c:v>844697</c:v>
                </c:pt>
                <c:pt idx="119">
                  <c:v>855921</c:v>
                </c:pt>
                <c:pt idx="120">
                  <c:v>863855</c:v>
                </c:pt>
                <c:pt idx="121">
                  <c:v>859225</c:v>
                </c:pt>
                <c:pt idx="122">
                  <c:v>851132</c:v>
                </c:pt>
                <c:pt idx="123">
                  <c:v>859459</c:v>
                </c:pt>
                <c:pt idx="124">
                  <c:v>866814</c:v>
                </c:pt>
                <c:pt idx="125">
                  <c:v>880865</c:v>
                </c:pt>
                <c:pt idx="126">
                  <c:v>891264</c:v>
                </c:pt>
                <c:pt idx="127">
                  <c:v>901839</c:v>
                </c:pt>
                <c:pt idx="128">
                  <c:v>911589</c:v>
                </c:pt>
                <c:pt idx="129">
                  <c:v>925732</c:v>
                </c:pt>
                <c:pt idx="130">
                  <c:v>925985</c:v>
                </c:pt>
                <c:pt idx="131">
                  <c:v>948491</c:v>
                </c:pt>
                <c:pt idx="132">
                  <c:v>938525</c:v>
                </c:pt>
                <c:pt idx="133">
                  <c:v>937813</c:v>
                </c:pt>
                <c:pt idx="134">
                  <c:v>961159</c:v>
                </c:pt>
                <c:pt idx="135">
                  <c:v>967602</c:v>
                </c:pt>
                <c:pt idx="136">
                  <c:v>974381</c:v>
                </c:pt>
                <c:pt idx="137">
                  <c:v>983087</c:v>
                </c:pt>
                <c:pt idx="138">
                  <c:v>1006184</c:v>
                </c:pt>
                <c:pt idx="139">
                  <c:v>1013616</c:v>
                </c:pt>
                <c:pt idx="140">
                  <c:v>1012080</c:v>
                </c:pt>
                <c:pt idx="141">
                  <c:v>1015719</c:v>
                </c:pt>
                <c:pt idx="142">
                  <c:v>1022994</c:v>
                </c:pt>
                <c:pt idx="143">
                  <c:v>1037480</c:v>
                </c:pt>
                <c:pt idx="144">
                  <c:v>1046082</c:v>
                </c:pt>
                <c:pt idx="145">
                  <c:v>1066848</c:v>
                </c:pt>
                <c:pt idx="146">
                  <c:v>1071745</c:v>
                </c:pt>
                <c:pt idx="147">
                  <c:v>1081012</c:v>
                </c:pt>
                <c:pt idx="148">
                  <c:v>1093341</c:v>
                </c:pt>
                <c:pt idx="149">
                  <c:v>1105896</c:v>
                </c:pt>
                <c:pt idx="150">
                  <c:v>1119101</c:v>
                </c:pt>
                <c:pt idx="151">
                  <c:v>1129163</c:v>
                </c:pt>
                <c:pt idx="152">
                  <c:v>1148438</c:v>
                </c:pt>
                <c:pt idx="153">
                  <c:v>1160831</c:v>
                </c:pt>
                <c:pt idx="154">
                  <c:v>1172090</c:v>
                </c:pt>
                <c:pt idx="155">
                  <c:v>1184677</c:v>
                </c:pt>
                <c:pt idx="156">
                  <c:v>1195642</c:v>
                </c:pt>
                <c:pt idx="157">
                  <c:v>1205639</c:v>
                </c:pt>
                <c:pt idx="158">
                  <c:v>1205169</c:v>
                </c:pt>
                <c:pt idx="159">
                  <c:v>1193296</c:v>
                </c:pt>
                <c:pt idx="160">
                  <c:v>1180581</c:v>
                </c:pt>
                <c:pt idx="161">
                  <c:v>1172128</c:v>
                </c:pt>
                <c:pt idx="162">
                  <c:v>1157926</c:v>
                </c:pt>
                <c:pt idx="163">
                  <c:v>1145907</c:v>
                </c:pt>
                <c:pt idx="164">
                  <c:v>1135753</c:v>
                </c:pt>
                <c:pt idx="165">
                  <c:v>1122914</c:v>
                </c:pt>
                <c:pt idx="166">
                  <c:v>1121749</c:v>
                </c:pt>
                <c:pt idx="167">
                  <c:v>1135406</c:v>
                </c:pt>
                <c:pt idx="168">
                  <c:v>1137917</c:v>
                </c:pt>
                <c:pt idx="169">
                  <c:v>1139032</c:v>
                </c:pt>
                <c:pt idx="170">
                  <c:v>1146624</c:v>
                </c:pt>
                <c:pt idx="171">
                  <c:v>1150590</c:v>
                </c:pt>
                <c:pt idx="172">
                  <c:v>1161581</c:v>
                </c:pt>
                <c:pt idx="173">
                  <c:v>1163511</c:v>
                </c:pt>
                <c:pt idx="174">
                  <c:v>1155448</c:v>
                </c:pt>
                <c:pt idx="175">
                  <c:v>1159077</c:v>
                </c:pt>
                <c:pt idx="176">
                  <c:v>1158580</c:v>
                </c:pt>
                <c:pt idx="177">
                  <c:v>1152491</c:v>
                </c:pt>
                <c:pt idx="178">
                  <c:v>1132908</c:v>
                </c:pt>
                <c:pt idx="179">
                  <c:v>1115141</c:v>
                </c:pt>
                <c:pt idx="180">
                  <c:v>1111347</c:v>
                </c:pt>
                <c:pt idx="181">
                  <c:v>1096648</c:v>
                </c:pt>
                <c:pt idx="182">
                  <c:v>1103446</c:v>
                </c:pt>
                <c:pt idx="183">
                  <c:v>1101252</c:v>
                </c:pt>
                <c:pt idx="184">
                  <c:v>1101547</c:v>
                </c:pt>
                <c:pt idx="185">
                  <c:v>1090098</c:v>
                </c:pt>
                <c:pt idx="186">
                  <c:v>1086952</c:v>
                </c:pt>
                <c:pt idx="187">
                  <c:v>1070075</c:v>
                </c:pt>
                <c:pt idx="188">
                  <c:v>1059579</c:v>
                </c:pt>
                <c:pt idx="189">
                  <c:v>1055959</c:v>
                </c:pt>
                <c:pt idx="190">
                  <c:v>1035033</c:v>
                </c:pt>
                <c:pt idx="191">
                  <c:v>999139</c:v>
                </c:pt>
                <c:pt idx="192">
                  <c:v>975099</c:v>
                </c:pt>
                <c:pt idx="193">
                  <c:v>971708</c:v>
                </c:pt>
                <c:pt idx="194">
                  <c:v>963793</c:v>
                </c:pt>
                <c:pt idx="195">
                  <c:v>932482</c:v>
                </c:pt>
                <c:pt idx="196">
                  <c:v>920020</c:v>
                </c:pt>
                <c:pt idx="197">
                  <c:v>912530</c:v>
                </c:pt>
                <c:pt idx="198">
                  <c:v>911438</c:v>
                </c:pt>
                <c:pt idx="199">
                  <c:v>900112</c:v>
                </c:pt>
                <c:pt idx="200">
                  <c:v>887241</c:v>
                </c:pt>
                <c:pt idx="201">
                  <c:v>871391</c:v>
                </c:pt>
                <c:pt idx="202">
                  <c:v>858493</c:v>
                </c:pt>
                <c:pt idx="203">
                  <c:v>842609</c:v>
                </c:pt>
                <c:pt idx="204">
                  <c:v>822114</c:v>
                </c:pt>
                <c:pt idx="205">
                  <c:v>814885</c:v>
                </c:pt>
                <c:pt idx="206">
                  <c:v>821849</c:v>
                </c:pt>
                <c:pt idx="207">
                  <c:v>829664</c:v>
                </c:pt>
                <c:pt idx="208">
                  <c:v>823447</c:v>
                </c:pt>
                <c:pt idx="209">
                  <c:v>821943</c:v>
                </c:pt>
                <c:pt idx="210">
                  <c:v>799694</c:v>
                </c:pt>
                <c:pt idx="211">
                  <c:v>802030</c:v>
                </c:pt>
                <c:pt idx="212">
                  <c:v>807728</c:v>
                </c:pt>
                <c:pt idx="213">
                  <c:v>801372</c:v>
                </c:pt>
                <c:pt idx="214">
                  <c:v>804151</c:v>
                </c:pt>
                <c:pt idx="215">
                  <c:v>789395</c:v>
                </c:pt>
                <c:pt idx="216">
                  <c:v>759964</c:v>
                </c:pt>
                <c:pt idx="217">
                  <c:v>758376</c:v>
                </c:pt>
                <c:pt idx="218">
                  <c:v>769157</c:v>
                </c:pt>
                <c:pt idx="219">
                  <c:v>769437</c:v>
                </c:pt>
                <c:pt idx="220">
                  <c:v>775251</c:v>
                </c:pt>
                <c:pt idx="221">
                  <c:v>794839</c:v>
                </c:pt>
                <c:pt idx="222">
                  <c:v>792381</c:v>
                </c:pt>
                <c:pt idx="223">
                  <c:v>811953</c:v>
                </c:pt>
                <c:pt idx="224">
                  <c:v>813660</c:v>
                </c:pt>
                <c:pt idx="225">
                  <c:v>808378</c:v>
                </c:pt>
                <c:pt idx="226">
                  <c:v>812050</c:v>
                </c:pt>
                <c:pt idx="227">
                  <c:v>821367</c:v>
                </c:pt>
                <c:pt idx="228">
                  <c:v>830610</c:v>
                </c:pt>
                <c:pt idx="229">
                  <c:v>824368</c:v>
                </c:pt>
                <c:pt idx="230">
                  <c:v>829288</c:v>
                </c:pt>
                <c:pt idx="231">
                  <c:v>841740</c:v>
                </c:pt>
                <c:pt idx="232">
                  <c:v>850928</c:v>
                </c:pt>
                <c:pt idx="233">
                  <c:v>858009</c:v>
                </c:pt>
                <c:pt idx="234">
                  <c:v>858934</c:v>
                </c:pt>
                <c:pt idx="235">
                  <c:v>862726</c:v>
                </c:pt>
                <c:pt idx="236">
                  <c:v>866588</c:v>
                </c:pt>
                <c:pt idx="237">
                  <c:v>875366</c:v>
                </c:pt>
                <c:pt idx="238">
                  <c:v>872052</c:v>
                </c:pt>
                <c:pt idx="239">
                  <c:v>871809</c:v>
                </c:pt>
                <c:pt idx="240">
                  <c:v>862722</c:v>
                </c:pt>
                <c:pt idx="241">
                  <c:v>873583</c:v>
                </c:pt>
                <c:pt idx="242">
                  <c:v>864510</c:v>
                </c:pt>
                <c:pt idx="243">
                  <c:v>879728</c:v>
                </c:pt>
                <c:pt idx="244">
                  <c:v>888752</c:v>
                </c:pt>
                <c:pt idx="245">
                  <c:v>899295</c:v>
                </c:pt>
                <c:pt idx="246">
                  <c:v>917756</c:v>
                </c:pt>
                <c:pt idx="247">
                  <c:v>929061</c:v>
                </c:pt>
                <c:pt idx="248">
                  <c:v>938121</c:v>
                </c:pt>
                <c:pt idx="249">
                  <c:v>951214</c:v>
                </c:pt>
                <c:pt idx="250">
                  <c:v>964122</c:v>
                </c:pt>
                <c:pt idx="251">
                  <c:v>979211</c:v>
                </c:pt>
                <c:pt idx="252">
                  <c:v>986587</c:v>
                </c:pt>
                <c:pt idx="253">
                  <c:v>987538</c:v>
                </c:pt>
                <c:pt idx="254">
                  <c:v>991157</c:v>
                </c:pt>
                <c:pt idx="255">
                  <c:v>1006901</c:v>
                </c:pt>
                <c:pt idx="256">
                  <c:v>1007147</c:v>
                </c:pt>
                <c:pt idx="257">
                  <c:v>1006424</c:v>
                </c:pt>
                <c:pt idx="258">
                  <c:v>1014935</c:v>
                </c:pt>
                <c:pt idx="259">
                  <c:v>1015096</c:v>
                </c:pt>
                <c:pt idx="260">
                  <c:v>1021890</c:v>
                </c:pt>
                <c:pt idx="261">
                  <c:v>1046402</c:v>
                </c:pt>
                <c:pt idx="262">
                  <c:v>1044893</c:v>
                </c:pt>
                <c:pt idx="263">
                  <c:v>1056429</c:v>
                </c:pt>
                <c:pt idx="264">
                  <c:v>1066763</c:v>
                </c:pt>
                <c:pt idx="265">
                  <c:v>1078296</c:v>
                </c:pt>
                <c:pt idx="266">
                  <c:v>1092703</c:v>
                </c:pt>
                <c:pt idx="267">
                  <c:v>1121895</c:v>
                </c:pt>
                <c:pt idx="268">
                  <c:v>1143089</c:v>
                </c:pt>
                <c:pt idx="269">
                  <c:v>1166153</c:v>
                </c:pt>
                <c:pt idx="270">
                  <c:v>1162184</c:v>
                </c:pt>
                <c:pt idx="271">
                  <c:v>1171979</c:v>
                </c:pt>
                <c:pt idx="272">
                  <c:v>1174097</c:v>
                </c:pt>
                <c:pt idx="273">
                  <c:v>1161174</c:v>
                </c:pt>
                <c:pt idx="274">
                  <c:v>1156692</c:v>
                </c:pt>
                <c:pt idx="275">
                  <c:v>1167856</c:v>
                </c:pt>
                <c:pt idx="276">
                  <c:v>1171352</c:v>
                </c:pt>
                <c:pt idx="277">
                  <c:v>1181683</c:v>
                </c:pt>
                <c:pt idx="278">
                  <c:v>1200627</c:v>
                </c:pt>
                <c:pt idx="279">
                  <c:v>1198571</c:v>
                </c:pt>
                <c:pt idx="280">
                  <c:v>1203495</c:v>
                </c:pt>
                <c:pt idx="281">
                  <c:v>1226695</c:v>
                </c:pt>
                <c:pt idx="282">
                  <c:v>1225886</c:v>
                </c:pt>
                <c:pt idx="283">
                  <c:v>1231616</c:v>
                </c:pt>
                <c:pt idx="284">
                  <c:v>1240908</c:v>
                </c:pt>
                <c:pt idx="285">
                  <c:v>1250370</c:v>
                </c:pt>
                <c:pt idx="286">
                  <c:v>1275898</c:v>
                </c:pt>
                <c:pt idx="287">
                  <c:v>1280619</c:v>
                </c:pt>
                <c:pt idx="288">
                  <c:v>1253266</c:v>
                </c:pt>
                <c:pt idx="289">
                  <c:v>1276334</c:v>
                </c:pt>
                <c:pt idx="290">
                  <c:v>1271940</c:v>
                </c:pt>
                <c:pt idx="291">
                  <c:v>1271219</c:v>
                </c:pt>
                <c:pt idx="292">
                  <c:v>1285109</c:v>
                </c:pt>
                <c:pt idx="293">
                  <c:v>1277748</c:v>
                </c:pt>
                <c:pt idx="294">
                  <c:v>1277071</c:v>
                </c:pt>
                <c:pt idx="295">
                  <c:v>1274859</c:v>
                </c:pt>
                <c:pt idx="296">
                  <c:v>1281382</c:v>
                </c:pt>
                <c:pt idx="297">
                  <c:v>1282298</c:v>
                </c:pt>
                <c:pt idx="298">
                  <c:v>1305629</c:v>
                </c:pt>
                <c:pt idx="299">
                  <c:v>1313472</c:v>
                </c:pt>
                <c:pt idx="300">
                  <c:v>1335174</c:v>
                </c:pt>
                <c:pt idx="301">
                  <c:v>1355642</c:v>
                </c:pt>
                <c:pt idx="302">
                  <c:v>1345261</c:v>
                </c:pt>
                <c:pt idx="303">
                  <c:v>1356953</c:v>
                </c:pt>
                <c:pt idx="304">
                  <c:v>1364892</c:v>
                </c:pt>
                <c:pt idx="305">
                  <c:v>1346265</c:v>
                </c:pt>
                <c:pt idx="306">
                  <c:v>1338377</c:v>
                </c:pt>
                <c:pt idx="307">
                  <c:v>1339536</c:v>
                </c:pt>
                <c:pt idx="308">
                  <c:v>1325585</c:v>
                </c:pt>
                <c:pt idx="309">
                  <c:v>1308508</c:v>
                </c:pt>
                <c:pt idx="310">
                  <c:v>1296961</c:v>
                </c:pt>
                <c:pt idx="311">
                  <c:v>1287899</c:v>
                </c:pt>
                <c:pt idx="312">
                  <c:v>1294398</c:v>
                </c:pt>
                <c:pt idx="313">
                  <c:v>1312418</c:v>
                </c:pt>
                <c:pt idx="314">
                  <c:v>1323764</c:v>
                </c:pt>
                <c:pt idx="315">
                  <c:v>1358075</c:v>
                </c:pt>
                <c:pt idx="316">
                  <c:v>1367893</c:v>
                </c:pt>
                <c:pt idx="317">
                  <c:v>1386880</c:v>
                </c:pt>
                <c:pt idx="318">
                  <c:v>1412995</c:v>
                </c:pt>
                <c:pt idx="319">
                  <c:v>1424952</c:v>
                </c:pt>
                <c:pt idx="320">
                  <c:v>1434950</c:v>
                </c:pt>
                <c:pt idx="321">
                  <c:v>1436789</c:v>
                </c:pt>
                <c:pt idx="322">
                  <c:v>1459790</c:v>
                </c:pt>
                <c:pt idx="323">
                  <c:v>1463531</c:v>
                </c:pt>
                <c:pt idx="324">
                  <c:v>1489988</c:v>
                </c:pt>
                <c:pt idx="325">
                  <c:v>1501841</c:v>
                </c:pt>
                <c:pt idx="326">
                  <c:v>1508887</c:v>
                </c:pt>
                <c:pt idx="327">
                  <c:v>1466175</c:v>
                </c:pt>
                <c:pt idx="328">
                  <c:v>1461910</c:v>
                </c:pt>
                <c:pt idx="329">
                  <c:v>1463182</c:v>
                </c:pt>
                <c:pt idx="330">
                  <c:v>1474982</c:v>
                </c:pt>
                <c:pt idx="331">
                  <c:v>1486856</c:v>
                </c:pt>
                <c:pt idx="332">
                  <c:v>1505074</c:v>
                </c:pt>
                <c:pt idx="333">
                  <c:v>1525872</c:v>
                </c:pt>
                <c:pt idx="334">
                  <c:v>1542987</c:v>
                </c:pt>
                <c:pt idx="335">
                  <c:v>1566367</c:v>
                </c:pt>
                <c:pt idx="336">
                  <c:v>1583380</c:v>
                </c:pt>
                <c:pt idx="337">
                  <c:v>1569822</c:v>
                </c:pt>
                <c:pt idx="338">
                  <c:v>1600520</c:v>
                </c:pt>
                <c:pt idx="339">
                  <c:v>1608488</c:v>
                </c:pt>
                <c:pt idx="340">
                  <c:v>1621942</c:v>
                </c:pt>
                <c:pt idx="341">
                  <c:v>1627985</c:v>
                </c:pt>
                <c:pt idx="342">
                  <c:v>1637329</c:v>
                </c:pt>
                <c:pt idx="343">
                  <c:v>1641600</c:v>
                </c:pt>
                <c:pt idx="344">
                  <c:v>1632860</c:v>
                </c:pt>
                <c:pt idx="345">
                  <c:v>1644332</c:v>
                </c:pt>
                <c:pt idx="346">
                  <c:v>1665191</c:v>
                </c:pt>
                <c:pt idx="347">
                  <c:v>1681044</c:v>
                </c:pt>
                <c:pt idx="348">
                  <c:v>1726585</c:v>
                </c:pt>
                <c:pt idx="349">
                  <c:v>1753123</c:v>
                </c:pt>
                <c:pt idx="350">
                  <c:v>1768168</c:v>
                </c:pt>
                <c:pt idx="351">
                  <c:v>1780890</c:v>
                </c:pt>
                <c:pt idx="352">
                  <c:v>1793778</c:v>
                </c:pt>
                <c:pt idx="353">
                  <c:v>1803791</c:v>
                </c:pt>
                <c:pt idx="354">
                  <c:v>1817862</c:v>
                </c:pt>
                <c:pt idx="355">
                  <c:v>1797771</c:v>
                </c:pt>
                <c:pt idx="356">
                  <c:v>1807497</c:v>
                </c:pt>
                <c:pt idx="357">
                  <c:v>1808343</c:v>
                </c:pt>
                <c:pt idx="358">
                  <c:v>1840294</c:v>
                </c:pt>
                <c:pt idx="359">
                  <c:v>1838507</c:v>
                </c:pt>
                <c:pt idx="360">
                  <c:v>1845407</c:v>
                </c:pt>
                <c:pt idx="361">
                  <c:v>1844105</c:v>
                </c:pt>
              </c:numCache>
            </c:numRef>
          </c:val>
          <c:smooth val="0"/>
          <c:extLst>
            <c:ext xmlns:c16="http://schemas.microsoft.com/office/drawing/2014/chart" uri="{C3380CC4-5D6E-409C-BE32-E72D297353CC}">
              <c16:uniqueId val="{00000000-C720-4981-A858-BED412603287}"/>
            </c:ext>
          </c:extLst>
        </c:ser>
        <c:dLbls>
          <c:showLegendKey val="0"/>
          <c:showVal val="0"/>
          <c:showCatName val="0"/>
          <c:showSerName val="0"/>
          <c:showPercent val="0"/>
          <c:showBubbleSize val="0"/>
        </c:dLbls>
        <c:smooth val="0"/>
        <c:axId val="1390074096"/>
        <c:axId val="1390087056"/>
      </c:lineChart>
      <c:dateAx>
        <c:axId val="1390074096"/>
        <c:scaling>
          <c:orientation val="minMax"/>
        </c:scaling>
        <c:delete val="0"/>
        <c:axPos val="b"/>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087056"/>
        <c:crosses val="autoZero"/>
        <c:auto val="1"/>
        <c:lblOffset val="100"/>
        <c:baseTimeUnit val="months"/>
      </c:dateAx>
      <c:valAx>
        <c:axId val="139008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07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Peers'!$E$11</c:f>
          <c:strCache>
            <c:ptCount val="1"/>
            <c:pt idx="0">
              <c:v>3M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4549449529006584"/>
        </c:manualLayout>
      </c:layout>
      <c:lineChart>
        <c:grouping val="standard"/>
        <c:varyColors val="0"/>
        <c:ser>
          <c:idx val="0"/>
          <c:order val="0"/>
          <c:tx>
            <c:strRef>
              <c:f>'New Peers'!$E$11</c:f>
              <c:strCache>
                <c:ptCount val="1"/>
                <c:pt idx="0">
                  <c:v>3M Co</c:v>
                </c:pt>
              </c:strCache>
            </c:strRef>
          </c:tx>
          <c:spPr>
            <a:ln w="28575" cap="rnd">
              <a:solidFill>
                <a:srgbClr val="0070C0"/>
              </a:solidFill>
              <a:round/>
            </a:ln>
            <a:effectLst/>
          </c:spPr>
          <c:marker>
            <c:symbol val="none"/>
          </c:marker>
          <c:cat>
            <c:numRef>
              <c:f>'New Peers'!$C$20:$D$61</c:f>
              <c:numCache>
                <c:formatCode>"Q1"\ yyyy</c:formatCode>
                <c:ptCount val="42"/>
                <c:pt idx="0" formatCode="&quot;Q4&quot;\ yyyy">
                  <c:v>36981</c:v>
                </c:pt>
                <c:pt idx="1">
                  <c:v>37072</c:v>
                </c:pt>
                <c:pt idx="2" formatCode="&quot;Q2&quot;\ yyyy">
                  <c:v>37164</c:v>
                </c:pt>
                <c:pt idx="3" formatCode="&quot;Q3&quot;\ yyyy">
                  <c:v>37256</c:v>
                </c:pt>
                <c:pt idx="4" formatCode="&quot;Q4&quot;\ yyyy">
                  <c:v>37346</c:v>
                </c:pt>
                <c:pt idx="5">
                  <c:v>37437</c:v>
                </c:pt>
                <c:pt idx="6" formatCode="&quot;Q2&quot;\ yyyy">
                  <c:v>37529</c:v>
                </c:pt>
                <c:pt idx="7" formatCode="&quot;Q3&quot;\ yyyy">
                  <c:v>37621</c:v>
                </c:pt>
                <c:pt idx="8" formatCode="&quot;Q4&quot;\ yyyy">
                  <c:v>37711</c:v>
                </c:pt>
                <c:pt idx="9">
                  <c:v>37802</c:v>
                </c:pt>
                <c:pt idx="10" formatCode="&quot;Q2&quot;\ yyyy">
                  <c:v>37894</c:v>
                </c:pt>
                <c:pt idx="11" formatCode="&quot;Q3&quot;\ yyyy">
                  <c:v>37986</c:v>
                </c:pt>
                <c:pt idx="12" formatCode="&quot;Q4&quot;\ yyyy">
                  <c:v>38077</c:v>
                </c:pt>
                <c:pt idx="13">
                  <c:v>38168</c:v>
                </c:pt>
                <c:pt idx="14" formatCode="&quot;Q2&quot;\ yyyy">
                  <c:v>38260</c:v>
                </c:pt>
                <c:pt idx="15" formatCode="&quot;Q3&quot;\ yyyy">
                  <c:v>38352</c:v>
                </c:pt>
                <c:pt idx="16" formatCode="&quot;Q4&quot;\ yyyy">
                  <c:v>38442</c:v>
                </c:pt>
                <c:pt idx="17">
                  <c:v>38533</c:v>
                </c:pt>
                <c:pt idx="18" formatCode="&quot;Q2&quot;\ yyyy">
                  <c:v>38625</c:v>
                </c:pt>
                <c:pt idx="19" formatCode="&quot;Q3&quot;\ yyyy">
                  <c:v>38717</c:v>
                </c:pt>
                <c:pt idx="20" formatCode="&quot;Q4&quot;\ yyyy">
                  <c:v>38807</c:v>
                </c:pt>
                <c:pt idx="21">
                  <c:v>38898</c:v>
                </c:pt>
                <c:pt idx="22" formatCode="&quot;Q2&quot;\ yyyy">
                  <c:v>38990</c:v>
                </c:pt>
                <c:pt idx="23" formatCode="&quot;Q3&quot;\ yyyy">
                  <c:v>39082</c:v>
                </c:pt>
                <c:pt idx="24" formatCode="&quot;Q4&quot;\ yyyy">
                  <c:v>39172</c:v>
                </c:pt>
                <c:pt idx="25">
                  <c:v>39263</c:v>
                </c:pt>
                <c:pt idx="26" formatCode="&quot;Q2&quot;\ yyyy">
                  <c:v>39355</c:v>
                </c:pt>
                <c:pt idx="27" formatCode="&quot;Q3&quot;\ yyyy">
                  <c:v>39447</c:v>
                </c:pt>
                <c:pt idx="28" formatCode="&quot;Q4&quot;\ yyyy">
                  <c:v>39538</c:v>
                </c:pt>
                <c:pt idx="29">
                  <c:v>39629</c:v>
                </c:pt>
                <c:pt idx="30" formatCode="&quot;Q2&quot;\ yyyy">
                  <c:v>39721</c:v>
                </c:pt>
                <c:pt idx="31" formatCode="&quot;Q3&quot;\ yyyy">
                  <c:v>39813</c:v>
                </c:pt>
                <c:pt idx="32" formatCode="&quot;Q4&quot;\ yyyy">
                  <c:v>39903</c:v>
                </c:pt>
                <c:pt idx="33">
                  <c:v>39994</c:v>
                </c:pt>
                <c:pt idx="34" formatCode="&quot;Q2&quot;\ yyyy">
                  <c:v>40086</c:v>
                </c:pt>
                <c:pt idx="35" formatCode="&quot;Q3&quot;\ yyyy">
                  <c:v>40178</c:v>
                </c:pt>
                <c:pt idx="36" formatCode="&quot;Q4&quot;\ yyyy">
                  <c:v>40268</c:v>
                </c:pt>
                <c:pt idx="37">
                  <c:v>40359</c:v>
                </c:pt>
                <c:pt idx="38" formatCode="&quot;Q2&quot;\ yyyy">
                  <c:v>40451</c:v>
                </c:pt>
                <c:pt idx="39" formatCode="&quot;Q3&quot;\ yyyy">
                  <c:v>40543</c:v>
                </c:pt>
                <c:pt idx="40" formatCode="&quot;Q4&quot;\ yyyy">
                  <c:v>40633</c:v>
                </c:pt>
                <c:pt idx="41">
                  <c:v>40724</c:v>
                </c:pt>
              </c:numCache>
            </c:numRef>
          </c:cat>
          <c:val>
            <c:numRef>
              <c:f>'New Peers'!$E$20:$E$61</c:f>
              <c:numCache>
                <c:formatCode>0.0\x_);\(0.0\x\);\-\ </c:formatCode>
                <c:ptCount val="42"/>
                <c:pt idx="0">
                  <c:v>0</c:v>
                </c:pt>
                <c:pt idx="1">
                  <c:v>0</c:v>
                </c:pt>
                <c:pt idx="2">
                  <c:v>0</c:v>
                </c:pt>
                <c:pt idx="3">
                  <c:v>0</c:v>
                </c:pt>
                <c:pt idx="4">
                  <c:v>0</c:v>
                </c:pt>
                <c:pt idx="5">
                  <c:v>11.346485559668301</c:v>
                </c:pt>
                <c:pt idx="6">
                  <c:v>11.548097242715601</c:v>
                </c:pt>
                <c:pt idx="7">
                  <c:v>10.8752947286892</c:v>
                </c:pt>
                <c:pt idx="8">
                  <c:v>10.973575283349501</c:v>
                </c:pt>
                <c:pt idx="9">
                  <c:v>11.835226817083401</c:v>
                </c:pt>
                <c:pt idx="10">
                  <c:v>12.7114847373676</c:v>
                </c:pt>
                <c:pt idx="11">
                  <c:v>12.070003363043099</c:v>
                </c:pt>
                <c:pt idx="12">
                  <c:v>11.6143385144559</c:v>
                </c:pt>
                <c:pt idx="13">
                  <c:v>10.195943730429899</c:v>
                </c:pt>
                <c:pt idx="14">
                  <c:v>10.4149045273669</c:v>
                </c:pt>
                <c:pt idx="15">
                  <c:v>10.5371407903595</c:v>
                </c:pt>
                <c:pt idx="16">
                  <c:v>9.2472056771569608</c:v>
                </c:pt>
                <c:pt idx="17">
                  <c:v>8.5181585069270298</c:v>
                </c:pt>
                <c:pt idx="18">
                  <c:v>9.2847972324486108</c:v>
                </c:pt>
                <c:pt idx="19">
                  <c:v>8.7401546211716106</c:v>
                </c:pt>
                <c:pt idx="20">
                  <c:v>10.0848801793076</c:v>
                </c:pt>
                <c:pt idx="21">
                  <c:v>8.0625694698844903</c:v>
                </c:pt>
                <c:pt idx="22">
                  <c:v>9.3259512368559196</c:v>
                </c:pt>
                <c:pt idx="23">
                  <c:v>9.2814855596134702</c:v>
                </c:pt>
                <c:pt idx="24">
                  <c:v>9.7092753567104193</c:v>
                </c:pt>
                <c:pt idx="25">
                  <c:v>9.3667680771454496</c:v>
                </c:pt>
                <c:pt idx="26">
                  <c:v>8.6546643079509096</c:v>
                </c:pt>
                <c:pt idx="27">
                  <c:v>8.2913344231288999</c:v>
                </c:pt>
                <c:pt idx="28">
                  <c:v>7.99651197546474</c:v>
                </c:pt>
                <c:pt idx="29">
                  <c:v>7.585496502002</c:v>
                </c:pt>
                <c:pt idx="30">
                  <c:v>6.3266100853696896</c:v>
                </c:pt>
                <c:pt idx="31">
                  <c:v>5.8577647288569796</c:v>
                </c:pt>
                <c:pt idx="32">
                  <c:v>8.4004415924850804</c:v>
                </c:pt>
                <c:pt idx="33">
                  <c:v>9.0995475495683902</c:v>
                </c:pt>
                <c:pt idx="34">
                  <c:v>8.9404119221277494</c:v>
                </c:pt>
                <c:pt idx="35">
                  <c:v>8.7178693160578202</c:v>
                </c:pt>
                <c:pt idx="36">
                  <c:v>8.5163657811694193</c:v>
                </c:pt>
                <c:pt idx="37">
                  <c:v>8.0390239064942008</c:v>
                </c:pt>
                <c:pt idx="38">
                  <c:v>8.0019484501161298</c:v>
                </c:pt>
                <c:pt idx="39">
                  <c:v>8.3292376239351196</c:v>
                </c:pt>
                <c:pt idx="40">
                  <c:v>8.5833847607836304</c:v>
                </c:pt>
                <c:pt idx="41">
                  <c:v>7.2967935573723901</c:v>
                </c:pt>
              </c:numCache>
            </c:numRef>
          </c:val>
          <c:smooth val="0"/>
          <c:extLst>
            <c:ext xmlns:c16="http://schemas.microsoft.com/office/drawing/2014/chart" uri="{C3380CC4-5D6E-409C-BE32-E72D297353CC}">
              <c16:uniqueId val="{00000000-285E-4C97-8C13-51047D2967E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285E-4C97-8C13-51047D2967E9}"/>
              </c:ext>
            </c:extLst>
          </c:dPt>
          <c:dLbls>
            <c:dLbl>
              <c:idx val="0"/>
              <c:delete val="1"/>
              <c:extLst>
                <c:ext xmlns:c15="http://schemas.microsoft.com/office/drawing/2012/chart" uri="{CE6537A1-D6FC-4f65-9D91-7224C49458BB}"/>
                <c:ext xmlns:c16="http://schemas.microsoft.com/office/drawing/2014/chart" uri="{C3380CC4-5D6E-409C-BE32-E72D297353CC}">
                  <c16:uniqueId val="{00000002-285E-4C97-8C13-51047D2967E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Peers'!$E$16,'New Peers'!$E$16)</c:f>
              <c:numCache>
                <c:formatCode>0.0\x_);\(0.0\x\);\-\ </c:formatCode>
                <c:ptCount val="2"/>
                <c:pt idx="0">
                  <c:v>10.403042388837694</c:v>
                </c:pt>
                <c:pt idx="1">
                  <c:v>10.403042388837694</c:v>
                </c:pt>
              </c:numCache>
            </c:numRef>
          </c:yVal>
          <c:smooth val="1"/>
          <c:extLst>
            <c:ext xmlns:c16="http://schemas.microsoft.com/office/drawing/2014/chart" uri="{C3380CC4-5D6E-409C-BE32-E72D297353CC}">
              <c16:uniqueId val="{00000003-285E-4C97-8C13-51047D2967E9}"/>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285E-4C97-8C13-51047D2967E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Peers'!$E$17,'New Peers'!$E$17)</c:f>
              <c:numCache>
                <c:formatCode>0.0\x_);\(0.0\x\);\-\ </c:formatCode>
                <c:ptCount val="2"/>
                <c:pt idx="0">
                  <c:v>8.2829394378002164</c:v>
                </c:pt>
                <c:pt idx="1">
                  <c:v>8.2829394378002164</c:v>
                </c:pt>
              </c:numCache>
            </c:numRef>
          </c:yVal>
          <c:smooth val="1"/>
          <c:extLst>
            <c:ext xmlns:c16="http://schemas.microsoft.com/office/drawing/2014/chart" uri="{C3380CC4-5D6E-409C-BE32-E72D297353CC}">
              <c16:uniqueId val="{00000005-285E-4C97-8C13-51047D2967E9}"/>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85E-4C97-8C13-51047D2967E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Peers'!$E$18,'New Peers'!$E$18)</c:f>
              <c:numCache>
                <c:formatCode>0.0\x_);\(0.0\x\);\-\ </c:formatCode>
                <c:ptCount val="2"/>
                <c:pt idx="0">
                  <c:v>12.523145339875171</c:v>
                </c:pt>
                <c:pt idx="1">
                  <c:v>12.523145339875171</c:v>
                </c:pt>
              </c:numCache>
            </c:numRef>
          </c:yVal>
          <c:smooth val="1"/>
          <c:extLst>
            <c:ext xmlns:c16="http://schemas.microsoft.com/office/drawing/2014/chart" uri="{C3380CC4-5D6E-409C-BE32-E72D297353CC}">
              <c16:uniqueId val="{00000007-285E-4C97-8C13-51047D2967E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1"/>
        <c:tickMarkSkip val="2"/>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Peers'!$F$11</c:f>
          <c:strCache>
            <c:ptCount val="1"/>
            <c:pt idx="0">
              <c:v>Albemarle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Peers'!$F$11</c:f>
              <c:strCache>
                <c:ptCount val="1"/>
                <c:pt idx="0">
                  <c:v>Albemarle Corp</c:v>
                </c:pt>
              </c:strCache>
            </c:strRef>
          </c:tx>
          <c:spPr>
            <a:ln w="28575" cap="rnd">
              <a:solidFill>
                <a:srgbClr val="0070C0"/>
              </a:solidFill>
              <a:round/>
            </a:ln>
            <a:effectLst/>
          </c:spPr>
          <c:marker>
            <c:symbol val="none"/>
          </c:marker>
          <c:cat>
            <c:numRef>
              <c:f>'New Peers'!$C$21:$D$61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Peers'!$F$21:$F$61</c:f>
              <c:numCache>
                <c:formatCode>0.0\x_);\(0.0\x\);\-\ </c:formatCode>
                <c:ptCount val="41"/>
                <c:pt idx="0">
                  <c:v>0</c:v>
                </c:pt>
                <c:pt idx="1">
                  <c:v>0</c:v>
                </c:pt>
                <c:pt idx="2">
                  <c:v>0</c:v>
                </c:pt>
                <c:pt idx="3">
                  <c:v>0</c:v>
                </c:pt>
                <c:pt idx="4">
                  <c:v>0</c:v>
                </c:pt>
                <c:pt idx="5">
                  <c:v>6.7771163446766201</c:v>
                </c:pt>
                <c:pt idx="6">
                  <c:v>0</c:v>
                </c:pt>
                <c:pt idx="7">
                  <c:v>0</c:v>
                </c:pt>
                <c:pt idx="8">
                  <c:v>0</c:v>
                </c:pt>
                <c:pt idx="9">
                  <c:v>0</c:v>
                </c:pt>
                <c:pt idx="10">
                  <c:v>7.4146073379895698</c:v>
                </c:pt>
                <c:pt idx="11">
                  <c:v>6.5402357818229699</c:v>
                </c:pt>
                <c:pt idx="12">
                  <c:v>5.8343438873004896</c:v>
                </c:pt>
                <c:pt idx="13">
                  <c:v>9.1317290622600495</c:v>
                </c:pt>
                <c:pt idx="14">
                  <c:v>8.4810239999999997</c:v>
                </c:pt>
                <c:pt idx="15">
                  <c:v>8.5586214673467094</c:v>
                </c:pt>
                <c:pt idx="16">
                  <c:v>8.1196576647345005</c:v>
                </c:pt>
                <c:pt idx="17">
                  <c:v>7.92281796993875</c:v>
                </c:pt>
                <c:pt idx="18">
                  <c:v>8.6775754678400006</c:v>
                </c:pt>
                <c:pt idx="19">
                  <c:v>8.9033536728344806</c:v>
                </c:pt>
                <c:pt idx="20">
                  <c:v>8.7137151092056406</c:v>
                </c:pt>
                <c:pt idx="21">
                  <c:v>9.2927361353817197</c:v>
                </c:pt>
                <c:pt idx="22">
                  <c:v>10.3359581024162</c:v>
                </c:pt>
                <c:pt idx="23">
                  <c:v>9.9073636147861901</c:v>
                </c:pt>
                <c:pt idx="24">
                  <c:v>8.5655321039092804</c:v>
                </c:pt>
                <c:pt idx="25">
                  <c:v>9.7113922815759093</c:v>
                </c:pt>
                <c:pt idx="26">
                  <c:v>8.9566522319462205</c:v>
                </c:pt>
                <c:pt idx="27">
                  <c:v>9.81372160313488</c:v>
                </c:pt>
                <c:pt idx="28">
                  <c:v>9.1385436856369004</c:v>
                </c:pt>
                <c:pt idx="29">
                  <c:v>6.1517860223670899</c:v>
                </c:pt>
                <c:pt idx="30">
                  <c:v>7.5137277655543002</c:v>
                </c:pt>
                <c:pt idx="31">
                  <c:v>9.7764492227638407</c:v>
                </c:pt>
                <c:pt idx="32">
                  <c:v>10.0269942428364</c:v>
                </c:pt>
                <c:pt idx="33">
                  <c:v>9.5447735945642993</c:v>
                </c:pt>
                <c:pt idx="34">
                  <c:v>9.3385317655283</c:v>
                </c:pt>
                <c:pt idx="35">
                  <c:v>9.2425150879442697</c:v>
                </c:pt>
                <c:pt idx="36">
                  <c:v>8.1623166581751292</c:v>
                </c:pt>
                <c:pt idx="37">
                  <c:v>8.7775472047642005</c:v>
                </c:pt>
                <c:pt idx="38">
                  <c:v>9.1258616712777094</c:v>
                </c:pt>
                <c:pt idx="39">
                  <c:v>9.5298793679840799</c:v>
                </c:pt>
                <c:pt idx="40">
                  <c:v>7.8037686993689199</c:v>
                </c:pt>
              </c:numCache>
            </c:numRef>
          </c:val>
          <c:smooth val="0"/>
          <c:extLst>
            <c:ext xmlns:c16="http://schemas.microsoft.com/office/drawing/2014/chart" uri="{C3380CC4-5D6E-409C-BE32-E72D297353CC}">
              <c16:uniqueId val="{00000000-13E9-45A9-A49D-E3E31CB0C83A}"/>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3E9-45A9-A49D-E3E31CB0C8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Peers'!$F$16,'New Peers'!$F$16)</c:f>
              <c:numCache>
                <c:formatCode>0.0\x_);\(0.0\x\);\-\ </c:formatCode>
                <c:ptCount val="2"/>
                <c:pt idx="0">
                  <c:v>9.7041732066473507</c:v>
                </c:pt>
                <c:pt idx="1">
                  <c:v>9.7041732066473507</c:v>
                </c:pt>
              </c:numCache>
            </c:numRef>
          </c:yVal>
          <c:smooth val="1"/>
          <c:extLst>
            <c:ext xmlns:c16="http://schemas.microsoft.com/office/drawing/2014/chart" uri="{C3380CC4-5D6E-409C-BE32-E72D297353CC}">
              <c16:uniqueId val="{00000002-13E9-45A9-A49D-E3E31CB0C83A}"/>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3E9-45A9-A49D-E3E31CB0C8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Peers'!$F$17,'New Peers'!$F$17)</c:f>
              <c:numCache>
                <c:formatCode>0.0\x_);\(0.0\x\);\-\ </c:formatCode>
                <c:ptCount val="2"/>
                <c:pt idx="0">
                  <c:v>7.3579669995481325</c:v>
                </c:pt>
                <c:pt idx="1">
                  <c:v>7.3579669995481325</c:v>
                </c:pt>
              </c:numCache>
            </c:numRef>
          </c:yVal>
          <c:smooth val="1"/>
          <c:extLst>
            <c:ext xmlns:c16="http://schemas.microsoft.com/office/drawing/2014/chart" uri="{C3380CC4-5D6E-409C-BE32-E72D297353CC}">
              <c16:uniqueId val="{00000004-13E9-45A9-A49D-E3E31CB0C83A}"/>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3E9-45A9-A49D-E3E31CB0C8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Peers'!$F$18,'New Peers'!$F$18)</c:f>
              <c:numCache>
                <c:formatCode>0.0\x_);\(0.0\x\);\-\ </c:formatCode>
                <c:ptCount val="2"/>
                <c:pt idx="0">
                  <c:v>12.050379413746569</c:v>
                </c:pt>
                <c:pt idx="1">
                  <c:v>12.050379413746569</c:v>
                </c:pt>
              </c:numCache>
            </c:numRef>
          </c:yVal>
          <c:smooth val="1"/>
          <c:extLst>
            <c:ext xmlns:c16="http://schemas.microsoft.com/office/drawing/2014/chart" uri="{C3380CC4-5D6E-409C-BE32-E72D297353CC}">
              <c16:uniqueId val="{00000006-13E9-45A9-A49D-E3E31CB0C83A}"/>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Fibers Product Line Mix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Financials!$C$569</c:f>
              <c:strCache>
                <c:ptCount val="1"/>
                <c:pt idx="0">
                  <c:v>Acetate Tow</c:v>
                </c:pt>
              </c:strCache>
            </c:strRef>
          </c:tx>
          <c:spPr>
            <a:solidFill>
              <a:schemeClr val="accent1"/>
            </a:solidFill>
            <a:ln>
              <a:noFill/>
            </a:ln>
            <a:effectLst/>
          </c:spPr>
          <c:invertIfNegative val="0"/>
          <c:cat>
            <c:numRef>
              <c:f>Financials!$AQ$6:$AS$6</c:f>
              <c:numCache>
                <c:formatCode>General"A"</c:formatCode>
                <c:ptCount val="3"/>
                <c:pt idx="0">
                  <c:v>2019</c:v>
                </c:pt>
                <c:pt idx="1">
                  <c:v>2020</c:v>
                </c:pt>
                <c:pt idx="2">
                  <c:v>2021</c:v>
                </c:pt>
              </c:numCache>
            </c:numRef>
          </c:cat>
          <c:val>
            <c:numRef>
              <c:f>Financials!$AQ$569:$AS$569</c:f>
              <c:numCache>
                <c:formatCode>0.0%_);\(0.0%\)</c:formatCode>
                <c:ptCount val="3"/>
                <c:pt idx="0">
                  <c:v>0.68</c:v>
                </c:pt>
                <c:pt idx="1">
                  <c:v>0.7</c:v>
                </c:pt>
                <c:pt idx="2">
                  <c:v>0.64</c:v>
                </c:pt>
              </c:numCache>
            </c:numRef>
          </c:val>
          <c:extLst>
            <c:ext xmlns:c16="http://schemas.microsoft.com/office/drawing/2014/chart" uri="{C3380CC4-5D6E-409C-BE32-E72D297353CC}">
              <c16:uniqueId val="{00000000-B64A-45EC-A7A8-F8F87F80B525}"/>
            </c:ext>
          </c:extLst>
        </c:ser>
        <c:ser>
          <c:idx val="1"/>
          <c:order val="1"/>
          <c:tx>
            <c:strRef>
              <c:f>Financials!$C$570</c:f>
              <c:strCache>
                <c:ptCount val="1"/>
                <c:pt idx="0">
                  <c:v>Acetyl Chemical Products</c:v>
                </c:pt>
              </c:strCache>
            </c:strRef>
          </c:tx>
          <c:spPr>
            <a:solidFill>
              <a:schemeClr val="accent2"/>
            </a:solidFill>
            <a:ln>
              <a:noFill/>
            </a:ln>
            <a:effectLst/>
          </c:spPr>
          <c:invertIfNegative val="0"/>
          <c:cat>
            <c:numRef>
              <c:f>Financials!$AQ$6:$AS$6</c:f>
              <c:numCache>
                <c:formatCode>General"A"</c:formatCode>
                <c:ptCount val="3"/>
                <c:pt idx="0">
                  <c:v>2019</c:v>
                </c:pt>
                <c:pt idx="1">
                  <c:v>2020</c:v>
                </c:pt>
                <c:pt idx="2">
                  <c:v>2021</c:v>
                </c:pt>
              </c:numCache>
            </c:numRef>
          </c:cat>
          <c:val>
            <c:numRef>
              <c:f>Financials!$AQ$570:$AS$570</c:f>
              <c:numCache>
                <c:formatCode>0.0%_);\(0.0%\)</c:formatCode>
                <c:ptCount val="3"/>
                <c:pt idx="0">
                  <c:v>0.15</c:v>
                </c:pt>
                <c:pt idx="1">
                  <c:v>0.16</c:v>
                </c:pt>
                <c:pt idx="2">
                  <c:v>0.16</c:v>
                </c:pt>
              </c:numCache>
            </c:numRef>
          </c:val>
          <c:extLst>
            <c:ext xmlns:c16="http://schemas.microsoft.com/office/drawing/2014/chart" uri="{C3380CC4-5D6E-409C-BE32-E72D297353CC}">
              <c16:uniqueId val="{00000001-B64A-45EC-A7A8-F8F87F80B525}"/>
            </c:ext>
          </c:extLst>
        </c:ser>
        <c:ser>
          <c:idx val="2"/>
          <c:order val="2"/>
          <c:tx>
            <c:strRef>
              <c:f>Financials!$C$571</c:f>
              <c:strCache>
                <c:ptCount val="1"/>
                <c:pt idx="0">
                  <c:v>Acetate Yarn</c:v>
                </c:pt>
              </c:strCache>
            </c:strRef>
          </c:tx>
          <c:spPr>
            <a:solidFill>
              <a:schemeClr val="accent3"/>
            </a:solidFill>
            <a:ln>
              <a:noFill/>
            </a:ln>
            <a:effectLst/>
          </c:spPr>
          <c:invertIfNegative val="0"/>
          <c:cat>
            <c:numRef>
              <c:f>Financials!$AQ$6:$AS$6</c:f>
              <c:numCache>
                <c:formatCode>General"A"</c:formatCode>
                <c:ptCount val="3"/>
                <c:pt idx="0">
                  <c:v>2019</c:v>
                </c:pt>
                <c:pt idx="1">
                  <c:v>2020</c:v>
                </c:pt>
                <c:pt idx="2">
                  <c:v>2021</c:v>
                </c:pt>
              </c:numCache>
            </c:numRef>
          </c:cat>
          <c:val>
            <c:numRef>
              <c:f>Financials!$AQ$571:$AS$571</c:f>
              <c:numCache>
                <c:formatCode>0.0%_);\(0.0%\)</c:formatCode>
                <c:ptCount val="3"/>
                <c:pt idx="0">
                  <c:v>0.12</c:v>
                </c:pt>
                <c:pt idx="1">
                  <c:v>0.09</c:v>
                </c:pt>
                <c:pt idx="2">
                  <c:v>0.14000000000000001</c:v>
                </c:pt>
              </c:numCache>
            </c:numRef>
          </c:val>
          <c:extLst>
            <c:ext xmlns:c16="http://schemas.microsoft.com/office/drawing/2014/chart" uri="{C3380CC4-5D6E-409C-BE32-E72D297353CC}">
              <c16:uniqueId val="{00000002-B64A-45EC-A7A8-F8F87F80B525}"/>
            </c:ext>
          </c:extLst>
        </c:ser>
        <c:ser>
          <c:idx val="3"/>
          <c:order val="3"/>
          <c:tx>
            <c:strRef>
              <c:f>Financials!$C$572</c:f>
              <c:strCache>
                <c:ptCount val="1"/>
                <c:pt idx="0">
                  <c:v>Nonwovens</c:v>
                </c:pt>
              </c:strCache>
            </c:strRef>
          </c:tx>
          <c:spPr>
            <a:solidFill>
              <a:schemeClr val="accent4"/>
            </a:solidFill>
            <a:ln>
              <a:noFill/>
            </a:ln>
            <a:effectLst/>
          </c:spPr>
          <c:invertIfNegative val="0"/>
          <c:cat>
            <c:numRef>
              <c:f>Financials!$AQ$6:$AS$6</c:f>
              <c:numCache>
                <c:formatCode>General"A"</c:formatCode>
                <c:ptCount val="3"/>
                <c:pt idx="0">
                  <c:v>2019</c:v>
                </c:pt>
                <c:pt idx="1">
                  <c:v>2020</c:v>
                </c:pt>
                <c:pt idx="2">
                  <c:v>2021</c:v>
                </c:pt>
              </c:numCache>
            </c:numRef>
          </c:cat>
          <c:val>
            <c:numRef>
              <c:f>Financials!$AQ$572:$AS$572</c:f>
              <c:numCache>
                <c:formatCode>0.0%_);\(0.0%\)</c:formatCode>
                <c:ptCount val="3"/>
                <c:pt idx="0">
                  <c:v>0.05</c:v>
                </c:pt>
                <c:pt idx="1">
                  <c:v>0.05</c:v>
                </c:pt>
                <c:pt idx="2">
                  <c:v>0.06</c:v>
                </c:pt>
              </c:numCache>
            </c:numRef>
          </c:val>
          <c:extLst>
            <c:ext xmlns:c16="http://schemas.microsoft.com/office/drawing/2014/chart" uri="{C3380CC4-5D6E-409C-BE32-E72D297353CC}">
              <c16:uniqueId val="{00000003-B64A-45EC-A7A8-F8F87F80B525}"/>
            </c:ext>
          </c:extLst>
        </c:ser>
        <c:dLbls>
          <c:showLegendKey val="0"/>
          <c:showVal val="0"/>
          <c:showCatName val="0"/>
          <c:showSerName val="0"/>
          <c:showPercent val="0"/>
          <c:showBubbleSize val="0"/>
        </c:dLbls>
        <c:gapWidth val="219"/>
        <c:overlap val="-27"/>
        <c:axId val="281978783"/>
        <c:axId val="281982111"/>
      </c:barChart>
      <c:catAx>
        <c:axId val="281978783"/>
        <c:scaling>
          <c:orientation val="minMax"/>
        </c:scaling>
        <c:delete val="0"/>
        <c:axPos val="b"/>
        <c:numFmt formatCode="General&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982111"/>
        <c:crosses val="autoZero"/>
        <c:auto val="1"/>
        <c:lblAlgn val="ctr"/>
        <c:lblOffset val="100"/>
        <c:noMultiLvlLbl val="0"/>
      </c:catAx>
      <c:valAx>
        <c:axId val="281982111"/>
        <c:scaling>
          <c:orientation val="minMax"/>
        </c:scaling>
        <c:delete val="0"/>
        <c:axPos val="l"/>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97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Peers'!$G$11</c:f>
          <c:strCache>
            <c:ptCount val="1"/>
            <c:pt idx="0">
              <c:v>Ashland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Peers'!$G$11</c:f>
              <c:strCache>
                <c:ptCount val="1"/>
                <c:pt idx="0">
                  <c:v>Ashland Inc</c:v>
                </c:pt>
              </c:strCache>
            </c:strRef>
          </c:tx>
          <c:spPr>
            <a:ln w="28575" cap="rnd">
              <a:solidFill>
                <a:srgbClr val="0070C0"/>
              </a:solidFill>
              <a:round/>
            </a:ln>
            <a:effectLst/>
          </c:spPr>
          <c:marker>
            <c:symbol val="none"/>
          </c:marker>
          <c:cat>
            <c:numRef>
              <c:f>'New Peers'!$C$21:$D$61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Peers'!$G$21:$G$61</c:f>
              <c:numCache>
                <c:formatCode>0.0\x_);\(0.0\x\);\-\ </c:formatCode>
                <c:ptCount val="41"/>
                <c:pt idx="0">
                  <c:v>0</c:v>
                </c:pt>
                <c:pt idx="1">
                  <c:v>0</c:v>
                </c:pt>
                <c:pt idx="2">
                  <c:v>0</c:v>
                </c:pt>
                <c:pt idx="3">
                  <c:v>0</c:v>
                </c:pt>
                <c:pt idx="4">
                  <c:v>4.3062504087113798</c:v>
                </c:pt>
                <c:pt idx="5">
                  <c:v>3.5560493731521801</c:v>
                </c:pt>
                <c:pt idx="6">
                  <c:v>3.4934233181705898</c:v>
                </c:pt>
                <c:pt idx="7">
                  <c:v>3.9135191925817798</c:v>
                </c:pt>
                <c:pt idx="8">
                  <c:v>6.3690756487361204</c:v>
                </c:pt>
                <c:pt idx="9">
                  <c:v>9.9429121766224</c:v>
                </c:pt>
                <c:pt idx="10">
                  <c:v>4.9764995241042298</c:v>
                </c:pt>
                <c:pt idx="11">
                  <c:v>8.0855559614059693</c:v>
                </c:pt>
                <c:pt idx="12">
                  <c:v>10.456693501213699</c:v>
                </c:pt>
                <c:pt idx="13">
                  <c:v>10.2262772891974</c:v>
                </c:pt>
                <c:pt idx="14">
                  <c:v>6.8159051195180798</c:v>
                </c:pt>
                <c:pt idx="15">
                  <c:v>8.1830442796306393</c:v>
                </c:pt>
                <c:pt idx="16">
                  <c:v>6.6333215077605301</c:v>
                </c:pt>
                <c:pt idx="17">
                  <c:v>6.6187016053993997</c:v>
                </c:pt>
                <c:pt idx="18">
                  <c:v>6.0740813233428703</c:v>
                </c:pt>
                <c:pt idx="19">
                  <c:v>5.8663013062024403</c:v>
                </c:pt>
                <c:pt idx="20">
                  <c:v>5.7081406235418699</c:v>
                </c:pt>
                <c:pt idx="21">
                  <c:v>7.8884397548817802</c:v>
                </c:pt>
                <c:pt idx="22">
                  <c:v>7.5390300852434402</c:v>
                </c:pt>
                <c:pt idx="23">
                  <c:v>6.7323047527933699</c:v>
                </c:pt>
                <c:pt idx="24">
                  <c:v>6.2734104702231699</c:v>
                </c:pt>
                <c:pt idx="25">
                  <c:v>6.0424250075812296</c:v>
                </c:pt>
                <c:pt idx="26">
                  <c:v>4.7424120221756096</c:v>
                </c:pt>
                <c:pt idx="27">
                  <c:v>6.8218997949210802</c:v>
                </c:pt>
                <c:pt idx="28">
                  <c:v>4.0380685608901796</c:v>
                </c:pt>
                <c:pt idx="29">
                  <c:v>0.39901106978789103</c:v>
                </c:pt>
                <c:pt idx="30">
                  <c:v>4.0092160282969402</c:v>
                </c:pt>
                <c:pt idx="31">
                  <c:v>4.8508815798263702</c:v>
                </c:pt>
                <c:pt idx="32">
                  <c:v>5.0550925173971697</c:v>
                </c:pt>
                <c:pt idx="33">
                  <c:v>5.2635198125349598</c:v>
                </c:pt>
                <c:pt idx="34">
                  <c:v>4.9863673176310597</c:v>
                </c:pt>
                <c:pt idx="35">
                  <c:v>5.81854500781668</c:v>
                </c:pt>
                <c:pt idx="36">
                  <c:v>4.9021795288851697</c:v>
                </c:pt>
                <c:pt idx="37">
                  <c:v>5.4857280169796399</c:v>
                </c:pt>
                <c:pt idx="38">
                  <c:v>6.3222673132448897</c:v>
                </c:pt>
                <c:pt idx="39">
                  <c:v>5.2923540711262698</c:v>
                </c:pt>
                <c:pt idx="40">
                  <c:v>3.59436656276036</c:v>
                </c:pt>
              </c:numCache>
            </c:numRef>
          </c:val>
          <c:smooth val="0"/>
          <c:extLst>
            <c:ext xmlns:c16="http://schemas.microsoft.com/office/drawing/2014/chart" uri="{C3380CC4-5D6E-409C-BE32-E72D297353CC}">
              <c16:uniqueId val="{00000000-2B44-40A3-BBD9-5D292AE4B3B1}"/>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B44-40A3-BBD9-5D292AE4B3B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Peers'!$G$16,'New Peers'!$G$16)</c:f>
              <c:numCache>
                <c:formatCode>0.0\x_);\(0.0\x\);\-\ </c:formatCode>
                <c:ptCount val="2"/>
                <c:pt idx="0">
                  <c:v>7.5056411727390895</c:v>
                </c:pt>
                <c:pt idx="1">
                  <c:v>7.5056411727390895</c:v>
                </c:pt>
              </c:numCache>
            </c:numRef>
          </c:yVal>
          <c:smooth val="1"/>
          <c:extLst>
            <c:ext xmlns:c16="http://schemas.microsoft.com/office/drawing/2014/chart" uri="{C3380CC4-5D6E-409C-BE32-E72D297353CC}">
              <c16:uniqueId val="{00000002-2B44-40A3-BBD9-5D292AE4B3B1}"/>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B44-40A3-BBD9-5D292AE4B3B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Peers'!$G$17,'New Peers'!$G$17)</c:f>
              <c:numCache>
                <c:formatCode>0.0\x_);\(0.0\x\);\-\ </c:formatCode>
                <c:ptCount val="2"/>
                <c:pt idx="0">
                  <c:v>5.1087404426039305</c:v>
                </c:pt>
                <c:pt idx="1">
                  <c:v>5.1087404426039305</c:v>
                </c:pt>
              </c:numCache>
            </c:numRef>
          </c:yVal>
          <c:smooth val="1"/>
          <c:extLst>
            <c:ext xmlns:c16="http://schemas.microsoft.com/office/drawing/2014/chart" uri="{C3380CC4-5D6E-409C-BE32-E72D297353CC}">
              <c16:uniqueId val="{00000004-2B44-40A3-BBD9-5D292AE4B3B1}"/>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B44-40A3-BBD9-5D292AE4B3B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Peers'!$G$18,'New Peers'!$G$18)</c:f>
              <c:numCache>
                <c:formatCode>0.0\x_);\(0.0\x\);\-\ </c:formatCode>
                <c:ptCount val="2"/>
                <c:pt idx="0">
                  <c:v>9.9025419028742476</c:v>
                </c:pt>
                <c:pt idx="1">
                  <c:v>9.9025419028742476</c:v>
                </c:pt>
              </c:numCache>
            </c:numRef>
          </c:yVal>
          <c:smooth val="1"/>
          <c:extLst>
            <c:ext xmlns:c16="http://schemas.microsoft.com/office/drawing/2014/chart" uri="{C3380CC4-5D6E-409C-BE32-E72D297353CC}">
              <c16:uniqueId val="{00000006-2B44-40A3-BBD9-5D292AE4B3B1}"/>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Peers'!$H$11</c:f>
          <c:strCache>
            <c:ptCount val="1"/>
            <c:pt idx="0">
              <c:v>Avient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Peers'!$H$11</c:f>
              <c:strCache>
                <c:ptCount val="1"/>
                <c:pt idx="0">
                  <c:v>Avient Corp</c:v>
                </c:pt>
              </c:strCache>
            </c:strRef>
          </c:tx>
          <c:spPr>
            <a:ln w="28575" cap="rnd">
              <a:solidFill>
                <a:srgbClr val="0070C0"/>
              </a:solidFill>
              <a:round/>
            </a:ln>
            <a:effectLst/>
          </c:spPr>
          <c:marker>
            <c:symbol val="none"/>
          </c:marker>
          <c:cat>
            <c:numRef>
              <c:f>'New Peers'!$C$21:$D$61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Peers'!$H$21:$H$61</c:f>
              <c:numCache>
                <c:formatCode>0.0\x_);\(0.0\x\);\-\ </c:formatCode>
                <c:ptCount val="41"/>
                <c:pt idx="0">
                  <c:v>0</c:v>
                </c:pt>
                <c:pt idx="1">
                  <c:v>0</c:v>
                </c:pt>
                <c:pt idx="2">
                  <c:v>0</c:v>
                </c:pt>
                <c:pt idx="3">
                  <c:v>0</c:v>
                </c:pt>
                <c:pt idx="4">
                  <c:v>0</c:v>
                </c:pt>
                <c:pt idx="5">
                  <c:v>6.1083837516334798</c:v>
                </c:pt>
                <c:pt idx="6">
                  <c:v>0</c:v>
                </c:pt>
                <c:pt idx="7">
                  <c:v>5.4252790672259703</c:v>
                </c:pt>
                <c:pt idx="8">
                  <c:v>7.34102129071292</c:v>
                </c:pt>
                <c:pt idx="9">
                  <c:v>7.5843378864845299</c:v>
                </c:pt>
                <c:pt idx="10">
                  <c:v>10.270315850052301</c:v>
                </c:pt>
                <c:pt idx="11">
                  <c:v>7.9655369000837801</c:v>
                </c:pt>
                <c:pt idx="12">
                  <c:v>6.8207271209102398</c:v>
                </c:pt>
                <c:pt idx="13">
                  <c:v>6.5177076089283696</c:v>
                </c:pt>
                <c:pt idx="14">
                  <c:v>6.5239899077085601</c:v>
                </c:pt>
                <c:pt idx="15">
                  <c:v>5.53526972522456</c:v>
                </c:pt>
                <c:pt idx="16">
                  <c:v>6.1025989531252396</c:v>
                </c:pt>
                <c:pt idx="17">
                  <c:v>4.4733754879315697</c:v>
                </c:pt>
                <c:pt idx="18">
                  <c:v>5.6052937037281598</c:v>
                </c:pt>
                <c:pt idx="19">
                  <c:v>0</c:v>
                </c:pt>
                <c:pt idx="20">
                  <c:v>5.4744915432883197</c:v>
                </c:pt>
                <c:pt idx="21">
                  <c:v>6.4356921436857899</c:v>
                </c:pt>
                <c:pt idx="22">
                  <c:v>5.8872506291597499</c:v>
                </c:pt>
                <c:pt idx="23">
                  <c:v>5.9940108224719104</c:v>
                </c:pt>
                <c:pt idx="24">
                  <c:v>5.8049697285737896</c:v>
                </c:pt>
                <c:pt idx="25">
                  <c:v>0</c:v>
                </c:pt>
                <c:pt idx="26">
                  <c:v>0</c:v>
                </c:pt>
                <c:pt idx="27">
                  <c:v>6.2964345989918602</c:v>
                </c:pt>
                <c:pt idx="28">
                  <c:v>6.4882600703312399</c:v>
                </c:pt>
                <c:pt idx="29">
                  <c:v>4.8607395285404502</c:v>
                </c:pt>
                <c:pt idx="30">
                  <c:v>0</c:v>
                </c:pt>
                <c:pt idx="31">
                  <c:v>4.9933467628611501</c:v>
                </c:pt>
                <c:pt idx="32">
                  <c:v>5.0571852036529696</c:v>
                </c:pt>
                <c:pt idx="33">
                  <c:v>4.9218897683926999</c:v>
                </c:pt>
                <c:pt idx="34">
                  <c:v>5.6125677391995801</c:v>
                </c:pt>
                <c:pt idx="35">
                  <c:v>5.9609093868590799</c:v>
                </c:pt>
                <c:pt idx="36">
                  <c:v>4.8201571880089498</c:v>
                </c:pt>
                <c:pt idx="37">
                  <c:v>5.5281248271413101</c:v>
                </c:pt>
                <c:pt idx="38">
                  <c:v>6.1621906783504503</c:v>
                </c:pt>
                <c:pt idx="39">
                  <c:v>5.6449780815357604</c:v>
                </c:pt>
                <c:pt idx="40">
                  <c:v>4.8686831308460397</c:v>
                </c:pt>
              </c:numCache>
            </c:numRef>
          </c:val>
          <c:smooth val="0"/>
          <c:extLst>
            <c:ext xmlns:c16="http://schemas.microsoft.com/office/drawing/2014/chart" uri="{C3380CC4-5D6E-409C-BE32-E72D297353CC}">
              <c16:uniqueId val="{00000000-E66A-4E94-AABD-77F8C136557E}"/>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66A-4E94-AABD-77F8C136557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Peers'!$H$16,'New Peers'!$H$16)</c:f>
              <c:numCache>
                <c:formatCode>0.0\x_);\(0.0\x\);\-\ </c:formatCode>
                <c:ptCount val="2"/>
                <c:pt idx="0">
                  <c:v>7.2782303834362585</c:v>
                </c:pt>
                <c:pt idx="1">
                  <c:v>7.2782303834362585</c:v>
                </c:pt>
              </c:numCache>
            </c:numRef>
          </c:yVal>
          <c:smooth val="1"/>
          <c:extLst>
            <c:ext xmlns:c16="http://schemas.microsoft.com/office/drawing/2014/chart" uri="{C3380CC4-5D6E-409C-BE32-E72D297353CC}">
              <c16:uniqueId val="{00000002-E66A-4E94-AABD-77F8C136557E}"/>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E66A-4E94-AABD-77F8C136557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Peers'!$H$17,'New Peers'!$H$17)</c:f>
              <c:numCache>
                <c:formatCode>0.0\x_);\(0.0\x\);\-\ </c:formatCode>
                <c:ptCount val="2"/>
                <c:pt idx="0">
                  <c:v>5.4436408761782609</c:v>
                </c:pt>
                <c:pt idx="1">
                  <c:v>5.4436408761782609</c:v>
                </c:pt>
              </c:numCache>
            </c:numRef>
          </c:yVal>
          <c:smooth val="1"/>
          <c:extLst>
            <c:ext xmlns:c16="http://schemas.microsoft.com/office/drawing/2014/chart" uri="{C3380CC4-5D6E-409C-BE32-E72D297353CC}">
              <c16:uniqueId val="{00000004-E66A-4E94-AABD-77F8C136557E}"/>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E66A-4E94-AABD-77F8C136557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Peers'!$H$18,'New Peers'!$H$18)</c:f>
              <c:numCache>
                <c:formatCode>0.0\x_);\(0.0\x\);\-\ </c:formatCode>
                <c:ptCount val="2"/>
                <c:pt idx="0">
                  <c:v>9.1128198906942561</c:v>
                </c:pt>
                <c:pt idx="1">
                  <c:v>9.1128198906942561</c:v>
                </c:pt>
              </c:numCache>
            </c:numRef>
          </c:yVal>
          <c:smooth val="1"/>
          <c:extLst>
            <c:ext xmlns:c16="http://schemas.microsoft.com/office/drawing/2014/chart" uri="{C3380CC4-5D6E-409C-BE32-E72D297353CC}">
              <c16:uniqueId val="{00000006-E66A-4E94-AABD-77F8C136557E}"/>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Peers'!$L$11</c:f>
          <c:strCache>
            <c:ptCount val="1"/>
            <c:pt idx="0">
              <c:v>Solvay SA</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Peers'!$L$11</c:f>
              <c:strCache>
                <c:ptCount val="1"/>
                <c:pt idx="0">
                  <c:v>Solvay SA</c:v>
                </c:pt>
              </c:strCache>
            </c:strRef>
          </c:tx>
          <c:spPr>
            <a:ln w="28575" cap="rnd">
              <a:solidFill>
                <a:srgbClr val="0070C0"/>
              </a:solidFill>
              <a:round/>
            </a:ln>
            <a:effectLst/>
          </c:spPr>
          <c:marker>
            <c:symbol val="none"/>
          </c:marker>
          <c:cat>
            <c:numRef>
              <c:f>'New Peers'!$C$21:$C$61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Peers'!$L$21:$L$61</c:f>
              <c:numCache>
                <c:formatCode>0.0\x_);\(0.0\x\);\-\ </c:formatCode>
                <c:ptCount val="41"/>
                <c:pt idx="0">
                  <c:v>5.0840229232798801</c:v>
                </c:pt>
                <c:pt idx="1">
                  <c:v>5.1361377680920102</c:v>
                </c:pt>
                <c:pt idx="2">
                  <c:v>5.8099334817420401</c:v>
                </c:pt>
                <c:pt idx="3">
                  <c:v>6.0914980632811799</c:v>
                </c:pt>
                <c:pt idx="4">
                  <c:v>5.6321232801301697</c:v>
                </c:pt>
                <c:pt idx="5">
                  <c:v>5.0650201264330104</c:v>
                </c:pt>
                <c:pt idx="6">
                  <c:v>4.81031945505634</c:v>
                </c:pt>
                <c:pt idx="7">
                  <c:v>5.3431890401648099</c:v>
                </c:pt>
                <c:pt idx="8">
                  <c:v>5.4337842366830698</c:v>
                </c:pt>
                <c:pt idx="9">
                  <c:v>5.9834191608168803</c:v>
                </c:pt>
                <c:pt idx="10">
                  <c:v>6.1276091901463499</c:v>
                </c:pt>
                <c:pt idx="11">
                  <c:v>6.2884751692341396</c:v>
                </c:pt>
                <c:pt idx="12">
                  <c:v>6.1008894224089198</c:v>
                </c:pt>
                <c:pt idx="13">
                  <c:v>6.8905219958083697</c:v>
                </c:pt>
                <c:pt idx="14">
                  <c:v>7.1357045111673898</c:v>
                </c:pt>
                <c:pt idx="15">
                  <c:v>6.1692973583051796</c:v>
                </c:pt>
                <c:pt idx="16">
                  <c:v>5.87062605914688</c:v>
                </c:pt>
                <c:pt idx="17">
                  <c:v>7.0350846079607603</c:v>
                </c:pt>
                <c:pt idx="18">
                  <c:v>6.4909001478257702</c:v>
                </c:pt>
                <c:pt idx="19">
                  <c:v>6.3848722838046497</c:v>
                </c:pt>
                <c:pt idx="20">
                  <c:v>6.3165662409349297</c:v>
                </c:pt>
                <c:pt idx="21">
                  <c:v>6.7898254889148904</c:v>
                </c:pt>
                <c:pt idx="22">
                  <c:v>7.5572706697475196</c:v>
                </c:pt>
                <c:pt idx="23">
                  <c:v>7.2575435426744903</c:v>
                </c:pt>
                <c:pt idx="24">
                  <c:v>6.6308053145779002</c:v>
                </c:pt>
                <c:pt idx="25">
                  <c:v>6.0402358978111304</c:v>
                </c:pt>
                <c:pt idx="26">
                  <c:v>5.4655337189159399</c:v>
                </c:pt>
                <c:pt idx="27">
                  <c:v>5.7990494049450003</c:v>
                </c:pt>
                <c:pt idx="28">
                  <c:v>5.7004522971725002</c:v>
                </c:pt>
                <c:pt idx="29">
                  <c:v>5.3741729941457903</c:v>
                </c:pt>
                <c:pt idx="30">
                  <c:v>4.9918680820272003</c:v>
                </c:pt>
                <c:pt idx="31">
                  <c:v>5.8009733630415603</c:v>
                </c:pt>
                <c:pt idx="32">
                  <c:v>6.2795219311594401</c:v>
                </c:pt>
                <c:pt idx="33">
                  <c:v>8.11322897159876</c:v>
                </c:pt>
                <c:pt idx="34">
                  <c:v>8.8720618346742608</c:v>
                </c:pt>
                <c:pt idx="35">
                  <c:v>4.2169345768157998</c:v>
                </c:pt>
                <c:pt idx="36">
                  <c:v>4.0483413504105297</c:v>
                </c:pt>
                <c:pt idx="37">
                  <c:v>3.9688625554038701</c:v>
                </c:pt>
                <c:pt idx="38">
                  <c:v>4.0957282789535201</c:v>
                </c:pt>
                <c:pt idx="39">
                  <c:v>8.4207634356412608</c:v>
                </c:pt>
                <c:pt idx="40">
                  <c:v>3.5471069695851201</c:v>
                </c:pt>
              </c:numCache>
            </c:numRef>
          </c:val>
          <c:smooth val="0"/>
          <c:extLst>
            <c:ext xmlns:c16="http://schemas.microsoft.com/office/drawing/2014/chart" uri="{C3380CC4-5D6E-409C-BE32-E72D297353CC}">
              <c16:uniqueId val="{00000000-E677-411A-9702-AD454B5DB81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677-411A-9702-AD454B5DB8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Peers'!$L$16,'New Peers'!$L$16)</c:f>
              <c:numCache>
                <c:formatCode>0.0\x_);\(0.0\x\);\-\ </c:formatCode>
                <c:ptCount val="2"/>
                <c:pt idx="0">
                  <c:v>5.9361931292423975</c:v>
                </c:pt>
                <c:pt idx="1">
                  <c:v>5.9361931292423975</c:v>
                </c:pt>
              </c:numCache>
            </c:numRef>
          </c:yVal>
          <c:smooth val="1"/>
          <c:extLst>
            <c:ext xmlns:c16="http://schemas.microsoft.com/office/drawing/2014/chart" uri="{C3380CC4-5D6E-409C-BE32-E72D297353CC}">
              <c16:uniqueId val="{00000002-E677-411A-9702-AD454B5DB819}"/>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E677-411A-9702-AD454B5DB8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Peers'!$L$17,'New Peers'!$L$17)</c:f>
              <c:numCache>
                <c:formatCode>0.0\x_);\(0.0\x\);\-\ </c:formatCode>
                <c:ptCount val="2"/>
                <c:pt idx="0">
                  <c:v>4.9437206904006663</c:v>
                </c:pt>
                <c:pt idx="1">
                  <c:v>4.9437206904006663</c:v>
                </c:pt>
              </c:numCache>
            </c:numRef>
          </c:yVal>
          <c:smooth val="1"/>
          <c:extLst>
            <c:ext xmlns:c16="http://schemas.microsoft.com/office/drawing/2014/chart" uri="{C3380CC4-5D6E-409C-BE32-E72D297353CC}">
              <c16:uniqueId val="{00000004-E677-411A-9702-AD454B5DB819}"/>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E677-411A-9702-AD454B5DB8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Peers'!$L$18,'New Peers'!$L$18)</c:f>
              <c:numCache>
                <c:formatCode>0.0\x_);\(0.0\x\);\-\ </c:formatCode>
                <c:ptCount val="2"/>
                <c:pt idx="0">
                  <c:v>6.9286655680841287</c:v>
                </c:pt>
                <c:pt idx="1">
                  <c:v>6.9286655680841287</c:v>
                </c:pt>
              </c:numCache>
            </c:numRef>
          </c:yVal>
          <c:smooth val="1"/>
          <c:extLst>
            <c:ext xmlns:c16="http://schemas.microsoft.com/office/drawing/2014/chart" uri="{C3380CC4-5D6E-409C-BE32-E72D297353CC}">
              <c16:uniqueId val="{00000006-E677-411A-9702-AD454B5DB81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2"/>
        <c:tickMarkSkip val="2"/>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4472C4"/>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Peers'!$I$11</c:f>
          <c:strCache>
            <c:ptCount val="1"/>
            <c:pt idx="0">
              <c:v>Huntsman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Peers'!$I$11</c:f>
              <c:strCache>
                <c:ptCount val="1"/>
                <c:pt idx="0">
                  <c:v>Huntsman Corp</c:v>
                </c:pt>
              </c:strCache>
            </c:strRef>
          </c:tx>
          <c:spPr>
            <a:ln w="28575" cap="rnd">
              <a:solidFill>
                <a:srgbClr val="0070C0"/>
              </a:solidFill>
              <a:round/>
            </a:ln>
            <a:effectLst/>
          </c:spPr>
          <c:marker>
            <c:symbol val="none"/>
          </c:marker>
          <c:cat>
            <c:numRef>
              <c:f>'New Peers'!$C$21:$D$61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Peers'!$I$21:$I$61</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4.8846288847580803</c:v>
                </c:pt>
                <c:pt idx="16">
                  <c:v>4.9835236146653497</c:v>
                </c:pt>
                <c:pt idx="17">
                  <c:v>4.74316712646156</c:v>
                </c:pt>
                <c:pt idx="18">
                  <c:v>4.8375732900463104</c:v>
                </c:pt>
                <c:pt idx="19">
                  <c:v>5.7054280058967501</c:v>
                </c:pt>
                <c:pt idx="20">
                  <c:v>5.5980651976180704</c:v>
                </c:pt>
                <c:pt idx="21">
                  <c:v>6.0319891135286303</c:v>
                </c:pt>
                <c:pt idx="22">
                  <c:v>7.2876688111865997</c:v>
                </c:pt>
                <c:pt idx="23">
                  <c:v>7.1320475832619303</c:v>
                </c:pt>
                <c:pt idx="24">
                  <c:v>8.4220540623109894</c:v>
                </c:pt>
                <c:pt idx="25">
                  <c:v>8.8673892414755606</c:v>
                </c:pt>
                <c:pt idx="26">
                  <c:v>8.3553127706758996</c:v>
                </c:pt>
                <c:pt idx="27">
                  <c:v>10.0070176446267</c:v>
                </c:pt>
                <c:pt idx="28">
                  <c:v>8.2418706118385803</c:v>
                </c:pt>
                <c:pt idx="29">
                  <c:v>6.9654619025561297</c:v>
                </c:pt>
                <c:pt idx="30">
                  <c:v>6.5852120570952701</c:v>
                </c:pt>
                <c:pt idx="31">
                  <c:v>7.96000506248145</c:v>
                </c:pt>
                <c:pt idx="32">
                  <c:v>7.1789761297505699</c:v>
                </c:pt>
                <c:pt idx="33">
                  <c:v>6.5669808093208202</c:v>
                </c:pt>
                <c:pt idx="34">
                  <c:v>7.1496247591346496</c:v>
                </c:pt>
                <c:pt idx="35">
                  <c:v>6.6220162408997503</c:v>
                </c:pt>
                <c:pt idx="36">
                  <c:v>6.0550526044256596</c:v>
                </c:pt>
                <c:pt idx="37">
                  <c:v>6.3973168246114698</c:v>
                </c:pt>
                <c:pt idx="38">
                  <c:v>6.9676970079078702</c:v>
                </c:pt>
                <c:pt idx="39">
                  <c:v>6.0874126563522903</c:v>
                </c:pt>
                <c:pt idx="40">
                  <c:v>5.0737842918798197</c:v>
                </c:pt>
              </c:numCache>
            </c:numRef>
          </c:val>
          <c:smooth val="0"/>
          <c:extLst>
            <c:ext xmlns:c16="http://schemas.microsoft.com/office/drawing/2014/chart" uri="{C3380CC4-5D6E-409C-BE32-E72D297353CC}">
              <c16:uniqueId val="{00000000-826B-443E-9EC9-5048BD9FD79B}"/>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26B-443E-9EC9-5048BD9FD79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Peers'!$I$16,'New Peers'!$I$16)</c:f>
              <c:numCache>
                <c:formatCode>0.0\x_);\(0.0\x\);\-\ </c:formatCode>
                <c:ptCount val="2"/>
                <c:pt idx="0">
                  <c:v>6.5537388397965728</c:v>
                </c:pt>
                <c:pt idx="1">
                  <c:v>6.5537388397965728</c:v>
                </c:pt>
              </c:numCache>
            </c:numRef>
          </c:yVal>
          <c:smooth val="1"/>
          <c:extLst>
            <c:ext xmlns:c16="http://schemas.microsoft.com/office/drawing/2014/chart" uri="{C3380CC4-5D6E-409C-BE32-E72D297353CC}">
              <c16:uniqueId val="{00000002-826B-443E-9EC9-5048BD9FD79B}"/>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26B-443E-9EC9-5048BD9FD79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Peers'!$I$17,'New Peers'!$I$17)</c:f>
              <c:numCache>
                <c:formatCode>0.0\x_);\(0.0\x\);\-\ </c:formatCode>
                <c:ptCount val="2"/>
                <c:pt idx="0">
                  <c:v>5.4015040942118553</c:v>
                </c:pt>
                <c:pt idx="1">
                  <c:v>5.4015040942118553</c:v>
                </c:pt>
              </c:numCache>
            </c:numRef>
          </c:yVal>
          <c:smooth val="1"/>
          <c:extLst>
            <c:ext xmlns:c16="http://schemas.microsoft.com/office/drawing/2014/chart" uri="{C3380CC4-5D6E-409C-BE32-E72D297353CC}">
              <c16:uniqueId val="{00000004-826B-443E-9EC9-5048BD9FD79B}"/>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26B-443E-9EC9-5048BD9FD79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Peers'!$I$18,'New Peers'!$I$18)</c:f>
              <c:numCache>
                <c:formatCode>0.0\x_);\(0.0\x\);\-\ </c:formatCode>
                <c:ptCount val="2"/>
                <c:pt idx="0">
                  <c:v>7.7059735853812903</c:v>
                </c:pt>
                <c:pt idx="1">
                  <c:v>7.7059735853812903</c:v>
                </c:pt>
              </c:numCache>
            </c:numRef>
          </c:yVal>
          <c:smooth val="1"/>
          <c:extLst>
            <c:ext xmlns:c16="http://schemas.microsoft.com/office/drawing/2014/chart" uri="{C3380CC4-5D6E-409C-BE32-E72D297353CC}">
              <c16:uniqueId val="{00000006-826B-443E-9EC9-5048BD9FD79B}"/>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Peers'!$J$11</c:f>
          <c:strCache>
            <c:ptCount val="1"/>
            <c:pt idx="0">
              <c:v>FMC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Peers'!$J$11</c:f>
              <c:strCache>
                <c:ptCount val="1"/>
                <c:pt idx="0">
                  <c:v>FMC Corp</c:v>
                </c:pt>
              </c:strCache>
            </c:strRef>
          </c:tx>
          <c:spPr>
            <a:ln w="28575" cap="rnd">
              <a:solidFill>
                <a:srgbClr val="0070C0"/>
              </a:solidFill>
              <a:round/>
            </a:ln>
            <a:effectLst/>
          </c:spPr>
          <c:marker>
            <c:symbol val="none"/>
          </c:marker>
          <c:cat>
            <c:numRef>
              <c:f>'New Peers'!$C$20:$D$60</c:f>
              <c:numCache>
                <c:formatCode>"Q1"\ yyyy</c:formatCode>
                <c:ptCount val="41"/>
                <c:pt idx="0" formatCode="&quot;Q4&quot;\ yyyy">
                  <c:v>36981</c:v>
                </c:pt>
                <c:pt idx="1">
                  <c:v>37072</c:v>
                </c:pt>
                <c:pt idx="2" formatCode="&quot;Q2&quot;\ yyyy">
                  <c:v>37164</c:v>
                </c:pt>
                <c:pt idx="3" formatCode="&quot;Q3&quot;\ yyyy">
                  <c:v>37256</c:v>
                </c:pt>
                <c:pt idx="4" formatCode="&quot;Q4&quot;\ yyyy">
                  <c:v>37346</c:v>
                </c:pt>
                <c:pt idx="5">
                  <c:v>37437</c:v>
                </c:pt>
                <c:pt idx="6" formatCode="&quot;Q2&quot;\ yyyy">
                  <c:v>37529</c:v>
                </c:pt>
                <c:pt idx="7" formatCode="&quot;Q3&quot;\ yyyy">
                  <c:v>37621</c:v>
                </c:pt>
                <c:pt idx="8" formatCode="&quot;Q4&quot;\ yyyy">
                  <c:v>37711</c:v>
                </c:pt>
                <c:pt idx="9">
                  <c:v>37802</c:v>
                </c:pt>
                <c:pt idx="10" formatCode="&quot;Q2&quot;\ yyyy">
                  <c:v>37894</c:v>
                </c:pt>
                <c:pt idx="11" formatCode="&quot;Q3&quot;\ yyyy">
                  <c:v>37986</c:v>
                </c:pt>
                <c:pt idx="12" formatCode="&quot;Q4&quot;\ yyyy">
                  <c:v>38077</c:v>
                </c:pt>
                <c:pt idx="13">
                  <c:v>38168</c:v>
                </c:pt>
                <c:pt idx="14" formatCode="&quot;Q2&quot;\ yyyy">
                  <c:v>38260</c:v>
                </c:pt>
                <c:pt idx="15" formatCode="&quot;Q3&quot;\ yyyy">
                  <c:v>38352</c:v>
                </c:pt>
                <c:pt idx="16" formatCode="&quot;Q4&quot;\ yyyy">
                  <c:v>38442</c:v>
                </c:pt>
                <c:pt idx="17">
                  <c:v>38533</c:v>
                </c:pt>
                <c:pt idx="18" formatCode="&quot;Q2&quot;\ yyyy">
                  <c:v>38625</c:v>
                </c:pt>
                <c:pt idx="19" formatCode="&quot;Q3&quot;\ yyyy">
                  <c:v>38717</c:v>
                </c:pt>
                <c:pt idx="20" formatCode="&quot;Q4&quot;\ yyyy">
                  <c:v>38807</c:v>
                </c:pt>
                <c:pt idx="21">
                  <c:v>38898</c:v>
                </c:pt>
                <c:pt idx="22" formatCode="&quot;Q2&quot;\ yyyy">
                  <c:v>38990</c:v>
                </c:pt>
                <c:pt idx="23" formatCode="&quot;Q3&quot;\ yyyy">
                  <c:v>39082</c:v>
                </c:pt>
                <c:pt idx="24" formatCode="&quot;Q4&quot;\ yyyy">
                  <c:v>39172</c:v>
                </c:pt>
                <c:pt idx="25">
                  <c:v>39263</c:v>
                </c:pt>
                <c:pt idx="26" formatCode="&quot;Q2&quot;\ yyyy">
                  <c:v>39355</c:v>
                </c:pt>
                <c:pt idx="27" formatCode="&quot;Q3&quot;\ yyyy">
                  <c:v>39447</c:v>
                </c:pt>
                <c:pt idx="28" formatCode="&quot;Q4&quot;\ yyyy">
                  <c:v>39538</c:v>
                </c:pt>
                <c:pt idx="29">
                  <c:v>39629</c:v>
                </c:pt>
                <c:pt idx="30" formatCode="&quot;Q2&quot;\ yyyy">
                  <c:v>39721</c:v>
                </c:pt>
                <c:pt idx="31" formatCode="&quot;Q3&quot;\ yyyy">
                  <c:v>39813</c:v>
                </c:pt>
                <c:pt idx="32" formatCode="&quot;Q4&quot;\ yyyy">
                  <c:v>39903</c:v>
                </c:pt>
                <c:pt idx="33">
                  <c:v>39994</c:v>
                </c:pt>
                <c:pt idx="34" formatCode="&quot;Q2&quot;\ yyyy">
                  <c:v>40086</c:v>
                </c:pt>
                <c:pt idx="35" formatCode="&quot;Q3&quot;\ yyyy">
                  <c:v>40178</c:v>
                </c:pt>
                <c:pt idx="36" formatCode="&quot;Q4&quot;\ yyyy">
                  <c:v>40268</c:v>
                </c:pt>
                <c:pt idx="37">
                  <c:v>40359</c:v>
                </c:pt>
                <c:pt idx="38" formatCode="&quot;Q2&quot;\ yyyy">
                  <c:v>40451</c:v>
                </c:pt>
                <c:pt idx="39" formatCode="&quot;Q3&quot;\ yyyy">
                  <c:v>40543</c:v>
                </c:pt>
                <c:pt idx="40" formatCode="&quot;Q4&quot;\ yyyy">
                  <c:v>40633</c:v>
                </c:pt>
              </c:numCache>
            </c:numRef>
          </c:cat>
          <c:val>
            <c:numRef>
              <c:f>'New Peers'!$J$20:$J$60</c:f>
              <c:numCache>
                <c:formatCode>0.0\x_);\(0.0\x\);\-\ </c:formatCode>
                <c:ptCount val="41"/>
                <c:pt idx="0">
                  <c:v>0</c:v>
                </c:pt>
                <c:pt idx="1">
                  <c:v>0</c:v>
                </c:pt>
                <c:pt idx="2">
                  <c:v>0</c:v>
                </c:pt>
                <c:pt idx="3">
                  <c:v>0</c:v>
                </c:pt>
                <c:pt idx="4">
                  <c:v>0</c:v>
                </c:pt>
                <c:pt idx="5">
                  <c:v>5.9114493232187497</c:v>
                </c:pt>
                <c:pt idx="6">
                  <c:v>5.4199726915467998</c:v>
                </c:pt>
                <c:pt idx="7">
                  <c:v>4.30688208339574</c:v>
                </c:pt>
                <c:pt idx="8">
                  <c:v>7.1091920690328996</c:v>
                </c:pt>
                <c:pt idx="9">
                  <c:v>6.3256057775329904</c:v>
                </c:pt>
                <c:pt idx="10">
                  <c:v>6.0305246609578003</c:v>
                </c:pt>
                <c:pt idx="11">
                  <c:v>6.8977609064886201</c:v>
                </c:pt>
                <c:pt idx="12">
                  <c:v>7.2475954996220997</c:v>
                </c:pt>
                <c:pt idx="13">
                  <c:v>6.7629780774080901</c:v>
                </c:pt>
                <c:pt idx="14">
                  <c:v>7.0963120579702599</c:v>
                </c:pt>
                <c:pt idx="15">
                  <c:v>6.7003797540549801</c:v>
                </c:pt>
                <c:pt idx="16">
                  <c:v>6.2084439224213499</c:v>
                </c:pt>
                <c:pt idx="17">
                  <c:v>6.5020152716734101</c:v>
                </c:pt>
                <c:pt idx="18">
                  <c:v>5.59052488399327</c:v>
                </c:pt>
                <c:pt idx="19">
                  <c:v>6.65901864139519</c:v>
                </c:pt>
                <c:pt idx="20">
                  <c:v>6.4532542903098804</c:v>
                </c:pt>
                <c:pt idx="21">
                  <c:v>5.8673554667123504</c:v>
                </c:pt>
                <c:pt idx="22">
                  <c:v>6.4469163995819203</c:v>
                </c:pt>
                <c:pt idx="23">
                  <c:v>6.7905482901647796</c:v>
                </c:pt>
                <c:pt idx="24">
                  <c:v>7.5225478690977203</c:v>
                </c:pt>
                <c:pt idx="25">
                  <c:v>7.4153863760625001</c:v>
                </c:pt>
                <c:pt idx="26">
                  <c:v>7.8752590576412604</c:v>
                </c:pt>
                <c:pt idx="27">
                  <c:v>7.3423223139757097</c:v>
                </c:pt>
                <c:pt idx="28">
                  <c:v>9.0340142045306493</c:v>
                </c:pt>
                <c:pt idx="29">
                  <c:v>8.4858169304753108</c:v>
                </c:pt>
                <c:pt idx="30">
                  <c:v>4.34286261278569</c:v>
                </c:pt>
                <c:pt idx="31">
                  <c:v>5.4705480508151396</c:v>
                </c:pt>
                <c:pt idx="32">
                  <c:v>6.02799633603163</c:v>
                </c:pt>
                <c:pt idx="33">
                  <c:v>6.5056174806143998</c:v>
                </c:pt>
                <c:pt idx="34">
                  <c:v>6.7594542913646398</c:v>
                </c:pt>
                <c:pt idx="35">
                  <c:v>6.7754790588824596</c:v>
                </c:pt>
                <c:pt idx="36">
                  <c:v>7.3490990419220799</c:v>
                </c:pt>
                <c:pt idx="37">
                  <c:v>6.8035507228914298</c:v>
                </c:pt>
                <c:pt idx="38">
                  <c:v>7.9133181298988999</c:v>
                </c:pt>
                <c:pt idx="39">
                  <c:v>8.4186797217840201</c:v>
                </c:pt>
                <c:pt idx="40">
                  <c:v>8.2704725885683601</c:v>
                </c:pt>
              </c:numCache>
            </c:numRef>
          </c:val>
          <c:smooth val="0"/>
          <c:extLst>
            <c:ext xmlns:c16="http://schemas.microsoft.com/office/drawing/2014/chart" uri="{C3380CC4-5D6E-409C-BE32-E72D297353CC}">
              <c16:uniqueId val="{00000000-DC30-4368-B6E9-02AB25FB4E00}"/>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C30-4368-B6E9-02AB25FB4E0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Peers'!$J$16,'New Peers'!$J$16)</c:f>
              <c:numCache>
                <c:formatCode>0.0\x_);\(0.0\x\);\-\ </c:formatCode>
                <c:ptCount val="2"/>
                <c:pt idx="0">
                  <c:v>8.6650900504759072</c:v>
                </c:pt>
                <c:pt idx="1">
                  <c:v>8.6650900504759072</c:v>
                </c:pt>
              </c:numCache>
            </c:numRef>
          </c:yVal>
          <c:smooth val="1"/>
          <c:extLst>
            <c:ext xmlns:c16="http://schemas.microsoft.com/office/drawing/2014/chart" uri="{C3380CC4-5D6E-409C-BE32-E72D297353CC}">
              <c16:uniqueId val="{00000002-DC30-4368-B6E9-02AB25FB4E00}"/>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DC30-4368-B6E9-02AB25FB4E0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Peers'!$J$17,'New Peers'!$J$17)</c:f>
              <c:numCache>
                <c:formatCode>0.0\x_);\(0.0\x\);\-\ </c:formatCode>
                <c:ptCount val="2"/>
                <c:pt idx="0">
                  <c:v>6.3876427394272293</c:v>
                </c:pt>
                <c:pt idx="1">
                  <c:v>6.3876427394272293</c:v>
                </c:pt>
              </c:numCache>
            </c:numRef>
          </c:yVal>
          <c:smooth val="1"/>
          <c:extLst>
            <c:ext xmlns:c16="http://schemas.microsoft.com/office/drawing/2014/chart" uri="{C3380CC4-5D6E-409C-BE32-E72D297353CC}">
              <c16:uniqueId val="{00000004-DC30-4368-B6E9-02AB25FB4E00}"/>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DC30-4368-B6E9-02AB25FB4E0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Peers'!$J$18,'New Peers'!$J$18)</c:f>
              <c:numCache>
                <c:formatCode>0.0\x_);\(0.0\x\);\-\ </c:formatCode>
                <c:ptCount val="2"/>
                <c:pt idx="0">
                  <c:v>10.942537361524586</c:v>
                </c:pt>
                <c:pt idx="1">
                  <c:v>10.942537361524586</c:v>
                </c:pt>
              </c:numCache>
            </c:numRef>
          </c:yVal>
          <c:smooth val="1"/>
          <c:extLst>
            <c:ext xmlns:c16="http://schemas.microsoft.com/office/drawing/2014/chart" uri="{C3380CC4-5D6E-409C-BE32-E72D297353CC}">
              <c16:uniqueId val="{00000006-DC30-4368-B6E9-02AB25FB4E00}"/>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Peers'!$K$11</c:f>
          <c:strCache>
            <c:ptCount val="1"/>
            <c:pt idx="0">
              <c:v>PPG Industries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Peers'!$K$11</c:f>
              <c:strCache>
                <c:ptCount val="1"/>
                <c:pt idx="0">
                  <c:v>PPG Industries Inc</c:v>
                </c:pt>
              </c:strCache>
            </c:strRef>
          </c:tx>
          <c:spPr>
            <a:ln w="28575" cap="rnd">
              <a:solidFill>
                <a:srgbClr val="0070C0"/>
              </a:solidFill>
              <a:round/>
            </a:ln>
            <a:effectLst/>
          </c:spPr>
          <c:marker>
            <c:symbol val="none"/>
          </c:marker>
          <c:cat>
            <c:numRef>
              <c:f>'New Peers'!$C$21:$D$61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Peers'!$K$21:$K$61</c:f>
              <c:numCache>
                <c:formatCode>0.0\x_);\(0.0\x\);\-\ </c:formatCode>
                <c:ptCount val="41"/>
                <c:pt idx="0">
                  <c:v>0</c:v>
                </c:pt>
                <c:pt idx="1">
                  <c:v>0</c:v>
                </c:pt>
                <c:pt idx="2">
                  <c:v>0</c:v>
                </c:pt>
                <c:pt idx="3">
                  <c:v>8.3350850635176705</c:v>
                </c:pt>
                <c:pt idx="4">
                  <c:v>7.8228830996743799</c:v>
                </c:pt>
                <c:pt idx="5">
                  <c:v>7.0123643203411499</c:v>
                </c:pt>
                <c:pt idx="6">
                  <c:v>6.6675137233761701</c:v>
                </c:pt>
                <c:pt idx="7">
                  <c:v>6.9111330210570303</c:v>
                </c:pt>
                <c:pt idx="8">
                  <c:v>7.4561239142743201</c:v>
                </c:pt>
                <c:pt idx="9">
                  <c:v>7.5979281350410099</c:v>
                </c:pt>
                <c:pt idx="10">
                  <c:v>7.8058565154212296</c:v>
                </c:pt>
                <c:pt idx="11">
                  <c:v>6.9779605617044602</c:v>
                </c:pt>
                <c:pt idx="12">
                  <c:v>6.5953614431993604</c:v>
                </c:pt>
                <c:pt idx="13">
                  <c:v>7.31864340959884</c:v>
                </c:pt>
                <c:pt idx="14">
                  <c:v>7.3815473673909899</c:v>
                </c:pt>
                <c:pt idx="15">
                  <c:v>6.3996792799921396</c:v>
                </c:pt>
                <c:pt idx="16">
                  <c:v>6.4133694331197004</c:v>
                </c:pt>
                <c:pt idx="17">
                  <c:v>6.1616569107361503</c:v>
                </c:pt>
                <c:pt idx="18">
                  <c:v>6.1610815466557796</c:v>
                </c:pt>
                <c:pt idx="19">
                  <c:v>6.8407269300261602</c:v>
                </c:pt>
                <c:pt idx="20">
                  <c:v>6.2792342845210802</c:v>
                </c:pt>
                <c:pt idx="21">
                  <c:v>6.9859098479863304</c:v>
                </c:pt>
                <c:pt idx="22">
                  <c:v>7.0103118805630702</c:v>
                </c:pt>
                <c:pt idx="23">
                  <c:v>7.5634914573599099</c:v>
                </c:pt>
                <c:pt idx="24">
                  <c:v>6.6398816165646597</c:v>
                </c:pt>
                <c:pt idx="25">
                  <c:v>5.8775416540754604</c:v>
                </c:pt>
                <c:pt idx="26">
                  <c:v>5.3694648802934601</c:v>
                </c:pt>
                <c:pt idx="27">
                  <c:v>6.7125155350196097</c:v>
                </c:pt>
                <c:pt idx="28">
                  <c:v>6.4080786081943302</c:v>
                </c:pt>
                <c:pt idx="29">
                  <c:v>5.2354947085148096</c:v>
                </c:pt>
                <c:pt idx="30">
                  <c:v>5.7661063715638603</c:v>
                </c:pt>
                <c:pt idx="31">
                  <c:v>7.0552885436016597</c:v>
                </c:pt>
                <c:pt idx="32">
                  <c:v>8.1098252833032394</c:v>
                </c:pt>
                <c:pt idx="33">
                  <c:v>7.7149751867730503</c:v>
                </c:pt>
                <c:pt idx="34">
                  <c:v>7.4667003758188999</c:v>
                </c:pt>
                <c:pt idx="35">
                  <c:v>7.2932717317737596</c:v>
                </c:pt>
                <c:pt idx="36">
                  <c:v>6.8061492329786102</c:v>
                </c:pt>
                <c:pt idx="37">
                  <c:v>7.2332398962172899</c:v>
                </c:pt>
                <c:pt idx="38">
                  <c:v>7.6195289045547501</c:v>
                </c:pt>
                <c:pt idx="39">
                  <c:v>7.3913141891183898</c:v>
                </c:pt>
                <c:pt idx="40">
                  <c:v>6.1542093435195602</c:v>
                </c:pt>
              </c:numCache>
            </c:numRef>
          </c:val>
          <c:smooth val="0"/>
          <c:extLst>
            <c:ext xmlns:c16="http://schemas.microsoft.com/office/drawing/2014/chart" uri="{C3380CC4-5D6E-409C-BE32-E72D297353CC}">
              <c16:uniqueId val="{00000000-35C7-452D-A36C-0F05E684076B}"/>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5C7-452D-A36C-0F05E684076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Peers'!$K$16,'New Peers'!$K$16)</c:f>
              <c:numCache>
                <c:formatCode>0.0\x_);\(0.0\x\);\-\ </c:formatCode>
                <c:ptCount val="2"/>
                <c:pt idx="0">
                  <c:v>8.727804017947383</c:v>
                </c:pt>
                <c:pt idx="1">
                  <c:v>8.727804017947383</c:v>
                </c:pt>
              </c:numCache>
            </c:numRef>
          </c:yVal>
          <c:smooth val="1"/>
          <c:extLst>
            <c:ext xmlns:c16="http://schemas.microsoft.com/office/drawing/2014/chart" uri="{C3380CC4-5D6E-409C-BE32-E72D297353CC}">
              <c16:uniqueId val="{00000002-35C7-452D-A36C-0F05E684076B}"/>
            </c:ext>
          </c:extLst>
        </c:ser>
        <c:ser>
          <c:idx val="2"/>
          <c:order val="2"/>
          <c:tx>
            <c:strRef>
              <c:f>'New Peers'!$C$17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35C7-452D-A36C-0F05E684076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Peers'!$K$17,'New Peers'!$K$17)</c:f>
              <c:numCache>
                <c:formatCode>0.0\x_);\(0.0\x\);\-\ </c:formatCode>
                <c:ptCount val="2"/>
                <c:pt idx="0">
                  <c:v>6.6342970532882521</c:v>
                </c:pt>
                <c:pt idx="1">
                  <c:v>6.6342970532882521</c:v>
                </c:pt>
              </c:numCache>
            </c:numRef>
          </c:yVal>
          <c:smooth val="1"/>
          <c:extLst>
            <c:ext xmlns:c16="http://schemas.microsoft.com/office/drawing/2014/chart" uri="{C3380CC4-5D6E-409C-BE32-E72D297353CC}">
              <c16:uniqueId val="{00000004-35C7-452D-A36C-0F05E684076B}"/>
            </c:ext>
          </c:extLst>
        </c:ser>
        <c:ser>
          <c:idx val="3"/>
          <c:order val="3"/>
          <c:tx>
            <c:strRef>
              <c:f>'New Peers'!$C$18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35C7-452D-A36C-0F05E684076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Peers'!$K$18,'New Peers'!$K$18)</c:f>
              <c:numCache>
                <c:formatCode>0.0\x_);\(0.0\x\);\-\ </c:formatCode>
                <c:ptCount val="2"/>
                <c:pt idx="0">
                  <c:v>10.821310982606514</c:v>
                </c:pt>
                <c:pt idx="1">
                  <c:v>10.821310982606514</c:v>
                </c:pt>
              </c:numCache>
            </c:numRef>
          </c:yVal>
          <c:smooth val="1"/>
          <c:extLst>
            <c:ext xmlns:c16="http://schemas.microsoft.com/office/drawing/2014/chart" uri="{C3380CC4-5D6E-409C-BE32-E72D297353CC}">
              <c16:uniqueId val="{00000006-35C7-452D-A36C-0F05E684076B}"/>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ax val="13"/>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'New Peers'!$M$11</c:f>
          <c:strCache>
            <c:ptCount val="1"/>
            <c:pt idx="0">
              <c:v>Eastman Chemical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'New Peers'!$L$11</c:f>
              <c:strCache>
                <c:ptCount val="1"/>
                <c:pt idx="0">
                  <c:v>Solvay SA</c:v>
                </c:pt>
              </c:strCache>
            </c:strRef>
          </c:tx>
          <c:spPr>
            <a:ln w="28575" cap="rnd">
              <a:solidFill>
                <a:schemeClr val="accent1"/>
              </a:solidFill>
              <a:round/>
            </a:ln>
            <a:effectLst/>
          </c:spPr>
          <c:marker>
            <c:symbol val="none"/>
          </c:marker>
          <c:dLbls>
            <c:delete val="1"/>
          </c:dLbls>
          <c:cat>
            <c:numRef>
              <c:f>'New Peers'!$C$21:$C$61</c:f>
              <c:numCache>
                <c:formatCode>"Q2"\ yyyy</c:formatCode>
                <c:ptCount val="41"/>
                <c:pt idx="0" formatCode="&quot;Q1&quot;\ yyyy">
                  <c:v>37072</c:v>
                </c:pt>
                <c:pt idx="1">
                  <c:v>37164</c:v>
                </c:pt>
                <c:pt idx="2" formatCode="&quot;Q3&quot;\ yyyy">
                  <c:v>37256</c:v>
                </c:pt>
                <c:pt idx="3" formatCode="&quot;Q4&quot;\ yyyy">
                  <c:v>37346</c:v>
                </c:pt>
                <c:pt idx="4" formatCode="&quot;Q1&quot;\ yyyy">
                  <c:v>37437</c:v>
                </c:pt>
                <c:pt idx="5">
                  <c:v>37529</c:v>
                </c:pt>
                <c:pt idx="6" formatCode="&quot;Q3&quot;\ yyyy">
                  <c:v>37621</c:v>
                </c:pt>
                <c:pt idx="7" formatCode="&quot;Q4&quot;\ yyyy">
                  <c:v>37711</c:v>
                </c:pt>
                <c:pt idx="8" formatCode="&quot;Q1&quot;\ yyyy">
                  <c:v>37802</c:v>
                </c:pt>
                <c:pt idx="9">
                  <c:v>37894</c:v>
                </c:pt>
                <c:pt idx="10" formatCode="&quot;Q3&quot;\ yyyy">
                  <c:v>37986</c:v>
                </c:pt>
                <c:pt idx="11" formatCode="&quot;Q4&quot;\ yyyy">
                  <c:v>38077</c:v>
                </c:pt>
                <c:pt idx="12" formatCode="&quot;Q1&quot;\ yyyy">
                  <c:v>38168</c:v>
                </c:pt>
                <c:pt idx="13">
                  <c:v>38260</c:v>
                </c:pt>
                <c:pt idx="14" formatCode="&quot;Q3&quot;\ yyyy">
                  <c:v>38352</c:v>
                </c:pt>
                <c:pt idx="15" formatCode="&quot;Q4&quot;\ yyyy">
                  <c:v>38442</c:v>
                </c:pt>
                <c:pt idx="16" formatCode="&quot;Q1&quot;\ yyyy">
                  <c:v>38533</c:v>
                </c:pt>
                <c:pt idx="17">
                  <c:v>38625</c:v>
                </c:pt>
                <c:pt idx="18" formatCode="&quot;Q3&quot;\ yyyy">
                  <c:v>38717</c:v>
                </c:pt>
                <c:pt idx="19" formatCode="&quot;Q4&quot;\ yyyy">
                  <c:v>38807</c:v>
                </c:pt>
                <c:pt idx="20" formatCode="&quot;Q1&quot;\ yyyy">
                  <c:v>38898</c:v>
                </c:pt>
                <c:pt idx="21">
                  <c:v>38990</c:v>
                </c:pt>
                <c:pt idx="22" formatCode="&quot;Q3&quot;\ yyyy">
                  <c:v>39082</c:v>
                </c:pt>
                <c:pt idx="23" formatCode="&quot;Q4&quot;\ yyyy">
                  <c:v>39172</c:v>
                </c:pt>
                <c:pt idx="24" formatCode="&quot;Q1&quot;\ yyyy">
                  <c:v>39263</c:v>
                </c:pt>
                <c:pt idx="25">
                  <c:v>39355</c:v>
                </c:pt>
                <c:pt idx="26" formatCode="&quot;Q3&quot;\ yyyy">
                  <c:v>39447</c:v>
                </c:pt>
                <c:pt idx="27" formatCode="&quot;Q4&quot;\ yyyy">
                  <c:v>39538</c:v>
                </c:pt>
                <c:pt idx="28" formatCode="&quot;Q1&quot;\ yyyy">
                  <c:v>39629</c:v>
                </c:pt>
                <c:pt idx="29">
                  <c:v>39721</c:v>
                </c:pt>
                <c:pt idx="30" formatCode="&quot;Q3&quot;\ yyyy">
                  <c:v>39813</c:v>
                </c:pt>
                <c:pt idx="31" formatCode="&quot;Q4&quot;\ yyyy">
                  <c:v>39903</c:v>
                </c:pt>
                <c:pt idx="32" formatCode="&quot;Q1&quot;\ yyyy">
                  <c:v>39994</c:v>
                </c:pt>
                <c:pt idx="33">
                  <c:v>40086</c:v>
                </c:pt>
                <c:pt idx="34" formatCode="&quot;Q3&quot;\ yyyy">
                  <c:v>40178</c:v>
                </c:pt>
                <c:pt idx="35" formatCode="&quot;Q4&quot;\ yyyy">
                  <c:v>40268</c:v>
                </c:pt>
                <c:pt idx="36" formatCode="&quot;Q1&quot;\ yyyy">
                  <c:v>40359</c:v>
                </c:pt>
                <c:pt idx="37">
                  <c:v>40451</c:v>
                </c:pt>
                <c:pt idx="38" formatCode="&quot;Q3&quot;\ yyyy">
                  <c:v>40543</c:v>
                </c:pt>
                <c:pt idx="39" formatCode="&quot;Q4&quot;\ yyyy">
                  <c:v>40633</c:v>
                </c:pt>
                <c:pt idx="40" formatCode="&quot;Q1&quot;\ yyyy">
                  <c:v>40724</c:v>
                </c:pt>
              </c:numCache>
            </c:numRef>
          </c:cat>
          <c:val>
            <c:numRef>
              <c:f>'New Peers'!$M$21:$M$61</c:f>
              <c:numCache>
                <c:formatCode>0.0\x_);\(0.0\x\);\-\ </c:formatCode>
                <c:ptCount val="41"/>
                <c:pt idx="0">
                  <c:v>0</c:v>
                </c:pt>
                <c:pt idx="1">
                  <c:v>0</c:v>
                </c:pt>
                <c:pt idx="2">
                  <c:v>0</c:v>
                </c:pt>
                <c:pt idx="3">
                  <c:v>0</c:v>
                </c:pt>
                <c:pt idx="4">
                  <c:v>6.87088793062152</c:v>
                </c:pt>
                <c:pt idx="5">
                  <c:v>6.0751136412586</c:v>
                </c:pt>
                <c:pt idx="6">
                  <c:v>0</c:v>
                </c:pt>
                <c:pt idx="7">
                  <c:v>6.4170304622231198</c:v>
                </c:pt>
                <c:pt idx="8">
                  <c:v>6.7750575682194203</c:v>
                </c:pt>
                <c:pt idx="9">
                  <c:v>6.8654685030770901</c:v>
                </c:pt>
                <c:pt idx="10">
                  <c:v>7.8432490350863402</c:v>
                </c:pt>
                <c:pt idx="11">
                  <c:v>7.5569167040128704</c:v>
                </c:pt>
                <c:pt idx="12">
                  <c:v>6.8471384363263397</c:v>
                </c:pt>
                <c:pt idx="13">
                  <c:v>7.1984570420328797</c:v>
                </c:pt>
                <c:pt idx="14">
                  <c:v>7.1596350422116304</c:v>
                </c:pt>
                <c:pt idx="15">
                  <c:v>6.1408772534009701</c:v>
                </c:pt>
                <c:pt idx="16">
                  <c:v>4.9706892077254903</c:v>
                </c:pt>
                <c:pt idx="17">
                  <c:v>5.1884370354057499</c:v>
                </c:pt>
                <c:pt idx="18">
                  <c:v>5.1637922224389996</c:v>
                </c:pt>
                <c:pt idx="19">
                  <c:v>5.6476763149678</c:v>
                </c:pt>
                <c:pt idx="20">
                  <c:v>5.2823194489265299</c:v>
                </c:pt>
                <c:pt idx="21">
                  <c:v>6.28923035184381</c:v>
                </c:pt>
                <c:pt idx="22">
                  <c:v>6.4594073510234598</c:v>
                </c:pt>
                <c:pt idx="23">
                  <c:v>6.3013393976710699</c:v>
                </c:pt>
                <c:pt idx="24">
                  <c:v>6.2204451120573099</c:v>
                </c:pt>
                <c:pt idx="25">
                  <c:v>6.1587363369563999</c:v>
                </c:pt>
                <c:pt idx="26">
                  <c:v>6.5182680604198504</c:v>
                </c:pt>
                <c:pt idx="27">
                  <c:v>6.87129923344866</c:v>
                </c:pt>
                <c:pt idx="28">
                  <c:v>5.8946740294686801</c:v>
                </c:pt>
                <c:pt idx="29">
                  <c:v>4.2557566656646602</c:v>
                </c:pt>
                <c:pt idx="30">
                  <c:v>4.7369274153280196</c:v>
                </c:pt>
                <c:pt idx="31">
                  <c:v>5.8701955247192297</c:v>
                </c:pt>
                <c:pt idx="32">
                  <c:v>6.7166062671253997</c:v>
                </c:pt>
                <c:pt idx="33">
                  <c:v>6.4572382014794396</c:v>
                </c:pt>
                <c:pt idx="34">
                  <c:v>5.7097225011042596</c:v>
                </c:pt>
                <c:pt idx="35">
                  <c:v>5.7560726798505204</c:v>
                </c:pt>
                <c:pt idx="36">
                  <c:v>4.8535986256227197</c:v>
                </c:pt>
                <c:pt idx="37">
                  <c:v>5.5657451420982502</c:v>
                </c:pt>
                <c:pt idx="38">
                  <c:v>6.2917095413208504</c:v>
                </c:pt>
                <c:pt idx="39">
                  <c:v>5.9462120607608604</c:v>
                </c:pt>
                <c:pt idx="40">
                  <c:v>4.8606812980485499</c:v>
                </c:pt>
              </c:numCache>
            </c:numRef>
          </c:val>
          <c:smooth val="0"/>
          <c:extLst>
            <c:ext xmlns:c16="http://schemas.microsoft.com/office/drawing/2014/chart" uri="{C3380CC4-5D6E-409C-BE32-E72D297353CC}">
              <c16:uniqueId val="{00000000-D3BC-4917-BF55-EC5FD80E20F9}"/>
            </c:ext>
          </c:extLst>
        </c:ser>
        <c:dLbls>
          <c:showLegendKey val="0"/>
          <c:showVal val="1"/>
          <c:showCatName val="0"/>
          <c:showSerName val="0"/>
          <c:showPercent val="0"/>
          <c:showBubbleSize val="0"/>
        </c:dLbls>
        <c:marker val="1"/>
        <c:smooth val="0"/>
        <c:axId val="1797476624"/>
        <c:axId val="1797475792"/>
      </c:lineChart>
      <c:scatterChart>
        <c:scatterStyle val="smoothMarker"/>
        <c:varyColors val="0"/>
        <c:ser>
          <c:idx val="1"/>
          <c:order val="1"/>
          <c:tx>
            <c:strRef>
              <c:f>'New Peers'!$C$16</c:f>
              <c:strCache>
                <c:ptCount val="1"/>
                <c:pt idx="0">
                  <c:v>Mean</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3BC-4917-BF55-EC5FD80E20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Peers'!$M$16,'New Peers'!$M$16)</c:f>
              <c:numCache>
                <c:formatCode>0.0\x_);\(0.0\x\);\-\ </c:formatCode>
                <c:ptCount val="2"/>
                <c:pt idx="0">
                  <c:v>6.7974175946574382</c:v>
                </c:pt>
                <c:pt idx="1">
                  <c:v>6.7974175946574382</c:v>
                </c:pt>
              </c:numCache>
            </c:numRef>
          </c:yVal>
          <c:smooth val="1"/>
          <c:extLst>
            <c:ext xmlns:c16="http://schemas.microsoft.com/office/drawing/2014/chart" uri="{C3380CC4-5D6E-409C-BE32-E72D297353CC}">
              <c16:uniqueId val="{00000002-D3BC-4917-BF55-EC5FD80E20F9}"/>
            </c:ext>
          </c:extLst>
        </c:ser>
        <c:ser>
          <c:idx val="2"/>
          <c:order val="2"/>
          <c:tx>
            <c:strRef>
              <c:f>'New Peers'!$C$17</c:f>
              <c:strCache>
                <c:ptCount val="1"/>
                <c:pt idx="0">
                  <c:v>-1 S.Dev</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D3BC-4917-BF55-EC5FD80E20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Peers'!$M$17,'New Peers'!$M$17)</c:f>
              <c:numCache>
                <c:formatCode>0.0\x_);\(0.0\x\);\-\ </c:formatCode>
                <c:ptCount val="2"/>
                <c:pt idx="0">
                  <c:v>5.6066553064027662</c:v>
                </c:pt>
                <c:pt idx="1">
                  <c:v>5.6066553064027662</c:v>
                </c:pt>
              </c:numCache>
            </c:numRef>
          </c:yVal>
          <c:smooth val="1"/>
          <c:extLst>
            <c:ext xmlns:c16="http://schemas.microsoft.com/office/drawing/2014/chart" uri="{C3380CC4-5D6E-409C-BE32-E72D297353CC}">
              <c16:uniqueId val="{00000004-D3BC-4917-BF55-EC5FD80E20F9}"/>
            </c:ext>
          </c:extLst>
        </c:ser>
        <c:ser>
          <c:idx val="3"/>
          <c:order val="3"/>
          <c:tx>
            <c:strRef>
              <c:f>'New Peers'!$C$18</c:f>
              <c:strCache>
                <c:ptCount val="1"/>
                <c:pt idx="0">
                  <c:v>+1 S.Dev</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D3BC-4917-BF55-EC5FD80E20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('New Peers'!$M$18,'New Peers'!$M$18)</c:f>
              <c:numCache>
                <c:formatCode>0.0\x_);\(0.0\x\);\-\ </c:formatCode>
                <c:ptCount val="2"/>
                <c:pt idx="0">
                  <c:v>7.9881798829121102</c:v>
                </c:pt>
                <c:pt idx="1">
                  <c:v>7.9881798829121102</c:v>
                </c:pt>
              </c:numCache>
            </c:numRef>
          </c:yVal>
          <c:smooth val="1"/>
          <c:extLst>
            <c:ext xmlns:c16="http://schemas.microsoft.com/office/drawing/2014/chart" uri="{C3380CC4-5D6E-409C-BE32-E72D297353CC}">
              <c16:uniqueId val="{00000006-D3BC-4917-BF55-EC5FD80E20F9}"/>
            </c:ext>
          </c:extLst>
        </c:ser>
        <c:dLbls>
          <c:showLegendKey val="0"/>
          <c:showVal val="1"/>
          <c:showCatName val="0"/>
          <c:showSerName val="0"/>
          <c:showPercent val="0"/>
          <c:showBubbleSize val="0"/>
        </c:dLbls>
        <c:axId val="1797476624"/>
        <c:axId val="1797475792"/>
      </c:scatterChart>
      <c:catAx>
        <c:axId val="1797476624"/>
        <c:scaling>
          <c:orientation val="minMax"/>
        </c:scaling>
        <c:delete val="0"/>
        <c:axPos val="b"/>
        <c:numFmt formatCode="&quot;Q1&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2"/>
        <c:tickMarkSkip val="2"/>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4472C4"/>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 Revenue'!$E$11</c:f>
          <c:strCache>
            <c:ptCount val="1"/>
            <c:pt idx="0">
              <c:v>Eastman Chemical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Revenue'!$E$11</c:f>
              <c:strCache>
                <c:ptCount val="1"/>
                <c:pt idx="0">
                  <c:v>Eastman Chemical Co</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Revenue'!$E$20:$E$60</c:f>
              <c:numCache>
                <c:formatCode>0.0\x_);\(0.0\x\);\-\ </c:formatCode>
                <c:ptCount val="41"/>
                <c:pt idx="0">
                  <c:v>1.68081565852921</c:v>
                </c:pt>
                <c:pt idx="1">
                  <c:v>1.6346922794254599</c:v>
                </c:pt>
                <c:pt idx="2">
                  <c:v>1.74571244989424</c:v>
                </c:pt>
                <c:pt idx="3">
                  <c:v>1.69319627713245</c:v>
                </c:pt>
                <c:pt idx="4">
                  <c:v>1.71284386385952</c:v>
                </c:pt>
                <c:pt idx="5">
                  <c:v>1.74801689293832</c:v>
                </c:pt>
                <c:pt idx="6">
                  <c:v>1.70259856113875</c:v>
                </c:pt>
                <c:pt idx="7">
                  <c:v>1.6373237523469599</c:v>
                </c:pt>
                <c:pt idx="8">
                  <c:v>1.47150689602629</c:v>
                </c:pt>
                <c:pt idx="9">
                  <c:v>1.82102169866729</c:v>
                </c:pt>
                <c:pt idx="10">
                  <c:v>1.7810442190462701</c:v>
                </c:pt>
                <c:pt idx="11">
                  <c:v>1.7083387740312601</c:v>
                </c:pt>
                <c:pt idx="12">
                  <c:v>1.68839797458135</c:v>
                </c:pt>
                <c:pt idx="13">
                  <c:v>1.8939550394395801</c:v>
                </c:pt>
                <c:pt idx="14">
                  <c:v>1.7754490747129099</c:v>
                </c:pt>
                <c:pt idx="15">
                  <c:v>1.8956432196652699</c:v>
                </c:pt>
                <c:pt idx="16">
                  <c:v>1.9807398512449499</c:v>
                </c:pt>
                <c:pt idx="17">
                  <c:v>1.9409104534188999</c:v>
                </c:pt>
                <c:pt idx="18">
                  <c:v>1.98627291389435</c:v>
                </c:pt>
                <c:pt idx="19">
                  <c:v>2.0028638562791099</c:v>
                </c:pt>
                <c:pt idx="20">
                  <c:v>2.07199841214464</c:v>
                </c:pt>
                <c:pt idx="21">
                  <c:v>2.1380550181329201</c:v>
                </c:pt>
                <c:pt idx="22">
                  <c:v>1.96371586002688</c:v>
                </c:pt>
                <c:pt idx="23">
                  <c:v>1.7104206491301399</c:v>
                </c:pt>
                <c:pt idx="24">
                  <c:v>1.71789412780488</c:v>
                </c:pt>
                <c:pt idx="25">
                  <c:v>1.60000161034435</c:v>
                </c:pt>
                <c:pt idx="26">
                  <c:v>1.53592842184978</c:v>
                </c:pt>
                <c:pt idx="27">
                  <c:v>1.78486883183871</c:v>
                </c:pt>
                <c:pt idx="28">
                  <c:v>1.74853175953875</c:v>
                </c:pt>
                <c:pt idx="29">
                  <c:v>1.64875639197771</c:v>
                </c:pt>
                <c:pt idx="30">
                  <c:v>1.78734423526132</c:v>
                </c:pt>
                <c:pt idx="31">
                  <c:v>2.03053950003655</c:v>
                </c:pt>
                <c:pt idx="32">
                  <c:v>2.20419210243073</c:v>
                </c:pt>
                <c:pt idx="33">
                  <c:v>2.3577183008099998</c:v>
                </c:pt>
                <c:pt idx="34">
                  <c:v>2.0708785832382399</c:v>
                </c:pt>
                <c:pt idx="35">
                  <c:v>2.05992212378779</c:v>
                </c:pt>
                <c:pt idx="36">
                  <c:v>1.9544078091166599</c:v>
                </c:pt>
                <c:pt idx="37">
                  <c:v>1.6737373056537701</c:v>
                </c:pt>
                <c:pt idx="38">
                  <c:v>1.57819232268872</c:v>
                </c:pt>
                <c:pt idx="39">
                  <c:v>1.47226683384278</c:v>
                </c:pt>
                <c:pt idx="40">
                  <c:v>1.3543771159729301</c:v>
                </c:pt>
              </c:numCache>
            </c:numRef>
          </c:val>
          <c:smooth val="0"/>
          <c:extLst>
            <c:ext xmlns:c16="http://schemas.microsoft.com/office/drawing/2014/chart" uri="{C3380CC4-5D6E-409C-BE32-E72D297353CC}">
              <c16:uniqueId val="{00000000-C6C6-46A0-BF8A-075BBEDB6AB8}"/>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C6C6-46A0-BF8A-075BBEDB6AB8}"/>
              </c:ext>
            </c:extLst>
          </c:dPt>
          <c:dLbls>
            <c:dLbl>
              <c:idx val="0"/>
              <c:delete val="1"/>
              <c:extLst>
                <c:ext xmlns:c15="http://schemas.microsoft.com/office/drawing/2012/chart" uri="{CE6537A1-D6FC-4f65-9D91-7224C49458BB}"/>
                <c:ext xmlns:c16="http://schemas.microsoft.com/office/drawing/2014/chart" uri="{C3380CC4-5D6E-409C-BE32-E72D297353CC}">
                  <c16:uniqueId val="{00000002-C6C6-46A0-BF8A-075BBEDB6AB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Revenue'!$E$16,'Forward EV Revenue'!$E$16)</c:f>
              <c:numCache>
                <c:formatCode>0.0\x_);\(0.0\x\);\-\ </c:formatCode>
                <c:ptCount val="2"/>
                <c:pt idx="0">
                  <c:v>1.8040266102902607</c:v>
                </c:pt>
                <c:pt idx="1">
                  <c:v>1.8040266102902607</c:v>
                </c:pt>
              </c:numCache>
            </c:numRef>
          </c:yVal>
          <c:smooth val="1"/>
          <c:extLst>
            <c:ext xmlns:c16="http://schemas.microsoft.com/office/drawing/2014/chart" uri="{C3380CC4-5D6E-409C-BE32-E72D297353CC}">
              <c16:uniqueId val="{00000003-C6C6-46A0-BF8A-075BBEDB6AB8}"/>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C6C6-46A0-BF8A-075BBEDB6AB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Revenue'!$E$17,'Forward EV Revenue'!$E$17)</c:f>
              <c:numCache>
                <c:formatCode>0.0\x_);\(0.0\x\);\-\ </c:formatCode>
                <c:ptCount val="2"/>
                <c:pt idx="0">
                  <c:v>1.5940938567625225</c:v>
                </c:pt>
                <c:pt idx="1">
                  <c:v>1.5940938567625225</c:v>
                </c:pt>
              </c:numCache>
            </c:numRef>
          </c:yVal>
          <c:smooth val="1"/>
          <c:extLst>
            <c:ext xmlns:c16="http://schemas.microsoft.com/office/drawing/2014/chart" uri="{C3380CC4-5D6E-409C-BE32-E72D297353CC}">
              <c16:uniqueId val="{00000005-C6C6-46A0-BF8A-075BBEDB6AB8}"/>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C6C6-46A0-BF8A-075BBEDB6AB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Revenue'!$E$18,'Forward EV Revenue'!$E$18)</c:f>
              <c:numCache>
                <c:formatCode>0.0\x_);\(0.0\x\);\-\ </c:formatCode>
                <c:ptCount val="2"/>
                <c:pt idx="0">
                  <c:v>2.0139593638179987</c:v>
                </c:pt>
                <c:pt idx="1">
                  <c:v>2.0139593638179987</c:v>
                </c:pt>
              </c:numCache>
            </c:numRef>
          </c:yVal>
          <c:smooth val="1"/>
          <c:extLst>
            <c:ext xmlns:c16="http://schemas.microsoft.com/office/drawing/2014/chart" uri="{C3380CC4-5D6E-409C-BE32-E72D297353CC}">
              <c16:uniqueId val="{00000007-C6C6-46A0-BF8A-075BBEDB6AB8}"/>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Revenue'!$F$11</c:f>
          <c:strCache>
            <c:ptCount val="1"/>
            <c:pt idx="0">
              <c:v>Celanese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Revenue'!$F$11</c:f>
              <c:strCache>
                <c:ptCount val="1"/>
                <c:pt idx="0">
                  <c:v>Celanese Corp</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Revenue'!$F$20:$F$60</c:f>
              <c:numCache>
                <c:formatCode>0.0\x_);\(0.0\x\);\-\ </c:formatCode>
                <c:ptCount val="41"/>
                <c:pt idx="0">
                  <c:v>1.50577742315787</c:v>
                </c:pt>
                <c:pt idx="1">
                  <c:v>1.4693122807286301</c:v>
                </c:pt>
                <c:pt idx="2">
                  <c:v>1.47776362561804</c:v>
                </c:pt>
                <c:pt idx="3">
                  <c:v>1.6376417909608301</c:v>
                </c:pt>
                <c:pt idx="4">
                  <c:v>1.5105726529033201</c:v>
                </c:pt>
                <c:pt idx="5">
                  <c:v>1.61094145470782</c:v>
                </c:pt>
                <c:pt idx="6">
                  <c:v>1.6019955568243101</c:v>
                </c:pt>
                <c:pt idx="7">
                  <c:v>1.58681475290537</c:v>
                </c:pt>
                <c:pt idx="8">
                  <c:v>1.6615216982926899</c:v>
                </c:pt>
                <c:pt idx="9">
                  <c:v>1.9679507401248799</c:v>
                </c:pt>
                <c:pt idx="10">
                  <c:v>1.9402186188778601</c:v>
                </c:pt>
                <c:pt idx="11">
                  <c:v>2.1608046066617002</c:v>
                </c:pt>
                <c:pt idx="12">
                  <c:v>1.9009900070243</c:v>
                </c:pt>
                <c:pt idx="13">
                  <c:v>2.19683960974444</c:v>
                </c:pt>
                <c:pt idx="14">
                  <c:v>2.1074777942106602</c:v>
                </c:pt>
                <c:pt idx="15">
                  <c:v>2.3681928746471899</c:v>
                </c:pt>
                <c:pt idx="16">
                  <c:v>2.6528283914208002</c:v>
                </c:pt>
                <c:pt idx="17">
                  <c:v>2.49485699861419</c:v>
                </c:pt>
                <c:pt idx="18">
                  <c:v>2.6864625581565398</c:v>
                </c:pt>
                <c:pt idx="19">
                  <c:v>2.7360766650520199</c:v>
                </c:pt>
                <c:pt idx="20">
                  <c:v>2.5878614481569802</c:v>
                </c:pt>
                <c:pt idx="21">
                  <c:v>2.5548197518347999</c:v>
                </c:pt>
                <c:pt idx="22">
                  <c:v>2.56259703458133</c:v>
                </c:pt>
                <c:pt idx="23">
                  <c:v>2.22151511700668</c:v>
                </c:pt>
                <c:pt idx="24">
                  <c:v>2.2445388405936</c:v>
                </c:pt>
                <c:pt idx="25">
                  <c:v>2.29810286122312</c:v>
                </c:pt>
                <c:pt idx="26">
                  <c:v>2.4947034403270498</c:v>
                </c:pt>
                <c:pt idx="27">
                  <c:v>2.8300921500683098</c:v>
                </c:pt>
                <c:pt idx="28">
                  <c:v>2.6154805536841401</c:v>
                </c:pt>
                <c:pt idx="29">
                  <c:v>2.4106222690727002</c:v>
                </c:pt>
                <c:pt idx="30">
                  <c:v>2.7996809657305199</c:v>
                </c:pt>
                <c:pt idx="31">
                  <c:v>3.20354756094014</c:v>
                </c:pt>
                <c:pt idx="32">
                  <c:v>2.7795380730608001</c:v>
                </c:pt>
                <c:pt idx="33">
                  <c:v>3.0735500827320998</c:v>
                </c:pt>
                <c:pt idx="34">
                  <c:v>2.65275324520552</c:v>
                </c:pt>
                <c:pt idx="35">
                  <c:v>2.5300303114869802</c:v>
                </c:pt>
                <c:pt idx="36">
                  <c:v>2.3811819637680798</c:v>
                </c:pt>
                <c:pt idx="37">
                  <c:v>2.0422061974105801</c:v>
                </c:pt>
                <c:pt idx="38">
                  <c:v>1.64453046904225</c:v>
                </c:pt>
                <c:pt idx="39">
                  <c:v>1.20499922393449</c:v>
                </c:pt>
                <c:pt idx="40">
                  <c:v>2.0899132821831801</c:v>
                </c:pt>
              </c:numCache>
            </c:numRef>
          </c:val>
          <c:smooth val="0"/>
          <c:extLst>
            <c:ext xmlns:c16="http://schemas.microsoft.com/office/drawing/2014/chart" uri="{C3380CC4-5D6E-409C-BE32-E72D297353CC}">
              <c16:uniqueId val="{00000000-7444-4CAE-9512-627069A8420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444-4CAE-9512-627069A8420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Revenue'!$F$16,'Forward EV Revenue'!$F$16)</c:f>
              <c:numCache>
                <c:formatCode>0.0\x_);\(0.0\x\);\-\ </c:formatCode>
                <c:ptCount val="2"/>
                <c:pt idx="0">
                  <c:v>2.2072513400652882</c:v>
                </c:pt>
                <c:pt idx="1">
                  <c:v>2.2072513400652882</c:v>
                </c:pt>
              </c:numCache>
            </c:numRef>
          </c:yVal>
          <c:smooth val="1"/>
          <c:extLst>
            <c:ext xmlns:c16="http://schemas.microsoft.com/office/drawing/2014/chart" uri="{C3380CC4-5D6E-409C-BE32-E72D297353CC}">
              <c16:uniqueId val="{00000002-7444-4CAE-9512-627069A84209}"/>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444-4CAE-9512-627069A8420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Revenue'!$F$17,'Forward EV Revenue'!$F$17)</c:f>
              <c:numCache>
                <c:formatCode>0.0\x_);\(0.0\x\);\-\ </c:formatCode>
                <c:ptCount val="2"/>
                <c:pt idx="0">
                  <c:v>1.7126137663973631</c:v>
                </c:pt>
                <c:pt idx="1">
                  <c:v>1.7126137663973631</c:v>
                </c:pt>
              </c:numCache>
            </c:numRef>
          </c:yVal>
          <c:smooth val="1"/>
          <c:extLst>
            <c:ext xmlns:c16="http://schemas.microsoft.com/office/drawing/2014/chart" uri="{C3380CC4-5D6E-409C-BE32-E72D297353CC}">
              <c16:uniqueId val="{00000004-7444-4CAE-9512-627069A84209}"/>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7444-4CAE-9512-627069A8420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Revenue'!$F$18,'Forward EV Revenue'!$F$18)</c:f>
              <c:numCache>
                <c:formatCode>0.0\x_);\(0.0\x\);\-\ </c:formatCode>
                <c:ptCount val="2"/>
                <c:pt idx="0">
                  <c:v>2.7018889137332134</c:v>
                </c:pt>
                <c:pt idx="1">
                  <c:v>2.7018889137332134</c:v>
                </c:pt>
              </c:numCache>
            </c:numRef>
          </c:yVal>
          <c:smooth val="1"/>
          <c:extLst>
            <c:ext xmlns:c16="http://schemas.microsoft.com/office/drawing/2014/chart" uri="{C3380CC4-5D6E-409C-BE32-E72D297353CC}">
              <c16:uniqueId val="{00000006-7444-4CAE-9512-627069A8420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Revenue'!$G$11</c:f>
          <c:strCache>
            <c:ptCount val="1"/>
            <c:pt idx="0">
              <c:v>BASF SE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Revenue'!$G$11</c:f>
              <c:strCache>
                <c:ptCount val="1"/>
                <c:pt idx="0">
                  <c:v>BASF SE</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Revenue'!$G$20:$G$60</c:f>
              <c:numCache>
                <c:formatCode>0.0\x_);\(0.0\x\);\-\ </c:formatCode>
                <c:ptCount val="41"/>
                <c:pt idx="0">
                  <c:v>0.96013616057242801</c:v>
                </c:pt>
                <c:pt idx="1">
                  <c:v>1.07421510542524</c:v>
                </c:pt>
                <c:pt idx="2">
                  <c:v>1.0491872752860101</c:v>
                </c:pt>
                <c:pt idx="3">
                  <c:v>1.21755831875842</c:v>
                </c:pt>
                <c:pt idx="4">
                  <c:v>1.32362241240776</c:v>
                </c:pt>
                <c:pt idx="5">
                  <c:v>1.2810467105671</c:v>
                </c:pt>
                <c:pt idx="6">
                  <c:v>1.24329299554706</c:v>
                </c:pt>
                <c:pt idx="7">
                  <c:v>1.1731583793873901</c:v>
                </c:pt>
                <c:pt idx="8">
                  <c:v>1.29055565917783</c:v>
                </c:pt>
                <c:pt idx="9">
                  <c:v>1.2175731303303601</c:v>
                </c:pt>
                <c:pt idx="10">
                  <c:v>1.1050729593762001</c:v>
                </c:pt>
                <c:pt idx="11">
                  <c:v>1.26786078894631</c:v>
                </c:pt>
                <c:pt idx="12">
                  <c:v>1.0834930991223399</c:v>
                </c:pt>
                <c:pt idx="13">
                  <c:v>1.2631712948859399</c:v>
                </c:pt>
                <c:pt idx="14">
                  <c:v>1.3851999305503799</c:v>
                </c:pt>
                <c:pt idx="15">
                  <c:v>1.482786631755</c:v>
                </c:pt>
                <c:pt idx="16">
                  <c:v>1.5785918254833</c:v>
                </c:pt>
                <c:pt idx="17">
                  <c:v>1.51727655229474</c:v>
                </c:pt>
                <c:pt idx="18">
                  <c:v>1.4130561131528101</c:v>
                </c:pt>
                <c:pt idx="19">
                  <c:v>1.50584684012895</c:v>
                </c:pt>
                <c:pt idx="20">
                  <c:v>1.3853667831465999</c:v>
                </c:pt>
                <c:pt idx="21">
                  <c:v>1.3543101700472</c:v>
                </c:pt>
                <c:pt idx="22">
                  <c:v>1.2485615983046401</c:v>
                </c:pt>
                <c:pt idx="23">
                  <c:v>1.24116666022134</c:v>
                </c:pt>
                <c:pt idx="24">
                  <c:v>1.21405178340772</c:v>
                </c:pt>
                <c:pt idx="25">
                  <c:v>1.1942047320050999</c:v>
                </c:pt>
                <c:pt idx="26">
                  <c:v>1.1378920154026599</c:v>
                </c:pt>
                <c:pt idx="27">
                  <c:v>1.30429294451554</c:v>
                </c:pt>
                <c:pt idx="28">
                  <c:v>1.20886847898553</c:v>
                </c:pt>
                <c:pt idx="29">
                  <c:v>1.0174794948680299</c:v>
                </c:pt>
                <c:pt idx="30">
                  <c:v>1.15012102884849</c:v>
                </c:pt>
                <c:pt idx="31">
                  <c:v>1.1293085042297999</c:v>
                </c:pt>
                <c:pt idx="32">
                  <c:v>1.25414070288218</c:v>
                </c:pt>
                <c:pt idx="33">
                  <c:v>1.1922630750401499</c:v>
                </c:pt>
                <c:pt idx="34">
                  <c:v>1.10397557600951</c:v>
                </c:pt>
                <c:pt idx="35">
                  <c:v>1.01304930650629</c:v>
                </c:pt>
                <c:pt idx="36">
                  <c:v>1.0312932418532299</c:v>
                </c:pt>
                <c:pt idx="37">
                  <c:v>0.77032900254820602</c:v>
                </c:pt>
                <c:pt idx="38">
                  <c:v>0.73322815972293398</c:v>
                </c:pt>
                <c:pt idx="39">
                  <c:v>0.81307421484534803</c:v>
                </c:pt>
                <c:pt idx="40">
                  <c:v>0.71851637309153105</c:v>
                </c:pt>
              </c:numCache>
            </c:numRef>
          </c:val>
          <c:smooth val="0"/>
          <c:extLst>
            <c:ext xmlns:c16="http://schemas.microsoft.com/office/drawing/2014/chart" uri="{C3380CC4-5D6E-409C-BE32-E72D297353CC}">
              <c16:uniqueId val="{00000000-8DA6-40DD-9047-1E7092848A44}"/>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DA6-40DD-9047-1E7092848A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Revenue'!$G$16,'Forward EV Revenue'!$G$16)</c:f>
              <c:numCache>
                <c:formatCode>0.0\x_);\(0.0\x\);\-\ </c:formatCode>
                <c:ptCount val="2"/>
                <c:pt idx="0">
                  <c:v>1.1865413665765268</c:v>
                </c:pt>
                <c:pt idx="1">
                  <c:v>1.1865413665765268</c:v>
                </c:pt>
              </c:numCache>
            </c:numRef>
          </c:yVal>
          <c:smooth val="1"/>
          <c:extLst>
            <c:ext xmlns:c16="http://schemas.microsoft.com/office/drawing/2014/chart" uri="{C3380CC4-5D6E-409C-BE32-E72D297353CC}">
              <c16:uniqueId val="{00000002-8DA6-40DD-9047-1E7092848A44}"/>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DA6-40DD-9047-1E7092848A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Revenue'!$G$17,'Forward EV Revenue'!$G$17)</c:f>
              <c:numCache>
                <c:formatCode>0.0\x_);\(0.0\x\);\-\ </c:formatCode>
                <c:ptCount val="2"/>
                <c:pt idx="0">
                  <c:v>0.98727190906190532</c:v>
                </c:pt>
                <c:pt idx="1">
                  <c:v>0.98727190906190532</c:v>
                </c:pt>
              </c:numCache>
            </c:numRef>
          </c:yVal>
          <c:smooth val="1"/>
          <c:extLst>
            <c:ext xmlns:c16="http://schemas.microsoft.com/office/drawing/2014/chart" uri="{C3380CC4-5D6E-409C-BE32-E72D297353CC}">
              <c16:uniqueId val="{00000004-8DA6-40DD-9047-1E7092848A44}"/>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DA6-40DD-9047-1E7092848A4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Revenue'!$G$18,'Forward EV Revenue'!$G$18)</c:f>
              <c:numCache>
                <c:formatCode>0.0\x_);\(0.0\x\);\-\ </c:formatCode>
                <c:ptCount val="2"/>
                <c:pt idx="0">
                  <c:v>1.3858108240911482</c:v>
                </c:pt>
                <c:pt idx="1">
                  <c:v>1.3858108240911482</c:v>
                </c:pt>
              </c:numCache>
            </c:numRef>
          </c:yVal>
          <c:smooth val="1"/>
          <c:extLst>
            <c:ext xmlns:c16="http://schemas.microsoft.com/office/drawing/2014/chart" uri="{C3380CC4-5D6E-409C-BE32-E72D297353CC}">
              <c16:uniqueId val="{00000006-8DA6-40DD-9047-1E7092848A44}"/>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AM Product</a:t>
            </a:r>
            <a:r>
              <a:rPr lang="en-US" baseline="0"/>
              <a:t> Line Mix</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Financials!$C$411</c:f>
              <c:strCache>
                <c:ptCount val="1"/>
                <c:pt idx="0">
                  <c:v>Specialty Plastics</c:v>
                </c:pt>
              </c:strCache>
            </c:strRef>
          </c:tx>
          <c:spPr>
            <a:solidFill>
              <a:schemeClr val="accent1"/>
            </a:solidFill>
            <a:ln>
              <a:noFill/>
            </a:ln>
            <a:effectLst/>
          </c:spPr>
          <c:invertIfNegative val="0"/>
          <c:cat>
            <c:numRef>
              <c:f>Financials!$AQ$6:$AS$6</c:f>
              <c:numCache>
                <c:formatCode>General"A"</c:formatCode>
                <c:ptCount val="3"/>
                <c:pt idx="0">
                  <c:v>2019</c:v>
                </c:pt>
                <c:pt idx="1">
                  <c:v>2020</c:v>
                </c:pt>
                <c:pt idx="2">
                  <c:v>2021</c:v>
                </c:pt>
              </c:numCache>
            </c:numRef>
          </c:cat>
          <c:val>
            <c:numRef>
              <c:f>Financials!$AQ$411:$AQ$413</c:f>
              <c:numCache>
                <c:formatCode>0.0%_);\(0.0%\)</c:formatCode>
                <c:ptCount val="3"/>
                <c:pt idx="0">
                  <c:v>0.49</c:v>
                </c:pt>
                <c:pt idx="1">
                  <c:v>0.32</c:v>
                </c:pt>
                <c:pt idx="2">
                  <c:v>0.19</c:v>
                </c:pt>
              </c:numCache>
            </c:numRef>
          </c:val>
          <c:extLst>
            <c:ext xmlns:c16="http://schemas.microsoft.com/office/drawing/2014/chart" uri="{C3380CC4-5D6E-409C-BE32-E72D297353CC}">
              <c16:uniqueId val="{00000000-DEA0-4F26-8E94-BC0E7A6D9BAE}"/>
            </c:ext>
          </c:extLst>
        </c:ser>
        <c:ser>
          <c:idx val="1"/>
          <c:order val="1"/>
          <c:tx>
            <c:strRef>
              <c:f>Financials!$C$412</c:f>
              <c:strCache>
                <c:ptCount val="1"/>
                <c:pt idx="0">
                  <c:v>Advanced Interlayers</c:v>
                </c:pt>
              </c:strCache>
            </c:strRef>
          </c:tx>
          <c:spPr>
            <a:solidFill>
              <a:schemeClr val="accent2"/>
            </a:solidFill>
            <a:ln>
              <a:noFill/>
            </a:ln>
            <a:effectLst/>
          </c:spPr>
          <c:invertIfNegative val="0"/>
          <c:cat>
            <c:numRef>
              <c:f>Financials!$AQ$6:$AS$6</c:f>
              <c:numCache>
                <c:formatCode>General"A"</c:formatCode>
                <c:ptCount val="3"/>
                <c:pt idx="0">
                  <c:v>2019</c:v>
                </c:pt>
                <c:pt idx="1">
                  <c:v>2020</c:v>
                </c:pt>
                <c:pt idx="2">
                  <c:v>2021</c:v>
                </c:pt>
              </c:numCache>
            </c:numRef>
          </c:cat>
          <c:val>
            <c:numRef>
              <c:f>Financials!$AR$411:$AR$413</c:f>
              <c:numCache>
                <c:formatCode>0.0%_);\(0.0%\)</c:formatCode>
                <c:ptCount val="3"/>
                <c:pt idx="0">
                  <c:v>0.51</c:v>
                </c:pt>
                <c:pt idx="1">
                  <c:v>0.28999999999999998</c:v>
                </c:pt>
                <c:pt idx="2">
                  <c:v>0.2</c:v>
                </c:pt>
              </c:numCache>
            </c:numRef>
          </c:val>
          <c:extLst>
            <c:ext xmlns:c16="http://schemas.microsoft.com/office/drawing/2014/chart" uri="{C3380CC4-5D6E-409C-BE32-E72D297353CC}">
              <c16:uniqueId val="{00000001-DEA0-4F26-8E94-BC0E7A6D9BAE}"/>
            </c:ext>
          </c:extLst>
        </c:ser>
        <c:ser>
          <c:idx val="2"/>
          <c:order val="2"/>
          <c:tx>
            <c:strRef>
              <c:f>Financials!$C$413</c:f>
              <c:strCache>
                <c:ptCount val="1"/>
                <c:pt idx="0">
                  <c:v>Performance Films</c:v>
                </c:pt>
              </c:strCache>
            </c:strRef>
          </c:tx>
          <c:spPr>
            <a:solidFill>
              <a:schemeClr val="accent3"/>
            </a:solidFill>
            <a:ln>
              <a:noFill/>
            </a:ln>
            <a:effectLst/>
          </c:spPr>
          <c:invertIfNegative val="0"/>
          <c:cat>
            <c:numRef>
              <c:f>Financials!$AQ$6:$AS$6</c:f>
              <c:numCache>
                <c:formatCode>General"A"</c:formatCode>
                <c:ptCount val="3"/>
                <c:pt idx="0">
                  <c:v>2019</c:v>
                </c:pt>
                <c:pt idx="1">
                  <c:v>2020</c:v>
                </c:pt>
                <c:pt idx="2">
                  <c:v>2021</c:v>
                </c:pt>
              </c:numCache>
            </c:numRef>
          </c:cat>
          <c:val>
            <c:numRef>
              <c:f>Financials!$AS$411:$AS$413</c:f>
              <c:numCache>
                <c:formatCode>0.0%_);\(0.0%\)</c:formatCode>
                <c:ptCount val="3"/>
                <c:pt idx="0">
                  <c:v>0.51</c:v>
                </c:pt>
                <c:pt idx="1">
                  <c:v>0.28999999999999998</c:v>
                </c:pt>
                <c:pt idx="2">
                  <c:v>0.2</c:v>
                </c:pt>
              </c:numCache>
            </c:numRef>
          </c:val>
          <c:extLst>
            <c:ext xmlns:c16="http://schemas.microsoft.com/office/drawing/2014/chart" uri="{C3380CC4-5D6E-409C-BE32-E72D297353CC}">
              <c16:uniqueId val="{00000002-DEA0-4F26-8E94-BC0E7A6D9BAE}"/>
            </c:ext>
          </c:extLst>
        </c:ser>
        <c:dLbls>
          <c:showLegendKey val="0"/>
          <c:showVal val="0"/>
          <c:showCatName val="0"/>
          <c:showSerName val="0"/>
          <c:showPercent val="0"/>
          <c:showBubbleSize val="0"/>
        </c:dLbls>
        <c:gapWidth val="219"/>
        <c:overlap val="-27"/>
        <c:axId val="1792045951"/>
        <c:axId val="1792030559"/>
      </c:barChart>
      <c:catAx>
        <c:axId val="1792045951"/>
        <c:scaling>
          <c:orientation val="minMax"/>
        </c:scaling>
        <c:delete val="0"/>
        <c:axPos val="b"/>
        <c:numFmt formatCode="General&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030559"/>
        <c:crosses val="autoZero"/>
        <c:auto val="1"/>
        <c:lblAlgn val="ctr"/>
        <c:lblOffset val="100"/>
        <c:noMultiLvlLbl val="0"/>
      </c:catAx>
      <c:valAx>
        <c:axId val="1792030559"/>
        <c:scaling>
          <c:orientation val="minMax"/>
        </c:scaling>
        <c:delete val="0"/>
        <c:axPos val="l"/>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04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Revenue'!$H$11</c:f>
          <c:strCache>
            <c:ptCount val="1"/>
            <c:pt idx="0">
              <c:v>Dow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Revenue'!$H$11</c:f>
              <c:strCache>
                <c:ptCount val="1"/>
                <c:pt idx="0">
                  <c:v>Dow Inc</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Revenue'!$H$20:$H$60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1.2144873557551901</c:v>
                </c:pt>
                <c:pt idx="26">
                  <c:v>1.0750818509266999</c:v>
                </c:pt>
                <c:pt idx="27">
                  <c:v>1.27617640836313</c:v>
                </c:pt>
                <c:pt idx="28">
                  <c:v>1.1825615015381701</c:v>
                </c:pt>
                <c:pt idx="29">
                  <c:v>1.08029581494358</c:v>
                </c:pt>
                <c:pt idx="30">
                  <c:v>1.24302300769662</c:v>
                </c:pt>
                <c:pt idx="31">
                  <c:v>1.28566443407904</c:v>
                </c:pt>
                <c:pt idx="32">
                  <c:v>1.28108784843323</c:v>
                </c:pt>
                <c:pt idx="33">
                  <c:v>1.35730261528393</c:v>
                </c:pt>
                <c:pt idx="34">
                  <c:v>1.1679175540229101</c:v>
                </c:pt>
                <c:pt idx="35">
                  <c:v>1.07389501539969</c:v>
                </c:pt>
                <c:pt idx="36">
                  <c:v>1.0376702803634399</c:v>
                </c:pt>
                <c:pt idx="37">
                  <c:v>1.0344396132368701</c:v>
                </c:pt>
                <c:pt idx="38">
                  <c:v>0.90826498541404599</c:v>
                </c:pt>
                <c:pt idx="39">
                  <c:v>0.922182157251489</c:v>
                </c:pt>
                <c:pt idx="40">
                  <c:v>0.96962522135977003</c:v>
                </c:pt>
              </c:numCache>
            </c:numRef>
          </c:val>
          <c:smooth val="0"/>
          <c:extLst>
            <c:ext xmlns:c16="http://schemas.microsoft.com/office/drawing/2014/chart" uri="{C3380CC4-5D6E-409C-BE32-E72D297353CC}">
              <c16:uniqueId val="{00000000-A339-4F00-B8CE-3134C3BDC22A}"/>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339-4F00-B8CE-3134C3BDC22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Revenue'!$H$16,'Forward EV Revenue'!$H$16)</c:f>
              <c:numCache>
                <c:formatCode>0.0\x_);\(0.0\x\);\-\ </c:formatCode>
                <c:ptCount val="2"/>
                <c:pt idx="0">
                  <c:v>1.1318547290042378</c:v>
                </c:pt>
                <c:pt idx="1">
                  <c:v>1.1318547290042378</c:v>
                </c:pt>
              </c:numCache>
            </c:numRef>
          </c:yVal>
          <c:smooth val="1"/>
          <c:extLst>
            <c:ext xmlns:c16="http://schemas.microsoft.com/office/drawing/2014/chart" uri="{C3380CC4-5D6E-409C-BE32-E72D297353CC}">
              <c16:uniqueId val="{00000002-A339-4F00-B8CE-3134C3BDC22A}"/>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339-4F00-B8CE-3134C3BDC22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Revenue'!$H$17,'Forward EV Revenue'!$H$17)</c:f>
              <c:numCache>
                <c:formatCode>0.0\x_);\(0.0\x\);\-\ </c:formatCode>
                <c:ptCount val="2"/>
                <c:pt idx="0">
                  <c:v>0.99757044893559199</c:v>
                </c:pt>
                <c:pt idx="1">
                  <c:v>0.99757044893559199</c:v>
                </c:pt>
              </c:numCache>
            </c:numRef>
          </c:yVal>
          <c:smooth val="1"/>
          <c:extLst>
            <c:ext xmlns:c16="http://schemas.microsoft.com/office/drawing/2014/chart" uri="{C3380CC4-5D6E-409C-BE32-E72D297353CC}">
              <c16:uniqueId val="{00000004-A339-4F00-B8CE-3134C3BDC22A}"/>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A339-4F00-B8CE-3134C3BDC22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Revenue'!$H$18,'Forward EV Revenue'!$H$18)</c:f>
              <c:numCache>
                <c:formatCode>0.0\x_);\(0.0\x\);\-\ </c:formatCode>
                <c:ptCount val="2"/>
                <c:pt idx="0">
                  <c:v>1.2661390090728837</c:v>
                </c:pt>
                <c:pt idx="1">
                  <c:v>1.2661390090728837</c:v>
                </c:pt>
              </c:numCache>
            </c:numRef>
          </c:yVal>
          <c:smooth val="1"/>
          <c:extLst>
            <c:ext xmlns:c16="http://schemas.microsoft.com/office/drawing/2014/chart" uri="{C3380CC4-5D6E-409C-BE32-E72D297353CC}">
              <c16:uniqueId val="{00000006-A339-4F00-B8CE-3134C3BDC22A}"/>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Revenue'!$L$11</c:f>
          <c:strCache>
            <c:ptCount val="1"/>
            <c:pt idx="0">
              <c:v>FMC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Revenue'!$L$11</c:f>
              <c:strCache>
                <c:ptCount val="1"/>
                <c:pt idx="0">
                  <c:v>FMC Corp</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Revenue'!$L$20:$L$60</c:f>
              <c:numCache>
                <c:formatCode>0.0\x_);\(0.0\x\);\-\ </c:formatCode>
                <c:ptCount val="41"/>
                <c:pt idx="0">
                  <c:v>2.1436248850900399</c:v>
                </c:pt>
                <c:pt idx="1">
                  <c:v>2.2801721209518</c:v>
                </c:pt>
                <c:pt idx="2">
                  <c:v>2.3539724356193901</c:v>
                </c:pt>
                <c:pt idx="3">
                  <c:v>2.6644060394986901</c:v>
                </c:pt>
                <c:pt idx="4">
                  <c:v>2.5241480294505401</c:v>
                </c:pt>
                <c:pt idx="5">
                  <c:v>2.47664484875289</c:v>
                </c:pt>
                <c:pt idx="6">
                  <c:v>2.29018194962083</c:v>
                </c:pt>
                <c:pt idx="7">
                  <c:v>1.93850554026476</c:v>
                </c:pt>
                <c:pt idx="8">
                  <c:v>2.2862634621748699</c:v>
                </c:pt>
                <c:pt idx="9">
                  <c:v>2.40486571433394</c:v>
                </c:pt>
                <c:pt idx="10">
                  <c:v>2.0164627372277701</c:v>
                </c:pt>
                <c:pt idx="11">
                  <c:v>2.0696128116132</c:v>
                </c:pt>
                <c:pt idx="12">
                  <c:v>1.9322323720642001</c:v>
                </c:pt>
                <c:pt idx="13">
                  <c:v>2.3415751694692299</c:v>
                </c:pt>
                <c:pt idx="14">
                  <c:v>2.43507301093504</c:v>
                </c:pt>
                <c:pt idx="15">
                  <c:v>2.5838423312507399</c:v>
                </c:pt>
                <c:pt idx="16">
                  <c:v>2.8191461159951201</c:v>
                </c:pt>
                <c:pt idx="17">
                  <c:v>3.5846089305641402</c:v>
                </c:pt>
                <c:pt idx="18">
                  <c:v>3.3620773685723302</c:v>
                </c:pt>
                <c:pt idx="19">
                  <c:v>3.2486691500745302</c:v>
                </c:pt>
                <c:pt idx="20">
                  <c:v>2.8969099252786399</c:v>
                </c:pt>
                <c:pt idx="21">
                  <c:v>3.1716985451854001</c:v>
                </c:pt>
                <c:pt idx="22">
                  <c:v>2.9445462612819702</c:v>
                </c:pt>
                <c:pt idx="23">
                  <c:v>2.8641680271612602</c:v>
                </c:pt>
                <c:pt idx="24">
                  <c:v>3.0096681640276501</c:v>
                </c:pt>
                <c:pt idx="25">
                  <c:v>2.80226919512751</c:v>
                </c:pt>
                <c:pt idx="26">
                  <c:v>2.9893129239915899</c:v>
                </c:pt>
                <c:pt idx="27">
                  <c:v>3.26057154310908</c:v>
                </c:pt>
                <c:pt idx="28">
                  <c:v>3.4152968308253699</c:v>
                </c:pt>
                <c:pt idx="29">
                  <c:v>3.0397502429589598</c:v>
                </c:pt>
                <c:pt idx="30">
                  <c:v>3.5304011988960902</c:v>
                </c:pt>
                <c:pt idx="31">
                  <c:v>3.3951926058287198</c:v>
                </c:pt>
                <c:pt idx="32">
                  <c:v>3.3606385583243199</c:v>
                </c:pt>
                <c:pt idx="33">
                  <c:v>3.6065297427093701</c:v>
                </c:pt>
                <c:pt idx="34">
                  <c:v>2.9388672100132802</c:v>
                </c:pt>
                <c:pt idx="35">
                  <c:v>3.1189298813913902</c:v>
                </c:pt>
                <c:pt idx="36">
                  <c:v>3.2356202825093399</c:v>
                </c:pt>
                <c:pt idx="37">
                  <c:v>3.2662118103152</c:v>
                </c:pt>
                <c:pt idx="38">
                  <c:v>2.9984291833764698</c:v>
                </c:pt>
                <c:pt idx="39">
                  <c:v>3.2131199021801602</c:v>
                </c:pt>
                <c:pt idx="40">
                  <c:v>2.8396891912348101</c:v>
                </c:pt>
              </c:numCache>
            </c:numRef>
          </c:val>
          <c:smooth val="0"/>
          <c:extLst>
            <c:ext xmlns:c16="http://schemas.microsoft.com/office/drawing/2014/chart" uri="{C3380CC4-5D6E-409C-BE32-E72D297353CC}">
              <c16:uniqueId val="{00000000-374D-4F70-AD25-DCDCEE23434B}"/>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74D-4F70-AD25-DCDCEE23434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Revenue'!$L$16,'Forward EV Revenue'!$L$16)</c:f>
              <c:numCache>
                <c:formatCode>0.0\x_);\(0.0\x\);\-\ </c:formatCode>
                <c:ptCount val="2"/>
                <c:pt idx="0">
                  <c:v>2.8208269816890401</c:v>
                </c:pt>
                <c:pt idx="1">
                  <c:v>2.8208269816890401</c:v>
                </c:pt>
              </c:numCache>
            </c:numRef>
          </c:yVal>
          <c:smooth val="1"/>
          <c:extLst>
            <c:ext xmlns:c16="http://schemas.microsoft.com/office/drawing/2014/chart" uri="{C3380CC4-5D6E-409C-BE32-E72D297353CC}">
              <c16:uniqueId val="{00000002-374D-4F70-AD25-DCDCEE23434B}"/>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374D-4F70-AD25-DCDCEE23434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Revenue'!$L$17,'Forward EV Revenue'!$L$17)</c:f>
              <c:numCache>
                <c:formatCode>0.0\x_);\(0.0\x\);\-\ </c:formatCode>
                <c:ptCount val="2"/>
                <c:pt idx="0">
                  <c:v>2.3415003998988042</c:v>
                </c:pt>
                <c:pt idx="1">
                  <c:v>2.3415003998988042</c:v>
                </c:pt>
              </c:numCache>
            </c:numRef>
          </c:yVal>
          <c:smooth val="1"/>
          <c:extLst>
            <c:ext xmlns:c16="http://schemas.microsoft.com/office/drawing/2014/chart" uri="{C3380CC4-5D6E-409C-BE32-E72D297353CC}">
              <c16:uniqueId val="{00000004-374D-4F70-AD25-DCDCEE23434B}"/>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374D-4F70-AD25-DCDCEE23434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Revenue'!$L$18,'Forward EV Revenue'!$L$18)</c:f>
              <c:numCache>
                <c:formatCode>0.0\x_);\(0.0\x\);\-\ </c:formatCode>
                <c:ptCount val="2"/>
                <c:pt idx="0">
                  <c:v>3.300153563479276</c:v>
                </c:pt>
                <c:pt idx="1">
                  <c:v>3.300153563479276</c:v>
                </c:pt>
              </c:numCache>
            </c:numRef>
          </c:yVal>
          <c:smooth val="1"/>
          <c:extLst>
            <c:ext xmlns:c16="http://schemas.microsoft.com/office/drawing/2014/chart" uri="{C3380CC4-5D6E-409C-BE32-E72D297353CC}">
              <c16:uniqueId val="{00000006-374D-4F70-AD25-DCDCEE23434B}"/>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Revenue'!$I$11</c:f>
          <c:strCache>
            <c:ptCount val="1"/>
            <c:pt idx="0">
              <c:v>LyondellBasell Industries NV</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Revenue'!$I$11</c:f>
              <c:strCache>
                <c:ptCount val="1"/>
                <c:pt idx="0">
                  <c:v>LyondellBasell Industries NV</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Revenue'!$I$20:$I$60</c:f>
              <c:numCache>
                <c:formatCode>0.0\x_);\(0.0\x\);\-\ </c:formatCode>
                <c:ptCount val="41"/>
                <c:pt idx="0">
                  <c:v>0.81191080480967504</c:v>
                </c:pt>
                <c:pt idx="1">
                  <c:v>0.86033474110553299</c:v>
                </c:pt>
                <c:pt idx="2">
                  <c:v>0.90206500660317002</c:v>
                </c:pt>
                <c:pt idx="3">
                  <c:v>0.97571616119115501</c:v>
                </c:pt>
                <c:pt idx="4">
                  <c:v>1.04680486225462</c:v>
                </c:pt>
                <c:pt idx="5">
                  <c:v>1.1471684733284599</c:v>
                </c:pt>
                <c:pt idx="6">
                  <c:v>1.2528991080952701</c:v>
                </c:pt>
                <c:pt idx="7">
                  <c:v>1.03307320439156</c:v>
                </c:pt>
                <c:pt idx="8">
                  <c:v>1.2000684207029799</c:v>
                </c:pt>
                <c:pt idx="9">
                  <c:v>1.5569001633597199</c:v>
                </c:pt>
                <c:pt idx="10">
                  <c:v>1.28401122786975</c:v>
                </c:pt>
                <c:pt idx="11">
                  <c:v>1.36908518411504</c:v>
                </c:pt>
                <c:pt idx="12">
                  <c:v>1.24613545044998</c:v>
                </c:pt>
                <c:pt idx="13">
                  <c:v>1.3505137615445699</c:v>
                </c:pt>
                <c:pt idx="14">
                  <c:v>1.2577066734795299</c:v>
                </c:pt>
                <c:pt idx="15">
                  <c:v>1.3325593193521501</c:v>
                </c:pt>
                <c:pt idx="16">
                  <c:v>1.4125009539172699</c:v>
                </c:pt>
                <c:pt idx="17">
                  <c:v>1.2324126201738299</c:v>
                </c:pt>
                <c:pt idx="18">
                  <c:v>1.28468113387848</c:v>
                </c:pt>
                <c:pt idx="19">
                  <c:v>1.4118266819668299</c:v>
                </c:pt>
                <c:pt idx="20">
                  <c:v>1.4262421737650901</c:v>
                </c:pt>
                <c:pt idx="21">
                  <c:v>1.3435745982329399</c:v>
                </c:pt>
                <c:pt idx="22">
                  <c:v>1.2708798337723699</c:v>
                </c:pt>
                <c:pt idx="23">
                  <c:v>1.0527616011322001</c:v>
                </c:pt>
                <c:pt idx="24">
                  <c:v>1.0305674336315001</c:v>
                </c:pt>
                <c:pt idx="25">
                  <c:v>1.0034306671561</c:v>
                </c:pt>
                <c:pt idx="26">
                  <c:v>0.90243590936510498</c:v>
                </c:pt>
                <c:pt idx="27">
                  <c:v>1.1982868416196799</c:v>
                </c:pt>
                <c:pt idx="28">
                  <c:v>1.15446237848652</c:v>
                </c:pt>
                <c:pt idx="29">
                  <c:v>1.10832461234816</c:v>
                </c:pt>
                <c:pt idx="30">
                  <c:v>1.2099187865281</c:v>
                </c:pt>
                <c:pt idx="31">
                  <c:v>1.22951758222909</c:v>
                </c:pt>
                <c:pt idx="32">
                  <c:v>1.3065084228383601</c:v>
                </c:pt>
                <c:pt idx="33">
                  <c:v>1.3495154889335901</c:v>
                </c:pt>
                <c:pt idx="34">
                  <c:v>1.1904153350256701</c:v>
                </c:pt>
                <c:pt idx="35">
                  <c:v>1.00248909951474</c:v>
                </c:pt>
                <c:pt idx="36">
                  <c:v>0.98488479198226497</c:v>
                </c:pt>
                <c:pt idx="37">
                  <c:v>0.86649446870260405</c:v>
                </c:pt>
                <c:pt idx="38">
                  <c:v>0.77406820619138605</c:v>
                </c:pt>
                <c:pt idx="39">
                  <c:v>0.80636840801885101</c:v>
                </c:pt>
                <c:pt idx="40">
                  <c:v>0.86845662687404501</c:v>
                </c:pt>
              </c:numCache>
            </c:numRef>
          </c:val>
          <c:smooth val="0"/>
          <c:extLst>
            <c:ext xmlns:c16="http://schemas.microsoft.com/office/drawing/2014/chart" uri="{C3380CC4-5D6E-409C-BE32-E72D297353CC}">
              <c16:uniqueId val="{00000000-EB59-42EC-94D2-A9FA51C49B51}"/>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B59-42EC-94D2-A9FA51C49B5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Revenue'!$I$16,'Forward EV Revenue'!$I$16)</c:f>
              <c:numCache>
                <c:formatCode>0.0\x_);\(0.0\x\);\-\ </c:formatCode>
                <c:ptCount val="2"/>
                <c:pt idx="0">
                  <c:v>1.1475116394862912</c:v>
                </c:pt>
                <c:pt idx="1">
                  <c:v>1.1475116394862912</c:v>
                </c:pt>
              </c:numCache>
            </c:numRef>
          </c:yVal>
          <c:smooth val="1"/>
          <c:extLst>
            <c:ext xmlns:c16="http://schemas.microsoft.com/office/drawing/2014/chart" uri="{C3380CC4-5D6E-409C-BE32-E72D297353CC}">
              <c16:uniqueId val="{00000002-EB59-42EC-94D2-A9FA51C49B51}"/>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EB59-42EC-94D2-A9FA51C49B5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Revenue'!$I$17,'Forward EV Revenue'!$I$17)</c:f>
              <c:numCache>
                <c:formatCode>0.0\x_);\(0.0\x\);\-\ </c:formatCode>
                <c:ptCount val="2"/>
                <c:pt idx="0">
                  <c:v>0.95006386032281864</c:v>
                </c:pt>
                <c:pt idx="1">
                  <c:v>0.95006386032281864</c:v>
                </c:pt>
              </c:numCache>
            </c:numRef>
          </c:yVal>
          <c:smooth val="1"/>
          <c:extLst>
            <c:ext xmlns:c16="http://schemas.microsoft.com/office/drawing/2014/chart" uri="{C3380CC4-5D6E-409C-BE32-E72D297353CC}">
              <c16:uniqueId val="{00000004-EB59-42EC-94D2-A9FA51C49B51}"/>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EB59-42EC-94D2-A9FA51C49B5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Revenue'!$I$18,'Forward EV Revenue'!$I$18)</c:f>
              <c:numCache>
                <c:formatCode>0.0\x_);\(0.0\x\);\-\ </c:formatCode>
                <c:ptCount val="2"/>
                <c:pt idx="0">
                  <c:v>1.3449594186497638</c:v>
                </c:pt>
                <c:pt idx="1">
                  <c:v>1.3449594186497638</c:v>
                </c:pt>
              </c:numCache>
            </c:numRef>
          </c:yVal>
          <c:smooth val="1"/>
          <c:extLst>
            <c:ext xmlns:c16="http://schemas.microsoft.com/office/drawing/2014/chart" uri="{C3380CC4-5D6E-409C-BE32-E72D297353CC}">
              <c16:uniqueId val="{00000006-EB59-42EC-94D2-A9FA51C49B51}"/>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Revenue'!$J$11</c:f>
          <c:strCache>
            <c:ptCount val="1"/>
            <c:pt idx="0">
              <c:v>Dupont De Nemours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Revenue'!$J$11</c:f>
              <c:strCache>
                <c:ptCount val="1"/>
                <c:pt idx="0">
                  <c:v>Dupont De Nemours Inc</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2.2049240189216901</c:v>
                </c:pt>
                <c:pt idx="20">
                  <c:v>2.2472215874699399</c:v>
                </c:pt>
                <c:pt idx="21">
                  <c:v>2.0877785921866701</c:v>
                </c:pt>
                <c:pt idx="22">
                  <c:v>2.03109534248108</c:v>
                </c:pt>
                <c:pt idx="23">
                  <c:v>1.8076991116068599</c:v>
                </c:pt>
                <c:pt idx="24">
                  <c:v>1.4463098955434299</c:v>
                </c:pt>
                <c:pt idx="25">
                  <c:v>2.2943567824085598</c:v>
                </c:pt>
                <c:pt idx="26">
                  <c:v>2.9154063290705898</c:v>
                </c:pt>
                <c:pt idx="27">
                  <c:v>3.0684857657311899</c:v>
                </c:pt>
                <c:pt idx="28">
                  <c:v>2.5493217060915199</c:v>
                </c:pt>
                <c:pt idx="29">
                  <c:v>2.44771210169898</c:v>
                </c:pt>
                <c:pt idx="30">
                  <c:v>2.82497407534846</c:v>
                </c:pt>
                <c:pt idx="31">
                  <c:v>3.2561821395278598</c:v>
                </c:pt>
                <c:pt idx="32">
                  <c:v>3.8296705584472699</c:v>
                </c:pt>
                <c:pt idx="33">
                  <c:v>3.1571090554263601</c:v>
                </c:pt>
                <c:pt idx="34">
                  <c:v>2.7876803914843298</c:v>
                </c:pt>
                <c:pt idx="35">
                  <c:v>2.9793224365283399</c:v>
                </c:pt>
                <c:pt idx="36">
                  <c:v>2.8089882636801198</c:v>
                </c:pt>
                <c:pt idx="37">
                  <c:v>3.0810196745515901</c:v>
                </c:pt>
                <c:pt idx="38">
                  <c:v>3.0679175510063601</c:v>
                </c:pt>
                <c:pt idx="39">
                  <c:v>3.5238524284928898</c:v>
                </c:pt>
                <c:pt idx="40">
                  <c:v>2.7668258194948501</c:v>
                </c:pt>
              </c:numCache>
            </c:numRef>
          </c:val>
          <c:smooth val="0"/>
          <c:extLst>
            <c:ext xmlns:c16="http://schemas.microsoft.com/office/drawing/2014/chart" uri="{C3380CC4-5D6E-409C-BE32-E72D297353CC}">
              <c16:uniqueId val="{00000000-FF70-43E9-9AA1-CC01B0786480}"/>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FF70-43E9-9AA1-CC01B078648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Revenue'!$J$16,'Forward EV Revenue'!$J$16)</c:f>
              <c:numCache>
                <c:formatCode>0.0\x_);\(0.0\x\);\-\ </c:formatCode>
                <c:ptCount val="2"/>
                <c:pt idx="0">
                  <c:v>2.690175164872679</c:v>
                </c:pt>
                <c:pt idx="1">
                  <c:v>2.690175164872679</c:v>
                </c:pt>
              </c:numCache>
            </c:numRef>
          </c:yVal>
          <c:smooth val="1"/>
          <c:extLst>
            <c:ext xmlns:c16="http://schemas.microsoft.com/office/drawing/2014/chart" uri="{C3380CC4-5D6E-409C-BE32-E72D297353CC}">
              <c16:uniqueId val="{00000002-FF70-43E9-9AA1-CC01B0786480}"/>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FF70-43E9-9AA1-CC01B078648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Revenue'!$J$17,'Forward EV Revenue'!$J$17)</c:f>
              <c:numCache>
                <c:formatCode>0.0\x_);\(0.0\x\);\-\ </c:formatCode>
                <c:ptCount val="2"/>
                <c:pt idx="0">
                  <c:v>2.1284149095567662</c:v>
                </c:pt>
                <c:pt idx="1">
                  <c:v>2.1284149095567662</c:v>
                </c:pt>
              </c:numCache>
            </c:numRef>
          </c:yVal>
          <c:smooth val="1"/>
          <c:extLst>
            <c:ext xmlns:c16="http://schemas.microsoft.com/office/drawing/2014/chart" uri="{C3380CC4-5D6E-409C-BE32-E72D297353CC}">
              <c16:uniqueId val="{00000004-FF70-43E9-9AA1-CC01B0786480}"/>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FF70-43E9-9AA1-CC01B078648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Revenue'!$J$18,'Forward EV Revenue'!$J$18)</c:f>
              <c:numCache>
                <c:formatCode>0.0\x_);\(0.0\x\);\-\ </c:formatCode>
                <c:ptCount val="2"/>
                <c:pt idx="0">
                  <c:v>3.2519354201885919</c:v>
                </c:pt>
                <c:pt idx="1">
                  <c:v>3.2519354201885919</c:v>
                </c:pt>
              </c:numCache>
            </c:numRef>
          </c:yVal>
          <c:smooth val="1"/>
          <c:extLst>
            <c:ext xmlns:c16="http://schemas.microsoft.com/office/drawing/2014/chart" uri="{C3380CC4-5D6E-409C-BE32-E72D297353CC}">
              <c16:uniqueId val="{00000006-FF70-43E9-9AA1-CC01B0786480}"/>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Revenue'!$K$11</c:f>
          <c:strCache>
            <c:ptCount val="1"/>
            <c:pt idx="0">
              <c:v>Avient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Revenue'!$K$11</c:f>
              <c:strCache>
                <c:ptCount val="1"/>
                <c:pt idx="0">
                  <c:v>Avient Corp</c:v>
                </c:pt>
              </c:strCache>
            </c:strRef>
          </c:tx>
          <c:spPr>
            <a:ln w="28575" cap="rnd">
              <a:solidFill>
                <a:srgbClr val="0070C0"/>
              </a:solidFill>
              <a:round/>
            </a:ln>
            <a:effectLst/>
          </c:spPr>
          <c:marker>
            <c:symbol val="none"/>
          </c:marker>
          <c:cat>
            <c:multiLvlStrRef>
              <c:f>'Forward EV Revenue'!$C$20:$D$60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EV Revenue'!$K$20:$K$60</c:f>
              <c:numCache>
                <c:formatCode>0.0\x_);\(0.0\x\);\-\ </c:formatCode>
                <c:ptCount val="41"/>
                <c:pt idx="0">
                  <c:v>0.61414805802510997</c:v>
                </c:pt>
                <c:pt idx="1">
                  <c:v>0.84527697941990099</c:v>
                </c:pt>
                <c:pt idx="2">
                  <c:v>0.84554900282606205</c:v>
                </c:pt>
                <c:pt idx="3">
                  <c:v>0.87467818053950497</c:v>
                </c:pt>
                <c:pt idx="4">
                  <c:v>0.95648627156376698</c:v>
                </c:pt>
                <c:pt idx="5">
                  <c:v>1.0163877225315101</c:v>
                </c:pt>
                <c:pt idx="6">
                  <c:v>1.0599368962332401</c:v>
                </c:pt>
                <c:pt idx="7">
                  <c:v>1.00820988855518</c:v>
                </c:pt>
                <c:pt idx="8">
                  <c:v>1.10947961550519</c:v>
                </c:pt>
                <c:pt idx="9">
                  <c:v>1.17733185264541</c:v>
                </c:pt>
                <c:pt idx="10">
                  <c:v>1.04869876641065</c:v>
                </c:pt>
                <c:pt idx="11">
                  <c:v>1.06392023210033</c:v>
                </c:pt>
                <c:pt idx="12">
                  <c:v>0.897257686131123</c:v>
                </c:pt>
                <c:pt idx="13">
                  <c:v>1.19699384872554</c:v>
                </c:pt>
                <c:pt idx="14">
                  <c:v>1.1194647151828001</c:v>
                </c:pt>
                <c:pt idx="15">
                  <c:v>1.10607160806048</c:v>
                </c:pt>
                <c:pt idx="16">
                  <c:v>1.10878746790056</c:v>
                </c:pt>
                <c:pt idx="17">
                  <c:v>1.2142130739057</c:v>
                </c:pt>
                <c:pt idx="18">
                  <c:v>1.29784000699416</c:v>
                </c:pt>
                <c:pt idx="19">
                  <c:v>1.4458709919149999</c:v>
                </c:pt>
                <c:pt idx="20">
                  <c:v>1.2971928816541101</c:v>
                </c:pt>
                <c:pt idx="21">
                  <c:v>1.2734438211027399</c:v>
                </c:pt>
                <c:pt idx="22">
                  <c:v>1.27439663161496</c:v>
                </c:pt>
                <c:pt idx="23">
                  <c:v>1.0367746616676801</c:v>
                </c:pt>
                <c:pt idx="24">
                  <c:v>0.97659861628483102</c:v>
                </c:pt>
                <c:pt idx="25">
                  <c:v>0.93009651512743696</c:v>
                </c:pt>
                <c:pt idx="26">
                  <c:v>0.97772108997658902</c:v>
                </c:pt>
                <c:pt idx="27">
                  <c:v>1.27742601367635</c:v>
                </c:pt>
                <c:pt idx="28">
                  <c:v>1.42448519259108</c:v>
                </c:pt>
                <c:pt idx="29">
                  <c:v>0.68931258202704404</c:v>
                </c:pt>
                <c:pt idx="30">
                  <c:v>0.671846984941461</c:v>
                </c:pt>
                <c:pt idx="31">
                  <c:v>1.1899829088322</c:v>
                </c:pt>
                <c:pt idx="32">
                  <c:v>1.2904627602886201</c:v>
                </c:pt>
                <c:pt idx="33">
                  <c:v>1.40305486129671</c:v>
                </c:pt>
                <c:pt idx="34">
                  <c:v>1.21452994042125</c:v>
                </c:pt>
                <c:pt idx="35">
                  <c:v>1.3540926811799501</c:v>
                </c:pt>
                <c:pt idx="36">
                  <c:v>1.2009703428079801</c:v>
                </c:pt>
                <c:pt idx="37">
                  <c:v>1.0668615481133401</c:v>
                </c:pt>
                <c:pt idx="38">
                  <c:v>1.0903476962179399</c:v>
                </c:pt>
                <c:pt idx="39">
                  <c:v>1.60041331310608</c:v>
                </c:pt>
                <c:pt idx="40">
                  <c:v>1.4442485126165201</c:v>
                </c:pt>
              </c:numCache>
            </c:numRef>
          </c:val>
          <c:smooth val="0"/>
          <c:extLst>
            <c:ext xmlns:c16="http://schemas.microsoft.com/office/drawing/2014/chart" uri="{C3380CC4-5D6E-409C-BE32-E72D297353CC}">
              <c16:uniqueId val="{00000000-29C4-40EC-AD31-C8F05FBD5FA6}"/>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9C4-40EC-AD31-C8F05FBD5FA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Revenue'!$K$16,'Forward EV Revenue'!$K$16)</c:f>
              <c:numCache>
                <c:formatCode>0.0\x_);\(0.0\x\);\-\ </c:formatCode>
                <c:ptCount val="2"/>
                <c:pt idx="0">
                  <c:v>1.114411278554051</c:v>
                </c:pt>
                <c:pt idx="1">
                  <c:v>1.114411278554051</c:v>
                </c:pt>
              </c:numCache>
            </c:numRef>
          </c:yVal>
          <c:smooth val="1"/>
          <c:extLst>
            <c:ext xmlns:c16="http://schemas.microsoft.com/office/drawing/2014/chart" uri="{C3380CC4-5D6E-409C-BE32-E72D297353CC}">
              <c16:uniqueId val="{00000002-29C4-40EC-AD31-C8F05FBD5FA6}"/>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9C4-40EC-AD31-C8F05FBD5FA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Revenue'!$K$17,'Forward EV Revenue'!$K$17)</c:f>
              <c:numCache>
                <c:formatCode>0.0\x_);\(0.0\x\);\-\ </c:formatCode>
                <c:ptCount val="2"/>
                <c:pt idx="0">
                  <c:v>0.89779915030512047</c:v>
                </c:pt>
                <c:pt idx="1">
                  <c:v>0.89779915030512047</c:v>
                </c:pt>
              </c:numCache>
            </c:numRef>
          </c:yVal>
          <c:smooth val="1"/>
          <c:extLst>
            <c:ext xmlns:c16="http://schemas.microsoft.com/office/drawing/2014/chart" uri="{C3380CC4-5D6E-409C-BE32-E72D297353CC}">
              <c16:uniqueId val="{00000004-29C4-40EC-AD31-C8F05FBD5FA6}"/>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9C4-40EC-AD31-C8F05FBD5FA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Revenue'!$K$18,'Forward EV Revenue'!$K$18)</c:f>
              <c:numCache>
                <c:formatCode>0.0\x_);\(0.0\x\);\-\ </c:formatCode>
                <c:ptCount val="2"/>
                <c:pt idx="0">
                  <c:v>1.3310234068029816</c:v>
                </c:pt>
                <c:pt idx="1">
                  <c:v>1.3310234068029816</c:v>
                </c:pt>
              </c:numCache>
            </c:numRef>
          </c:yVal>
          <c:smooth val="1"/>
          <c:extLst>
            <c:ext xmlns:c16="http://schemas.microsoft.com/office/drawing/2014/chart" uri="{C3380CC4-5D6E-409C-BE32-E72D297353CC}">
              <c16:uniqueId val="{00000006-29C4-40EC-AD31-C8F05FBD5FA6}"/>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PE'!$E$11</c:f>
          <c:strCache>
            <c:ptCount val="1"/>
            <c:pt idx="0">
              <c:v>Eastman Chemical Co</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spPr>
            <a:ln w="28575" cap="rnd">
              <a:solidFill>
                <a:srgbClr val="0070C0"/>
              </a:solidFill>
              <a:round/>
            </a:ln>
            <a:effectLst/>
          </c:spPr>
          <c:marker>
            <c:symbol val="none"/>
          </c:marker>
          <c:val>
            <c:numRef>
              <c:f>'Forward PE'!$E$20:$E$60</c:f>
              <c:numCache>
                <c:formatCode>0.0\x_);\(0.0\x\);\-\ </c:formatCode>
                <c:ptCount val="41"/>
                <c:pt idx="0">
                  <c:v>11.388332558</c:v>
                </c:pt>
                <c:pt idx="1">
                  <c:v>10.711028176999999</c:v>
                </c:pt>
                <c:pt idx="2">
                  <c:v>11.575503929</c:v>
                </c:pt>
                <c:pt idx="3">
                  <c:v>11.46694057</c:v>
                </c:pt>
                <c:pt idx="4">
                  <c:v>11.888438179</c:v>
                </c:pt>
                <c:pt idx="5">
                  <c:v>11.569012488</c:v>
                </c:pt>
                <c:pt idx="6">
                  <c:v>10.929308716</c:v>
                </c:pt>
                <c:pt idx="7">
                  <c:v>11.107030125</c:v>
                </c:pt>
                <c:pt idx="8">
                  <c:v>10.634018344999999</c:v>
                </c:pt>
                <c:pt idx="9">
                  <c:v>10.596865938000001</c:v>
                </c:pt>
                <c:pt idx="10">
                  <c:v>9.991019841</c:v>
                </c:pt>
                <c:pt idx="11">
                  <c:v>9.003559117</c:v>
                </c:pt>
                <c:pt idx="12">
                  <c:v>8.5535561569999992</c:v>
                </c:pt>
                <c:pt idx="13">
                  <c:v>9.9897804650000008</c:v>
                </c:pt>
                <c:pt idx="14">
                  <c:v>9.3872103629999994</c:v>
                </c:pt>
                <c:pt idx="15">
                  <c:v>10.285875887</c:v>
                </c:pt>
                <c:pt idx="16">
                  <c:v>10.944724136</c:v>
                </c:pt>
                <c:pt idx="17">
                  <c:v>10.245286221000001</c:v>
                </c:pt>
                <c:pt idx="18">
                  <c:v>10.703316372</c:v>
                </c:pt>
                <c:pt idx="19">
                  <c:v>11.264194947</c:v>
                </c:pt>
                <c:pt idx="20">
                  <c:v>11.682606263</c:v>
                </c:pt>
                <c:pt idx="21">
                  <c:v>12.165028704999999</c:v>
                </c:pt>
                <c:pt idx="22">
                  <c:v>10.970024061</c:v>
                </c:pt>
                <c:pt idx="23">
                  <c:v>9.0212064020000007</c:v>
                </c:pt>
                <c:pt idx="24">
                  <c:v>9.2063831799999996</c:v>
                </c:pt>
                <c:pt idx="25">
                  <c:v>8.1367879219999999</c:v>
                </c:pt>
                <c:pt idx="26">
                  <c:v>7.7475511069999996</c:v>
                </c:pt>
                <c:pt idx="27">
                  <c:v>10.243004195999999</c:v>
                </c:pt>
                <c:pt idx="28">
                  <c:v>9.9580052089999995</c:v>
                </c:pt>
                <c:pt idx="29">
                  <c:v>9.5575391270000001</c:v>
                </c:pt>
                <c:pt idx="30">
                  <c:v>11.457505079000001</c:v>
                </c:pt>
                <c:pt idx="31">
                  <c:v>13.675302059</c:v>
                </c:pt>
                <c:pt idx="32">
                  <c:v>13.929456343</c:v>
                </c:pt>
                <c:pt idx="33">
                  <c:v>14.667218342</c:v>
                </c:pt>
                <c:pt idx="34">
                  <c:v>12.3489249</c:v>
                </c:pt>
                <c:pt idx="35">
                  <c:v>12.241358608000001</c:v>
                </c:pt>
                <c:pt idx="36">
                  <c:v>12.292983871000001</c:v>
                </c:pt>
                <c:pt idx="37">
                  <c:v>10.239391005</c:v>
                </c:pt>
                <c:pt idx="38">
                  <c:v>10.066605187</c:v>
                </c:pt>
                <c:pt idx="39">
                  <c:v>10.573196086999999</c:v>
                </c:pt>
                <c:pt idx="40">
                  <c:v>9.9634500940000006</c:v>
                </c:pt>
              </c:numCache>
            </c:numRef>
          </c:val>
          <c:smooth val="0"/>
          <c:extLst>
            <c:ext xmlns:c16="http://schemas.microsoft.com/office/drawing/2014/chart" uri="{C3380CC4-5D6E-409C-BE32-E72D297353CC}">
              <c16:uniqueId val="{00000000-A497-48D8-B48B-F65B4865E5CC}"/>
            </c:ext>
          </c:extLst>
        </c:ser>
        <c:dLbls>
          <c:showLegendKey val="0"/>
          <c:showVal val="0"/>
          <c:showCatName val="0"/>
          <c:showSerName val="0"/>
          <c:showPercent val="0"/>
          <c:showBubbleSize val="0"/>
        </c:dLbls>
        <c:smooth val="0"/>
        <c:axId val="1797476624"/>
        <c:axId val="1797475792"/>
      </c:line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ax val="80"/>
          <c:min val="20"/>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PE'!$F$11</c:f>
          <c:strCache>
            <c:ptCount val="1"/>
            <c:pt idx="0">
              <c:v>Celanese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PE'!$F$11</c:f>
              <c:strCache>
                <c:ptCount val="1"/>
                <c:pt idx="0">
                  <c:v>Celanese Corp</c:v>
                </c:pt>
              </c:strCache>
            </c:strRef>
          </c:tx>
          <c:spPr>
            <a:ln w="28575" cap="rnd">
              <a:solidFill>
                <a:srgbClr val="0070C0"/>
              </a:solidFill>
              <a:round/>
            </a:ln>
            <a:effectLst/>
          </c:spPr>
          <c:marker>
            <c:symbol val="none"/>
          </c:marker>
          <c:dPt>
            <c:idx val="21"/>
            <c:marker>
              <c:symbol val="none"/>
            </c:marker>
            <c:bubble3D val="0"/>
            <c:spPr>
              <a:ln w="28575" cap="rnd">
                <a:noFill/>
                <a:round/>
              </a:ln>
              <a:effectLst/>
            </c:spPr>
            <c:extLst>
              <c:ext xmlns:c16="http://schemas.microsoft.com/office/drawing/2014/chart" uri="{C3380CC4-5D6E-409C-BE32-E72D297353CC}">
                <c16:uniqueId val="{00000001-24E7-4521-B3AB-C4F9291A009E}"/>
              </c:ext>
            </c:extLst>
          </c:dPt>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PE'!$F$20:$F$60</c:f>
              <c:numCache>
                <c:formatCode>0.0\x_);\(0.0\x\);\-\ </c:formatCode>
                <c:ptCount val="41"/>
                <c:pt idx="0">
                  <c:v>11.329160828999999</c:v>
                </c:pt>
                <c:pt idx="1">
                  <c:v>10.106417828</c:v>
                </c:pt>
                <c:pt idx="2">
                  <c:v>10.422752597000001</c:v>
                </c:pt>
                <c:pt idx="3">
                  <c:v>11.616480455</c:v>
                </c:pt>
                <c:pt idx="4">
                  <c:v>10.584146485</c:v>
                </c:pt>
                <c:pt idx="5">
                  <c:v>11.238685590999999</c:v>
                </c:pt>
                <c:pt idx="6">
                  <c:v>11.068388818000001</c:v>
                </c:pt>
                <c:pt idx="7">
                  <c:v>10.725571202999999</c:v>
                </c:pt>
                <c:pt idx="8">
                  <c:v>10.919562983000001</c:v>
                </c:pt>
                <c:pt idx="9">
                  <c:v>11.444985824</c:v>
                </c:pt>
                <c:pt idx="10">
                  <c:v>10.587184879</c:v>
                </c:pt>
                <c:pt idx="11">
                  <c:v>11.107578132</c:v>
                </c:pt>
                <c:pt idx="12">
                  <c:v>8.9210314040000007</c:v>
                </c:pt>
                <c:pt idx="13">
                  <c:v>10.301699103000001</c:v>
                </c:pt>
                <c:pt idx="14">
                  <c:v>9.6053967799999995</c:v>
                </c:pt>
                <c:pt idx="15">
                  <c:v>11.017215723</c:v>
                </c:pt>
                <c:pt idx="16">
                  <c:v>12.061352584</c:v>
                </c:pt>
                <c:pt idx="17">
                  <c:v>11.450865621</c:v>
                </c:pt>
                <c:pt idx="18">
                  <c:v>12.512320301000001</c:v>
                </c:pt>
                <c:pt idx="19">
                  <c:v>12.925444789</c:v>
                </c:pt>
                <c:pt idx="20">
                  <c:v>11.911277304</c:v>
                </c:pt>
                <c:pt idx="21">
                  <c:v>11.259332527</c:v>
                </c:pt>
                <c:pt idx="22">
                  <c:v>10.752028121</c:v>
                </c:pt>
                <c:pt idx="23">
                  <c:v>9.0230584030000003</c:v>
                </c:pt>
                <c:pt idx="24">
                  <c:v>9.3221164420000004</c:v>
                </c:pt>
                <c:pt idx="25">
                  <c:v>9.1854822400000007</c:v>
                </c:pt>
                <c:pt idx="26">
                  <c:v>9.9343359549999999</c:v>
                </c:pt>
                <c:pt idx="27">
                  <c:v>11.561183875999999</c:v>
                </c:pt>
                <c:pt idx="28">
                  <c:v>10.169663944</c:v>
                </c:pt>
                <c:pt idx="29">
                  <c:v>10.135237759000001</c:v>
                </c:pt>
                <c:pt idx="30">
                  <c:v>12.290270902</c:v>
                </c:pt>
                <c:pt idx="31">
                  <c:v>14.611433091</c:v>
                </c:pt>
                <c:pt idx="32">
                  <c:v>13.153625133</c:v>
                </c:pt>
                <c:pt idx="33">
                  <c:v>12.684175743999999</c:v>
                </c:pt>
                <c:pt idx="34">
                  <c:v>10.817824702999999</c:v>
                </c:pt>
                <c:pt idx="35">
                  <c:v>10.658875999999999</c:v>
                </c:pt>
                <c:pt idx="36">
                  <c:v>9.7500361009999992</c:v>
                </c:pt>
                <c:pt idx="37">
                  <c:v>8.1379246670000001</c:v>
                </c:pt>
                <c:pt idx="38">
                  <c:v>7.0105082620000001</c:v>
                </c:pt>
                <c:pt idx="39">
                  <c:v>7.8196447659999997</c:v>
                </c:pt>
                <c:pt idx="40">
                  <c:v>8.4172832460000002</c:v>
                </c:pt>
              </c:numCache>
            </c:numRef>
          </c:val>
          <c:smooth val="0"/>
          <c:extLst>
            <c:ext xmlns:c16="http://schemas.microsoft.com/office/drawing/2014/chart" uri="{C3380CC4-5D6E-409C-BE32-E72D297353CC}">
              <c16:uniqueId val="{00000002-24E7-4521-B3AB-C4F9291A009E}"/>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4E7-4521-B3AB-C4F9291A009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PE'!$F$16,'Forward PE'!$F$16)</c:f>
              <c:numCache>
                <c:formatCode>0.0\x_);\(0.0\x\);\-\ </c:formatCode>
                <c:ptCount val="2"/>
                <c:pt idx="0">
                  <c:v>10.696379539390241</c:v>
                </c:pt>
                <c:pt idx="1">
                  <c:v>10.696379539390241</c:v>
                </c:pt>
              </c:numCache>
            </c:numRef>
          </c:yVal>
          <c:smooth val="1"/>
          <c:extLst>
            <c:ext xmlns:c16="http://schemas.microsoft.com/office/drawing/2014/chart" uri="{C3380CC4-5D6E-409C-BE32-E72D297353CC}">
              <c16:uniqueId val="{00000004-24E7-4521-B3AB-C4F9291A009E}"/>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4E7-4521-B3AB-C4F9291A009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PE'!$F$17,'Forward PE'!$F$17)</c:f>
              <c:numCache>
                <c:formatCode>0.0\x_);\(0.0\x\);\-\ </c:formatCode>
                <c:ptCount val="2"/>
                <c:pt idx="0">
                  <c:v>9.2044054730110076</c:v>
                </c:pt>
                <c:pt idx="1">
                  <c:v>9.2044054730110076</c:v>
                </c:pt>
              </c:numCache>
            </c:numRef>
          </c:yVal>
          <c:smooth val="1"/>
          <c:extLst>
            <c:ext xmlns:c16="http://schemas.microsoft.com/office/drawing/2014/chart" uri="{C3380CC4-5D6E-409C-BE32-E72D297353CC}">
              <c16:uniqueId val="{00000006-24E7-4521-B3AB-C4F9291A009E}"/>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24E7-4521-B3AB-C4F9291A009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PE'!$F$18,'Forward PE'!$F$18)</c:f>
              <c:numCache>
                <c:formatCode>0.0\x_);\(0.0\x\);\-\ </c:formatCode>
                <c:ptCount val="2"/>
                <c:pt idx="0">
                  <c:v>12.188353605769475</c:v>
                </c:pt>
                <c:pt idx="1">
                  <c:v>12.188353605769475</c:v>
                </c:pt>
              </c:numCache>
            </c:numRef>
          </c:yVal>
          <c:smooth val="1"/>
          <c:extLst>
            <c:ext xmlns:c16="http://schemas.microsoft.com/office/drawing/2014/chart" uri="{C3380CC4-5D6E-409C-BE32-E72D297353CC}">
              <c16:uniqueId val="{00000008-24E7-4521-B3AB-C4F9291A009E}"/>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19"/>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PE'!$G$11</c:f>
          <c:strCache>
            <c:ptCount val="1"/>
            <c:pt idx="0">
              <c:v>BASF SE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PE'!$G$11</c:f>
              <c:strCache>
                <c:ptCount val="1"/>
                <c:pt idx="0">
                  <c:v>BASF SE</c:v>
                </c:pt>
              </c:strCache>
            </c:strRef>
          </c:tx>
          <c:spPr>
            <a:ln w="28575" cap="rnd">
              <a:solidFill>
                <a:srgbClr val="0070C0"/>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PE'!$G$20:$G$60</c:f>
              <c:numCache>
                <c:formatCode>0.0\x_);\(0.0\x\);\-\ </c:formatCode>
                <c:ptCount val="41"/>
                <c:pt idx="0">
                  <c:v>11.915024425</c:v>
                </c:pt>
                <c:pt idx="1">
                  <c:v>12.127742649</c:v>
                </c:pt>
                <c:pt idx="2">
                  <c:v>11.741998573</c:v>
                </c:pt>
                <c:pt idx="3">
                  <c:v>13.066205774</c:v>
                </c:pt>
                <c:pt idx="4">
                  <c:v>13.804745915</c:v>
                </c:pt>
                <c:pt idx="5">
                  <c:v>13.610114712</c:v>
                </c:pt>
                <c:pt idx="6">
                  <c:v>12.420566736</c:v>
                </c:pt>
                <c:pt idx="7">
                  <c:v>11.880873748999999</c:v>
                </c:pt>
                <c:pt idx="8">
                  <c:v>15.08649591</c:v>
                </c:pt>
                <c:pt idx="9">
                  <c:v>14.914558454</c:v>
                </c:pt>
                <c:pt idx="10">
                  <c:v>13.164664785999999</c:v>
                </c:pt>
                <c:pt idx="11">
                  <c:v>13.968753233999999</c:v>
                </c:pt>
                <c:pt idx="12">
                  <c:v>11.967958557999999</c:v>
                </c:pt>
                <c:pt idx="13">
                  <c:v>14.37522528</c:v>
                </c:pt>
                <c:pt idx="14">
                  <c:v>15.139256577999999</c:v>
                </c:pt>
                <c:pt idx="15">
                  <c:v>16.127508831</c:v>
                </c:pt>
                <c:pt idx="16">
                  <c:v>16.926437851999999</c:v>
                </c:pt>
                <c:pt idx="17">
                  <c:v>15.468724109</c:v>
                </c:pt>
                <c:pt idx="18">
                  <c:v>13.942292324</c:v>
                </c:pt>
                <c:pt idx="19">
                  <c:v>15.302556049</c:v>
                </c:pt>
                <c:pt idx="20">
                  <c:v>13.302463807000001</c:v>
                </c:pt>
                <c:pt idx="21">
                  <c:v>13.010252964999999</c:v>
                </c:pt>
                <c:pt idx="22">
                  <c:v>11.571004053999999</c:v>
                </c:pt>
                <c:pt idx="23">
                  <c:v>10.692080167</c:v>
                </c:pt>
                <c:pt idx="24">
                  <c:v>11.625225224999999</c:v>
                </c:pt>
                <c:pt idx="25">
                  <c:v>11.65834967</c:v>
                </c:pt>
                <c:pt idx="26">
                  <c:v>13.169719624000001</c:v>
                </c:pt>
                <c:pt idx="27">
                  <c:v>15.878387388</c:v>
                </c:pt>
                <c:pt idx="28">
                  <c:v>14.885849751</c:v>
                </c:pt>
                <c:pt idx="29">
                  <c:v>15.060557361000001</c:v>
                </c:pt>
                <c:pt idx="30">
                  <c:v>18.154561938000001</c:v>
                </c:pt>
                <c:pt idx="31">
                  <c:v>17.318283767</c:v>
                </c:pt>
                <c:pt idx="32">
                  <c:v>17.534928148999999</c:v>
                </c:pt>
                <c:pt idx="33">
                  <c:v>14.649019027</c:v>
                </c:pt>
                <c:pt idx="34">
                  <c:v>11.912876730000001</c:v>
                </c:pt>
                <c:pt idx="35">
                  <c:v>10.943909271000001</c:v>
                </c:pt>
                <c:pt idx="36">
                  <c:v>11.170151069999999</c:v>
                </c:pt>
                <c:pt idx="37">
                  <c:v>8.5638083869999999</c:v>
                </c:pt>
                <c:pt idx="38">
                  <c:v>7.8417572819999997</c:v>
                </c:pt>
                <c:pt idx="39">
                  <c:v>10.413031947</c:v>
                </c:pt>
                <c:pt idx="40">
                  <c:v>9.7153211669995905</c:v>
                </c:pt>
              </c:numCache>
            </c:numRef>
          </c:val>
          <c:smooth val="0"/>
          <c:extLst>
            <c:ext xmlns:c16="http://schemas.microsoft.com/office/drawing/2014/chart" uri="{C3380CC4-5D6E-409C-BE32-E72D297353CC}">
              <c16:uniqueId val="{00000000-E9E3-4ABF-8F5E-C2AB8F102A3A}"/>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9E3-4ABF-8F5E-C2AB8F102A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PE'!$G$16,'Forward PE'!$G$16)</c:f>
              <c:numCache>
                <c:formatCode>0.0\x_);\(0.0\x\);\-\ </c:formatCode>
                <c:ptCount val="2"/>
                <c:pt idx="0">
                  <c:v>13.317640079146333</c:v>
                </c:pt>
                <c:pt idx="1">
                  <c:v>13.317640079146333</c:v>
                </c:pt>
              </c:numCache>
            </c:numRef>
          </c:yVal>
          <c:smooth val="1"/>
          <c:extLst>
            <c:ext xmlns:c16="http://schemas.microsoft.com/office/drawing/2014/chart" uri="{C3380CC4-5D6E-409C-BE32-E72D297353CC}">
              <c16:uniqueId val="{00000002-E9E3-4ABF-8F5E-C2AB8F102A3A}"/>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E9E3-4ABF-8F5E-C2AB8F102A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PE'!$G$17,'Forward PE'!$G$17)</c:f>
              <c:numCache>
                <c:formatCode>0.0\x_);\(0.0\x\);\-\ </c:formatCode>
                <c:ptCount val="2"/>
                <c:pt idx="0">
                  <c:v>10.978727718387034</c:v>
                </c:pt>
                <c:pt idx="1">
                  <c:v>10.978727718387034</c:v>
                </c:pt>
              </c:numCache>
            </c:numRef>
          </c:yVal>
          <c:smooth val="1"/>
          <c:extLst>
            <c:ext xmlns:c16="http://schemas.microsoft.com/office/drawing/2014/chart" uri="{C3380CC4-5D6E-409C-BE32-E72D297353CC}">
              <c16:uniqueId val="{00000004-E9E3-4ABF-8F5E-C2AB8F102A3A}"/>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E9E3-4ABF-8F5E-C2AB8F102A3A}"/>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PE'!$G$18,'Forward PE'!$G$18)</c:f>
              <c:numCache>
                <c:formatCode>0.0\x_);\(0.0\x\);\-\ </c:formatCode>
                <c:ptCount val="2"/>
                <c:pt idx="0">
                  <c:v>15.656552439905632</c:v>
                </c:pt>
                <c:pt idx="1">
                  <c:v>15.656552439905632</c:v>
                </c:pt>
              </c:numCache>
            </c:numRef>
          </c:yVal>
          <c:smooth val="1"/>
          <c:extLst>
            <c:ext xmlns:c16="http://schemas.microsoft.com/office/drawing/2014/chart" uri="{C3380CC4-5D6E-409C-BE32-E72D297353CC}">
              <c16:uniqueId val="{00000006-E9E3-4ABF-8F5E-C2AB8F102A3A}"/>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PE'!$H$11</c:f>
          <c:strCache>
            <c:ptCount val="1"/>
            <c:pt idx="0">
              <c:v>Dow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PE'!$H$11</c:f>
              <c:strCache>
                <c:ptCount val="1"/>
                <c:pt idx="0">
                  <c:v>Dow Inc</c:v>
                </c:pt>
              </c:strCache>
            </c:strRef>
          </c:tx>
          <c:spPr>
            <a:ln w="28575" cap="rnd">
              <a:solidFill>
                <a:srgbClr val="0070C0"/>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PE'!$H$20:$H$60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11.134817157000001</c:v>
                </c:pt>
                <c:pt idx="26">
                  <c:v>10.842859355</c:v>
                </c:pt>
                <c:pt idx="27">
                  <c:v>12.906101415</c:v>
                </c:pt>
                <c:pt idx="28">
                  <c:v>13.493256168</c:v>
                </c:pt>
                <c:pt idx="29">
                  <c:v>19.307263331000001</c:v>
                </c:pt>
                <c:pt idx="30">
                  <c:v>28.466424331999999</c:v>
                </c:pt>
                <c:pt idx="31">
                  <c:v>20.616156663999998</c:v>
                </c:pt>
                <c:pt idx="32">
                  <c:v>16.692208824000001</c:v>
                </c:pt>
                <c:pt idx="33">
                  <c:v>12.207202504</c:v>
                </c:pt>
                <c:pt idx="34">
                  <c:v>9.2336103170000001</c:v>
                </c:pt>
                <c:pt idx="35">
                  <c:v>8.7852292750000007</c:v>
                </c:pt>
                <c:pt idx="36">
                  <c:v>9.1322078130000008</c:v>
                </c:pt>
                <c:pt idx="37">
                  <c:v>8.5424351299999994</c:v>
                </c:pt>
                <c:pt idx="38">
                  <c:v>7.7818894739999998</c:v>
                </c:pt>
                <c:pt idx="39">
                  <c:v>11.154974817999999</c:v>
                </c:pt>
                <c:pt idx="40">
                  <c:v>14.585486985999999</c:v>
                </c:pt>
              </c:numCache>
            </c:numRef>
          </c:val>
          <c:smooth val="0"/>
          <c:extLst>
            <c:ext xmlns:c16="http://schemas.microsoft.com/office/drawing/2014/chart" uri="{C3380CC4-5D6E-409C-BE32-E72D297353CC}">
              <c16:uniqueId val="{00000000-6192-4F59-B6F2-6D261A280217}"/>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192-4F59-B6F2-6D261A28021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PE'!$H$16,'Forward PE'!$H$16)</c:f>
              <c:numCache>
                <c:formatCode>0.0\x_);\(0.0\x\);\-\ </c:formatCode>
                <c:ptCount val="2"/>
                <c:pt idx="0">
                  <c:v>13.430132722687501</c:v>
                </c:pt>
                <c:pt idx="1">
                  <c:v>13.430132722687501</c:v>
                </c:pt>
              </c:numCache>
            </c:numRef>
          </c:yVal>
          <c:smooth val="1"/>
          <c:extLst>
            <c:ext xmlns:c16="http://schemas.microsoft.com/office/drawing/2014/chart" uri="{C3380CC4-5D6E-409C-BE32-E72D297353CC}">
              <c16:uniqueId val="{00000002-6192-4F59-B6F2-6D261A280217}"/>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6192-4F59-B6F2-6D261A28021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PE'!$H$17,'Forward PE'!$H$17)</c:f>
              <c:numCache>
                <c:formatCode>0.0\x_);\(0.0\x\);\-\ </c:formatCode>
                <c:ptCount val="2"/>
                <c:pt idx="0">
                  <c:v>8.0880303027763834</c:v>
                </c:pt>
                <c:pt idx="1">
                  <c:v>8.0880303027763834</c:v>
                </c:pt>
              </c:numCache>
            </c:numRef>
          </c:yVal>
          <c:smooth val="1"/>
          <c:extLst>
            <c:ext xmlns:c16="http://schemas.microsoft.com/office/drawing/2014/chart" uri="{C3380CC4-5D6E-409C-BE32-E72D297353CC}">
              <c16:uniqueId val="{00000004-6192-4F59-B6F2-6D261A280217}"/>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6192-4F59-B6F2-6D261A28021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PE'!$H$18,'Forward PE'!$H$18)</c:f>
              <c:numCache>
                <c:formatCode>0.0\x_);\(0.0\x\);\-\ </c:formatCode>
                <c:ptCount val="2"/>
                <c:pt idx="0">
                  <c:v>18.772235142598618</c:v>
                </c:pt>
                <c:pt idx="1">
                  <c:v>18.772235142598618</c:v>
                </c:pt>
              </c:numCache>
            </c:numRef>
          </c:yVal>
          <c:smooth val="1"/>
          <c:extLst>
            <c:ext xmlns:c16="http://schemas.microsoft.com/office/drawing/2014/chart" uri="{C3380CC4-5D6E-409C-BE32-E72D297353CC}">
              <c16:uniqueId val="{00000006-6192-4F59-B6F2-6D261A280217}"/>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PE'!$L$11</c:f>
          <c:strCache>
            <c:ptCount val="1"/>
            <c:pt idx="0">
              <c:v>Olin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PE'!$L$11</c:f>
              <c:strCache>
                <c:ptCount val="1"/>
                <c:pt idx="0">
                  <c:v>Olin Corp</c:v>
                </c:pt>
              </c:strCache>
            </c:strRef>
          </c:tx>
          <c:spPr>
            <a:ln w="28575" cap="rnd">
              <a:solidFill>
                <a:schemeClr val="accent1"/>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PE'!$L$20:$L$60</c:f>
              <c:numCache>
                <c:formatCode>0.0\x_);\(0.0\x\);\-\ </c:formatCode>
                <c:ptCount val="41"/>
                <c:pt idx="0">
                  <c:v>10.992711392</c:v>
                </c:pt>
                <c:pt idx="1">
                  <c:v>11.512733379</c:v>
                </c:pt>
                <c:pt idx="2">
                  <c:v>10.738285075</c:v>
                </c:pt>
                <c:pt idx="3">
                  <c:v>12.207741996999999</c:v>
                </c:pt>
                <c:pt idx="4">
                  <c:v>13.636884927000001</c:v>
                </c:pt>
                <c:pt idx="5">
                  <c:v>14.357607455</c:v>
                </c:pt>
                <c:pt idx="6">
                  <c:v>14.621976004</c:v>
                </c:pt>
                <c:pt idx="7">
                  <c:v>14.657583548</c:v>
                </c:pt>
                <c:pt idx="8">
                  <c:v>15.814540311</c:v>
                </c:pt>
                <c:pt idx="9">
                  <c:v>16.199172015999999</c:v>
                </c:pt>
                <c:pt idx="10">
                  <c:v>12.511409893</c:v>
                </c:pt>
                <c:pt idx="11">
                  <c:v>12.827896136</c:v>
                </c:pt>
                <c:pt idx="12">
                  <c:v>9.8057483600000008</c:v>
                </c:pt>
                <c:pt idx="13">
                  <c:v>14.790862711000001</c:v>
                </c:pt>
                <c:pt idx="14">
                  <c:v>15.849682096</c:v>
                </c:pt>
                <c:pt idx="15">
                  <c:v>20.319739983000002</c:v>
                </c:pt>
                <c:pt idx="16">
                  <c:v>20.760230737000001</c:v>
                </c:pt>
                <c:pt idx="17">
                  <c:v>20.098326711999999</c:v>
                </c:pt>
                <c:pt idx="18">
                  <c:v>17.561313124000002</c:v>
                </c:pt>
                <c:pt idx="19">
                  <c:v>16.538122628</c:v>
                </c:pt>
                <c:pt idx="20">
                  <c:v>14.916790021000001</c:v>
                </c:pt>
                <c:pt idx="21">
                  <c:v>14.563803396999999</c:v>
                </c:pt>
                <c:pt idx="22">
                  <c:v>11.931995773000001</c:v>
                </c:pt>
                <c:pt idx="23">
                  <c:v>9.4178358099999997</c:v>
                </c:pt>
                <c:pt idx="24">
                  <c:v>12.766796809000001</c:v>
                </c:pt>
                <c:pt idx="25">
                  <c:v>11.371899499</c:v>
                </c:pt>
                <c:pt idx="26">
                  <c:v>10.81408774</c:v>
                </c:pt>
                <c:pt idx="27">
                  <c:v>23.019367782</c:v>
                </c:pt>
                <c:pt idx="28">
                  <c:v>344.01013598399999</c:v>
                </c:pt>
                <c:pt idx="29">
                  <c:v>0</c:v>
                </c:pt>
                <c:pt idx="30">
                  <c:v>0</c:v>
                </c:pt>
                <c:pt idx="31">
                  <c:v>0</c:v>
                </c:pt>
                <c:pt idx="32">
                  <c:v>27.102790336000002</c:v>
                </c:pt>
                <c:pt idx="33">
                  <c:v>9.1270071089999991</c:v>
                </c:pt>
                <c:pt idx="34">
                  <c:v>7.3822219550000003</c:v>
                </c:pt>
                <c:pt idx="35">
                  <c:v>7.4192387130000004</c:v>
                </c:pt>
                <c:pt idx="36">
                  <c:v>5.5908161300000003</c:v>
                </c:pt>
                <c:pt idx="37">
                  <c:v>6.4207402519999999</c:v>
                </c:pt>
                <c:pt idx="38">
                  <c:v>6.498888708</c:v>
                </c:pt>
                <c:pt idx="39">
                  <c:v>9.0596137389999996</c:v>
                </c:pt>
                <c:pt idx="40">
                  <c:v>8.3445026313133006</c:v>
                </c:pt>
              </c:numCache>
            </c:numRef>
          </c:val>
          <c:smooth val="0"/>
          <c:extLst>
            <c:ext xmlns:c16="http://schemas.microsoft.com/office/drawing/2014/chart" uri="{C3380CC4-5D6E-409C-BE32-E72D297353CC}">
              <c16:uniqueId val="{00000000-82C5-4677-B841-266F459F0093}"/>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PE'!$L$16,'Forward PE'!$L$16)</c:f>
              <c:numCache>
                <c:formatCode>0.0\x_);\(0.0\x\);\-\ </c:formatCode>
                <c:ptCount val="2"/>
                <c:pt idx="0">
                  <c:v>13.285161213197654</c:v>
                </c:pt>
                <c:pt idx="1">
                  <c:v>13.285161213197654</c:v>
                </c:pt>
              </c:numCache>
            </c:numRef>
          </c:yVal>
          <c:smooth val="1"/>
          <c:extLst>
            <c:ext xmlns:c16="http://schemas.microsoft.com/office/drawing/2014/chart" uri="{C3380CC4-5D6E-409C-BE32-E72D297353CC}">
              <c16:uniqueId val="{00000001-82C5-4677-B841-266F459F0093}"/>
            </c:ext>
          </c:extLst>
        </c:ser>
        <c:ser>
          <c:idx val="2"/>
          <c:order val="2"/>
          <c:tx>
            <c:strRef>
              <c:f>'Forward PE'!$C$17</c:f>
              <c:strCache>
                <c:ptCount val="1"/>
                <c:pt idx="0">
                  <c:v>-1 S.Dev</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PE'!$L$17,'Forward PE'!$L$17)</c:f>
              <c:numCache>
                <c:formatCode>0.0\x_);\(0.0\x\);\-\ </c:formatCode>
                <c:ptCount val="2"/>
                <c:pt idx="0">
                  <c:v>8.531011019321749</c:v>
                </c:pt>
                <c:pt idx="1">
                  <c:v>8.531011019321749</c:v>
                </c:pt>
              </c:numCache>
            </c:numRef>
          </c:yVal>
          <c:smooth val="1"/>
          <c:extLst>
            <c:ext xmlns:c16="http://schemas.microsoft.com/office/drawing/2014/chart" uri="{C3380CC4-5D6E-409C-BE32-E72D297353CC}">
              <c16:uniqueId val="{00000002-82C5-4677-B841-266F459F0093}"/>
            </c:ext>
          </c:extLst>
        </c:ser>
        <c:ser>
          <c:idx val="3"/>
          <c:order val="3"/>
          <c:tx>
            <c:strRef>
              <c:f>'Forward PE'!$C$18</c:f>
              <c:strCache>
                <c:ptCount val="1"/>
                <c:pt idx="0">
                  <c:v>+1 S.Dev</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PE'!$L$18,'Forward PE'!$L$18)</c:f>
              <c:numCache>
                <c:formatCode>0.0\x_);\(0.0\x\);\-\ </c:formatCode>
                <c:ptCount val="2"/>
                <c:pt idx="0">
                  <c:v>18.039311407073559</c:v>
                </c:pt>
                <c:pt idx="1">
                  <c:v>18.039311407073559</c:v>
                </c:pt>
              </c:numCache>
            </c:numRef>
          </c:yVal>
          <c:smooth val="1"/>
          <c:extLst>
            <c:ext xmlns:c16="http://schemas.microsoft.com/office/drawing/2014/chart" uri="{C3380CC4-5D6E-409C-BE32-E72D297353CC}">
              <c16:uniqueId val="{00000003-82C5-4677-B841-266F459F0093}"/>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Financials!$BK$487</c:f>
              <c:strCache>
                <c:ptCount val="1"/>
                <c:pt idx="0">
                  <c:v>Brent</c:v>
                </c:pt>
              </c:strCache>
            </c:strRef>
          </c:tx>
          <c:spPr>
            <a:ln w="28575" cap="rnd">
              <a:solidFill>
                <a:schemeClr val="accent1"/>
              </a:solidFill>
              <a:round/>
            </a:ln>
            <a:effectLst/>
          </c:spPr>
          <c:marker>
            <c:symbol val="none"/>
          </c:marker>
          <c:cat>
            <c:numRef>
              <c:f>Financials!$BL$486:$BS$486</c:f>
              <c:numCache>
                <c:formatCode>General</c:formatCode>
                <c:ptCount val="8"/>
                <c:pt idx="0">
                  <c:v>2015</c:v>
                </c:pt>
                <c:pt idx="1">
                  <c:v>2016</c:v>
                </c:pt>
                <c:pt idx="2">
                  <c:v>2017</c:v>
                </c:pt>
                <c:pt idx="3">
                  <c:v>2018</c:v>
                </c:pt>
                <c:pt idx="4">
                  <c:v>2019</c:v>
                </c:pt>
                <c:pt idx="5">
                  <c:v>2020</c:v>
                </c:pt>
                <c:pt idx="6">
                  <c:v>2021</c:v>
                </c:pt>
                <c:pt idx="7">
                  <c:v>2022</c:v>
                </c:pt>
              </c:numCache>
            </c:numRef>
          </c:cat>
          <c:val>
            <c:numRef>
              <c:f>Financials!$BL$487:$BS$487</c:f>
              <c:numCache>
                <c:formatCode>0.0%_);\(0.0%\)</c:formatCode>
                <c:ptCount val="8"/>
                <c:pt idx="0">
                  <c:v>-0.34972963544392111</c:v>
                </c:pt>
                <c:pt idx="1">
                  <c:v>0.52414163090128763</c:v>
                </c:pt>
                <c:pt idx="2">
                  <c:v>0.17687434002111946</c:v>
                </c:pt>
                <c:pt idx="3">
                  <c:v>-0.19545386570958589</c:v>
                </c:pt>
                <c:pt idx="4">
                  <c:v>0.19516728624535307</c:v>
                </c:pt>
                <c:pt idx="5">
                  <c:v>-0.36080870917573871</c:v>
                </c:pt>
                <c:pt idx="6">
                  <c:v>0.71776155717761547</c:v>
                </c:pt>
                <c:pt idx="7">
                  <c:v>0.42634560906515606</c:v>
                </c:pt>
              </c:numCache>
            </c:numRef>
          </c:val>
          <c:smooth val="0"/>
          <c:extLst>
            <c:ext xmlns:c16="http://schemas.microsoft.com/office/drawing/2014/chart" uri="{C3380CC4-5D6E-409C-BE32-E72D297353CC}">
              <c16:uniqueId val="{00000000-F21A-493F-AF79-74A2A9ED38D4}"/>
            </c:ext>
          </c:extLst>
        </c:ser>
        <c:ser>
          <c:idx val="2"/>
          <c:order val="2"/>
          <c:tx>
            <c:strRef>
              <c:f>Financials!$BK$489</c:f>
              <c:strCache>
                <c:ptCount val="1"/>
                <c:pt idx="0">
                  <c:v>EBITDA</c:v>
                </c:pt>
              </c:strCache>
            </c:strRef>
          </c:tx>
          <c:spPr>
            <a:ln w="28575" cap="rnd">
              <a:solidFill>
                <a:schemeClr val="accent5"/>
              </a:solidFill>
              <a:round/>
            </a:ln>
            <a:effectLst/>
          </c:spPr>
          <c:marker>
            <c:symbol val="none"/>
          </c:marker>
          <c:cat>
            <c:numRef>
              <c:f>Financials!$BL$486:$BS$486</c:f>
              <c:numCache>
                <c:formatCode>General</c:formatCode>
                <c:ptCount val="8"/>
                <c:pt idx="0">
                  <c:v>2015</c:v>
                </c:pt>
                <c:pt idx="1">
                  <c:v>2016</c:v>
                </c:pt>
                <c:pt idx="2">
                  <c:v>2017</c:v>
                </c:pt>
                <c:pt idx="3">
                  <c:v>2018</c:v>
                </c:pt>
                <c:pt idx="4">
                  <c:v>2019</c:v>
                </c:pt>
                <c:pt idx="5">
                  <c:v>2020</c:v>
                </c:pt>
                <c:pt idx="6">
                  <c:v>2021</c:v>
                </c:pt>
                <c:pt idx="7">
                  <c:v>2022</c:v>
                </c:pt>
              </c:numCache>
            </c:numRef>
          </c:cat>
          <c:val>
            <c:numRef>
              <c:f>Financials!$BL$489:$BS$489</c:f>
              <c:numCache>
                <c:formatCode>0.0%_);\(0.0%\)</c:formatCode>
                <c:ptCount val="8"/>
                <c:pt idx="0">
                  <c:v>-1.9911504424778736E-2</c:v>
                </c:pt>
                <c:pt idx="1">
                  <c:v>-0.2595936794582393</c:v>
                </c:pt>
                <c:pt idx="2">
                  <c:v>0.36280487804878048</c:v>
                </c:pt>
                <c:pt idx="3">
                  <c:v>-4.0268456375838979E-2</c:v>
                </c:pt>
                <c:pt idx="4">
                  <c:v>-0.39160839160839156</c:v>
                </c:pt>
                <c:pt idx="5">
                  <c:v>-0.18007662835249039</c:v>
                </c:pt>
                <c:pt idx="6">
                  <c:v>1.4766355140186915</c:v>
                </c:pt>
                <c:pt idx="7">
                  <c:v>-0.1452830188679245</c:v>
                </c:pt>
              </c:numCache>
            </c:numRef>
          </c:val>
          <c:smooth val="0"/>
          <c:extLst>
            <c:ext xmlns:c16="http://schemas.microsoft.com/office/drawing/2014/chart" uri="{C3380CC4-5D6E-409C-BE32-E72D297353CC}">
              <c16:uniqueId val="{00000002-F21A-493F-AF79-74A2A9ED38D4}"/>
            </c:ext>
          </c:extLst>
        </c:ser>
        <c:dLbls>
          <c:showLegendKey val="0"/>
          <c:showVal val="0"/>
          <c:showCatName val="0"/>
          <c:showSerName val="0"/>
          <c:showPercent val="0"/>
          <c:showBubbleSize val="0"/>
        </c:dLbls>
        <c:marker val="1"/>
        <c:smooth val="0"/>
        <c:axId val="1067132463"/>
        <c:axId val="1049159583"/>
      </c:lineChart>
      <c:lineChart>
        <c:grouping val="standard"/>
        <c:varyColors val="0"/>
        <c:ser>
          <c:idx val="1"/>
          <c:order val="1"/>
          <c:tx>
            <c:strRef>
              <c:f>Financials!$BK$488</c:f>
              <c:strCache>
                <c:ptCount val="1"/>
                <c:pt idx="0">
                  <c:v>Sales</c:v>
                </c:pt>
              </c:strCache>
            </c:strRef>
          </c:tx>
          <c:spPr>
            <a:ln w="28575" cap="rnd">
              <a:solidFill>
                <a:schemeClr val="accent3"/>
              </a:solidFill>
              <a:round/>
            </a:ln>
            <a:effectLst/>
          </c:spPr>
          <c:marker>
            <c:symbol val="none"/>
          </c:marker>
          <c:cat>
            <c:numRef>
              <c:f>Financials!$BL$486:$BS$486</c:f>
              <c:numCache>
                <c:formatCode>General</c:formatCode>
                <c:ptCount val="8"/>
                <c:pt idx="0">
                  <c:v>2015</c:v>
                </c:pt>
                <c:pt idx="1">
                  <c:v>2016</c:v>
                </c:pt>
                <c:pt idx="2">
                  <c:v>2017</c:v>
                </c:pt>
                <c:pt idx="3">
                  <c:v>2018</c:v>
                </c:pt>
                <c:pt idx="4">
                  <c:v>2019</c:v>
                </c:pt>
                <c:pt idx="5">
                  <c:v>2020</c:v>
                </c:pt>
                <c:pt idx="6">
                  <c:v>2021</c:v>
                </c:pt>
                <c:pt idx="7">
                  <c:v>2022</c:v>
                </c:pt>
              </c:numCache>
            </c:numRef>
          </c:cat>
          <c:val>
            <c:numRef>
              <c:f>Financials!$BL$488:$BS$488</c:f>
              <c:numCache>
                <c:formatCode>0.0%_);\(0.0%\)</c:formatCode>
                <c:ptCount val="8"/>
                <c:pt idx="0">
                  <c:v>-7.3500329597890546E-2</c:v>
                </c:pt>
                <c:pt idx="1">
                  <c:v>-9.8541444325862648E-2</c:v>
                </c:pt>
                <c:pt idx="2">
                  <c:v>7.6558800315706499E-2</c:v>
                </c:pt>
                <c:pt idx="3">
                  <c:v>3.7756598240469286E-2</c:v>
                </c:pt>
                <c:pt idx="4">
                  <c:v>-0.21193924408336273</c:v>
                </c:pt>
                <c:pt idx="5">
                  <c:v>-0.17391304347826086</c:v>
                </c:pt>
                <c:pt idx="6">
                  <c:v>0.41508410200759638</c:v>
                </c:pt>
                <c:pt idx="7">
                  <c:v>4.141104294478537E-2</c:v>
                </c:pt>
              </c:numCache>
            </c:numRef>
          </c:val>
          <c:smooth val="0"/>
          <c:extLst>
            <c:ext xmlns:c16="http://schemas.microsoft.com/office/drawing/2014/chart" uri="{C3380CC4-5D6E-409C-BE32-E72D297353CC}">
              <c16:uniqueId val="{00000001-F21A-493F-AF79-74A2A9ED38D4}"/>
            </c:ext>
          </c:extLst>
        </c:ser>
        <c:dLbls>
          <c:showLegendKey val="0"/>
          <c:showVal val="0"/>
          <c:showCatName val="0"/>
          <c:showSerName val="0"/>
          <c:showPercent val="0"/>
          <c:showBubbleSize val="0"/>
        </c:dLbls>
        <c:marker val="1"/>
        <c:smooth val="0"/>
        <c:axId val="1047410959"/>
        <c:axId val="1136208911"/>
      </c:lineChart>
      <c:catAx>
        <c:axId val="10671324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49159583"/>
        <c:crosses val="autoZero"/>
        <c:auto val="1"/>
        <c:lblAlgn val="ctr"/>
        <c:lblOffset val="100"/>
        <c:noMultiLvlLbl val="0"/>
      </c:catAx>
      <c:valAx>
        <c:axId val="1049159583"/>
        <c:scaling>
          <c:orientation val="minMax"/>
          <c:max val="1.2"/>
          <c:min val="-0.5"/>
        </c:scaling>
        <c:delete val="0"/>
        <c:axPos val="l"/>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67132463"/>
        <c:crosses val="autoZero"/>
        <c:crossBetween val="between"/>
        <c:majorUnit val="0.4"/>
      </c:valAx>
      <c:valAx>
        <c:axId val="1136208911"/>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47410959"/>
        <c:crosses val="max"/>
        <c:crossBetween val="between"/>
      </c:valAx>
      <c:catAx>
        <c:axId val="1047410959"/>
        <c:scaling>
          <c:orientation val="minMax"/>
        </c:scaling>
        <c:delete val="1"/>
        <c:axPos val="b"/>
        <c:numFmt formatCode="General" sourceLinked="1"/>
        <c:majorTickMark val="out"/>
        <c:minorTickMark val="none"/>
        <c:tickLblPos val="nextTo"/>
        <c:crossAx val="11362089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PE'!$I$11</c:f>
          <c:strCache>
            <c:ptCount val="1"/>
            <c:pt idx="0">
              <c:v>LyondellBasell Industries NV</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PE'!$I$11</c:f>
              <c:strCache>
                <c:ptCount val="1"/>
                <c:pt idx="0">
                  <c:v>LyondellBasell Industries NV</c:v>
                </c:pt>
              </c:strCache>
            </c:strRef>
          </c:tx>
          <c:spPr>
            <a:ln w="28575" cap="rnd">
              <a:solidFill>
                <a:srgbClr val="0070C0"/>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PE'!$I$20:$I$60</c:f>
              <c:numCache>
                <c:formatCode>0.0\x_);\(0.0\x\);\-\ </c:formatCode>
                <c:ptCount val="41"/>
                <c:pt idx="0">
                  <c:v>9.5539371620000004</c:v>
                </c:pt>
                <c:pt idx="1">
                  <c:v>9.5093720190000006</c:v>
                </c:pt>
                <c:pt idx="2">
                  <c:v>9.8400970139999995</c:v>
                </c:pt>
                <c:pt idx="3">
                  <c:v>10.643430553</c:v>
                </c:pt>
                <c:pt idx="4">
                  <c:v>10.805842740999999</c:v>
                </c:pt>
                <c:pt idx="5">
                  <c:v>11.559380993</c:v>
                </c:pt>
                <c:pt idx="6">
                  <c:v>11.998756278</c:v>
                </c:pt>
                <c:pt idx="7">
                  <c:v>9.3447005930000007</c:v>
                </c:pt>
                <c:pt idx="8">
                  <c:v>10.980903817</c:v>
                </c:pt>
                <c:pt idx="9">
                  <c:v>10.427802927</c:v>
                </c:pt>
                <c:pt idx="10">
                  <c:v>7.9740806390000003</c:v>
                </c:pt>
                <c:pt idx="11">
                  <c:v>8.6147883939999996</c:v>
                </c:pt>
                <c:pt idx="12">
                  <c:v>7.7266152129999996</c:v>
                </c:pt>
                <c:pt idx="13">
                  <c:v>7.84439595</c:v>
                </c:pt>
                <c:pt idx="14">
                  <c:v>7.4833322219999996</c:v>
                </c:pt>
                <c:pt idx="15">
                  <c:v>7.9939295899999996</c:v>
                </c:pt>
                <c:pt idx="16">
                  <c:v>9.0226643679999992</c:v>
                </c:pt>
                <c:pt idx="17">
                  <c:v>8.1626702380000005</c:v>
                </c:pt>
                <c:pt idx="18">
                  <c:v>9.0071109059999994</c:v>
                </c:pt>
                <c:pt idx="19">
                  <c:v>10.423054844999999</c:v>
                </c:pt>
                <c:pt idx="20">
                  <c:v>10.238546889</c:v>
                </c:pt>
                <c:pt idx="21">
                  <c:v>9.698770197</c:v>
                </c:pt>
                <c:pt idx="22">
                  <c:v>9.4323882930000007</c:v>
                </c:pt>
                <c:pt idx="23">
                  <c:v>7.6496600900000002</c:v>
                </c:pt>
                <c:pt idx="24">
                  <c:v>7.7493860750000003</c:v>
                </c:pt>
                <c:pt idx="25">
                  <c:v>7.0673321680000001</c:v>
                </c:pt>
                <c:pt idx="26">
                  <c:v>5.9584392599999996</c:v>
                </c:pt>
                <c:pt idx="27">
                  <c:v>7.9259026930000003</c:v>
                </c:pt>
                <c:pt idx="28">
                  <c:v>7.6923766020000004</c:v>
                </c:pt>
                <c:pt idx="29">
                  <c:v>8.703264184</c:v>
                </c:pt>
                <c:pt idx="30">
                  <c:v>10.540748831</c:v>
                </c:pt>
                <c:pt idx="31">
                  <c:v>10.743338681999999</c:v>
                </c:pt>
                <c:pt idx="32">
                  <c:v>9.7688878970000008</c:v>
                </c:pt>
                <c:pt idx="33">
                  <c:v>7.8081541950000002</c:v>
                </c:pt>
                <c:pt idx="34">
                  <c:v>6.0132504730000003</c:v>
                </c:pt>
                <c:pt idx="35">
                  <c:v>5.7646178099999998</c:v>
                </c:pt>
                <c:pt idx="36">
                  <c:v>6.3275525310000003</c:v>
                </c:pt>
                <c:pt idx="37">
                  <c:v>6.0421362680000001</c:v>
                </c:pt>
                <c:pt idx="38">
                  <c:v>5.8620491289999999</c:v>
                </c:pt>
                <c:pt idx="39">
                  <c:v>8.7774649870000001</c:v>
                </c:pt>
                <c:pt idx="40">
                  <c:v>9.2152608019999995</c:v>
                </c:pt>
              </c:numCache>
            </c:numRef>
          </c:val>
          <c:smooth val="0"/>
          <c:extLst>
            <c:ext xmlns:c16="http://schemas.microsoft.com/office/drawing/2014/chart" uri="{C3380CC4-5D6E-409C-BE32-E72D297353CC}">
              <c16:uniqueId val="{00000000-F852-4F0B-81A1-D5060F1861BC}"/>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F852-4F0B-81A1-D5060F1861B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PE'!$I$16,'Forward PE'!$I$16)</c:f>
              <c:numCache>
                <c:formatCode>0.0\x_);\(0.0\x\);\-\ </c:formatCode>
                <c:ptCount val="2"/>
                <c:pt idx="0">
                  <c:v>8.7291803540975579</c:v>
                </c:pt>
                <c:pt idx="1">
                  <c:v>8.7291803540975579</c:v>
                </c:pt>
              </c:numCache>
            </c:numRef>
          </c:yVal>
          <c:smooth val="1"/>
          <c:extLst>
            <c:ext xmlns:c16="http://schemas.microsoft.com/office/drawing/2014/chart" uri="{C3380CC4-5D6E-409C-BE32-E72D297353CC}">
              <c16:uniqueId val="{00000002-F852-4F0B-81A1-D5060F1861BC}"/>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F852-4F0B-81A1-D5060F1861B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PE'!$I$17,'Forward PE'!$I$17)</c:f>
              <c:numCache>
                <c:formatCode>0.0\x_);\(0.0\x\);\-\ </c:formatCode>
                <c:ptCount val="2"/>
                <c:pt idx="0">
                  <c:v>7.0895068434767401</c:v>
                </c:pt>
                <c:pt idx="1">
                  <c:v>7.0895068434767401</c:v>
                </c:pt>
              </c:numCache>
            </c:numRef>
          </c:yVal>
          <c:smooth val="1"/>
          <c:extLst>
            <c:ext xmlns:c16="http://schemas.microsoft.com/office/drawing/2014/chart" uri="{C3380CC4-5D6E-409C-BE32-E72D297353CC}">
              <c16:uniqueId val="{00000004-F852-4F0B-81A1-D5060F1861BC}"/>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F852-4F0B-81A1-D5060F1861B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PE'!$I$18,'Forward PE'!$I$18)</c:f>
              <c:numCache>
                <c:formatCode>0.0\x_);\(0.0\x\);\-\ </c:formatCode>
                <c:ptCount val="2"/>
                <c:pt idx="0">
                  <c:v>10.368853864718377</c:v>
                </c:pt>
                <c:pt idx="1">
                  <c:v>10.368853864718377</c:v>
                </c:pt>
              </c:numCache>
            </c:numRef>
          </c:yVal>
          <c:smooth val="1"/>
          <c:extLst>
            <c:ext xmlns:c16="http://schemas.microsoft.com/office/drawing/2014/chart" uri="{C3380CC4-5D6E-409C-BE32-E72D297353CC}">
              <c16:uniqueId val="{00000006-F852-4F0B-81A1-D5060F1861BC}"/>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PE'!$J$11</c:f>
          <c:strCache>
            <c:ptCount val="1"/>
            <c:pt idx="0">
              <c:v>Dupont De Nemours Inc</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PE'!$J$11</c:f>
              <c:strCache>
                <c:ptCount val="1"/>
                <c:pt idx="0">
                  <c:v>Dupont De Nemours Inc</c:v>
                </c:pt>
              </c:strCache>
            </c:strRef>
          </c:tx>
          <c:spPr>
            <a:ln w="28575" cap="rnd">
              <a:solidFill>
                <a:srgbClr val="0070C0"/>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8.3022331279999992</c:v>
                </c:pt>
                <c:pt idx="20">
                  <c:v>8.0322828279999996</c:v>
                </c:pt>
                <c:pt idx="21">
                  <c:v>7.174281798</c:v>
                </c:pt>
                <c:pt idx="22">
                  <c:v>6.9247316559999996</c:v>
                </c:pt>
                <c:pt idx="23">
                  <c:v>5.8673623079999997</c:v>
                </c:pt>
                <c:pt idx="24">
                  <c:v>6.1250580369999996</c:v>
                </c:pt>
                <c:pt idx="25">
                  <c:v>9.4617794150000005</c:v>
                </c:pt>
                <c:pt idx="26">
                  <c:v>15.882928131</c:v>
                </c:pt>
                <c:pt idx="27">
                  <c:v>16.632708589</c:v>
                </c:pt>
                <c:pt idx="28">
                  <c:v>13.883277654</c:v>
                </c:pt>
                <c:pt idx="29">
                  <c:v>14.802691021999999</c:v>
                </c:pt>
                <c:pt idx="30">
                  <c:v>17.499634803999999</c:v>
                </c:pt>
                <c:pt idx="31">
                  <c:v>18.556941002999999</c:v>
                </c:pt>
                <c:pt idx="32">
                  <c:v>20.643894499000002</c:v>
                </c:pt>
                <c:pt idx="33">
                  <c:v>21.048685597999999</c:v>
                </c:pt>
                <c:pt idx="34">
                  <c:v>16.417109013000001</c:v>
                </c:pt>
                <c:pt idx="35">
                  <c:v>16.810589964999998</c:v>
                </c:pt>
                <c:pt idx="36">
                  <c:v>16.295018575</c:v>
                </c:pt>
                <c:pt idx="37">
                  <c:v>17.603260455000001</c:v>
                </c:pt>
                <c:pt idx="38">
                  <c:v>17.215051415000001</c:v>
                </c:pt>
                <c:pt idx="39">
                  <c:v>18.764143465</c:v>
                </c:pt>
                <c:pt idx="40">
                  <c:v>17.766823432999999</c:v>
                </c:pt>
              </c:numCache>
            </c:numRef>
          </c:val>
          <c:smooth val="0"/>
          <c:extLst>
            <c:ext xmlns:c16="http://schemas.microsoft.com/office/drawing/2014/chart" uri="{C3380CC4-5D6E-409C-BE32-E72D297353CC}">
              <c16:uniqueId val="{00000000-8CEB-4475-BA94-690AFF402E07}"/>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CEB-4475-BA94-690AFF402E0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PE'!$J$16,'Forward PE'!$J$16)</c:f>
              <c:numCache>
                <c:formatCode>0.0\x_);\(0.0\x\);\-\ </c:formatCode>
                <c:ptCount val="2"/>
                <c:pt idx="0">
                  <c:v>14.1686584905</c:v>
                </c:pt>
                <c:pt idx="1">
                  <c:v>14.1686584905</c:v>
                </c:pt>
              </c:numCache>
            </c:numRef>
          </c:yVal>
          <c:smooth val="1"/>
          <c:extLst>
            <c:ext xmlns:c16="http://schemas.microsoft.com/office/drawing/2014/chart" uri="{C3380CC4-5D6E-409C-BE32-E72D297353CC}">
              <c16:uniqueId val="{00000002-8CEB-4475-BA94-690AFF402E07}"/>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CEB-4475-BA94-690AFF402E0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PE'!$J$17,'Forward PE'!$J$17)</c:f>
              <c:numCache>
                <c:formatCode>0.0\x_);\(0.0\x\);\-\ </c:formatCode>
                <c:ptCount val="2"/>
                <c:pt idx="0">
                  <c:v>9.2602234152927849</c:v>
                </c:pt>
                <c:pt idx="1">
                  <c:v>9.2602234152927849</c:v>
                </c:pt>
              </c:numCache>
            </c:numRef>
          </c:yVal>
          <c:smooth val="1"/>
          <c:extLst>
            <c:ext xmlns:c16="http://schemas.microsoft.com/office/drawing/2014/chart" uri="{C3380CC4-5D6E-409C-BE32-E72D297353CC}">
              <c16:uniqueId val="{00000004-8CEB-4475-BA94-690AFF402E07}"/>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EB-4475-BA94-690AFF402E0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PE'!$J$18,'Forward PE'!$J$18)</c:f>
              <c:numCache>
                <c:formatCode>0.0\x_);\(0.0\x\);\-\ </c:formatCode>
                <c:ptCount val="2"/>
                <c:pt idx="0">
                  <c:v>19.077093565707216</c:v>
                </c:pt>
                <c:pt idx="1">
                  <c:v>19.077093565707216</c:v>
                </c:pt>
              </c:numCache>
            </c:numRef>
          </c:yVal>
          <c:smooth val="1"/>
          <c:extLst>
            <c:ext xmlns:c16="http://schemas.microsoft.com/office/drawing/2014/chart" uri="{C3380CC4-5D6E-409C-BE32-E72D297353CC}">
              <c16:uniqueId val="{00000006-8CEB-4475-BA94-690AFF402E07}"/>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PE'!$K$11</c:f>
          <c:strCache>
            <c:ptCount val="1"/>
            <c:pt idx="0">
              <c:v>Avient Corp</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PE'!$K$11</c:f>
              <c:strCache>
                <c:ptCount val="1"/>
                <c:pt idx="0">
                  <c:v>Avient Corp</c:v>
                </c:pt>
              </c:strCache>
            </c:strRef>
          </c:tx>
          <c:spPr>
            <a:ln w="28575" cap="rnd">
              <a:solidFill>
                <a:schemeClr val="accent1"/>
              </a:solidFill>
              <a:round/>
            </a:ln>
            <a:effectLst/>
          </c:spPr>
          <c:marker>
            <c:symbol val="none"/>
          </c:marker>
          <c:cat>
            <c:multiLvlStrRef>
              <c:f>'Forward PE'!$C$20:$D$60</c:f>
              <c:multiLvlStrCache>
                <c:ptCount val="41"/>
                <c:lvl>
                  <c:pt idx="0">
                    <c:v>Feb-13</c:v>
                  </c:pt>
                  <c:pt idx="1">
                    <c:v>May-13</c:v>
                  </c:pt>
                  <c:pt idx="2">
                    <c:v>Aug-13</c:v>
                  </c:pt>
                  <c:pt idx="3">
                    <c:v>Nov-13</c:v>
                  </c:pt>
                  <c:pt idx="4">
                    <c:v>Feb-14</c:v>
                  </c:pt>
                  <c:pt idx="5">
                    <c:v>May-14</c:v>
                  </c:pt>
                  <c:pt idx="6">
                    <c:v>Aug-14</c:v>
                  </c:pt>
                  <c:pt idx="7">
                    <c:v>Nov-14</c:v>
                  </c:pt>
                  <c:pt idx="8">
                    <c:v>Feb-15</c:v>
                  </c:pt>
                  <c:pt idx="9">
                    <c:v>May-15</c:v>
                  </c:pt>
                  <c:pt idx="10">
                    <c:v>Aug-15</c:v>
                  </c:pt>
                  <c:pt idx="11">
                    <c:v>Nov-15</c:v>
                  </c:pt>
                  <c:pt idx="12">
                    <c:v>Feb-16</c:v>
                  </c:pt>
                  <c:pt idx="13">
                    <c:v>May-16</c:v>
                  </c:pt>
                  <c:pt idx="14">
                    <c:v>Aug-16</c:v>
                  </c:pt>
                  <c:pt idx="15">
                    <c:v>Nov-16</c:v>
                  </c:pt>
                  <c:pt idx="16">
                    <c:v>Feb-17</c:v>
                  </c:pt>
                  <c:pt idx="17">
                    <c:v>May-17</c:v>
                  </c:pt>
                  <c:pt idx="18">
                    <c:v>Aug-17</c:v>
                  </c:pt>
                  <c:pt idx="19">
                    <c:v>Nov-17</c:v>
                  </c:pt>
                  <c:pt idx="20">
                    <c:v>Feb-18</c:v>
                  </c:pt>
                  <c:pt idx="21">
                    <c:v>May-18</c:v>
                  </c:pt>
                  <c:pt idx="22">
                    <c:v>Aug-18</c:v>
                  </c:pt>
                  <c:pt idx="23">
                    <c:v>Nov-18</c:v>
                  </c:pt>
                  <c:pt idx="24">
                    <c:v>Feb-19</c:v>
                  </c:pt>
                  <c:pt idx="25">
                    <c:v>May-19</c:v>
                  </c:pt>
                  <c:pt idx="26">
                    <c:v>Aug-19</c:v>
                  </c:pt>
                  <c:pt idx="27">
                    <c:v>Nov-19</c:v>
                  </c:pt>
                  <c:pt idx="28">
                    <c:v>Feb-20</c:v>
                  </c:pt>
                  <c:pt idx="29">
                    <c:v>May-20</c:v>
                  </c:pt>
                  <c:pt idx="30">
                    <c:v>Aug-20</c:v>
                  </c:pt>
                  <c:pt idx="31">
                    <c:v>Nov-20</c:v>
                  </c:pt>
                  <c:pt idx="32">
                    <c:v>Feb-21</c:v>
                  </c:pt>
                  <c:pt idx="33">
                    <c:v>May-21</c:v>
                  </c:pt>
                  <c:pt idx="34">
                    <c:v>Aug-21</c:v>
                  </c:pt>
                  <c:pt idx="35">
                    <c:v>Nov-21</c:v>
                  </c:pt>
                  <c:pt idx="36">
                    <c:v>Feb-22</c:v>
                  </c:pt>
                  <c:pt idx="37">
                    <c:v>May-22</c:v>
                  </c:pt>
                  <c:pt idx="38">
                    <c:v>Aug-22</c:v>
                  </c:pt>
                  <c:pt idx="39">
                    <c:v>Nov-22</c:v>
                  </c:pt>
                  <c:pt idx="40">
                    <c:v>2023-03-13</c:v>
                  </c:pt>
                </c:lvl>
                <c:lvl>
                  <c:pt idx="0">
                    <c:v>Q4 2012</c:v>
                  </c:pt>
                  <c:pt idx="1">
                    <c:v>Q1 2013</c:v>
                  </c:pt>
                  <c:pt idx="2">
                    <c:v>Q2 2013</c:v>
                  </c:pt>
                  <c:pt idx="3">
                    <c:v>Q3 2013</c:v>
                  </c:pt>
                  <c:pt idx="4">
                    <c:v>Q4 2013</c:v>
                  </c:pt>
                  <c:pt idx="5">
                    <c:v>Q1 2014</c:v>
                  </c:pt>
                  <c:pt idx="6">
                    <c:v>Q2 2014</c:v>
                  </c:pt>
                  <c:pt idx="7">
                    <c:v>Q3 2014</c:v>
                  </c:pt>
                  <c:pt idx="8">
                    <c:v>Q4 2014</c:v>
                  </c:pt>
                  <c:pt idx="9">
                    <c:v>Q1 2015</c:v>
                  </c:pt>
                  <c:pt idx="10">
                    <c:v>Q2 2015</c:v>
                  </c:pt>
                  <c:pt idx="11">
                    <c:v>Q3 2015</c:v>
                  </c:pt>
                  <c:pt idx="12">
                    <c:v>Q4 2015</c:v>
                  </c:pt>
                  <c:pt idx="13">
                    <c:v>Q1 2016</c:v>
                  </c:pt>
                  <c:pt idx="14">
                    <c:v>Q2 2016</c:v>
                  </c:pt>
                  <c:pt idx="15">
                    <c:v>Q3 2016</c:v>
                  </c:pt>
                  <c:pt idx="16">
                    <c:v>Q4 2016</c:v>
                  </c:pt>
                  <c:pt idx="17">
                    <c:v>Q1 2017</c:v>
                  </c:pt>
                  <c:pt idx="18">
                    <c:v>Q2 2017</c:v>
                  </c:pt>
                  <c:pt idx="19">
                    <c:v>Q3 2017</c:v>
                  </c:pt>
                  <c:pt idx="20">
                    <c:v>Q4 2017</c:v>
                  </c:pt>
                  <c:pt idx="21">
                    <c:v>Q1 2018</c:v>
                  </c:pt>
                  <c:pt idx="22">
                    <c:v>Q2 2018</c:v>
                  </c:pt>
                  <c:pt idx="23">
                    <c:v>Q3 2018</c:v>
                  </c:pt>
                  <c:pt idx="24">
                    <c:v>Q4 2018</c:v>
                  </c:pt>
                  <c:pt idx="25">
                    <c:v>Q1 2019</c:v>
                  </c:pt>
                  <c:pt idx="26">
                    <c:v>Q2 2019</c:v>
                  </c:pt>
                  <c:pt idx="27">
                    <c:v>Q3 2019</c:v>
                  </c:pt>
                  <c:pt idx="28">
                    <c:v>Q4 2019</c:v>
                  </c:pt>
                  <c:pt idx="29">
                    <c:v>Q1 2020</c:v>
                  </c:pt>
                  <c:pt idx="30">
                    <c:v>Q2 2020</c:v>
                  </c:pt>
                  <c:pt idx="31">
                    <c:v>Q3 2020</c:v>
                  </c:pt>
                  <c:pt idx="32">
                    <c:v>Q4 2020</c:v>
                  </c:pt>
                  <c:pt idx="33">
                    <c:v>Q1 2021</c:v>
                  </c:pt>
                  <c:pt idx="34">
                    <c:v>Q2 2021</c:v>
                  </c:pt>
                  <c:pt idx="35">
                    <c:v>Q3 2021</c:v>
                  </c:pt>
                  <c:pt idx="36">
                    <c:v>Q4 2021</c:v>
                  </c:pt>
                  <c:pt idx="37">
                    <c:v>Q1 2022</c:v>
                  </c:pt>
                  <c:pt idx="38">
                    <c:v>Q2 2022</c:v>
                  </c:pt>
                  <c:pt idx="39">
                    <c:v>Q3 2022</c:v>
                  </c:pt>
                  <c:pt idx="40">
                    <c:v>Q4 2022</c:v>
                  </c:pt>
                </c:lvl>
              </c:multiLvlStrCache>
            </c:multiLvlStrRef>
          </c:cat>
          <c:val>
            <c:numRef>
              <c:f>'Forward PE'!$K$20:$K$60</c:f>
              <c:numCache>
                <c:formatCode>0.0\x_);\(0.0\x\);\-\ </c:formatCode>
                <c:ptCount val="41"/>
                <c:pt idx="0">
                  <c:v>16.617976751</c:v>
                </c:pt>
                <c:pt idx="1">
                  <c:v>17.997156405999998</c:v>
                </c:pt>
                <c:pt idx="2">
                  <c:v>18.778656028</c:v>
                </c:pt>
                <c:pt idx="3">
                  <c:v>18.565659048000001</c:v>
                </c:pt>
                <c:pt idx="4">
                  <c:v>19.562195800000001</c:v>
                </c:pt>
                <c:pt idx="5">
                  <c:v>18.453598523</c:v>
                </c:pt>
                <c:pt idx="6">
                  <c:v>17.863733778</c:v>
                </c:pt>
                <c:pt idx="7">
                  <c:v>16.241317344999999</c:v>
                </c:pt>
                <c:pt idx="8">
                  <c:v>17.556949641999999</c:v>
                </c:pt>
                <c:pt idx="9">
                  <c:v>17.427616020999999</c:v>
                </c:pt>
                <c:pt idx="10">
                  <c:v>15.184922252</c:v>
                </c:pt>
                <c:pt idx="11">
                  <c:v>15.264893548</c:v>
                </c:pt>
                <c:pt idx="12">
                  <c:v>12.043062548</c:v>
                </c:pt>
                <c:pt idx="13">
                  <c:v>16.038862753</c:v>
                </c:pt>
                <c:pt idx="14">
                  <c:v>14.431262023</c:v>
                </c:pt>
                <c:pt idx="15">
                  <c:v>14.227400567</c:v>
                </c:pt>
                <c:pt idx="16">
                  <c:v>14.496878994999999</c:v>
                </c:pt>
                <c:pt idx="17">
                  <c:v>16.075491280000001</c:v>
                </c:pt>
                <c:pt idx="18">
                  <c:v>15.253158589</c:v>
                </c:pt>
                <c:pt idx="19">
                  <c:v>18.359690235999999</c:v>
                </c:pt>
                <c:pt idx="20">
                  <c:v>16.29487057</c:v>
                </c:pt>
                <c:pt idx="21">
                  <c:v>15.899252901000001</c:v>
                </c:pt>
                <c:pt idx="22">
                  <c:v>16.115579396000001</c:v>
                </c:pt>
                <c:pt idx="23">
                  <c:v>12.611573547000001</c:v>
                </c:pt>
                <c:pt idx="24">
                  <c:v>12.185468090000001</c:v>
                </c:pt>
                <c:pt idx="25">
                  <c:v>10.312237923</c:v>
                </c:pt>
                <c:pt idx="26">
                  <c:v>11.005651458000001</c:v>
                </c:pt>
                <c:pt idx="27">
                  <c:v>18.216504050000001</c:v>
                </c:pt>
                <c:pt idx="28">
                  <c:v>16.933100199999998</c:v>
                </c:pt>
                <c:pt idx="29">
                  <c:v>14.232296556</c:v>
                </c:pt>
                <c:pt idx="30">
                  <c:v>15.250235725</c:v>
                </c:pt>
                <c:pt idx="31">
                  <c:v>16.674744235999999</c:v>
                </c:pt>
                <c:pt idx="32">
                  <c:v>17.602478100999999</c:v>
                </c:pt>
                <c:pt idx="33">
                  <c:v>17.942146427000001</c:v>
                </c:pt>
                <c:pt idx="34">
                  <c:v>15.196062061999999</c:v>
                </c:pt>
                <c:pt idx="35">
                  <c:v>17.403681757000001</c:v>
                </c:pt>
                <c:pt idx="36">
                  <c:v>14.742670519000001</c:v>
                </c:pt>
                <c:pt idx="37">
                  <c:v>12.770032562000001</c:v>
                </c:pt>
                <c:pt idx="38">
                  <c:v>13.124113297999999</c:v>
                </c:pt>
                <c:pt idx="39">
                  <c:v>13.326968764</c:v>
                </c:pt>
                <c:pt idx="40">
                  <c:v>15.2173654</c:v>
                </c:pt>
              </c:numCache>
            </c:numRef>
          </c:val>
          <c:smooth val="0"/>
          <c:extLst>
            <c:ext xmlns:c16="http://schemas.microsoft.com/office/drawing/2014/chart" uri="{C3380CC4-5D6E-409C-BE32-E72D297353CC}">
              <c16:uniqueId val="{00000000-37E6-4BAA-B135-967C06709182}"/>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PE'!$K$16,'Forward PE'!$K$16)</c:f>
              <c:numCache>
                <c:formatCode>0.0\x_);\(0.0\x\);\-\ </c:formatCode>
                <c:ptCount val="2"/>
                <c:pt idx="0">
                  <c:v>15.695061357926825</c:v>
                </c:pt>
                <c:pt idx="1">
                  <c:v>15.695061357926825</c:v>
                </c:pt>
              </c:numCache>
            </c:numRef>
          </c:yVal>
          <c:smooth val="1"/>
          <c:extLst>
            <c:ext xmlns:c16="http://schemas.microsoft.com/office/drawing/2014/chart" uri="{C3380CC4-5D6E-409C-BE32-E72D297353CC}">
              <c16:uniqueId val="{00000001-37E6-4BAA-B135-967C06709182}"/>
            </c:ext>
          </c:extLst>
        </c:ser>
        <c:ser>
          <c:idx val="2"/>
          <c:order val="2"/>
          <c:tx>
            <c:strRef>
              <c:f>'Forward PE'!$C$17</c:f>
              <c:strCache>
                <c:ptCount val="1"/>
                <c:pt idx="0">
                  <c:v>-1 S.Dev</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PE'!$K$17,'Forward PE'!$K$17)</c:f>
              <c:numCache>
                <c:formatCode>0.0\x_);\(0.0\x\);\-\ </c:formatCode>
                <c:ptCount val="2"/>
                <c:pt idx="0">
                  <c:v>13.471115281374654</c:v>
                </c:pt>
                <c:pt idx="1">
                  <c:v>13.471115281374654</c:v>
                </c:pt>
              </c:numCache>
            </c:numRef>
          </c:yVal>
          <c:smooth val="1"/>
          <c:extLst>
            <c:ext xmlns:c16="http://schemas.microsoft.com/office/drawing/2014/chart" uri="{C3380CC4-5D6E-409C-BE32-E72D297353CC}">
              <c16:uniqueId val="{00000002-37E6-4BAA-B135-967C06709182}"/>
            </c:ext>
          </c:extLst>
        </c:ser>
        <c:ser>
          <c:idx val="3"/>
          <c:order val="3"/>
          <c:tx>
            <c:strRef>
              <c:f>'Forward PE'!$C$18</c:f>
              <c:strCache>
                <c:ptCount val="1"/>
                <c:pt idx="0">
                  <c:v>+1 S.Dev</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PE'!$K$18,'Forward PE'!$K$18)</c:f>
              <c:numCache>
                <c:formatCode>0.0\x_);\(0.0\x\);\-\ </c:formatCode>
                <c:ptCount val="2"/>
                <c:pt idx="0">
                  <c:v>17.919007434478996</c:v>
                </c:pt>
                <c:pt idx="1">
                  <c:v>17.919007434478996</c:v>
                </c:pt>
              </c:numCache>
            </c:numRef>
          </c:yVal>
          <c:smooth val="1"/>
          <c:extLst>
            <c:ext xmlns:c16="http://schemas.microsoft.com/office/drawing/2014/chart" uri="{C3380CC4-5D6E-409C-BE32-E72D297353CC}">
              <c16:uniqueId val="{00000003-37E6-4BAA-B135-967C06709182}"/>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Chemical</a:t>
            </a:r>
            <a:r>
              <a:rPr lang="en-US" baseline="0">
                <a:solidFill>
                  <a:sysClr val="windowText" lastClr="000000"/>
                </a:solidFill>
              </a:rPr>
              <a:t> Intermediates</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Revenue</c:v>
          </c:tx>
          <c:spPr>
            <a:solidFill>
              <a:schemeClr val="accent1"/>
            </a:solidFill>
            <a:ln>
              <a:noFill/>
            </a:ln>
            <a:effectLst/>
          </c:spPr>
          <c:invertIfNegative val="0"/>
          <c:cat>
            <c:numRef>
              <c:f>'Segment Snapshot'!$AL$5:$AX$5</c:f>
              <c:numCache>
                <c:formatCode>General"A"</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'Segment Snapshot'!$AL$10:$AX$10</c:f>
              <c:numCache>
                <c:formatCode>#,##0.0_);\(#,##0.0\);\-\ </c:formatCode>
                <c:ptCount val="13"/>
                <c:pt idx="0">
                  <c:v>931</c:v>
                </c:pt>
                <c:pt idx="1">
                  <c:v>1067</c:v>
                </c:pt>
                <c:pt idx="2">
                  <c:v>1332</c:v>
                </c:pt>
                <c:pt idx="3">
                  <c:v>1719</c:v>
                </c:pt>
                <c:pt idx="4">
                  <c:v>2640</c:v>
                </c:pt>
                <c:pt idx="5">
                  <c:v>3159</c:v>
                </c:pt>
                <c:pt idx="6">
                  <c:v>2979</c:v>
                </c:pt>
                <c:pt idx="7">
                  <c:v>3343</c:v>
                </c:pt>
                <c:pt idx="8">
                  <c:v>3647</c:v>
                </c:pt>
                <c:pt idx="9">
                  <c:v>2455</c:v>
                </c:pt>
                <c:pt idx="10">
                  <c:v>2342</c:v>
                </c:pt>
                <c:pt idx="11">
                  <c:v>2949</c:v>
                </c:pt>
                <c:pt idx="12">
                  <c:v>3475</c:v>
                </c:pt>
              </c:numCache>
            </c:numRef>
          </c:val>
          <c:extLst>
            <c:ext xmlns:c16="http://schemas.microsoft.com/office/drawing/2014/chart" uri="{C3380CC4-5D6E-409C-BE32-E72D297353CC}">
              <c16:uniqueId val="{00000000-A481-4D5F-8E4D-426430339D05}"/>
            </c:ext>
          </c:extLst>
        </c:ser>
        <c:dLbls>
          <c:showLegendKey val="0"/>
          <c:showVal val="0"/>
          <c:showCatName val="0"/>
          <c:showSerName val="0"/>
          <c:showPercent val="0"/>
          <c:showBubbleSize val="0"/>
        </c:dLbls>
        <c:gapWidth val="150"/>
        <c:axId val="958849839"/>
        <c:axId val="1119626495"/>
      </c:barChart>
      <c:lineChart>
        <c:grouping val="standard"/>
        <c:varyColors val="0"/>
        <c:ser>
          <c:idx val="1"/>
          <c:order val="1"/>
          <c:tx>
            <c:v>Adj. EBIT Margin</c:v>
          </c:tx>
          <c:spPr>
            <a:ln w="28575" cap="rnd">
              <a:solidFill>
                <a:schemeClr val="accent2"/>
              </a:solidFill>
              <a:round/>
            </a:ln>
            <a:effectLst/>
          </c:spPr>
          <c:marker>
            <c:symbol val="none"/>
          </c:marker>
          <c:val>
            <c:numRef>
              <c:f>'Segment Snapshot'!$AL$46:$AX$46</c:f>
              <c:numCache>
                <c:formatCode>0.0%_);\(0.0%\)</c:formatCode>
                <c:ptCount val="13"/>
                <c:pt idx="0">
                  <c:v>0.21911922663802363</c:v>
                </c:pt>
                <c:pt idx="1">
                  <c:v>0.20149953139643861</c:v>
                </c:pt>
                <c:pt idx="2">
                  <c:v>0.21396396396396397</c:v>
                </c:pt>
                <c:pt idx="3">
                  <c:v>0.2356020942408377</c:v>
                </c:pt>
                <c:pt idx="4">
                  <c:v>0.20416666666666666</c:v>
                </c:pt>
                <c:pt idx="5">
                  <c:v>0.20892687559354226</c:v>
                </c:pt>
                <c:pt idx="6">
                  <c:v>0.20510238335011749</c:v>
                </c:pt>
                <c:pt idx="7">
                  <c:v>0.19772659288064612</c:v>
                </c:pt>
                <c:pt idx="8">
                  <c:v>0.18398683849739511</c:v>
                </c:pt>
                <c:pt idx="9">
                  <c:v>0.18533604887983707</c:v>
                </c:pt>
                <c:pt idx="10">
                  <c:v>0.18915456874466269</c:v>
                </c:pt>
                <c:pt idx="11">
                  <c:v>0.16412343167175314</c:v>
                </c:pt>
                <c:pt idx="12">
                  <c:v>0.15712230215827339</c:v>
                </c:pt>
              </c:numCache>
            </c:numRef>
          </c:val>
          <c:smooth val="0"/>
          <c:extLst>
            <c:ext xmlns:c16="http://schemas.microsoft.com/office/drawing/2014/chart" uri="{C3380CC4-5D6E-409C-BE32-E72D297353CC}">
              <c16:uniqueId val="{00000001-A481-4D5F-8E4D-426430339D05}"/>
            </c:ext>
          </c:extLst>
        </c:ser>
        <c:dLbls>
          <c:showLegendKey val="0"/>
          <c:showVal val="0"/>
          <c:showCatName val="0"/>
          <c:showSerName val="0"/>
          <c:showPercent val="0"/>
          <c:showBubbleSize val="0"/>
        </c:dLbls>
        <c:marker val="1"/>
        <c:smooth val="0"/>
        <c:axId val="855719967"/>
        <c:axId val="1035938287"/>
      </c:lineChart>
      <c:catAx>
        <c:axId val="958849839"/>
        <c:scaling>
          <c:orientation val="minMax"/>
        </c:scaling>
        <c:delete val="0"/>
        <c:axPos val="b"/>
        <c:numFmt formatCode="General&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19626495"/>
        <c:crosses val="autoZero"/>
        <c:auto val="1"/>
        <c:lblAlgn val="ctr"/>
        <c:lblOffset val="100"/>
        <c:noMultiLvlLbl val="0"/>
      </c:catAx>
      <c:valAx>
        <c:axId val="1119626495"/>
        <c:scaling>
          <c:orientation val="minMax"/>
        </c:scaling>
        <c:delete val="0"/>
        <c:axPos val="l"/>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849839"/>
        <c:crosses val="autoZero"/>
        <c:crossBetween val="between"/>
      </c:valAx>
      <c:valAx>
        <c:axId val="1035938287"/>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719967"/>
        <c:crosses val="max"/>
        <c:crossBetween val="between"/>
        <c:majorUnit val="3.0000000000000006E-2"/>
      </c:valAx>
      <c:catAx>
        <c:axId val="855719967"/>
        <c:scaling>
          <c:orientation val="minMax"/>
        </c:scaling>
        <c:delete val="1"/>
        <c:axPos val="b"/>
        <c:majorTickMark val="out"/>
        <c:minorTickMark val="none"/>
        <c:tickLblPos val="nextTo"/>
        <c:crossAx val="103593828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'Historicals (Peers- A) '!$EH$44:$EH$65</c:f>
              <c:numCache>
                <c:formatCode>0.0%_);\(0.0%\)</c:formatCode>
                <c:ptCount val="22"/>
                <c:pt idx="0">
                  <c:v>6.0482374768089056E-2</c:v>
                </c:pt>
                <c:pt idx="1">
                  <c:v>4.0037593984962407E-2</c:v>
                </c:pt>
                <c:pt idx="2">
                  <c:v>4.4137931034482755E-2</c:v>
                </c:pt>
                <c:pt idx="3">
                  <c:v>5.7902735562310029E-2</c:v>
                </c:pt>
                <c:pt idx="4">
                  <c:v>0.11191386881994617</c:v>
                </c:pt>
                <c:pt idx="5">
                  <c:v>0.10326385079539221</c:v>
                </c:pt>
                <c:pt idx="6">
                  <c:v>9.0190336749633962E-2</c:v>
                </c:pt>
                <c:pt idx="7">
                  <c:v>8.4002378828426996E-2</c:v>
                </c:pt>
                <c:pt idx="8">
                  <c:v>0.11070336391437309</c:v>
                </c:pt>
                <c:pt idx="9">
                  <c:v>0.15251626155426223</c:v>
                </c:pt>
                <c:pt idx="10">
                  <c:v>0.12956255224296462</c:v>
                </c:pt>
                <c:pt idx="11">
                  <c:v>0.12651197235250555</c:v>
                </c:pt>
                <c:pt idx="12">
                  <c:v>0.20780748663101603</c:v>
                </c:pt>
                <c:pt idx="13">
                  <c:v>0.16605437178545188</c:v>
                </c:pt>
                <c:pt idx="14">
                  <c:v>0.17796434494195687</c:v>
                </c:pt>
                <c:pt idx="15">
                  <c:v>0.17029307282415632</c:v>
                </c:pt>
                <c:pt idx="16">
                  <c:v>0.15876007958948582</c:v>
                </c:pt>
                <c:pt idx="17">
                  <c:v>0.16215151216628904</c:v>
                </c:pt>
                <c:pt idx="18">
                  <c:v>0.14968187210180092</c:v>
                </c:pt>
                <c:pt idx="19">
                  <c:v>0.11377316180809631</c:v>
                </c:pt>
                <c:pt idx="20">
                  <c:v>0.17888507063764797</c:v>
                </c:pt>
                <c:pt idx="21">
                  <c:v>0.12391304347826088</c:v>
                </c:pt>
              </c:numCache>
            </c:numRef>
          </c:val>
          <c:smooth val="0"/>
          <c:extLst>
            <c:ext xmlns:c16="http://schemas.microsoft.com/office/drawing/2014/chart" uri="{C3380CC4-5D6E-409C-BE32-E72D297353CC}">
              <c16:uniqueId val="{00000000-4AD9-490B-A08B-02D36A308888}"/>
            </c:ext>
          </c:extLst>
        </c:ser>
        <c:ser>
          <c:idx val="1"/>
          <c:order val="1"/>
          <c:spPr>
            <a:ln w="28575" cap="rnd">
              <a:solidFill>
                <a:schemeClr val="accent2"/>
              </a:solidFill>
              <a:round/>
            </a:ln>
            <a:effectLst/>
          </c:spPr>
          <c:marker>
            <c:symbol val="none"/>
          </c:marker>
          <c:val>
            <c:numRef>
              <c:f>'Historicals (Peers- A) '!$EI$44:$EI$65</c:f>
              <c:numCache>
                <c:formatCode>0.0%_);\(0.0%\)</c:formatCode>
                <c:ptCount val="22"/>
                <c:pt idx="0">
                  <c:v>0</c:v>
                </c:pt>
                <c:pt idx="1">
                  <c:v>0</c:v>
                </c:pt>
                <c:pt idx="2">
                  <c:v>0</c:v>
                </c:pt>
                <c:pt idx="3">
                  <c:v>3.7390943082675529E-2</c:v>
                </c:pt>
                <c:pt idx="4">
                  <c:v>9.4495091164095366E-2</c:v>
                </c:pt>
                <c:pt idx="5">
                  <c:v>0.10938040844582901</c:v>
                </c:pt>
                <c:pt idx="6">
                  <c:v>0.11731843575418995</c:v>
                </c:pt>
                <c:pt idx="7">
                  <c:v>8.7791294152132493E-2</c:v>
                </c:pt>
                <c:pt idx="8">
                  <c:v>7.6347894529712718E-2</c:v>
                </c:pt>
                <c:pt idx="9">
                  <c:v>9.496451503886448E-2</c:v>
                </c:pt>
                <c:pt idx="10">
                  <c:v>0.10971462368771255</c:v>
                </c:pt>
                <c:pt idx="11">
                  <c:v>3.0539108756622E-2</c:v>
                </c:pt>
                <c:pt idx="12">
                  <c:v>0.14393241167434717</c:v>
                </c:pt>
                <c:pt idx="13">
                  <c:v>0.11055571890620405</c:v>
                </c:pt>
                <c:pt idx="14">
                  <c:v>0.12019739161085653</c:v>
                </c:pt>
                <c:pt idx="15">
                  <c:v>0.16737799220634625</c:v>
                </c:pt>
                <c:pt idx="16">
                  <c:v>0.15016286644951141</c:v>
                </c:pt>
                <c:pt idx="17">
                  <c:v>0.18588399720475193</c:v>
                </c:pt>
                <c:pt idx="18">
                  <c:v>0.16388756550738448</c:v>
                </c:pt>
                <c:pt idx="19">
                  <c:v>0.12661361626878867</c:v>
                </c:pt>
                <c:pt idx="20">
                  <c:v>0.22701183085392995</c:v>
                </c:pt>
                <c:pt idx="21">
                  <c:v>0.19312499999999999</c:v>
                </c:pt>
              </c:numCache>
            </c:numRef>
          </c:val>
          <c:smooth val="0"/>
          <c:extLst>
            <c:ext xmlns:c16="http://schemas.microsoft.com/office/drawing/2014/chart" uri="{C3380CC4-5D6E-409C-BE32-E72D297353CC}">
              <c16:uniqueId val="{00000001-4AD9-490B-A08B-02D36A308888}"/>
            </c:ext>
          </c:extLst>
        </c:ser>
        <c:ser>
          <c:idx val="2"/>
          <c:order val="2"/>
          <c:spPr>
            <a:ln w="28575" cap="rnd">
              <a:solidFill>
                <a:schemeClr val="accent3"/>
              </a:solidFill>
              <a:round/>
            </a:ln>
            <a:effectLst/>
          </c:spPr>
          <c:marker>
            <c:symbol val="none"/>
          </c:marker>
          <c:val>
            <c:numRef>
              <c:f>'Historicals (Peers- A) '!$EJ$44:$EJ$65</c:f>
              <c:numCache>
                <c:formatCode>0.0%_);\(0.0%\)</c:formatCode>
                <c:ptCount val="22"/>
                <c:pt idx="0">
                  <c:v>6.3056727613689634E-2</c:v>
                </c:pt>
                <c:pt idx="1">
                  <c:v>5.9877046609372056E-2</c:v>
                </c:pt>
                <c:pt idx="2">
                  <c:v>8.0153485397569821E-2</c:v>
                </c:pt>
                <c:pt idx="3">
                  <c:v>0.10958828466669612</c:v>
                </c:pt>
                <c:pt idx="4">
                  <c:v>0.15017391261808202</c:v>
                </c:pt>
                <c:pt idx="5">
                  <c:v>0.13168952922322133</c:v>
                </c:pt>
                <c:pt idx="6">
                  <c:v>0.1277078962731725</c:v>
                </c:pt>
                <c:pt idx="7">
                  <c:v>0.12699387383708968</c:v>
                </c:pt>
                <c:pt idx="8">
                  <c:v>7.0892426435118186E-2</c:v>
                </c:pt>
                <c:pt idx="9">
                  <c:v>0.10753344440228955</c:v>
                </c:pt>
                <c:pt idx="10">
                  <c:v>0.10975185448067583</c:v>
                </c:pt>
                <c:pt idx="11">
                  <c:v>8.4828846792954465E-2</c:v>
                </c:pt>
                <c:pt idx="12">
                  <c:v>0.10399024456337647</c:v>
                </c:pt>
                <c:pt idx="13">
                  <c:v>9.6280969527597141E-2</c:v>
                </c:pt>
                <c:pt idx="14">
                  <c:v>0.10096665673040071</c:v>
                </c:pt>
                <c:pt idx="15">
                  <c:v>0.11353032659409021</c:v>
                </c:pt>
                <c:pt idx="16">
                  <c:v>0.11496104408428942</c:v>
                </c:pt>
                <c:pt idx="17">
                  <c:v>0.11164955070603337</c:v>
                </c:pt>
                <c:pt idx="18">
                  <c:v>7.1241841380862522E-2</c:v>
                </c:pt>
                <c:pt idx="19">
                  <c:v>5.6467564963059394E-2</c:v>
                </c:pt>
                <c:pt idx="20">
                  <c:v>9.3714453945695664E-2</c:v>
                </c:pt>
                <c:pt idx="21">
                  <c:v>8.6948057896665445E-2</c:v>
                </c:pt>
              </c:numCache>
            </c:numRef>
          </c:val>
          <c:smooth val="0"/>
          <c:extLst>
            <c:ext xmlns:c16="http://schemas.microsoft.com/office/drawing/2014/chart" uri="{C3380CC4-5D6E-409C-BE32-E72D297353CC}">
              <c16:uniqueId val="{00000002-4AD9-490B-A08B-02D36A308888}"/>
            </c:ext>
          </c:extLst>
        </c:ser>
        <c:dLbls>
          <c:showLegendKey val="0"/>
          <c:showVal val="0"/>
          <c:showCatName val="0"/>
          <c:showSerName val="0"/>
          <c:showPercent val="0"/>
          <c:showBubbleSize val="0"/>
        </c:dLbls>
        <c:smooth val="0"/>
        <c:axId val="153234815"/>
        <c:axId val="153237215"/>
      </c:lineChart>
      <c:catAx>
        <c:axId val="15323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37215"/>
        <c:crosses val="autoZero"/>
        <c:auto val="1"/>
        <c:lblAlgn val="ctr"/>
        <c:lblOffset val="100"/>
        <c:noMultiLvlLbl val="0"/>
      </c:catAx>
      <c:valAx>
        <c:axId val="153237215"/>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34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'Historicals (Peers- A) '!$AQ$32:$AQ$41</c:f>
              <c:numCache>
                <c:formatCode>0.0\x_);\(0.0\x\);\-\ </c:formatCode>
                <c:ptCount val="10"/>
                <c:pt idx="0">
                  <c:v>11.758333333333301</c:v>
                </c:pt>
                <c:pt idx="1">
                  <c:v>11.699996666666699</c:v>
                </c:pt>
                <c:pt idx="2">
                  <c:v>10.6666666666667</c:v>
                </c:pt>
                <c:pt idx="3">
                  <c:v>10.07222</c:v>
                </c:pt>
                <c:pt idx="4">
                  <c:v>11.944445</c:v>
                </c:pt>
                <c:pt idx="5">
                  <c:v>11.991666666666699</c:v>
                </c:pt>
                <c:pt idx="6">
                  <c:v>10.091666666666701</c:v>
                </c:pt>
                <c:pt idx="7">
                  <c:v>7.8388866666666699</c:v>
                </c:pt>
                <c:pt idx="8">
                  <c:v>10.17778</c:v>
                </c:pt>
                <c:pt idx="9">
                  <c:v>14.1833333333333</c:v>
                </c:pt>
              </c:numCache>
            </c:numRef>
          </c:val>
          <c:extLst>
            <c:ext xmlns:c16="http://schemas.microsoft.com/office/drawing/2014/chart" uri="{C3380CC4-5D6E-409C-BE32-E72D297353CC}">
              <c16:uniqueId val="{00000000-EDD4-4BB6-8952-159E9BE199A7}"/>
            </c:ext>
          </c:extLst>
        </c:ser>
        <c:ser>
          <c:idx val="1"/>
          <c:order val="1"/>
          <c:spPr>
            <a:solidFill>
              <a:schemeClr val="accent2"/>
            </a:solidFill>
            <a:ln>
              <a:noFill/>
            </a:ln>
            <a:effectLst/>
          </c:spPr>
          <c:invertIfNegative val="0"/>
          <c:val>
            <c:numRef>
              <c:f>'Historicals (Peers- A) '!$AR$32:$AR$41</c:f>
              <c:numCache>
                <c:formatCode>0.0\x_);\(0.0\x\);\-\ </c:formatCode>
                <c:ptCount val="10"/>
                <c:pt idx="0">
                  <c:v>15.016666666666699</c:v>
                </c:pt>
                <c:pt idx="1">
                  <c:v>15.283333333333299</c:v>
                </c:pt>
                <c:pt idx="2">
                  <c:v>15.908333333333299</c:v>
                </c:pt>
                <c:pt idx="3">
                  <c:v>18.620833333333302</c:v>
                </c:pt>
                <c:pt idx="4">
                  <c:v>16.983333333333299</c:v>
                </c:pt>
                <c:pt idx="5">
                  <c:v>20.7499966666667</c:v>
                </c:pt>
                <c:pt idx="6">
                  <c:v>19.044446666666701</c:v>
                </c:pt>
                <c:pt idx="7">
                  <c:v>13.827780000000001</c:v>
                </c:pt>
                <c:pt idx="8">
                  <c:v>24.591666666666701</c:v>
                </c:pt>
                <c:pt idx="9">
                  <c:v>17.1666666666667</c:v>
                </c:pt>
              </c:numCache>
            </c:numRef>
          </c:val>
          <c:extLst>
            <c:ext xmlns:c16="http://schemas.microsoft.com/office/drawing/2014/chart" uri="{C3380CC4-5D6E-409C-BE32-E72D297353CC}">
              <c16:uniqueId val="{00000001-EDD4-4BB6-8952-159E9BE199A7}"/>
            </c:ext>
          </c:extLst>
        </c:ser>
        <c:ser>
          <c:idx val="2"/>
          <c:order val="2"/>
          <c:spPr>
            <a:solidFill>
              <a:schemeClr val="accent3"/>
            </a:solidFill>
            <a:ln>
              <a:noFill/>
            </a:ln>
            <a:effectLst/>
          </c:spPr>
          <c:invertIfNegative val="0"/>
          <c:val>
            <c:numRef>
              <c:f>'Historicals (Peers- A) '!$AS$32:$AS$41</c:f>
              <c:numCache>
                <c:formatCode>0.0\x_);\(0.0\x\);\-\ </c:formatCode>
                <c:ptCount val="10"/>
                <c:pt idx="0">
                  <c:v>13.022220000000001</c:v>
                </c:pt>
                <c:pt idx="1">
                  <c:v>12.630558333333299</c:v>
                </c:pt>
                <c:pt idx="2">
                  <c:v>10.81667</c:v>
                </c:pt>
                <c:pt idx="3">
                  <c:v>10.7361083333333</c:v>
                </c:pt>
                <c:pt idx="4">
                  <c:v>11.264284999999999</c:v>
                </c:pt>
                <c:pt idx="5">
                  <c:v>9.7888883333333307</c:v>
                </c:pt>
                <c:pt idx="6">
                  <c:v>6.8446666666666696</c:v>
                </c:pt>
                <c:pt idx="7">
                  <c:v>5.3808333333333298</c:v>
                </c:pt>
                <c:pt idx="8">
                  <c:v>11.694000000000001</c:v>
                </c:pt>
                <c:pt idx="9">
                  <c:v>9.2133333333333294</c:v>
                </c:pt>
              </c:numCache>
            </c:numRef>
          </c:val>
          <c:extLst>
            <c:ext xmlns:c16="http://schemas.microsoft.com/office/drawing/2014/chart" uri="{C3380CC4-5D6E-409C-BE32-E72D297353CC}">
              <c16:uniqueId val="{00000002-EDD4-4BB6-8952-159E9BE199A7}"/>
            </c:ext>
          </c:extLst>
        </c:ser>
        <c:dLbls>
          <c:showLegendKey val="0"/>
          <c:showVal val="0"/>
          <c:showCatName val="0"/>
          <c:showSerName val="0"/>
          <c:showPercent val="0"/>
          <c:showBubbleSize val="0"/>
        </c:dLbls>
        <c:gapWidth val="219"/>
        <c:overlap val="-27"/>
        <c:axId val="1335454000"/>
        <c:axId val="1335463600"/>
      </c:barChart>
      <c:catAx>
        <c:axId val="133545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463600"/>
        <c:crosses val="autoZero"/>
        <c:auto val="1"/>
        <c:lblAlgn val="ctr"/>
        <c:lblOffset val="100"/>
        <c:noMultiLvlLbl val="0"/>
      </c:catAx>
      <c:valAx>
        <c:axId val="1335463600"/>
        <c:scaling>
          <c:orientation val="minMax"/>
        </c:scaling>
        <c:delete val="0"/>
        <c:axPos val="l"/>
        <c:majorGridlines>
          <c:spPr>
            <a:ln w="9525" cap="flat" cmpd="sng" algn="ctr">
              <a:solidFill>
                <a:schemeClr val="tx1">
                  <a:lumMod val="15000"/>
                  <a:lumOff val="85000"/>
                </a:schemeClr>
              </a:solidFill>
              <a:round/>
            </a:ln>
            <a:effectLst/>
          </c:spPr>
        </c:majorGridlines>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45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 Id="rId9"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chart" Target="../charts/chart46.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0.png"/><Relationship Id="rId3" Type="http://schemas.openxmlformats.org/officeDocument/2006/relationships/chart" Target="../charts/chart5.xml"/><Relationship Id="rId7" Type="http://schemas.openxmlformats.org/officeDocument/2006/relationships/image" Target="../media/image5.png"/><Relationship Id="rId12" Type="http://schemas.openxmlformats.org/officeDocument/2006/relationships/chart" Target="../charts/chart6.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2</xdr:col>
      <xdr:colOff>1714501</xdr:colOff>
      <xdr:row>60</xdr:row>
      <xdr:rowOff>44449</xdr:rowOff>
    </xdr:from>
    <xdr:to>
      <xdr:col>2</xdr:col>
      <xdr:colOff>1924051</xdr:colOff>
      <xdr:row>66</xdr:row>
      <xdr:rowOff>9524</xdr:rowOff>
    </xdr:to>
    <xdr:sp macro="" textlink="">
      <xdr:nvSpPr>
        <xdr:cNvPr id="2" name="TextBox 1">
          <a:extLst>
            <a:ext uri="{FF2B5EF4-FFF2-40B4-BE49-F238E27FC236}">
              <a16:creationId xmlns:a16="http://schemas.microsoft.com/office/drawing/2014/main" id="{E9432376-C905-46FC-AABC-DC33D8D5A5BE}"/>
            </a:ext>
          </a:extLst>
        </xdr:cNvPr>
        <xdr:cNvSpPr txBox="1"/>
      </xdr:nvSpPr>
      <xdr:spPr>
        <a:xfrm rot="16200000">
          <a:off x="1658938" y="8583612"/>
          <a:ext cx="803275" cy="20955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bg1"/>
              </a:solidFill>
            </a:rPr>
            <a:t>Discount  Rate</a:t>
          </a:r>
        </a:p>
      </xdr:txBody>
    </xdr:sp>
    <xdr:clientData/>
  </xdr:twoCellAnchor>
  <xdr:twoCellAnchor>
    <xdr:from>
      <xdr:col>9</xdr:col>
      <xdr:colOff>57150</xdr:colOff>
      <xdr:row>60</xdr:row>
      <xdr:rowOff>8128</xdr:rowOff>
    </xdr:from>
    <xdr:to>
      <xdr:col>9</xdr:col>
      <xdr:colOff>267462</xdr:colOff>
      <xdr:row>65</xdr:row>
      <xdr:rowOff>114300</xdr:rowOff>
    </xdr:to>
    <xdr:sp macro="" textlink="">
      <xdr:nvSpPr>
        <xdr:cNvPr id="3" name="TextBox 2">
          <a:extLst>
            <a:ext uri="{FF2B5EF4-FFF2-40B4-BE49-F238E27FC236}">
              <a16:creationId xmlns:a16="http://schemas.microsoft.com/office/drawing/2014/main" id="{28AE4EEA-427B-47B0-A01B-24E21E574021}"/>
            </a:ext>
          </a:extLst>
        </xdr:cNvPr>
        <xdr:cNvSpPr txBox="1"/>
      </xdr:nvSpPr>
      <xdr:spPr>
        <a:xfrm rot="16200000">
          <a:off x="7183120" y="8547608"/>
          <a:ext cx="804672" cy="21031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bg1"/>
              </a:solidFill>
            </a:rPr>
            <a:t>Discount Rate</a:t>
          </a:r>
        </a:p>
      </xdr:txBody>
    </xdr:sp>
    <xdr:clientData/>
  </xdr:twoCellAnchor>
  <xdr:twoCellAnchor editAs="oneCell">
    <xdr:from>
      <xdr:col>13</xdr:col>
      <xdr:colOff>111125</xdr:colOff>
      <xdr:row>28</xdr:row>
      <xdr:rowOff>31227</xdr:rowOff>
    </xdr:from>
    <xdr:to>
      <xdr:col>24</xdr:col>
      <xdr:colOff>170729</xdr:colOff>
      <xdr:row>40</xdr:row>
      <xdr:rowOff>95885</xdr:rowOff>
    </xdr:to>
    <xdr:pic>
      <xdr:nvPicPr>
        <xdr:cNvPr id="4" name="Picture 3">
          <a:extLst>
            <a:ext uri="{FF2B5EF4-FFF2-40B4-BE49-F238E27FC236}">
              <a16:creationId xmlns:a16="http://schemas.microsoft.com/office/drawing/2014/main" id="{977E9B9C-97FC-06E1-D00A-3AFF66671B60}"/>
            </a:ext>
          </a:extLst>
        </xdr:cNvPr>
        <xdr:cNvPicPr>
          <a:picLocks noChangeAspect="1"/>
        </xdr:cNvPicPr>
      </xdr:nvPicPr>
      <xdr:blipFill>
        <a:blip xmlns:r="http://schemas.openxmlformats.org/officeDocument/2006/relationships" r:embed="rId1"/>
        <a:stretch>
          <a:fillRect/>
        </a:stretch>
      </xdr:blipFill>
      <xdr:spPr>
        <a:xfrm>
          <a:off x="10674350" y="4031727"/>
          <a:ext cx="8661949" cy="1779158"/>
        </a:xfrm>
        <a:prstGeom prst="rect">
          <a:avLst/>
        </a:prstGeom>
      </xdr:spPr>
    </xdr:pic>
    <xdr:clientData/>
  </xdr:twoCellAnchor>
  <xdr:twoCellAnchor>
    <xdr:from>
      <xdr:col>8</xdr:col>
      <xdr:colOff>600075</xdr:colOff>
      <xdr:row>51</xdr:row>
      <xdr:rowOff>0</xdr:rowOff>
    </xdr:from>
    <xdr:to>
      <xdr:col>17</xdr:col>
      <xdr:colOff>86097</xdr:colOff>
      <xdr:row>91</xdr:row>
      <xdr:rowOff>38100</xdr:rowOff>
    </xdr:to>
    <xdr:graphicFrame macro="">
      <xdr:nvGraphicFramePr>
        <xdr:cNvPr id="5" name="Chart 4">
          <a:extLst>
            <a:ext uri="{FF2B5EF4-FFF2-40B4-BE49-F238E27FC236}">
              <a16:creationId xmlns:a16="http://schemas.microsoft.com/office/drawing/2014/main" id="{236E1B93-2CB9-4047-A5D6-2E47AA01F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448235</xdr:colOff>
      <xdr:row>50</xdr:row>
      <xdr:rowOff>84792</xdr:rowOff>
    </xdr:from>
    <xdr:to>
      <xdr:col>27</xdr:col>
      <xdr:colOff>216647</xdr:colOff>
      <xdr:row>95</xdr:row>
      <xdr:rowOff>19238</xdr:rowOff>
    </xdr:to>
    <xdr:grpSp>
      <xdr:nvGrpSpPr>
        <xdr:cNvPr id="9" name="Group 8">
          <a:extLst>
            <a:ext uri="{FF2B5EF4-FFF2-40B4-BE49-F238E27FC236}">
              <a16:creationId xmlns:a16="http://schemas.microsoft.com/office/drawing/2014/main" id="{EBFDC49C-2AF1-D642-AF4F-C605D6A1EB12}"/>
            </a:ext>
          </a:extLst>
        </xdr:cNvPr>
        <xdr:cNvGrpSpPr/>
      </xdr:nvGrpSpPr>
      <xdr:grpSpPr>
        <a:xfrm>
          <a:off x="15264373" y="7228542"/>
          <a:ext cx="6969312" cy="3220571"/>
          <a:chOff x="14957985" y="7493125"/>
          <a:chExt cx="6816912" cy="2897780"/>
        </a:xfrm>
      </xdr:grpSpPr>
      <xdr:graphicFrame macro="">
        <xdr:nvGraphicFramePr>
          <xdr:cNvPr id="6" name="Chart 5">
            <a:extLst>
              <a:ext uri="{FF2B5EF4-FFF2-40B4-BE49-F238E27FC236}">
                <a16:creationId xmlns:a16="http://schemas.microsoft.com/office/drawing/2014/main" id="{D8583F57-D340-447E-B8CF-FDAC35D7854C}"/>
              </a:ext>
            </a:extLst>
          </xdr:cNvPr>
          <xdr:cNvGraphicFramePr>
            <a:graphicFrameLocks/>
          </xdr:cNvGraphicFramePr>
        </xdr:nvGraphicFramePr>
        <xdr:xfrm>
          <a:off x="14957985" y="7493125"/>
          <a:ext cx="6816912" cy="289778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8" name="TextBox 7">
            <a:extLst>
              <a:ext uri="{FF2B5EF4-FFF2-40B4-BE49-F238E27FC236}">
                <a16:creationId xmlns:a16="http://schemas.microsoft.com/office/drawing/2014/main" id="{D1C74C76-EBE0-5345-4BBA-EDDBDB984004}"/>
              </a:ext>
            </a:extLst>
          </xdr:cNvPr>
          <xdr:cNvSpPr txBox="1"/>
        </xdr:nvSpPr>
        <xdr:spPr>
          <a:xfrm>
            <a:off x="16344900" y="8640234"/>
            <a:ext cx="12761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Pre-2012 Avg. 6.0x</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781050</xdr:colOff>
      <xdr:row>25</xdr:row>
      <xdr:rowOff>130175</xdr:rowOff>
    </xdr:from>
    <xdr:to>
      <xdr:col>45</xdr:col>
      <xdr:colOff>498475</xdr:colOff>
      <xdr:row>45</xdr:row>
      <xdr:rowOff>19050</xdr:rowOff>
    </xdr:to>
    <xdr:graphicFrame macro="">
      <xdr:nvGraphicFramePr>
        <xdr:cNvPr id="4" name="Chart 3">
          <a:extLst>
            <a:ext uri="{FF2B5EF4-FFF2-40B4-BE49-F238E27FC236}">
              <a16:creationId xmlns:a16="http://schemas.microsoft.com/office/drawing/2014/main" id="{55A34E41-6AC9-D3BF-BB21-F4F96C08D7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D1649D84-10E3-4796-A763-9438DAB66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7248C85A-AA9A-4C5E-964B-C781BB65A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D92053E7-FFCD-479B-B487-39D91CBF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ECD4D6EC-C669-4373-82BB-BEFEB9F21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AB8A86CB-82EE-4FFF-B236-09E0AEC53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9417D563-E5EC-4240-B59F-54C3A68F2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2C7FC1E4-2F8E-4E94-94C8-2D365C69C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4ED87FF2-7E89-4C63-B289-0B9FDB33D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113</xdr:row>
      <xdr:rowOff>0</xdr:rowOff>
    </xdr:from>
    <xdr:to>
      <xdr:col>29</xdr:col>
      <xdr:colOff>356507</xdr:colOff>
      <xdr:row>138</xdr:row>
      <xdr:rowOff>76202</xdr:rowOff>
    </xdr:to>
    <xdr:graphicFrame macro="">
      <xdr:nvGraphicFramePr>
        <xdr:cNvPr id="10" name="Chart 9">
          <a:extLst>
            <a:ext uri="{FF2B5EF4-FFF2-40B4-BE49-F238E27FC236}">
              <a16:creationId xmlns:a16="http://schemas.microsoft.com/office/drawing/2014/main" id="{6155E2D2-F2CE-476B-A8B6-2F6A0A08F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339725</xdr:colOff>
      <xdr:row>22</xdr:row>
      <xdr:rowOff>76199</xdr:rowOff>
    </xdr:from>
    <xdr:to>
      <xdr:col>34</xdr:col>
      <xdr:colOff>292100</xdr:colOff>
      <xdr:row>49</xdr:row>
      <xdr:rowOff>136524</xdr:rowOff>
    </xdr:to>
    <xdr:graphicFrame macro="">
      <xdr:nvGraphicFramePr>
        <xdr:cNvPr id="6" name="Chart 5">
          <a:extLst>
            <a:ext uri="{FF2B5EF4-FFF2-40B4-BE49-F238E27FC236}">
              <a16:creationId xmlns:a16="http://schemas.microsoft.com/office/drawing/2014/main" id="{6A08719B-4646-E58B-D5E9-F49B761E37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412750</xdr:colOff>
      <xdr:row>36</xdr:row>
      <xdr:rowOff>49212</xdr:rowOff>
    </xdr:from>
    <xdr:to>
      <xdr:col>37</xdr:col>
      <xdr:colOff>184150</xdr:colOff>
      <xdr:row>55</xdr:row>
      <xdr:rowOff>119062</xdr:rowOff>
    </xdr:to>
    <xdr:graphicFrame macro="">
      <xdr:nvGraphicFramePr>
        <xdr:cNvPr id="4" name="Chart 3">
          <a:extLst>
            <a:ext uri="{FF2B5EF4-FFF2-40B4-BE49-F238E27FC236}">
              <a16:creationId xmlns:a16="http://schemas.microsoft.com/office/drawing/2014/main" id="{4BCB2D39-0908-414C-A205-FCE644CF44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44</xdr:col>
      <xdr:colOff>504825</xdr:colOff>
      <xdr:row>7</xdr:row>
      <xdr:rowOff>4261</xdr:rowOff>
    </xdr:from>
    <xdr:to>
      <xdr:col>52</xdr:col>
      <xdr:colOff>247650</xdr:colOff>
      <xdr:row>23</xdr:row>
      <xdr:rowOff>28074</xdr:rowOff>
    </xdr:to>
    <xdr:pic>
      <xdr:nvPicPr>
        <xdr:cNvPr id="3" name="Picture 2">
          <a:extLst>
            <a:ext uri="{FF2B5EF4-FFF2-40B4-BE49-F238E27FC236}">
              <a16:creationId xmlns:a16="http://schemas.microsoft.com/office/drawing/2014/main" id="{7C764AFE-76AA-4521-9A8A-3BA4716FFB1D}"/>
            </a:ext>
          </a:extLst>
        </xdr:cNvPr>
        <xdr:cNvPicPr>
          <a:picLocks noChangeAspect="1"/>
        </xdr:cNvPicPr>
      </xdr:nvPicPr>
      <xdr:blipFill>
        <a:blip xmlns:r="http://schemas.openxmlformats.org/officeDocument/2006/relationships" r:embed="rId1"/>
        <a:stretch>
          <a:fillRect/>
        </a:stretch>
      </xdr:blipFill>
      <xdr:spPr>
        <a:xfrm>
          <a:off x="34518600" y="1004386"/>
          <a:ext cx="4619625" cy="2309813"/>
        </a:xfrm>
        <a:prstGeom prst="rect">
          <a:avLst/>
        </a:prstGeom>
      </xdr:spPr>
    </xdr:pic>
    <xdr:clientData/>
  </xdr:twoCellAnchor>
  <xdr:twoCellAnchor editAs="oneCell">
    <xdr:from>
      <xdr:col>44</xdr:col>
      <xdr:colOff>457201</xdr:colOff>
      <xdr:row>23</xdr:row>
      <xdr:rowOff>104774</xdr:rowOff>
    </xdr:from>
    <xdr:to>
      <xdr:col>52</xdr:col>
      <xdr:colOff>254549</xdr:colOff>
      <xdr:row>45</xdr:row>
      <xdr:rowOff>37439</xdr:rowOff>
    </xdr:to>
    <xdr:pic>
      <xdr:nvPicPr>
        <xdr:cNvPr id="4" name="Picture 3">
          <a:extLst>
            <a:ext uri="{FF2B5EF4-FFF2-40B4-BE49-F238E27FC236}">
              <a16:creationId xmlns:a16="http://schemas.microsoft.com/office/drawing/2014/main" id="{78D17178-B35D-4F28-9B3E-B705B37B036F}"/>
            </a:ext>
          </a:extLst>
        </xdr:cNvPr>
        <xdr:cNvPicPr>
          <a:picLocks noChangeAspect="1"/>
        </xdr:cNvPicPr>
      </xdr:nvPicPr>
      <xdr:blipFill>
        <a:blip xmlns:r="http://schemas.openxmlformats.org/officeDocument/2006/relationships" r:embed="rId2"/>
        <a:stretch>
          <a:fillRect/>
        </a:stretch>
      </xdr:blipFill>
      <xdr:spPr>
        <a:xfrm>
          <a:off x="34470976" y="3533774"/>
          <a:ext cx="4680498" cy="3075915"/>
        </a:xfrm>
        <a:prstGeom prst="rect">
          <a:avLst/>
        </a:prstGeom>
      </xdr:spPr>
    </xdr:pic>
    <xdr:clientData/>
  </xdr:twoCellAnchor>
  <xdr:twoCellAnchor editAs="oneCell">
    <xdr:from>
      <xdr:col>44</xdr:col>
      <xdr:colOff>438151</xdr:colOff>
      <xdr:row>46</xdr:row>
      <xdr:rowOff>9525</xdr:rowOff>
    </xdr:from>
    <xdr:to>
      <xdr:col>52</xdr:col>
      <xdr:colOff>589723</xdr:colOff>
      <xdr:row>66</xdr:row>
      <xdr:rowOff>113701</xdr:rowOff>
    </xdr:to>
    <xdr:pic>
      <xdr:nvPicPr>
        <xdr:cNvPr id="5" name="Picture 4">
          <a:extLst>
            <a:ext uri="{FF2B5EF4-FFF2-40B4-BE49-F238E27FC236}">
              <a16:creationId xmlns:a16="http://schemas.microsoft.com/office/drawing/2014/main" id="{E6907421-0FDD-4E59-BCAB-1666D7CFD6E6}"/>
            </a:ext>
          </a:extLst>
        </xdr:cNvPr>
        <xdr:cNvPicPr>
          <a:picLocks noChangeAspect="1"/>
        </xdr:cNvPicPr>
      </xdr:nvPicPr>
      <xdr:blipFill>
        <a:blip xmlns:r="http://schemas.openxmlformats.org/officeDocument/2006/relationships" r:embed="rId3"/>
        <a:stretch>
          <a:fillRect/>
        </a:stretch>
      </xdr:blipFill>
      <xdr:spPr>
        <a:xfrm>
          <a:off x="34451926" y="6867525"/>
          <a:ext cx="5028372" cy="2961676"/>
        </a:xfrm>
        <a:prstGeom prst="rect">
          <a:avLst/>
        </a:prstGeom>
      </xdr:spPr>
    </xdr:pic>
    <xdr:clientData/>
  </xdr:twoCellAnchor>
  <xdr:twoCellAnchor editAs="oneCell">
    <xdr:from>
      <xdr:col>44</xdr:col>
      <xdr:colOff>447675</xdr:colOff>
      <xdr:row>68</xdr:row>
      <xdr:rowOff>85725</xdr:rowOff>
    </xdr:from>
    <xdr:to>
      <xdr:col>52</xdr:col>
      <xdr:colOff>316252</xdr:colOff>
      <xdr:row>87</xdr:row>
      <xdr:rowOff>27992</xdr:rowOff>
    </xdr:to>
    <xdr:pic>
      <xdr:nvPicPr>
        <xdr:cNvPr id="6" name="Picture 5">
          <a:extLst>
            <a:ext uri="{FF2B5EF4-FFF2-40B4-BE49-F238E27FC236}">
              <a16:creationId xmlns:a16="http://schemas.microsoft.com/office/drawing/2014/main" id="{16CBEE91-7C7F-4D6B-B28C-DA2925A28480}"/>
            </a:ext>
          </a:extLst>
        </xdr:cNvPr>
        <xdr:cNvPicPr>
          <a:picLocks noChangeAspect="1"/>
        </xdr:cNvPicPr>
      </xdr:nvPicPr>
      <xdr:blipFill>
        <a:blip xmlns:r="http://schemas.openxmlformats.org/officeDocument/2006/relationships" r:embed="rId4"/>
        <a:stretch>
          <a:fillRect/>
        </a:stretch>
      </xdr:blipFill>
      <xdr:spPr>
        <a:xfrm>
          <a:off x="34461450" y="10229850"/>
          <a:ext cx="4739027" cy="2656892"/>
        </a:xfrm>
        <a:prstGeom prst="rect">
          <a:avLst/>
        </a:prstGeom>
      </xdr:spPr>
    </xdr:pic>
    <xdr:clientData/>
  </xdr:twoCellAnchor>
  <xdr:twoCellAnchor editAs="oneCell">
    <xdr:from>
      <xdr:col>44</xdr:col>
      <xdr:colOff>571500</xdr:colOff>
      <xdr:row>88</xdr:row>
      <xdr:rowOff>95251</xdr:rowOff>
    </xdr:from>
    <xdr:to>
      <xdr:col>52</xdr:col>
      <xdr:colOff>439696</xdr:colOff>
      <xdr:row>108</xdr:row>
      <xdr:rowOff>123825</xdr:rowOff>
    </xdr:to>
    <xdr:pic>
      <xdr:nvPicPr>
        <xdr:cNvPr id="7" name="Picture 6">
          <a:extLst>
            <a:ext uri="{FF2B5EF4-FFF2-40B4-BE49-F238E27FC236}">
              <a16:creationId xmlns:a16="http://schemas.microsoft.com/office/drawing/2014/main" id="{9DBD9F99-659A-4612-8726-475271E6EEA7}"/>
            </a:ext>
          </a:extLst>
        </xdr:cNvPr>
        <xdr:cNvPicPr>
          <a:picLocks noChangeAspect="1"/>
        </xdr:cNvPicPr>
      </xdr:nvPicPr>
      <xdr:blipFill>
        <a:blip xmlns:r="http://schemas.openxmlformats.org/officeDocument/2006/relationships" r:embed="rId5"/>
        <a:stretch>
          <a:fillRect/>
        </a:stretch>
      </xdr:blipFill>
      <xdr:spPr>
        <a:xfrm>
          <a:off x="34585275" y="13239751"/>
          <a:ext cx="4744996" cy="2886074"/>
        </a:xfrm>
        <a:prstGeom prst="rect">
          <a:avLst/>
        </a:prstGeom>
      </xdr:spPr>
    </xdr:pic>
    <xdr:clientData/>
  </xdr:twoCellAnchor>
  <xdr:twoCellAnchor editAs="oneCell">
    <xdr:from>
      <xdr:col>44</xdr:col>
      <xdr:colOff>514351</xdr:colOff>
      <xdr:row>109</xdr:row>
      <xdr:rowOff>114300</xdr:rowOff>
    </xdr:from>
    <xdr:to>
      <xdr:col>52</xdr:col>
      <xdr:colOff>541863</xdr:colOff>
      <xdr:row>127</xdr:row>
      <xdr:rowOff>95250</xdr:rowOff>
    </xdr:to>
    <xdr:pic>
      <xdr:nvPicPr>
        <xdr:cNvPr id="8" name="Picture 7">
          <a:extLst>
            <a:ext uri="{FF2B5EF4-FFF2-40B4-BE49-F238E27FC236}">
              <a16:creationId xmlns:a16="http://schemas.microsoft.com/office/drawing/2014/main" id="{5A84042D-5120-45B3-AB77-CAD066AD5C79}"/>
            </a:ext>
          </a:extLst>
        </xdr:cNvPr>
        <xdr:cNvPicPr>
          <a:picLocks noChangeAspect="1"/>
        </xdr:cNvPicPr>
      </xdr:nvPicPr>
      <xdr:blipFill>
        <a:blip xmlns:r="http://schemas.openxmlformats.org/officeDocument/2006/relationships" r:embed="rId6"/>
        <a:stretch>
          <a:fillRect/>
        </a:stretch>
      </xdr:blipFill>
      <xdr:spPr>
        <a:xfrm>
          <a:off x="34528126" y="16402050"/>
          <a:ext cx="4904312" cy="2552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510540</xdr:colOff>
      <xdr:row>298</xdr:row>
      <xdr:rowOff>8572</xdr:rowOff>
    </xdr:from>
    <xdr:to>
      <xdr:col>16</xdr:col>
      <xdr:colOff>415290</xdr:colOff>
      <xdr:row>318</xdr:row>
      <xdr:rowOff>79057</xdr:rowOff>
    </xdr:to>
    <xdr:graphicFrame macro="">
      <xdr:nvGraphicFramePr>
        <xdr:cNvPr id="2" name="Chart 1">
          <a:extLst>
            <a:ext uri="{FF2B5EF4-FFF2-40B4-BE49-F238E27FC236}">
              <a16:creationId xmlns:a16="http://schemas.microsoft.com/office/drawing/2014/main" id="{FD17D29C-F416-6B1A-EA36-259F58FCC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323849</xdr:colOff>
      <xdr:row>322</xdr:row>
      <xdr:rowOff>63816</xdr:rowOff>
    </xdr:from>
    <xdr:to>
      <xdr:col>18</xdr:col>
      <xdr:colOff>66674</xdr:colOff>
      <xdr:row>367</xdr:row>
      <xdr:rowOff>114299</xdr:rowOff>
    </xdr:to>
    <xdr:graphicFrame macro="">
      <xdr:nvGraphicFramePr>
        <xdr:cNvPr id="3" name="Chart 2">
          <a:extLst>
            <a:ext uri="{FF2B5EF4-FFF2-40B4-BE49-F238E27FC236}">
              <a16:creationId xmlns:a16="http://schemas.microsoft.com/office/drawing/2014/main" id="{7FBCBAB1-EEE1-FD88-6320-5D7D475004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673B986C-9E88-49A5-A5FC-F7050B4A7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4A6B2145-3F95-4022-86AE-08FEB5367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C871D61A-707B-43C2-9351-B88ACBFD5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17465355-6BC0-42FC-8D58-874C253AA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CCC7A483-9278-4F1C-B432-40DAE00D9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EFBC813F-F678-4D97-954A-D4FC53E1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9D46F1B4-7D7F-4C5F-B3F2-625763414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CC7E5FC5-A710-4724-9E8B-C1E1D3137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113</xdr:row>
      <xdr:rowOff>0</xdr:rowOff>
    </xdr:from>
    <xdr:to>
      <xdr:col>29</xdr:col>
      <xdr:colOff>356507</xdr:colOff>
      <xdr:row>138</xdr:row>
      <xdr:rowOff>76202</xdr:rowOff>
    </xdr:to>
    <xdr:graphicFrame macro="">
      <xdr:nvGraphicFramePr>
        <xdr:cNvPr id="10" name="Chart 9">
          <a:extLst>
            <a:ext uri="{FF2B5EF4-FFF2-40B4-BE49-F238E27FC236}">
              <a16:creationId xmlns:a16="http://schemas.microsoft.com/office/drawing/2014/main" id="{88F0F8E1-43B6-486D-86B8-39867237B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386A7412-895C-4A37-B116-4E51C31D3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81C4BC67-5C53-440F-A1EB-E689D5F8B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3431D97C-7E67-4736-B554-00C6C526A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C3831B80-01A0-4506-A346-99524A1BA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741BEE51-2C68-4ED5-86CA-8900792E6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239C10EB-394B-4290-81AE-DE9BE5AC7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5888C11F-BB9C-4BE9-88C3-4A4CBF141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B3EAABF5-1F47-4BB7-90F8-9406561C4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11906</xdr:colOff>
      <xdr:row>3</xdr:row>
      <xdr:rowOff>55245</xdr:rowOff>
    </xdr:from>
    <xdr:to>
      <xdr:col>14</xdr:col>
      <xdr:colOff>392906</xdr:colOff>
      <xdr:row>29</xdr:row>
      <xdr:rowOff>1905</xdr:rowOff>
    </xdr:to>
    <xdr:graphicFrame macro="">
      <xdr:nvGraphicFramePr>
        <xdr:cNvPr id="2" name="Chart 1">
          <a:extLst>
            <a:ext uri="{FF2B5EF4-FFF2-40B4-BE49-F238E27FC236}">
              <a16:creationId xmlns:a16="http://schemas.microsoft.com/office/drawing/2014/main" id="{4C0C2C6B-930B-46C5-95C3-636790FC2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66DD0A2E-8DB3-45DA-BE2C-AA59DC249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9C747370-9471-47F3-BA76-47763400B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C810E1F7-DCDF-4E6D-878C-E38C8E3EB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A863BB05-1B2A-4417-9479-93F95565F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F1F03764-E2B1-4691-AAA9-052140FBE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C69DA589-78A9-45D8-BB44-2EE7B75D0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D22E6848-6011-44C0-BD10-DB4B796D8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76200</xdr:colOff>
      <xdr:row>61</xdr:row>
      <xdr:rowOff>9526</xdr:rowOff>
    </xdr:from>
    <xdr:to>
      <xdr:col>6</xdr:col>
      <xdr:colOff>323850</xdr:colOff>
      <xdr:row>78</xdr:row>
      <xdr:rowOff>53767</xdr:rowOff>
    </xdr:to>
    <xdr:pic>
      <xdr:nvPicPr>
        <xdr:cNvPr id="3" name="Picture 2">
          <a:extLst>
            <a:ext uri="{FF2B5EF4-FFF2-40B4-BE49-F238E27FC236}">
              <a16:creationId xmlns:a16="http://schemas.microsoft.com/office/drawing/2014/main" id="{593C1301-58D3-44E3-A731-8DA92514BFBA}"/>
            </a:ext>
          </a:extLst>
        </xdr:cNvPr>
        <xdr:cNvPicPr>
          <a:picLocks noChangeAspect="1"/>
        </xdr:cNvPicPr>
      </xdr:nvPicPr>
      <xdr:blipFill>
        <a:blip xmlns:r="http://schemas.openxmlformats.org/officeDocument/2006/relationships" r:embed="rId1"/>
        <a:stretch>
          <a:fillRect/>
        </a:stretch>
      </xdr:blipFill>
      <xdr:spPr>
        <a:xfrm>
          <a:off x="190500" y="8267701"/>
          <a:ext cx="4591050" cy="24731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142875</xdr:colOff>
      <xdr:row>147</xdr:row>
      <xdr:rowOff>57150</xdr:rowOff>
    </xdr:from>
    <xdr:to>
      <xdr:col>28</xdr:col>
      <xdr:colOff>104775</xdr:colOff>
      <xdr:row>186</xdr:row>
      <xdr:rowOff>130695</xdr:rowOff>
    </xdr:to>
    <xdr:pic>
      <xdr:nvPicPr>
        <xdr:cNvPr id="3" name="Picture 2">
          <a:extLst>
            <a:ext uri="{FF2B5EF4-FFF2-40B4-BE49-F238E27FC236}">
              <a16:creationId xmlns:a16="http://schemas.microsoft.com/office/drawing/2014/main" id="{E90D747E-6811-440C-8847-BBCFA1AE01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6425" y="23631525"/>
          <a:ext cx="7886700" cy="5645670"/>
        </a:xfrm>
        <a:prstGeom prst="rect">
          <a:avLst/>
        </a:prstGeom>
      </xdr:spPr>
    </xdr:pic>
    <xdr:clientData/>
  </xdr:twoCellAnchor>
  <xdr:twoCellAnchor editAs="oneCell">
    <xdr:from>
      <xdr:col>1</xdr:col>
      <xdr:colOff>49800</xdr:colOff>
      <xdr:row>147</xdr:row>
      <xdr:rowOff>47626</xdr:rowOff>
    </xdr:from>
    <xdr:to>
      <xdr:col>14</xdr:col>
      <xdr:colOff>1401</xdr:colOff>
      <xdr:row>184</xdr:row>
      <xdr:rowOff>133351</xdr:rowOff>
    </xdr:to>
    <xdr:pic>
      <xdr:nvPicPr>
        <xdr:cNvPr id="5" name="Picture 4">
          <a:extLst>
            <a:ext uri="{FF2B5EF4-FFF2-40B4-BE49-F238E27FC236}">
              <a16:creationId xmlns:a16="http://schemas.microsoft.com/office/drawing/2014/main" id="{77A53D7D-9E05-4513-8A02-C237CF4BDD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9400" y="23622001"/>
          <a:ext cx="8514576" cy="537210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0.10037</cdr:x>
      <cdr:y>0.46744</cdr:y>
    </cdr:from>
    <cdr:to>
      <cdr:x>0.4947</cdr:x>
      <cdr:y>0.77058</cdr:y>
    </cdr:to>
    <cdr:sp macro="" textlink="">
      <cdr:nvSpPr>
        <cdr:cNvPr id="2" name="Rectangle 1">
          <a:extLst xmlns:a="http://schemas.openxmlformats.org/drawingml/2006/main">
            <a:ext uri="{FF2B5EF4-FFF2-40B4-BE49-F238E27FC236}">
              <a16:creationId xmlns:a16="http://schemas.microsoft.com/office/drawing/2014/main" id="{CB95B00D-48ED-CFF4-1651-F77AE267881A}"/>
            </a:ext>
          </a:extLst>
        </cdr:cNvPr>
        <cdr:cNvSpPr/>
      </cdr:nvSpPr>
      <cdr:spPr>
        <a:xfrm xmlns:a="http://schemas.openxmlformats.org/drawingml/2006/main">
          <a:off x="684182" y="1354542"/>
          <a:ext cx="2688167" cy="878417"/>
        </a:xfrm>
        <a:prstGeom xmlns:a="http://schemas.openxmlformats.org/drawingml/2006/main" prst="rect">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0.51047</cdr:x>
      <cdr:y>0.20448</cdr:y>
    </cdr:from>
    <cdr:to>
      <cdr:x>0.96511</cdr:x>
      <cdr:y>0.45215</cdr:y>
    </cdr:to>
    <cdr:sp macro="" textlink="">
      <cdr:nvSpPr>
        <cdr:cNvPr id="3" name="Rectangle 2">
          <a:extLst xmlns:a="http://schemas.openxmlformats.org/drawingml/2006/main">
            <a:ext uri="{FF2B5EF4-FFF2-40B4-BE49-F238E27FC236}">
              <a16:creationId xmlns:a16="http://schemas.microsoft.com/office/drawing/2014/main" id="{C6F4540C-43A3-132E-1621-621EFBC426C4}"/>
            </a:ext>
          </a:extLst>
        </cdr:cNvPr>
        <cdr:cNvSpPr/>
      </cdr:nvSpPr>
      <cdr:spPr>
        <a:xfrm xmlns:a="http://schemas.openxmlformats.org/drawingml/2006/main">
          <a:off x="3479800" y="592542"/>
          <a:ext cx="3099298" cy="717675"/>
        </a:xfrm>
        <a:prstGeom xmlns:a="http://schemas.openxmlformats.org/drawingml/2006/main" prst="rect">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0.64553</cdr:x>
      <cdr:y>0.11614</cdr:y>
    </cdr:from>
    <cdr:to>
      <cdr:x>0.84153</cdr:x>
      <cdr:y>0.20744</cdr:y>
    </cdr:to>
    <cdr:sp macro="" textlink="">
      <cdr:nvSpPr>
        <cdr:cNvPr id="4" name="TextBox 7">
          <a:extLst xmlns:a="http://schemas.openxmlformats.org/drawingml/2006/main">
            <a:ext uri="{FF2B5EF4-FFF2-40B4-BE49-F238E27FC236}">
              <a16:creationId xmlns:a16="http://schemas.microsoft.com/office/drawing/2014/main" id="{D1C74C76-EBE0-5345-4BBA-EDDBDB984004}"/>
            </a:ext>
          </a:extLst>
        </cdr:cNvPr>
        <cdr:cNvSpPr txBox="1"/>
      </cdr:nvSpPr>
      <cdr:spPr>
        <a:xfrm xmlns:a="http://schemas.openxmlformats.org/drawingml/2006/main">
          <a:off x="4400550" y="336550"/>
          <a:ext cx="1336071"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t>Post-2012 Avg. 8.0x</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2</xdr:col>
      <xdr:colOff>266701</xdr:colOff>
      <xdr:row>28</xdr:row>
      <xdr:rowOff>76201</xdr:rowOff>
    </xdr:from>
    <xdr:to>
      <xdr:col>11</xdr:col>
      <xdr:colOff>317501</xdr:colOff>
      <xdr:row>69</xdr:row>
      <xdr:rowOff>86026</xdr:rowOff>
    </xdr:to>
    <xdr:pic>
      <xdr:nvPicPr>
        <xdr:cNvPr id="3" name="Picture 2">
          <a:extLst>
            <a:ext uri="{FF2B5EF4-FFF2-40B4-BE49-F238E27FC236}">
              <a16:creationId xmlns:a16="http://schemas.microsoft.com/office/drawing/2014/main" id="{E7672630-2E67-4132-B301-4AD6A50E6B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3" t="-124" r="1208" b="2574"/>
        <a:stretch/>
      </xdr:blipFill>
      <xdr:spPr>
        <a:xfrm>
          <a:off x="1004889" y="3854451"/>
          <a:ext cx="6456362" cy="5542263"/>
        </a:xfrm>
        <a:prstGeom prst="rect">
          <a:avLst/>
        </a:prstGeom>
      </xdr:spPr>
    </xdr:pic>
    <xdr:clientData/>
  </xdr:twoCellAnchor>
  <xdr:twoCellAnchor editAs="oneCell">
    <xdr:from>
      <xdr:col>2</xdr:col>
      <xdr:colOff>217171</xdr:colOff>
      <xdr:row>72</xdr:row>
      <xdr:rowOff>47626</xdr:rowOff>
    </xdr:from>
    <xdr:to>
      <xdr:col>14</xdr:col>
      <xdr:colOff>290943</xdr:colOff>
      <xdr:row>105</xdr:row>
      <xdr:rowOff>69171</xdr:rowOff>
    </xdr:to>
    <xdr:pic>
      <xdr:nvPicPr>
        <xdr:cNvPr id="5" name="Picture 4">
          <a:extLst>
            <a:ext uri="{FF2B5EF4-FFF2-40B4-BE49-F238E27FC236}">
              <a16:creationId xmlns:a16="http://schemas.microsoft.com/office/drawing/2014/main" id="{A8F21A2D-5263-4E38-98BB-DE59D7046F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5359" y="9763126"/>
          <a:ext cx="8312897" cy="4474483"/>
        </a:xfrm>
        <a:prstGeom prst="rect">
          <a:avLst/>
        </a:prstGeom>
      </xdr:spPr>
    </xdr:pic>
    <xdr:clientData/>
  </xdr:twoCellAnchor>
  <xdr:twoCellAnchor editAs="oneCell">
    <xdr:from>
      <xdr:col>19</xdr:col>
      <xdr:colOff>28575</xdr:colOff>
      <xdr:row>28</xdr:row>
      <xdr:rowOff>123824</xdr:rowOff>
    </xdr:from>
    <xdr:to>
      <xdr:col>29</xdr:col>
      <xdr:colOff>246598</xdr:colOff>
      <xdr:row>76</xdr:row>
      <xdr:rowOff>626</xdr:rowOff>
    </xdr:to>
    <xdr:pic>
      <xdr:nvPicPr>
        <xdr:cNvPr id="4" name="Picture 3">
          <a:extLst>
            <a:ext uri="{FF2B5EF4-FFF2-40B4-BE49-F238E27FC236}">
              <a16:creationId xmlns:a16="http://schemas.microsoft.com/office/drawing/2014/main" id="{EC23C1C0-1137-415C-BEAA-DCA5B89A0A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91775" y="5267324"/>
          <a:ext cx="6327993" cy="67138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590551</xdr:colOff>
      <xdr:row>22</xdr:row>
      <xdr:rowOff>101600</xdr:rowOff>
    </xdr:from>
    <xdr:to>
      <xdr:col>13</xdr:col>
      <xdr:colOff>523876</xdr:colOff>
      <xdr:row>65</xdr:row>
      <xdr:rowOff>59684</xdr:rowOff>
    </xdr:to>
    <xdr:pic>
      <xdr:nvPicPr>
        <xdr:cNvPr id="3" name="Picture 2">
          <a:extLst>
            <a:ext uri="{FF2B5EF4-FFF2-40B4-BE49-F238E27FC236}">
              <a16:creationId xmlns:a16="http://schemas.microsoft.com/office/drawing/2014/main" id="{E37AD8EA-E713-427D-8893-DE203B78C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1201" y="3175000"/>
          <a:ext cx="7724775" cy="5965184"/>
        </a:xfrm>
        <a:prstGeom prst="rect">
          <a:avLst/>
        </a:prstGeom>
      </xdr:spPr>
    </xdr:pic>
    <xdr:clientData/>
  </xdr:twoCellAnchor>
  <xdr:twoCellAnchor editAs="oneCell">
    <xdr:from>
      <xdr:col>20</xdr:col>
      <xdr:colOff>304800</xdr:colOff>
      <xdr:row>24</xdr:row>
      <xdr:rowOff>92125</xdr:rowOff>
    </xdr:from>
    <xdr:to>
      <xdr:col>29</xdr:col>
      <xdr:colOff>447675</xdr:colOff>
      <xdr:row>67</xdr:row>
      <xdr:rowOff>19744</xdr:rowOff>
    </xdr:to>
    <xdr:pic>
      <xdr:nvPicPr>
        <xdr:cNvPr id="4" name="Picture 3">
          <a:extLst>
            <a:ext uri="{FF2B5EF4-FFF2-40B4-BE49-F238E27FC236}">
              <a16:creationId xmlns:a16="http://schemas.microsoft.com/office/drawing/2014/main" id="{2679BF74-E648-4AA0-B1DA-989ADF2FF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77600" y="3521125"/>
          <a:ext cx="5629275" cy="60712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561975</xdr:colOff>
      <xdr:row>22</xdr:row>
      <xdr:rowOff>66675</xdr:rowOff>
    </xdr:from>
    <xdr:to>
      <xdr:col>15</xdr:col>
      <xdr:colOff>220278</xdr:colOff>
      <xdr:row>73</xdr:row>
      <xdr:rowOff>10534</xdr:rowOff>
    </xdr:to>
    <xdr:pic>
      <xdr:nvPicPr>
        <xdr:cNvPr id="3" name="Picture 2">
          <a:extLst>
            <a:ext uri="{FF2B5EF4-FFF2-40B4-BE49-F238E27FC236}">
              <a16:creationId xmlns:a16="http://schemas.microsoft.com/office/drawing/2014/main" id="{7CFF4E3A-59A9-402B-8A93-4B3AF5799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3209925"/>
          <a:ext cx="8621328" cy="7230484"/>
        </a:xfrm>
        <a:prstGeom prst="rect">
          <a:avLst/>
        </a:prstGeom>
      </xdr:spPr>
    </xdr:pic>
    <xdr:clientData/>
  </xdr:twoCellAnchor>
  <xdr:twoCellAnchor editAs="oneCell">
    <xdr:from>
      <xdr:col>18</xdr:col>
      <xdr:colOff>457200</xdr:colOff>
      <xdr:row>24</xdr:row>
      <xdr:rowOff>133349</xdr:rowOff>
    </xdr:from>
    <xdr:to>
      <xdr:col>27</xdr:col>
      <xdr:colOff>361950</xdr:colOff>
      <xdr:row>69</xdr:row>
      <xdr:rowOff>23851</xdr:rowOff>
    </xdr:to>
    <xdr:pic>
      <xdr:nvPicPr>
        <xdr:cNvPr id="6" name="Picture 5">
          <a:extLst>
            <a:ext uri="{FF2B5EF4-FFF2-40B4-BE49-F238E27FC236}">
              <a16:creationId xmlns:a16="http://schemas.microsoft.com/office/drawing/2014/main" id="{DE4A75FB-70F8-4831-AF90-5812E40FE2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20400" y="3562349"/>
          <a:ext cx="5391150" cy="6319877"/>
        </a:xfrm>
        <a:prstGeom prst="rect">
          <a:avLst/>
        </a:prstGeom>
      </xdr:spPr>
    </xdr:pic>
    <xdr:clientData/>
  </xdr:twoCellAnchor>
  <xdr:twoCellAnchor editAs="oneCell">
    <xdr:from>
      <xdr:col>19</xdr:col>
      <xdr:colOff>250140</xdr:colOff>
      <xdr:row>70</xdr:row>
      <xdr:rowOff>38100</xdr:rowOff>
    </xdr:from>
    <xdr:to>
      <xdr:col>27</xdr:col>
      <xdr:colOff>457200</xdr:colOff>
      <xdr:row>90</xdr:row>
      <xdr:rowOff>104775</xdr:rowOff>
    </xdr:to>
    <xdr:pic>
      <xdr:nvPicPr>
        <xdr:cNvPr id="4" name="Picture 3">
          <a:extLst>
            <a:ext uri="{FF2B5EF4-FFF2-40B4-BE49-F238E27FC236}">
              <a16:creationId xmlns:a16="http://schemas.microsoft.com/office/drawing/2014/main" id="{51FD2352-E4BC-4CF5-911F-EA4C91B83C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65865" y="10039350"/>
          <a:ext cx="5083860" cy="2924175"/>
        </a:xfrm>
        <a:prstGeom prst="rect">
          <a:avLst/>
        </a:prstGeom>
      </xdr:spPr>
    </xdr:pic>
    <xdr:clientData/>
  </xdr:twoCellAnchor>
  <xdr:twoCellAnchor editAs="oneCell">
    <xdr:from>
      <xdr:col>19</xdr:col>
      <xdr:colOff>276225</xdr:colOff>
      <xdr:row>93</xdr:row>
      <xdr:rowOff>95250</xdr:rowOff>
    </xdr:from>
    <xdr:to>
      <xdr:col>25</xdr:col>
      <xdr:colOff>419100</xdr:colOff>
      <xdr:row>106</xdr:row>
      <xdr:rowOff>76457</xdr:rowOff>
    </xdr:to>
    <xdr:pic>
      <xdr:nvPicPr>
        <xdr:cNvPr id="5" name="Picture 4">
          <a:extLst>
            <a:ext uri="{FF2B5EF4-FFF2-40B4-BE49-F238E27FC236}">
              <a16:creationId xmlns:a16="http://schemas.microsoft.com/office/drawing/2014/main" id="{F2110ED7-D7E3-432D-8531-EFB01E38AAF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8709"/>
        <a:stretch/>
      </xdr:blipFill>
      <xdr:spPr>
        <a:xfrm>
          <a:off x="11791950" y="13382625"/>
          <a:ext cx="3800475" cy="1838582"/>
        </a:xfrm>
        <a:prstGeom prst="rect">
          <a:avLst/>
        </a:prstGeom>
      </xdr:spPr>
    </xdr:pic>
    <xdr:clientData/>
  </xdr:twoCellAnchor>
  <xdr:twoCellAnchor editAs="oneCell">
    <xdr:from>
      <xdr:col>19</xdr:col>
      <xdr:colOff>314325</xdr:colOff>
      <xdr:row>105</xdr:row>
      <xdr:rowOff>28575</xdr:rowOff>
    </xdr:from>
    <xdr:to>
      <xdr:col>25</xdr:col>
      <xdr:colOff>361487</xdr:colOff>
      <xdr:row>129</xdr:row>
      <xdr:rowOff>37670</xdr:rowOff>
    </xdr:to>
    <xdr:pic>
      <xdr:nvPicPr>
        <xdr:cNvPr id="7" name="Picture 6">
          <a:extLst>
            <a:ext uri="{FF2B5EF4-FFF2-40B4-BE49-F238E27FC236}">
              <a16:creationId xmlns:a16="http://schemas.microsoft.com/office/drawing/2014/main" id="{073C9E66-6BE9-4C90-A046-A83A63E2B2CC}"/>
            </a:ext>
          </a:extLst>
        </xdr:cNvPr>
        <xdr:cNvPicPr>
          <a:picLocks noChangeAspect="1"/>
        </xdr:cNvPicPr>
      </xdr:nvPicPr>
      <xdr:blipFill>
        <a:blip xmlns:r="http://schemas.openxmlformats.org/officeDocument/2006/relationships" r:embed="rId5"/>
        <a:stretch>
          <a:fillRect/>
        </a:stretch>
      </xdr:blipFill>
      <xdr:spPr>
        <a:xfrm>
          <a:off x="11830050" y="15173325"/>
          <a:ext cx="3704762" cy="34380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514350</xdr:colOff>
      <xdr:row>16</xdr:row>
      <xdr:rowOff>123825</xdr:rowOff>
    </xdr:from>
    <xdr:to>
      <xdr:col>15</xdr:col>
      <xdr:colOff>229811</xdr:colOff>
      <xdr:row>62</xdr:row>
      <xdr:rowOff>67584</xdr:rowOff>
    </xdr:to>
    <xdr:pic>
      <xdr:nvPicPr>
        <xdr:cNvPr id="3" name="Picture 2">
          <a:extLst>
            <a:ext uri="{FF2B5EF4-FFF2-40B4-BE49-F238E27FC236}">
              <a16:creationId xmlns:a16="http://schemas.microsoft.com/office/drawing/2014/main" id="{55BFDBF6-4C33-453E-80C9-79E49B4D9E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 y="2409825"/>
          <a:ext cx="8678486" cy="65160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598487</xdr:colOff>
      <xdr:row>674</xdr:row>
      <xdr:rowOff>92075</xdr:rowOff>
    </xdr:from>
    <xdr:to>
      <xdr:col>58</xdr:col>
      <xdr:colOff>46037</xdr:colOff>
      <xdr:row>686</xdr:row>
      <xdr:rowOff>9525</xdr:rowOff>
    </xdr:to>
    <xdr:graphicFrame macro="">
      <xdr:nvGraphicFramePr>
        <xdr:cNvPr id="3" name="Chart 2">
          <a:extLst>
            <a:ext uri="{FF2B5EF4-FFF2-40B4-BE49-F238E27FC236}">
              <a16:creationId xmlns:a16="http://schemas.microsoft.com/office/drawing/2014/main" id="{9C697A35-AAF6-7C4C-48DB-6917615FD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703262</xdr:colOff>
      <xdr:row>690</xdr:row>
      <xdr:rowOff>53975</xdr:rowOff>
    </xdr:from>
    <xdr:to>
      <xdr:col>56</xdr:col>
      <xdr:colOff>144462</xdr:colOff>
      <xdr:row>701</xdr:row>
      <xdr:rowOff>0</xdr:rowOff>
    </xdr:to>
    <xdr:graphicFrame macro="">
      <xdr:nvGraphicFramePr>
        <xdr:cNvPr id="4" name="Chart 3">
          <a:extLst>
            <a:ext uri="{FF2B5EF4-FFF2-40B4-BE49-F238E27FC236}">
              <a16:creationId xmlns:a16="http://schemas.microsoft.com/office/drawing/2014/main" id="{2309A91B-EEAA-4511-22F6-25D3C4B95B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571500</xdr:colOff>
      <xdr:row>659</xdr:row>
      <xdr:rowOff>104775</xdr:rowOff>
    </xdr:from>
    <xdr:to>
      <xdr:col>60</xdr:col>
      <xdr:colOff>34925</xdr:colOff>
      <xdr:row>673</xdr:row>
      <xdr:rowOff>22225</xdr:rowOff>
    </xdr:to>
    <xdr:graphicFrame macro="">
      <xdr:nvGraphicFramePr>
        <xdr:cNvPr id="5" name="Chart 4">
          <a:extLst>
            <a:ext uri="{FF2B5EF4-FFF2-40B4-BE49-F238E27FC236}">
              <a16:creationId xmlns:a16="http://schemas.microsoft.com/office/drawing/2014/main" id="{ABBD2009-56B3-4BCC-4798-DA1FD66692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50</xdr:col>
      <xdr:colOff>182415</xdr:colOff>
      <xdr:row>459</xdr:row>
      <xdr:rowOff>44937</xdr:rowOff>
    </xdr:from>
    <xdr:to>
      <xdr:col>61</xdr:col>
      <xdr:colOff>580878</xdr:colOff>
      <xdr:row>490</xdr:row>
      <xdr:rowOff>79117</xdr:rowOff>
    </xdr:to>
    <xdr:pic>
      <xdr:nvPicPr>
        <xdr:cNvPr id="6" name="Picture 5">
          <a:extLst>
            <a:ext uri="{FF2B5EF4-FFF2-40B4-BE49-F238E27FC236}">
              <a16:creationId xmlns:a16="http://schemas.microsoft.com/office/drawing/2014/main" id="{F87745A3-C57F-29B2-5B85-6FE46B5394D8}"/>
            </a:ext>
          </a:extLst>
        </xdr:cNvPr>
        <xdr:cNvPicPr>
          <a:picLocks noChangeAspect="1"/>
        </xdr:cNvPicPr>
      </xdr:nvPicPr>
      <xdr:blipFill>
        <a:blip xmlns:r="http://schemas.openxmlformats.org/officeDocument/2006/relationships" r:embed="rId4"/>
        <a:stretch>
          <a:fillRect/>
        </a:stretch>
      </xdr:blipFill>
      <xdr:spPr>
        <a:xfrm>
          <a:off x="34481940" y="53908812"/>
          <a:ext cx="7941628" cy="4297570"/>
        </a:xfrm>
        <a:prstGeom prst="rect">
          <a:avLst/>
        </a:prstGeom>
      </xdr:spPr>
    </xdr:pic>
    <xdr:clientData/>
  </xdr:twoCellAnchor>
  <xdr:twoCellAnchor editAs="oneCell">
    <xdr:from>
      <xdr:col>50</xdr:col>
      <xdr:colOff>511175</xdr:colOff>
      <xdr:row>430</xdr:row>
      <xdr:rowOff>123824</xdr:rowOff>
    </xdr:from>
    <xdr:to>
      <xdr:col>56</xdr:col>
      <xdr:colOff>94346</xdr:colOff>
      <xdr:row>456</xdr:row>
      <xdr:rowOff>57929</xdr:rowOff>
    </xdr:to>
    <xdr:pic>
      <xdr:nvPicPr>
        <xdr:cNvPr id="7" name="Picture 6">
          <a:extLst>
            <a:ext uri="{FF2B5EF4-FFF2-40B4-BE49-F238E27FC236}">
              <a16:creationId xmlns:a16="http://schemas.microsoft.com/office/drawing/2014/main" id="{5743077C-8C8B-B552-DA7A-421A81BB93B7}"/>
            </a:ext>
          </a:extLst>
        </xdr:cNvPr>
        <xdr:cNvPicPr>
          <a:picLocks noChangeAspect="1"/>
        </xdr:cNvPicPr>
      </xdr:nvPicPr>
      <xdr:blipFill>
        <a:blip xmlns:r="http://schemas.openxmlformats.org/officeDocument/2006/relationships" r:embed="rId5"/>
        <a:stretch>
          <a:fillRect/>
        </a:stretch>
      </xdr:blipFill>
      <xdr:spPr>
        <a:xfrm>
          <a:off x="39763700" y="46748699"/>
          <a:ext cx="3640821" cy="3569480"/>
        </a:xfrm>
        <a:prstGeom prst="rect">
          <a:avLst/>
        </a:prstGeom>
        <a:ln>
          <a:solidFill>
            <a:sysClr val="windowText" lastClr="000000"/>
          </a:solidFill>
        </a:ln>
      </xdr:spPr>
    </xdr:pic>
    <xdr:clientData/>
  </xdr:twoCellAnchor>
  <xdr:twoCellAnchor editAs="oneCell">
    <xdr:from>
      <xdr:col>56</xdr:col>
      <xdr:colOff>187840</xdr:colOff>
      <xdr:row>430</xdr:row>
      <xdr:rowOff>101601</xdr:rowOff>
    </xdr:from>
    <xdr:to>
      <xdr:col>61</xdr:col>
      <xdr:colOff>1</xdr:colOff>
      <xdr:row>456</xdr:row>
      <xdr:rowOff>92504</xdr:rowOff>
    </xdr:to>
    <xdr:pic>
      <xdr:nvPicPr>
        <xdr:cNvPr id="8" name="Picture 7">
          <a:extLst>
            <a:ext uri="{FF2B5EF4-FFF2-40B4-BE49-F238E27FC236}">
              <a16:creationId xmlns:a16="http://schemas.microsoft.com/office/drawing/2014/main" id="{9B4E6ECF-FB11-BF97-6612-72A44C4DABB9}"/>
            </a:ext>
          </a:extLst>
        </xdr:cNvPr>
        <xdr:cNvPicPr>
          <a:picLocks noChangeAspect="1"/>
        </xdr:cNvPicPr>
      </xdr:nvPicPr>
      <xdr:blipFill>
        <a:blip xmlns:r="http://schemas.openxmlformats.org/officeDocument/2006/relationships" r:embed="rId6"/>
        <a:stretch>
          <a:fillRect/>
        </a:stretch>
      </xdr:blipFill>
      <xdr:spPr>
        <a:xfrm>
          <a:off x="39121278" y="50441226"/>
          <a:ext cx="3225286" cy="3602148"/>
        </a:xfrm>
        <a:prstGeom prst="rect">
          <a:avLst/>
        </a:prstGeom>
        <a:ln>
          <a:solidFill>
            <a:sysClr val="windowText" lastClr="000000"/>
          </a:solidFill>
        </a:ln>
      </xdr:spPr>
    </xdr:pic>
    <xdr:clientData/>
  </xdr:twoCellAnchor>
  <xdr:twoCellAnchor editAs="oneCell">
    <xdr:from>
      <xdr:col>51</xdr:col>
      <xdr:colOff>73025</xdr:colOff>
      <xdr:row>290</xdr:row>
      <xdr:rowOff>75535</xdr:rowOff>
    </xdr:from>
    <xdr:to>
      <xdr:col>58</xdr:col>
      <xdr:colOff>512076</xdr:colOff>
      <xdr:row>300</xdr:row>
      <xdr:rowOff>98201</xdr:rowOff>
    </xdr:to>
    <xdr:pic>
      <xdr:nvPicPr>
        <xdr:cNvPr id="9" name="Picture 8" descr="https://www.bayer.com/sites/default/files/2022-11/bayer-quarterly-statement-q3-2022.pdf">
          <a:extLst>
            <a:ext uri="{FF2B5EF4-FFF2-40B4-BE49-F238E27FC236}">
              <a16:creationId xmlns:a16="http://schemas.microsoft.com/office/drawing/2014/main" id="{B21789B4-CE07-EA45-E970-D55469C27677}"/>
            </a:ext>
          </a:extLst>
        </xdr:cNvPr>
        <xdr:cNvPicPr>
          <a:picLocks noChangeAspect="1"/>
        </xdr:cNvPicPr>
      </xdr:nvPicPr>
      <xdr:blipFill>
        <a:blip xmlns:r="http://schemas.openxmlformats.org/officeDocument/2006/relationships" r:embed="rId7"/>
        <a:stretch>
          <a:fillRect/>
        </a:stretch>
      </xdr:blipFill>
      <xdr:spPr>
        <a:xfrm>
          <a:off x="40106600" y="35908585"/>
          <a:ext cx="5167261" cy="1379026"/>
        </a:xfrm>
        <a:prstGeom prst="rect">
          <a:avLst/>
        </a:prstGeom>
        <a:ln>
          <a:solidFill>
            <a:sysClr val="windowText" lastClr="000000"/>
          </a:solidFill>
        </a:ln>
      </xdr:spPr>
    </xdr:pic>
    <xdr:clientData/>
  </xdr:twoCellAnchor>
  <xdr:twoCellAnchor editAs="oneCell">
    <xdr:from>
      <xdr:col>51</xdr:col>
      <xdr:colOff>57715</xdr:colOff>
      <xdr:row>247</xdr:row>
      <xdr:rowOff>95249</xdr:rowOff>
    </xdr:from>
    <xdr:to>
      <xdr:col>56</xdr:col>
      <xdr:colOff>454158</xdr:colOff>
      <xdr:row>281</xdr:row>
      <xdr:rowOff>56230</xdr:rowOff>
    </xdr:to>
    <xdr:pic>
      <xdr:nvPicPr>
        <xdr:cNvPr id="11" name="Picture 10">
          <a:extLst>
            <a:ext uri="{FF2B5EF4-FFF2-40B4-BE49-F238E27FC236}">
              <a16:creationId xmlns:a16="http://schemas.microsoft.com/office/drawing/2014/main" id="{18EA65ED-020A-504E-819E-FFA502548E89}"/>
            </a:ext>
          </a:extLst>
        </xdr:cNvPr>
        <xdr:cNvPicPr>
          <a:picLocks noChangeAspect="1"/>
        </xdr:cNvPicPr>
      </xdr:nvPicPr>
      <xdr:blipFill>
        <a:blip xmlns:r="http://schemas.openxmlformats.org/officeDocument/2006/relationships" r:embed="rId8"/>
        <a:stretch>
          <a:fillRect/>
        </a:stretch>
      </xdr:blipFill>
      <xdr:spPr>
        <a:xfrm>
          <a:off x="40091290" y="31022924"/>
          <a:ext cx="3762578" cy="4830161"/>
        </a:xfrm>
        <a:prstGeom prst="rect">
          <a:avLst/>
        </a:prstGeom>
        <a:ln>
          <a:solidFill>
            <a:sysClr val="windowText" lastClr="000000"/>
          </a:solidFill>
        </a:ln>
      </xdr:spPr>
    </xdr:pic>
    <xdr:clientData/>
  </xdr:twoCellAnchor>
  <xdr:twoCellAnchor editAs="oneCell">
    <xdr:from>
      <xdr:col>51</xdr:col>
      <xdr:colOff>0</xdr:colOff>
      <xdr:row>350</xdr:row>
      <xdr:rowOff>0</xdr:rowOff>
    </xdr:from>
    <xdr:to>
      <xdr:col>55</xdr:col>
      <xdr:colOff>457200</xdr:colOff>
      <xdr:row>378</xdr:row>
      <xdr:rowOff>18131</xdr:rowOff>
    </xdr:to>
    <xdr:pic>
      <xdr:nvPicPr>
        <xdr:cNvPr id="12" name="Picture 11">
          <a:extLst>
            <a:ext uri="{FF2B5EF4-FFF2-40B4-BE49-F238E27FC236}">
              <a16:creationId xmlns:a16="http://schemas.microsoft.com/office/drawing/2014/main" id="{C6529858-1E8E-B5A4-ADC9-C2E39ED6363B}"/>
            </a:ext>
          </a:extLst>
        </xdr:cNvPr>
        <xdr:cNvPicPr>
          <a:picLocks noChangeAspect="1"/>
        </xdr:cNvPicPr>
      </xdr:nvPicPr>
      <xdr:blipFill>
        <a:blip xmlns:r="http://schemas.openxmlformats.org/officeDocument/2006/relationships" r:embed="rId9"/>
        <a:stretch>
          <a:fillRect/>
        </a:stretch>
      </xdr:blipFill>
      <xdr:spPr>
        <a:xfrm>
          <a:off x="40033575" y="39919275"/>
          <a:ext cx="3162300" cy="4013551"/>
        </a:xfrm>
        <a:prstGeom prst="rect">
          <a:avLst/>
        </a:prstGeom>
        <a:ln>
          <a:solidFill>
            <a:sysClr val="windowText" lastClr="000000"/>
          </a:solidFill>
        </a:ln>
      </xdr:spPr>
    </xdr:pic>
    <xdr:clientData/>
  </xdr:twoCellAnchor>
  <xdr:twoCellAnchor editAs="oneCell">
    <xdr:from>
      <xdr:col>55</xdr:col>
      <xdr:colOff>512762</xdr:colOff>
      <xdr:row>350</xdr:row>
      <xdr:rowOff>7938</xdr:rowOff>
    </xdr:from>
    <xdr:to>
      <xdr:col>61</xdr:col>
      <xdr:colOff>603</xdr:colOff>
      <xdr:row>378</xdr:row>
      <xdr:rowOff>28592</xdr:rowOff>
    </xdr:to>
    <xdr:pic>
      <xdr:nvPicPr>
        <xdr:cNvPr id="13" name="Picture 12">
          <a:extLst>
            <a:ext uri="{FF2B5EF4-FFF2-40B4-BE49-F238E27FC236}">
              <a16:creationId xmlns:a16="http://schemas.microsoft.com/office/drawing/2014/main" id="{11B2DB09-BD98-8DC9-1288-5BB6E6CC5328}"/>
            </a:ext>
          </a:extLst>
        </xdr:cNvPr>
        <xdr:cNvPicPr>
          <a:picLocks noChangeAspect="1"/>
        </xdr:cNvPicPr>
      </xdr:nvPicPr>
      <xdr:blipFill>
        <a:blip xmlns:r="http://schemas.openxmlformats.org/officeDocument/2006/relationships" r:embed="rId10"/>
        <a:stretch>
          <a:fillRect/>
        </a:stretch>
      </xdr:blipFill>
      <xdr:spPr>
        <a:xfrm>
          <a:off x="38927087" y="41641713"/>
          <a:ext cx="3575971" cy="4020519"/>
        </a:xfrm>
        <a:prstGeom prst="rect">
          <a:avLst/>
        </a:prstGeom>
        <a:ln>
          <a:solidFill>
            <a:sysClr val="windowText" lastClr="000000"/>
          </a:solidFill>
        </a:ln>
      </xdr:spPr>
    </xdr:pic>
    <xdr:clientData/>
  </xdr:twoCellAnchor>
  <xdr:twoCellAnchor editAs="oneCell">
    <xdr:from>
      <xdr:col>50</xdr:col>
      <xdr:colOff>657224</xdr:colOff>
      <xdr:row>510</xdr:row>
      <xdr:rowOff>63500</xdr:rowOff>
    </xdr:from>
    <xdr:to>
      <xdr:col>56</xdr:col>
      <xdr:colOff>436256</xdr:colOff>
      <xdr:row>533</xdr:row>
      <xdr:rowOff>57785</xdr:rowOff>
    </xdr:to>
    <xdr:pic>
      <xdr:nvPicPr>
        <xdr:cNvPr id="14" name="Picture 13">
          <a:extLst>
            <a:ext uri="{FF2B5EF4-FFF2-40B4-BE49-F238E27FC236}">
              <a16:creationId xmlns:a16="http://schemas.microsoft.com/office/drawing/2014/main" id="{61F9D965-E725-9B9E-9EB7-B6B3179A6B64}"/>
            </a:ext>
          </a:extLst>
        </xdr:cNvPr>
        <xdr:cNvPicPr>
          <a:picLocks noChangeAspect="1"/>
        </xdr:cNvPicPr>
      </xdr:nvPicPr>
      <xdr:blipFill>
        <a:blip xmlns:r="http://schemas.openxmlformats.org/officeDocument/2006/relationships" r:embed="rId11"/>
        <a:stretch>
          <a:fillRect/>
        </a:stretch>
      </xdr:blipFill>
      <xdr:spPr>
        <a:xfrm>
          <a:off x="39909749" y="53613050"/>
          <a:ext cx="3840492" cy="3194050"/>
        </a:xfrm>
        <a:prstGeom prst="rect">
          <a:avLst/>
        </a:prstGeom>
      </xdr:spPr>
    </xdr:pic>
    <xdr:clientData/>
  </xdr:twoCellAnchor>
  <xdr:twoCellAnchor>
    <xdr:from>
      <xdr:col>62</xdr:col>
      <xdr:colOff>371476</xdr:colOff>
      <xdr:row>489</xdr:row>
      <xdr:rowOff>82556</xdr:rowOff>
    </xdr:from>
    <xdr:to>
      <xdr:col>68</xdr:col>
      <xdr:colOff>333376</xdr:colOff>
      <xdr:row>505</xdr:row>
      <xdr:rowOff>120650</xdr:rowOff>
    </xdr:to>
    <xdr:graphicFrame macro="">
      <xdr:nvGraphicFramePr>
        <xdr:cNvPr id="20" name="Chart 19">
          <a:extLst>
            <a:ext uri="{FF2B5EF4-FFF2-40B4-BE49-F238E27FC236}">
              <a16:creationId xmlns:a16="http://schemas.microsoft.com/office/drawing/2014/main" id="{B8B73344-B8E0-325B-B41C-E5245259D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56</xdr:col>
      <xdr:colOff>666750</xdr:colOff>
      <xdr:row>247</xdr:row>
      <xdr:rowOff>28575</xdr:rowOff>
    </xdr:from>
    <xdr:to>
      <xdr:col>61</xdr:col>
      <xdr:colOff>457200</xdr:colOff>
      <xdr:row>276</xdr:row>
      <xdr:rowOff>46313</xdr:rowOff>
    </xdr:to>
    <xdr:pic>
      <xdr:nvPicPr>
        <xdr:cNvPr id="2" name="Picture 1">
          <a:extLst>
            <a:ext uri="{FF2B5EF4-FFF2-40B4-BE49-F238E27FC236}">
              <a16:creationId xmlns:a16="http://schemas.microsoft.com/office/drawing/2014/main" id="{7A2182A9-AC14-3C3D-26FC-8784117124C2}"/>
            </a:ext>
          </a:extLst>
        </xdr:cNvPr>
        <xdr:cNvPicPr>
          <a:picLocks noChangeAspect="1"/>
        </xdr:cNvPicPr>
      </xdr:nvPicPr>
      <xdr:blipFill>
        <a:blip xmlns:r="http://schemas.openxmlformats.org/officeDocument/2006/relationships" r:embed="rId13"/>
        <a:stretch>
          <a:fillRect/>
        </a:stretch>
      </xdr:blipFill>
      <xdr:spPr>
        <a:xfrm>
          <a:off x="39081075" y="31746825"/>
          <a:ext cx="3219450" cy="4164288"/>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36</xdr:col>
      <xdr:colOff>446087</xdr:colOff>
      <xdr:row>51</xdr:row>
      <xdr:rowOff>74612</xdr:rowOff>
    </xdr:from>
    <xdr:to>
      <xdr:col>43</xdr:col>
      <xdr:colOff>563562</xdr:colOff>
      <xdr:row>73</xdr:row>
      <xdr:rowOff>58737</xdr:rowOff>
    </xdr:to>
    <xdr:graphicFrame macro="">
      <xdr:nvGraphicFramePr>
        <xdr:cNvPr id="3" name="Chart 2">
          <a:extLst>
            <a:ext uri="{FF2B5EF4-FFF2-40B4-BE49-F238E27FC236}">
              <a16:creationId xmlns:a16="http://schemas.microsoft.com/office/drawing/2014/main" id="{D4C6699E-880D-F4F9-E543-C1209BFD10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130</xdr:col>
      <xdr:colOff>704850</xdr:colOff>
      <xdr:row>43</xdr:row>
      <xdr:rowOff>9525</xdr:rowOff>
    </xdr:from>
    <xdr:to>
      <xdr:col>136</xdr:col>
      <xdr:colOff>647700</xdr:colOff>
      <xdr:row>64</xdr:row>
      <xdr:rowOff>38100</xdr:rowOff>
    </xdr:to>
    <xdr:graphicFrame macro="">
      <xdr:nvGraphicFramePr>
        <xdr:cNvPr id="4" name="Chart 3">
          <a:extLst>
            <a:ext uri="{FF2B5EF4-FFF2-40B4-BE49-F238E27FC236}">
              <a16:creationId xmlns:a16="http://schemas.microsoft.com/office/drawing/2014/main" id="{CBFB8BB3-E777-37A7-F871-80D5516460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612775</xdr:colOff>
      <xdr:row>30</xdr:row>
      <xdr:rowOff>6</xdr:rowOff>
    </xdr:from>
    <xdr:to>
      <xdr:col>51</xdr:col>
      <xdr:colOff>346075</xdr:colOff>
      <xdr:row>50</xdr:row>
      <xdr:rowOff>6356</xdr:rowOff>
    </xdr:to>
    <xdr:graphicFrame macro="">
      <xdr:nvGraphicFramePr>
        <xdr:cNvPr id="2" name="Chart 1">
          <a:extLst>
            <a:ext uri="{FF2B5EF4-FFF2-40B4-BE49-F238E27FC236}">
              <a16:creationId xmlns:a16="http://schemas.microsoft.com/office/drawing/2014/main" id="{318E2D49-629D-AC91-6CC7-25ECA01DE3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71437</xdr:colOff>
      <xdr:row>20</xdr:row>
      <xdr:rowOff>104775</xdr:rowOff>
    </xdr:from>
    <xdr:to>
      <xdr:col>16</xdr:col>
      <xdr:colOff>595312</xdr:colOff>
      <xdr:row>39</xdr:row>
      <xdr:rowOff>133350</xdr:rowOff>
    </xdr:to>
    <xdr:graphicFrame macro="">
      <xdr:nvGraphicFramePr>
        <xdr:cNvPr id="3" name="Chart 2">
          <a:extLst>
            <a:ext uri="{FF2B5EF4-FFF2-40B4-BE49-F238E27FC236}">
              <a16:creationId xmlns:a16="http://schemas.microsoft.com/office/drawing/2014/main" id="{8A42A171-D64D-D8EB-6F21-71546F46B3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219081</xdr:colOff>
      <xdr:row>92</xdr:row>
      <xdr:rowOff>25400</xdr:rowOff>
    </xdr:from>
    <xdr:to>
      <xdr:col>9</xdr:col>
      <xdr:colOff>739781</xdr:colOff>
      <xdr:row>112</xdr:row>
      <xdr:rowOff>101600</xdr:rowOff>
    </xdr:to>
    <xdr:graphicFrame macro="">
      <xdr:nvGraphicFramePr>
        <xdr:cNvPr id="5" name="Chart 4">
          <a:extLst>
            <a:ext uri="{FF2B5EF4-FFF2-40B4-BE49-F238E27FC236}">
              <a16:creationId xmlns:a16="http://schemas.microsoft.com/office/drawing/2014/main" id="{8ABD01E5-100C-83AA-4B58-47D515A51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95</xdr:row>
      <xdr:rowOff>0</xdr:rowOff>
    </xdr:from>
    <xdr:to>
      <xdr:col>16</xdr:col>
      <xdr:colOff>520700</xdr:colOff>
      <xdr:row>115</xdr:row>
      <xdr:rowOff>76200</xdr:rowOff>
    </xdr:to>
    <xdr:graphicFrame macro="">
      <xdr:nvGraphicFramePr>
        <xdr:cNvPr id="6" name="Chart 5">
          <a:extLst>
            <a:ext uri="{FF2B5EF4-FFF2-40B4-BE49-F238E27FC236}">
              <a16:creationId xmlns:a16="http://schemas.microsoft.com/office/drawing/2014/main" id="{BC7F3AF9-6105-44C4-B2CC-F4B46727E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28575</xdr:colOff>
      <xdr:row>72</xdr:row>
      <xdr:rowOff>47625</xdr:rowOff>
    </xdr:from>
    <xdr:to>
      <xdr:col>17</xdr:col>
      <xdr:colOff>552450</xdr:colOff>
      <xdr:row>92</xdr:row>
      <xdr:rowOff>123825</xdr:rowOff>
    </xdr:to>
    <xdr:graphicFrame macro="">
      <xdr:nvGraphicFramePr>
        <xdr:cNvPr id="7" name="Chart 6">
          <a:extLst>
            <a:ext uri="{FF2B5EF4-FFF2-40B4-BE49-F238E27FC236}">
              <a16:creationId xmlns:a16="http://schemas.microsoft.com/office/drawing/2014/main" id="{603515F6-39C9-4D59-8A71-CB58E4E2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0</xdr:colOff>
      <xdr:row>68</xdr:row>
      <xdr:rowOff>0</xdr:rowOff>
    </xdr:from>
    <xdr:to>
      <xdr:col>19</xdr:col>
      <xdr:colOff>304800</xdr:colOff>
      <xdr:row>69</xdr:row>
      <xdr:rowOff>149029</xdr:rowOff>
    </xdr:to>
    <xdr:sp macro="" textlink="">
      <xdr:nvSpPr>
        <xdr:cNvPr id="2060" name="AutoShape 12" descr="Differences">
          <a:extLst>
            <a:ext uri="{FF2B5EF4-FFF2-40B4-BE49-F238E27FC236}">
              <a16:creationId xmlns:a16="http://schemas.microsoft.com/office/drawing/2014/main" id="{002BD39A-B72D-C83D-F3CE-5BD663DB489C}"/>
            </a:ext>
          </a:extLst>
        </xdr:cNvPr>
        <xdr:cNvSpPr>
          <a:spLocks noChangeAspect="1" noChangeArrowheads="1"/>
        </xdr:cNvSpPr>
      </xdr:nvSpPr>
      <xdr:spPr bwMode="auto">
        <a:xfrm>
          <a:off x="11709400" y="105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200025</xdr:colOff>
      <xdr:row>44</xdr:row>
      <xdr:rowOff>133350</xdr:rowOff>
    </xdr:from>
    <xdr:to>
      <xdr:col>14</xdr:col>
      <xdr:colOff>304800</xdr:colOff>
      <xdr:row>71</xdr:row>
      <xdr:rowOff>76200</xdr:rowOff>
    </xdr:to>
    <xdr:graphicFrame macro="">
      <xdr:nvGraphicFramePr>
        <xdr:cNvPr id="3" name="Chart 2">
          <a:extLst>
            <a:ext uri="{FF2B5EF4-FFF2-40B4-BE49-F238E27FC236}">
              <a16:creationId xmlns:a16="http://schemas.microsoft.com/office/drawing/2014/main" id="{AFA6B932-C6EE-446C-902F-9F03C2A0A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372745</xdr:colOff>
      <xdr:row>44</xdr:row>
      <xdr:rowOff>132080</xdr:rowOff>
    </xdr:from>
    <xdr:to>
      <xdr:col>21</xdr:col>
      <xdr:colOff>163195</xdr:colOff>
      <xdr:row>64</xdr:row>
      <xdr:rowOff>81915</xdr:rowOff>
    </xdr:to>
    <xdr:graphicFrame macro="">
      <xdr:nvGraphicFramePr>
        <xdr:cNvPr id="11" name="Chart 10">
          <a:extLst>
            <a:ext uri="{FF2B5EF4-FFF2-40B4-BE49-F238E27FC236}">
              <a16:creationId xmlns:a16="http://schemas.microsoft.com/office/drawing/2014/main" id="{89C09B8F-1B0C-EF2E-AA8B-B28D42815B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341312</xdr:colOff>
      <xdr:row>44</xdr:row>
      <xdr:rowOff>114300</xdr:rowOff>
    </xdr:from>
    <xdr:to>
      <xdr:col>28</xdr:col>
      <xdr:colOff>112712</xdr:colOff>
      <xdr:row>64</xdr:row>
      <xdr:rowOff>0</xdr:rowOff>
    </xdr:to>
    <xdr:graphicFrame macro="">
      <xdr:nvGraphicFramePr>
        <xdr:cNvPr id="6" name="Chart 5">
          <a:extLst>
            <a:ext uri="{FF2B5EF4-FFF2-40B4-BE49-F238E27FC236}">
              <a16:creationId xmlns:a16="http://schemas.microsoft.com/office/drawing/2014/main" id="{C6E0DEF6-3586-95F6-519F-06D8AA273C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235323</xdr:colOff>
      <xdr:row>48</xdr:row>
      <xdr:rowOff>123265</xdr:rowOff>
    </xdr:from>
    <xdr:to>
      <xdr:col>33</xdr:col>
      <xdr:colOff>179295</xdr:colOff>
      <xdr:row>51</xdr:row>
      <xdr:rowOff>56030</xdr:rowOff>
    </xdr:to>
    <xdr:sp macro="" textlink="">
      <xdr:nvSpPr>
        <xdr:cNvPr id="2" name="TextBox 1">
          <a:extLst>
            <a:ext uri="{FF2B5EF4-FFF2-40B4-BE49-F238E27FC236}">
              <a16:creationId xmlns:a16="http://schemas.microsoft.com/office/drawing/2014/main" id="{5F7F6ECC-BD57-4F08-B9A1-8867FFFD929D}"/>
            </a:ext>
          </a:extLst>
        </xdr:cNvPr>
        <xdr:cNvSpPr txBox="1"/>
      </xdr:nvSpPr>
      <xdr:spPr>
        <a:xfrm>
          <a:off x="235323" y="2714065"/>
          <a:ext cx="8230722" cy="475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For more details about how the Total Return can be manually calculated in Excel and how to replicate the value retrieved by the TR formula please open the template "Total Return - Reinvestment Dividend" from the Templates menu or by following the quick link below.</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142</xdr:col>
      <xdr:colOff>342900</xdr:colOff>
      <xdr:row>64</xdr:row>
      <xdr:rowOff>34925</xdr:rowOff>
    </xdr:from>
    <xdr:to>
      <xdr:col>149</xdr:col>
      <xdr:colOff>215900</xdr:colOff>
      <xdr:row>87</xdr:row>
      <xdr:rowOff>104775</xdr:rowOff>
    </xdr:to>
    <xdr:graphicFrame macro="">
      <xdr:nvGraphicFramePr>
        <xdr:cNvPr id="11" name="Chart 10">
          <a:extLst>
            <a:ext uri="{FF2B5EF4-FFF2-40B4-BE49-F238E27FC236}">
              <a16:creationId xmlns:a16="http://schemas.microsoft.com/office/drawing/2014/main" id="{CD607245-DF64-54CC-7D47-D2152AC2EA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390525</xdr:colOff>
      <xdr:row>186</xdr:row>
      <xdr:rowOff>44456</xdr:rowOff>
    </xdr:from>
    <xdr:to>
      <xdr:col>42</xdr:col>
      <xdr:colOff>123825</xdr:colOff>
      <xdr:row>206</xdr:row>
      <xdr:rowOff>120656</xdr:rowOff>
    </xdr:to>
    <xdr:graphicFrame macro="">
      <xdr:nvGraphicFramePr>
        <xdr:cNvPr id="13" name="Chart 12">
          <a:extLst>
            <a:ext uri="{FF2B5EF4-FFF2-40B4-BE49-F238E27FC236}">
              <a16:creationId xmlns:a16="http://schemas.microsoft.com/office/drawing/2014/main" id="{E9AB0942-9319-D27B-822C-3FCA5B988B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447675</xdr:colOff>
      <xdr:row>210</xdr:row>
      <xdr:rowOff>57156</xdr:rowOff>
    </xdr:from>
    <xdr:to>
      <xdr:col>23</xdr:col>
      <xdr:colOff>180975</xdr:colOff>
      <xdr:row>231</xdr:row>
      <xdr:rowOff>6</xdr:rowOff>
    </xdr:to>
    <xdr:graphicFrame macro="">
      <xdr:nvGraphicFramePr>
        <xdr:cNvPr id="16" name="Chart 15">
          <a:extLst>
            <a:ext uri="{FF2B5EF4-FFF2-40B4-BE49-F238E27FC236}">
              <a16:creationId xmlns:a16="http://schemas.microsoft.com/office/drawing/2014/main" id="{C23CC398-2958-C9B1-6017-B962013CFE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383885</xdr:colOff>
      <xdr:row>132</xdr:row>
      <xdr:rowOff>120071</xdr:rowOff>
    </xdr:from>
    <xdr:to>
      <xdr:col>19</xdr:col>
      <xdr:colOff>209549</xdr:colOff>
      <xdr:row>153</xdr:row>
      <xdr:rowOff>120650</xdr:rowOff>
    </xdr:to>
    <xdr:graphicFrame macro="">
      <xdr:nvGraphicFramePr>
        <xdr:cNvPr id="18" name="Chart 17">
          <a:extLst>
            <a:ext uri="{FF2B5EF4-FFF2-40B4-BE49-F238E27FC236}">
              <a16:creationId xmlns:a16="http://schemas.microsoft.com/office/drawing/2014/main" id="{0B4CE5BB-7C98-F79E-AE42-E091AE9C0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224366</xdr:colOff>
      <xdr:row>86</xdr:row>
      <xdr:rowOff>101600</xdr:rowOff>
    </xdr:from>
    <xdr:to>
      <xdr:col>19</xdr:col>
      <xdr:colOff>774699</xdr:colOff>
      <xdr:row>107</xdr:row>
      <xdr:rowOff>0</xdr:rowOff>
    </xdr:to>
    <xdr:graphicFrame macro="">
      <xdr:nvGraphicFramePr>
        <xdr:cNvPr id="23" name="Chart 22">
          <a:extLst>
            <a:ext uri="{FF2B5EF4-FFF2-40B4-BE49-F238E27FC236}">
              <a16:creationId xmlns:a16="http://schemas.microsoft.com/office/drawing/2014/main" id="{4117A85E-AE70-7963-AE3D-F76A664684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656166</xdr:colOff>
      <xdr:row>86</xdr:row>
      <xdr:rowOff>33868</xdr:rowOff>
    </xdr:from>
    <xdr:to>
      <xdr:col>68</xdr:col>
      <xdr:colOff>402166</xdr:colOff>
      <xdr:row>106</xdr:row>
      <xdr:rowOff>67734</xdr:rowOff>
    </xdr:to>
    <xdr:graphicFrame macro="">
      <xdr:nvGraphicFramePr>
        <xdr:cNvPr id="24" name="Chart 23">
          <a:extLst>
            <a:ext uri="{FF2B5EF4-FFF2-40B4-BE49-F238E27FC236}">
              <a16:creationId xmlns:a16="http://schemas.microsoft.com/office/drawing/2014/main" id="{B4ED8607-4E28-DF33-8E57-AED51483CA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99</xdr:col>
      <xdr:colOff>457200</xdr:colOff>
      <xdr:row>82</xdr:row>
      <xdr:rowOff>123825</xdr:rowOff>
    </xdr:from>
    <xdr:to>
      <xdr:col>105</xdr:col>
      <xdr:colOff>171450</xdr:colOff>
      <xdr:row>103</xdr:row>
      <xdr:rowOff>66675</xdr:rowOff>
    </xdr:to>
    <xdr:graphicFrame macro="">
      <xdr:nvGraphicFramePr>
        <xdr:cNvPr id="2" name="Chart 1">
          <a:extLst>
            <a:ext uri="{FF2B5EF4-FFF2-40B4-BE49-F238E27FC236}">
              <a16:creationId xmlns:a16="http://schemas.microsoft.com/office/drawing/2014/main" id="{CF0E30BB-07BA-A5F0-E87D-FFF5766850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EMP/TEMP/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tanmay.mittal/AppData/Roaming/Microsoft/Excel/XLSTART/na/ny/users/johndasc/Docs/ID/Charts/Chart_Gallery/From%20Vlad/B11_BarSingle_AverageLine.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na/ny/users/johndasc/Docs/ID/Charts/Chart_Gallery/From%20Vlad/B11_BarSingle_Averag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LLY/LLYwk.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HEALTH/Pharma/Risinger/models/LLY/LLYw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tanmay.mittal/AppData/Roaming/Microsoft/Excel/XLSTART/chwang/EM/OLD/OLD_2008/BF%202Q08/Copy%20of%20KS055550.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chwang/EM/OLD/OLD_2008/BF%202Q08/Copy%20of%20KS0555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anmay.mittal/AppData/Roaming/Microsoft/Excel/XLSTART/chwang/EM/KS086790.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chwang/EM/KS0867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WYE/WYE_Charts.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HEALTH/Pharma/Risinger/models/WYE/WYE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anmay.mittal/AppData/Roaming/Microsoft/Excel/XLSTART/TEMP/TEMP/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tanmay.mittal/AppData/Roaming/Microsoft/Excel/XLSTART/Small%20Caps/Healthcare/DROG/Reports/1Q11/DROG%20Support_1Q1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Small%20Caps/Healthcare/DROG/Reports/1Q11/DROG%20Support_1Q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PFE/PFE_Chart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HEALTH/Pharma/Risinger/models/PFE/PFE_Char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tanmay.mittal/AppData/Roaming/Microsoft/Excel/XLSTART/na/ny/users/johndasc/Docs/ID/Charts/Sandbox/BtoB.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na/ny/users/johndasc/Docs/ID/Charts/Sandbox/Bto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tanmay.mittal/AppData/Roaming/Microsoft/Excel/XLSTART/Small%20Caps/Healthcare/Reports%20&amp;%20Presentations/Labs%20Support%20Oct%2010.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Small%20Caps/Healthcare/Reports%20&amp;%20Presentations/Labs%20Support%20Oct%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tanmay.mittal/AppData/Roaming/Microsoft/Excel/XLSTART/Small%20Caps/Agri/Reports/Farmers-update-oct10/SLC%20Performance.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Small%20Caps/Agri/Reports/Farmers-update-oct10/SLC%20Perform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g.ads.db.com\nyc-ge-g\Inch%20-%20CapGoods\Joe\Quarterly%20Preview\PriceInventoryWeekl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PFE/PFEwk.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HEALTH/Pharma/Risinger/models/PFE/PFEw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LLY/LLY_Charts.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HEALTH/Pharma/Risinger/models/LLY/LLY_Char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anmay.mittal/AppData/Roaming/Microsoft/Excel/XLSTART/chwang/EM/OLD/OLD_2007/Copy%20of%20KS005270.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chwang/EM/OLD/OLD_2007/Copy%20of%20KS00527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tanmay.mittal/AppData/Roaming/Microsoft/Excel/XLSTART/chwang/EM/OLD/OLD_2008/BF%202Q08/Copy%20of%20KS00494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hwang/EM/OLD/OLD_2008/BF%202Q08/Copy%20of%20KS00494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tanmay.mittal/AppData/Roaming/Microsoft/Excel/XLSTART/chwang/EM/Open%20Platform/OPCh%20WFH.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chwang/EM/Open%20Platform/OPCh%20WFH.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GVAT/Modelware/Tier%201%20-%20Energy/XOMModelwar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tanmay.mittal/AppData/Roaming/Microsoft/Excel/XLSTART/HEALTH/Pharma/Risinger/models/BMY/BMY_Chart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HEALTH/Pharma/Risinger/models/BMY/BMY_Char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R\Rdrive\FERGUS\Bp10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vapfsdfs1\FiST2\V\Autoparts\TRW\TRW_12_06_2000"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vapfsdfs1\FiST2\Users\Public\Morgan%20Stanley\ModelWare\MWAnalytics\GEG\rr%20shee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tresvista.sharepoint.com/Users/U0040941/Downloads/Ratings%20Monitor%20Issuers%20and%20Bonds%20NEW.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U0040941/Downloads/Ratings%20Monitor%20Issuers%20and%20Bonds%20NEW.xlsx"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Vistra\Versions\VST_04.28.2023_v3.xlsx" TargetMode="External"/><Relationship Id="rId1" Type="http://schemas.openxmlformats.org/officeDocument/2006/relationships/externalLinkPath" Target="/Users/vedang.poddar/Desktop/New%20folder/Vedang%20Poddar%20Backup/Desktop/Kindred/Vistra/Versions/VST_04.28.2023_v3.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Eastman\Client\EMN_2023_04_18.xlsx" TargetMode="External"/><Relationship Id="rId1" Type="http://schemas.openxmlformats.org/officeDocument/2006/relationships/externalLinkPath" Target="https://tresvista.sharepoint.com/Users/vedang.poddar/Desktop/New%20folder/Vedang%20Poddar%20Backup/Desktop/Kindred/Eastman/Client/EMN_2023_04_18.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tresvista.sharepoint.com/Users/vedang.poddar/Desktop/Vedang%20Poddar%20Backup/Desktop/Kindred/LYB/client/LYB_2022_07_1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anmay.mittal/AppData/Roaming/Microsoft/Excel/XLSTART/GVAT/Modelware/Tier%201%20-%20Energy/XOMModelwa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tresvista.sharepoint.com/Users/vedang.poddar/Desktop/Vedang%20Poddar%20Backup/Desktop/Rimrock/Six%20Flags%20Entertainment/Client/SIX%20One%20Pager%207.30.2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vedang.poddar/Desktop/Vedang%20Poddar%20Backup/Desktop/Kindred/LYB/client/LYB_2022_07_19.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GMG%20Research\Credit%20OAS%20(HG%20data)\DailyData\Prototype%20(11-14-02%20253%20HG%20+%2012%20H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vapfsdfs1\FiST2\Users\vedang.poddar\AppData\Local\Microsoft\Windows\INetCache\Content.Outlook\V62TYS9Q\AVYA_2022.06.10.xlsx"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GEHC\Client\GEHC%2003.20.2023_v2.xlsx" TargetMode="External"/><Relationship Id="rId1" Type="http://schemas.openxmlformats.org/officeDocument/2006/relationships/externalLinkPath" Target="/Users/vedang.poddar/Desktop/New%20folder/Vedang%20Poddar%20Backup/Desktop/Kindred/GEHC/Client/GEHC%2003.20.2023_v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tresvista.sharepoint.com/Users/vedang.poddar/Desktop/Copy%20of%20Fluor%20Corporation_2022.10.0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vapfsdfs1\FiST2\Users\kanishk.agarwal\Desktop\Kindred%20Capital\GE\Versions\2021.08.02\GE_2021.08.02_v2.xlsx"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file:///C:\Users\rrodrigues\Desktop\Kindred\EMN\EMN_2023_04_12_v3.xlsx" TargetMode="External"/><Relationship Id="rId1" Type="http://schemas.openxmlformats.org/officeDocument/2006/relationships/externalLinkPath" Target="file:///Z:\Kindred\Eastman\EMN_2023_04_12_v3.xlsx"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GEHC\Client\GEHC%2003.20.2023_v2.xlsx" TargetMode="External"/><Relationship Id="rId1" Type="http://schemas.openxmlformats.org/officeDocument/2006/relationships/externalLinkPath" Target="https://tresvista.sharepoint.com/Users/vedang.poddar/Desktop/New%20folder/Vedang%20Poddar%20Backup/Desktop/Kindred/GEHC/Client/GEHC%2003.20.2023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Team4\SoftBank\Contapqi%20-%20Research%20Deep%20Dive\To%20Client\2020.01.21\TOTVS_Excel%20Backup_2020.01.21.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TEMP/data/excel/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vapfsdfs1\FiST2\Users\Kanishk.Agarwal\AppData\Local\Capital%20IQ\Office%20Plug-in\Templates\Company%20Tearsheets\+Financial%20Snapshot%20Tearshe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vapfsdfs1\FiST2\Users\Kanishk.Agarwal\AppData\Local\Capital%20IQ\Office%20Plug-in\Templates\Charts\Annotated%20Stock%20Price%20Volume%20Char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vapfsdfs1\FiST2\Users\kanishk.agarwal\Desktop\Kindred%20Capital\FANG\To%20Client\FANG_2021.07.1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Z:\Team4\Kindred%20Capital\ViacomCBS\Post-Merger\ViacomCBS\To%20Client\VIAC_2021.05.28.xlsx"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file:///C:\Users\tanmay.mittal\Downloads\VST_04.27.2023_v1.xlsx" TargetMode="External"/><Relationship Id="rId1" Type="http://schemas.openxmlformats.org/officeDocument/2006/relationships/externalLinkPath" Target="/Users/tanmay.mittal/Downloads/VST_04.27.2023_v1.xlsx"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Intel\Versions\Q4%202022\INTC_2023.2.7_v1.xlsx" TargetMode="External"/><Relationship Id="rId1" Type="http://schemas.openxmlformats.org/officeDocument/2006/relationships/externalLinkPath" Target="https://tresvista.sharepoint.com/Users/vedang.poddar/Desktop/New%20folder/Vedang%20Poddar%20Backup/Desktop/Kindred/Intel/Versions/Q4%202022/INTC_2023.2.7_v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ony\c\business\&#38750;&#37444;\&#38750;&#37444;&#20250;~1\&#21516;&#21644;&#37489;&#26989;\5714work.wk4"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file:///C:\Users\vedang.poddar\Desktop\New%20folder\Vedang%20Poddar%20Backup\Desktop\Kindred\Eastman\Client\EMN_2023_04_18.xlsx" TargetMode="External"/><Relationship Id="rId1" Type="http://schemas.openxmlformats.org/officeDocument/2006/relationships/externalLinkPath" Target="EMN_2023_04_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anmay.mittal/AppData/Roaming/Microsoft/Excel/XLSTART/TEMP/data/excel/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R\Rdrive\Research\RESEARCH%20DATA\E&amp;P%20Group\Users\Victor\Files\Links%20F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Capex"/>
      <sheetName val="Disclaimer"/>
      <sheetName val="Quarterly"/>
      <sheetName val="E&amp;P"/>
      <sheetName val="Hamaca"/>
      <sheetName val="Bohai"/>
      <sheetName val="Bayu Undan"/>
      <sheetName val="Normalized"/>
      <sheetName val="R&amp;M"/>
      <sheetName val="DDM"/>
      <sheetName val="Segment ROCE"/>
      <sheetName val="ARCO - Alaska"/>
      <sheetName val="GE Data"/>
      <sheetName val="B Sheet"/>
      <sheetName val="Reserves"/>
      <sheetName val="WACC"/>
      <sheetName val="Valuation"/>
      <sheetName val="NAV"/>
      <sheetName val="Chemical JV"/>
      <sheetName val="Chems"/>
      <sheetName val="GPM"/>
      <sheetName val="PUDS"/>
      <sheetName val="EKOFISK"/>
      <sheetName val="IndexInformation"/>
      <sheetName val="MainCode"/>
      <sheetName val="NY UPLOAD.bak"/>
      <sheetName val="NY UPLOAD Shadow.bak"/>
      <sheetName val="NY UPLOAD"/>
      <sheetName val="NY UPLOAD Shadow"/>
      <sheetName val="Ratios"/>
      <sheetName val="BS"/>
      <sheetName val="TOSCO"/>
      <sheetName val="ROGIC"/>
      <sheetName val="NEPS"/>
      <sheetName val="RefineryMaint"/>
      <sheetName val="Variance"/>
      <sheetName val="Distribution"/>
      <sheetName val="A-Link Source"/>
      <sheetName val="Q-Link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NonQtr"/>
      <sheetName val="REVENUE BY GEOGRAPHY"/>
      <sheetName val="Risk-Reward_View_Chart"/>
      <sheetName val="Valsum"/>
      <sheetName val="Data 20d"/>
      <sheetName val="Data"/>
      <sheetName val="Interims"/>
      <sheetName val="Financial Statements"/>
      <sheetName val="Good 12-00 (2)"/>
      <sheetName val="Good 11-36"/>
      <sheetName val="Good 11-50"/>
      <sheetName val="Sheet3 (5)"/>
      <sheetName val="Inputs"/>
      <sheetName val="FX"/>
      <sheetName val="CPB"/>
      <sheetName val="Total_Food_Promo"/>
      <sheetName val="CPB_2yr"/>
      <sheetName val="Summary"/>
      <sheetName val="Floater Demand"/>
      <sheetName val="B11_BarSingle_AverageLine"/>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Sheet4"/>
      <sheetName val="ForeignStake"/>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Charts"/>
      <sheetName val="Pension"/>
      <sheetName val="Wal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ｾｸﾞﾒﾝﾄ"/>
      <sheetName val="単独"/>
    </sheetNames>
    <sheetDataSet>
      <sheetData sheetId="0" refreshError="1">
        <row r="5">
          <cell r="F5" t="str">
            <v>Display horizontal line for the average?</v>
          </cell>
        </row>
        <row r="10">
          <cell r="Y10" t="str">
            <v>invisible1</v>
          </cell>
        </row>
        <row r="11">
          <cell r="D11" t="str">
            <v>Jupiter</v>
          </cell>
          <cell r="E11">
            <v>78</v>
          </cell>
          <cell r="X11" t="str">
            <v xml:space="preserve">  </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hange analysis"/>
      <sheetName val="DCF"/>
      <sheetName val="rev contribution analysi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nsensus"/>
      <sheetName val="Gaap Adj"/>
      <sheetName val="COVER SHEET"/>
      <sheetName val="MW-Cache"/>
      <sheetName val="__FDSCACHE__"/>
      <sheetName val="IS-ANNUAL"/>
      <sheetName val="IS-QTRLY"/>
      <sheetName val="REV-ANNUAL"/>
      <sheetName val="REV-QTRLY"/>
      <sheetName val="SEL_FRANCHISES"/>
      <sheetName val="CFBS"/>
      <sheetName val="FOOTNOTES"/>
      <sheetName val="AGREEMENTS"/>
      <sheetName val="MGMT PROJECTIONS"/>
      <sheetName val="PIPELINE"/>
      <sheetName val="PIPELINE_UNADJ"/>
      <sheetName val="DCF"/>
      <sheetName val="DEBT"/>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ANOMALIES"/>
      <sheetName val="ASSUMPTIONS"/>
      <sheetName val="2008 pro forma EPS (wIMCL)"/>
      <sheetName val="prasugrel sales potential"/>
      <sheetName val="prasugrel npv"/>
      <sheetName val="Cialis JV"/>
      <sheetName val="tabs"/>
      <sheetName val="pipeline_summary"/>
      <sheetName val="C38001"/>
      <sheetName val="C3800"/>
      <sheetName val="Product Mix"/>
      <sheetName val="calendar"/>
      <sheetName val="patents"/>
      <sheetName val="launches"/>
      <sheetName val="pipeline handout"/>
      <sheetName val="FCF vs Guidance"/>
      <sheetName val="#REF"/>
      <sheetName val="diabetes_multiple"/>
      <sheetName val="TR Convert"/>
      <sheetName val="Annual"/>
      <sheetName val="Becker"/>
      <sheetName val="HGSI"/>
      <sheetName val="Partnerships"/>
    </sheetNames>
    <sheetDataSet>
      <sheetData sheetId="0" refreshError="1"/>
      <sheetData sheetId="1">
        <row r="1">
          <cell r="B1" t="str">
            <v>Eli Lilly &amp; Co.</v>
          </cell>
        </row>
      </sheetData>
      <sheetData sheetId="2"/>
      <sheetData sheetId="3"/>
      <sheetData sheetId="4"/>
      <sheetData sheetId="5"/>
      <sheetData sheetId="6"/>
      <sheetData sheetId="7" refreshError="1"/>
      <sheetData sheetId="8"/>
      <sheetData sheetId="9" refreshError="1"/>
      <sheetData sheetId="10"/>
      <sheetData sheetId="11"/>
      <sheetData sheetId="12"/>
      <sheetData sheetId="13" refreshError="1"/>
      <sheetData sheetId="14" refreshError="1"/>
      <sheetData sheetId="15"/>
      <sheetData sheetId="16"/>
      <sheetData sheetId="17"/>
      <sheetData sheetId="18" refreshError="1">
        <row r="4">
          <cell r="L4">
            <v>38442</v>
          </cell>
          <cell r="M4">
            <v>38533</v>
          </cell>
          <cell r="N4">
            <v>38625</v>
          </cell>
          <cell r="O4">
            <v>38717</v>
          </cell>
          <cell r="P4">
            <v>38717</v>
          </cell>
          <cell r="Q4">
            <v>38807</v>
          </cell>
          <cell r="R4">
            <v>38898</v>
          </cell>
          <cell r="S4">
            <v>38990</v>
          </cell>
          <cell r="T4">
            <v>39082</v>
          </cell>
          <cell r="U4">
            <v>39082</v>
          </cell>
          <cell r="V4">
            <v>39172</v>
          </cell>
          <cell r="W4">
            <v>39263</v>
          </cell>
          <cell r="X4">
            <v>39355</v>
          </cell>
          <cell r="Y4">
            <v>39447</v>
          </cell>
          <cell r="Z4">
            <v>39447</v>
          </cell>
          <cell r="AA4">
            <v>39538</v>
          </cell>
          <cell r="AB4">
            <v>39629</v>
          </cell>
          <cell r="AC4">
            <v>39721</v>
          </cell>
          <cell r="AD4">
            <v>39813</v>
          </cell>
          <cell r="AE4">
            <v>39813</v>
          </cell>
          <cell r="AF4">
            <v>39903</v>
          </cell>
          <cell r="AG4">
            <v>39994</v>
          </cell>
          <cell r="AH4">
            <v>40086</v>
          </cell>
          <cell r="AI4">
            <v>40178</v>
          </cell>
          <cell r="AJ4">
            <v>40178</v>
          </cell>
          <cell r="AK4">
            <v>40268</v>
          </cell>
          <cell r="AL4">
            <v>40359</v>
          </cell>
          <cell r="AM4">
            <v>40451</v>
          </cell>
          <cell r="AN4">
            <v>40543</v>
          </cell>
          <cell r="AO4">
            <v>40543</v>
          </cell>
          <cell r="AP4">
            <v>40633</v>
          </cell>
          <cell r="AQ4">
            <v>40724</v>
          </cell>
          <cell r="AR4">
            <v>40816</v>
          </cell>
          <cell r="AS4">
            <v>40908</v>
          </cell>
          <cell r="AT4">
            <v>40908</v>
          </cell>
          <cell r="AU4">
            <v>40999</v>
          </cell>
          <cell r="AV4">
            <v>41090</v>
          </cell>
          <cell r="AW4">
            <v>41182</v>
          </cell>
          <cell r="AX4">
            <v>41274</v>
          </cell>
          <cell r="AY4">
            <v>41274</v>
          </cell>
          <cell r="AZ4">
            <v>41364</v>
          </cell>
          <cell r="BA4">
            <v>41455</v>
          </cell>
          <cell r="BB4">
            <v>41547</v>
          </cell>
          <cell r="BC4">
            <v>41639</v>
          </cell>
          <cell r="BD4">
            <v>41639</v>
          </cell>
          <cell r="BE4">
            <v>41729</v>
          </cell>
          <cell r="BF4">
            <v>41820</v>
          </cell>
          <cell r="BG4">
            <v>41912</v>
          </cell>
          <cell r="BH4">
            <v>42004</v>
          </cell>
          <cell r="BI4">
            <v>42004</v>
          </cell>
          <cell r="BJ4">
            <v>42094</v>
          </cell>
          <cell r="BK4">
            <v>42185</v>
          </cell>
          <cell r="BL4">
            <v>42277</v>
          </cell>
          <cell r="BM4">
            <v>42369</v>
          </cell>
          <cell r="BN4">
            <v>42369</v>
          </cell>
          <cell r="BO4">
            <v>42460</v>
          </cell>
          <cell r="BP4">
            <v>42551</v>
          </cell>
          <cell r="BQ4">
            <v>42643</v>
          </cell>
          <cell r="BR4">
            <v>42735</v>
          </cell>
          <cell r="BS4">
            <v>42735</v>
          </cell>
          <cell r="BT4">
            <v>42825</v>
          </cell>
          <cell r="BU4">
            <v>42916</v>
          </cell>
          <cell r="BV4">
            <v>43008</v>
          </cell>
          <cell r="BW4">
            <v>43100</v>
          </cell>
          <cell r="BX4">
            <v>43100</v>
          </cell>
          <cell r="BY4">
            <v>43190</v>
          </cell>
          <cell r="BZ4">
            <v>43281</v>
          </cell>
          <cell r="CA4">
            <v>43373</v>
          </cell>
          <cell r="CB4">
            <v>43465</v>
          </cell>
          <cell r="CC4">
            <v>43465</v>
          </cell>
          <cell r="CD4">
            <v>43555</v>
          </cell>
          <cell r="CE4">
            <v>43646</v>
          </cell>
          <cell r="CF4">
            <v>43738</v>
          </cell>
          <cell r="CG4">
            <v>43830</v>
          </cell>
          <cell r="CH4">
            <v>43830</v>
          </cell>
          <cell r="CI4">
            <v>43921</v>
          </cell>
          <cell r="CJ4">
            <v>44012</v>
          </cell>
          <cell r="CK4">
            <v>44104</v>
          </cell>
          <cell r="CL4">
            <v>44196</v>
          </cell>
          <cell r="CM4">
            <v>44196</v>
          </cell>
        </row>
        <row r="5">
          <cell r="H5" t="str">
            <v>Eli Lilly &amp; Co.</v>
          </cell>
          <cell r="K5">
            <v>40359</v>
          </cell>
        </row>
        <row r="6">
          <cell r="H6" t="str">
            <v>DCF Valuation</v>
          </cell>
          <cell r="K6">
            <v>40359</v>
          </cell>
        </row>
        <row r="7">
          <cell r="AJ7">
            <v>0</v>
          </cell>
          <cell r="AO7">
            <v>1</v>
          </cell>
          <cell r="AT7">
            <v>2</v>
          </cell>
          <cell r="AY7">
            <v>3</v>
          </cell>
          <cell r="BD7">
            <v>4</v>
          </cell>
          <cell r="BI7">
            <v>5</v>
          </cell>
          <cell r="BN7">
            <v>6</v>
          </cell>
          <cell r="BS7">
            <v>5.5</v>
          </cell>
          <cell r="BX7">
            <v>6.5</v>
          </cell>
          <cell r="CC7">
            <v>7.5</v>
          </cell>
          <cell r="CH7">
            <v>8.5</v>
          </cell>
          <cell r="CM7">
            <v>9.5</v>
          </cell>
        </row>
        <row r="9">
          <cell r="H9" t="str">
            <v>($M)</v>
          </cell>
          <cell r="L9" t="str">
            <v>1Q:05A</v>
          </cell>
          <cell r="M9" t="str">
            <v>2Q:05A</v>
          </cell>
          <cell r="N9" t="str">
            <v>3Q:05A</v>
          </cell>
          <cell r="O9" t="str">
            <v>4Q:05A</v>
          </cell>
          <cell r="P9" t="str">
            <v>2005A</v>
          </cell>
          <cell r="Q9" t="str">
            <v>1Q:06A</v>
          </cell>
          <cell r="R9" t="str">
            <v>2Q:06A</v>
          </cell>
          <cell r="S9" t="str">
            <v>3Q:06A</v>
          </cell>
          <cell r="T9" t="str">
            <v>4Q:06A</v>
          </cell>
          <cell r="U9" t="str">
            <v>2006A</v>
          </cell>
          <cell r="V9" t="str">
            <v>1Q:07A</v>
          </cell>
          <cell r="W9" t="str">
            <v>2Q:07A</v>
          </cell>
          <cell r="X9" t="str">
            <v>3Q:07A</v>
          </cell>
          <cell r="Y9" t="str">
            <v>4Q:07A</v>
          </cell>
          <cell r="Z9" t="str">
            <v>2007A</v>
          </cell>
          <cell r="AA9" t="str">
            <v>1Q:08A</v>
          </cell>
          <cell r="AB9" t="str">
            <v>2Q:08A</v>
          </cell>
          <cell r="AC9" t="str">
            <v>3Q:08A</v>
          </cell>
          <cell r="AD9" t="str">
            <v>4Q:08A</v>
          </cell>
          <cell r="AE9" t="str">
            <v>2008A</v>
          </cell>
          <cell r="AF9" t="str">
            <v>1Q:09A</v>
          </cell>
          <cell r="AG9" t="str">
            <v>2Q:09A</v>
          </cell>
          <cell r="AH9" t="str">
            <v>3Q:09A</v>
          </cell>
          <cell r="AI9" t="str">
            <v>4Q:09A</v>
          </cell>
          <cell r="AJ9" t="str">
            <v>2009A</v>
          </cell>
          <cell r="AK9" t="str">
            <v>1Q:10A</v>
          </cell>
          <cell r="AL9" t="str">
            <v>2Q:10A</v>
          </cell>
          <cell r="AM9" t="str">
            <v>3Q:10E</v>
          </cell>
          <cell r="AN9" t="str">
            <v>4Q:10E</v>
          </cell>
          <cell r="AO9" t="str">
            <v>2010E</v>
          </cell>
          <cell r="AP9" t="str">
            <v>1Q:11E</v>
          </cell>
          <cell r="AQ9" t="str">
            <v>2Q:11E</v>
          </cell>
          <cell r="AR9" t="str">
            <v>3Q:11E</v>
          </cell>
          <cell r="AS9" t="str">
            <v>4Q:11E</v>
          </cell>
          <cell r="AT9" t="str">
            <v>2011E</v>
          </cell>
          <cell r="AU9" t="str">
            <v>1Q:12E</v>
          </cell>
          <cell r="AV9" t="str">
            <v>2Q:12E</v>
          </cell>
          <cell r="AW9" t="str">
            <v>3Q:12E</v>
          </cell>
          <cell r="AX9" t="str">
            <v>4Q:12E</v>
          </cell>
          <cell r="AY9" t="str">
            <v>2012E</v>
          </cell>
          <cell r="AZ9" t="str">
            <v>1Q:13E</v>
          </cell>
          <cell r="BA9" t="str">
            <v>2Q:13E</v>
          </cell>
          <cell r="BB9" t="str">
            <v>3Q:13E</v>
          </cell>
          <cell r="BC9" t="str">
            <v>4Q:13E</v>
          </cell>
          <cell r="BD9" t="str">
            <v>2013E</v>
          </cell>
          <cell r="BE9" t="str">
            <v>1Q:14E</v>
          </cell>
          <cell r="BF9" t="str">
            <v>2Q:14E</v>
          </cell>
          <cell r="BG9" t="str">
            <v>3Q:14E</v>
          </cell>
          <cell r="BH9" t="str">
            <v>4Q:14E</v>
          </cell>
          <cell r="BI9" t="str">
            <v>2014E</v>
          </cell>
          <cell r="BJ9" t="str">
            <v>1Q:15E</v>
          </cell>
          <cell r="BK9" t="str">
            <v>2Q:15E</v>
          </cell>
          <cell r="BL9" t="str">
            <v>3Q:15E</v>
          </cell>
          <cell r="BM9" t="str">
            <v>4Q:15E</v>
          </cell>
          <cell r="BN9" t="str">
            <v>2015E</v>
          </cell>
          <cell r="BO9" t="str">
            <v>1Q:16E</v>
          </cell>
          <cell r="BP9" t="str">
            <v>2Q:16E</v>
          </cell>
          <cell r="BQ9" t="str">
            <v>3Q:16E</v>
          </cell>
          <cell r="BR9" t="str">
            <v>4Q:16E</v>
          </cell>
          <cell r="BS9" t="str">
            <v>2016E</v>
          </cell>
          <cell r="BT9" t="str">
            <v>1Q:17E</v>
          </cell>
          <cell r="BU9" t="str">
            <v>2Q:17E</v>
          </cell>
          <cell r="BV9" t="str">
            <v>3Q:17E</v>
          </cell>
          <cell r="BW9" t="str">
            <v>4Q:17E</v>
          </cell>
          <cell r="BX9" t="str">
            <v>2017E</v>
          </cell>
          <cell r="BY9" t="str">
            <v>1Q:18E</v>
          </cell>
          <cell r="BZ9" t="str">
            <v>2Q:18E</v>
          </cell>
          <cell r="CA9" t="str">
            <v>3Q:18E</v>
          </cell>
          <cell r="CB9" t="str">
            <v>4Q:18E</v>
          </cell>
          <cell r="CC9" t="str">
            <v>2018E</v>
          </cell>
          <cell r="CD9" t="str">
            <v>1Q:19E</v>
          </cell>
          <cell r="CE9" t="str">
            <v>2Q:19E</v>
          </cell>
          <cell r="CF9" t="str">
            <v>3Q:19E</v>
          </cell>
          <cell r="CG9" t="str">
            <v>4Q:19E</v>
          </cell>
          <cell r="CH9" t="str">
            <v>2019E</v>
          </cell>
          <cell r="CI9" t="str">
            <v>1Q:20E</v>
          </cell>
          <cell r="CJ9" t="str">
            <v>2Q:20E</v>
          </cell>
          <cell r="CK9" t="str">
            <v>3Q:20E</v>
          </cell>
          <cell r="CL9" t="str">
            <v>4Q:20E</v>
          </cell>
          <cell r="CM9" t="str">
            <v>2020E</v>
          </cell>
        </row>
        <row r="10">
          <cell r="H10" t="str">
            <v>EBIT</v>
          </cell>
          <cell r="AO10">
            <v>6469.3282424700001</v>
          </cell>
          <cell r="AT10">
            <v>6467.3240859350544</v>
          </cell>
          <cell r="AY10">
            <v>5177.2438341357383</v>
          </cell>
          <cell r="BD10">
            <v>5697.780702994366</v>
          </cell>
          <cell r="BI10">
            <v>4616.5216886035241</v>
          </cell>
          <cell r="BN10">
            <v>3639.0059716746882</v>
          </cell>
          <cell r="BS10">
            <v>4177.6971310879208</v>
          </cell>
          <cell r="BX10">
            <v>2756.6823298796207</v>
          </cell>
          <cell r="CC10">
            <v>1830.2349406402082</v>
          </cell>
          <cell r="CH10">
            <v>1158.8537381545757</v>
          </cell>
          <cell r="CM10">
            <v>1130.5997065473766</v>
          </cell>
        </row>
        <row r="11">
          <cell r="H11" t="str">
            <v>EBIT*(1-Tax rate)</v>
          </cell>
          <cell r="AO11">
            <v>4979.516503129068</v>
          </cell>
          <cell r="AT11">
            <v>4979.839546169992</v>
          </cell>
          <cell r="AY11">
            <v>3908.8190947724825</v>
          </cell>
          <cell r="BD11">
            <v>4273.3355272457748</v>
          </cell>
          <cell r="BI11">
            <v>3439.3086580096256</v>
          </cell>
          <cell r="BN11">
            <v>2692.8644190392693</v>
          </cell>
          <cell r="BS11">
            <v>3133.2728483159408</v>
          </cell>
          <cell r="BX11">
            <v>2067.5117474097156</v>
          </cell>
          <cell r="CC11">
            <v>1372.6762054801561</v>
          </cell>
          <cell r="CH11">
            <v>869.14030361593177</v>
          </cell>
          <cell r="CM11">
            <v>847.94977991053247</v>
          </cell>
        </row>
        <row r="12">
          <cell r="H12" t="str">
            <v>After Tax GAAP Adjustments**</v>
          </cell>
          <cell r="AK12">
            <v>-49.399999999999636</v>
          </cell>
          <cell r="AL12">
            <v>-17.829904970000825</v>
          </cell>
          <cell r="AM12">
            <v>0</v>
          </cell>
          <cell r="AN12">
            <v>0</v>
          </cell>
          <cell r="AO12">
            <v>-750</v>
          </cell>
          <cell r="AP12">
            <v>0</v>
          </cell>
          <cell r="AQ12">
            <v>0</v>
          </cell>
          <cell r="AR12">
            <v>0</v>
          </cell>
          <cell r="AS12">
            <v>0</v>
          </cell>
          <cell r="AT12">
            <v>-500</v>
          </cell>
          <cell r="AU12">
            <v>0</v>
          </cell>
          <cell r="AV12">
            <v>0</v>
          </cell>
          <cell r="AW12">
            <v>0</v>
          </cell>
          <cell r="AX12">
            <v>0</v>
          </cell>
          <cell r="AY12">
            <v>-500</v>
          </cell>
          <cell r="AZ12">
            <v>0</v>
          </cell>
          <cell r="BA12">
            <v>0</v>
          </cell>
          <cell r="BB12">
            <v>0</v>
          </cell>
          <cell r="BC12">
            <v>0</v>
          </cell>
          <cell r="BD12">
            <v>-500</v>
          </cell>
          <cell r="BE12">
            <v>0</v>
          </cell>
          <cell r="BF12">
            <v>0</v>
          </cell>
          <cell r="BG12">
            <v>0</v>
          </cell>
          <cell r="BH12">
            <v>0</v>
          </cell>
          <cell r="BI12">
            <v>-500</v>
          </cell>
          <cell r="BJ12">
            <v>0</v>
          </cell>
          <cell r="BK12">
            <v>0</v>
          </cell>
          <cell r="BL12">
            <v>0</v>
          </cell>
          <cell r="BM12">
            <v>0</v>
          </cell>
          <cell r="BN12">
            <v>-500</v>
          </cell>
          <cell r="BS12">
            <v>-500</v>
          </cell>
          <cell r="BX12">
            <v>-500</v>
          </cell>
          <cell r="CC12">
            <v>-500</v>
          </cell>
          <cell r="CH12">
            <v>-500</v>
          </cell>
          <cell r="CM12">
            <v>-500</v>
          </cell>
        </row>
        <row r="13">
          <cell r="H13" t="str">
            <v>D&amp;A</v>
          </cell>
          <cell r="AO13">
            <v>1411.2411999999999</v>
          </cell>
          <cell r="AT13">
            <v>1297.1546704530724</v>
          </cell>
          <cell r="AY13">
            <v>1271.5573220741931</v>
          </cell>
          <cell r="BD13">
            <v>1248.8929324934602</v>
          </cell>
          <cell r="BI13">
            <v>1225.8825656162667</v>
          </cell>
          <cell r="BN13">
            <v>1204.6098964970342</v>
          </cell>
          <cell r="BS13">
            <v>1264.6673605474127</v>
          </cell>
          <cell r="BX13">
            <v>1244.4226470898066</v>
          </cell>
          <cell r="CC13">
            <v>1244.295579923561</v>
          </cell>
          <cell r="CH13">
            <v>1247.4374741968252</v>
          </cell>
          <cell r="CM13">
            <v>1240.8885125126264</v>
          </cell>
        </row>
        <row r="14">
          <cell r="H14" t="str">
            <v>Capital Expenditure</v>
          </cell>
          <cell r="AO14">
            <v>818.7611259928085</v>
          </cell>
          <cell r="AT14">
            <v>818.7256132524584</v>
          </cell>
          <cell r="AY14">
            <v>815.8643795878902</v>
          </cell>
          <cell r="BD14">
            <v>790.51799546095424</v>
          </cell>
          <cell r="BI14">
            <v>780.97815383927139</v>
          </cell>
          <cell r="BN14">
            <v>757.40883933403632</v>
          </cell>
          <cell r="BS14">
            <v>672.22022597135151</v>
          </cell>
          <cell r="BX14">
            <v>853.15197542735041</v>
          </cell>
          <cell r="CC14">
            <v>885.71452265620292</v>
          </cell>
          <cell r="CH14">
            <v>791.94785735483788</v>
          </cell>
          <cell r="CM14">
            <v>853.85178663089869</v>
          </cell>
        </row>
        <row r="15">
          <cell r="H15" t="str">
            <v>Change in working capital</v>
          </cell>
          <cell r="AO15">
            <v>26.244399437840002</v>
          </cell>
          <cell r="AT15">
            <v>-5.1390600868598995</v>
          </cell>
          <cell r="AY15">
            <v>-1.9920843442387195</v>
          </cell>
          <cell r="BD15">
            <v>21.547567688920935</v>
          </cell>
          <cell r="BI15">
            <v>15.738084957972205</v>
          </cell>
          <cell r="BN15">
            <v>45.74154920050205</v>
          </cell>
          <cell r="BS15">
            <v>-447.69278513228073</v>
          </cell>
          <cell r="BX15">
            <v>352.89890007085796</v>
          </cell>
          <cell r="CC15">
            <v>-367.28181281080651</v>
          </cell>
          <cell r="CH15">
            <v>271.66525684200042</v>
          </cell>
          <cell r="CM15">
            <v>-196.68656813392045</v>
          </cell>
        </row>
        <row r="16">
          <cell r="H16" t="str">
            <v>FCF</v>
          </cell>
          <cell r="AK16">
            <v>-49.399999999999636</v>
          </cell>
          <cell r="AL16">
            <v>-17.829904970000825</v>
          </cell>
          <cell r="AM16">
            <v>0</v>
          </cell>
          <cell r="AN16">
            <v>0</v>
          </cell>
          <cell r="AO16">
            <v>4848.2409765740986</v>
          </cell>
          <cell r="AP16">
            <v>0</v>
          </cell>
          <cell r="AQ16">
            <v>0</v>
          </cell>
          <cell r="AR16">
            <v>0</v>
          </cell>
          <cell r="AS16">
            <v>0</v>
          </cell>
          <cell r="AT16">
            <v>3599.2699247079954</v>
          </cell>
          <cell r="AU16">
            <v>0</v>
          </cell>
          <cell r="AV16">
            <v>0</v>
          </cell>
          <cell r="AW16">
            <v>0</v>
          </cell>
          <cell r="AX16">
            <v>0</v>
          </cell>
          <cell r="AY16">
            <v>2992.6251869284529</v>
          </cell>
          <cell r="AZ16">
            <v>0</v>
          </cell>
          <cell r="BA16">
            <v>0</v>
          </cell>
          <cell r="BB16">
            <v>0</v>
          </cell>
          <cell r="BC16">
            <v>0</v>
          </cell>
          <cell r="BD16">
            <v>4204.4457567238242</v>
          </cell>
          <cell r="BE16">
            <v>0</v>
          </cell>
          <cell r="BF16">
            <v>0</v>
          </cell>
          <cell r="BG16">
            <v>0</v>
          </cell>
          <cell r="BH16">
            <v>0</v>
          </cell>
          <cell r="BI16">
            <v>1580.5072228291165</v>
          </cell>
          <cell r="BJ16">
            <v>0</v>
          </cell>
          <cell r="BK16">
            <v>0</v>
          </cell>
          <cell r="BL16">
            <v>0</v>
          </cell>
          <cell r="BM16">
            <v>0</v>
          </cell>
          <cell r="BN16">
            <v>3393.0843984187377</v>
          </cell>
          <cell r="BS16">
            <v>2778.0271977597213</v>
          </cell>
          <cell r="BX16">
            <v>2311.6813191430297</v>
          </cell>
          <cell r="CC16">
            <v>863.97544993670772</v>
          </cell>
          <cell r="CH16">
            <v>1096.2951772999195</v>
          </cell>
          <cell r="CM16">
            <v>538.29993765833979</v>
          </cell>
        </row>
        <row r="17">
          <cell r="BJ17">
            <v>0</v>
          </cell>
          <cell r="BK17">
            <v>0</v>
          </cell>
          <cell r="BL17">
            <v>0</v>
          </cell>
          <cell r="BM17">
            <v>0</v>
          </cell>
        </row>
        <row r="18">
          <cell r="H18" t="str">
            <v>WACC*</v>
          </cell>
          <cell r="J18">
            <v>0.08</v>
          </cell>
          <cell r="AO18" t="str">
            <v>Equity value per share</v>
          </cell>
        </row>
        <row r="19">
          <cell r="H19" t="str">
            <v>Perpetuity</v>
          </cell>
          <cell r="J19">
            <v>-5.0000000000000001E-3</v>
          </cell>
          <cell r="AT19" t="str">
            <v>Perpetuity</v>
          </cell>
        </row>
        <row r="20">
          <cell r="Z20">
            <v>-2.5000000000000001E-2</v>
          </cell>
          <cell r="AE20">
            <v>-0.02</v>
          </cell>
          <cell r="AJ20">
            <v>-1.4999999999999999E-2</v>
          </cell>
          <cell r="AO20">
            <v>-0.01</v>
          </cell>
          <cell r="AT20">
            <v>-5.0000000000000001E-3</v>
          </cell>
          <cell r="AY20">
            <v>0</v>
          </cell>
          <cell r="BD20">
            <v>5.0000000000000001E-3</v>
          </cell>
          <cell r="BI20">
            <v>0.01</v>
          </cell>
          <cell r="BN20">
            <v>1.4999999999999999E-2</v>
          </cell>
        </row>
        <row r="21">
          <cell r="H21" t="str">
            <v>CF value</v>
          </cell>
          <cell r="J21">
            <v>18934.550387869403</v>
          </cell>
          <cell r="U21">
            <v>5.9999999999999991E-2</v>
          </cell>
          <cell r="Z21">
            <v>36.296306698241203</v>
          </cell>
          <cell r="AA21">
            <v>45.211498355794248</v>
          </cell>
          <cell r="AB21">
            <v>45.211498355794248</v>
          </cell>
          <cell r="AC21">
            <v>45.211498355794248</v>
          </cell>
          <cell r="AD21">
            <v>45.211498355794248</v>
          </cell>
          <cell r="AE21">
            <v>39.00754108026495</v>
          </cell>
          <cell r="AF21">
            <v>45.211498355794248</v>
          </cell>
          <cell r="AG21">
            <v>45.211498355794248</v>
          </cell>
          <cell r="AH21">
            <v>45.211498355794248</v>
          </cell>
          <cell r="AI21">
            <v>45.211498355794248</v>
          </cell>
          <cell r="AJ21">
            <v>40.848096384704569</v>
          </cell>
          <cell r="AK21">
            <v>45.211498355794248</v>
          </cell>
          <cell r="AL21">
            <v>45.211498355794248</v>
          </cell>
          <cell r="AM21">
            <v>45.211498355794248</v>
          </cell>
          <cell r="AN21">
            <v>45.211498355794248</v>
          </cell>
          <cell r="AO21">
            <v>42.934059063069476</v>
          </cell>
          <cell r="AP21">
            <v>45.211498355794248</v>
          </cell>
          <cell r="AQ21">
            <v>45.211498355794248</v>
          </cell>
          <cell r="AR21">
            <v>45.211498355794248</v>
          </cell>
          <cell r="AS21">
            <v>45.211498355794248</v>
          </cell>
          <cell r="AT21">
            <v>45.31801640977222</v>
          </cell>
          <cell r="AU21">
            <v>45.211498355794248</v>
          </cell>
          <cell r="AV21">
            <v>45.211498355794248</v>
          </cell>
          <cell r="AW21">
            <v>45.211498355794248</v>
          </cell>
          <cell r="AX21">
            <v>45.211498355794248</v>
          </cell>
          <cell r="AY21">
            <v>48.068736425198466</v>
          </cell>
          <cell r="AZ21">
            <v>45.211498355794248</v>
          </cell>
          <cell r="BA21">
            <v>45.211498355794248</v>
          </cell>
          <cell r="BB21">
            <v>45.211498355794248</v>
          </cell>
          <cell r="BC21">
            <v>45.211498355794248</v>
          </cell>
          <cell r="BD21">
            <v>51.277909776529093</v>
          </cell>
          <cell r="BE21">
            <v>45.211498355794248</v>
          </cell>
          <cell r="BF21">
            <v>45.211498355794248</v>
          </cell>
          <cell r="BG21">
            <v>45.211498355794248</v>
          </cell>
          <cell r="BH21">
            <v>45.211498355794248</v>
          </cell>
          <cell r="BI21">
            <v>55.070569191738002</v>
          </cell>
          <cell r="BJ21">
            <v>45.211498355794248</v>
          </cell>
          <cell r="BK21">
            <v>45.211498355794248</v>
          </cell>
          <cell r="BL21">
            <v>45.211498355794248</v>
          </cell>
          <cell r="BM21">
            <v>45.211498355794248</v>
          </cell>
          <cell r="BN21">
            <v>59.621760489988702</v>
          </cell>
        </row>
        <row r="22">
          <cell r="H22" t="str">
            <v>TV</v>
          </cell>
          <cell r="J22">
            <v>19812.369894384632</v>
          </cell>
          <cell r="U22">
            <v>6.4999999999999988E-2</v>
          </cell>
          <cell r="Z22">
            <v>34.429141829352304</v>
          </cell>
          <cell r="AA22">
            <v>42.020618845109333</v>
          </cell>
          <cell r="AB22">
            <v>42.020618845109333</v>
          </cell>
          <cell r="AC22">
            <v>42.020618845109333</v>
          </cell>
          <cell r="AD22">
            <v>42.020618845109333</v>
          </cell>
          <cell r="AE22">
            <v>36.810416457272673</v>
          </cell>
          <cell r="AF22">
            <v>42.020618845109333</v>
          </cell>
          <cell r="AG22">
            <v>42.020618845109333</v>
          </cell>
          <cell r="AH22">
            <v>42.020618845109333</v>
          </cell>
          <cell r="AI22">
            <v>42.020618845109333</v>
          </cell>
          <cell r="AJ22">
            <v>38.419739576402961</v>
          </cell>
          <cell r="AK22">
            <v>42.020618845109333</v>
          </cell>
          <cell r="AL22">
            <v>42.020618845109333</v>
          </cell>
          <cell r="AM22">
            <v>42.020618845109333</v>
          </cell>
          <cell r="AN22">
            <v>42.020618845109333</v>
          </cell>
          <cell r="AO22">
            <v>40.23022808542455</v>
          </cell>
          <cell r="AP22">
            <v>42.020618845109333</v>
          </cell>
          <cell r="AQ22">
            <v>42.020618845109333</v>
          </cell>
          <cell r="AR22">
            <v>42.020618845109333</v>
          </cell>
          <cell r="AS22">
            <v>42.020618845109333</v>
          </cell>
          <cell r="AT22">
            <v>42.282115062315668</v>
          </cell>
          <cell r="AU22">
            <v>42.020618845109333</v>
          </cell>
          <cell r="AV22">
            <v>42.020618845109333</v>
          </cell>
          <cell r="AW22">
            <v>42.020618845109333</v>
          </cell>
          <cell r="AX22">
            <v>42.020618845109333</v>
          </cell>
          <cell r="AY22">
            <v>44.62712875019124</v>
          </cell>
          <cell r="AZ22">
            <v>42.020618845109333</v>
          </cell>
          <cell r="BA22">
            <v>42.020618845109333</v>
          </cell>
          <cell r="BB22">
            <v>42.020618845109333</v>
          </cell>
          <cell r="BC22">
            <v>42.020618845109333</v>
          </cell>
          <cell r="BD22">
            <v>47.332913774663048</v>
          </cell>
          <cell r="BE22">
            <v>42.020618845109333</v>
          </cell>
          <cell r="BF22">
            <v>42.020618845109333</v>
          </cell>
          <cell r="BG22">
            <v>42.020618845109333</v>
          </cell>
          <cell r="BH22">
            <v>42.020618845109333</v>
          </cell>
          <cell r="BI22">
            <v>50.489662969880165</v>
          </cell>
          <cell r="BJ22">
            <v>42.020618845109333</v>
          </cell>
          <cell r="BK22">
            <v>42.020618845109333</v>
          </cell>
          <cell r="BL22">
            <v>42.020618845109333</v>
          </cell>
          <cell r="BM22">
            <v>42.020618845109333</v>
          </cell>
          <cell r="BN22">
            <v>54.220366564227668</v>
          </cell>
        </row>
        <row r="23">
          <cell r="H23" t="str">
            <v>Firm Value</v>
          </cell>
          <cell r="J23">
            <v>38746.920282254039</v>
          </cell>
          <cell r="U23">
            <v>6.9999999999999993E-2</v>
          </cell>
          <cell r="Z23">
            <v>32.753214008700212</v>
          </cell>
          <cell r="AA23">
            <v>39.276848987815995</v>
          </cell>
          <cell r="AB23">
            <v>39.276848987815995</v>
          </cell>
          <cell r="AC23">
            <v>39.276848987815995</v>
          </cell>
          <cell r="AD23">
            <v>39.276848987815995</v>
          </cell>
          <cell r="AE23">
            <v>34.844324840741685</v>
          </cell>
          <cell r="AF23">
            <v>39.276848987815995</v>
          </cell>
          <cell r="AG23">
            <v>39.276848987815995</v>
          </cell>
          <cell r="AH23">
            <v>39.276848987815995</v>
          </cell>
          <cell r="AI23">
            <v>39.276848987815995</v>
          </cell>
          <cell r="AJ23">
            <v>36.260832659420146</v>
          </cell>
          <cell r="AK23">
            <v>39.276848987815995</v>
          </cell>
          <cell r="AL23">
            <v>39.276848987815995</v>
          </cell>
          <cell r="AM23">
            <v>39.276848987815995</v>
          </cell>
          <cell r="AN23">
            <v>39.276848987815995</v>
          </cell>
          <cell r="AO23">
            <v>37.843988456766667</v>
          </cell>
          <cell r="AP23">
            <v>39.276848987815995</v>
          </cell>
          <cell r="AQ23">
            <v>39.276848987815995</v>
          </cell>
          <cell r="AR23">
            <v>39.276848987815995</v>
          </cell>
          <cell r="AS23">
            <v>39.276848987815995</v>
          </cell>
          <cell r="AT23">
            <v>39.625038728781497</v>
          </cell>
          <cell r="AU23">
            <v>39.276848987815995</v>
          </cell>
          <cell r="AV23">
            <v>39.276848987815995</v>
          </cell>
          <cell r="AW23">
            <v>39.276848987815995</v>
          </cell>
          <cell r="AX23">
            <v>39.276848987815995</v>
          </cell>
          <cell r="AY23">
            <v>41.643562370398307</v>
          </cell>
          <cell r="AZ23">
            <v>39.276848987815995</v>
          </cell>
          <cell r="BA23">
            <v>39.276848987815995</v>
          </cell>
          <cell r="BB23">
            <v>39.276848987815995</v>
          </cell>
          <cell r="BC23">
            <v>39.276848987815995</v>
          </cell>
          <cell r="BD23">
            <v>43.95044653224609</v>
          </cell>
          <cell r="BE23">
            <v>39.276848987815995</v>
          </cell>
          <cell r="BF23">
            <v>39.276848987815995</v>
          </cell>
          <cell r="BG23">
            <v>39.276848987815995</v>
          </cell>
          <cell r="BH23">
            <v>39.276848987815995</v>
          </cell>
          <cell r="BI23">
            <v>46.612235949762763</v>
          </cell>
          <cell r="BJ23">
            <v>39.276848987815995</v>
          </cell>
          <cell r="BK23">
            <v>39.276848987815995</v>
          </cell>
          <cell r="BL23">
            <v>39.276848987815995</v>
          </cell>
          <cell r="BM23">
            <v>39.276848987815995</v>
          </cell>
          <cell r="BN23">
            <v>49.717656936865545</v>
          </cell>
        </row>
        <row r="24">
          <cell r="H24" t="str">
            <v>TV as % of firm value</v>
          </cell>
          <cell r="J24">
            <v>0.51132760358914597</v>
          </cell>
          <cell r="U24">
            <v>7.4999999999999997E-2</v>
          </cell>
          <cell r="Z24">
            <v>31.239986122298539</v>
          </cell>
          <cell r="AA24">
            <v>36.891002966086809</v>
          </cell>
          <cell r="AB24">
            <v>36.891002966086809</v>
          </cell>
          <cell r="AC24">
            <v>36.891002966086809</v>
          </cell>
          <cell r="AD24">
            <v>36.891002966086809</v>
          </cell>
          <cell r="AE24">
            <v>33.074642326422207</v>
          </cell>
          <cell r="AF24">
            <v>36.891002966086809</v>
          </cell>
          <cell r="AG24">
            <v>36.891002966086809</v>
          </cell>
          <cell r="AH24">
            <v>36.891002966086809</v>
          </cell>
          <cell r="AI24">
            <v>36.891002966086809</v>
          </cell>
          <cell r="AJ24">
            <v>34.328866255952171</v>
          </cell>
          <cell r="AK24">
            <v>36.891002966086809</v>
          </cell>
          <cell r="AL24">
            <v>36.891002966086809</v>
          </cell>
          <cell r="AM24">
            <v>36.891002966086809</v>
          </cell>
          <cell r="AN24">
            <v>36.891002966086809</v>
          </cell>
          <cell r="AO24">
            <v>35.722448399874352</v>
          </cell>
          <cell r="AP24">
            <v>36.891002966086809</v>
          </cell>
          <cell r="AQ24">
            <v>36.891002966086809</v>
          </cell>
          <cell r="AR24">
            <v>36.891002966086809</v>
          </cell>
          <cell r="AS24">
            <v>36.891002966086809</v>
          </cell>
          <cell r="AT24">
            <v>37.279981384257958</v>
          </cell>
          <cell r="AU24">
            <v>36.891002966086809</v>
          </cell>
          <cell r="AV24">
            <v>36.891002966086809</v>
          </cell>
          <cell r="AW24">
            <v>36.891002966086809</v>
          </cell>
          <cell r="AX24">
            <v>36.891002966086809</v>
          </cell>
          <cell r="AY24">
            <v>39.03220599168953</v>
          </cell>
          <cell r="AZ24">
            <v>36.891002966086809</v>
          </cell>
          <cell r="BA24">
            <v>36.891002966086809</v>
          </cell>
          <cell r="BB24">
            <v>36.891002966086809</v>
          </cell>
          <cell r="BC24">
            <v>36.891002966086809</v>
          </cell>
          <cell r="BD24">
            <v>41.018060546778635</v>
          </cell>
          <cell r="BE24">
            <v>36.891002966086809</v>
          </cell>
          <cell r="BF24">
            <v>36.891002966086809</v>
          </cell>
          <cell r="BG24">
            <v>36.891002966086809</v>
          </cell>
          <cell r="BH24">
            <v>36.891002966086809</v>
          </cell>
          <cell r="BI24">
            <v>43.28760860973761</v>
          </cell>
          <cell r="BJ24">
            <v>36.891002966086809</v>
          </cell>
          <cell r="BK24">
            <v>36.891002966086809</v>
          </cell>
          <cell r="BL24">
            <v>36.891002966086809</v>
          </cell>
          <cell r="BM24">
            <v>36.891002966086809</v>
          </cell>
          <cell r="BN24">
            <v>45.90631791315181</v>
          </cell>
        </row>
        <row r="25">
          <cell r="H25" t="str">
            <v>Debt</v>
          </cell>
          <cell r="J25">
            <v>6888.9</v>
          </cell>
          <cell r="P25" t="str">
            <v>WACC</v>
          </cell>
          <cell r="U25">
            <v>0.08</v>
          </cell>
          <cell r="Z25">
            <v>29.866351817741549</v>
          </cell>
          <cell r="AA25">
            <v>34.796183856355967</v>
          </cell>
          <cell r="AB25">
            <v>34.796183856355967</v>
          </cell>
          <cell r="AC25">
            <v>34.796183856355967</v>
          </cell>
          <cell r="AD25">
            <v>34.796183856355967</v>
          </cell>
          <cell r="AE25">
            <v>31.473338194584553</v>
          </cell>
          <cell r="AF25">
            <v>34.796183856355967</v>
          </cell>
          <cell r="AG25">
            <v>34.796183856355967</v>
          </cell>
          <cell r="AH25">
            <v>34.796183856355967</v>
          </cell>
          <cell r="AI25">
            <v>34.796183856355967</v>
          </cell>
          <cell r="AJ25">
            <v>32.589830847099471</v>
          </cell>
          <cell r="AK25">
            <v>34.796183856355967</v>
          </cell>
          <cell r="AL25">
            <v>34.796183856355967</v>
          </cell>
          <cell r="AM25">
            <v>34.796183856355967</v>
          </cell>
          <cell r="AN25">
            <v>34.796183856355967</v>
          </cell>
          <cell r="AO25">
            <v>33.823849041984381</v>
          </cell>
          <cell r="AP25">
            <v>34.796183856355967</v>
          </cell>
          <cell r="AQ25">
            <v>34.796183856355967</v>
          </cell>
          <cell r="AR25">
            <v>34.796183856355967</v>
          </cell>
          <cell r="AS25">
            <v>34.796183856355967</v>
          </cell>
          <cell r="AT25">
            <v>35.194980369634287</v>
          </cell>
          <cell r="AU25">
            <v>34.796183856355967</v>
          </cell>
          <cell r="AV25">
            <v>34.796183856355967</v>
          </cell>
          <cell r="AW25">
            <v>34.796183856355967</v>
          </cell>
          <cell r="AX25">
            <v>34.796183856355967</v>
          </cell>
          <cell r="AY25">
            <v>36.727421265243002</v>
          </cell>
          <cell r="AZ25">
            <v>34.796183856355967</v>
          </cell>
          <cell r="BA25">
            <v>34.796183856355967</v>
          </cell>
          <cell r="BB25">
            <v>34.796183856355967</v>
          </cell>
          <cell r="BC25">
            <v>34.796183856355967</v>
          </cell>
          <cell r="BD25">
            <v>38.451417272802793</v>
          </cell>
          <cell r="BE25">
            <v>34.796183856355967</v>
          </cell>
          <cell r="BF25">
            <v>34.796183856355967</v>
          </cell>
          <cell r="BG25">
            <v>34.796183856355967</v>
          </cell>
          <cell r="BH25">
            <v>34.796183856355967</v>
          </cell>
          <cell r="BI25">
            <v>40.405279414703905</v>
          </cell>
          <cell r="BJ25">
            <v>34.796183856355967</v>
          </cell>
          <cell r="BK25">
            <v>34.796183856355967</v>
          </cell>
          <cell r="BL25">
            <v>34.796183856355967</v>
          </cell>
          <cell r="BM25">
            <v>34.796183856355967</v>
          </cell>
          <cell r="BN25">
            <v>42.638264719733733</v>
          </cell>
        </row>
        <row r="26">
          <cell r="H26" t="str">
            <v>Cash</v>
          </cell>
          <cell r="J26">
            <v>5196.600000000004</v>
          </cell>
          <cell r="U26">
            <v>8.5000000000000006E-2</v>
          </cell>
          <cell r="Z26">
            <v>28.613401423203477</v>
          </cell>
          <cell r="AA26">
            <v>32.94122834973065</v>
          </cell>
          <cell r="AB26">
            <v>32.94122834973065</v>
          </cell>
          <cell r="AC26">
            <v>32.94122834973065</v>
          </cell>
          <cell r="AD26">
            <v>32.94122834973065</v>
          </cell>
          <cell r="AE26">
            <v>30.017476558305074</v>
          </cell>
          <cell r="AF26">
            <v>32.94122834973065</v>
          </cell>
          <cell r="AG26">
            <v>32.94122834973065</v>
          </cell>
          <cell r="AH26">
            <v>32.94122834973065</v>
          </cell>
          <cell r="AI26">
            <v>32.94122834973065</v>
          </cell>
          <cell r="AJ26">
            <v>31.01619310379369</v>
          </cell>
          <cell r="AK26">
            <v>32.94122834973065</v>
          </cell>
          <cell r="AL26">
            <v>32.94122834973065</v>
          </cell>
          <cell r="AM26">
            <v>32.94122834973065</v>
          </cell>
          <cell r="AN26">
            <v>32.94122834973065</v>
          </cell>
          <cell r="AO26">
            <v>32.114781303831165</v>
          </cell>
          <cell r="AP26">
            <v>32.94122834973065</v>
          </cell>
          <cell r="AQ26">
            <v>32.94122834973065</v>
          </cell>
          <cell r="AR26">
            <v>32.94122834973065</v>
          </cell>
          <cell r="AS26">
            <v>32.94122834973065</v>
          </cell>
          <cell r="AT26">
            <v>33.329010367030484</v>
          </cell>
          <cell r="AU26">
            <v>32.94122834973065</v>
          </cell>
          <cell r="AV26">
            <v>32.94122834973065</v>
          </cell>
          <cell r="AW26">
            <v>32.94122834973065</v>
          </cell>
          <cell r="AX26">
            <v>32.94122834973065</v>
          </cell>
          <cell r="AY26">
            <v>34.678153770585283</v>
          </cell>
          <cell r="AZ26">
            <v>32.94122834973065</v>
          </cell>
          <cell r="BA26">
            <v>32.94122834973065</v>
          </cell>
          <cell r="BB26">
            <v>32.94122834973065</v>
          </cell>
          <cell r="BC26">
            <v>32.94122834973065</v>
          </cell>
          <cell r="BD26">
            <v>36.186019927499451</v>
          </cell>
          <cell r="BE26">
            <v>32.94122834973065</v>
          </cell>
          <cell r="BF26">
            <v>32.94122834973065</v>
          </cell>
          <cell r="BG26">
            <v>32.94122834973065</v>
          </cell>
          <cell r="BH26">
            <v>32.94122834973065</v>
          </cell>
          <cell r="BI26">
            <v>37.882369354027908</v>
          </cell>
          <cell r="BJ26">
            <v>32.94122834973065</v>
          </cell>
          <cell r="BK26">
            <v>32.94122834973065</v>
          </cell>
          <cell r="BL26">
            <v>32.94122834973065</v>
          </cell>
          <cell r="BM26">
            <v>32.94122834973065</v>
          </cell>
          <cell r="BN26">
            <v>39.804898704093496</v>
          </cell>
        </row>
        <row r="27">
          <cell r="H27" t="str">
            <v>Equity Value</v>
          </cell>
          <cell r="J27">
            <v>37054.620282254044</v>
          </cell>
          <cell r="U27">
            <v>9.0000000000000011E-2</v>
          </cell>
          <cell r="Z27">
            <v>27.465509792927993</v>
          </cell>
          <cell r="AA27">
            <v>31.286336554152637</v>
          </cell>
          <cell r="AB27">
            <v>31.286336554152637</v>
          </cell>
          <cell r="AC27">
            <v>31.286336554152637</v>
          </cell>
          <cell r="AD27">
            <v>31.286336554152637</v>
          </cell>
          <cell r="AE27">
            <v>28.688108880741098</v>
          </cell>
          <cell r="AF27">
            <v>31.286336554152637</v>
          </cell>
          <cell r="AG27">
            <v>31.286336554152637</v>
          </cell>
          <cell r="AH27">
            <v>31.286336554152637</v>
          </cell>
          <cell r="AI27">
            <v>31.286336554152637</v>
          </cell>
          <cell r="AJ27">
            <v>29.585424121742228</v>
          </cell>
          <cell r="AK27">
            <v>31.286336554152637</v>
          </cell>
          <cell r="AL27">
            <v>31.286336554152637</v>
          </cell>
          <cell r="AM27">
            <v>31.286336554152637</v>
          </cell>
          <cell r="AN27">
            <v>31.286336554152637</v>
          </cell>
          <cell r="AO27">
            <v>30.568197957124433</v>
          </cell>
          <cell r="AP27">
            <v>31.286336554152637</v>
          </cell>
          <cell r="AQ27">
            <v>31.286336554152637</v>
          </cell>
          <cell r="AR27">
            <v>31.286336554152637</v>
          </cell>
          <cell r="AS27">
            <v>31.286336554152637</v>
          </cell>
          <cell r="AT27">
            <v>31.649249176044847</v>
          </cell>
          <cell r="AU27">
            <v>31.286336554152637</v>
          </cell>
          <cell r="AV27">
            <v>31.286336554152637</v>
          </cell>
          <cell r="AW27">
            <v>31.286336554152637</v>
          </cell>
          <cell r="AX27">
            <v>31.286336554152637</v>
          </cell>
          <cell r="AY27">
            <v>32.844095260114784</v>
          </cell>
          <cell r="AZ27">
            <v>31.286336554152637</v>
          </cell>
          <cell r="BA27">
            <v>31.286336554152637</v>
          </cell>
          <cell r="BB27">
            <v>31.286336554152637</v>
          </cell>
          <cell r="BC27">
            <v>31.286336554152637</v>
          </cell>
          <cell r="BD27">
            <v>34.171702020192491</v>
          </cell>
          <cell r="BE27">
            <v>31.286336554152637</v>
          </cell>
          <cell r="BF27">
            <v>31.286336554152637</v>
          </cell>
          <cell r="BG27">
            <v>31.286336554152637</v>
          </cell>
          <cell r="BH27">
            <v>31.286336554152637</v>
          </cell>
          <cell r="BI27">
            <v>35.655497810867566</v>
          </cell>
          <cell r="BJ27">
            <v>31.286336554152637</v>
          </cell>
          <cell r="BK27">
            <v>31.286336554152637</v>
          </cell>
          <cell r="BL27">
            <v>31.286336554152637</v>
          </cell>
          <cell r="BM27">
            <v>31.286336554152637</v>
          </cell>
          <cell r="BN27">
            <v>37.32476807537703</v>
          </cell>
        </row>
        <row r="28">
          <cell r="U28">
            <v>9.5000000000000015E-2</v>
          </cell>
          <cell r="Z28">
            <v>26.409652184338402</v>
          </cell>
          <cell r="AA28">
            <v>29.800081848715003</v>
          </cell>
          <cell r="AB28">
            <v>29.800081848715003</v>
          </cell>
          <cell r="AC28">
            <v>29.800081848715003</v>
          </cell>
          <cell r="AD28">
            <v>29.800081848715003</v>
          </cell>
          <cell r="AE28">
            <v>27.469443358241673</v>
          </cell>
          <cell r="AF28">
            <v>29.800081848715003</v>
          </cell>
          <cell r="AG28">
            <v>29.800081848715003</v>
          </cell>
          <cell r="AH28">
            <v>29.800081848715003</v>
          </cell>
          <cell r="AI28">
            <v>29.800081848715003</v>
          </cell>
          <cell r="AJ28">
            <v>28.278911589922938</v>
          </cell>
          <cell r="AK28">
            <v>29.800081848715003</v>
          </cell>
          <cell r="AL28">
            <v>29.800081848715003</v>
          </cell>
          <cell r="AM28">
            <v>29.800081848715003</v>
          </cell>
          <cell r="AN28">
            <v>29.800081848715003</v>
          </cell>
          <cell r="AO28">
            <v>29.16196784266614</v>
          </cell>
          <cell r="AP28">
            <v>29.800081848715003</v>
          </cell>
          <cell r="AQ28">
            <v>29.800081848715003</v>
          </cell>
          <cell r="AR28">
            <v>29.800081848715003</v>
          </cell>
          <cell r="AS28">
            <v>29.800081848715003</v>
          </cell>
          <cell r="AT28">
            <v>30.129124690908693</v>
          </cell>
          <cell r="AU28">
            <v>29.800081848715003</v>
          </cell>
          <cell r="AV28">
            <v>29.800081848715003</v>
          </cell>
          <cell r="AW28">
            <v>29.800081848715003</v>
          </cell>
          <cell r="AX28">
            <v>29.800081848715003</v>
          </cell>
          <cell r="AY28">
            <v>31.192997223975496</v>
          </cell>
          <cell r="AZ28">
            <v>29.800081848715003</v>
          </cell>
          <cell r="BA28">
            <v>29.800081848715003</v>
          </cell>
          <cell r="BB28">
            <v>29.800081848715003</v>
          </cell>
          <cell r="BC28">
            <v>29.800081848715003</v>
          </cell>
          <cell r="BD28">
            <v>32.368856339470391</v>
          </cell>
          <cell r="BE28">
            <v>29.800081848715003</v>
          </cell>
          <cell r="BF28">
            <v>29.800081848715003</v>
          </cell>
          <cell r="BG28">
            <v>29.800081848715003</v>
          </cell>
          <cell r="BH28">
            <v>29.800081848715003</v>
          </cell>
          <cell r="BI28">
            <v>33.67536646779805</v>
          </cell>
          <cell r="BJ28">
            <v>29.800081848715003</v>
          </cell>
          <cell r="BK28">
            <v>29.800081848715003</v>
          </cell>
          <cell r="BL28">
            <v>29.800081848715003</v>
          </cell>
          <cell r="BM28">
            <v>29.800081848715003</v>
          </cell>
          <cell r="BN28">
            <v>35.135583670046607</v>
          </cell>
        </row>
        <row r="29">
          <cell r="H29" t="str">
            <v>Shares</v>
          </cell>
          <cell r="J29">
            <v>1103.5312287364941</v>
          </cell>
          <cell r="U29">
            <v>0.10000000000000002</v>
          </cell>
          <cell r="Z29">
            <v>25.434884318238222</v>
          </cell>
          <cell r="AA29">
            <v>28.457317772349153</v>
          </cell>
          <cell r="AB29">
            <v>28.457317772349153</v>
          </cell>
          <cell r="AC29">
            <v>28.457317772349153</v>
          </cell>
          <cell r="AD29">
            <v>28.457317772349153</v>
          </cell>
          <cell r="AE29">
            <v>26.348213647131018</v>
          </cell>
          <cell r="AF29">
            <v>28.457317772349153</v>
          </cell>
          <cell r="AG29">
            <v>28.457317772349153</v>
          </cell>
          <cell r="AH29">
            <v>28.457317772349153</v>
          </cell>
          <cell r="AI29">
            <v>28.457317772349153</v>
          </cell>
          <cell r="AJ29">
            <v>27.081143912296877</v>
          </cell>
          <cell r="AK29">
            <v>28.457317772349153</v>
          </cell>
          <cell r="AL29">
            <v>28.457317772349153</v>
          </cell>
          <cell r="AM29">
            <v>28.457317772349153</v>
          </cell>
          <cell r="AN29">
            <v>28.457317772349153</v>
          </cell>
          <cell r="AO29">
            <v>27.877807243998895</v>
          </cell>
          <cell r="AP29">
            <v>28.457317772349153</v>
          </cell>
          <cell r="AQ29">
            <v>28.457317772349153</v>
          </cell>
          <cell r="AR29">
            <v>28.457317772349153</v>
          </cell>
          <cell r="AS29">
            <v>28.457317772349153</v>
          </cell>
          <cell r="AT29">
            <v>28.746894514946554</v>
          </cell>
          <cell r="AU29">
            <v>28.457317772349153</v>
          </cell>
          <cell r="AV29">
            <v>28.457317772349153</v>
          </cell>
          <cell r="AW29">
            <v>28.457317772349153</v>
          </cell>
          <cell r="AX29">
            <v>28.457317772349153</v>
          </cell>
          <cell r="AY29">
            <v>29.698752002174945</v>
          </cell>
          <cell r="AZ29">
            <v>28.457317772349153</v>
          </cell>
          <cell r="BA29">
            <v>28.457317772349153</v>
          </cell>
          <cell r="BB29">
            <v>28.457317772349153</v>
          </cell>
          <cell r="BC29">
            <v>28.457317772349153</v>
          </cell>
          <cell r="BD29">
            <v>30.745795238126167</v>
          </cell>
          <cell r="BE29">
            <v>28.457317772349153</v>
          </cell>
          <cell r="BF29">
            <v>28.457317772349153</v>
          </cell>
          <cell r="BG29">
            <v>28.457317772349153</v>
          </cell>
          <cell r="BH29">
            <v>28.457317772349153</v>
          </cell>
          <cell r="BI29">
            <v>31.903053551545938</v>
          </cell>
          <cell r="BJ29">
            <v>28.457317772349153</v>
          </cell>
          <cell r="BK29">
            <v>28.457317772349153</v>
          </cell>
          <cell r="BL29">
            <v>28.457317772349153</v>
          </cell>
          <cell r="BM29">
            <v>28.457317772349153</v>
          </cell>
          <cell r="BN29">
            <v>33.188896122012352</v>
          </cell>
        </row>
        <row r="30">
          <cell r="H30" t="str">
            <v>CF value/share</v>
          </cell>
          <cell r="J30">
            <v>17.158146407463995</v>
          </cell>
        </row>
        <row r="31">
          <cell r="H31" t="str">
            <v>TV/share</v>
          </cell>
          <cell r="J31">
            <v>17.953610535398372</v>
          </cell>
        </row>
        <row r="32">
          <cell r="H32" t="str">
            <v>Net cash/share</v>
          </cell>
          <cell r="J32">
            <v>-1.5335315901640789</v>
          </cell>
        </row>
        <row r="33">
          <cell r="H33" t="str">
            <v>Price/share</v>
          </cell>
          <cell r="J33">
            <v>33.57822535269829</v>
          </cell>
        </row>
        <row r="34">
          <cell r="H34" t="str">
            <v>Current price</v>
          </cell>
          <cell r="J34">
            <v>35.15</v>
          </cell>
        </row>
        <row r="35">
          <cell r="H35" t="str">
            <v>Upside (downside)</v>
          </cell>
          <cell r="J35">
            <v>-4.4716206182125462E-2</v>
          </cell>
        </row>
        <row r="37">
          <cell r="H37" t="str">
            <v>**We assume one-time charge expense in out years for cash restructuring and litigation outflows.</v>
          </cell>
        </row>
        <row r="38">
          <cell r="AO38" t="str">
            <v>TV per share</v>
          </cell>
        </row>
        <row r="39">
          <cell r="P39" t="str">
            <v>WACC</v>
          </cell>
          <cell r="AT39" t="str">
            <v>Perpetuity</v>
          </cell>
        </row>
        <row r="40">
          <cell r="Z40">
            <v>-2.5000000000000001E-2</v>
          </cell>
          <cell r="AE40">
            <v>-0.02</v>
          </cell>
          <cell r="AJ40">
            <v>-1.4999999999999999E-2</v>
          </cell>
          <cell r="AO40">
            <v>-0.01</v>
          </cell>
          <cell r="AT40">
            <v>-5.0000000000000001E-3</v>
          </cell>
          <cell r="AY40">
            <v>0</v>
          </cell>
          <cell r="BD40">
            <v>5.0000000000000001E-3</v>
          </cell>
          <cell r="BI40">
            <v>0.01</v>
          </cell>
          <cell r="BN40">
            <v>1.4999999999999999E-2</v>
          </cell>
        </row>
        <row r="41">
          <cell r="U41">
            <v>7.9999999999999988E-2</v>
          </cell>
          <cell r="Z41">
            <v>14.24173700044164</v>
          </cell>
          <cell r="AA41">
            <v>19.171569039056052</v>
          </cell>
          <cell r="AB41">
            <v>19.171569039056052</v>
          </cell>
          <cell r="AC41">
            <v>19.171569039056052</v>
          </cell>
          <cell r="AD41">
            <v>19.171569039056052</v>
          </cell>
          <cell r="AE41">
            <v>15.030510126619943</v>
          </cell>
          <cell r="AF41">
            <v>19.171569039056052</v>
          </cell>
          <cell r="AG41">
            <v>19.171569039056052</v>
          </cell>
          <cell r="AH41">
            <v>19.171569039056052</v>
          </cell>
          <cell r="AI41">
            <v>19.171569039056052</v>
          </cell>
          <cell r="AJ41">
            <v>15.902312002922281</v>
          </cell>
          <cell r="AK41">
            <v>19.171569039056052</v>
          </cell>
          <cell r="AL41">
            <v>19.171569039056052</v>
          </cell>
          <cell r="AM41">
            <v>19.171569039056052</v>
          </cell>
          <cell r="AN41">
            <v>19.171569039056052</v>
          </cell>
          <cell r="AO41">
            <v>16.870980754369331</v>
          </cell>
          <cell r="AP41">
            <v>19.171569039056052</v>
          </cell>
          <cell r="AQ41">
            <v>19.171569039056052</v>
          </cell>
          <cell r="AR41">
            <v>19.171569039056052</v>
          </cell>
          <cell r="AS41">
            <v>19.171569039056052</v>
          </cell>
          <cell r="AT41">
            <v>17.953610535398372</v>
          </cell>
          <cell r="AU41">
            <v>19.171569039056052</v>
          </cell>
          <cell r="AV41">
            <v>19.171569039056052</v>
          </cell>
          <cell r="AW41">
            <v>19.171569039056052</v>
          </cell>
          <cell r="AX41">
            <v>19.171569039056052</v>
          </cell>
          <cell r="AY41">
            <v>19.171569039056052</v>
          </cell>
          <cell r="AZ41">
            <v>19.171569039056052</v>
          </cell>
          <cell r="BA41">
            <v>19.171569039056052</v>
          </cell>
          <cell r="BB41">
            <v>19.171569039056052</v>
          </cell>
          <cell r="BC41">
            <v>19.171569039056052</v>
          </cell>
          <cell r="BD41">
            <v>20.551922009868093</v>
          </cell>
          <cell r="BE41">
            <v>19.171569039056052</v>
          </cell>
          <cell r="BF41">
            <v>19.171569039056052</v>
          </cell>
          <cell r="BG41">
            <v>19.171569039056052</v>
          </cell>
          <cell r="BH41">
            <v>19.171569039056052</v>
          </cell>
          <cell r="BI41">
            <v>22.129468262224698</v>
          </cell>
          <cell r="BJ41">
            <v>19.171569039056052</v>
          </cell>
          <cell r="BK41">
            <v>19.171569039056052</v>
          </cell>
          <cell r="BL41">
            <v>19.171569039056052</v>
          </cell>
          <cell r="BM41">
            <v>19.171569039056052</v>
          </cell>
          <cell r="BN41">
            <v>23.949713938020793</v>
          </cell>
        </row>
        <row r="42">
          <cell r="U42">
            <v>8.4999999999999992E-2</v>
          </cell>
          <cell r="Z42">
            <v>13.222807614228175</v>
          </cell>
          <cell r="AA42">
            <v>17.550634540755347</v>
          </cell>
          <cell r="AB42">
            <v>17.550634540755347</v>
          </cell>
          <cell r="AC42">
            <v>17.550634540755347</v>
          </cell>
          <cell r="AD42">
            <v>17.550634540755347</v>
          </cell>
          <cell r="AE42">
            <v>13.923503402332575</v>
          </cell>
          <cell r="AF42">
            <v>17.550634540755347</v>
          </cell>
          <cell r="AG42">
            <v>17.550634540755347</v>
          </cell>
          <cell r="AH42">
            <v>17.550634540755347</v>
          </cell>
          <cell r="AI42">
            <v>17.550634540755347</v>
          </cell>
          <cell r="AJ42">
            <v>14.694268769247413</v>
          </cell>
          <cell r="AK42">
            <v>17.550634540755347</v>
          </cell>
          <cell r="AL42">
            <v>17.550634540755347</v>
          </cell>
          <cell r="AM42">
            <v>17.550634540755347</v>
          </cell>
          <cell r="AN42">
            <v>17.550634540755347</v>
          </cell>
          <cell r="AO42">
            <v>15.546167332679607</v>
          </cell>
          <cell r="AP42">
            <v>17.550634540755347</v>
          </cell>
          <cell r="AQ42">
            <v>17.550634540755347</v>
          </cell>
          <cell r="AR42">
            <v>17.550634540755347</v>
          </cell>
          <cell r="AS42">
            <v>17.550634540755347</v>
          </cell>
          <cell r="AT42">
            <v>16.492721292048703</v>
          </cell>
          <cell r="AU42">
            <v>17.550634540755347</v>
          </cell>
          <cell r="AV42">
            <v>17.550634540755347</v>
          </cell>
          <cell r="AW42">
            <v>17.550634540755347</v>
          </cell>
          <cell r="AX42">
            <v>17.550634540755347</v>
          </cell>
          <cell r="AY42">
            <v>17.550634540755347</v>
          </cell>
          <cell r="AZ42">
            <v>17.550634540755347</v>
          </cell>
          <cell r="BA42">
            <v>17.550634540755347</v>
          </cell>
          <cell r="BB42">
            <v>17.550634540755347</v>
          </cell>
          <cell r="BC42">
            <v>17.550634540755347</v>
          </cell>
          <cell r="BD42">
            <v>18.740786945550322</v>
          </cell>
          <cell r="BE42">
            <v>17.550634540755347</v>
          </cell>
          <cell r="BF42">
            <v>17.550634540755347</v>
          </cell>
          <cell r="BG42">
            <v>17.550634540755347</v>
          </cell>
          <cell r="BH42">
            <v>17.550634540755347</v>
          </cell>
          <cell r="BI42">
            <v>20.089626337651286</v>
          </cell>
          <cell r="BJ42">
            <v>17.550634540755347</v>
          </cell>
          <cell r="BK42">
            <v>17.550634540755347</v>
          </cell>
          <cell r="BL42">
            <v>17.550634540755347</v>
          </cell>
          <cell r="BM42">
            <v>17.550634540755347</v>
          </cell>
          <cell r="BN42">
            <v>21.631157071480963</v>
          </cell>
        </row>
        <row r="43">
          <cell r="U43">
            <v>0.09</v>
          </cell>
          <cell r="Z43">
            <v>12.303763240273879</v>
          </cell>
          <cell r="AA43">
            <v>16.124590001498529</v>
          </cell>
          <cell r="AB43">
            <v>16.124590001498529</v>
          </cell>
          <cell r="AC43">
            <v>16.124590001498529</v>
          </cell>
          <cell r="AD43">
            <v>16.124590001498529</v>
          </cell>
          <cell r="AE43">
            <v>12.928989437565182</v>
          </cell>
          <cell r="AF43">
            <v>16.124590001498529</v>
          </cell>
          <cell r="AG43">
            <v>16.124590001498529</v>
          </cell>
          <cell r="AH43">
            <v>16.124590001498529</v>
          </cell>
          <cell r="AI43">
            <v>16.124590001498529</v>
          </cell>
          <cell r="AJ43">
            <v>13.613760986979472</v>
          </cell>
          <cell r="AK43">
            <v>16.124590001498529</v>
          </cell>
          <cell r="AL43">
            <v>16.124590001498529</v>
          </cell>
          <cell r="AM43">
            <v>16.124590001498529</v>
          </cell>
          <cell r="AN43">
            <v>16.124590001498529</v>
          </cell>
          <cell r="AO43">
            <v>14.367009691335191</v>
          </cell>
          <cell r="AP43">
            <v>16.124590001498529</v>
          </cell>
          <cell r="AQ43">
            <v>16.124590001498529</v>
          </cell>
          <cell r="AR43">
            <v>16.124590001498529</v>
          </cell>
          <cell r="AS43">
            <v>16.124590001498529</v>
          </cell>
          <cell r="AT43">
            <v>15.199547732991508</v>
          </cell>
          <cell r="AU43">
            <v>16.124590001498529</v>
          </cell>
          <cell r="AV43">
            <v>16.124590001498529</v>
          </cell>
          <cell r="AW43">
            <v>16.124590001498529</v>
          </cell>
          <cell r="AX43">
            <v>16.124590001498529</v>
          </cell>
          <cell r="AY43">
            <v>16.124590001498529</v>
          </cell>
          <cell r="AZ43">
            <v>16.124590001498529</v>
          </cell>
          <cell r="BA43">
            <v>16.124590001498529</v>
          </cell>
          <cell r="BB43">
            <v>16.124590001498529</v>
          </cell>
          <cell r="BC43">
            <v>16.124590001498529</v>
          </cell>
          <cell r="BD43">
            <v>17.158460772182849</v>
          </cell>
          <cell r="BE43">
            <v>16.124590001498529</v>
          </cell>
          <cell r="BF43">
            <v>16.124590001498529</v>
          </cell>
          <cell r="BG43">
            <v>16.124590001498529</v>
          </cell>
          <cell r="BH43">
            <v>16.124590001498529</v>
          </cell>
          <cell r="BI43">
            <v>18.321565389202703</v>
          </cell>
          <cell r="BJ43">
            <v>16.124590001498529</v>
          </cell>
          <cell r="BK43">
            <v>16.124590001498529</v>
          </cell>
          <cell r="BL43">
            <v>16.124590001498529</v>
          </cell>
          <cell r="BM43">
            <v>16.124590001498529</v>
          </cell>
          <cell r="BN43">
            <v>19.639750621825208</v>
          </cell>
        </row>
        <row r="44">
          <cell r="U44">
            <v>9.5000000000000001E-2</v>
          </cell>
          <cell r="Z44">
            <v>11.471727768507133</v>
          </cell>
          <cell r="AA44">
            <v>14.862157432883734</v>
          </cell>
          <cell r="AB44">
            <v>14.862157432883734</v>
          </cell>
          <cell r="AC44">
            <v>14.862157432883734</v>
          </cell>
          <cell r="AD44">
            <v>14.862157432883734</v>
          </cell>
          <cell r="AE44">
            <v>12.03188571305631</v>
          </cell>
          <cell r="AF44">
            <v>14.862157432883734</v>
          </cell>
          <cell r="AG44">
            <v>14.862157432883734</v>
          </cell>
          <cell r="AH44">
            <v>14.862157432883734</v>
          </cell>
          <cell r="AI44">
            <v>14.862157432883734</v>
          </cell>
          <cell r="AJ44">
            <v>12.642967107109957</v>
          </cell>
          <cell r="AK44">
            <v>14.862157432883734</v>
          </cell>
          <cell r="AL44">
            <v>14.862157432883734</v>
          </cell>
          <cell r="AM44">
            <v>14.862157432883734</v>
          </cell>
          <cell r="AN44">
            <v>14.862157432883734</v>
          </cell>
          <cell r="AO44">
            <v>13.312246729168718</v>
          </cell>
          <cell r="AP44">
            <v>14.862157432883734</v>
          </cell>
          <cell r="AQ44">
            <v>14.862157432883734</v>
          </cell>
          <cell r="AR44">
            <v>14.862157432883734</v>
          </cell>
          <cell r="AS44">
            <v>14.862157432883734</v>
          </cell>
          <cell r="AT44">
            <v>14.04845431343335</v>
          </cell>
          <cell r="AU44">
            <v>14.862157432883734</v>
          </cell>
          <cell r="AV44">
            <v>14.862157432883734</v>
          </cell>
          <cell r="AW44">
            <v>14.862157432883734</v>
          </cell>
          <cell r="AX44">
            <v>14.862157432883734</v>
          </cell>
          <cell r="AY44">
            <v>14.862157432883734</v>
          </cell>
          <cell r="AZ44">
            <v>14.862157432883734</v>
          </cell>
          <cell r="BA44">
            <v>14.862157432883734</v>
          </cell>
          <cell r="BB44">
            <v>14.862157432883734</v>
          </cell>
          <cell r="BC44">
            <v>14.862157432883734</v>
          </cell>
          <cell r="BD44">
            <v>15.766272010050828</v>
          </cell>
          <cell r="BE44">
            <v>14.862157432883734</v>
          </cell>
          <cell r="BF44">
            <v>14.862157432883734</v>
          </cell>
          <cell r="BG44">
            <v>14.862157432883734</v>
          </cell>
          <cell r="BH44">
            <v>14.862157432883734</v>
          </cell>
          <cell r="BI44">
            <v>16.776753008061107</v>
          </cell>
          <cell r="BJ44">
            <v>14.862157432883734</v>
          </cell>
          <cell r="BK44">
            <v>14.862157432883734</v>
          </cell>
          <cell r="BL44">
            <v>14.862157432883734</v>
          </cell>
          <cell r="BM44">
            <v>14.862157432883734</v>
          </cell>
          <cell r="BN44">
            <v>17.913544130822675</v>
          </cell>
        </row>
        <row r="45">
          <cell r="U45">
            <v>0.1</v>
          </cell>
          <cell r="Z45">
            <v>10.715900428211482</v>
          </cell>
          <cell r="AA45">
            <v>13.738333882322411</v>
          </cell>
          <cell r="AB45">
            <v>13.738333882322411</v>
          </cell>
          <cell r="AC45">
            <v>13.738333882322411</v>
          </cell>
          <cell r="AD45">
            <v>13.738333882322411</v>
          </cell>
          <cell r="AE45">
            <v>11.219639337229969</v>
          </cell>
          <cell r="AF45">
            <v>13.738333882322411</v>
          </cell>
          <cell r="AG45">
            <v>13.738333882322411</v>
          </cell>
          <cell r="AH45">
            <v>13.738333882322411</v>
          </cell>
          <cell r="AI45">
            <v>13.738333882322411</v>
          </cell>
          <cell r="AJ45">
            <v>11.767181629641369</v>
          </cell>
          <cell r="AK45">
            <v>13.738333882322411</v>
          </cell>
          <cell r="AL45">
            <v>13.738333882322411</v>
          </cell>
          <cell r="AM45">
            <v>13.738333882322411</v>
          </cell>
          <cell r="AN45">
            <v>13.738333882322411</v>
          </cell>
          <cell r="AO45">
            <v>12.364500494090171</v>
          </cell>
          <cell r="AP45">
            <v>13.738333882322411</v>
          </cell>
          <cell r="AQ45">
            <v>13.738333882322411</v>
          </cell>
          <cell r="AR45">
            <v>13.738333882322411</v>
          </cell>
          <cell r="AS45">
            <v>13.738333882322411</v>
          </cell>
          <cell r="AT45">
            <v>13.018706869438857</v>
          </cell>
          <cell r="AU45">
            <v>13.738333882322411</v>
          </cell>
          <cell r="AV45">
            <v>13.738333882322411</v>
          </cell>
          <cell r="AW45">
            <v>13.738333882322411</v>
          </cell>
          <cell r="AX45">
            <v>13.738333882322411</v>
          </cell>
          <cell r="AY45">
            <v>13.738333882322411</v>
          </cell>
          <cell r="AZ45">
            <v>13.738333882322411</v>
          </cell>
          <cell r="BA45">
            <v>13.738333882322411</v>
          </cell>
          <cell r="BB45">
            <v>13.738333882322411</v>
          </cell>
          <cell r="BC45">
            <v>13.738333882322411</v>
          </cell>
          <cell r="BD45">
            <v>14.533711107088447</v>
          </cell>
          <cell r="BE45">
            <v>13.738333882322411</v>
          </cell>
          <cell r="BF45">
            <v>13.738333882322411</v>
          </cell>
          <cell r="BG45">
            <v>13.738333882322411</v>
          </cell>
          <cell r="BH45">
            <v>13.738333882322411</v>
          </cell>
          <cell r="BI45">
            <v>15.417463579050706</v>
          </cell>
          <cell r="BJ45">
            <v>13.738333882322411</v>
          </cell>
          <cell r="BK45">
            <v>13.738333882322411</v>
          </cell>
          <cell r="BL45">
            <v>13.738333882322411</v>
          </cell>
          <cell r="BM45">
            <v>13.738333882322411</v>
          </cell>
          <cell r="BN45">
            <v>16.405186930067348</v>
          </cell>
        </row>
        <row r="46">
          <cell r="U46">
            <v>0.10500000000000001</v>
          </cell>
          <cell r="Z46">
            <v>10.027156032078421</v>
          </cell>
          <cell r="AA46">
            <v>12.732896548671011</v>
          </cell>
          <cell r="AB46">
            <v>12.732896548671011</v>
          </cell>
          <cell r="AC46">
            <v>12.732896548671011</v>
          </cell>
          <cell r="AD46">
            <v>12.732896548671011</v>
          </cell>
          <cell r="AE46">
            <v>10.481720438865976</v>
          </cell>
          <cell r="AF46">
            <v>12.732896548671011</v>
          </cell>
          <cell r="AG46">
            <v>12.732896548671011</v>
          </cell>
          <cell r="AH46">
            <v>12.732896548671011</v>
          </cell>
          <cell r="AI46">
            <v>12.732896548671011</v>
          </cell>
          <cell r="AJ46">
            <v>10.974165212885827</v>
          </cell>
          <cell r="AK46">
            <v>12.732896548671011</v>
          </cell>
          <cell r="AL46">
            <v>12.732896548671011</v>
          </cell>
          <cell r="AM46">
            <v>12.732896548671011</v>
          </cell>
          <cell r="AN46">
            <v>12.732896548671011</v>
          </cell>
          <cell r="AO46">
            <v>11.509431271603059</v>
          </cell>
          <cell r="AP46">
            <v>12.732896548671011</v>
          </cell>
          <cell r="AQ46">
            <v>12.732896548671011</v>
          </cell>
          <cell r="AR46">
            <v>12.732896548671011</v>
          </cell>
          <cell r="AS46">
            <v>12.732896548671011</v>
          </cell>
          <cell r="AT46">
            <v>12.093357881112762</v>
          </cell>
          <cell r="AU46">
            <v>12.732896548671011</v>
          </cell>
          <cell r="AV46">
            <v>12.732896548671011</v>
          </cell>
          <cell r="AW46">
            <v>12.732896548671011</v>
          </cell>
          <cell r="AX46">
            <v>12.732896548671011</v>
          </cell>
          <cell r="AY46">
            <v>12.732896548671011</v>
          </cell>
          <cell r="AZ46">
            <v>12.732896548671011</v>
          </cell>
          <cell r="BA46">
            <v>12.732896548671011</v>
          </cell>
          <cell r="BB46">
            <v>12.732896548671011</v>
          </cell>
          <cell r="BC46">
            <v>12.732896548671011</v>
          </cell>
          <cell r="BD46">
            <v>13.436389082985084</v>
          </cell>
          <cell r="BE46">
            <v>12.732896548671011</v>
          </cell>
          <cell r="BF46">
            <v>12.732896548671011</v>
          </cell>
          <cell r="BG46">
            <v>12.732896548671011</v>
          </cell>
          <cell r="BH46">
            <v>12.732896548671011</v>
          </cell>
          <cell r="BI46">
            <v>14.213933463016426</v>
          </cell>
          <cell r="BJ46">
            <v>12.732896548671011</v>
          </cell>
          <cell r="BK46">
            <v>12.732896548671011</v>
          </cell>
          <cell r="BL46">
            <v>12.732896548671011</v>
          </cell>
          <cell r="BM46">
            <v>12.732896548671011</v>
          </cell>
          <cell r="BN46">
            <v>15.077871663051255</v>
          </cell>
        </row>
        <row r="47">
          <cell r="U47">
            <v>0.11000000000000001</v>
          </cell>
          <cell r="Z47">
            <v>9.3977340856858476</v>
          </cell>
          <cell r="AA47">
            <v>11.829315632331836</v>
          </cell>
          <cell r="AB47">
            <v>11.829315632331836</v>
          </cell>
          <cell r="AC47">
            <v>11.829315632331836</v>
          </cell>
          <cell r="AD47">
            <v>11.829315632331836</v>
          </cell>
          <cell r="AE47">
            <v>9.809232501272092</v>
          </cell>
          <cell r="AF47">
            <v>11.829315632331836</v>
          </cell>
          <cell r="AG47">
            <v>11.829315632331836</v>
          </cell>
          <cell r="AH47">
            <v>11.829315632331836</v>
          </cell>
          <cell r="AI47">
            <v>11.829315632331836</v>
          </cell>
          <cell r="AJ47">
            <v>10.253650790105237</v>
          </cell>
          <cell r="AK47">
            <v>11.829315632331836</v>
          </cell>
          <cell r="AL47">
            <v>11.829315632331836</v>
          </cell>
          <cell r="AM47">
            <v>11.829315632331836</v>
          </cell>
          <cell r="AN47">
            <v>11.829315632331836</v>
          </cell>
          <cell r="AO47">
            <v>10.735103936341144</v>
          </cell>
          <cell r="AP47">
            <v>11.829315632331836</v>
          </cell>
          <cell r="AQ47">
            <v>11.829315632331836</v>
          </cell>
          <cell r="AR47">
            <v>11.829315632331836</v>
          </cell>
          <cell r="AS47">
            <v>11.829315632331836</v>
          </cell>
          <cell r="AT47">
            <v>11.258422573554084</v>
          </cell>
          <cell r="AU47">
            <v>11.829315632331836</v>
          </cell>
          <cell r="AV47">
            <v>11.829315632331836</v>
          </cell>
          <cell r="AW47">
            <v>11.829315632331836</v>
          </cell>
          <cell r="AX47">
            <v>11.829315632331836</v>
          </cell>
          <cell r="AY47">
            <v>11.829315632331836</v>
          </cell>
          <cell r="AZ47">
            <v>11.829315632331836</v>
          </cell>
          <cell r="BA47">
            <v>11.829315632331836</v>
          </cell>
          <cell r="BB47">
            <v>11.829315632331836</v>
          </cell>
          <cell r="BC47">
            <v>11.829315632331836</v>
          </cell>
          <cell r="BD47">
            <v>12.454579458612232</v>
          </cell>
          <cell r="BE47">
            <v>11.829315632331836</v>
          </cell>
          <cell r="BF47">
            <v>11.829315632331836</v>
          </cell>
          <cell r="BG47">
            <v>11.829315632331836</v>
          </cell>
          <cell r="BH47">
            <v>11.829315632331836</v>
          </cell>
          <cell r="BI47">
            <v>13.142369667520667</v>
          </cell>
          <cell r="BJ47">
            <v>11.829315632331836</v>
          </cell>
          <cell r="BK47">
            <v>11.829315632331836</v>
          </cell>
          <cell r="BL47">
            <v>11.829315632331836</v>
          </cell>
          <cell r="BM47">
            <v>11.829315632331836</v>
          </cell>
          <cell r="BN47">
            <v>13.902558845787889</v>
          </cell>
        </row>
        <row r="48">
          <cell r="U48">
            <v>0.11500000000000002</v>
          </cell>
          <cell r="Z48">
            <v>8.8209945444671316</v>
          </cell>
          <cell r="AA48">
            <v>11.013950824752719</v>
          </cell>
          <cell r="AB48">
            <v>11.013950824752719</v>
          </cell>
          <cell r="AC48">
            <v>11.013950824752719</v>
          </cell>
          <cell r="AD48">
            <v>11.013950824752719</v>
          </cell>
          <cell r="AE48">
            <v>9.1946093181454192</v>
          </cell>
          <cell r="AF48">
            <v>11.013950824752719</v>
          </cell>
          <cell r="AG48">
            <v>11.013950824752719</v>
          </cell>
          <cell r="AH48">
            <v>11.013950824752719</v>
          </cell>
          <cell r="AI48">
            <v>11.013950824752719</v>
          </cell>
          <cell r="AJ48">
            <v>9.5969636897989545</v>
          </cell>
          <cell r="AK48">
            <v>11.013950824752719</v>
          </cell>
          <cell r="AL48">
            <v>11.013950824752719</v>
          </cell>
          <cell r="AM48">
            <v>11.013950824752719</v>
          </cell>
          <cell r="AN48">
            <v>11.013950824752719</v>
          </cell>
          <cell r="AO48">
            <v>10.031506411184777</v>
          </cell>
          <cell r="AP48">
            <v>11.013950824752719</v>
          </cell>
          <cell r="AQ48">
            <v>11.013950824752719</v>
          </cell>
          <cell r="AR48">
            <v>11.013950824752719</v>
          </cell>
          <cell r="AS48">
            <v>11.013950824752719</v>
          </cell>
          <cell r="AT48">
            <v>10.502261026019415</v>
          </cell>
          <cell r="AU48">
            <v>11.013950824752719</v>
          </cell>
          <cell r="AV48">
            <v>11.013950824752719</v>
          </cell>
          <cell r="AW48">
            <v>11.013950824752719</v>
          </cell>
          <cell r="AX48">
            <v>11.013950824752719</v>
          </cell>
          <cell r="AY48">
            <v>11.013950824752719</v>
          </cell>
          <cell r="AZ48">
            <v>11.013950824752719</v>
          </cell>
          <cell r="BA48">
            <v>11.013950824752719</v>
          </cell>
          <cell r="BB48">
            <v>11.013950824752719</v>
          </cell>
          <cell r="BC48">
            <v>11.013950824752719</v>
          </cell>
          <cell r="BD48">
            <v>11.572157877916323</v>
          </cell>
          <cell r="BE48">
            <v>11.013950824752719</v>
          </cell>
          <cell r="BF48">
            <v>11.013950824752719</v>
          </cell>
          <cell r="BG48">
            <v>11.013950824752719</v>
          </cell>
          <cell r="BH48">
            <v>11.013950824752719</v>
          </cell>
          <cell r="BI48">
            <v>12.183527507571696</v>
          </cell>
          <cell r="BJ48">
            <v>11.013950824752719</v>
          </cell>
          <cell r="BK48">
            <v>11.013950824752719</v>
          </cell>
          <cell r="BL48">
            <v>11.013950824752719</v>
          </cell>
          <cell r="BM48">
            <v>11.013950824752719</v>
          </cell>
          <cell r="BN48">
            <v>12.856034100192609</v>
          </cell>
        </row>
        <row r="49">
          <cell r="U49">
            <v>0.12000000000000002</v>
          </cell>
          <cell r="Z49">
            <v>8.291224129408441</v>
          </cell>
          <cell r="AA49">
            <v>10.275448707386531</v>
          </cell>
          <cell r="AB49">
            <v>10.275448707386531</v>
          </cell>
          <cell r="AC49">
            <v>10.275448707386531</v>
          </cell>
          <cell r="AD49">
            <v>10.275448707386531</v>
          </cell>
          <cell r="AE49">
            <v>8.6313769142046866</v>
          </cell>
          <cell r="AF49">
            <v>10.275448707386531</v>
          </cell>
          <cell r="AG49">
            <v>10.275448707386531</v>
          </cell>
          <cell r="AH49">
            <v>10.275448707386531</v>
          </cell>
          <cell r="AI49">
            <v>10.275448707386531</v>
          </cell>
          <cell r="AJ49">
            <v>8.9967262015784293</v>
          </cell>
          <cell r="AK49">
            <v>10.275448707386531</v>
          </cell>
          <cell r="AL49">
            <v>10.275448707386531</v>
          </cell>
          <cell r="AM49">
            <v>10.275448707386531</v>
          </cell>
          <cell r="AN49">
            <v>10.275448707386531</v>
          </cell>
          <cell r="AO49">
            <v>9.3901792802886153</v>
          </cell>
          <cell r="AP49">
            <v>10.275448707386531</v>
          </cell>
          <cell r="AQ49">
            <v>10.275448707386531</v>
          </cell>
          <cell r="AR49">
            <v>10.275448707386531</v>
          </cell>
          <cell r="AS49">
            <v>10.275448707386531</v>
          </cell>
          <cell r="AT49">
            <v>9.8151086052956149</v>
          </cell>
          <cell r="AU49">
            <v>10.275448707386531</v>
          </cell>
          <cell r="AV49">
            <v>10.275448707386531</v>
          </cell>
          <cell r="AW49">
            <v>10.275448707386531</v>
          </cell>
          <cell r="AX49">
            <v>10.275448707386531</v>
          </cell>
          <cell r="AY49">
            <v>10.275448707386531</v>
          </cell>
          <cell r="AZ49">
            <v>10.275448707386531</v>
          </cell>
          <cell r="BA49">
            <v>10.275448707386531</v>
          </cell>
          <cell r="BB49">
            <v>10.275448707386531</v>
          </cell>
          <cell r="BC49">
            <v>10.275448707386531</v>
          </cell>
          <cell r="BD49">
            <v>10.775818383572309</v>
          </cell>
          <cell r="BE49">
            <v>10.275448707386531</v>
          </cell>
          <cell r="BF49">
            <v>10.275448707386531</v>
          </cell>
          <cell r="BG49">
            <v>10.275448707386531</v>
          </cell>
          <cell r="BH49">
            <v>10.275448707386531</v>
          </cell>
          <cell r="BI49">
            <v>11.321676212138613</v>
          </cell>
          <cell r="BJ49">
            <v>10.275448707386531</v>
          </cell>
          <cell r="BK49">
            <v>10.275448707386531</v>
          </cell>
          <cell r="BL49">
            <v>10.275448707386531</v>
          </cell>
          <cell r="BM49">
            <v>10.275448707386531</v>
          </cell>
          <cell r="BN49">
            <v>11.919520500568373</v>
          </cell>
        </row>
      </sheetData>
      <sheetData sheetId="19"/>
      <sheetData sheetId="20"/>
      <sheetData sheetId="21"/>
      <sheetData sheetId="22"/>
      <sheetData sheetId="23"/>
      <sheetData sheetId="24" refreshError="1">
        <row r="1">
          <cell r="U1" t="str">
            <v>SmartCharts</v>
          </cell>
          <cell r="BD1" t="str">
            <v>.</v>
          </cell>
        </row>
        <row r="2">
          <cell r="BD2" t="str">
            <v>.</v>
          </cell>
        </row>
        <row r="3">
          <cell r="BD3" t="str">
            <v>.</v>
          </cell>
        </row>
        <row r="4">
          <cell r="BD4" t="str">
            <v>.</v>
          </cell>
        </row>
        <row r="5">
          <cell r="C5" t="str">
            <v>Define value axis here:</v>
          </cell>
        </row>
        <row r="6">
          <cell r="C6" t="str">
            <v>Eli Lilly revenue contributions 2010E-2015E</v>
          </cell>
        </row>
        <row r="10">
          <cell r="C10" t="str">
            <v>Input your data here:</v>
          </cell>
          <cell r="BD10" t="str">
            <v>.</v>
          </cell>
        </row>
        <row r="11">
          <cell r="C11" t="str">
            <v>Sales ($M)</v>
          </cell>
          <cell r="D11" t="str">
            <v>2010E</v>
          </cell>
          <cell r="E11" t="str">
            <v>2011E</v>
          </cell>
          <cell r="F11" t="str">
            <v>2012E</v>
          </cell>
          <cell r="G11" t="str">
            <v>2013E</v>
          </cell>
          <cell r="H11" t="str">
            <v>2014E</v>
          </cell>
          <cell r="I11" t="str">
            <v>2015E</v>
          </cell>
          <cell r="BD11" t="str">
            <v>.</v>
          </cell>
        </row>
        <row r="12">
          <cell r="C12" t="str">
            <v>In-line products</v>
          </cell>
          <cell r="D12">
            <v>8741.7301775000014</v>
          </cell>
          <cell r="E12">
            <v>9422.206420550001</v>
          </cell>
          <cell r="F12">
            <v>9908.4720542889991</v>
          </cell>
          <cell r="G12">
            <v>10300.675416810274</v>
          </cell>
          <cell r="H12">
            <v>10709.128179281421</v>
          </cell>
          <cell r="I12">
            <v>10990.829805762725</v>
          </cell>
          <cell r="BD12" t="str">
            <v>.</v>
          </cell>
        </row>
        <row r="13">
          <cell r="C13" t="str">
            <v>Pipeline products launching 2010–2015</v>
          </cell>
          <cell r="D13">
            <v>141.25</v>
          </cell>
          <cell r="E13">
            <v>332.1875</v>
          </cell>
          <cell r="F13">
            <v>643.02499999999986</v>
          </cell>
          <cell r="G13">
            <v>1188.9100000000001</v>
          </cell>
          <cell r="H13">
            <v>2060.8072999999999</v>
          </cell>
          <cell r="I13">
            <v>3252.5061575</v>
          </cell>
          <cell r="BD13" t="str">
            <v>.</v>
          </cell>
        </row>
        <row r="14">
          <cell r="C14" t="str">
            <v>Products expiring 2010–2015</v>
          </cell>
          <cell r="D14">
            <v>13516.758760000001</v>
          </cell>
          <cell r="E14">
            <v>13145.262609800002</v>
          </cell>
          <cell r="F14">
            <v>10919.249930854003</v>
          </cell>
          <cell r="G14">
            <v>10206.164042898221</v>
          </cell>
          <cell r="H14">
            <v>7639.4611699592915</v>
          </cell>
          <cell r="I14">
            <v>5257.1242554678174</v>
          </cell>
          <cell r="BD14" t="str">
            <v>.</v>
          </cell>
        </row>
        <row r="15">
          <cell r="C15" t="str">
            <v>Δ in expiring products off 2010 base</v>
          </cell>
          <cell r="D15">
            <v>0</v>
          </cell>
          <cell r="E15">
            <v>-371.49615019999874</v>
          </cell>
          <cell r="F15">
            <v>-2597.5088291459979</v>
          </cell>
          <cell r="G15">
            <v>-3310.5947171017797</v>
          </cell>
          <cell r="H15">
            <v>-5877.2975900407091</v>
          </cell>
          <cell r="I15">
            <v>-8259.6345045321832</v>
          </cell>
          <cell r="BD15" t="str">
            <v>.</v>
          </cell>
        </row>
        <row r="16">
          <cell r="C16" t="str">
            <v>Net product sales</v>
          </cell>
          <cell r="D16">
            <v>22399.738937500002</v>
          </cell>
          <cell r="E16">
            <v>22899.656530350003</v>
          </cell>
          <cell r="F16">
            <v>21470.746985143003</v>
          </cell>
          <cell r="G16">
            <v>21695.749459708495</v>
          </cell>
          <cell r="H16">
            <v>20409.396649240713</v>
          </cell>
          <cell r="I16">
            <v>19500.460218730543</v>
          </cell>
          <cell r="BD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BD996" t="str">
            <v>.</v>
          </cell>
        </row>
        <row r="997">
          <cell r="A997" t="str">
            <v>.</v>
          </cell>
          <cell r="B997" t="str">
            <v>.</v>
          </cell>
          <cell r="C997" t="str">
            <v>.</v>
          </cell>
          <cell r="D997" t="str">
            <v>.</v>
          </cell>
          <cell r="E997" t="str">
            <v>.</v>
          </cell>
          <cell r="F997" t="str">
            <v>.</v>
          </cell>
          <cell r="G997" t="str">
            <v>.</v>
          </cell>
          <cell r="H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5" refreshError="1">
        <row r="1">
          <cell r="U1" t="str">
            <v>SmartCharts</v>
          </cell>
          <cell r="BD1" t="str">
            <v>.</v>
          </cell>
        </row>
        <row r="2">
          <cell r="BD2" t="str">
            <v>.</v>
          </cell>
        </row>
        <row r="3">
          <cell r="BD3" t="str">
            <v>.</v>
          </cell>
        </row>
        <row r="4">
          <cell r="BD4" t="str">
            <v>.</v>
          </cell>
        </row>
        <row r="5">
          <cell r="C5" t="str">
            <v>Define value axis here:</v>
          </cell>
        </row>
        <row r="6">
          <cell r="C6" t="str">
            <v>Eli Lilly YOY revenue change 2010E-2015E</v>
          </cell>
        </row>
        <row r="10">
          <cell r="C10" t="str">
            <v>Input your data here:</v>
          </cell>
          <cell r="BD10" t="str">
            <v>.</v>
          </cell>
        </row>
        <row r="11">
          <cell r="C11" t="str">
            <v>Sales ($M)</v>
          </cell>
          <cell r="D11" t="str">
            <v>2011E</v>
          </cell>
          <cell r="E11" t="str">
            <v>2012E</v>
          </cell>
          <cell r="F11" t="str">
            <v>2013E</v>
          </cell>
          <cell r="G11" t="str">
            <v>2014E</v>
          </cell>
          <cell r="H11" t="str">
            <v>2015E</v>
          </cell>
          <cell r="BC11" t="str">
            <v>.</v>
          </cell>
        </row>
        <row r="12">
          <cell r="C12" t="str">
            <v>In-line products</v>
          </cell>
          <cell r="D12">
            <v>680.47624304999954</v>
          </cell>
          <cell r="E12">
            <v>486.26563373899808</v>
          </cell>
          <cell r="F12">
            <v>392.20336252127527</v>
          </cell>
          <cell r="G12">
            <v>408.45276247114634</v>
          </cell>
          <cell r="H12">
            <v>281.70162648130463</v>
          </cell>
          <cell r="BC12" t="str">
            <v>.</v>
          </cell>
        </row>
        <row r="13">
          <cell r="A13" t="str">
            <v>.</v>
          </cell>
          <cell r="C13" t="str">
            <v>Pipeline products launching 2010–2015</v>
          </cell>
          <cell r="D13">
            <v>190.9375</v>
          </cell>
          <cell r="E13">
            <v>310.83749999999986</v>
          </cell>
          <cell r="F13">
            <v>545.88500000000022</v>
          </cell>
          <cell r="G13">
            <v>871.89729999999986</v>
          </cell>
          <cell r="H13">
            <v>1191.6988575</v>
          </cell>
          <cell r="BC13" t="str">
            <v>.</v>
          </cell>
        </row>
        <row r="14">
          <cell r="C14" t="str">
            <v>Products expiring 2010–2015</v>
          </cell>
          <cell r="D14">
            <v>-371.49615019999874</v>
          </cell>
          <cell r="E14">
            <v>-2226.0126789459991</v>
          </cell>
          <cell r="F14">
            <v>-713.0858879557818</v>
          </cell>
          <cell r="G14">
            <v>-2566.7028729389294</v>
          </cell>
          <cell r="H14">
            <v>-2382.3369144914741</v>
          </cell>
          <cell r="BC14" t="str">
            <v>.</v>
          </cell>
        </row>
        <row r="15">
          <cell r="C15" t="str">
            <v>Net YOY change</v>
          </cell>
          <cell r="D15">
            <v>499.9175928500008</v>
          </cell>
          <cell r="E15">
            <v>-1428.9095452069996</v>
          </cell>
          <cell r="F15">
            <v>225.00247456549187</v>
          </cell>
          <cell r="G15">
            <v>-1286.3528104677825</v>
          </cell>
          <cell r="H15">
            <v>-908.93643051016988</v>
          </cell>
          <cell r="BC15" t="str">
            <v>.</v>
          </cell>
        </row>
        <row r="16">
          <cell r="BC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C996" t="str">
            <v>.</v>
          </cell>
          <cell r="D996" t="str">
            <v>.</v>
          </cell>
          <cell r="E996" t="str">
            <v>.</v>
          </cell>
          <cell r="F996" t="str">
            <v>.</v>
          </cell>
          <cell r="G996" t="str">
            <v>.</v>
          </cell>
          <cell r="H996" t="str">
            <v>.</v>
          </cell>
          <cell r="BD996" t="str">
            <v>.</v>
          </cell>
        </row>
        <row r="997">
          <cell r="A997" t="str">
            <v>.</v>
          </cell>
          <cell r="B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6"/>
      <sheetData sheetId="27">
        <row r="1">
          <cell r="A1" t="str">
            <v>RRS-5.10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Out"/>
      <sheetName val="AFFILIATES (2)"/>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2)"/>
      <sheetName val="AFFILIATES"/>
      <sheetName val="Ratio"/>
      <sheetName val="Ace-In"/>
      <sheetName val="Ace-Out"/>
      <sheetName val="Cover"/>
      <sheetName val="QQ"/>
      <sheetName val="Earnings Tables"/>
      <sheetName val="Number of shares"/>
      <sheetName val="Earnings per share"/>
      <sheetName val="IS segment PY"/>
      <sheetName val="IS segment CY"/>
      <sheetName val="Financial Tables"/>
      <sheetName val="Copy of KS055550"/>
      <sheetName val="EARNINGS"/>
      <sheetName val="Consolidated input"/>
      <sheetName val="RI Valuation"/>
      <sheetName val="Monitor"/>
      <sheetName val="FCF"/>
      <sheetName val="Financial Statements"/>
      <sheetName val="EM"/>
      <sheetName val="Rent analysis"/>
      <sheetName val="Timeline"/>
      <sheetName val="store profile and sales mix"/>
      <sheetName val="reconciliation of note 2"/>
      <sheetName val="FY19"/>
      <sheetName val="6902"/>
      <sheetName val="Valuations"/>
      <sheetName val="Model (Yue Yuen)"/>
      <sheetName val="P"/>
      <sheetName val="CREDIT MODEL"/>
      <sheetName val="IS"/>
    </sheetNames>
    <sheetDataSet>
      <sheetData sheetId="0" refreshError="1"/>
      <sheetData sheetId="1" refreshError="1"/>
      <sheetData sheetId="2" refreshError="1"/>
      <sheetData sheetId="3" refreshError="1"/>
      <sheetData sheetId="4" refreshError="1"/>
      <sheetData sheetId="5" refreshError="1">
        <row r="1">
          <cell r="A1" t="str">
            <v>SHINHAN FINANCIAL GROUP: KEY AFFILIATES</v>
          </cell>
        </row>
        <row r="2">
          <cell r="A2" t="str">
            <v>(Won billions)</v>
          </cell>
          <cell r="B2">
            <v>1996</v>
          </cell>
          <cell r="C2">
            <v>1997</v>
          </cell>
          <cell r="D2">
            <v>1998</v>
          </cell>
          <cell r="E2">
            <v>1999</v>
          </cell>
          <cell r="F2">
            <v>2000</v>
          </cell>
          <cell r="G2">
            <v>2001</v>
          </cell>
          <cell r="H2">
            <v>2002</v>
          </cell>
          <cell r="I2">
            <v>2003</v>
          </cell>
          <cell r="J2">
            <v>2004</v>
          </cell>
          <cell r="K2">
            <v>2005</v>
          </cell>
          <cell r="L2" t="str">
            <v>2006P</v>
          </cell>
          <cell r="M2" t="str">
            <v>2007E</v>
          </cell>
          <cell r="N2" t="str">
            <v>2008E</v>
          </cell>
          <cell r="O2" t="str">
            <v>2009E</v>
          </cell>
          <cell r="P2" t="str">
            <v>2010E</v>
          </cell>
          <cell r="Q2" t="str">
            <v>2011E</v>
          </cell>
          <cell r="AA2" t="str">
            <v>1Q02</v>
          </cell>
          <cell r="AB2" t="str">
            <v>2Q02</v>
          </cell>
          <cell r="AC2" t="str">
            <v>3Q02</v>
          </cell>
          <cell r="AD2" t="str">
            <v>4Q02</v>
          </cell>
          <cell r="AE2" t="str">
            <v>1Q03</v>
          </cell>
          <cell r="AF2" t="str">
            <v>2Q03</v>
          </cell>
          <cell r="AG2" t="str">
            <v>3Q03</v>
          </cell>
          <cell r="AH2" t="str">
            <v>4Q03</v>
          </cell>
          <cell r="AI2" t="str">
            <v>1Q04</v>
          </cell>
          <cell r="AJ2" t="str">
            <v>2Q04</v>
          </cell>
          <cell r="AK2" t="str">
            <v>3Q04</v>
          </cell>
          <cell r="AL2" t="str">
            <v>4Q04</v>
          </cell>
          <cell r="AM2" t="str">
            <v>1Q05</v>
          </cell>
          <cell r="AN2" t="str">
            <v>2Q05</v>
          </cell>
          <cell r="AO2" t="str">
            <v>3Q05</v>
          </cell>
          <cell r="AP2" t="str">
            <v>4Q05</v>
          </cell>
          <cell r="AQ2" t="str">
            <v>1Q06</v>
          </cell>
          <cell r="AR2" t="str">
            <v>2Q06</v>
          </cell>
          <cell r="AS2" t="str">
            <v>3Q06</v>
          </cell>
          <cell r="AT2" t="str">
            <v>4Q06</v>
          </cell>
          <cell r="AU2" t="str">
            <v>1Q07P</v>
          </cell>
          <cell r="AV2" t="str">
            <v>2Q07E</v>
          </cell>
          <cell r="AW2" t="str">
            <v>3Q07E</v>
          </cell>
          <cell r="AX2" t="str">
            <v>4Q07E</v>
          </cell>
          <cell r="AY2" t="str">
            <v>1Q08E</v>
          </cell>
          <cell r="AZ2" t="str">
            <v>2Q08E</v>
          </cell>
          <cell r="BA2" t="str">
            <v>3Q08E</v>
          </cell>
          <cell r="BB2" t="str">
            <v>4Q08E</v>
          </cell>
          <cell r="BC2" t="str">
            <v>1Q09E</v>
          </cell>
          <cell r="BD2" t="str">
            <v>2Q09E</v>
          </cell>
          <cell r="BE2" t="str">
            <v>3Q09E</v>
          </cell>
          <cell r="BF2" t="str">
            <v>4Q09E</v>
          </cell>
          <cell r="BG2" t="str">
            <v>1Q10E</v>
          </cell>
          <cell r="BH2" t="str">
            <v>2Q10E</v>
          </cell>
          <cell r="BI2" t="str">
            <v>3Q10E</v>
          </cell>
          <cell r="BJ2" t="str">
            <v>4Q10E</v>
          </cell>
          <cell r="BK2" t="str">
            <v>1Q11E</v>
          </cell>
          <cell r="BL2" t="str">
            <v>2Q11E</v>
          </cell>
          <cell r="BM2" t="str">
            <v>3Q11E</v>
          </cell>
          <cell r="BN2" t="str">
            <v>4Q11E</v>
          </cell>
        </row>
        <row r="3">
          <cell r="A3" t="str">
            <v>Shinhan Bank (excl. Chohung Bank)</v>
          </cell>
        </row>
        <row r="4">
          <cell r="A4" t="str">
            <v xml:space="preserve">   % ownership</v>
          </cell>
          <cell r="H4">
            <v>1</v>
          </cell>
        </row>
        <row r="5">
          <cell r="A5" t="str">
            <v>Net interest income</v>
          </cell>
          <cell r="H5">
            <v>1216.8511599999999</v>
          </cell>
          <cell r="I5">
            <v>1411.212</v>
          </cell>
          <cell r="J5">
            <v>1496.19</v>
          </cell>
          <cell r="K5">
            <v>1475.0719999999999</v>
          </cell>
        </row>
        <row r="6">
          <cell r="A6" t="str">
            <v xml:space="preserve">   % of parent comp</v>
          </cell>
          <cell r="H6" t="e">
            <v>#REF!</v>
          </cell>
          <cell r="I6" t="e">
            <v>#REF!</v>
          </cell>
          <cell r="J6" t="e">
            <v>#REF!</v>
          </cell>
          <cell r="K6" t="e">
            <v>#REF!</v>
          </cell>
        </row>
        <row r="7">
          <cell r="A7" t="str">
            <v>Non-interest income</v>
          </cell>
          <cell r="H7">
            <v>509.43027599999999</v>
          </cell>
          <cell r="I7">
            <v>363.82159999999999</v>
          </cell>
          <cell r="J7">
            <v>490.08434812800004</v>
          </cell>
          <cell r="K7">
            <v>473.73927897000004</v>
          </cell>
        </row>
        <row r="8">
          <cell r="A8" t="str">
            <v xml:space="preserve">   % of parent comp</v>
          </cell>
          <cell r="H8" t="e">
            <v>#REF!</v>
          </cell>
          <cell r="I8" t="e">
            <v>#REF!</v>
          </cell>
          <cell r="J8" t="e">
            <v>#REF!</v>
          </cell>
          <cell r="K8" t="e">
            <v>#REF!</v>
          </cell>
        </row>
        <row r="9">
          <cell r="A9" t="str">
            <v>Net operating revenue</v>
          </cell>
          <cell r="H9">
            <v>1726.281436</v>
          </cell>
          <cell r="I9">
            <v>1775.0336</v>
          </cell>
          <cell r="J9">
            <v>1986.2743481280002</v>
          </cell>
          <cell r="K9">
            <v>1948.8112789699999</v>
          </cell>
        </row>
        <row r="10">
          <cell r="A10" t="str">
            <v xml:space="preserve">   % of parent comp</v>
          </cell>
          <cell r="H10" t="e">
            <v>#REF!</v>
          </cell>
          <cell r="I10" t="e">
            <v>#REF!</v>
          </cell>
          <cell r="J10" t="e">
            <v>#REF!</v>
          </cell>
          <cell r="K10" t="e">
            <v>#REF!</v>
          </cell>
        </row>
        <row r="11">
          <cell r="A11" t="str">
            <v>SG&amp;A</v>
          </cell>
          <cell r="H11">
            <v>625.59020299999997</v>
          </cell>
          <cell r="I11">
            <v>668.62800000000004</v>
          </cell>
          <cell r="J11">
            <v>729.69299999999998</v>
          </cell>
          <cell r="K11">
            <v>834.63900000000001</v>
          </cell>
        </row>
        <row r="12">
          <cell r="A12" t="str">
            <v xml:space="preserve">   % of parent comp</v>
          </cell>
          <cell r="H12" t="e">
            <v>#REF!</v>
          </cell>
          <cell r="I12" t="e">
            <v>#REF!</v>
          </cell>
          <cell r="J12" t="e">
            <v>#REF!</v>
          </cell>
          <cell r="K12" t="e">
            <v>#REF!</v>
          </cell>
        </row>
        <row r="13">
          <cell r="A13" t="str">
            <v>PPOP</v>
          </cell>
          <cell r="H13">
            <v>1100.691233</v>
          </cell>
          <cell r="I13">
            <v>1106.4056</v>
          </cell>
          <cell r="J13">
            <v>1256.5813481280002</v>
          </cell>
          <cell r="K13">
            <v>1114.1722789699998</v>
          </cell>
        </row>
        <row r="14">
          <cell r="A14" t="str">
            <v xml:space="preserve">   % of parent comp</v>
          </cell>
          <cell r="H14" t="e">
            <v>#REF!</v>
          </cell>
          <cell r="I14" t="e">
            <v>#REF!</v>
          </cell>
          <cell r="J14" t="e">
            <v>#REF!</v>
          </cell>
          <cell r="K14" t="e">
            <v>#REF!</v>
          </cell>
        </row>
        <row r="15">
          <cell r="A15" t="str">
            <v>Provisioning</v>
          </cell>
          <cell r="H15">
            <v>168.284063</v>
          </cell>
          <cell r="I15">
            <v>435.05059999999997</v>
          </cell>
          <cell r="J15">
            <v>220.70334812799999</v>
          </cell>
          <cell r="K15">
            <v>173.60327896999999</v>
          </cell>
        </row>
        <row r="16">
          <cell r="A16" t="str">
            <v xml:space="preserve">   % of parent comp</v>
          </cell>
          <cell r="H16" t="e">
            <v>#REF!</v>
          </cell>
          <cell r="I16" t="e">
            <v>#REF!</v>
          </cell>
          <cell r="J16" t="e">
            <v>#REF!</v>
          </cell>
          <cell r="K16" t="e">
            <v>#REF!</v>
          </cell>
        </row>
        <row r="17">
          <cell r="A17" t="str">
            <v>OP profit</v>
          </cell>
          <cell r="H17">
            <v>932.40716999999995</v>
          </cell>
          <cell r="I17">
            <v>671.35500000000002</v>
          </cell>
          <cell r="J17">
            <v>1035.8780000000002</v>
          </cell>
          <cell r="K17">
            <v>940.56899999999973</v>
          </cell>
        </row>
        <row r="18">
          <cell r="A18" t="str">
            <v xml:space="preserve">   % of parent comp</v>
          </cell>
          <cell r="H18" t="e">
            <v>#REF!</v>
          </cell>
          <cell r="I18" t="e">
            <v>#REF!</v>
          </cell>
          <cell r="J18" t="e">
            <v>#REF!</v>
          </cell>
          <cell r="K18" t="e">
            <v>#REF!</v>
          </cell>
        </row>
        <row r="19">
          <cell r="A19" t="str">
            <v>Net profit</v>
          </cell>
          <cell r="H19">
            <v>595.86568699999998</v>
          </cell>
          <cell r="I19">
            <v>476.02300000000002</v>
          </cell>
          <cell r="J19">
            <v>844.11300000000006</v>
          </cell>
          <cell r="K19">
            <v>774.42200000000003</v>
          </cell>
        </row>
        <row r="20">
          <cell r="A20" t="str">
            <v xml:space="preserve">   % of parent comp</v>
          </cell>
          <cell r="H20" t="e">
            <v>#REF!</v>
          </cell>
          <cell r="I20" t="e">
            <v>#REF!</v>
          </cell>
          <cell r="J20" t="e">
            <v>#REF!</v>
          </cell>
          <cell r="K20" t="e">
            <v>#REF!</v>
          </cell>
        </row>
        <row r="24">
          <cell r="A24" t="str">
            <v>Total assets</v>
          </cell>
          <cell r="H24">
            <v>58889.402324000002</v>
          </cell>
          <cell r="I24">
            <v>70071.192999999999</v>
          </cell>
          <cell r="J24">
            <v>70096.962</v>
          </cell>
          <cell r="K24">
            <v>75641.967999999993</v>
          </cell>
        </row>
        <row r="25">
          <cell r="A25" t="str">
            <v xml:space="preserve">   % of parent comp</v>
          </cell>
          <cell r="H25" t="e">
            <v>#REF!</v>
          </cell>
          <cell r="I25" t="e">
            <v>#REF!</v>
          </cell>
          <cell r="J25" t="e">
            <v>#REF!</v>
          </cell>
          <cell r="K25" t="e">
            <v>#REF!</v>
          </cell>
        </row>
        <row r="26">
          <cell r="A26" t="str">
            <v>Loans (Net)</v>
          </cell>
          <cell r="H26">
            <v>40579.005663999997</v>
          </cell>
          <cell r="I26">
            <v>47783.925999999999</v>
          </cell>
          <cell r="J26">
            <v>50868.040999999997</v>
          </cell>
          <cell r="K26">
            <v>55191.023000000001</v>
          </cell>
        </row>
        <row r="27">
          <cell r="A27" t="str">
            <v xml:space="preserve">   % of parent comp</v>
          </cell>
          <cell r="H27" t="e">
            <v>#REF!</v>
          </cell>
          <cell r="I27" t="e">
            <v>#REF!</v>
          </cell>
          <cell r="J27" t="e">
            <v>#REF!</v>
          </cell>
          <cell r="K27" t="e">
            <v>#REF!</v>
          </cell>
        </row>
        <row r="28">
          <cell r="A28" t="str">
            <v>Total liabilities</v>
          </cell>
          <cell r="H28">
            <v>56028.923707000002</v>
          </cell>
          <cell r="I28">
            <v>66555.824999999997</v>
          </cell>
          <cell r="J28">
            <v>65971.959000000003</v>
          </cell>
          <cell r="K28">
            <v>71042.5</v>
          </cell>
        </row>
        <row r="29">
          <cell r="A29" t="str">
            <v xml:space="preserve">   % of parent comp</v>
          </cell>
          <cell r="H29" t="e">
            <v>#REF!</v>
          </cell>
          <cell r="I29" t="e">
            <v>#REF!</v>
          </cell>
          <cell r="J29" t="e">
            <v>#REF!</v>
          </cell>
          <cell r="K29" t="e">
            <v>#REF!</v>
          </cell>
        </row>
        <row r="30">
          <cell r="A30" t="str">
            <v>Deposits</v>
          </cell>
          <cell r="H30">
            <v>35183.536976000003</v>
          </cell>
          <cell r="I30">
            <v>41991.839</v>
          </cell>
          <cell r="J30">
            <v>40668.093999999997</v>
          </cell>
          <cell r="K30">
            <v>43996.904000000002</v>
          </cell>
        </row>
        <row r="31">
          <cell r="A31" t="str">
            <v xml:space="preserve">   % of parent comp</v>
          </cell>
          <cell r="H31" t="e">
            <v>#REF!</v>
          </cell>
          <cell r="I31" t="e">
            <v>#REF!</v>
          </cell>
          <cell r="J31" t="e">
            <v>#REF!</v>
          </cell>
          <cell r="K31" t="e">
            <v>#REF!</v>
          </cell>
        </row>
        <row r="32">
          <cell r="A32" t="str">
            <v>Total shareholders' equity</v>
          </cell>
          <cell r="H32">
            <v>2860.4786180000001</v>
          </cell>
          <cell r="I32">
            <v>3515.3679999999999</v>
          </cell>
          <cell r="J32">
            <v>4125.0029999999997</v>
          </cell>
          <cell r="K32">
            <v>4599.4679999999998</v>
          </cell>
        </row>
        <row r="33">
          <cell r="A33" t="str">
            <v xml:space="preserve">   % of parent comp</v>
          </cell>
          <cell r="H33" t="e">
            <v>#REF!</v>
          </cell>
          <cell r="I33" t="e">
            <v>#REF!</v>
          </cell>
          <cell r="J33" t="e">
            <v>#REF!</v>
          </cell>
          <cell r="K33" t="e">
            <v>#REF!</v>
          </cell>
        </row>
        <row r="35">
          <cell r="A35" t="str">
            <v>Chohung Bank</v>
          </cell>
        </row>
        <row r="36">
          <cell r="A36" t="str">
            <v xml:space="preserve">   % ownership</v>
          </cell>
          <cell r="H36">
            <v>1</v>
          </cell>
        </row>
        <row r="37">
          <cell r="A37" t="str">
            <v>Net interest income</v>
          </cell>
          <cell r="H37">
            <v>1211.9849999999999</v>
          </cell>
          <cell r="I37">
            <v>1330.527</v>
          </cell>
          <cell r="J37">
            <v>1399.374</v>
          </cell>
          <cell r="K37">
            <v>2091.491</v>
          </cell>
        </row>
        <row r="38">
          <cell r="A38" t="str">
            <v xml:space="preserve">   % of parent comp</v>
          </cell>
          <cell r="H38" t="str">
            <v>NM</v>
          </cell>
          <cell r="I38" t="e">
            <v>#REF!</v>
          </cell>
          <cell r="J38" t="e">
            <v>#REF!</v>
          </cell>
          <cell r="K38" t="e">
            <v>#REF!</v>
          </cell>
        </row>
        <row r="39">
          <cell r="A39" t="str">
            <v>Non-interest income</v>
          </cell>
          <cell r="H39">
            <v>1141.1569999999999</v>
          </cell>
          <cell r="I39">
            <v>1023.769</v>
          </cell>
          <cell r="J39">
            <v>914.46979999999996</v>
          </cell>
          <cell r="K39">
            <v>251.70500000000001</v>
          </cell>
        </row>
        <row r="40">
          <cell r="A40" t="str">
            <v xml:space="preserve">   % of parent comp</v>
          </cell>
          <cell r="H40" t="str">
            <v>NM</v>
          </cell>
          <cell r="I40" t="e">
            <v>#REF!</v>
          </cell>
          <cell r="J40" t="e">
            <v>#REF!</v>
          </cell>
          <cell r="K40" t="e">
            <v>#REF!</v>
          </cell>
        </row>
        <row r="41">
          <cell r="A41" t="str">
            <v>Net operating revenue</v>
          </cell>
          <cell r="H41">
            <v>2353.1419999999998</v>
          </cell>
          <cell r="I41">
            <v>2354.2960000000003</v>
          </cell>
          <cell r="J41">
            <v>2313.8438000000001</v>
          </cell>
          <cell r="K41">
            <v>2343.1959999999999</v>
          </cell>
        </row>
        <row r="42">
          <cell r="A42" t="str">
            <v xml:space="preserve">   % of parent comp</v>
          </cell>
          <cell r="H42" t="str">
            <v>NM</v>
          </cell>
          <cell r="I42" t="e">
            <v>#REF!</v>
          </cell>
          <cell r="J42" t="e">
            <v>#REF!</v>
          </cell>
          <cell r="K42" t="e">
            <v>#REF!</v>
          </cell>
        </row>
        <row r="43">
          <cell r="A43" t="str">
            <v>SG&amp;A</v>
          </cell>
          <cell r="H43">
            <v>856.32799999999997</v>
          </cell>
          <cell r="I43">
            <v>908.24900000000002</v>
          </cell>
          <cell r="J43">
            <v>960.85299999999995</v>
          </cell>
          <cell r="K43">
            <v>1038.9079999999999</v>
          </cell>
        </row>
        <row r="44">
          <cell r="A44" t="str">
            <v xml:space="preserve">   % of parent comp</v>
          </cell>
          <cell r="H44" t="str">
            <v>NM</v>
          </cell>
          <cell r="I44" t="e">
            <v>#REF!</v>
          </cell>
          <cell r="J44" t="e">
            <v>#REF!</v>
          </cell>
          <cell r="K44" t="e">
            <v>#REF!</v>
          </cell>
        </row>
        <row r="45">
          <cell r="A45" t="str">
            <v>PPOP</v>
          </cell>
          <cell r="H45">
            <v>1496.8139999999999</v>
          </cell>
          <cell r="I45">
            <v>1446.0470000000003</v>
          </cell>
          <cell r="J45">
            <v>1352.9908</v>
          </cell>
          <cell r="K45">
            <v>1304.288</v>
          </cell>
        </row>
        <row r="46">
          <cell r="A46" t="str">
            <v xml:space="preserve">   % of parent comp</v>
          </cell>
          <cell r="H46" t="str">
            <v>NM</v>
          </cell>
          <cell r="I46" t="e">
            <v>#REF!</v>
          </cell>
          <cell r="J46" t="e">
            <v>#REF!</v>
          </cell>
          <cell r="K46" t="e">
            <v>#REF!</v>
          </cell>
        </row>
        <row r="47">
          <cell r="A47" t="str">
            <v>Provisioning</v>
          </cell>
          <cell r="H47">
            <v>1631.5630000000001</v>
          </cell>
          <cell r="I47">
            <v>2133.1759999999999</v>
          </cell>
          <cell r="J47">
            <v>1030.1368</v>
          </cell>
          <cell r="K47">
            <v>660.70600000000002</v>
          </cell>
        </row>
        <row r="48">
          <cell r="A48" t="str">
            <v xml:space="preserve">   % of parent comp</v>
          </cell>
          <cell r="H48" t="str">
            <v>NM</v>
          </cell>
          <cell r="I48" t="e">
            <v>#REF!</v>
          </cell>
          <cell r="J48" t="e">
            <v>#REF!</v>
          </cell>
          <cell r="K48" t="e">
            <v>#REF!</v>
          </cell>
        </row>
        <row r="49">
          <cell r="A49" t="str">
            <v>OP profit</v>
          </cell>
          <cell r="H49">
            <v>-134.74900000000025</v>
          </cell>
          <cell r="I49">
            <v>-687.12899999999968</v>
          </cell>
          <cell r="J49">
            <v>322.85400000000004</v>
          </cell>
          <cell r="K49">
            <v>643.58199999999999</v>
          </cell>
        </row>
        <row r="50">
          <cell r="A50" t="str">
            <v xml:space="preserve">   % of parent comp</v>
          </cell>
          <cell r="H50" t="str">
            <v>NM</v>
          </cell>
          <cell r="I50" t="e">
            <v>#REF!</v>
          </cell>
          <cell r="J50" t="e">
            <v>#REF!</v>
          </cell>
          <cell r="K50" t="e">
            <v>#REF!</v>
          </cell>
        </row>
        <row r="51">
          <cell r="A51" t="str">
            <v>Net profit</v>
          </cell>
          <cell r="H51">
            <v>-586.04499999999996</v>
          </cell>
          <cell r="I51">
            <v>-968.94</v>
          </cell>
          <cell r="J51">
            <v>265.238</v>
          </cell>
          <cell r="K51">
            <v>756.505</v>
          </cell>
        </row>
        <row r="52">
          <cell r="A52" t="str">
            <v xml:space="preserve">   % of parent comp</v>
          </cell>
          <cell r="H52" t="str">
            <v>NM</v>
          </cell>
          <cell r="I52" t="e">
            <v>#REF!</v>
          </cell>
          <cell r="J52" t="e">
            <v>#REF!</v>
          </cell>
          <cell r="K52" t="e">
            <v>#REF!</v>
          </cell>
        </row>
        <row r="56">
          <cell r="A56" t="str">
            <v>Total assets</v>
          </cell>
          <cell r="H56">
            <v>66196.288</v>
          </cell>
          <cell r="I56">
            <v>59225.584999999999</v>
          </cell>
          <cell r="J56">
            <v>65389.1</v>
          </cell>
          <cell r="K56">
            <v>66609.525999999998</v>
          </cell>
        </row>
        <row r="57">
          <cell r="A57" t="str">
            <v xml:space="preserve">   % of parent comp</v>
          </cell>
          <cell r="H57" t="str">
            <v>NM</v>
          </cell>
          <cell r="I57" t="e">
            <v>#REF!</v>
          </cell>
          <cell r="J57" t="e">
            <v>#REF!</v>
          </cell>
          <cell r="K57" t="e">
            <v>#REF!</v>
          </cell>
        </row>
        <row r="58">
          <cell r="A58" t="str">
            <v>Loans (Net)</v>
          </cell>
          <cell r="H58">
            <v>45328.52</v>
          </cell>
          <cell r="I58">
            <v>42701.665999999997</v>
          </cell>
          <cell r="J58">
            <v>41586.845999999998</v>
          </cell>
          <cell r="K58">
            <v>44648.307999999997</v>
          </cell>
        </row>
        <row r="59">
          <cell r="A59" t="str">
            <v xml:space="preserve">   % of parent comp</v>
          </cell>
          <cell r="H59" t="str">
            <v>NM</v>
          </cell>
          <cell r="I59" t="e">
            <v>#REF!</v>
          </cell>
          <cell r="J59" t="e">
            <v>#REF!</v>
          </cell>
          <cell r="K59" t="e">
            <v>#REF!</v>
          </cell>
        </row>
        <row r="60">
          <cell r="A60" t="str">
            <v>Total liabilities</v>
          </cell>
          <cell r="H60">
            <v>63903.99</v>
          </cell>
          <cell r="I60">
            <v>57289.224000000002</v>
          </cell>
          <cell r="J60">
            <v>62778.171999999999</v>
          </cell>
          <cell r="K60">
            <v>62783.303999999996</v>
          </cell>
        </row>
        <row r="61">
          <cell r="A61" t="str">
            <v xml:space="preserve">   % of parent comp</v>
          </cell>
          <cell r="H61" t="str">
            <v>NM</v>
          </cell>
          <cell r="I61" t="e">
            <v>#REF!</v>
          </cell>
          <cell r="J61" t="e">
            <v>#REF!</v>
          </cell>
          <cell r="K61" t="e">
            <v>#REF!</v>
          </cell>
        </row>
        <row r="62">
          <cell r="A62" t="str">
            <v>Deposits</v>
          </cell>
          <cell r="H62">
            <v>45125.839</v>
          </cell>
          <cell r="I62">
            <v>40030.091</v>
          </cell>
          <cell r="J62">
            <v>41313.072999999997</v>
          </cell>
          <cell r="K62">
            <v>41404.813999999998</v>
          </cell>
        </row>
        <row r="63">
          <cell r="A63" t="str">
            <v xml:space="preserve">   % of parent comp</v>
          </cell>
          <cell r="H63" t="str">
            <v>NM</v>
          </cell>
          <cell r="I63" t="e">
            <v>#REF!</v>
          </cell>
          <cell r="J63" t="e">
            <v>#REF!</v>
          </cell>
          <cell r="K63" t="e">
            <v>#REF!</v>
          </cell>
        </row>
        <row r="64">
          <cell r="A64" t="str">
            <v>Total shareholders' equity</v>
          </cell>
          <cell r="H64">
            <v>2292.2979999999998</v>
          </cell>
          <cell r="I64">
            <v>1936.3610000000001</v>
          </cell>
          <cell r="J64">
            <v>2610.9279999999999</v>
          </cell>
          <cell r="K64">
            <v>3826.2220000000002</v>
          </cell>
        </row>
        <row r="65">
          <cell r="A65" t="str">
            <v xml:space="preserve">   % of parent comp</v>
          </cell>
          <cell r="H65" t="str">
            <v>NM</v>
          </cell>
          <cell r="I65" t="e">
            <v>#REF!</v>
          </cell>
          <cell r="J65" t="e">
            <v>#REF!</v>
          </cell>
          <cell r="K65" t="e">
            <v>#REF!</v>
          </cell>
        </row>
        <row r="67">
          <cell r="A67" t="str">
            <v>Shinhan Bank (Combined with Chohung)</v>
          </cell>
        </row>
        <row r="68">
          <cell r="A68" t="str">
            <v xml:space="preserve">   % ownership</v>
          </cell>
          <cell r="H68">
            <v>1</v>
          </cell>
        </row>
        <row r="69">
          <cell r="A69" t="str">
            <v>Net interest income</v>
          </cell>
        </row>
        <row r="70">
          <cell r="A70" t="str">
            <v xml:space="preserve">   % of parent comp</v>
          </cell>
        </row>
        <row r="71">
          <cell r="A71" t="str">
            <v>Non-interest income</v>
          </cell>
        </row>
        <row r="72">
          <cell r="A72" t="str">
            <v xml:space="preserve">   % of parent comp</v>
          </cell>
        </row>
        <row r="73">
          <cell r="A73" t="str">
            <v>Net operating revenue</v>
          </cell>
        </row>
        <row r="74">
          <cell r="A74" t="str">
            <v xml:space="preserve">   % of parent comp</v>
          </cell>
        </row>
        <row r="75">
          <cell r="A75" t="str">
            <v>SG&amp;A</v>
          </cell>
        </row>
        <row r="76">
          <cell r="A76" t="str">
            <v xml:space="preserve">   % of parent comp</v>
          </cell>
        </row>
        <row r="77">
          <cell r="A77" t="str">
            <v>PPOP</v>
          </cell>
        </row>
        <row r="78">
          <cell r="A78" t="str">
            <v xml:space="preserve">   % of parent comp</v>
          </cell>
        </row>
        <row r="79">
          <cell r="A79" t="str">
            <v>Provisioning</v>
          </cell>
        </row>
        <row r="80">
          <cell r="A80" t="str">
            <v xml:space="preserve">   % of parent comp</v>
          </cell>
        </row>
        <row r="81">
          <cell r="A81" t="str">
            <v>OP profit</v>
          </cell>
        </row>
        <row r="82">
          <cell r="A82" t="str">
            <v xml:space="preserve">   % of parent comp</v>
          </cell>
        </row>
        <row r="83">
          <cell r="A83" t="str">
            <v>Net profit</v>
          </cell>
        </row>
        <row r="84">
          <cell r="A84" t="str">
            <v xml:space="preserve">   % of parent comp</v>
          </cell>
        </row>
        <row r="85">
          <cell r="A85" t="str">
            <v xml:space="preserve">   Dividend</v>
          </cell>
        </row>
        <row r="86">
          <cell r="A86" t="str">
            <v xml:space="preserve">   Profits subject to equity method</v>
          </cell>
        </row>
        <row r="87">
          <cell r="A87" t="str">
            <v xml:space="preserve">   Contribution to equity method income</v>
          </cell>
        </row>
        <row r="88">
          <cell r="A88" t="str">
            <v>Total assets</v>
          </cell>
        </row>
        <row r="89">
          <cell r="A89" t="str">
            <v xml:space="preserve">   % of parent comp</v>
          </cell>
        </row>
        <row r="90">
          <cell r="A90" t="str">
            <v>Loans (Net)</v>
          </cell>
        </row>
        <row r="91">
          <cell r="A91" t="str">
            <v xml:space="preserve">   % of parent comp</v>
          </cell>
        </row>
        <row r="92">
          <cell r="A92" t="str">
            <v>Total liabilities</v>
          </cell>
        </row>
        <row r="93">
          <cell r="A93" t="str">
            <v xml:space="preserve">   % of parent comp</v>
          </cell>
        </row>
        <row r="94">
          <cell r="A94" t="str">
            <v>Deposits</v>
          </cell>
        </row>
        <row r="95">
          <cell r="A95" t="str">
            <v xml:space="preserve">   % of parent comp</v>
          </cell>
        </row>
        <row r="96">
          <cell r="A96" t="str">
            <v>Total shareholders' equity</v>
          </cell>
        </row>
        <row r="97">
          <cell r="A97" t="str">
            <v xml:space="preserve">   % of parent comp</v>
          </cell>
        </row>
        <row r="99">
          <cell r="H99" t="str">
            <v xml:space="preserve">   Fiscal year ends March 31</v>
          </cell>
        </row>
        <row r="100">
          <cell r="A100" t="str">
            <v>GMSH Securities</v>
          </cell>
          <cell r="G100" t="str">
            <v>Mar 01</v>
          </cell>
          <cell r="H100" t="str">
            <v>Mar 02</v>
          </cell>
          <cell r="I100" t="str">
            <v>Mar 03</v>
          </cell>
          <cell r="J100" t="str">
            <v>Mar 04</v>
          </cell>
          <cell r="K100" t="str">
            <v>Mar 05</v>
          </cell>
          <cell r="L100" t="str">
            <v>Mar 06</v>
          </cell>
        </row>
        <row r="101">
          <cell r="A101" t="str">
            <v xml:space="preserve">   % ownership</v>
          </cell>
          <cell r="H101">
            <v>1</v>
          </cell>
        </row>
        <row r="102">
          <cell r="A102" t="str">
            <v>Net profit</v>
          </cell>
          <cell r="G102">
            <v>11.525</v>
          </cell>
          <cell r="H102">
            <v>51.105604995999997</v>
          </cell>
          <cell r="I102">
            <v>10.878</v>
          </cell>
          <cell r="J102">
            <v>80.655000000000001</v>
          </cell>
          <cell r="K102">
            <v>30.311</v>
          </cell>
          <cell r="L102">
            <v>101.48099999999999</v>
          </cell>
        </row>
        <row r="103">
          <cell r="A103" t="str">
            <v xml:space="preserve">   % of parent comp</v>
          </cell>
          <cell r="G103" t="e">
            <v>#REF!</v>
          </cell>
          <cell r="H103" t="e">
            <v>#REF!</v>
          </cell>
          <cell r="I103" t="e">
            <v>#REF!</v>
          </cell>
          <cell r="J103" t="e">
            <v>#REF!</v>
          </cell>
          <cell r="K103" t="e">
            <v>#REF!</v>
          </cell>
          <cell r="L103" t="e">
            <v>#REF!</v>
          </cell>
        </row>
        <row r="107">
          <cell r="A107" t="str">
            <v>Total assets</v>
          </cell>
          <cell r="G107">
            <v>656.90499999999997</v>
          </cell>
          <cell r="H107">
            <v>1657.283922283</v>
          </cell>
          <cell r="I107">
            <v>1996.992</v>
          </cell>
          <cell r="J107">
            <v>2251.4490000000001</v>
          </cell>
          <cell r="K107">
            <v>2887.2280000000001</v>
          </cell>
          <cell r="L107">
            <v>3659.2370000000001</v>
          </cell>
        </row>
        <row r="108">
          <cell r="A108" t="str">
            <v xml:space="preserve">   % of parent comp</v>
          </cell>
          <cell r="G108" t="e">
            <v>#REF!</v>
          </cell>
          <cell r="H108" t="e">
            <v>#REF!</v>
          </cell>
          <cell r="I108" t="e">
            <v>#REF!</v>
          </cell>
          <cell r="J108" t="e">
            <v>#REF!</v>
          </cell>
          <cell r="K108" t="e">
            <v>#REF!</v>
          </cell>
          <cell r="L108" t="e">
            <v>#REF!</v>
          </cell>
        </row>
        <row r="109">
          <cell r="A109" t="str">
            <v>Total liabilities</v>
          </cell>
          <cell r="G109">
            <v>596.17700000000002</v>
          </cell>
          <cell r="H109">
            <v>967.72410040099999</v>
          </cell>
          <cell r="I109">
            <v>1429.3420000000001</v>
          </cell>
          <cell r="J109">
            <v>1595.278</v>
          </cell>
          <cell r="K109">
            <v>2197.2620000000002</v>
          </cell>
          <cell r="L109">
            <v>2878.7310000000002</v>
          </cell>
        </row>
        <row r="110">
          <cell r="A110" t="str">
            <v xml:space="preserve">   % of parent comp</v>
          </cell>
          <cell r="G110" t="e">
            <v>#REF!</v>
          </cell>
          <cell r="H110" t="e">
            <v>#REF!</v>
          </cell>
          <cell r="I110" t="e">
            <v>#REF!</v>
          </cell>
          <cell r="J110" t="e">
            <v>#REF!</v>
          </cell>
          <cell r="K110" t="e">
            <v>#REF!</v>
          </cell>
          <cell r="L110" t="e">
            <v>#REF!</v>
          </cell>
        </row>
        <row r="111">
          <cell r="A111" t="str">
            <v>Total shareholders' equity</v>
          </cell>
          <cell r="G111">
            <v>11.525</v>
          </cell>
          <cell r="H111">
            <v>689.55982188200005</v>
          </cell>
          <cell r="I111">
            <v>567.65</v>
          </cell>
          <cell r="J111">
            <v>656.17100000000005</v>
          </cell>
          <cell r="K111">
            <v>689.96600000000001</v>
          </cell>
          <cell r="L111">
            <v>780.50599999999997</v>
          </cell>
        </row>
        <row r="112">
          <cell r="A112" t="str">
            <v xml:space="preserve">   % of parent comp</v>
          </cell>
          <cell r="G112" t="e">
            <v>#REF!</v>
          </cell>
          <cell r="H112" t="e">
            <v>#REF!</v>
          </cell>
          <cell r="I112" t="e">
            <v>#REF!</v>
          </cell>
          <cell r="J112" t="e">
            <v>#REF!</v>
          </cell>
          <cell r="K112" t="e">
            <v>#REF!</v>
          </cell>
          <cell r="L112" t="e">
            <v>#REF!</v>
          </cell>
        </row>
        <row r="113">
          <cell r="H113" t="str">
            <v xml:space="preserve">   Fiscal year ends March 31</v>
          </cell>
        </row>
        <row r="114">
          <cell r="A114" t="str">
            <v>Shinhan Life</v>
          </cell>
          <cell r="G114" t="str">
            <v>Mar 01</v>
          </cell>
          <cell r="H114" t="str">
            <v>Mar 02</v>
          </cell>
          <cell r="I114" t="str">
            <v>Mar 03</v>
          </cell>
          <cell r="J114" t="str">
            <v>Mar 04</v>
          </cell>
          <cell r="K114" t="str">
            <v>Mar 05</v>
          </cell>
          <cell r="L114" t="str">
            <v>Mar 06</v>
          </cell>
        </row>
        <row r="115">
          <cell r="A115" t="str">
            <v xml:space="preserve">   % ownership</v>
          </cell>
          <cell r="H115">
            <v>1</v>
          </cell>
        </row>
        <row r="116">
          <cell r="A116" t="str">
            <v>Net profit</v>
          </cell>
          <cell r="G116">
            <v>7.431</v>
          </cell>
          <cell r="H116">
            <v>12.089124999999999</v>
          </cell>
          <cell r="I116">
            <v>86.332932</v>
          </cell>
          <cell r="J116">
            <v>96.704583</v>
          </cell>
          <cell r="K116">
            <v>92.984376999999995</v>
          </cell>
          <cell r="L116">
            <v>101.904</v>
          </cell>
        </row>
        <row r="117">
          <cell r="A117" t="str">
            <v xml:space="preserve">   % of parent comp</v>
          </cell>
          <cell r="G117" t="e">
            <v>#REF!</v>
          </cell>
          <cell r="H117" t="e">
            <v>#REF!</v>
          </cell>
          <cell r="I117" t="e">
            <v>#REF!</v>
          </cell>
          <cell r="J117" t="e">
            <v>#REF!</v>
          </cell>
          <cell r="K117" t="e">
            <v>#REF!</v>
          </cell>
          <cell r="L117" t="e">
            <v>#REF!</v>
          </cell>
        </row>
        <row r="118">
          <cell r="G118">
            <v>0</v>
          </cell>
        </row>
        <row r="119">
          <cell r="G119">
            <v>7.431</v>
          </cell>
        </row>
        <row r="120">
          <cell r="G120">
            <v>7.431</v>
          </cell>
        </row>
        <row r="121">
          <cell r="A121" t="str">
            <v>Total assets</v>
          </cell>
          <cell r="G121">
            <v>38.225999999999999</v>
          </cell>
          <cell r="H121">
            <v>2039.5316740000001</v>
          </cell>
          <cell r="I121">
            <v>2513.2254720000001</v>
          </cell>
          <cell r="J121">
            <v>3322.802216</v>
          </cell>
          <cell r="K121">
            <v>4216.1948659999998</v>
          </cell>
          <cell r="L121">
            <v>5298.5990000000002</v>
          </cell>
        </row>
        <row r="122">
          <cell r="A122" t="str">
            <v xml:space="preserve">   % of parent comp</v>
          </cell>
          <cell r="G122" t="e">
            <v>#REF!</v>
          </cell>
          <cell r="H122" t="e">
            <v>#REF!</v>
          </cell>
          <cell r="I122" t="e">
            <v>#REF!</v>
          </cell>
          <cell r="J122" t="e">
            <v>#REF!</v>
          </cell>
          <cell r="K122" t="e">
            <v>#REF!</v>
          </cell>
          <cell r="L122" t="e">
            <v>#REF!</v>
          </cell>
        </row>
        <row r="123">
          <cell r="A123" t="str">
            <v>Total liabilities</v>
          </cell>
          <cell r="G123">
            <v>0.83899999999999997</v>
          </cell>
          <cell r="H123">
            <v>2118.9046159999998</v>
          </cell>
          <cell r="I123">
            <v>2537.9890190000001</v>
          </cell>
          <cell r="J123">
            <v>3181.847323</v>
          </cell>
          <cell r="K123">
            <v>3963.8310280000001</v>
          </cell>
          <cell r="L123">
            <v>4943.634</v>
          </cell>
        </row>
        <row r="124">
          <cell r="A124" t="str">
            <v xml:space="preserve">   % of parent comp</v>
          </cell>
          <cell r="G124" t="e">
            <v>#REF!</v>
          </cell>
          <cell r="H124" t="e">
            <v>#REF!</v>
          </cell>
          <cell r="I124" t="e">
            <v>#REF!</v>
          </cell>
          <cell r="J124" t="e">
            <v>#REF!</v>
          </cell>
          <cell r="K124" t="e">
            <v>#REF!</v>
          </cell>
          <cell r="L124" t="e">
            <v>#REF!</v>
          </cell>
        </row>
        <row r="125">
          <cell r="A125" t="str">
            <v>Total shareholders' equity</v>
          </cell>
          <cell r="G125">
            <v>37.387</v>
          </cell>
          <cell r="H125">
            <v>-79.372941999999995</v>
          </cell>
          <cell r="I125">
            <v>-24.763546999999999</v>
          </cell>
          <cell r="J125">
            <v>140.954892</v>
          </cell>
          <cell r="K125">
            <v>252.36383799999999</v>
          </cell>
          <cell r="L125">
            <v>354.96499999999997</v>
          </cell>
        </row>
        <row r="126">
          <cell r="A126" t="str">
            <v xml:space="preserve">   % of parent comp</v>
          </cell>
          <cell r="G126" t="e">
            <v>#REF!</v>
          </cell>
          <cell r="H126" t="e">
            <v>#REF!</v>
          </cell>
          <cell r="I126" t="e">
            <v>#REF!</v>
          </cell>
          <cell r="J126" t="e">
            <v>#REF!</v>
          </cell>
          <cell r="K126" t="e">
            <v>#REF!</v>
          </cell>
          <cell r="L126" t="e">
            <v>#REF!</v>
          </cell>
        </row>
        <row r="128">
          <cell r="A128" t="str">
            <v>Shinhan Card</v>
          </cell>
        </row>
        <row r="129">
          <cell r="A129" t="str">
            <v xml:space="preserve">   % ownership</v>
          </cell>
          <cell r="H129">
            <v>1</v>
          </cell>
        </row>
        <row r="130">
          <cell r="A130" t="str">
            <v>Net profit</v>
          </cell>
          <cell r="C130">
            <v>3.7829999999999999</v>
          </cell>
          <cell r="D130">
            <v>9.0220000000000002</v>
          </cell>
          <cell r="E130">
            <v>1.7</v>
          </cell>
          <cell r="F130">
            <v>-15.581</v>
          </cell>
          <cell r="G130">
            <v>3.8639999999999999</v>
          </cell>
          <cell r="H130">
            <v>0.503965</v>
          </cell>
          <cell r="I130">
            <v>-89.823999999999998</v>
          </cell>
          <cell r="J130">
            <v>5.8220000000000001</v>
          </cell>
          <cell r="K130">
            <v>54.241</v>
          </cell>
        </row>
        <row r="131">
          <cell r="A131" t="str">
            <v xml:space="preserve">   % of parent comp</v>
          </cell>
          <cell r="C131" t="e">
            <v>#REF!</v>
          </cell>
          <cell r="D131" t="e">
            <v>#REF!</v>
          </cell>
          <cell r="E131" t="e">
            <v>#REF!</v>
          </cell>
          <cell r="F131" t="e">
            <v>#REF!</v>
          </cell>
          <cell r="G131" t="e">
            <v>#REF!</v>
          </cell>
          <cell r="H131" t="e">
            <v>#REF!</v>
          </cell>
          <cell r="I131" t="e">
            <v>#REF!</v>
          </cell>
          <cell r="J131" t="e">
            <v>#REF!</v>
          </cell>
          <cell r="K131" t="e">
            <v>#REF!</v>
          </cell>
        </row>
        <row r="132">
          <cell r="C132">
            <v>0</v>
          </cell>
          <cell r="D132">
            <v>0</v>
          </cell>
          <cell r="E132">
            <v>0</v>
          </cell>
          <cell r="F132">
            <v>0</v>
          </cell>
          <cell r="G132">
            <v>0</v>
          </cell>
        </row>
        <row r="133">
          <cell r="C133">
            <v>3.7829999999999999</v>
          </cell>
          <cell r="D133">
            <v>9.0220000000000002</v>
          </cell>
          <cell r="E133">
            <v>1.7</v>
          </cell>
          <cell r="F133">
            <v>-15.581</v>
          </cell>
          <cell r="G133">
            <v>3.8639999999999999</v>
          </cell>
        </row>
        <row r="134">
          <cell r="C134">
            <v>3.7829999999999999</v>
          </cell>
          <cell r="D134">
            <v>9.0220000000000002</v>
          </cell>
          <cell r="E134">
            <v>1.7</v>
          </cell>
          <cell r="F134">
            <v>-15.581</v>
          </cell>
          <cell r="G134">
            <v>3.8639999999999999</v>
          </cell>
        </row>
        <row r="135">
          <cell r="A135" t="str">
            <v>Total assets</v>
          </cell>
          <cell r="C135">
            <v>19.986999999999998</v>
          </cell>
          <cell r="D135">
            <v>29.673999999999999</v>
          </cell>
          <cell r="E135">
            <v>392.49799999999999</v>
          </cell>
          <cell r="F135">
            <v>317.10399999999998</v>
          </cell>
          <cell r="G135">
            <v>290.09699999999998</v>
          </cell>
          <cell r="H135">
            <v>2473.6940049999998</v>
          </cell>
          <cell r="I135">
            <v>1778.193</v>
          </cell>
          <cell r="J135">
            <v>1469.925</v>
          </cell>
          <cell r="K135">
            <v>1532.29</v>
          </cell>
        </row>
        <row r="136">
          <cell r="A136" t="str">
            <v xml:space="preserve">   % of parent comp</v>
          </cell>
          <cell r="C136" t="e">
            <v>#REF!</v>
          </cell>
          <cell r="D136" t="e">
            <v>#REF!</v>
          </cell>
          <cell r="E136" t="e">
            <v>#REF!</v>
          </cell>
          <cell r="F136" t="e">
            <v>#REF!</v>
          </cell>
          <cell r="G136" t="e">
            <v>#REF!</v>
          </cell>
          <cell r="H136" t="e">
            <v>#REF!</v>
          </cell>
          <cell r="I136" t="e">
            <v>#REF!</v>
          </cell>
          <cell r="J136" t="e">
            <v>#REF!</v>
          </cell>
          <cell r="K136" t="e">
            <v>#REF!</v>
          </cell>
        </row>
        <row r="137">
          <cell r="A137" t="str">
            <v>Total liabilities</v>
          </cell>
          <cell r="C137">
            <v>7.63</v>
          </cell>
          <cell r="D137">
            <v>9.7949999999999999</v>
          </cell>
          <cell r="E137">
            <v>370.96</v>
          </cell>
          <cell r="F137">
            <v>311.14699999999999</v>
          </cell>
          <cell r="G137">
            <v>211.28299999999999</v>
          </cell>
          <cell r="H137">
            <v>2226.2338669999999</v>
          </cell>
          <cell r="I137">
            <v>1620.557</v>
          </cell>
          <cell r="J137">
            <v>1306.4670000000001</v>
          </cell>
          <cell r="K137">
            <v>1314.5909999999999</v>
          </cell>
        </row>
        <row r="138">
          <cell r="A138" t="str">
            <v xml:space="preserve">   % of parent comp</v>
          </cell>
          <cell r="C138" t="e">
            <v>#REF!</v>
          </cell>
          <cell r="D138" t="e">
            <v>#REF!</v>
          </cell>
          <cell r="E138" t="e">
            <v>#REF!</v>
          </cell>
          <cell r="F138" t="e">
            <v>#REF!</v>
          </cell>
          <cell r="G138" t="e">
            <v>#REF!</v>
          </cell>
          <cell r="H138" t="e">
            <v>#REF!</v>
          </cell>
          <cell r="I138" t="e">
            <v>#REF!</v>
          </cell>
          <cell r="J138" t="e">
            <v>#REF!</v>
          </cell>
          <cell r="K138" t="e">
            <v>#REF!</v>
          </cell>
        </row>
        <row r="139">
          <cell r="A139" t="str">
            <v>Total shareholders' equity</v>
          </cell>
          <cell r="C139">
            <v>12.356999999999999</v>
          </cell>
          <cell r="D139">
            <v>19.879000000000001</v>
          </cell>
          <cell r="E139">
            <v>21.538</v>
          </cell>
          <cell r="F139">
            <v>5.9569999999999999</v>
          </cell>
          <cell r="G139">
            <v>78.813999999999993</v>
          </cell>
          <cell r="H139">
            <v>247.460138</v>
          </cell>
          <cell r="I139">
            <v>157.636</v>
          </cell>
          <cell r="J139">
            <v>163.458</v>
          </cell>
          <cell r="K139">
            <v>217.69900000000001</v>
          </cell>
        </row>
        <row r="140">
          <cell r="A140" t="str">
            <v xml:space="preserve">   % of parent comp</v>
          </cell>
          <cell r="C140" t="e">
            <v>#REF!</v>
          </cell>
          <cell r="D140" t="e">
            <v>#REF!</v>
          </cell>
          <cell r="E140" t="e">
            <v>#REF!</v>
          </cell>
          <cell r="F140" t="e">
            <v>#REF!</v>
          </cell>
          <cell r="G140" t="e">
            <v>#REF!</v>
          </cell>
          <cell r="H140" t="e">
            <v>#REF!</v>
          </cell>
          <cell r="I140" t="e">
            <v>#REF!</v>
          </cell>
          <cell r="J140" t="e">
            <v>#REF!</v>
          </cell>
          <cell r="K140" t="e">
            <v>#REF!</v>
          </cell>
        </row>
        <row r="142">
          <cell r="A142" t="str">
            <v>Shinhan Capital</v>
          </cell>
        </row>
        <row r="143">
          <cell r="A143" t="str">
            <v xml:space="preserve">   % ownership</v>
          </cell>
          <cell r="H143">
            <v>1</v>
          </cell>
        </row>
        <row r="144">
          <cell r="A144" t="str">
            <v>Net profit</v>
          </cell>
          <cell r="C144">
            <v>3.7829999999999999</v>
          </cell>
          <cell r="D144">
            <v>9.0220000000000002</v>
          </cell>
          <cell r="E144">
            <v>1.7</v>
          </cell>
          <cell r="F144">
            <v>-15.581</v>
          </cell>
          <cell r="G144">
            <v>3.8639999999999999</v>
          </cell>
          <cell r="H144">
            <v>3.8272050000000002</v>
          </cell>
          <cell r="I144">
            <v>15.754735999999999</v>
          </cell>
          <cell r="J144">
            <v>23.056000000000001</v>
          </cell>
          <cell r="K144">
            <v>36.741999999999997</v>
          </cell>
        </row>
        <row r="145">
          <cell r="A145" t="str">
            <v xml:space="preserve">   % of parent comp</v>
          </cell>
          <cell r="C145" t="e">
            <v>#REF!</v>
          </cell>
          <cell r="D145" t="e">
            <v>#REF!</v>
          </cell>
          <cell r="E145" t="e">
            <v>#REF!</v>
          </cell>
          <cell r="F145" t="e">
            <v>#REF!</v>
          </cell>
          <cell r="G145" t="e">
            <v>#REF!</v>
          </cell>
          <cell r="H145" t="e">
            <v>#REF!</v>
          </cell>
          <cell r="I145" t="e">
            <v>#REF!</v>
          </cell>
          <cell r="J145" t="e">
            <v>#REF!</v>
          </cell>
          <cell r="K145" t="e">
            <v>#REF!</v>
          </cell>
        </row>
        <row r="146">
          <cell r="C146">
            <v>0</v>
          </cell>
          <cell r="D146">
            <v>0</v>
          </cell>
          <cell r="E146">
            <v>0</v>
          </cell>
          <cell r="F146">
            <v>0</v>
          </cell>
          <cell r="G146">
            <v>0</v>
          </cell>
        </row>
        <row r="147">
          <cell r="C147">
            <v>3.7829999999999999</v>
          </cell>
          <cell r="D147">
            <v>9.0220000000000002</v>
          </cell>
          <cell r="E147">
            <v>1.7</v>
          </cell>
          <cell r="F147">
            <v>-15.581</v>
          </cell>
          <cell r="G147">
            <v>3.8639999999999999</v>
          </cell>
        </row>
        <row r="148">
          <cell r="C148">
            <v>3.7829999999999999</v>
          </cell>
          <cell r="D148">
            <v>9.0220000000000002</v>
          </cell>
          <cell r="E148">
            <v>1.7</v>
          </cell>
          <cell r="F148">
            <v>-15.581</v>
          </cell>
          <cell r="G148">
            <v>3.8639999999999999</v>
          </cell>
        </row>
        <row r="149">
          <cell r="A149" t="str">
            <v>Total assets</v>
          </cell>
          <cell r="C149">
            <v>19.986999999999998</v>
          </cell>
          <cell r="D149">
            <v>29.673999999999999</v>
          </cell>
          <cell r="E149">
            <v>392.49799999999999</v>
          </cell>
          <cell r="F149">
            <v>317.10399999999998</v>
          </cell>
          <cell r="G149">
            <v>290.09699999999998</v>
          </cell>
          <cell r="H149">
            <v>960.23438299999998</v>
          </cell>
          <cell r="I149">
            <v>1153.906982</v>
          </cell>
          <cell r="J149">
            <v>1320.9290000000001</v>
          </cell>
          <cell r="K149">
            <v>1400.829</v>
          </cell>
        </row>
        <row r="150">
          <cell r="A150" t="str">
            <v xml:space="preserve">   % of parent comp</v>
          </cell>
          <cell r="C150" t="e">
            <v>#REF!</v>
          </cell>
          <cell r="D150" t="e">
            <v>#REF!</v>
          </cell>
          <cell r="E150" t="e">
            <v>#REF!</v>
          </cell>
          <cell r="F150" t="e">
            <v>#REF!</v>
          </cell>
          <cell r="G150" t="e">
            <v>#REF!</v>
          </cell>
          <cell r="H150" t="e">
            <v>#REF!</v>
          </cell>
          <cell r="I150" t="e">
            <v>#REF!</v>
          </cell>
          <cell r="J150" t="e">
            <v>#REF!</v>
          </cell>
          <cell r="K150" t="e">
            <v>#REF!</v>
          </cell>
        </row>
        <row r="151">
          <cell r="A151" t="str">
            <v>Total liabilities</v>
          </cell>
          <cell r="C151">
            <v>7.63</v>
          </cell>
          <cell r="D151">
            <v>9.7949999999999999</v>
          </cell>
          <cell r="E151">
            <v>370.96</v>
          </cell>
          <cell r="F151">
            <v>311.14699999999999</v>
          </cell>
          <cell r="G151">
            <v>211.28299999999999</v>
          </cell>
          <cell r="H151">
            <v>876.55106899999998</v>
          </cell>
          <cell r="I151">
            <v>1051.682816</v>
          </cell>
          <cell r="J151">
            <v>1201.5820000000001</v>
          </cell>
          <cell r="K151">
            <v>1251.895</v>
          </cell>
        </row>
        <row r="152">
          <cell r="A152" t="str">
            <v xml:space="preserve">   % of parent comp</v>
          </cell>
          <cell r="C152" t="e">
            <v>#REF!</v>
          </cell>
          <cell r="D152" t="e">
            <v>#REF!</v>
          </cell>
          <cell r="E152" t="e">
            <v>#REF!</v>
          </cell>
          <cell r="F152" t="e">
            <v>#REF!</v>
          </cell>
          <cell r="G152" t="e">
            <v>#REF!</v>
          </cell>
          <cell r="H152" t="e">
            <v>#REF!</v>
          </cell>
          <cell r="I152" t="e">
            <v>#REF!</v>
          </cell>
          <cell r="J152" t="e">
            <v>#REF!</v>
          </cell>
          <cell r="K152" t="e">
            <v>#REF!</v>
          </cell>
        </row>
        <row r="153">
          <cell r="A153" t="str">
            <v>Total shareholders' equity</v>
          </cell>
          <cell r="C153">
            <v>12.356999999999999</v>
          </cell>
          <cell r="D153">
            <v>19.879000000000001</v>
          </cell>
          <cell r="E153">
            <v>21.538</v>
          </cell>
          <cell r="F153">
            <v>5.9569999999999999</v>
          </cell>
          <cell r="G153">
            <v>78.813999999999993</v>
          </cell>
          <cell r="H153">
            <v>83.683312999999998</v>
          </cell>
          <cell r="I153">
            <v>102.224166</v>
          </cell>
          <cell r="J153">
            <v>119.34699999999999</v>
          </cell>
          <cell r="K153">
            <v>148.934</v>
          </cell>
        </row>
        <row r="154">
          <cell r="A154" t="str">
            <v xml:space="preserve">   % of parent comp</v>
          </cell>
          <cell r="C154" t="e">
            <v>#REF!</v>
          </cell>
          <cell r="D154" t="e">
            <v>#REF!</v>
          </cell>
          <cell r="E154" t="e">
            <v>#REF!</v>
          </cell>
          <cell r="F154" t="e">
            <v>#REF!</v>
          </cell>
          <cell r="G154" t="e">
            <v>#REF!</v>
          </cell>
          <cell r="H154" t="e">
            <v>#REF!</v>
          </cell>
          <cell r="I154" t="e">
            <v>#REF!</v>
          </cell>
          <cell r="J154" t="e">
            <v>#REF!</v>
          </cell>
          <cell r="K154" t="e">
            <v>#REF!</v>
          </cell>
        </row>
        <row r="156">
          <cell r="A156" t="str">
            <v>LG CARD</v>
          </cell>
          <cell r="I156" t="str">
            <v>O/S Shrs</v>
          </cell>
          <cell r="J156">
            <v>125.36940300000001</v>
          </cell>
          <cell r="L156" t="str">
            <v>BV as of June 06</v>
          </cell>
        </row>
        <row r="157">
          <cell r="A157" t="str">
            <v xml:space="preserve">   % ownership</v>
          </cell>
          <cell r="H157">
            <v>0.85699999999999987</v>
          </cell>
          <cell r="I157" t="str">
            <v>Holdings</v>
          </cell>
          <cell r="J157">
            <v>107.44157837099999</v>
          </cell>
          <cell r="L157">
            <v>360.28160000000003</v>
          </cell>
        </row>
        <row r="158">
          <cell r="A158" t="str">
            <v>Balance sheet (Reported)</v>
          </cell>
        </row>
        <row r="159">
          <cell r="A159" t="str">
            <v>Total assets</v>
          </cell>
          <cell r="H159">
            <v>19425.709443093001</v>
          </cell>
          <cell r="I159">
            <v>10765.557619648</v>
          </cell>
          <cell r="J159">
            <v>8217.358097024</v>
          </cell>
          <cell r="K159">
            <v>9084.2337239293047</v>
          </cell>
          <cell r="L159">
            <v>9645.4817304675944</v>
          </cell>
          <cell r="M159">
            <v>10279.386422697202</v>
          </cell>
          <cell r="N159">
            <v>10921.808845689473</v>
          </cell>
          <cell r="O159">
            <v>11604.701841452086</v>
          </cell>
          <cell r="P159">
            <v>12330.631652978911</v>
          </cell>
          <cell r="Q159">
            <v>13102.328111846602</v>
          </cell>
          <cell r="AD159">
            <v>19425.709443093001</v>
          </cell>
          <cell r="AE159">
            <v>20572.790378876001</v>
          </cell>
          <cell r="AF159">
            <v>17823.092566519928</v>
          </cell>
          <cell r="AG159">
            <v>15802.597101133</v>
          </cell>
          <cell r="AH159">
            <v>10765.557619648</v>
          </cell>
          <cell r="AI159">
            <v>12129.43586263</v>
          </cell>
          <cell r="AJ159">
            <v>10952.712550952328</v>
          </cell>
          <cell r="AK159">
            <v>9950.2843554999999</v>
          </cell>
          <cell r="AL159">
            <v>8217.358097024</v>
          </cell>
          <cell r="AM159">
            <v>8454.1806877350009</v>
          </cell>
          <cell r="AN159">
            <v>8677.3351910402507</v>
          </cell>
          <cell r="AO159">
            <v>8717.4559219418243</v>
          </cell>
          <cell r="AP159">
            <v>9084.2337239293047</v>
          </cell>
          <cell r="AQ159">
            <v>9515.9031037324094</v>
          </cell>
          <cell r="AR159">
            <v>9382.089956343485</v>
          </cell>
          <cell r="AS159">
            <v>9851.1141169623425</v>
          </cell>
          <cell r="AT159">
            <v>9645.4817304675944</v>
          </cell>
          <cell r="AU159">
            <v>9868.3730752840002</v>
          </cell>
          <cell r="AV159">
            <v>9782.4861796053283</v>
          </cell>
          <cell r="AW159">
            <v>10030.936301151265</v>
          </cell>
          <cell r="AX159">
            <v>10279.386422697202</v>
          </cell>
          <cell r="AY159">
            <v>10439.992028445269</v>
          </cell>
          <cell r="AZ159">
            <v>10439.992028445269</v>
          </cell>
          <cell r="BA159">
            <v>10680.900437067372</v>
          </cell>
          <cell r="BB159">
            <v>10921.808845689473</v>
          </cell>
          <cell r="BC159">
            <v>11092.532094630125</v>
          </cell>
          <cell r="BD159">
            <v>11092.532094630127</v>
          </cell>
          <cell r="BE159">
            <v>11348.616968041108</v>
          </cell>
          <cell r="BF159">
            <v>11604.701841452086</v>
          </cell>
          <cell r="BG159">
            <v>11786.184294333792</v>
          </cell>
          <cell r="BH159">
            <v>11786.184294333792</v>
          </cell>
          <cell r="BI159">
            <v>12058.407973656351</v>
          </cell>
          <cell r="BJ159">
            <v>12330.631652978911</v>
          </cell>
          <cell r="BK159">
            <v>12523.555767695834</v>
          </cell>
          <cell r="BL159">
            <v>12523.555767695834</v>
          </cell>
          <cell r="BM159">
            <v>12812.941939771219</v>
          </cell>
          <cell r="BN159">
            <v>13102.328111846602</v>
          </cell>
        </row>
        <row r="160">
          <cell r="A160" t="str">
            <v xml:space="preserve">   Interest earning assets</v>
          </cell>
          <cell r="H160">
            <v>14680.647696916001</v>
          </cell>
          <cell r="I160">
            <v>12343.111356021</v>
          </cell>
          <cell r="J160">
            <v>7944.3332686909998</v>
          </cell>
          <cell r="K160">
            <v>8295.4130061840006</v>
          </cell>
          <cell r="L160">
            <v>9053.6907223479993</v>
          </cell>
          <cell r="M160">
            <v>9642.1806193006196</v>
          </cell>
          <cell r="N160">
            <v>10268.922359555161</v>
          </cell>
          <cell r="O160">
            <v>10936.402312926244</v>
          </cell>
          <cell r="P160">
            <v>11647.26846326645</v>
          </cell>
          <cell r="Q160">
            <v>12404.340913378768</v>
          </cell>
          <cell r="AD160">
            <v>14680.647696916001</v>
          </cell>
          <cell r="AE160">
            <v>14237.998182197</v>
          </cell>
          <cell r="AF160">
            <v>11653.273587998998</v>
          </cell>
          <cell r="AG160">
            <v>9926.4476954889979</v>
          </cell>
          <cell r="AH160">
            <v>12343.111356021</v>
          </cell>
          <cell r="AI160">
            <v>11982.908541015999</v>
          </cell>
          <cell r="AJ160">
            <v>10390.551977382001</v>
          </cell>
          <cell r="AK160">
            <v>9904.2797666099996</v>
          </cell>
          <cell r="AL160">
            <v>7944.3332686909998</v>
          </cell>
          <cell r="AM160">
            <v>7860.5700094140002</v>
          </cell>
          <cell r="AN160">
            <v>8499.440444934</v>
          </cell>
          <cell r="AO160">
            <v>8359.9178914820004</v>
          </cell>
          <cell r="AP160">
            <v>8295.4130061840006</v>
          </cell>
          <cell r="AQ160">
            <v>8669.5813392279997</v>
          </cell>
          <cell r="AR160">
            <v>8919.4556621419997</v>
          </cell>
          <cell r="AS160">
            <v>9082.7818368459994</v>
          </cell>
          <cell r="AT160">
            <v>9053.6907223479993</v>
          </cell>
          <cell r="AU160">
            <v>8889.2598809390001</v>
          </cell>
          <cell r="AV160">
            <v>9304.6643018018731</v>
          </cell>
          <cell r="AW160">
            <v>9473.4224605512463</v>
          </cell>
          <cell r="AX160">
            <v>9642.1806193006196</v>
          </cell>
          <cell r="AY160">
            <v>9798.8660543642545</v>
          </cell>
          <cell r="AZ160">
            <v>9798.8660543642545</v>
          </cell>
          <cell r="BA160">
            <v>10033.894206959707</v>
          </cell>
          <cell r="BB160">
            <v>10268.922359555161</v>
          </cell>
          <cell r="BC160">
            <v>10435.792347897932</v>
          </cell>
          <cell r="BD160">
            <v>10435.792347897932</v>
          </cell>
          <cell r="BE160">
            <v>10686.097330412089</v>
          </cell>
          <cell r="BF160">
            <v>10936.402312926244</v>
          </cell>
          <cell r="BG160">
            <v>11114.118850511295</v>
          </cell>
          <cell r="BH160">
            <v>11114.118850511295</v>
          </cell>
          <cell r="BI160">
            <v>11380.693656888872</v>
          </cell>
          <cell r="BJ160">
            <v>11647.26846326645</v>
          </cell>
          <cell r="BK160">
            <v>11836.536575794529</v>
          </cell>
          <cell r="BL160">
            <v>11836.536575794529</v>
          </cell>
          <cell r="BM160">
            <v>12120.438744586649</v>
          </cell>
          <cell r="BN160">
            <v>12404.340913378768</v>
          </cell>
        </row>
        <row r="161">
          <cell r="A161" t="str">
            <v xml:space="preserve">   LLR</v>
          </cell>
          <cell r="H161">
            <v>2278.197090484</v>
          </cell>
          <cell r="I161">
            <v>5022.842407227</v>
          </cell>
          <cell r="J161">
            <v>2324.3275268460002</v>
          </cell>
          <cell r="K161">
            <v>1195.924789046695</v>
          </cell>
          <cell r="L161">
            <v>1042.3483241374099</v>
          </cell>
          <cell r="M161">
            <v>1078.6404954732729</v>
          </cell>
          <cell r="N161">
            <v>1148.7521276790355</v>
          </cell>
          <cell r="O161">
            <v>1223.4210159781726</v>
          </cell>
          <cell r="P161">
            <v>1302.943382016754</v>
          </cell>
          <cell r="Q161">
            <v>1387.634701847843</v>
          </cell>
          <cell r="AD161">
            <v>2278.197090484</v>
          </cell>
          <cell r="AE161">
            <v>2522.8298856689999</v>
          </cell>
          <cell r="AF161">
            <v>2019.277092735</v>
          </cell>
          <cell r="AG161">
            <v>2088.4149246880002</v>
          </cell>
          <cell r="AH161">
            <v>5022.842407227</v>
          </cell>
          <cell r="AI161">
            <v>4280.200485286</v>
          </cell>
          <cell r="AJ161">
            <v>3766.2418246218622</v>
          </cell>
          <cell r="AK161">
            <v>3358.5596008490002</v>
          </cell>
          <cell r="AL161">
            <v>2324.3275268460002</v>
          </cell>
          <cell r="AM161">
            <v>1718.4799940959999</v>
          </cell>
          <cell r="AN161">
            <v>1475.91671779175</v>
          </cell>
          <cell r="AO161">
            <v>1298.3521681681768</v>
          </cell>
          <cell r="AP161">
            <v>1195.924789046695</v>
          </cell>
          <cell r="AQ161">
            <v>1061.9110909625938</v>
          </cell>
          <cell r="AR161">
            <v>1084.1693792235167</v>
          </cell>
          <cell r="AS161">
            <v>1074.5789342666601</v>
          </cell>
          <cell r="AT161">
            <v>1042.3483241374099</v>
          </cell>
          <cell r="AU161">
            <v>915.149902344</v>
          </cell>
          <cell r="AV161">
            <v>1096.8451885138343</v>
          </cell>
          <cell r="AW161">
            <v>1087.7428419935536</v>
          </cell>
          <cell r="AX161">
            <v>1078.6404954732729</v>
          </cell>
          <cell r="AY161">
            <v>1096.1684035247135</v>
          </cell>
          <cell r="AZ161">
            <v>1096.1684035247135</v>
          </cell>
          <cell r="BA161">
            <v>1122.4602656018747</v>
          </cell>
          <cell r="BB161">
            <v>1148.7521276790355</v>
          </cell>
          <cell r="BC161">
            <v>1167.4193497538199</v>
          </cell>
          <cell r="BD161">
            <v>1167.4193497538197</v>
          </cell>
          <cell r="BE161">
            <v>1195.4201828659961</v>
          </cell>
          <cell r="BF161">
            <v>1223.4210159781726</v>
          </cell>
          <cell r="BG161">
            <v>1243.3016074878178</v>
          </cell>
          <cell r="BH161">
            <v>1243.301607487818</v>
          </cell>
          <cell r="BI161">
            <v>1273.122494752286</v>
          </cell>
          <cell r="BJ161">
            <v>1302.943382016754</v>
          </cell>
          <cell r="BK161">
            <v>1324.1162119745263</v>
          </cell>
          <cell r="BL161">
            <v>1324.1162119745261</v>
          </cell>
          <cell r="BM161">
            <v>1355.8754569111845</v>
          </cell>
          <cell r="BN161">
            <v>1387.634701847843</v>
          </cell>
        </row>
        <row r="162">
          <cell r="A162" t="str">
            <v xml:space="preserve">   Other assets</v>
          </cell>
          <cell r="H162">
            <v>7023.2588366609998</v>
          </cell>
          <cell r="I162">
            <v>3445.288670854</v>
          </cell>
          <cell r="J162">
            <v>2597.3523551790004</v>
          </cell>
          <cell r="K162">
            <v>1984.7455067919991</v>
          </cell>
          <cell r="L162">
            <v>1634.139332257005</v>
          </cell>
          <cell r="M162">
            <v>1715.8462988698552</v>
          </cell>
          <cell r="N162">
            <v>1801.638613813348</v>
          </cell>
          <cell r="O162">
            <v>1891.7205445040154</v>
          </cell>
          <cell r="P162">
            <v>1986.3065717292163</v>
          </cell>
          <cell r="Q162">
            <v>2085.6219003156771</v>
          </cell>
          <cell r="AD162">
            <v>7023.2588366609998</v>
          </cell>
          <cell r="AE162">
            <v>8857.6220823480016</v>
          </cell>
          <cell r="AF162">
            <v>8189.0960712559308</v>
          </cell>
          <cell r="AG162">
            <v>7964.564330332003</v>
          </cell>
          <cell r="AH162">
            <v>3445.288670854</v>
          </cell>
          <cell r="AI162">
            <v>4426.7278069000013</v>
          </cell>
          <cell r="AJ162">
            <v>4328.4023981921891</v>
          </cell>
          <cell r="AK162">
            <v>3404.5641897390005</v>
          </cell>
          <cell r="AL162">
            <v>2597.3523551790004</v>
          </cell>
          <cell r="AM162">
            <v>2312.0906724170009</v>
          </cell>
          <cell r="AN162">
            <v>1653.8114638980007</v>
          </cell>
          <cell r="AO162">
            <v>1655.8901986280007</v>
          </cell>
          <cell r="AP162">
            <v>1984.7455067919991</v>
          </cell>
          <cell r="AQ162">
            <v>1908.2328554670034</v>
          </cell>
          <cell r="AR162">
            <v>1546.803673425002</v>
          </cell>
          <cell r="AS162">
            <v>1842.9112143830032</v>
          </cell>
          <cell r="AT162">
            <v>1634.139332257005</v>
          </cell>
          <cell r="AU162">
            <v>1894.2630966890001</v>
          </cell>
          <cell r="AV162">
            <v>1574.6670663172899</v>
          </cell>
          <cell r="AW162">
            <v>1645.2566825935719</v>
          </cell>
          <cell r="AX162">
            <v>1715.8462988698552</v>
          </cell>
          <cell r="AY162">
            <v>1737.2943776057291</v>
          </cell>
          <cell r="AZ162">
            <v>1737.2943776057291</v>
          </cell>
          <cell r="BA162">
            <v>1769.4664957095392</v>
          </cell>
          <cell r="BB162">
            <v>1801.638613813348</v>
          </cell>
          <cell r="BC162">
            <v>1824.1590964860134</v>
          </cell>
          <cell r="BD162">
            <v>1824.1590964860152</v>
          </cell>
          <cell r="BE162">
            <v>1857.9398204950157</v>
          </cell>
          <cell r="BF162">
            <v>1891.7205445040154</v>
          </cell>
          <cell r="BG162">
            <v>1915.3670513103152</v>
          </cell>
          <cell r="BH162">
            <v>1915.3670513103152</v>
          </cell>
          <cell r="BI162">
            <v>1950.8368115197645</v>
          </cell>
          <cell r="BJ162">
            <v>1986.3065717292163</v>
          </cell>
          <cell r="BK162">
            <v>2011.1354038758309</v>
          </cell>
          <cell r="BL162">
            <v>2011.1354038758309</v>
          </cell>
          <cell r="BM162">
            <v>2048.3786520957547</v>
          </cell>
          <cell r="BN162">
            <v>2085.6219003156771</v>
          </cell>
        </row>
        <row r="163">
          <cell r="A163" t="str">
            <v>Total liabilities</v>
          </cell>
          <cell r="H163">
            <v>17650.999812833001</v>
          </cell>
          <cell r="I163">
            <v>13978.745060193</v>
          </cell>
          <cell r="J163">
            <v>8787.1056658929992</v>
          </cell>
          <cell r="K163">
            <v>7277.7093378500003</v>
          </cell>
          <cell r="L163">
            <v>6624.9121166320001</v>
          </cell>
          <cell r="M163">
            <v>6088.736016965644</v>
          </cell>
          <cell r="N163">
            <v>5550.6085041349452</v>
          </cell>
          <cell r="O163">
            <v>5325.4618409270579</v>
          </cell>
          <cell r="P163">
            <v>5158.718818481344</v>
          </cell>
          <cell r="Q163">
            <v>5058.9434231833447</v>
          </cell>
          <cell r="AD163">
            <v>17650.999812833001</v>
          </cell>
          <cell r="AE163">
            <v>19199.939171094</v>
          </cell>
          <cell r="AF163">
            <v>16437.980328497</v>
          </cell>
          <cell r="AG163">
            <v>14671.190648964999</v>
          </cell>
          <cell r="AH163">
            <v>13978.745060193</v>
          </cell>
          <cell r="AI163">
            <v>12423.565754523999</v>
          </cell>
          <cell r="AJ163">
            <v>11784.193760699811</v>
          </cell>
          <cell r="AK163">
            <v>10841.57304420093</v>
          </cell>
          <cell r="AL163">
            <v>8787.1056658929992</v>
          </cell>
          <cell r="AM163">
            <v>7728.1017176309997</v>
          </cell>
          <cell r="AN163">
            <v>7468.2801931289996</v>
          </cell>
          <cell r="AO163">
            <v>7140.471698789207</v>
          </cell>
          <cell r="AP163">
            <v>7277.7093378500003</v>
          </cell>
          <cell r="AQ163">
            <v>7348.9114591369998</v>
          </cell>
          <cell r="AR163">
            <v>6923.5451695385</v>
          </cell>
          <cell r="AS163">
            <v>7081.7263953251504</v>
          </cell>
          <cell r="AT163">
            <v>6624.9121166320001</v>
          </cell>
          <cell r="AU163">
            <v>5985.5677121480003</v>
          </cell>
          <cell r="AV163">
            <v>5608.3306992873531</v>
          </cell>
          <cell r="AW163">
            <v>5563.0905420675235</v>
          </cell>
          <cell r="AX163">
            <v>6091.899736322719</v>
          </cell>
          <cell r="AY163">
            <v>5960.9095079225126</v>
          </cell>
          <cell r="AZ163">
            <v>5666.952573902593</v>
          </cell>
          <cell r="BA163">
            <v>5611.5429486331304</v>
          </cell>
          <cell r="BB163">
            <v>5553.7722234920202</v>
          </cell>
          <cell r="BC163">
            <v>5468.3038981449317</v>
          </cell>
          <cell r="BD163">
            <v>5249.2182433830976</v>
          </cell>
          <cell r="BE163">
            <v>5284.4577378976082</v>
          </cell>
          <cell r="BF163">
            <v>5328.6255602841329</v>
          </cell>
          <cell r="BG163">
            <v>5289.6178231746217</v>
          </cell>
          <cell r="BH163">
            <v>5067.3422875154592</v>
          </cell>
          <cell r="BI163">
            <v>5115.5050855109102</v>
          </cell>
          <cell r="BJ163">
            <v>5161.8825378384181</v>
          </cell>
          <cell r="BK163">
            <v>5134.3164625641239</v>
          </cell>
          <cell r="BL163">
            <v>4912.0409269049615</v>
          </cell>
          <cell r="BM163">
            <v>4977.3662176532389</v>
          </cell>
          <cell r="BN163">
            <v>5062.107142540418</v>
          </cell>
        </row>
        <row r="164">
          <cell r="A164" t="str">
            <v xml:space="preserve">   Interest bearing liabilities</v>
          </cell>
          <cell r="H164">
            <v>15431.588687936999</v>
          </cell>
          <cell r="I164">
            <v>12436.375434269999</v>
          </cell>
          <cell r="J164">
            <v>7741.8698959120002</v>
          </cell>
          <cell r="K164">
            <v>6073.6267917449995</v>
          </cell>
          <cell r="L164">
            <v>5136.2042644860003</v>
          </cell>
          <cell r="M164">
            <v>4525.5927722123442</v>
          </cell>
          <cell r="N164">
            <v>3909.3080971439804</v>
          </cell>
          <cell r="O164">
            <v>3602.0964135865452</v>
          </cell>
          <cell r="P164">
            <v>3349.1851197738051</v>
          </cell>
          <cell r="Q164">
            <v>3158.933039540429</v>
          </cell>
          <cell r="AD164">
            <v>15431.588687936999</v>
          </cell>
          <cell r="AE164">
            <v>16825.921807940998</v>
          </cell>
          <cell r="AF164">
            <v>14390.429907538</v>
          </cell>
          <cell r="AG164">
            <v>12645.649348079</v>
          </cell>
          <cell r="AH164">
            <v>12436.375434269999</v>
          </cell>
          <cell r="AI164">
            <v>11131.660050217999</v>
          </cell>
          <cell r="AJ164">
            <v>10485.684456307999</v>
          </cell>
          <cell r="AK164">
            <v>9550.5312251969299</v>
          </cell>
          <cell r="AL164">
            <v>7741.8698959120002</v>
          </cell>
          <cell r="AM164">
            <v>6519.9840691030013</v>
          </cell>
          <cell r="AN164">
            <v>6474.3224769599892</v>
          </cell>
          <cell r="AO164">
            <v>6125.9806272919623</v>
          </cell>
          <cell r="AP164">
            <v>6073.6267917449995</v>
          </cell>
          <cell r="AQ164">
            <v>5989.1297374360001</v>
          </cell>
          <cell r="AR164">
            <v>5620.5320697349998</v>
          </cell>
          <cell r="AS164">
            <v>5575.3522794759992</v>
          </cell>
          <cell r="AT164">
            <v>5136.2042644860003</v>
          </cell>
          <cell r="AU164">
            <v>4490.7603060679994</v>
          </cell>
          <cell r="AV164">
            <v>5147.8150865341149</v>
          </cell>
          <cell r="AW164">
            <v>4836.7039293732296</v>
          </cell>
          <cell r="AX164">
            <v>4525.5927722123442</v>
          </cell>
          <cell r="AY164">
            <v>4371.5216034452533</v>
          </cell>
          <cell r="AZ164">
            <v>4371.5216034452533</v>
          </cell>
          <cell r="BA164">
            <v>4140.4148502946173</v>
          </cell>
          <cell r="BB164">
            <v>3909.3080971439804</v>
          </cell>
          <cell r="BC164">
            <v>3832.5051762546218</v>
          </cell>
          <cell r="BD164">
            <v>3832.5051762546213</v>
          </cell>
          <cell r="BE164">
            <v>3717.300794920583</v>
          </cell>
          <cell r="BF164">
            <v>3602.0964135865452</v>
          </cell>
          <cell r="BG164">
            <v>3538.8685901333602</v>
          </cell>
          <cell r="BH164">
            <v>3538.8685901333602</v>
          </cell>
          <cell r="BI164">
            <v>3444.0268549535826</v>
          </cell>
          <cell r="BJ164">
            <v>3349.1851197738051</v>
          </cell>
          <cell r="BK164">
            <v>3301.622099715461</v>
          </cell>
          <cell r="BL164">
            <v>3301.622099715461</v>
          </cell>
          <cell r="BM164">
            <v>3230.277569627945</v>
          </cell>
          <cell r="BN164">
            <v>3158.933039540429</v>
          </cell>
        </row>
        <row r="165">
          <cell r="A165" t="str">
            <v xml:space="preserve">   Other liabilities</v>
          </cell>
          <cell r="H165">
            <v>2219.4111248960016</v>
          </cell>
          <cell r="I165">
            <v>1542.3696259230001</v>
          </cell>
          <cell r="J165">
            <v>1045.2357699809991</v>
          </cell>
          <cell r="K165">
            <v>1204.0825461050008</v>
          </cell>
          <cell r="L165">
            <v>1488.7078521459998</v>
          </cell>
          <cell r="M165">
            <v>1563.1432447533</v>
          </cell>
          <cell r="N165">
            <v>1641.3004069909648</v>
          </cell>
          <cell r="O165">
            <v>1723.365427340513</v>
          </cell>
          <cell r="P165">
            <v>1809.5336987075386</v>
          </cell>
          <cell r="Q165">
            <v>1900.0103836429157</v>
          </cell>
          <cell r="AD165">
            <v>2219.4111248960016</v>
          </cell>
          <cell r="AE165">
            <v>2374.0173631530015</v>
          </cell>
          <cell r="AF165">
            <v>2047.5504209589999</v>
          </cell>
          <cell r="AG165">
            <v>2025.5413008859996</v>
          </cell>
          <cell r="AH165">
            <v>1542.3696259230001</v>
          </cell>
          <cell r="AI165">
            <v>1291.9057043060002</v>
          </cell>
          <cell r="AJ165">
            <v>1298.5093043918114</v>
          </cell>
          <cell r="AK165">
            <v>1291.041819004</v>
          </cell>
          <cell r="AL165">
            <v>1045.2357699809991</v>
          </cell>
          <cell r="AM165">
            <v>1208.1176485279984</v>
          </cell>
          <cell r="AN165">
            <v>993.95771616901038</v>
          </cell>
          <cell r="AO165">
            <v>1014.4910714972448</v>
          </cell>
          <cell r="AP165">
            <v>1204.0825461050008</v>
          </cell>
          <cell r="AQ165">
            <v>1359.7817217009997</v>
          </cell>
          <cell r="AR165">
            <v>1303.0130998035002</v>
          </cell>
          <cell r="AS165">
            <v>1506.3741158491512</v>
          </cell>
          <cell r="AT165">
            <v>1488.7078521459998</v>
          </cell>
          <cell r="AU165">
            <v>1494.8074060800009</v>
          </cell>
          <cell r="AV165">
            <v>460.5156127532382</v>
          </cell>
          <cell r="AW165">
            <v>726.38661269429394</v>
          </cell>
          <cell r="AX165">
            <v>1563.1432447533</v>
          </cell>
          <cell r="AY165">
            <v>1589.3879044772593</v>
          </cell>
          <cell r="AZ165">
            <v>1295.4309704573398</v>
          </cell>
          <cell r="BA165">
            <v>1471.1280983385132</v>
          </cell>
          <cell r="BB165">
            <v>1641.3004069909648</v>
          </cell>
          <cell r="BC165">
            <v>1635.7987218903099</v>
          </cell>
          <cell r="BD165">
            <v>1416.7130671284763</v>
          </cell>
          <cell r="BE165">
            <v>1567.1569429770252</v>
          </cell>
          <cell r="BF165">
            <v>1723.365427340513</v>
          </cell>
          <cell r="BG165">
            <v>1750.7492330412615</v>
          </cell>
          <cell r="BH165">
            <v>1528.4736973820991</v>
          </cell>
          <cell r="BI165">
            <v>1671.4782305573276</v>
          </cell>
          <cell r="BJ165">
            <v>1809.5336987075386</v>
          </cell>
          <cell r="BK165">
            <v>1832.6943628486629</v>
          </cell>
          <cell r="BL165">
            <v>1610.4188271895005</v>
          </cell>
          <cell r="BM165">
            <v>1747.0886480252939</v>
          </cell>
          <cell r="BN165">
            <v>1900.0103836429157</v>
          </cell>
        </row>
        <row r="166">
          <cell r="A166" t="str">
            <v>Total shareholders' equity</v>
          </cell>
          <cell r="H166">
            <v>1774.7096302599998</v>
          </cell>
          <cell r="I166">
            <v>-3213.1874405450003</v>
          </cell>
          <cell r="J166">
            <v>-569.74756886900013</v>
          </cell>
          <cell r="K166">
            <v>1806.5243860790001</v>
          </cell>
          <cell r="L166">
            <v>3020.569613836075</v>
          </cell>
          <cell r="M166">
            <v>4190.6504057315578</v>
          </cell>
          <cell r="N166">
            <v>5371.2003415545278</v>
          </cell>
          <cell r="O166">
            <v>6279.2400005250283</v>
          </cell>
          <cell r="P166">
            <v>7171.912834497567</v>
          </cell>
          <cell r="Q166">
            <v>8043.3846886632573</v>
          </cell>
          <cell r="AD166">
            <v>1774.7096302599998</v>
          </cell>
          <cell r="AE166">
            <v>1372.851207737586</v>
          </cell>
          <cell r="AF166">
            <v>1385.1122380229299</v>
          </cell>
          <cell r="AG166">
            <v>1131.406452168</v>
          </cell>
          <cell r="AH166">
            <v>-3213.1874405450003</v>
          </cell>
          <cell r="AI166">
            <v>-294.12989189399968</v>
          </cell>
          <cell r="AJ166">
            <v>-831.48120974748281</v>
          </cell>
          <cell r="AK166">
            <v>-891.2886887009297</v>
          </cell>
          <cell r="AL166">
            <v>-569.74756886900013</v>
          </cell>
          <cell r="AM166">
            <v>726.07897010399995</v>
          </cell>
          <cell r="AN166">
            <v>1209.05499791125</v>
          </cell>
          <cell r="AO166">
            <v>1576.9842231526156</v>
          </cell>
          <cell r="AP166">
            <v>1806.5243860790001</v>
          </cell>
          <cell r="AQ166">
            <v>2166.9916445950003</v>
          </cell>
          <cell r="AR166">
            <v>2458.5447868049846</v>
          </cell>
          <cell r="AS166">
            <v>2769.3877216368501</v>
          </cell>
          <cell r="AT166">
            <v>3020.569613836075</v>
          </cell>
          <cell r="AU166">
            <v>3882.8053631360003</v>
          </cell>
          <cell r="AV166">
            <v>4174.1554803179752</v>
          </cell>
          <cell r="AW166">
            <v>4467.8457590837415</v>
          </cell>
          <cell r="AX166">
            <v>4187.4866863744828</v>
          </cell>
          <cell r="AY166">
            <v>4479.0825205227566</v>
          </cell>
          <cell r="AZ166">
            <v>4773.0394545426761</v>
          </cell>
          <cell r="BA166">
            <v>5069.3574884342415</v>
          </cell>
          <cell r="BB166">
            <v>5368.0366221974527</v>
          </cell>
          <cell r="BC166">
            <v>5624.2281964851936</v>
          </cell>
          <cell r="BD166">
            <v>5843.3138512470296</v>
          </cell>
          <cell r="BE166">
            <v>6064.1592301434994</v>
          </cell>
          <cell r="BF166">
            <v>6276.0762811679533</v>
          </cell>
          <cell r="BG166">
            <v>6496.5664711591708</v>
          </cell>
          <cell r="BH166">
            <v>6718.8420068183332</v>
          </cell>
          <cell r="BI166">
            <v>6942.9028881454406</v>
          </cell>
          <cell r="BJ166">
            <v>7168.7491151404929</v>
          </cell>
          <cell r="BK166">
            <v>7389.2393051317104</v>
          </cell>
          <cell r="BL166">
            <v>7611.5148407908728</v>
          </cell>
          <cell r="BM166">
            <v>7835.5757221179801</v>
          </cell>
          <cell r="BN166">
            <v>8040.2209693061841</v>
          </cell>
        </row>
        <row r="167">
          <cell r="A167" t="str">
            <v xml:space="preserve">   Paid-in Capital</v>
          </cell>
          <cell r="H167">
            <v>370</v>
          </cell>
          <cell r="I167">
            <v>785.98911999999996</v>
          </cell>
          <cell r="J167">
            <v>2585.58961</v>
          </cell>
          <cell r="K167">
            <v>626.84701500000006</v>
          </cell>
          <cell r="L167">
            <v>626.84701500000006</v>
          </cell>
          <cell r="M167">
            <v>626.84701500000006</v>
          </cell>
          <cell r="N167">
            <v>626.84701500000006</v>
          </cell>
          <cell r="O167">
            <v>626.84701500000006</v>
          </cell>
          <cell r="P167">
            <v>626.84701500000006</v>
          </cell>
          <cell r="Q167">
            <v>626.84701500000006</v>
          </cell>
          <cell r="AD167">
            <v>370</v>
          </cell>
          <cell r="AE167">
            <v>370</v>
          </cell>
          <cell r="AF167">
            <v>595</v>
          </cell>
          <cell r="AG167">
            <v>595</v>
          </cell>
          <cell r="AH167">
            <v>785.98911999999996</v>
          </cell>
          <cell r="AI167">
            <v>1739.88912</v>
          </cell>
          <cell r="AJ167">
            <v>40.08961</v>
          </cell>
          <cell r="AK167">
            <v>2585.58961</v>
          </cell>
          <cell r="AL167">
            <v>2585.58961</v>
          </cell>
          <cell r="AM167">
            <v>626.84701500000006</v>
          </cell>
          <cell r="AN167">
            <v>626.84701500000006</v>
          </cell>
          <cell r="AO167">
            <v>626.84701500000006</v>
          </cell>
          <cell r="AP167">
            <v>626.84701500000006</v>
          </cell>
          <cell r="AQ167">
            <v>626.84701500000006</v>
          </cell>
          <cell r="AR167">
            <v>626.84701500000006</v>
          </cell>
          <cell r="AS167">
            <v>626.84701500000006</v>
          </cell>
          <cell r="AT167">
            <v>626.84701500000006</v>
          </cell>
          <cell r="AU167">
            <v>626.84701500000006</v>
          </cell>
          <cell r="AV167">
            <v>626.84701500000006</v>
          </cell>
          <cell r="AW167">
            <v>626.84701500000006</v>
          </cell>
          <cell r="AX167">
            <v>626.84701500000006</v>
          </cell>
          <cell r="AY167">
            <v>626.84701500000006</v>
          </cell>
          <cell r="AZ167">
            <v>626.84701500000006</v>
          </cell>
          <cell r="BA167">
            <v>626.84701500000006</v>
          </cell>
          <cell r="BB167">
            <v>626.84701500000006</v>
          </cell>
          <cell r="BC167">
            <v>626.84701500000006</v>
          </cell>
          <cell r="BD167">
            <v>626.84701500000006</v>
          </cell>
          <cell r="BE167">
            <v>626.84701500000006</v>
          </cell>
          <cell r="BF167">
            <v>626.84701500000006</v>
          </cell>
          <cell r="BG167">
            <v>626.84701500000006</v>
          </cell>
          <cell r="BH167">
            <v>626.84701500000006</v>
          </cell>
          <cell r="BI167">
            <v>626.84701500000006</v>
          </cell>
          <cell r="BJ167">
            <v>626.84701500000006</v>
          </cell>
          <cell r="BK167">
            <v>626.84701500000006</v>
          </cell>
          <cell r="BL167">
            <v>626.84701500000006</v>
          </cell>
          <cell r="BM167">
            <v>626.84701500000006</v>
          </cell>
          <cell r="BN167">
            <v>626.84701500000006</v>
          </cell>
        </row>
        <row r="168">
          <cell r="A168" t="str">
            <v xml:space="preserve">   Capital surplus</v>
          </cell>
          <cell r="H168">
            <v>260.152644802</v>
          </cell>
          <cell r="I168">
            <v>451.66445785600001</v>
          </cell>
          <cell r="J168">
            <v>1713.4845303029999</v>
          </cell>
          <cell r="K168">
            <v>2830.0516641889999</v>
          </cell>
          <cell r="L168">
            <v>1378.029722148</v>
          </cell>
          <cell r="M168">
            <v>1378.029722148</v>
          </cell>
          <cell r="N168">
            <v>1378.029722148</v>
          </cell>
          <cell r="O168">
            <v>1378.029722148</v>
          </cell>
          <cell r="P168">
            <v>1378.029722148</v>
          </cell>
          <cell r="Q168">
            <v>1378.029722148</v>
          </cell>
          <cell r="AD168">
            <v>260.152644802</v>
          </cell>
          <cell r="AE168">
            <v>260.152644802</v>
          </cell>
          <cell r="AF168">
            <v>421.21136038200001</v>
          </cell>
          <cell r="AG168">
            <v>430.86824440700002</v>
          </cell>
          <cell r="AH168">
            <v>451.66445785600001</v>
          </cell>
          <cell r="AI168">
            <v>13.685020303</v>
          </cell>
          <cell r="AJ168">
            <v>1713.4845303029999</v>
          </cell>
          <cell r="AK168">
            <v>1713.4845303029999</v>
          </cell>
          <cell r="AL168">
            <v>1713.4845303029999</v>
          </cell>
          <cell r="AM168">
            <v>2830.0516641889999</v>
          </cell>
          <cell r="AN168">
            <v>2830.0516641889999</v>
          </cell>
          <cell r="AO168">
            <v>2830.0516641889999</v>
          </cell>
          <cell r="AP168">
            <v>2830.0516641889999</v>
          </cell>
          <cell r="AQ168">
            <v>1378.029722148</v>
          </cell>
          <cell r="AR168">
            <v>1378.029722148</v>
          </cell>
          <cell r="AS168">
            <v>1378.029722148</v>
          </cell>
          <cell r="AT168">
            <v>1378.029722148</v>
          </cell>
          <cell r="AU168">
            <v>1378.029722148</v>
          </cell>
          <cell r="AV168">
            <v>1378.029722148</v>
          </cell>
          <cell r="AW168">
            <v>1378.029722148</v>
          </cell>
          <cell r="AX168">
            <v>1378.029722148</v>
          </cell>
          <cell r="AY168">
            <v>1378.029722148</v>
          </cell>
          <cell r="AZ168">
            <v>1378.029722148</v>
          </cell>
          <cell r="BA168">
            <v>1378.029722148</v>
          </cell>
          <cell r="BB168">
            <v>1378.029722148</v>
          </cell>
          <cell r="BC168">
            <v>1378.029722148</v>
          </cell>
          <cell r="BD168">
            <v>1378.029722148</v>
          </cell>
          <cell r="BE168">
            <v>1378.029722148</v>
          </cell>
          <cell r="BF168">
            <v>1378.029722148</v>
          </cell>
          <cell r="BG168">
            <v>1378.029722148</v>
          </cell>
          <cell r="BH168">
            <v>1378.029722148</v>
          </cell>
          <cell r="BI168">
            <v>1378.029722148</v>
          </cell>
          <cell r="BJ168">
            <v>1378.029722148</v>
          </cell>
          <cell r="BK168">
            <v>1378.029722148</v>
          </cell>
          <cell r="BL168">
            <v>1378.029722148</v>
          </cell>
          <cell r="BM168">
            <v>1378.029722148</v>
          </cell>
          <cell r="BN168">
            <v>1378.029722148</v>
          </cell>
        </row>
        <row r="169">
          <cell r="A169" t="str">
            <v xml:space="preserve">   Retained earnings</v>
          </cell>
          <cell r="H169">
            <v>1163.6129794149999</v>
          </cell>
          <cell r="I169">
            <v>-4435.1980536370002</v>
          </cell>
          <cell r="J169">
            <v>-4516.7985270469999</v>
          </cell>
          <cell r="K169">
            <v>-1449.4809161410001</v>
          </cell>
          <cell r="L169">
            <v>1193.679248018901</v>
          </cell>
          <cell r="M169">
            <v>2363.7600399143848</v>
          </cell>
          <cell r="N169">
            <v>3544.3099757373543</v>
          </cell>
          <cell r="O169">
            <v>4452.3496347078553</v>
          </cell>
          <cell r="P169">
            <v>5345.022468680394</v>
          </cell>
          <cell r="Q169">
            <v>6216.4943228460843</v>
          </cell>
          <cell r="AD169">
            <v>1163.6129794149999</v>
          </cell>
          <cell r="AE169">
            <v>779.09310576058601</v>
          </cell>
          <cell r="AF169">
            <v>416.7602947570121</v>
          </cell>
          <cell r="AG169">
            <v>146.810406164</v>
          </cell>
          <cell r="AH169">
            <v>-4435.1980536370002</v>
          </cell>
          <cell r="AI169">
            <v>-4314.1140299239996</v>
          </cell>
          <cell r="AJ169">
            <v>-4795.7987882844827</v>
          </cell>
          <cell r="AK169">
            <v>-4842.5866778189293</v>
          </cell>
          <cell r="AL169">
            <v>-4516.7985270469999</v>
          </cell>
          <cell r="AM169">
            <v>-2520.7832039469999</v>
          </cell>
          <cell r="AN169">
            <v>-2040.99148868775</v>
          </cell>
          <cell r="AO169">
            <v>-1677.5980877623845</v>
          </cell>
          <cell r="AP169">
            <v>-1449.4809161410001</v>
          </cell>
          <cell r="AQ169">
            <v>353.57640766700001</v>
          </cell>
          <cell r="AR169">
            <v>640.56436855498441</v>
          </cell>
          <cell r="AS169">
            <v>949.22887898385</v>
          </cell>
          <cell r="AT169">
            <v>1193.679248018901</v>
          </cell>
          <cell r="AU169">
            <v>1868.334677757</v>
          </cell>
          <cell r="AV169">
            <v>2159.6847949389753</v>
          </cell>
          <cell r="AW169">
            <v>2453.3750737047417</v>
          </cell>
          <cell r="AX169">
            <v>2173.0160009954834</v>
          </cell>
          <cell r="AY169">
            <v>2464.6118351437572</v>
          </cell>
          <cell r="AZ169">
            <v>2758.5687691636767</v>
          </cell>
          <cell r="BA169">
            <v>3054.8868030552421</v>
          </cell>
          <cell r="BB169">
            <v>3353.5659368184533</v>
          </cell>
          <cell r="BC169">
            <v>3609.7575111061938</v>
          </cell>
          <cell r="BD169">
            <v>3828.8431658680302</v>
          </cell>
          <cell r="BE169">
            <v>4049.6885447644995</v>
          </cell>
          <cell r="BF169">
            <v>4261.6055957889539</v>
          </cell>
          <cell r="BG169">
            <v>4482.0957857801714</v>
          </cell>
          <cell r="BH169">
            <v>4704.3713214393338</v>
          </cell>
          <cell r="BI169">
            <v>4928.4322027664412</v>
          </cell>
          <cell r="BJ169">
            <v>5154.2784297614935</v>
          </cell>
          <cell r="BK169">
            <v>5374.7686197527109</v>
          </cell>
          <cell r="BL169">
            <v>5597.0441554118734</v>
          </cell>
          <cell r="BM169">
            <v>5821.1050367389807</v>
          </cell>
          <cell r="BN169">
            <v>6025.7502839271847</v>
          </cell>
        </row>
        <row r="170">
          <cell r="A170" t="str">
            <v xml:space="preserve">   Capital adjustment</v>
          </cell>
          <cell r="H170">
            <v>-19.055993956999998</v>
          </cell>
          <cell r="I170">
            <v>-15.642964764</v>
          </cell>
          <cell r="J170">
            <v>-352.02318212500001</v>
          </cell>
          <cell r="K170">
            <v>-200.893376969</v>
          </cell>
          <cell r="L170">
            <v>-177.98637133082656</v>
          </cell>
          <cell r="M170">
            <v>-177.98637133082656</v>
          </cell>
          <cell r="N170">
            <v>-177.98637133082656</v>
          </cell>
          <cell r="O170">
            <v>-177.98637133082656</v>
          </cell>
          <cell r="P170">
            <v>-177.98637133082656</v>
          </cell>
          <cell r="Q170">
            <v>-177.98637133082656</v>
          </cell>
          <cell r="AD170">
            <v>-19.055993956999998</v>
          </cell>
          <cell r="AE170">
            <v>-36.394542825000002</v>
          </cell>
          <cell r="AF170">
            <v>-47.859417116082362</v>
          </cell>
          <cell r="AG170">
            <v>-41.272198402999997</v>
          </cell>
          <cell r="AH170">
            <v>-15.642964764</v>
          </cell>
          <cell r="AI170">
            <v>2266.4099977269998</v>
          </cell>
          <cell r="AJ170">
            <v>2210.7434382340002</v>
          </cell>
          <cell r="AK170">
            <v>-347.776151185</v>
          </cell>
          <cell r="AL170">
            <v>-352.02318212500001</v>
          </cell>
          <cell r="AM170">
            <v>-210.036505138</v>
          </cell>
          <cell r="AN170">
            <v>-206.85219258999999</v>
          </cell>
          <cell r="AO170">
            <v>-202.31636827400001</v>
          </cell>
          <cell r="AP170">
            <v>-200.893376969</v>
          </cell>
          <cell r="AQ170">
            <v>-191.46150022</v>
          </cell>
          <cell r="AR170">
            <v>-186.896318898</v>
          </cell>
          <cell r="AS170">
            <v>-184.717894495</v>
          </cell>
          <cell r="AT170">
            <v>-177.98637133082656</v>
          </cell>
          <cell r="AU170">
            <v>9.5939482310000006</v>
          </cell>
          <cell r="AV170">
            <v>9.5939482310000006</v>
          </cell>
          <cell r="AW170">
            <v>9.5939482310000006</v>
          </cell>
          <cell r="AX170">
            <v>9.5939482310000006</v>
          </cell>
          <cell r="AY170">
            <v>9.5939482310000006</v>
          </cell>
          <cell r="AZ170">
            <v>9.5939482310000006</v>
          </cell>
          <cell r="BA170">
            <v>9.5939482310000006</v>
          </cell>
          <cell r="BB170">
            <v>9.5939482310000006</v>
          </cell>
          <cell r="BC170">
            <v>9.5939482310000006</v>
          </cell>
          <cell r="BD170">
            <v>9.5939482310000006</v>
          </cell>
          <cell r="BE170">
            <v>9.5939482310000006</v>
          </cell>
          <cell r="BF170">
            <v>9.5939482310000006</v>
          </cell>
          <cell r="BG170">
            <v>9.5939482310000006</v>
          </cell>
          <cell r="BH170">
            <v>9.5939482310000006</v>
          </cell>
          <cell r="BI170">
            <v>9.5939482310000006</v>
          </cell>
          <cell r="BJ170">
            <v>9.5939482310000006</v>
          </cell>
          <cell r="BK170">
            <v>9.5939482310000006</v>
          </cell>
          <cell r="BL170">
            <v>9.5939482310000006</v>
          </cell>
          <cell r="BM170">
            <v>9.5939482310000006</v>
          </cell>
          <cell r="BN170">
            <v>9.5939482310000006</v>
          </cell>
        </row>
        <row r="172">
          <cell r="A172" t="str">
            <v>Balance sheet (Managed)</v>
          </cell>
        </row>
        <row r="173">
          <cell r="A173" t="str">
            <v>Total assets</v>
          </cell>
          <cell r="H173">
            <v>33784.023648237999</v>
          </cell>
          <cell r="I173">
            <v>17488.753342242999</v>
          </cell>
          <cell r="J173">
            <v>12372.647515225</v>
          </cell>
          <cell r="K173">
            <v>11938.167895600509</v>
          </cell>
          <cell r="L173">
            <v>12336.656306016757</v>
          </cell>
          <cell r="M173">
            <v>13149.198569444059</v>
          </cell>
          <cell r="N173">
            <v>13980.072612782911</v>
          </cell>
          <cell r="O173">
            <v>14863.76227575504</v>
          </cell>
          <cell r="P173">
            <v>15803.641013977418</v>
          </cell>
          <cell r="Q173">
            <v>16803.298579699167</v>
          </cell>
          <cell r="AD173">
            <v>33784.023648237999</v>
          </cell>
          <cell r="AE173">
            <v>34084.649993316591</v>
          </cell>
          <cell r="AF173">
            <v>29913.593266764543</v>
          </cell>
          <cell r="AG173">
            <v>26054.161063340001</v>
          </cell>
          <cell r="AH173">
            <v>17488.753342242999</v>
          </cell>
          <cell r="AI173">
            <v>17224.177455721001</v>
          </cell>
          <cell r="AJ173">
            <v>15492.807988232602</v>
          </cell>
          <cell r="AK173">
            <v>13583.160505000467</v>
          </cell>
          <cell r="AL173">
            <v>12372.647515225</v>
          </cell>
          <cell r="AM173">
            <v>11852.102733154001</v>
          </cell>
          <cell r="AN173">
            <v>11428.82305093025</v>
          </cell>
          <cell r="AO173">
            <v>11467.023444456001</v>
          </cell>
          <cell r="AP173">
            <v>11938.167895600509</v>
          </cell>
          <cell r="AQ173">
            <v>12243.7056119836</v>
          </cell>
          <cell r="AR173">
            <v>12132.138458926496</v>
          </cell>
          <cell r="AS173">
            <v>12656.720870173276</v>
          </cell>
          <cell r="AT173">
            <v>12336.656306016757</v>
          </cell>
          <cell r="AU173">
            <v>12533.661963597</v>
          </cell>
          <cell r="AV173">
            <v>12541.835174632444</v>
          </cell>
          <cell r="AW173">
            <v>12845.516872038252</v>
          </cell>
          <cell r="AX173">
            <v>13149.198569444059</v>
          </cell>
          <cell r="AY173">
            <v>13356.917080278772</v>
          </cell>
          <cell r="AZ173">
            <v>13356.917080278772</v>
          </cell>
          <cell r="BA173">
            <v>13668.494846530841</v>
          </cell>
          <cell r="BB173">
            <v>13980.072612782911</v>
          </cell>
          <cell r="BC173">
            <v>14200.995028525944</v>
          </cell>
          <cell r="BD173">
            <v>14200.995028525944</v>
          </cell>
          <cell r="BE173">
            <v>14532.378652140491</v>
          </cell>
          <cell r="BF173">
            <v>14863.76227575504</v>
          </cell>
          <cell r="BG173">
            <v>15098.731960310633</v>
          </cell>
          <cell r="BH173">
            <v>15098.731960310635</v>
          </cell>
          <cell r="BI173">
            <v>15451.186487144027</v>
          </cell>
          <cell r="BJ173">
            <v>15803.641013977418</v>
          </cell>
          <cell r="BK173">
            <v>16053.555405407855</v>
          </cell>
          <cell r="BL173">
            <v>16053.555405407855</v>
          </cell>
          <cell r="BM173">
            <v>16428.426992553512</v>
          </cell>
          <cell r="BN173">
            <v>16803.298579699167</v>
          </cell>
        </row>
        <row r="174">
          <cell r="A174" t="str">
            <v xml:space="preserve">   IEA</v>
          </cell>
          <cell r="H174">
            <v>33542.835446251003</v>
          </cell>
          <cell r="I174">
            <v>21129.175706642</v>
          </cell>
          <cell r="J174">
            <v>12191.570449344999</v>
          </cell>
          <cell r="K174">
            <v>11246.288696866</v>
          </cell>
          <cell r="L174">
            <v>11928.949069917</v>
          </cell>
          <cell r="M174">
            <v>12704.330759461605</v>
          </cell>
          <cell r="N174">
            <v>13530.11225882661</v>
          </cell>
          <cell r="O174">
            <v>14409.569555650338</v>
          </cell>
          <cell r="P174">
            <v>15346.191576767609</v>
          </cell>
          <cell r="Q174">
            <v>16343.694029257504</v>
          </cell>
          <cell r="AD174">
            <v>33542.835446251003</v>
          </cell>
          <cell r="AE174">
            <v>32293.532561083</v>
          </cell>
          <cell r="AF174">
            <v>27839.229362406</v>
          </cell>
          <cell r="AG174">
            <v>24862.888205915002</v>
          </cell>
          <cell r="AH174">
            <v>21129.175706642</v>
          </cell>
          <cell r="AI174">
            <v>17481.811230675743</v>
          </cell>
          <cell r="AJ174">
            <v>15389.262216839807</v>
          </cell>
          <cell r="AK174">
            <v>13828.691387755744</v>
          </cell>
          <cell r="AL174">
            <v>12191.570449344999</v>
          </cell>
          <cell r="AM174">
            <v>11002.361199977</v>
          </cell>
          <cell r="AN174">
            <v>10711.834970256999</v>
          </cell>
          <cell r="AO174">
            <v>10695.290453112</v>
          </cell>
          <cell r="AP174">
            <v>11246.288696866</v>
          </cell>
          <cell r="AQ174">
            <v>11621.088525367</v>
          </cell>
          <cell r="AR174">
            <v>11868.824092519</v>
          </cell>
          <cell r="AS174">
            <v>12029.755763561001</v>
          </cell>
          <cell r="AT174">
            <v>11928.949069917</v>
          </cell>
          <cell r="AU174">
            <v>11692.806925130999</v>
          </cell>
          <cell r="AV174">
            <v>12266.123681360536</v>
          </cell>
          <cell r="AW174">
            <v>12485.22722041107</v>
          </cell>
          <cell r="AX174">
            <v>12704.330759461605</v>
          </cell>
          <cell r="AY174">
            <v>12910.776134302856</v>
          </cell>
          <cell r="AZ174">
            <v>12910.776134302856</v>
          </cell>
          <cell r="BA174">
            <v>13220.444196564733</v>
          </cell>
          <cell r="BB174">
            <v>13530.11225882661</v>
          </cell>
          <cell r="BC174">
            <v>13749.976583032541</v>
          </cell>
          <cell r="BD174">
            <v>13749.976583032541</v>
          </cell>
          <cell r="BE174">
            <v>14079.77306934144</v>
          </cell>
          <cell r="BF174">
            <v>14409.569555650338</v>
          </cell>
          <cell r="BG174">
            <v>14643.725060929655</v>
          </cell>
          <cell r="BH174">
            <v>14643.725060929655</v>
          </cell>
          <cell r="BI174">
            <v>14994.958318848632</v>
          </cell>
          <cell r="BJ174">
            <v>15346.191576767609</v>
          </cell>
          <cell r="BK174">
            <v>15595.567189890084</v>
          </cell>
          <cell r="BL174">
            <v>15595.567189890082</v>
          </cell>
          <cell r="BM174">
            <v>15969.630609573793</v>
          </cell>
          <cell r="BN174">
            <v>16343.694029257504</v>
          </cell>
        </row>
        <row r="175">
          <cell r="A175" t="str">
            <v xml:space="preserve">      Growth</v>
          </cell>
          <cell r="H175" t="str">
            <v>NA</v>
          </cell>
          <cell r="I175">
            <v>-0.37008379209624764</v>
          </cell>
          <cell r="J175">
            <v>-0.42299829304213921</v>
          </cell>
          <cell r="K175">
            <v>-7.7535683889665363E-2</v>
          </cell>
          <cell r="L175">
            <v>6.0700946903598174E-2</v>
          </cell>
          <cell r="M175">
            <v>6.4999999999999947E-2</v>
          </cell>
          <cell r="N175">
            <v>6.4999999999999947E-2</v>
          </cell>
          <cell r="O175">
            <v>6.4999999999999947E-2</v>
          </cell>
          <cell r="P175">
            <v>6.4999999999999947E-2</v>
          </cell>
          <cell r="Q175">
            <v>6.4999999999999947E-2</v>
          </cell>
          <cell r="Y175">
            <v>6.5000000000000002E-2</v>
          </cell>
          <cell r="AD175" t="str">
            <v>NA</v>
          </cell>
          <cell r="AE175">
            <v>7.5266659788124191E-2</v>
          </cell>
          <cell r="AF175">
            <v>-0.10835897069877676</v>
          </cell>
          <cell r="AG175">
            <v>-0.24673583523221954</v>
          </cell>
          <cell r="AH175">
            <v>-0.37008379209624764</v>
          </cell>
          <cell r="AI175">
            <v>-0.45865906129628231</v>
          </cell>
          <cell r="AJ175">
            <v>-0.44720947492815966</v>
          </cell>
          <cell r="AK175">
            <v>-0.44380189166977668</v>
          </cell>
          <cell r="AL175">
            <v>-0.42299829304213921</v>
          </cell>
          <cell r="AM175">
            <v>-0.37063951470480938</v>
          </cell>
          <cell r="AN175">
            <v>-0.30394096745355992</v>
          </cell>
          <cell r="AO175">
            <v>-0.22658694498151377</v>
          </cell>
          <cell r="AP175">
            <v>-7.7535683889665363E-2</v>
          </cell>
          <cell r="AQ175">
            <v>5.6235867387383509E-2</v>
          </cell>
          <cell r="AR175">
            <v>0.10801035728001351</v>
          </cell>
          <cell r="AS175">
            <v>0.12477130156485949</v>
          </cell>
          <cell r="AT175">
            <v>6.0700946903598174E-2</v>
          </cell>
          <cell r="AU175">
            <v>6.1714012080236191E-3</v>
          </cell>
          <cell r="AV175">
            <v>3.3474216632122467E-2</v>
          </cell>
          <cell r="AW175">
            <v>3.7862070170179729E-2</v>
          </cell>
          <cell r="AX175">
            <v>6.4999999999999947E-2</v>
          </cell>
          <cell r="AY175">
            <v>0.10416397165971425</v>
          </cell>
          <cell r="AZ175">
            <v>5.2555515474047132E-2</v>
          </cell>
          <cell r="BA175">
            <v>5.8886952009308713E-2</v>
          </cell>
          <cell r="BB175">
            <v>6.4999999999999947E-2</v>
          </cell>
          <cell r="BC175">
            <v>6.4999999999999947E-2</v>
          </cell>
          <cell r="BD175">
            <v>6.4999999999999947E-2</v>
          </cell>
          <cell r="BE175">
            <v>6.4999999999999947E-2</v>
          </cell>
          <cell r="BF175">
            <v>6.4999999999999947E-2</v>
          </cell>
          <cell r="BG175">
            <v>6.4999999999999947E-2</v>
          </cell>
          <cell r="BH175">
            <v>6.4999999999999947E-2</v>
          </cell>
          <cell r="BI175">
            <v>6.4999999999999947E-2</v>
          </cell>
          <cell r="BJ175">
            <v>6.4999999999999947E-2</v>
          </cell>
          <cell r="BK175">
            <v>6.5000000000000169E-2</v>
          </cell>
          <cell r="BL175">
            <v>6.4999999999999947E-2</v>
          </cell>
          <cell r="BM175">
            <v>6.4999999999999947E-2</v>
          </cell>
          <cell r="BN175">
            <v>6.4999999999999947E-2</v>
          </cell>
        </row>
        <row r="176">
          <cell r="A176" t="str">
            <v xml:space="preserve">      Avg. IEA</v>
          </cell>
          <cell r="H176">
            <v>31951.302205695501</v>
          </cell>
          <cell r="I176">
            <v>27336.0055764465</v>
          </cell>
          <cell r="J176">
            <v>16660.373077993499</v>
          </cell>
          <cell r="K176">
            <v>11718.929573105499</v>
          </cell>
          <cell r="L176">
            <v>11587.6188833915</v>
          </cell>
          <cell r="M176">
            <v>12316.639914689302</v>
          </cell>
          <cell r="N176">
            <v>13117.221509144107</v>
          </cell>
          <cell r="O176">
            <v>13969.840907238475</v>
          </cell>
          <cell r="P176">
            <v>14877.880566208973</v>
          </cell>
          <cell r="Q176">
            <v>15844.942803012556</v>
          </cell>
          <cell r="AD176">
            <v>33274.84996431</v>
          </cell>
          <cell r="AE176">
            <v>33542.835446251003</v>
          </cell>
          <cell r="AF176">
            <v>30066.3809617445</v>
          </cell>
          <cell r="AG176">
            <v>26351.058784160501</v>
          </cell>
          <cell r="AH176">
            <v>22996.031956278501</v>
          </cell>
          <cell r="AI176">
            <v>19305.493468658871</v>
          </cell>
          <cell r="AJ176">
            <v>16435.536723757774</v>
          </cell>
          <cell r="AK176">
            <v>14608.976802297775</v>
          </cell>
          <cell r="AL176">
            <v>13010.130918550371</v>
          </cell>
          <cell r="AM176">
            <v>11596.965824661</v>
          </cell>
          <cell r="AN176">
            <v>10857.098085116999</v>
          </cell>
          <cell r="AO176">
            <v>10703.562711684499</v>
          </cell>
          <cell r="AP176">
            <v>10970.789574989001</v>
          </cell>
          <cell r="AQ176">
            <v>11433.6886111165</v>
          </cell>
          <cell r="AR176">
            <v>11744.956308943001</v>
          </cell>
          <cell r="AS176">
            <v>11949.289928040002</v>
          </cell>
          <cell r="AT176">
            <v>11979.352416739001</v>
          </cell>
          <cell r="AU176">
            <v>11810.877997524</v>
          </cell>
          <cell r="AV176">
            <v>11979.465303245768</v>
          </cell>
          <cell r="AW176">
            <v>12375.675450885803</v>
          </cell>
          <cell r="AX176">
            <v>12594.778989936338</v>
          </cell>
          <cell r="AY176">
            <v>12807.55344688223</v>
          </cell>
          <cell r="AZ176">
            <v>12910.776134302856</v>
          </cell>
          <cell r="BA176">
            <v>13065.610165433794</v>
          </cell>
          <cell r="BB176">
            <v>13375.278227695671</v>
          </cell>
          <cell r="BC176">
            <v>13640.044420929575</v>
          </cell>
          <cell r="BD176">
            <v>13749.976583032541</v>
          </cell>
          <cell r="BE176">
            <v>13914.874826186991</v>
          </cell>
          <cell r="BF176">
            <v>14244.671312495888</v>
          </cell>
          <cell r="BG176">
            <v>14526.647308289997</v>
          </cell>
          <cell r="BH176">
            <v>14643.725060929655</v>
          </cell>
          <cell r="BI176">
            <v>14819.341689889145</v>
          </cell>
          <cell r="BJ176">
            <v>15170.57494780812</v>
          </cell>
          <cell r="BK176">
            <v>15470.879383328847</v>
          </cell>
          <cell r="BL176">
            <v>15595.567189890084</v>
          </cell>
          <cell r="BM176">
            <v>15782.598899731936</v>
          </cell>
          <cell r="BN176">
            <v>16156.662319415649</v>
          </cell>
        </row>
        <row r="177">
          <cell r="A177" t="str">
            <v xml:space="preserve">      LLR</v>
          </cell>
          <cell r="H177">
            <v>2278.197090484</v>
          </cell>
          <cell r="I177">
            <v>5022.842407227</v>
          </cell>
          <cell r="J177">
            <v>2494.0883880830002</v>
          </cell>
          <cell r="K177">
            <v>1312.1929442216951</v>
          </cell>
          <cell r="L177">
            <v>1104.91902898024</v>
          </cell>
          <cell r="M177">
            <v>1143.3897683515445</v>
          </cell>
          <cell r="N177">
            <v>1217.7101032943949</v>
          </cell>
          <cell r="O177">
            <v>1296.8612600085303</v>
          </cell>
          <cell r="P177">
            <v>1381.1572419090849</v>
          </cell>
          <cell r="Q177">
            <v>1470.9324626331752</v>
          </cell>
          <cell r="AD177">
            <v>2278.197090484</v>
          </cell>
          <cell r="AE177">
            <v>2522.8298856689999</v>
          </cell>
          <cell r="AF177">
            <v>2019.277092735</v>
          </cell>
          <cell r="AG177">
            <v>2088.4149246880002</v>
          </cell>
          <cell r="AH177">
            <v>5022.842407227</v>
          </cell>
          <cell r="AI177">
            <v>4280.200485286</v>
          </cell>
          <cell r="AJ177">
            <v>3766.2418246218622</v>
          </cell>
          <cell r="AK177">
            <v>3358.5596008490002</v>
          </cell>
          <cell r="AL177">
            <v>2494.0883880830002</v>
          </cell>
          <cell r="AM177">
            <v>1839.454195173</v>
          </cell>
          <cell r="AN177">
            <v>1600.13556830875</v>
          </cell>
          <cell r="AO177">
            <v>1428.602340935</v>
          </cell>
          <cell r="AP177">
            <v>1312.1929442216951</v>
          </cell>
          <cell r="AQ177">
            <v>1156.5126967455944</v>
          </cell>
          <cell r="AR177">
            <v>1147.8654559906133</v>
          </cell>
          <cell r="AS177">
            <v>1118.388093622</v>
          </cell>
          <cell r="AT177">
            <v>1104.91902898024</v>
          </cell>
          <cell r="AU177">
            <v>968.85839242600002</v>
          </cell>
          <cell r="AV177">
            <v>1163.0961542887549</v>
          </cell>
          <cell r="AW177">
            <v>1153.2429613201498</v>
          </cell>
          <cell r="AX177">
            <v>1143.3897683515445</v>
          </cell>
          <cell r="AY177">
            <v>1161.9698520872571</v>
          </cell>
          <cell r="AZ177">
            <v>1161.9698520872571</v>
          </cell>
          <cell r="BA177">
            <v>1189.8399776908259</v>
          </cell>
          <cell r="BB177">
            <v>1217.7101032943949</v>
          </cell>
          <cell r="BC177">
            <v>1237.4978924729287</v>
          </cell>
          <cell r="BD177">
            <v>1237.4978924729287</v>
          </cell>
          <cell r="BE177">
            <v>1267.1795762407296</v>
          </cell>
          <cell r="BF177">
            <v>1296.8612600085303</v>
          </cell>
          <cell r="BG177">
            <v>1317.9352554836689</v>
          </cell>
          <cell r="BH177">
            <v>1317.9352554836689</v>
          </cell>
          <cell r="BI177">
            <v>1349.546248696377</v>
          </cell>
          <cell r="BJ177">
            <v>1381.1572419090849</v>
          </cell>
          <cell r="BK177">
            <v>1403.6010470901074</v>
          </cell>
          <cell r="BL177">
            <v>1403.6010470901074</v>
          </cell>
          <cell r="BM177">
            <v>1437.2667548616414</v>
          </cell>
          <cell r="BN177">
            <v>1470.9324626331752</v>
          </cell>
        </row>
        <row r="178">
          <cell r="A178" t="str">
            <v xml:space="preserve">      LLR as % of IEA</v>
          </cell>
          <cell r="H178">
            <v>6.7919037260120121E-2</v>
          </cell>
          <cell r="I178">
            <v>0.23772069847703803</v>
          </cell>
          <cell r="J178">
            <v>0.20457482474843894</v>
          </cell>
          <cell r="K178">
            <v>0.11667786410172482</v>
          </cell>
          <cell r="L178">
            <v>9.262501017517781E-2</v>
          </cell>
          <cell r="M178">
            <v>0.09</v>
          </cell>
          <cell r="N178">
            <v>0.09</v>
          </cell>
          <cell r="O178">
            <v>0.09</v>
          </cell>
          <cell r="P178">
            <v>0.09</v>
          </cell>
          <cell r="Q178">
            <v>0.09</v>
          </cell>
          <cell r="Y178">
            <v>0.09</v>
          </cell>
          <cell r="AE178">
            <v>7.8121830768965395E-2</v>
          </cell>
          <cell r="AF178">
            <v>7.2533512564174091E-2</v>
          </cell>
          <cell r="AG178">
            <v>8.3997277685186875E-2</v>
          </cell>
          <cell r="AH178">
            <v>0.23772069847703803</v>
          </cell>
          <cell r="AI178">
            <v>0.24483735860134631</v>
          </cell>
          <cell r="AJ178">
            <v>0.24473179880583398</v>
          </cell>
          <cell r="AK178">
            <v>0.24286893869240223</v>
          </cell>
          <cell r="AL178">
            <v>0.20457482474843894</v>
          </cell>
          <cell r="AM178">
            <v>0.16718722115547754</v>
          </cell>
          <cell r="AN178">
            <v>0.14938015501095414</v>
          </cell>
          <cell r="AO178">
            <v>0.1335730289137983</v>
          </cell>
          <cell r="AP178">
            <v>0.11667786410172482</v>
          </cell>
          <cell r="AQ178">
            <v>9.951844822635246E-2</v>
          </cell>
          <cell r="AR178">
            <v>9.6712652158533599E-2</v>
          </cell>
          <cell r="AS178">
            <v>9.2968478795694115E-2</v>
          </cell>
          <cell r="AT178">
            <v>9.262501017517781E-2</v>
          </cell>
          <cell r="AU178">
            <v>8.2859350935117357E-2</v>
          </cell>
          <cell r="AV178">
            <v>9.4821818571435304E-2</v>
          </cell>
          <cell r="AW178">
            <v>9.2368600183327682E-2</v>
          </cell>
          <cell r="AX178">
            <v>0.09</v>
          </cell>
          <cell r="AY178">
            <v>9.0000000000000011E-2</v>
          </cell>
          <cell r="AZ178">
            <v>9.0000000000000011E-2</v>
          </cell>
          <cell r="BA178">
            <v>0.09</v>
          </cell>
          <cell r="BB178">
            <v>0.09</v>
          </cell>
          <cell r="BC178">
            <v>0.09</v>
          </cell>
          <cell r="BD178">
            <v>0.09</v>
          </cell>
          <cell r="BE178">
            <v>0.09</v>
          </cell>
          <cell r="BF178">
            <v>0.09</v>
          </cell>
          <cell r="BG178">
            <v>0.09</v>
          </cell>
          <cell r="BH178">
            <v>0.09</v>
          </cell>
          <cell r="BI178">
            <v>9.0000000000000011E-2</v>
          </cell>
          <cell r="BJ178">
            <v>0.09</v>
          </cell>
          <cell r="BK178">
            <v>0.09</v>
          </cell>
          <cell r="BL178">
            <v>0.09</v>
          </cell>
          <cell r="BM178">
            <v>0.09</v>
          </cell>
          <cell r="BN178">
            <v>0.09</v>
          </cell>
        </row>
        <row r="179">
          <cell r="A179" t="str">
            <v xml:space="preserve">   Other assets</v>
          </cell>
          <cell r="H179">
            <v>2519.3852924709954</v>
          </cell>
          <cell r="I179">
            <v>1382.4200428279992</v>
          </cell>
          <cell r="J179">
            <v>2675.1654539630013</v>
          </cell>
          <cell r="K179">
            <v>2004.0721429562036</v>
          </cell>
          <cell r="L179">
            <v>1512.6262650799972</v>
          </cell>
          <cell r="M179">
            <v>1588.2575783339971</v>
          </cell>
          <cell r="N179">
            <v>1667.6704572506972</v>
          </cell>
          <cell r="O179">
            <v>1751.053980113232</v>
          </cell>
          <cell r="P179">
            <v>1838.6066791188937</v>
          </cell>
          <cell r="Q179">
            <v>1930.5370130748383</v>
          </cell>
          <cell r="Y179">
            <v>0.05</v>
          </cell>
          <cell r="AD179">
            <v>2519.3852924709954</v>
          </cell>
          <cell r="AE179">
            <v>4313.9473179025899</v>
          </cell>
          <cell r="AF179">
            <v>4093.6409970935429</v>
          </cell>
          <cell r="AG179">
            <v>3279.6877821129997</v>
          </cell>
          <cell r="AH179">
            <v>1382.4200428279992</v>
          </cell>
          <cell r="AI179">
            <v>4022.566710331258</v>
          </cell>
          <cell r="AJ179">
            <v>3869.7875960146575</v>
          </cell>
          <cell r="AK179">
            <v>3113.0287180937239</v>
          </cell>
          <cell r="AL179">
            <v>2675.1654539630013</v>
          </cell>
          <cell r="AM179">
            <v>2689.1957283500005</v>
          </cell>
          <cell r="AN179">
            <v>2317.1236489820008</v>
          </cell>
          <cell r="AO179">
            <v>2200.3353322790008</v>
          </cell>
          <cell r="AP179">
            <v>2004.0721429562036</v>
          </cell>
          <cell r="AQ179">
            <v>1779.1297833621938</v>
          </cell>
          <cell r="AR179">
            <v>1411.1798223981093</v>
          </cell>
          <cell r="AS179">
            <v>1745.3532002342752</v>
          </cell>
          <cell r="AT179">
            <v>1512.6262650799972</v>
          </cell>
          <cell r="AU179">
            <v>1809.7134308920013</v>
          </cell>
          <cell r="AV179">
            <v>1438.8076475606636</v>
          </cell>
          <cell r="AW179">
            <v>1513.532612947331</v>
          </cell>
          <cell r="AX179">
            <v>1588.2575783339983</v>
          </cell>
          <cell r="AY179">
            <v>1608.1107980631732</v>
          </cell>
          <cell r="AZ179">
            <v>1608.1107980631732</v>
          </cell>
          <cell r="BA179">
            <v>1637.8906276569337</v>
          </cell>
          <cell r="BB179">
            <v>1667.6704572506962</v>
          </cell>
          <cell r="BC179">
            <v>1688.5163379663311</v>
          </cell>
          <cell r="BD179">
            <v>1688.5163379663311</v>
          </cell>
          <cell r="BE179">
            <v>1719.7851590397809</v>
          </cell>
          <cell r="BF179">
            <v>1751.0539801132322</v>
          </cell>
          <cell r="BG179">
            <v>1772.9421548646471</v>
          </cell>
          <cell r="BH179">
            <v>1772.942154864649</v>
          </cell>
          <cell r="BI179">
            <v>1805.7744169917714</v>
          </cell>
          <cell r="BJ179">
            <v>1838.6066791188937</v>
          </cell>
          <cell r="BK179">
            <v>1861.5892626078785</v>
          </cell>
          <cell r="BL179">
            <v>1861.5892626078803</v>
          </cell>
          <cell r="BM179">
            <v>1896.0631378413605</v>
          </cell>
          <cell r="BN179">
            <v>1930.5370130748386</v>
          </cell>
        </row>
        <row r="180">
          <cell r="A180" t="str">
            <v>Total liabilities</v>
          </cell>
          <cell r="H180">
            <v>32009.314017977998</v>
          </cell>
          <cell r="I180">
            <v>20701.940782787999</v>
          </cell>
          <cell r="J180">
            <v>12942.395084094</v>
          </cell>
          <cell r="K180">
            <v>10131.6435095214</v>
          </cell>
          <cell r="L180">
            <v>9316.0866921809393</v>
          </cell>
          <cell r="M180">
            <v>8958.5481637125013</v>
          </cell>
          <cell r="N180">
            <v>8608.8722712283834</v>
          </cell>
          <cell r="O180">
            <v>8584.5222752300106</v>
          </cell>
          <cell r="P180">
            <v>8631.728179479851</v>
          </cell>
          <cell r="Q180">
            <v>8759.9138910359106</v>
          </cell>
          <cell r="AD180">
            <v>32009.314017977998</v>
          </cell>
          <cell r="AE180">
            <v>32711.795107414997</v>
          </cell>
          <cell r="AF180">
            <v>28528.481028741615</v>
          </cell>
          <cell r="AG180">
            <v>24922.754611172</v>
          </cell>
          <cell r="AH180">
            <v>20701.940782787999</v>
          </cell>
          <cell r="AI180">
            <v>17518.307347614998</v>
          </cell>
          <cell r="AJ180">
            <v>16324.289197980082</v>
          </cell>
          <cell r="AK180">
            <v>14474.449193701465</v>
          </cell>
          <cell r="AL180">
            <v>12942.395084094</v>
          </cell>
          <cell r="AM180">
            <v>11126.02376305</v>
          </cell>
          <cell r="AN180">
            <v>10219.768053018999</v>
          </cell>
          <cell r="AO180">
            <v>9890.0392213032064</v>
          </cell>
          <cell r="AP180">
            <v>10131.6435095214</v>
          </cell>
          <cell r="AQ180">
            <v>10076.713967388099</v>
          </cell>
          <cell r="AR180">
            <v>9673.5936721215112</v>
          </cell>
          <cell r="AS180">
            <v>9887.3331485361505</v>
          </cell>
          <cell r="AT180">
            <v>9316.0866921809393</v>
          </cell>
          <cell r="AU180">
            <v>8650.8566004610002</v>
          </cell>
          <cell r="AV180">
            <v>8367.6796943144691</v>
          </cell>
          <cell r="AW180">
            <v>8377.671112954511</v>
          </cell>
          <cell r="AX180">
            <v>8961.7118830695763</v>
          </cell>
          <cell r="AY180">
            <v>8877.8345597560146</v>
          </cell>
          <cell r="AZ180">
            <v>8583.8776257360951</v>
          </cell>
          <cell r="BA180">
            <v>8599.1373580965992</v>
          </cell>
          <cell r="BB180">
            <v>8612.0359905854584</v>
          </cell>
          <cell r="BC180">
            <v>8576.7668320407502</v>
          </cell>
          <cell r="BD180">
            <v>8357.6811772789151</v>
          </cell>
          <cell r="BE180">
            <v>8468.2194219969915</v>
          </cell>
          <cell r="BF180">
            <v>8587.6859945870856</v>
          </cell>
          <cell r="BG180">
            <v>8602.1654891514627</v>
          </cell>
          <cell r="BH180">
            <v>8379.8899534923021</v>
          </cell>
          <cell r="BI180">
            <v>8508.283598998587</v>
          </cell>
          <cell r="BJ180">
            <v>8634.891898836926</v>
          </cell>
          <cell r="BK180">
            <v>8664.3161002761444</v>
          </cell>
          <cell r="BL180">
            <v>8442.040564616982</v>
          </cell>
          <cell r="BM180">
            <v>8592.8512704355308</v>
          </cell>
          <cell r="BN180">
            <v>8763.077610392982</v>
          </cell>
        </row>
        <row r="181">
          <cell r="A181" t="str">
            <v xml:space="preserve">   IBL</v>
          </cell>
          <cell r="H181">
            <v>30451.988687936999</v>
          </cell>
          <cell r="I181">
            <v>19731.47543427</v>
          </cell>
          <cell r="J181">
            <v>12013.334715540403</v>
          </cell>
          <cell r="K181">
            <v>9005.4867115049983</v>
          </cell>
          <cell r="L181">
            <v>7859.3292817990005</v>
          </cell>
          <cell r="M181">
            <v>7428.9528828114653</v>
          </cell>
          <cell r="N181">
            <v>7002.7972262822959</v>
          </cell>
          <cell r="O181">
            <v>6898.1434780366189</v>
          </cell>
          <cell r="P181">
            <v>6861.0304424267897</v>
          </cell>
          <cell r="Q181">
            <v>6900.6812671301959</v>
          </cell>
          <cell r="AD181">
            <v>30451.988687936999</v>
          </cell>
          <cell r="AE181">
            <v>31468.392807941</v>
          </cell>
          <cell r="AF181">
            <v>27321.440907538003</v>
          </cell>
          <cell r="AG181">
            <v>23474.983348079</v>
          </cell>
          <cell r="AH181">
            <v>19731.47543427</v>
          </cell>
          <cell r="AI181">
            <v>16568.972854265969</v>
          </cell>
          <cell r="AJ181">
            <v>15373.816305085</v>
          </cell>
          <cell r="AK181">
            <v>13415.375245137464</v>
          </cell>
          <cell r="AL181">
            <v>12013.334715540403</v>
          </cell>
          <cell r="AM181">
            <v>10037.190876352</v>
          </cell>
          <cell r="AN181">
            <v>9347.8210076299893</v>
          </cell>
          <cell r="AO181">
            <v>8950.4488214369612</v>
          </cell>
          <cell r="AP181">
            <v>9005.4867115049983</v>
          </cell>
          <cell r="AQ181">
            <v>8852.2686983999993</v>
          </cell>
          <cell r="AR181">
            <v>8397.8377707809996</v>
          </cell>
          <cell r="AS181">
            <v>8400.2627876879997</v>
          </cell>
          <cell r="AT181">
            <v>7859.3292817990005</v>
          </cell>
          <cell r="AU181">
            <v>7182.24485026</v>
          </cell>
          <cell r="AV181">
            <v>7941.5652926494886</v>
          </cell>
          <cell r="AW181">
            <v>7685.2590877304774</v>
          </cell>
          <cell r="AX181">
            <v>7428.9528828114653</v>
          </cell>
          <cell r="AY181">
            <v>7322.4139686791732</v>
          </cell>
          <cell r="AZ181">
            <v>7322.4139686791732</v>
          </cell>
          <cell r="BA181">
            <v>7162.605597480735</v>
          </cell>
          <cell r="BB181">
            <v>7002.7972262822959</v>
          </cell>
          <cell r="BC181">
            <v>6976.6337892208767</v>
          </cell>
          <cell r="BD181">
            <v>6976.6337892208767</v>
          </cell>
          <cell r="BE181">
            <v>6937.3886336287478</v>
          </cell>
          <cell r="BF181">
            <v>6898.1434780366189</v>
          </cell>
          <cell r="BG181">
            <v>6888.8652191341616</v>
          </cell>
          <cell r="BH181">
            <v>6888.8652191341616</v>
          </cell>
          <cell r="BI181">
            <v>6874.9478307804757</v>
          </cell>
          <cell r="BJ181">
            <v>6861.0304424267897</v>
          </cell>
          <cell r="BK181">
            <v>6870.9431486026415</v>
          </cell>
          <cell r="BL181">
            <v>6870.9431486026415</v>
          </cell>
          <cell r="BM181">
            <v>6885.8122078664182</v>
          </cell>
          <cell r="BN181">
            <v>6900.6812671301959</v>
          </cell>
        </row>
        <row r="182">
          <cell r="A182" t="str">
            <v xml:space="preserve">   Other liabilities</v>
          </cell>
          <cell r="H182">
            <v>1557.3253300409997</v>
          </cell>
          <cell r="I182">
            <v>970.46534851799879</v>
          </cell>
          <cell r="J182">
            <v>929.06036855359707</v>
          </cell>
          <cell r="K182">
            <v>1126.1567980164018</v>
          </cell>
          <cell r="L182">
            <v>1456.7574103819388</v>
          </cell>
          <cell r="M182">
            <v>1529.5952809010357</v>
          </cell>
          <cell r="N182">
            <v>1606.0750449460875</v>
          </cell>
          <cell r="O182">
            <v>1686.3787971933918</v>
          </cell>
          <cell r="P182">
            <v>1770.6977370530615</v>
          </cell>
          <cell r="Q182">
            <v>1859.2326239057147</v>
          </cell>
          <cell r="Y182">
            <v>0.05</v>
          </cell>
          <cell r="AD182">
            <v>1557.3253300409997</v>
          </cell>
          <cell r="AE182">
            <v>1243.4022994739971</v>
          </cell>
          <cell r="AF182">
            <v>1207.0401212036122</v>
          </cell>
          <cell r="AG182">
            <v>1447.771263093</v>
          </cell>
          <cell r="AH182">
            <v>970.46534851799879</v>
          </cell>
          <cell r="AI182">
            <v>949.3344933490298</v>
          </cell>
          <cell r="AJ182">
            <v>950.47289289508262</v>
          </cell>
          <cell r="AK182">
            <v>1059.0739485640006</v>
          </cell>
          <cell r="AL182">
            <v>929.06036855359707</v>
          </cell>
          <cell r="AM182">
            <v>1088.8328866979991</v>
          </cell>
          <cell r="AN182">
            <v>871.94704538900987</v>
          </cell>
          <cell r="AO182">
            <v>939.59039986624521</v>
          </cell>
          <cell r="AP182">
            <v>1126.1567980164018</v>
          </cell>
          <cell r="AQ182">
            <v>1224.4452689881</v>
          </cell>
          <cell r="AR182">
            <v>1275.7559013405116</v>
          </cell>
          <cell r="AS182">
            <v>1487.0703608481508</v>
          </cell>
          <cell r="AT182">
            <v>1456.7574103819388</v>
          </cell>
          <cell r="AU182">
            <v>1468.6117502010002</v>
          </cell>
          <cell r="AV182">
            <v>426.11440166498051</v>
          </cell>
          <cell r="AW182">
            <v>692.41202522403364</v>
          </cell>
          <cell r="AX182">
            <v>1532.759000258111</v>
          </cell>
          <cell r="AY182">
            <v>1555.4205910768414</v>
          </cell>
          <cell r="AZ182">
            <v>1261.4636570569219</v>
          </cell>
          <cell r="BA182">
            <v>1436.5317606158642</v>
          </cell>
          <cell r="BB182">
            <v>1609.2387643031625</v>
          </cell>
          <cell r="BC182">
            <v>1600.1330428198735</v>
          </cell>
          <cell r="BD182">
            <v>1381.0473880580385</v>
          </cell>
          <cell r="BE182">
            <v>1530.8307883682437</v>
          </cell>
          <cell r="BF182">
            <v>1689.5425165504666</v>
          </cell>
          <cell r="BG182">
            <v>1713.300270017301</v>
          </cell>
          <cell r="BH182">
            <v>1491.0247343581404</v>
          </cell>
          <cell r="BI182">
            <v>1633.3357682181113</v>
          </cell>
          <cell r="BJ182">
            <v>1773.8614564101363</v>
          </cell>
          <cell r="BK182">
            <v>1793.3729516735029</v>
          </cell>
          <cell r="BL182">
            <v>1571.0974160143405</v>
          </cell>
          <cell r="BM182">
            <v>1707.0390625691125</v>
          </cell>
          <cell r="BN182">
            <v>1862.3963432627861</v>
          </cell>
        </row>
        <row r="183">
          <cell r="A183" t="str">
            <v>Total shareholders' equity</v>
          </cell>
          <cell r="H183">
            <v>1774.7096302599998</v>
          </cell>
          <cell r="I183">
            <v>-3213.1874405449998</v>
          </cell>
          <cell r="J183">
            <v>-569.74756886899922</v>
          </cell>
          <cell r="K183">
            <v>1806.5243860791088</v>
          </cell>
          <cell r="L183">
            <v>3020.569613835818</v>
          </cell>
          <cell r="M183">
            <v>4190.6504057315578</v>
          </cell>
          <cell r="N183">
            <v>5371.2003415545278</v>
          </cell>
          <cell r="O183">
            <v>6279.2400005250283</v>
          </cell>
          <cell r="P183">
            <v>7171.912834497567</v>
          </cell>
          <cell r="Q183">
            <v>8043.3846886632573</v>
          </cell>
          <cell r="AD183">
            <v>1774.7096302599998</v>
          </cell>
          <cell r="AE183">
            <v>1372.8548859015937</v>
          </cell>
          <cell r="AF183">
            <v>1385.1122380229281</v>
          </cell>
          <cell r="AG183">
            <v>1131.4064521680011</v>
          </cell>
          <cell r="AH183">
            <v>-3213.1874405449998</v>
          </cell>
          <cell r="AI183">
            <v>-294.12989189399741</v>
          </cell>
          <cell r="AJ183">
            <v>-831.48120974748053</v>
          </cell>
          <cell r="AK183">
            <v>-891.28868870099723</v>
          </cell>
          <cell r="AL183">
            <v>-569.74756886899922</v>
          </cell>
          <cell r="AM183">
            <v>726.0789701040012</v>
          </cell>
          <cell r="AN183">
            <v>1209.0549979112511</v>
          </cell>
          <cell r="AO183">
            <v>1576.9842231527946</v>
          </cell>
          <cell r="AP183">
            <v>1806.5243860791088</v>
          </cell>
          <cell r="AQ183">
            <v>2166.9916445955005</v>
          </cell>
          <cell r="AR183">
            <v>2458.5447868049851</v>
          </cell>
          <cell r="AS183">
            <v>2769.3877216371257</v>
          </cell>
          <cell r="AT183">
            <v>3020.569613835818</v>
          </cell>
          <cell r="AU183">
            <v>3882.8053631359999</v>
          </cell>
          <cell r="AV183">
            <v>4174.1554803179752</v>
          </cell>
          <cell r="AW183">
            <v>4467.8457590837415</v>
          </cell>
          <cell r="AX183">
            <v>4187.4866863744828</v>
          </cell>
          <cell r="AY183">
            <v>4479.0825205227566</v>
          </cell>
          <cell r="AZ183">
            <v>4773.0394545426761</v>
          </cell>
          <cell r="BA183">
            <v>5069.3574884342415</v>
          </cell>
          <cell r="BB183">
            <v>5368.0366221974527</v>
          </cell>
          <cell r="BC183">
            <v>5624.2281964851936</v>
          </cell>
          <cell r="BD183">
            <v>5843.3138512470296</v>
          </cell>
          <cell r="BE183">
            <v>6064.1592301434994</v>
          </cell>
          <cell r="BF183">
            <v>6276.0762811679533</v>
          </cell>
          <cell r="BG183">
            <v>6496.5664711591708</v>
          </cell>
          <cell r="BH183">
            <v>6718.8420068183332</v>
          </cell>
          <cell r="BI183">
            <v>6942.9028881454406</v>
          </cell>
          <cell r="BJ183">
            <v>7168.7491151404929</v>
          </cell>
          <cell r="BK183">
            <v>7389.2393051317104</v>
          </cell>
          <cell r="BL183">
            <v>7611.5148407908728</v>
          </cell>
          <cell r="BM183">
            <v>7835.5757221179801</v>
          </cell>
          <cell r="BN183">
            <v>8040.2209693061841</v>
          </cell>
        </row>
        <row r="184">
          <cell r="A184" t="str">
            <v xml:space="preserve">   CAR</v>
          </cell>
          <cell r="H184" t="str">
            <v>NM</v>
          </cell>
          <cell r="I184" t="str">
            <v>NM</v>
          </cell>
          <cell r="J184" t="str">
            <v>NM</v>
          </cell>
          <cell r="K184">
            <v>0.25600000000000001</v>
          </cell>
          <cell r="L184">
            <v>0.34200000000000003</v>
          </cell>
          <cell r="M184">
            <v>0.37624227995898074</v>
          </cell>
          <cell r="N184">
            <v>0.4536485059892979</v>
          </cell>
          <cell r="O184">
            <v>0.49885336344883352</v>
          </cell>
          <cell r="P184">
            <v>0.53591963344723725</v>
          </cell>
          <cell r="Q184">
            <v>0.56531027887885943</v>
          </cell>
          <cell r="AD184" t="str">
            <v>NM</v>
          </cell>
          <cell r="AP184">
            <v>0.25600000000000001</v>
          </cell>
          <cell r="AQ184">
            <v>0.27</v>
          </cell>
          <cell r="AR184">
            <v>0.307</v>
          </cell>
          <cell r="AS184">
            <v>0.32700000000000001</v>
          </cell>
          <cell r="AT184">
            <v>0.34300000000000003</v>
          </cell>
          <cell r="AU184">
            <v>0.36599999999999999</v>
          </cell>
          <cell r="AV184">
            <v>0.39320675933071664</v>
          </cell>
          <cell r="AW184">
            <v>0.41092260247980866</v>
          </cell>
          <cell r="AX184">
            <v>0.37624227995898074</v>
          </cell>
          <cell r="AY184">
            <v>0.39618340108224986</v>
          </cell>
          <cell r="AZ184">
            <v>0.42218445316336439</v>
          </cell>
          <cell r="BA184">
            <v>0.4381730546478908</v>
          </cell>
          <cell r="BB184">
            <v>0.4536485059892979</v>
          </cell>
          <cell r="BC184">
            <v>0.46790490730581108</v>
          </cell>
          <cell r="BD184">
            <v>0.48613163093829687</v>
          </cell>
          <cell r="BE184">
            <v>0.49300046979998857</v>
          </cell>
          <cell r="BF184">
            <v>0.49885336344883352</v>
          </cell>
          <cell r="BG184">
            <v>0.5083430063862926</v>
          </cell>
          <cell r="BH184">
            <v>0.52573561131763891</v>
          </cell>
          <cell r="BI184">
            <v>0.53087551894083584</v>
          </cell>
          <cell r="BJ184">
            <v>0.53591963344723725</v>
          </cell>
          <cell r="BK184">
            <v>0.54380342992197916</v>
          </cell>
          <cell r="BL184">
            <v>0.56016156824824126</v>
          </cell>
          <cell r="BM184">
            <v>0.56349280082557307</v>
          </cell>
          <cell r="BN184">
            <v>0.56531027887885943</v>
          </cell>
        </row>
        <row r="186">
          <cell r="A186" t="str">
            <v>Income statement (Stated)</v>
          </cell>
        </row>
        <row r="187">
          <cell r="A187" t="str">
            <v>Opreating revenue</v>
          </cell>
          <cell r="H187">
            <v>5631.1537365149998</v>
          </cell>
          <cell r="I187">
            <v>4392.6345656619997</v>
          </cell>
          <cell r="J187">
            <v>3432.2684772969997</v>
          </cell>
          <cell r="K187">
            <v>2729.7121418010001</v>
          </cell>
          <cell r="L187">
            <v>2703.3975773309999</v>
          </cell>
          <cell r="M187">
            <v>2702.0648857544629</v>
          </cell>
          <cell r="N187">
            <v>2877.699103328503</v>
          </cell>
          <cell r="O187">
            <v>3064.7495450448559</v>
          </cell>
          <cell r="P187">
            <v>3263.958265472771</v>
          </cell>
          <cell r="Q187">
            <v>3476.1155527285009</v>
          </cell>
          <cell r="AE187">
            <v>1386.201805962</v>
          </cell>
          <cell r="AF187">
            <v>1233.4019875108575</v>
          </cell>
          <cell r="AG187">
            <v>1231.5669755401427</v>
          </cell>
          <cell r="AH187">
            <v>541.46379664899951</v>
          </cell>
          <cell r="AI187">
            <v>1121.7982115539999</v>
          </cell>
          <cell r="AJ187">
            <v>681.67165924000028</v>
          </cell>
          <cell r="AK187">
            <v>787.64507224299996</v>
          </cell>
          <cell r="AL187">
            <v>841.15353425999956</v>
          </cell>
          <cell r="AM187">
            <v>701.89217845299993</v>
          </cell>
          <cell r="AN187">
            <v>670.75253782100015</v>
          </cell>
          <cell r="AO187">
            <v>658.62592038599951</v>
          </cell>
          <cell r="AP187">
            <v>698.44150514100056</v>
          </cell>
          <cell r="AQ187">
            <v>677.29638000300008</v>
          </cell>
          <cell r="AR187">
            <v>692.79318837599988</v>
          </cell>
          <cell r="AS187">
            <v>674.5923107860001</v>
          </cell>
          <cell r="AT187">
            <v>658.71569816599981</v>
          </cell>
          <cell r="AU187">
            <v>633.31712340400009</v>
          </cell>
          <cell r="AV187">
            <v>672.81415655286128</v>
          </cell>
          <cell r="AW187">
            <v>678.2182863243703</v>
          </cell>
          <cell r="AX187">
            <v>717.71531947323149</v>
          </cell>
          <cell r="AY187">
            <v>710.79167852214027</v>
          </cell>
          <cell r="AZ187">
            <v>716.54707672879726</v>
          </cell>
          <cell r="BA187">
            <v>722.30247493545437</v>
          </cell>
          <cell r="BB187">
            <v>728.05787314211102</v>
          </cell>
          <cell r="BC187">
            <v>756.99313762607937</v>
          </cell>
          <cell r="BD187">
            <v>763.12263671616915</v>
          </cell>
          <cell r="BE187">
            <v>769.25213580625882</v>
          </cell>
          <cell r="BF187">
            <v>775.38163489634871</v>
          </cell>
          <cell r="BG187">
            <v>806.1976915717745</v>
          </cell>
          <cell r="BH187">
            <v>812.72560810272</v>
          </cell>
          <cell r="BI187">
            <v>819.25352463366562</v>
          </cell>
          <cell r="BJ187">
            <v>825.78144116461101</v>
          </cell>
          <cell r="BK187">
            <v>806.1976915717745</v>
          </cell>
          <cell r="BL187">
            <v>812.72560810272</v>
          </cell>
          <cell r="BM187">
            <v>819.25352463366562</v>
          </cell>
          <cell r="BN187">
            <v>1037.9387284203408</v>
          </cell>
        </row>
        <row r="188">
          <cell r="A188" t="str">
            <v xml:space="preserve">   ABS related revenue</v>
          </cell>
          <cell r="H188">
            <v>2230.5226477669999</v>
          </cell>
          <cell r="I188">
            <v>1896.601214994</v>
          </cell>
          <cell r="J188">
            <v>1437.833109423</v>
          </cell>
          <cell r="K188">
            <v>832.42513011699998</v>
          </cell>
          <cell r="L188">
            <v>596.73801920100004</v>
          </cell>
          <cell r="M188">
            <v>501.73266199073015</v>
          </cell>
          <cell r="N188">
            <v>534.34528502012756</v>
          </cell>
          <cell r="O188">
            <v>569.07772854643588</v>
          </cell>
          <cell r="P188">
            <v>606.06778090195405</v>
          </cell>
          <cell r="Q188">
            <v>645.4621866605811</v>
          </cell>
          <cell r="AE188">
            <v>655.56577849200005</v>
          </cell>
          <cell r="AF188">
            <v>620.47819148685733</v>
          </cell>
          <cell r="AG188">
            <v>696.23050514414263</v>
          </cell>
          <cell r="AH188">
            <v>-75.673260129000028</v>
          </cell>
          <cell r="AI188">
            <v>593.85810486499997</v>
          </cell>
          <cell r="AJ188">
            <v>218.12303151100002</v>
          </cell>
          <cell r="AK188">
            <v>310.31347039999991</v>
          </cell>
          <cell r="AL188">
            <v>315.53850264700009</v>
          </cell>
          <cell r="AM188">
            <v>243.084421948</v>
          </cell>
          <cell r="AN188">
            <v>197.26289387200001</v>
          </cell>
          <cell r="AO188">
            <v>197.653578837</v>
          </cell>
          <cell r="AP188">
            <v>194.42423545999998</v>
          </cell>
          <cell r="AQ188">
            <v>175.567875109</v>
          </cell>
          <cell r="AR188">
            <v>162.962107129</v>
          </cell>
          <cell r="AS188">
            <v>140.89295243499998</v>
          </cell>
          <cell r="AT188">
            <v>117.31508452800006</v>
          </cell>
          <cell r="AU188">
            <v>116.584330725</v>
          </cell>
          <cell r="AV188">
            <v>140.07937761683638</v>
          </cell>
          <cell r="AW188">
            <v>141.20451318002381</v>
          </cell>
          <cell r="AX188">
            <v>103.86444046886999</v>
          </cell>
          <cell r="AY188">
            <v>97.057522982114634</v>
          </cell>
          <cell r="AZ188">
            <v>97.843413856463741</v>
          </cell>
          <cell r="BA188">
            <v>98.629304730812834</v>
          </cell>
          <cell r="BB188">
            <v>240.81504345073631</v>
          </cell>
          <cell r="BC188">
            <v>252.88963346831144</v>
          </cell>
          <cell r="BD188">
            <v>254.93732280813583</v>
          </cell>
          <cell r="BE188">
            <v>256.98501214796022</v>
          </cell>
          <cell r="BF188">
            <v>-195.73423987797162</v>
          </cell>
          <cell r="BG188">
            <v>-203.51332202015737</v>
          </cell>
          <cell r="BH188">
            <v>-205.16120317011817</v>
          </cell>
          <cell r="BI188">
            <v>-206.80908432007897</v>
          </cell>
          <cell r="BJ188">
            <v>1221.5513904123086</v>
          </cell>
          <cell r="BK188">
            <v>1192.5817922207123</v>
          </cell>
          <cell r="BL188">
            <v>1202.2383249512443</v>
          </cell>
          <cell r="BM188">
            <v>1211.8948576817766</v>
          </cell>
          <cell r="BN188">
            <v>-2961.2527881931519</v>
          </cell>
        </row>
        <row r="189">
          <cell r="A189" t="str">
            <v xml:space="preserve">   Other revenue</v>
          </cell>
          <cell r="H189">
            <v>3400.6310887479999</v>
          </cell>
          <cell r="I189">
            <v>2496.0333506679999</v>
          </cell>
          <cell r="J189">
            <v>1994.4353678739997</v>
          </cell>
          <cell r="K189">
            <v>1897.2870116840002</v>
          </cell>
          <cell r="L189">
            <v>2106.6595581299998</v>
          </cell>
          <cell r="M189">
            <v>2200.3322237637326</v>
          </cell>
          <cell r="N189">
            <v>2343.3538183083756</v>
          </cell>
          <cell r="O189">
            <v>2495.67181649842</v>
          </cell>
          <cell r="P189">
            <v>2657.8904845708171</v>
          </cell>
          <cell r="Q189">
            <v>2830.6533660679197</v>
          </cell>
          <cell r="AE189">
            <v>730.63602746999993</v>
          </cell>
          <cell r="AF189">
            <v>612.92379602400013</v>
          </cell>
          <cell r="AG189">
            <v>535.3364703960001</v>
          </cell>
          <cell r="AH189">
            <v>617.13705677799976</v>
          </cell>
          <cell r="AI189">
            <v>527.94010668899989</v>
          </cell>
          <cell r="AJ189">
            <v>463.54862772900026</v>
          </cell>
          <cell r="AK189">
            <v>477.33160184300004</v>
          </cell>
          <cell r="AL189">
            <v>525.61503161299947</v>
          </cell>
          <cell r="AM189">
            <v>458.80775650499993</v>
          </cell>
          <cell r="AN189">
            <v>473.4896439490002</v>
          </cell>
          <cell r="AO189">
            <v>460.97234154899934</v>
          </cell>
          <cell r="AP189">
            <v>504.0172696810007</v>
          </cell>
          <cell r="AQ189">
            <v>501.72850489400008</v>
          </cell>
          <cell r="AR189">
            <v>529.83108124699993</v>
          </cell>
          <cell r="AS189">
            <v>533.69935835100011</v>
          </cell>
          <cell r="AT189">
            <v>541.40061363799975</v>
          </cell>
          <cell r="AU189">
            <v>516.73279267900011</v>
          </cell>
          <cell r="AV189">
            <v>532.7347789360249</v>
          </cell>
          <cell r="AW189">
            <v>537.01377314434649</v>
          </cell>
          <cell r="AX189">
            <v>613.8508790043611</v>
          </cell>
          <cell r="AY189">
            <v>613.73415554002565</v>
          </cell>
          <cell r="AZ189">
            <v>618.70366287233355</v>
          </cell>
          <cell r="BA189">
            <v>623.67317020464156</v>
          </cell>
          <cell r="BB189">
            <v>487.24282969137471</v>
          </cell>
          <cell r="BC189">
            <v>504.10350415776793</v>
          </cell>
          <cell r="BD189">
            <v>508.18531390803332</v>
          </cell>
          <cell r="BE189">
            <v>512.2671236582986</v>
          </cell>
          <cell r="BF189">
            <v>971.11587477432022</v>
          </cell>
          <cell r="BG189">
            <v>1009.7110135919319</v>
          </cell>
          <cell r="BH189">
            <v>1017.8868112728381</v>
          </cell>
          <cell r="BI189">
            <v>1026.0626089537445</v>
          </cell>
          <cell r="BJ189">
            <v>-395.76994924769724</v>
          </cell>
          <cell r="BK189">
            <v>-386.38410064893776</v>
          </cell>
          <cell r="BL189">
            <v>-389.51271684852429</v>
          </cell>
          <cell r="BM189">
            <v>-392.64133304811094</v>
          </cell>
          <cell r="BN189">
            <v>3999.1915166134927</v>
          </cell>
        </row>
        <row r="190">
          <cell r="A190" t="str">
            <v>Operating expenses</v>
          </cell>
          <cell r="H190">
            <v>2439.6186236009999</v>
          </cell>
          <cell r="I190">
            <v>2593.0075714750001</v>
          </cell>
          <cell r="J190">
            <v>1698.7087752350001</v>
          </cell>
          <cell r="K190">
            <v>1356.0185848840001</v>
          </cell>
          <cell r="L190">
            <v>1393.249190125</v>
          </cell>
          <cell r="M190">
            <v>1351.2267399484958</v>
          </cell>
          <cell r="N190">
            <v>1407.8939400697275</v>
          </cell>
          <cell r="O190">
            <v>1474.6813956000096</v>
          </cell>
          <cell r="P190">
            <v>1552.9231665684733</v>
          </cell>
          <cell r="Q190">
            <v>1638.8272282770195</v>
          </cell>
          <cell r="AE190">
            <v>654.87415488099998</v>
          </cell>
          <cell r="AF190">
            <v>610.74699420800005</v>
          </cell>
          <cell r="AG190">
            <v>641.97173513899997</v>
          </cell>
          <cell r="AH190">
            <v>685.41468724700007</v>
          </cell>
          <cell r="AI190">
            <v>478.606837025</v>
          </cell>
          <cell r="AJ190">
            <v>398.96007861999999</v>
          </cell>
          <cell r="AK190">
            <v>392.50340488092968</v>
          </cell>
          <cell r="AL190">
            <v>428.6384547090704</v>
          </cell>
          <cell r="AM190">
            <v>314.56119360899999</v>
          </cell>
          <cell r="AN190">
            <v>319.06418420900008</v>
          </cell>
          <cell r="AO190">
            <v>320.08751199499989</v>
          </cell>
          <cell r="AP190">
            <v>402.30569507100017</v>
          </cell>
          <cell r="AQ190">
            <v>353.36574320699998</v>
          </cell>
          <cell r="AR190">
            <v>336.139526698</v>
          </cell>
          <cell r="AS190">
            <v>325.70898270215025</v>
          </cell>
          <cell r="AT190">
            <v>378.03493751784981</v>
          </cell>
          <cell r="AU190">
            <v>331.43829403899997</v>
          </cell>
          <cell r="AV190">
            <v>336.45545824717544</v>
          </cell>
          <cell r="AW190">
            <v>339.15791172707242</v>
          </cell>
          <cell r="AX190">
            <v>344.17507593524789</v>
          </cell>
          <cell r="AY190">
            <v>347.74980319722266</v>
          </cell>
          <cell r="AZ190">
            <v>350.56559107736217</v>
          </cell>
          <cell r="BA190">
            <v>353.38137895750162</v>
          </cell>
          <cell r="BB190">
            <v>356.19716683764113</v>
          </cell>
          <cell r="BC190">
            <v>364.24630471320239</v>
          </cell>
          <cell r="BD190">
            <v>367.19566750440242</v>
          </cell>
          <cell r="BE190">
            <v>370.1450302956024</v>
          </cell>
          <cell r="BF190">
            <v>373.09439308680248</v>
          </cell>
          <cell r="BG190">
            <v>383.57202214241283</v>
          </cell>
          <cell r="BH190">
            <v>386.67786847554981</v>
          </cell>
          <cell r="BI190">
            <v>389.7837148086868</v>
          </cell>
          <cell r="BJ190">
            <v>392.88956114182372</v>
          </cell>
          <cell r="BK190">
            <v>383.57202214241283</v>
          </cell>
          <cell r="BL190">
            <v>386.67786847554981</v>
          </cell>
          <cell r="BM190">
            <v>389.7837148086868</v>
          </cell>
          <cell r="BN190">
            <v>478.79362285037007</v>
          </cell>
        </row>
        <row r="191">
          <cell r="A191" t="str">
            <v xml:space="preserve">   Interest expenses</v>
          </cell>
          <cell r="H191">
            <v>866.915562271</v>
          </cell>
          <cell r="I191">
            <v>1105.1195764879999</v>
          </cell>
          <cell r="J191">
            <v>736.30000774400003</v>
          </cell>
          <cell r="K191">
            <v>397.85756054400002</v>
          </cell>
          <cell r="L191">
            <v>325.96956768000001</v>
          </cell>
          <cell r="M191">
            <v>289.85391110095031</v>
          </cell>
          <cell r="N191">
            <v>253.04702608068973</v>
          </cell>
          <cell r="O191">
            <v>225.34213532191575</v>
          </cell>
          <cell r="P191">
            <v>208.5384460008105</v>
          </cell>
          <cell r="Q191">
            <v>195.243544779427</v>
          </cell>
          <cell r="AE191">
            <v>249.00295505400001</v>
          </cell>
          <cell r="AF191">
            <v>236.96825849500001</v>
          </cell>
          <cell r="AG191">
            <v>223.29431754400002</v>
          </cell>
          <cell r="AH191">
            <v>395.85404539499984</v>
          </cell>
          <cell r="AI191">
            <v>208.002661128</v>
          </cell>
          <cell r="AJ191">
            <v>196.129032994</v>
          </cell>
          <cell r="AK191">
            <v>175.79993669013913</v>
          </cell>
          <cell r="AL191">
            <v>156.36837693186089</v>
          </cell>
          <cell r="AM191">
            <v>115.494934122</v>
          </cell>
          <cell r="AN191">
            <v>97.64647944299999</v>
          </cell>
          <cell r="AO191">
            <v>92.43674818400001</v>
          </cell>
          <cell r="AP191">
            <v>92.27939879500002</v>
          </cell>
          <cell r="AQ191">
            <v>85.181193883000006</v>
          </cell>
          <cell r="AR191">
            <v>84.134670326000006</v>
          </cell>
          <cell r="AS191">
            <v>81.004171665000001</v>
          </cell>
          <cell r="AT191">
            <v>75.649531805999999</v>
          </cell>
          <cell r="AU191">
            <v>67.763388223999996</v>
          </cell>
          <cell r="AV191">
            <v>72.17362386413663</v>
          </cell>
          <cell r="AW191">
            <v>72.753331686338527</v>
          </cell>
          <cell r="AX191">
            <v>77.163567326475174</v>
          </cell>
          <cell r="AY191">
            <v>62.502615441930367</v>
          </cell>
          <cell r="AZ191">
            <v>63.008709494091747</v>
          </cell>
          <cell r="BA191">
            <v>63.51480354625312</v>
          </cell>
          <cell r="BB191">
            <v>64.020897598414507</v>
          </cell>
          <cell r="BC191">
            <v>55.659507424513187</v>
          </cell>
          <cell r="BD191">
            <v>56.11019169515702</v>
          </cell>
          <cell r="BE191">
            <v>56.560875965800854</v>
          </cell>
          <cell r="BF191">
            <v>57.011560236444694</v>
          </cell>
          <cell r="BG191">
            <v>51.508996162200191</v>
          </cell>
          <cell r="BH191">
            <v>51.926073054201815</v>
          </cell>
          <cell r="BI191">
            <v>52.343149946203432</v>
          </cell>
          <cell r="BJ191">
            <v>52.760226838205057</v>
          </cell>
          <cell r="BK191">
            <v>51.508996162200191</v>
          </cell>
          <cell r="BL191">
            <v>51.926073054201815</v>
          </cell>
          <cell r="BM191">
            <v>52.343149946203432</v>
          </cell>
          <cell r="BN191">
            <v>39.465325616821559</v>
          </cell>
        </row>
        <row r="192">
          <cell r="A192" t="str">
            <v xml:space="preserve">   SG&amp;A</v>
          </cell>
          <cell r="H192">
            <v>1572.7030613300001</v>
          </cell>
          <cell r="I192">
            <v>1487.887994987</v>
          </cell>
          <cell r="J192">
            <v>962.40876749100005</v>
          </cell>
          <cell r="K192">
            <v>958.16102434000004</v>
          </cell>
          <cell r="L192">
            <v>1067.2796224450001</v>
          </cell>
          <cell r="M192">
            <v>1061.3728288475454</v>
          </cell>
          <cell r="N192">
            <v>1154.8469139890378</v>
          </cell>
          <cell r="O192">
            <v>1249.3392602780939</v>
          </cell>
          <cell r="P192">
            <v>1344.3847205676627</v>
          </cell>
          <cell r="Q192">
            <v>1443.5836834975926</v>
          </cell>
          <cell r="AE192">
            <v>405.871199827</v>
          </cell>
          <cell r="AF192">
            <v>373.778735713</v>
          </cell>
          <cell r="AG192">
            <v>418.67741759500007</v>
          </cell>
          <cell r="AH192">
            <v>289.56064185199989</v>
          </cell>
          <cell r="AI192">
            <v>270.604175897</v>
          </cell>
          <cell r="AJ192">
            <v>202.83104562599999</v>
          </cell>
          <cell r="AK192">
            <v>216.70346819079066</v>
          </cell>
          <cell r="AL192">
            <v>272.27007777720939</v>
          </cell>
          <cell r="AM192">
            <v>199.066259487</v>
          </cell>
          <cell r="AN192">
            <v>221.41770476600001</v>
          </cell>
          <cell r="AO192">
            <v>227.65076381099999</v>
          </cell>
          <cell r="AP192">
            <v>310.02629627600004</v>
          </cell>
          <cell r="AQ192">
            <v>268.18454932399999</v>
          </cell>
          <cell r="AR192">
            <v>252.00485637200001</v>
          </cell>
          <cell r="AS192">
            <v>244.70481103715019</v>
          </cell>
          <cell r="AT192">
            <v>302.3854057118499</v>
          </cell>
          <cell r="AU192">
            <v>263.67490581499999</v>
          </cell>
          <cell r="AV192">
            <v>264.28183438303881</v>
          </cell>
          <cell r="AW192">
            <v>266.40458004073389</v>
          </cell>
          <cell r="AX192">
            <v>267.01150860877271</v>
          </cell>
          <cell r="AY192">
            <v>285.24718775529232</v>
          </cell>
          <cell r="AZ192">
            <v>287.55688158327041</v>
          </cell>
          <cell r="BA192">
            <v>289.8665754112485</v>
          </cell>
          <cell r="BB192">
            <v>292.1762692392266</v>
          </cell>
          <cell r="BC192">
            <v>308.58679728868918</v>
          </cell>
          <cell r="BD192">
            <v>311.08547580924539</v>
          </cell>
          <cell r="BE192">
            <v>313.58415432980155</v>
          </cell>
          <cell r="BF192">
            <v>316.08283285035782</v>
          </cell>
          <cell r="BG192">
            <v>332.06302598021267</v>
          </cell>
          <cell r="BH192">
            <v>334.75179542134799</v>
          </cell>
          <cell r="BI192">
            <v>337.44056486248337</v>
          </cell>
          <cell r="BJ192">
            <v>340.12933430361863</v>
          </cell>
          <cell r="BK192">
            <v>332.06302598021267</v>
          </cell>
          <cell r="BL192">
            <v>334.75179542134799</v>
          </cell>
          <cell r="BM192">
            <v>337.44056486248337</v>
          </cell>
          <cell r="BN192">
            <v>439.32829723354848</v>
          </cell>
        </row>
        <row r="193">
          <cell r="A193" t="str">
            <v>Provisioning expenses</v>
          </cell>
          <cell r="H193">
            <v>2697.4574824249999</v>
          </cell>
          <cell r="I193">
            <v>7134.3511772840002</v>
          </cell>
          <cell r="J193">
            <v>2580.442989316</v>
          </cell>
          <cell r="K193">
            <v>125.259430991</v>
          </cell>
          <cell r="L193">
            <v>118.966112426406</v>
          </cell>
          <cell r="M193">
            <v>307.91599786723259</v>
          </cell>
          <cell r="N193">
            <v>459.1027528200438</v>
          </cell>
          <cell r="O193">
            <v>488.94443175334663</v>
          </cell>
          <cell r="P193">
            <v>595.11522264835889</v>
          </cell>
          <cell r="Q193">
            <v>633.7977121205023</v>
          </cell>
          <cell r="AE193">
            <v>1108.4421188660001</v>
          </cell>
          <cell r="AF193">
            <v>993.23341886000003</v>
          </cell>
          <cell r="AG193">
            <v>807.68133218999992</v>
          </cell>
          <cell r="AH193">
            <v>4224.9943073680006</v>
          </cell>
          <cell r="AI193">
            <v>1259.2513831450001</v>
          </cell>
          <cell r="AJ193">
            <v>700.84298572900002</v>
          </cell>
          <cell r="AK193">
            <v>465.05056284299985</v>
          </cell>
          <cell r="AL193">
            <v>155.298057599</v>
          </cell>
          <cell r="AM193">
            <v>94.592368898999993</v>
          </cell>
          <cell r="AN193">
            <v>-3.2828218049999975</v>
          </cell>
          <cell r="AO193">
            <v>-22.769618886663352</v>
          </cell>
          <cell r="AP193">
            <v>56.719502783663359</v>
          </cell>
          <cell r="AQ193">
            <v>-18.211236221</v>
          </cell>
          <cell r="AR193">
            <v>70.375085078313106</v>
          </cell>
          <cell r="AS193">
            <v>61.564521177686885</v>
          </cell>
          <cell r="AT193">
            <v>5.2377423914060017</v>
          </cell>
          <cell r="AU193">
            <v>0</v>
          </cell>
          <cell r="AV193">
            <v>76.671083468940921</v>
          </cell>
          <cell r="AW193">
            <v>77.286915464675374</v>
          </cell>
          <cell r="AX193">
            <v>153.9579989336163</v>
          </cell>
          <cell r="AY193">
            <v>113.39837994655082</v>
          </cell>
          <cell r="AZ193">
            <v>114.31658545219091</v>
          </cell>
          <cell r="BA193">
            <v>115.234790957831</v>
          </cell>
          <cell r="BB193">
            <v>116.15299646347108</v>
          </cell>
          <cell r="BC193">
            <v>120.76927464307661</v>
          </cell>
          <cell r="BD193">
            <v>121.74716350658331</v>
          </cell>
          <cell r="BE193">
            <v>122.72505237009001</v>
          </cell>
          <cell r="BF193">
            <v>123.70294123359673</v>
          </cell>
          <cell r="BG193">
            <v>146.99345999414464</v>
          </cell>
          <cell r="BH193">
            <v>148.18369043944136</v>
          </cell>
          <cell r="BI193">
            <v>149.37392088473808</v>
          </cell>
          <cell r="BJ193">
            <v>150.5641513300348</v>
          </cell>
          <cell r="BK193">
            <v>146.99345999414464</v>
          </cell>
          <cell r="BL193">
            <v>148.18369043944136</v>
          </cell>
          <cell r="BM193">
            <v>149.37392088473808</v>
          </cell>
          <cell r="BN193">
            <v>189.24664080217821</v>
          </cell>
        </row>
        <row r="194">
          <cell r="A194" t="str">
            <v>Operating profits</v>
          </cell>
          <cell r="H194">
            <v>494.07763048900006</v>
          </cell>
          <cell r="I194">
            <v>-5334.7241830970006</v>
          </cell>
          <cell r="J194">
            <v>-846.88328725400038</v>
          </cell>
          <cell r="K194">
            <v>1248.434125926</v>
          </cell>
          <cell r="L194">
            <v>1191.1822747795939</v>
          </cell>
          <cell r="M194">
            <v>1042.9221479387345</v>
          </cell>
          <cell r="N194">
            <v>1010.7024104387317</v>
          </cell>
          <cell r="O194">
            <v>1101.1237176914997</v>
          </cell>
          <cell r="P194">
            <v>1115.9198762559388</v>
          </cell>
          <cell r="Q194">
            <v>1203.4906123309793</v>
          </cell>
          <cell r="AE194">
            <v>-377.1144677850001</v>
          </cell>
          <cell r="AF194">
            <v>-370.57842555714262</v>
          </cell>
          <cell r="AG194">
            <v>-218.08609178885717</v>
          </cell>
          <cell r="AH194">
            <v>-4368.9451979660007</v>
          </cell>
          <cell r="AI194">
            <v>-616.06000861600023</v>
          </cell>
          <cell r="AJ194">
            <v>-418.13140510899984</v>
          </cell>
          <cell r="AK194">
            <v>-69.908895480929459</v>
          </cell>
          <cell r="AL194">
            <v>257.21702195192915</v>
          </cell>
          <cell r="AM194">
            <v>292.73861594499994</v>
          </cell>
          <cell r="AN194">
            <v>354.9711754170001</v>
          </cell>
          <cell r="AO194">
            <v>361.30802727766297</v>
          </cell>
          <cell r="AP194">
            <v>239.41630728633697</v>
          </cell>
          <cell r="AQ194">
            <v>342.14187301700008</v>
          </cell>
          <cell r="AR194">
            <v>286.27857659968674</v>
          </cell>
          <cell r="AS194">
            <v>287.31880690616299</v>
          </cell>
          <cell r="AT194">
            <v>275.44301825674398</v>
          </cell>
          <cell r="AU194">
            <v>301.87882936500012</v>
          </cell>
          <cell r="AV194">
            <v>259.6876148367449</v>
          </cell>
          <cell r="AW194">
            <v>261.77345913262252</v>
          </cell>
          <cell r="AX194">
            <v>219.5822446043673</v>
          </cell>
          <cell r="AY194">
            <v>249.64349537836679</v>
          </cell>
          <cell r="AZ194">
            <v>251.66490019924419</v>
          </cell>
          <cell r="BA194">
            <v>253.68630502012175</v>
          </cell>
          <cell r="BB194">
            <v>255.7077098409988</v>
          </cell>
          <cell r="BC194">
            <v>271.9775582698004</v>
          </cell>
          <cell r="BD194">
            <v>274.17980570518341</v>
          </cell>
          <cell r="BE194">
            <v>276.38205314056643</v>
          </cell>
          <cell r="BF194">
            <v>278.5843005759495</v>
          </cell>
          <cell r="BG194">
            <v>275.63220943521702</v>
          </cell>
          <cell r="BH194">
            <v>277.86404918772882</v>
          </cell>
          <cell r="BI194">
            <v>280.09588894024074</v>
          </cell>
          <cell r="BJ194">
            <v>282.32772869275249</v>
          </cell>
          <cell r="BK194">
            <v>275.63220943521702</v>
          </cell>
          <cell r="BL194">
            <v>277.86404918772882</v>
          </cell>
          <cell r="BM194">
            <v>280.09588894024074</v>
          </cell>
          <cell r="BN194">
            <v>369.89846476779252</v>
          </cell>
        </row>
        <row r="195">
          <cell r="A195" t="str">
            <v>Net non-op income</v>
          </cell>
          <cell r="H195">
            <v>6.9539340109999443</v>
          </cell>
          <cell r="I195">
            <v>-238.36101234099999</v>
          </cell>
          <cell r="J195">
            <v>53.344025035000001</v>
          </cell>
          <cell r="K195">
            <v>114.639048867</v>
          </cell>
          <cell r="L195">
            <v>-4.4052661692749025E-2</v>
          </cell>
          <cell r="M195">
            <v>127.15864395674907</v>
          </cell>
          <cell r="N195">
            <v>169.84752538423777</v>
          </cell>
          <cell r="O195">
            <v>112.47913377968803</v>
          </cell>
          <cell r="P195">
            <v>115.35299818894123</v>
          </cell>
          <cell r="Q195">
            <v>-1.4604686541645151</v>
          </cell>
          <cell r="AE195">
            <v>-23.53841091</v>
          </cell>
          <cell r="AF195">
            <v>8.2456145539999994</v>
          </cell>
          <cell r="AG195">
            <v>-51.863796805000007</v>
          </cell>
          <cell r="AH195">
            <v>-171.20441918</v>
          </cell>
          <cell r="AI195">
            <v>69.820089715999998</v>
          </cell>
          <cell r="AJ195">
            <v>-63.553354689323101</v>
          </cell>
          <cell r="AK195">
            <v>-21.493838811676895</v>
          </cell>
          <cell r="AL195">
            <v>68.571128819999998</v>
          </cell>
          <cell r="AM195">
            <v>-0.967728959</v>
          </cell>
          <cell r="AN195">
            <v>124.820539842</v>
          </cell>
          <cell r="AO195">
            <v>2.0853736480000009</v>
          </cell>
          <cell r="AP195">
            <v>-11.299135664000005</v>
          </cell>
          <cell r="AQ195">
            <v>11.43453465</v>
          </cell>
          <cell r="AR195">
            <v>0.70938428800000075</v>
          </cell>
          <cell r="AS195">
            <v>18.804677622</v>
          </cell>
          <cell r="AT195">
            <v>-30.992649221692748</v>
          </cell>
          <cell r="AU195">
            <v>43.540123170000001</v>
          </cell>
          <cell r="AV195">
            <v>31.662502345230518</v>
          </cell>
          <cell r="AW195">
            <v>31.916819633144019</v>
          </cell>
          <cell r="AX195">
            <v>20.039198808374536</v>
          </cell>
          <cell r="AY195">
            <v>41.952338769906731</v>
          </cell>
          <cell r="AZ195">
            <v>42.292033820675208</v>
          </cell>
          <cell r="BA195">
            <v>42.631728871443677</v>
          </cell>
          <cell r="BB195">
            <v>42.971423922212153</v>
          </cell>
          <cell r="BC195">
            <v>27.782346043582944</v>
          </cell>
          <cell r="BD195">
            <v>28.00730431114232</v>
          </cell>
          <cell r="BE195">
            <v>28.232262578701693</v>
          </cell>
          <cell r="BF195">
            <v>28.457220846261066</v>
          </cell>
          <cell r="BG195">
            <v>28.492190552668482</v>
          </cell>
          <cell r="BH195">
            <v>28.722896549046364</v>
          </cell>
          <cell r="BI195">
            <v>28.95360254542425</v>
          </cell>
          <cell r="BJ195">
            <v>29.184308541802139</v>
          </cell>
          <cell r="BK195">
            <v>28.492190552668482</v>
          </cell>
          <cell r="BL195">
            <v>28.722896549046364</v>
          </cell>
          <cell r="BM195">
            <v>28.95360254542425</v>
          </cell>
          <cell r="BN195">
            <v>-87.629158301303605</v>
          </cell>
        </row>
        <row r="196">
          <cell r="A196" t="str">
            <v>Pretax profits</v>
          </cell>
          <cell r="H196">
            <v>501.0315645</v>
          </cell>
          <cell r="I196">
            <v>-5556.9521903970008</v>
          </cell>
          <cell r="J196">
            <v>-81.600473410000404</v>
          </cell>
          <cell r="K196">
            <v>1363.0731747929999</v>
          </cell>
          <cell r="L196">
            <v>1191.138222117901</v>
          </cell>
          <cell r="M196">
            <v>1170.0807918954836</v>
          </cell>
          <cell r="N196">
            <v>1180.5499358229695</v>
          </cell>
          <cell r="O196">
            <v>1213.6028514711877</v>
          </cell>
          <cell r="P196">
            <v>1231.27287444488</v>
          </cell>
          <cell r="Q196">
            <v>1202.0301436768148</v>
          </cell>
          <cell r="AE196">
            <v>-384.51987365400009</v>
          </cell>
          <cell r="AF196">
            <v>-362.33281100314264</v>
          </cell>
          <cell r="AG196">
            <v>-269.94988859385717</v>
          </cell>
          <cell r="AH196">
            <v>-4540.1496171460012</v>
          </cell>
          <cell r="AI196">
            <v>121.08402371299974</v>
          </cell>
          <cell r="AJ196">
            <v>-481.68475979832283</v>
          </cell>
          <cell r="AK196">
            <v>-46.78788809660648</v>
          </cell>
          <cell r="AL196">
            <v>325.78815077192917</v>
          </cell>
          <cell r="AM196">
            <v>291.77088698599994</v>
          </cell>
          <cell r="AN196">
            <v>479.79171525900006</v>
          </cell>
          <cell r="AO196">
            <v>363.39340092566306</v>
          </cell>
          <cell r="AP196">
            <v>228.11717162233685</v>
          </cell>
          <cell r="AQ196">
            <v>353.57640766700013</v>
          </cell>
          <cell r="AR196">
            <v>286.98796088768665</v>
          </cell>
          <cell r="AS196">
            <v>306.12348452816309</v>
          </cell>
          <cell r="AT196">
            <v>244.45036903505115</v>
          </cell>
          <cell r="AU196">
            <v>345.41895253500013</v>
          </cell>
          <cell r="AV196">
            <v>291.35011718197541</v>
          </cell>
          <cell r="AW196">
            <v>293.69027876576655</v>
          </cell>
          <cell r="AX196">
            <v>239.62144341274183</v>
          </cell>
          <cell r="AY196">
            <v>291.59583414827352</v>
          </cell>
          <cell r="AZ196">
            <v>293.9569340199194</v>
          </cell>
          <cell r="BA196">
            <v>296.31803389156545</v>
          </cell>
          <cell r="BB196">
            <v>298.67913376321098</v>
          </cell>
          <cell r="BC196">
            <v>299.75990431338334</v>
          </cell>
          <cell r="BD196">
            <v>302.18711001632573</v>
          </cell>
          <cell r="BE196">
            <v>304.61431571926812</v>
          </cell>
          <cell r="BF196">
            <v>307.04152142221056</v>
          </cell>
          <cell r="BG196">
            <v>304.12439998788551</v>
          </cell>
          <cell r="BH196">
            <v>306.58694573677519</v>
          </cell>
          <cell r="BI196">
            <v>309.04949148566499</v>
          </cell>
          <cell r="BJ196">
            <v>311.51203723455461</v>
          </cell>
          <cell r="BK196">
            <v>304.12439998788551</v>
          </cell>
          <cell r="BL196">
            <v>306.58694573677519</v>
          </cell>
          <cell r="BM196">
            <v>309.04949148566499</v>
          </cell>
          <cell r="BN196">
            <v>282.2693064664889</v>
          </cell>
        </row>
        <row r="197">
          <cell r="A197" t="str">
            <v xml:space="preserve">   Income taxes</v>
          </cell>
          <cell r="H197">
            <v>150.63719141000001</v>
          </cell>
          <cell r="I197">
            <v>0</v>
          </cell>
          <cell r="J197">
            <v>0</v>
          </cell>
          <cell r="K197">
            <v>0</v>
          </cell>
          <cell r="L197">
            <v>-2.5410259009999998</v>
          </cell>
          <cell r="M197">
            <v>0</v>
          </cell>
          <cell r="N197">
            <v>0</v>
          </cell>
          <cell r="O197">
            <v>305.56319250068691</v>
          </cell>
          <cell r="P197">
            <v>338.60004047234219</v>
          </cell>
          <cell r="Q197">
            <v>330.55828951112409</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-2.5410259009999998</v>
          </cell>
          <cell r="AT197">
            <v>0</v>
          </cell>
          <cell r="AU197">
            <v>-519.98051612200004</v>
          </cell>
          <cell r="AV197">
            <v>0</v>
          </cell>
          <cell r="AW197">
            <v>0</v>
          </cell>
          <cell r="AX197">
            <v>519.98051612200004</v>
          </cell>
          <cell r="AY197">
            <v>0</v>
          </cell>
          <cell r="AZ197">
            <v>0</v>
          </cell>
          <cell r="BA197">
            <v>0</v>
          </cell>
          <cell r="BB197">
            <v>0</v>
          </cell>
          <cell r="BC197">
            <v>43.568330025642766</v>
          </cell>
          <cell r="BD197">
            <v>83.101455254489579</v>
          </cell>
          <cell r="BE197">
            <v>83.768936822798736</v>
          </cell>
          <cell r="BF197">
            <v>95.124470397755829</v>
          </cell>
          <cell r="BG197">
            <v>83.634209996668488</v>
          </cell>
          <cell r="BH197">
            <v>84.311410077613218</v>
          </cell>
          <cell r="BI197">
            <v>84.988610158557861</v>
          </cell>
          <cell r="BJ197">
            <v>85.665810239502633</v>
          </cell>
          <cell r="BK197">
            <v>83.634209996668488</v>
          </cell>
          <cell r="BL197">
            <v>84.311410077613218</v>
          </cell>
          <cell r="BM197">
            <v>84.988610158557861</v>
          </cell>
          <cell r="BN197">
            <v>77.624059278284534</v>
          </cell>
        </row>
        <row r="198">
          <cell r="A198" t="str">
            <v>Net profits</v>
          </cell>
          <cell r="H198">
            <v>350.39437308999999</v>
          </cell>
          <cell r="I198">
            <v>-5598.8110330510008</v>
          </cell>
          <cell r="J198">
            <v>-81.600473410000404</v>
          </cell>
          <cell r="K198">
            <v>1363.0731747929999</v>
          </cell>
          <cell r="L198">
            <v>1193.679248018901</v>
          </cell>
          <cell r="M198">
            <v>1170.0807918954836</v>
          </cell>
          <cell r="N198">
            <v>1180.5499358229695</v>
          </cell>
          <cell r="O198">
            <v>908.0396589705008</v>
          </cell>
          <cell r="P198">
            <v>892.67283397253777</v>
          </cell>
          <cell r="Q198">
            <v>871.47185416569073</v>
          </cell>
          <cell r="AE198">
            <v>-384.51987365400009</v>
          </cell>
          <cell r="AF198">
            <v>-362.33281100314264</v>
          </cell>
          <cell r="AG198">
            <v>-269.94988859385717</v>
          </cell>
          <cell r="AH198">
            <v>-4582.0084598000012</v>
          </cell>
          <cell r="AI198">
            <v>121.08402371299974</v>
          </cell>
          <cell r="AJ198">
            <v>-481.68475979832283</v>
          </cell>
          <cell r="AK198">
            <v>-46.78788809660648</v>
          </cell>
          <cell r="AL198">
            <v>325.78815077192917</v>
          </cell>
          <cell r="AM198">
            <v>291.77088698599994</v>
          </cell>
          <cell r="AN198">
            <v>479.79171525900006</v>
          </cell>
          <cell r="AO198">
            <v>363.39340092566306</v>
          </cell>
          <cell r="AP198">
            <v>228.11717162233685</v>
          </cell>
          <cell r="AQ198">
            <v>353.57640766700013</v>
          </cell>
          <cell r="AR198">
            <v>286.98796088768665</v>
          </cell>
          <cell r="AS198">
            <v>308.6645104291631</v>
          </cell>
          <cell r="AT198">
            <v>244.45036903505115</v>
          </cell>
          <cell r="AU198">
            <v>865.39946865700017</v>
          </cell>
          <cell r="AV198">
            <v>291.35011718197541</v>
          </cell>
          <cell r="AW198">
            <v>293.69027876576655</v>
          </cell>
          <cell r="AX198">
            <v>-280.35907270925821</v>
          </cell>
          <cell r="AY198">
            <v>291.59583414827352</v>
          </cell>
          <cell r="AZ198">
            <v>293.9569340199194</v>
          </cell>
          <cell r="BA198">
            <v>296.31803389156545</v>
          </cell>
          <cell r="BB198">
            <v>298.67913376321098</v>
          </cell>
          <cell r="BC198">
            <v>256.19157428774059</v>
          </cell>
          <cell r="BD198">
            <v>219.08565476183617</v>
          </cell>
          <cell r="BE198">
            <v>220.84537889646938</v>
          </cell>
          <cell r="BF198">
            <v>211.91705102445474</v>
          </cell>
          <cell r="BG198">
            <v>220.49018999121702</v>
          </cell>
          <cell r="BH198">
            <v>222.27553565916196</v>
          </cell>
          <cell r="BI198">
            <v>224.06088132710713</v>
          </cell>
          <cell r="BJ198">
            <v>225.84622699505198</v>
          </cell>
          <cell r="BK198">
            <v>220.49018999121702</v>
          </cell>
          <cell r="BL198">
            <v>222.27553565916196</v>
          </cell>
          <cell r="BM198">
            <v>224.06088132710713</v>
          </cell>
          <cell r="BN198">
            <v>204.64524718820437</v>
          </cell>
        </row>
        <row r="200">
          <cell r="A200" t="str">
            <v>Income statement (Adjusted)</v>
          </cell>
          <cell r="AU200">
            <v>0.247</v>
          </cell>
          <cell r="AV200">
            <v>0.249</v>
          </cell>
          <cell r="AW200">
            <v>0.251</v>
          </cell>
          <cell r="AX200">
            <v>0.253</v>
          </cell>
          <cell r="AY200">
            <v>0.247</v>
          </cell>
          <cell r="AZ200">
            <v>0.249</v>
          </cell>
          <cell r="BA200">
            <v>0.251</v>
          </cell>
          <cell r="BB200">
            <v>0.253</v>
          </cell>
          <cell r="BC200">
            <v>0.247</v>
          </cell>
          <cell r="BD200">
            <v>0.249</v>
          </cell>
          <cell r="BE200">
            <v>0.251</v>
          </cell>
          <cell r="BF200">
            <v>0.253</v>
          </cell>
          <cell r="BG200">
            <v>0.247</v>
          </cell>
          <cell r="BH200">
            <v>0.249</v>
          </cell>
          <cell r="BI200">
            <v>0.251</v>
          </cell>
          <cell r="BJ200">
            <v>0.253</v>
          </cell>
          <cell r="BK200">
            <v>0.247</v>
          </cell>
          <cell r="BL200">
            <v>0.249</v>
          </cell>
          <cell r="BM200">
            <v>0.251</v>
          </cell>
          <cell r="BN200">
            <v>0.253</v>
          </cell>
        </row>
        <row r="201">
          <cell r="A201" t="str">
            <v>Net interest income</v>
          </cell>
          <cell r="H201">
            <v>2466.328781235</v>
          </cell>
          <cell r="I201">
            <v>1295.5570329789998</v>
          </cell>
          <cell r="J201">
            <v>1096.2485332249998</v>
          </cell>
          <cell r="K201">
            <v>1258.873010435</v>
          </cell>
          <cell r="L201">
            <v>1586.3900235169999</v>
          </cell>
          <cell r="M201">
            <v>1673.2125797721546</v>
          </cell>
          <cell r="N201">
            <v>1837.6187866991672</v>
          </cell>
          <cell r="O201">
            <v>2001.2169552886319</v>
          </cell>
          <cell r="P201">
            <v>2162.7469854994224</v>
          </cell>
          <cell r="Q201">
            <v>2330.1754397683208</v>
          </cell>
          <cell r="AE201">
            <v>423.78943630499998</v>
          </cell>
          <cell r="AF201">
            <v>369.22774891500001</v>
          </cell>
          <cell r="AG201">
            <v>291.60989857899995</v>
          </cell>
          <cell r="AH201">
            <v>210.92994917999988</v>
          </cell>
          <cell r="AI201">
            <v>294.37467453300002</v>
          </cell>
          <cell r="AJ201">
            <v>255.00410349200007</v>
          </cell>
          <cell r="AK201">
            <v>287.02713966686088</v>
          </cell>
          <cell r="AL201">
            <v>259.84261553313877</v>
          </cell>
          <cell r="AM201">
            <v>282.76668578499994</v>
          </cell>
          <cell r="AN201">
            <v>315.89966258100003</v>
          </cell>
          <cell r="AO201">
            <v>306.43041332099978</v>
          </cell>
          <cell r="AP201">
            <v>353.77624874800028</v>
          </cell>
          <cell r="AQ201">
            <v>366.76667728699999</v>
          </cell>
          <cell r="AR201">
            <v>394.23812477599995</v>
          </cell>
          <cell r="AS201">
            <v>405.89680904700009</v>
          </cell>
          <cell r="AT201">
            <v>419.48841240699983</v>
          </cell>
          <cell r="AU201">
            <v>412.40661923600004</v>
          </cell>
          <cell r="AV201">
            <v>416.62993236326651</v>
          </cell>
          <cell r="AW201">
            <v>419.97635752281087</v>
          </cell>
          <cell r="AX201">
            <v>424.19967065007728</v>
          </cell>
          <cell r="AY201">
            <v>453.89184031469432</v>
          </cell>
          <cell r="AZ201">
            <v>457.56707788809257</v>
          </cell>
          <cell r="BA201">
            <v>461.24231546149099</v>
          </cell>
          <cell r="BB201">
            <v>464.91755303488901</v>
          </cell>
          <cell r="BC201">
            <v>494.30058795629202</v>
          </cell>
          <cell r="BD201">
            <v>498.30302186686936</v>
          </cell>
          <cell r="BE201">
            <v>502.30545577744658</v>
          </cell>
          <cell r="BF201">
            <v>506.30788968802403</v>
          </cell>
          <cell r="BG201">
            <v>534.19850541835729</v>
          </cell>
          <cell r="BH201">
            <v>538.52399938935616</v>
          </cell>
          <cell r="BI201">
            <v>542.84949336035504</v>
          </cell>
          <cell r="BJ201">
            <v>547.17498733135369</v>
          </cell>
          <cell r="BK201">
            <v>534.19850541835729</v>
          </cell>
          <cell r="BL201">
            <v>538.52399938935616</v>
          </cell>
          <cell r="BM201">
            <v>542.84949336035504</v>
          </cell>
          <cell r="BN201">
            <v>714.60344160025204</v>
          </cell>
        </row>
        <row r="202">
          <cell r="A202" t="str">
            <v xml:space="preserve">   Interest income</v>
          </cell>
          <cell r="H202">
            <v>3333.244343506</v>
          </cell>
          <cell r="I202">
            <v>2400.6766094669997</v>
          </cell>
          <cell r="J202">
            <v>1832.5485409689998</v>
          </cell>
          <cell r="K202">
            <v>1656.730570979</v>
          </cell>
          <cell r="L202">
            <v>1912.3595911969999</v>
          </cell>
          <cell r="M202">
            <v>1963.0664908731051</v>
          </cell>
          <cell r="N202">
            <v>2090.6658127798569</v>
          </cell>
          <cell r="O202">
            <v>2226.5590906105476</v>
          </cell>
          <cell r="P202">
            <v>2371.2854315002328</v>
          </cell>
          <cell r="Q202">
            <v>2525.4189845477476</v>
          </cell>
          <cell r="AE202">
            <v>672.79239135900002</v>
          </cell>
          <cell r="AF202">
            <v>606.19600740999999</v>
          </cell>
          <cell r="AG202">
            <v>514.90421612299997</v>
          </cell>
          <cell r="AH202">
            <v>606.78399457499972</v>
          </cell>
          <cell r="AI202">
            <v>502.37733566100002</v>
          </cell>
          <cell r="AJ202">
            <v>451.13313648600007</v>
          </cell>
          <cell r="AK202">
            <v>462.82707635700001</v>
          </cell>
          <cell r="AL202">
            <v>416.21099246499966</v>
          </cell>
          <cell r="AM202">
            <v>398.26161990699995</v>
          </cell>
          <cell r="AN202">
            <v>413.54614202400001</v>
          </cell>
          <cell r="AO202">
            <v>398.86716150499979</v>
          </cell>
          <cell r="AP202">
            <v>446.0556475430003</v>
          </cell>
          <cell r="AQ202">
            <v>451.94787116999998</v>
          </cell>
          <cell r="AR202">
            <v>478.37279510199994</v>
          </cell>
          <cell r="AS202">
            <v>486.90098071200009</v>
          </cell>
          <cell r="AT202">
            <v>495.13794421299986</v>
          </cell>
          <cell r="AU202">
            <v>480.17000746000002</v>
          </cell>
          <cell r="AV202">
            <v>488.80355622740313</v>
          </cell>
          <cell r="AW202">
            <v>492.7296892091494</v>
          </cell>
          <cell r="AX202">
            <v>501.36323797655245</v>
          </cell>
          <cell r="AY202">
            <v>516.39445575662467</v>
          </cell>
          <cell r="AZ202">
            <v>520.57578738218433</v>
          </cell>
          <cell r="BA202">
            <v>524.75711900774411</v>
          </cell>
          <cell r="BB202">
            <v>528.93845063330355</v>
          </cell>
          <cell r="BC202">
            <v>549.96009538080523</v>
          </cell>
          <cell r="BD202">
            <v>554.41321356202639</v>
          </cell>
          <cell r="BE202">
            <v>558.86633174324743</v>
          </cell>
          <cell r="BF202">
            <v>563.3194499244687</v>
          </cell>
          <cell r="BG202">
            <v>585.7075015805575</v>
          </cell>
          <cell r="BH202">
            <v>590.45007244355793</v>
          </cell>
          <cell r="BI202">
            <v>595.19264330655847</v>
          </cell>
          <cell r="BJ202">
            <v>599.93521416955878</v>
          </cell>
          <cell r="BK202">
            <v>585.7075015805575</v>
          </cell>
          <cell r="BL202">
            <v>590.45007244355793</v>
          </cell>
          <cell r="BM202">
            <v>595.19264330655847</v>
          </cell>
          <cell r="BN202">
            <v>754.06876721707363</v>
          </cell>
        </row>
        <row r="203">
          <cell r="A203" t="str">
            <v xml:space="preserve">      as % avg. IEA</v>
          </cell>
          <cell r="H203">
            <v>0.22705022369048625</v>
          </cell>
          <cell r="I203">
            <v>0.17767155226364328</v>
          </cell>
          <cell r="J203">
            <v>0.18065838994200234</v>
          </cell>
          <cell r="K203">
            <v>0.20403404621440149</v>
          </cell>
          <cell r="L203">
            <v>0.22045629804518035</v>
          </cell>
          <cell r="M203">
            <v>0.21</v>
          </cell>
          <cell r="N203">
            <v>0.21000000000000002</v>
          </cell>
          <cell r="O203">
            <v>0.21000000000000002</v>
          </cell>
          <cell r="P203">
            <v>0.21</v>
          </cell>
          <cell r="Q203">
            <v>0.21</v>
          </cell>
          <cell r="Y203">
            <v>0.21</v>
          </cell>
          <cell r="AE203">
            <v>0.18612002627548649</v>
          </cell>
          <cell r="AF203">
            <v>0.18730513133242233</v>
          </cell>
          <cell r="AG203">
            <v>0.19088447319919208</v>
          </cell>
          <cell r="AH203">
            <v>0.21797791080514689</v>
          </cell>
          <cell r="AI203">
            <v>0.16521480712007197</v>
          </cell>
          <cell r="AJ203">
            <v>0.16131009724312503</v>
          </cell>
          <cell r="AK203">
            <v>0.18244135539345419</v>
          </cell>
          <cell r="AL203">
            <v>0.18655163474800746</v>
          </cell>
          <cell r="AM203">
            <v>0.20158889321833359</v>
          </cell>
          <cell r="AN203">
            <v>0.2022229231102193</v>
          </cell>
          <cell r="AO203">
            <v>0.18926801532817616</v>
          </cell>
          <cell r="AP203">
            <v>0.21425243378647418</v>
          </cell>
          <cell r="AQ203">
            <v>0.21312019890756964</v>
          </cell>
          <cell r="AR203">
            <v>0.2175777082348464</v>
          </cell>
          <cell r="AS203">
            <v>0.21637353945113608</v>
          </cell>
          <cell r="AT203">
            <v>0.21840540054168248</v>
          </cell>
          <cell r="AU203">
            <v>0.21408742322326269</v>
          </cell>
          <cell r="AV203">
            <v>0.21493045758257787</v>
          </cell>
          <cell r="AW203">
            <v>0.20991688682448262</v>
          </cell>
          <cell r="AX203">
            <v>0.20982366536162153</v>
          </cell>
          <cell r="AY203">
            <v>0.21249656540607564</v>
          </cell>
          <cell r="AZ203">
            <v>0.21250450184501846</v>
          </cell>
          <cell r="BA203">
            <v>0.21167285323609847</v>
          </cell>
          <cell r="BB203">
            <v>0.20841973285841484</v>
          </cell>
          <cell r="BC203">
            <v>0.21249656540607559</v>
          </cell>
          <cell r="BD203">
            <v>0.21250450184501846</v>
          </cell>
          <cell r="BE203">
            <v>0.21167285323609844</v>
          </cell>
          <cell r="BF203">
            <v>0.208419732858415</v>
          </cell>
          <cell r="BG203">
            <v>0.21249656540607564</v>
          </cell>
          <cell r="BH203">
            <v>0.21250450184501843</v>
          </cell>
          <cell r="BI203">
            <v>0.21167285323609847</v>
          </cell>
          <cell r="BJ203">
            <v>0.20841973285841489</v>
          </cell>
          <cell r="BK203">
            <v>0.19952729146110387</v>
          </cell>
          <cell r="BL203">
            <v>0.19953474351644923</v>
          </cell>
          <cell r="BM203">
            <v>0.19875385280384833</v>
          </cell>
          <cell r="BN203">
            <v>0.24597775074310499</v>
          </cell>
        </row>
        <row r="204">
          <cell r="A204" t="str">
            <v xml:space="preserve">   Interest expenses</v>
          </cell>
          <cell r="H204">
            <v>866.915562271</v>
          </cell>
          <cell r="I204">
            <v>1105.1195764879999</v>
          </cell>
          <cell r="J204">
            <v>736.30000774400003</v>
          </cell>
          <cell r="K204">
            <v>397.85756054400002</v>
          </cell>
          <cell r="L204">
            <v>325.96956768000001</v>
          </cell>
          <cell r="M204">
            <v>289.85391110095031</v>
          </cell>
          <cell r="N204">
            <v>253.04702608068973</v>
          </cell>
          <cell r="O204">
            <v>225.34213532191575</v>
          </cell>
          <cell r="P204">
            <v>208.5384460008105</v>
          </cell>
          <cell r="Q204">
            <v>195.243544779427</v>
          </cell>
          <cell r="AE204">
            <v>249.00295505400001</v>
          </cell>
          <cell r="AF204">
            <v>236.96825849500001</v>
          </cell>
          <cell r="AG204">
            <v>223.29431754400002</v>
          </cell>
          <cell r="AH204">
            <v>395.85404539499984</v>
          </cell>
          <cell r="AI204">
            <v>208.002661128</v>
          </cell>
          <cell r="AJ204">
            <v>196.129032994</v>
          </cell>
          <cell r="AK204">
            <v>175.79993669013913</v>
          </cell>
          <cell r="AL204">
            <v>156.36837693186089</v>
          </cell>
          <cell r="AM204">
            <v>115.494934122</v>
          </cell>
          <cell r="AN204">
            <v>97.64647944299999</v>
          </cell>
          <cell r="AO204">
            <v>92.43674818400001</v>
          </cell>
          <cell r="AP204">
            <v>92.27939879500002</v>
          </cell>
          <cell r="AQ204">
            <v>85.181193883000006</v>
          </cell>
          <cell r="AR204">
            <v>84.134670326000006</v>
          </cell>
          <cell r="AS204">
            <v>81.004171665000001</v>
          </cell>
          <cell r="AT204">
            <v>75.649531805999999</v>
          </cell>
          <cell r="AU204">
            <v>67.763388223999996</v>
          </cell>
          <cell r="AV204">
            <v>72.17362386413663</v>
          </cell>
          <cell r="AW204">
            <v>72.753331686338527</v>
          </cell>
          <cell r="AX204">
            <v>77.163567326475174</v>
          </cell>
          <cell r="AY204">
            <v>62.502615441930367</v>
          </cell>
          <cell r="AZ204">
            <v>63.008709494091747</v>
          </cell>
          <cell r="BA204">
            <v>63.51480354625312</v>
          </cell>
          <cell r="BB204">
            <v>64.020897598414507</v>
          </cell>
          <cell r="BC204">
            <v>55.659507424513187</v>
          </cell>
          <cell r="BD204">
            <v>56.11019169515702</v>
          </cell>
          <cell r="BE204">
            <v>56.560875965800854</v>
          </cell>
          <cell r="BF204">
            <v>57.011560236444694</v>
          </cell>
          <cell r="BG204">
            <v>51.508996162200191</v>
          </cell>
          <cell r="BH204">
            <v>51.926073054201815</v>
          </cell>
          <cell r="BI204">
            <v>52.343149946203432</v>
          </cell>
          <cell r="BJ204">
            <v>52.760226838205057</v>
          </cell>
          <cell r="BK204">
            <v>51.508996162200191</v>
          </cell>
          <cell r="BL204">
            <v>51.926073054201815</v>
          </cell>
          <cell r="BM204">
            <v>52.343149946203432</v>
          </cell>
          <cell r="BN204">
            <v>39.465325616821559</v>
          </cell>
        </row>
        <row r="205">
          <cell r="A205" t="str">
            <v xml:space="preserve">      as % avg. IBL</v>
          </cell>
          <cell r="H205">
            <v>5.6177985287326579E-2</v>
          </cell>
          <cell r="I205">
            <v>7.9311109461876264E-2</v>
          </cell>
          <cell r="J205">
            <v>7.2979587243164806E-2</v>
          </cell>
          <cell r="K205">
            <v>5.7595838866865028E-2</v>
          </cell>
          <cell r="L205">
            <v>5.8157802030175891E-2</v>
          </cell>
          <cell r="M205">
            <v>0.06</v>
          </cell>
          <cell r="N205">
            <v>0.06</v>
          </cell>
          <cell r="O205">
            <v>0.06</v>
          </cell>
          <cell r="P205">
            <v>0.06</v>
          </cell>
          <cell r="Q205">
            <v>0.06</v>
          </cell>
          <cell r="Y205">
            <v>0.06</v>
          </cell>
          <cell r="AE205">
            <v>6.1753793451808668E-2</v>
          </cell>
          <cell r="AF205">
            <v>6.072926411256354E-2</v>
          </cell>
          <cell r="AG205">
            <v>6.6072988004755473E-2</v>
          </cell>
          <cell r="AH205">
            <v>0.126259039716307</v>
          </cell>
          <cell r="AI205">
            <v>7.0605006094768691E-2</v>
          </cell>
          <cell r="AJ205">
            <v>7.2582100150105355E-2</v>
          </cell>
          <cell r="AK205">
            <v>7.019287054387896E-2</v>
          </cell>
          <cell r="AL205">
            <v>7.2340851145758417E-2</v>
          </cell>
          <cell r="AM205">
            <v>6.4785369086131167E-2</v>
          </cell>
          <cell r="AN205">
            <v>6.0116469684230976E-2</v>
          </cell>
          <cell r="AO205">
            <v>5.8688587040613263E-2</v>
          </cell>
          <cell r="AP205">
            <v>6.0513028411718885E-2</v>
          </cell>
          <cell r="AQ205">
            <v>5.6492025634066835E-2</v>
          </cell>
          <cell r="AR205">
            <v>5.7975621838722027E-2</v>
          </cell>
          <cell r="AS205">
            <v>5.7881392224783786E-2</v>
          </cell>
          <cell r="AT205">
            <v>5.6499375414224291E-2</v>
          </cell>
          <cell r="AU205">
            <v>5.6311322413104464E-2</v>
          </cell>
          <cell r="AV205">
            <v>5.9903976199247852E-2</v>
          </cell>
          <cell r="AW205">
            <v>5.8292908508003526E-2</v>
          </cell>
          <cell r="AX205">
            <v>6.5935588060059627E-2</v>
          </cell>
          <cell r="AY205">
            <v>5.6200347935673883E-2</v>
          </cell>
          <cell r="AZ205">
            <v>5.7653801316625092E-2</v>
          </cell>
          <cell r="BA205">
            <v>5.9694809886271426E-2</v>
          </cell>
          <cell r="BB205">
            <v>6.3625442034658641E-2</v>
          </cell>
          <cell r="BC205">
            <v>5.7515732254367895E-2</v>
          </cell>
          <cell r="BD205">
            <v>5.8562417128935618E-2</v>
          </cell>
          <cell r="BE205">
            <v>5.9933594247849602E-2</v>
          </cell>
          <cell r="BF205">
            <v>6.2312847478950065E-2</v>
          </cell>
          <cell r="BG205">
            <v>5.7705361821958664E-2</v>
          </cell>
          <cell r="BH205">
            <v>5.8692287358706373E-2</v>
          </cell>
          <cell r="BI205">
            <v>5.9967273298392305E-2</v>
          </cell>
          <cell r="BJ205">
            <v>6.2132878567001969E-2</v>
          </cell>
          <cell r="BK205">
            <v>6.1958188787983794E-2</v>
          </cell>
          <cell r="BL205">
            <v>6.2909771604299461E-2</v>
          </cell>
          <cell r="BM205">
            <v>6.4107720688814596E-2</v>
          </cell>
          <cell r="BN205">
            <v>4.9414962856525281E-2</v>
          </cell>
        </row>
        <row r="206">
          <cell r="A206" t="str">
            <v>Non-interest come</v>
          </cell>
          <cell r="H206">
            <v>2297.9093930089998</v>
          </cell>
          <cell r="I206">
            <v>1991.957956195</v>
          </cell>
          <cell r="J206">
            <v>1599.7199363279999</v>
          </cell>
          <cell r="K206">
            <v>1072.9815708220001</v>
          </cell>
          <cell r="L206">
            <v>791.03798613399999</v>
          </cell>
          <cell r="M206">
            <v>738.99839488135808</v>
          </cell>
          <cell r="N206">
            <v>787.03329054864639</v>
          </cell>
          <cell r="O206">
            <v>838.19045443430844</v>
          </cell>
          <cell r="P206">
            <v>892.67283397253834</v>
          </cell>
          <cell r="Q206">
            <v>950.69656818075339</v>
          </cell>
          <cell r="AE206">
            <v>713.40941460299996</v>
          </cell>
          <cell r="AF206">
            <v>627.20598010085746</v>
          </cell>
          <cell r="AG206">
            <v>716.66275941714275</v>
          </cell>
          <cell r="AH206">
            <v>-65.320197926000219</v>
          </cell>
          <cell r="AI206">
            <v>619.4208758929999</v>
          </cell>
          <cell r="AJ206">
            <v>230.53852275400021</v>
          </cell>
          <cell r="AK206">
            <v>324.81799588599995</v>
          </cell>
          <cell r="AL206">
            <v>424.9425417949999</v>
          </cell>
          <cell r="AM206">
            <v>303.63055854599997</v>
          </cell>
          <cell r="AN206">
            <v>257.20639579700014</v>
          </cell>
          <cell r="AO206">
            <v>259.75875888099972</v>
          </cell>
          <cell r="AP206">
            <v>252.38585759800026</v>
          </cell>
          <cell r="AQ206">
            <v>225.3485088330001</v>
          </cell>
          <cell r="AR206">
            <v>214.42039327399993</v>
          </cell>
          <cell r="AS206">
            <v>187.69133007400001</v>
          </cell>
          <cell r="AT206">
            <v>163.57775395299996</v>
          </cell>
          <cell r="AU206">
            <v>153.14711594400006</v>
          </cell>
          <cell r="AV206">
            <v>184.01060032545817</v>
          </cell>
          <cell r="AW206">
            <v>185.48859711522087</v>
          </cell>
          <cell r="AX206">
            <v>216.35208149667903</v>
          </cell>
          <cell r="AY206">
            <v>194.39722276551566</v>
          </cell>
          <cell r="AZ206">
            <v>195.97128934661296</v>
          </cell>
          <cell r="BA206">
            <v>197.54535592771023</v>
          </cell>
          <cell r="BB206">
            <v>199.11942250880747</v>
          </cell>
          <cell r="BC206">
            <v>207.03304224527417</v>
          </cell>
          <cell r="BD206">
            <v>208.7094231541428</v>
          </cell>
          <cell r="BE206">
            <v>210.38580406301142</v>
          </cell>
          <cell r="BF206">
            <v>212.06218497188001</v>
          </cell>
          <cell r="BG206">
            <v>220.49018999121697</v>
          </cell>
          <cell r="BH206">
            <v>222.27553565916205</v>
          </cell>
          <cell r="BI206">
            <v>224.06088132710713</v>
          </cell>
          <cell r="BJ206">
            <v>225.84622699505223</v>
          </cell>
          <cell r="BK206">
            <v>220.49018999121697</v>
          </cell>
          <cell r="BL206">
            <v>222.27553565916205</v>
          </cell>
          <cell r="BM206">
            <v>224.06088132710713</v>
          </cell>
          <cell r="BN206">
            <v>283.86996120326728</v>
          </cell>
        </row>
        <row r="207">
          <cell r="A207" t="str">
            <v xml:space="preserve">   as % of managed IEA</v>
          </cell>
          <cell r="H207">
            <v>7.1919115478159892E-2</v>
          </cell>
          <cell r="I207">
            <v>7.2869386517514068E-2</v>
          </cell>
          <cell r="J207">
            <v>9.6019454596791232E-2</v>
          </cell>
          <cell r="K207">
            <v>9.155969102198995E-2</v>
          </cell>
          <cell r="L207">
            <v>6.8265792488894542E-2</v>
          </cell>
          <cell r="M207">
            <v>0.06</v>
          </cell>
          <cell r="N207">
            <v>0.06</v>
          </cell>
          <cell r="O207">
            <v>0.06</v>
          </cell>
          <cell r="P207">
            <v>0.06</v>
          </cell>
          <cell r="Q207">
            <v>0.06</v>
          </cell>
          <cell r="Y207">
            <v>0.06</v>
          </cell>
          <cell r="AE207">
            <v>8.5074431557363869E-2</v>
          </cell>
          <cell r="AF207">
            <v>8.3442830169536436E-2</v>
          </cell>
          <cell r="AG207">
            <v>0.10878693949829832</v>
          </cell>
          <cell r="AH207">
            <v>-1.1361994634585841E-2</v>
          </cell>
          <cell r="AI207">
            <v>0.1283408532185073</v>
          </cell>
          <cell r="AJ207">
            <v>5.6107330506768034E-2</v>
          </cell>
          <cell r="AK207">
            <v>8.8936549159256903E-2</v>
          </cell>
          <cell r="AL207">
            <v>0.13064973579600175</v>
          </cell>
          <cell r="AM207">
            <v>0.10472758586571955</v>
          </cell>
          <cell r="AN207">
            <v>9.4760641851280983E-2</v>
          </cell>
          <cell r="AO207">
            <v>9.7073756048510901E-2</v>
          </cell>
          <cell r="AP207">
            <v>9.202103672588334E-2</v>
          </cell>
          <cell r="AQ207">
            <v>7.8836678694888751E-2</v>
          </cell>
          <cell r="AR207">
            <v>7.3025522661411046E-2</v>
          </cell>
          <cell r="AS207">
            <v>6.2829283147132181E-2</v>
          </cell>
          <cell r="AT207">
            <v>5.4619898726555309E-2</v>
          </cell>
          <cell r="AU207">
            <v>5.1866462756149173E-2</v>
          </cell>
          <cell r="AV207">
            <v>6.1442007858431395E-2</v>
          </cell>
          <cell r="AW207">
            <v>5.9952637850387167E-2</v>
          </cell>
          <cell r="AX207">
            <v>6.8711672247540601E-2</v>
          </cell>
          <cell r="AY207">
            <v>6.0713304401735897E-2</v>
          </cell>
          <cell r="AZ207">
            <v>6.0715571955719555E-2</v>
          </cell>
          <cell r="BA207">
            <v>6.0477958067456691E-2</v>
          </cell>
          <cell r="BB207">
            <v>5.9548495102404252E-2</v>
          </cell>
          <cell r="BC207">
            <v>6.0713304401735897E-2</v>
          </cell>
          <cell r="BD207">
            <v>6.0715571955719555E-2</v>
          </cell>
          <cell r="BE207">
            <v>6.0477958067456698E-2</v>
          </cell>
          <cell r="BF207">
            <v>5.9548495102404272E-2</v>
          </cell>
          <cell r="BG207">
            <v>6.0713304401735883E-2</v>
          </cell>
          <cell r="BH207">
            <v>6.0715571955719555E-2</v>
          </cell>
          <cell r="BI207">
            <v>6.0477958067456691E-2</v>
          </cell>
          <cell r="BJ207">
            <v>5.9548495102404286E-2</v>
          </cell>
          <cell r="BK207">
            <v>5.7007797560315383E-2</v>
          </cell>
          <cell r="BL207">
            <v>5.7009926718985492E-2</v>
          </cell>
          <cell r="BM207">
            <v>5.6786815086813804E-2</v>
          </cell>
          <cell r="BN207">
            <v>7.0279357355172906E-2</v>
          </cell>
        </row>
        <row r="209">
          <cell r="A209" t="str">
            <v>LLPE</v>
          </cell>
          <cell r="H209">
            <v>2697.4574824249999</v>
          </cell>
          <cell r="I209">
            <v>7134.3511772840002</v>
          </cell>
          <cell r="J209">
            <v>2580.442989316</v>
          </cell>
          <cell r="K209">
            <v>125.259430991</v>
          </cell>
          <cell r="L209">
            <v>118.966112426406</v>
          </cell>
          <cell r="M209">
            <v>307.91599786723259</v>
          </cell>
          <cell r="N209">
            <v>459.1027528200438</v>
          </cell>
          <cell r="O209">
            <v>488.94443175334663</v>
          </cell>
          <cell r="P209">
            <v>595.11522264835889</v>
          </cell>
          <cell r="Q209">
            <v>633.7977121205023</v>
          </cell>
          <cell r="AE209">
            <v>1108.4421188660001</v>
          </cell>
          <cell r="AF209">
            <v>993.23341886000003</v>
          </cell>
          <cell r="AG209">
            <v>807.68133218999992</v>
          </cell>
          <cell r="AH209">
            <v>4224.9943073680006</v>
          </cell>
          <cell r="AI209">
            <v>1259.2513831450001</v>
          </cell>
          <cell r="AJ209">
            <v>700.84298572900002</v>
          </cell>
          <cell r="AK209">
            <v>465.05056284299985</v>
          </cell>
          <cell r="AL209">
            <v>155.298057599</v>
          </cell>
          <cell r="AM209">
            <v>94.592368898999993</v>
          </cell>
          <cell r="AN209">
            <v>-3.2828218049999975</v>
          </cell>
          <cell r="AO209">
            <v>-22.769618886663352</v>
          </cell>
          <cell r="AP209">
            <v>56.719502783663359</v>
          </cell>
          <cell r="AQ209">
            <v>-18.211236221</v>
          </cell>
          <cell r="AR209">
            <v>70.375085078313106</v>
          </cell>
          <cell r="AS209">
            <v>61.564521177686885</v>
          </cell>
          <cell r="AT209">
            <v>5.2377423914060017</v>
          </cell>
          <cell r="AU209">
            <v>0</v>
          </cell>
          <cell r="AV209">
            <v>76.671083468940921</v>
          </cell>
          <cell r="AW209">
            <v>77.286915464675374</v>
          </cell>
          <cell r="AX209">
            <v>153.9579989336163</v>
          </cell>
          <cell r="AY209">
            <v>113.39837994655082</v>
          </cell>
          <cell r="AZ209">
            <v>114.31658545219091</v>
          </cell>
          <cell r="BA209">
            <v>115.234790957831</v>
          </cell>
          <cell r="BB209">
            <v>116.15299646347108</v>
          </cell>
          <cell r="BC209">
            <v>120.76927464307661</v>
          </cell>
          <cell r="BD209">
            <v>121.74716350658331</v>
          </cell>
          <cell r="BE209">
            <v>122.72505237009001</v>
          </cell>
          <cell r="BF209">
            <v>123.70294123359673</v>
          </cell>
          <cell r="BG209">
            <v>146.99345999414464</v>
          </cell>
          <cell r="BH209">
            <v>148.18369043944136</v>
          </cell>
          <cell r="BI209">
            <v>149.37392088473808</v>
          </cell>
          <cell r="BJ209">
            <v>150.5641513300348</v>
          </cell>
          <cell r="BK209">
            <v>146.99345999414464</v>
          </cell>
          <cell r="BL209">
            <v>148.18369043944136</v>
          </cell>
          <cell r="BM209">
            <v>149.37392088473808</v>
          </cell>
          <cell r="BN209">
            <v>189.24664080217821</v>
          </cell>
        </row>
        <row r="210">
          <cell r="A210" t="str">
            <v xml:space="preserve">   as % of avg. IEA (managed)</v>
          </cell>
          <cell r="H210">
            <v>8.4424023317089175E-2</v>
          </cell>
          <cell r="I210">
            <v>0.26098733252495254</v>
          </cell>
          <cell r="J210">
            <v>0.15488506633290694</v>
          </cell>
          <cell r="K210">
            <v>1.0688640989742414E-2</v>
          </cell>
          <cell r="L210">
            <v>1.0266657336902905E-2</v>
          </cell>
          <cell r="M210">
            <v>2.5000000000000001E-2</v>
          </cell>
          <cell r="N210">
            <v>3.5000000000000003E-2</v>
          </cell>
          <cell r="O210">
            <v>3.5000000000000003E-2</v>
          </cell>
          <cell r="P210">
            <v>0.04</v>
          </cell>
          <cell r="Q210">
            <v>0.04</v>
          </cell>
          <cell r="AE210">
            <v>0.13218228025381651</v>
          </cell>
          <cell r="AF210">
            <v>0.13213873929473033</v>
          </cell>
          <cell r="AG210">
            <v>0.12260324547953169</v>
          </cell>
          <cell r="AH210">
            <v>0.73490840774631461</v>
          </cell>
          <cell r="AI210">
            <v>0.26091047818887558</v>
          </cell>
          <cell r="AJ210">
            <v>0.17056771494804249</v>
          </cell>
          <cell r="AK210">
            <v>0.12733282258887682</v>
          </cell>
          <cell r="AL210">
            <v>4.7746808566720804E-2</v>
          </cell>
          <cell r="AM210">
            <v>3.2626592275661934E-2</v>
          </cell>
          <cell r="AN210">
            <v>-1.2094656525209503E-3</v>
          </cell>
          <cell r="AO210">
            <v>-8.509173814362574E-3</v>
          </cell>
          <cell r="AP210">
            <v>2.0680189842660516E-2</v>
          </cell>
          <cell r="AQ210">
            <v>-6.3710800041533308E-3</v>
          </cell>
          <cell r="AR210">
            <v>2.3967763941268021E-2</v>
          </cell>
          <cell r="AS210">
            <v>2.0608595673361516E-2</v>
          </cell>
          <cell r="AT210">
            <v>1.7489233839008507E-3</v>
          </cell>
          <cell r="AU210">
            <v>0</v>
          </cell>
          <cell r="AV210">
            <v>2.5600836607679752E-2</v>
          </cell>
          <cell r="AW210">
            <v>2.4980265770994659E-2</v>
          </cell>
          <cell r="AX210">
            <v>4.889581597474129E-2</v>
          </cell>
          <cell r="AY210">
            <v>3.5416094234345948E-2</v>
          </cell>
          <cell r="AZ210">
            <v>3.5417416974169745E-2</v>
          </cell>
          <cell r="BA210">
            <v>3.527880887268308E-2</v>
          </cell>
          <cell r="BB210">
            <v>3.4736622143069162E-2</v>
          </cell>
          <cell r="BC210">
            <v>3.5416094234345941E-2</v>
          </cell>
          <cell r="BD210">
            <v>3.5417416974169745E-2</v>
          </cell>
          <cell r="BE210">
            <v>3.527880887268308E-2</v>
          </cell>
          <cell r="BF210">
            <v>3.4736622143069176E-2</v>
          </cell>
          <cell r="BG210">
            <v>4.0475536267823922E-2</v>
          </cell>
          <cell r="BH210">
            <v>4.0477047970479706E-2</v>
          </cell>
          <cell r="BI210">
            <v>4.0318638711637794E-2</v>
          </cell>
          <cell r="BJ210">
            <v>3.9698996734936182E-2</v>
          </cell>
          <cell r="BK210">
            <v>3.8005198373543589E-2</v>
          </cell>
          <cell r="BL210">
            <v>3.8006617812656997E-2</v>
          </cell>
          <cell r="BM210">
            <v>3.7857876724542536E-2</v>
          </cell>
          <cell r="BN210">
            <v>4.6852904903448608E-2</v>
          </cell>
        </row>
        <row r="211">
          <cell r="A211" t="str">
            <v>SG&amp;A</v>
          </cell>
          <cell r="H211">
            <v>1572.7030613300001</v>
          </cell>
          <cell r="I211">
            <v>1487.887994987</v>
          </cell>
          <cell r="J211">
            <v>962.40876749100005</v>
          </cell>
          <cell r="K211">
            <v>958.16102434000004</v>
          </cell>
          <cell r="L211">
            <v>1067.2796224450001</v>
          </cell>
          <cell r="M211">
            <v>1061.3728288475454</v>
          </cell>
          <cell r="N211">
            <v>1154.8469139890378</v>
          </cell>
          <cell r="O211">
            <v>1249.3392602780939</v>
          </cell>
          <cell r="P211">
            <v>1344.3847205676627</v>
          </cell>
          <cell r="Q211">
            <v>1443.5836834975926</v>
          </cell>
          <cell r="AE211">
            <v>405.871199827</v>
          </cell>
          <cell r="AF211">
            <v>373.778735713</v>
          </cell>
          <cell r="AG211">
            <v>418.67741759500007</v>
          </cell>
          <cell r="AH211">
            <v>289.56064185199989</v>
          </cell>
          <cell r="AI211">
            <v>270.604175897</v>
          </cell>
          <cell r="AJ211">
            <v>202.83104562599999</v>
          </cell>
          <cell r="AK211">
            <v>216.70346819079066</v>
          </cell>
          <cell r="AL211">
            <v>272.27007777720939</v>
          </cell>
          <cell r="AM211">
            <v>199.066259487</v>
          </cell>
          <cell r="AN211">
            <v>221.41770476600001</v>
          </cell>
          <cell r="AO211">
            <v>227.65076381099999</v>
          </cell>
          <cell r="AP211">
            <v>310.02629627600004</v>
          </cell>
          <cell r="AQ211">
            <v>268.18454932399999</v>
          </cell>
          <cell r="AR211">
            <v>252.00485637200001</v>
          </cell>
          <cell r="AS211">
            <v>244.70481103715019</v>
          </cell>
          <cell r="AT211">
            <v>302.3854057118499</v>
          </cell>
          <cell r="AU211">
            <v>263.67490581499999</v>
          </cell>
          <cell r="AV211">
            <v>264.28183438303881</v>
          </cell>
          <cell r="AW211">
            <v>266.40458004073389</v>
          </cell>
          <cell r="AX211">
            <v>267.01150860877271</v>
          </cell>
          <cell r="AY211">
            <v>285.24718775529232</v>
          </cell>
          <cell r="AZ211">
            <v>287.55688158327041</v>
          </cell>
          <cell r="BA211">
            <v>289.8665754112485</v>
          </cell>
          <cell r="BB211">
            <v>292.1762692392266</v>
          </cell>
          <cell r="BC211">
            <v>308.58679728868918</v>
          </cell>
          <cell r="BD211">
            <v>311.08547580924539</v>
          </cell>
          <cell r="BE211">
            <v>313.58415432980155</v>
          </cell>
          <cell r="BF211">
            <v>316.08283285035782</v>
          </cell>
          <cell r="BG211">
            <v>332.06302598021267</v>
          </cell>
          <cell r="BH211">
            <v>334.75179542134799</v>
          </cell>
          <cell r="BI211">
            <v>337.44056486248337</v>
          </cell>
          <cell r="BJ211">
            <v>340.12933430361863</v>
          </cell>
          <cell r="BK211">
            <v>332.06302598021267</v>
          </cell>
          <cell r="BL211">
            <v>334.75179542134799</v>
          </cell>
          <cell r="BM211">
            <v>337.44056486248337</v>
          </cell>
          <cell r="BN211">
            <v>439.32829723354848</v>
          </cell>
        </row>
        <row r="212">
          <cell r="A212" t="str">
            <v xml:space="preserve">   Cost / income ratio</v>
          </cell>
          <cell r="H212">
            <v>0.33010588551853004</v>
          </cell>
          <cell r="I212">
            <v>0.45258744063120981</v>
          </cell>
          <cell r="J212">
            <v>0.35698072079105975</v>
          </cell>
          <cell r="K212">
            <v>0.41090084778078129</v>
          </cell>
          <cell r="L212">
            <v>0.44892195183721834</v>
          </cell>
          <cell r="M212">
            <v>0.43999999999999995</v>
          </cell>
          <cell r="N212">
            <v>0.44</v>
          </cell>
          <cell r="O212">
            <v>0.44000000000000006</v>
          </cell>
          <cell r="P212">
            <v>0.44</v>
          </cell>
          <cell r="Q212">
            <v>0.44</v>
          </cell>
          <cell r="Y212">
            <v>0.44</v>
          </cell>
          <cell r="AE212">
            <v>0.35690433515908926</v>
          </cell>
          <cell r="AF212">
            <v>0.3751165028126538</v>
          </cell>
          <cell r="AG212">
            <v>0.41524226038925455</v>
          </cell>
          <cell r="AH212">
            <v>1.9886074892532044</v>
          </cell>
          <cell r="AI212">
            <v>0.2961320787465509</v>
          </cell>
          <cell r="AJ212">
            <v>0.41774096580191006</v>
          </cell>
          <cell r="AK212">
            <v>0.35418025836714101</v>
          </cell>
          <cell r="AL212">
            <v>0.39759926871011558</v>
          </cell>
          <cell r="AM212">
            <v>0.3394733884094352</v>
          </cell>
          <cell r="AN212">
            <v>0.38634682277248034</v>
          </cell>
          <cell r="AO212">
            <v>0.40207544578365928</v>
          </cell>
          <cell r="AP212">
            <v>0.51145773223084878</v>
          </cell>
          <cell r="AQ212">
            <v>0.45292631503230657</v>
          </cell>
          <cell r="AR212">
            <v>0.41403323686221438</v>
          </cell>
          <cell r="AS212">
            <v>0.41224680028060384</v>
          </cell>
          <cell r="AT212">
            <v>0.51861250602071385</v>
          </cell>
          <cell r="AU212">
            <v>0.46622432036644507</v>
          </cell>
          <cell r="AV212">
            <v>0.43999999999999995</v>
          </cell>
          <cell r="AW212">
            <v>0.43999999999999989</v>
          </cell>
          <cell r="AX212">
            <v>0.4168461138602863</v>
          </cell>
          <cell r="AY212">
            <v>0.43999999999999989</v>
          </cell>
          <cell r="AZ212">
            <v>0.43999999999999995</v>
          </cell>
          <cell r="BA212">
            <v>0.43999999999999995</v>
          </cell>
          <cell r="BB212">
            <v>0.44000000000000022</v>
          </cell>
          <cell r="BC212">
            <v>0.44000000000000011</v>
          </cell>
          <cell r="BD212">
            <v>0.44000000000000006</v>
          </cell>
          <cell r="BE212">
            <v>0.44000000000000006</v>
          </cell>
          <cell r="BF212">
            <v>0.44000000000000006</v>
          </cell>
          <cell r="BG212">
            <v>0.44</v>
          </cell>
          <cell r="BH212">
            <v>0.43999999999999995</v>
          </cell>
          <cell r="BI212">
            <v>0.44</v>
          </cell>
          <cell r="BJ212">
            <v>0.44000000000000006</v>
          </cell>
          <cell r="BK212">
            <v>0.44</v>
          </cell>
          <cell r="BL212">
            <v>0.43999999999999995</v>
          </cell>
          <cell r="BM212">
            <v>0.44</v>
          </cell>
          <cell r="BN212">
            <v>0.44</v>
          </cell>
        </row>
        <row r="213">
          <cell r="H213">
            <v>0</v>
          </cell>
          <cell r="I213">
            <v>0</v>
          </cell>
          <cell r="J213">
            <v>0</v>
          </cell>
          <cell r="K213">
            <v>4.0431524547803618E-2</v>
          </cell>
        </row>
        <row r="214">
          <cell r="A214" t="str">
            <v>Op profits</v>
          </cell>
          <cell r="H214">
            <v>494.07763048899938</v>
          </cell>
          <cell r="I214">
            <v>-5334.7241830970006</v>
          </cell>
          <cell r="J214">
            <v>-846.88328725400049</v>
          </cell>
          <cell r="K214">
            <v>1248.434125926</v>
          </cell>
          <cell r="L214">
            <v>1191.1822747795939</v>
          </cell>
          <cell r="M214">
            <v>1042.9221479387347</v>
          </cell>
          <cell r="N214">
            <v>1010.7024104387317</v>
          </cell>
          <cell r="O214">
            <v>1101.1237176914999</v>
          </cell>
          <cell r="P214">
            <v>1115.9198762559392</v>
          </cell>
          <cell r="Q214">
            <v>1203.4906123309793</v>
          </cell>
          <cell r="AE214">
            <v>-377.11446778500016</v>
          </cell>
          <cell r="AF214">
            <v>-370.57842555714257</v>
          </cell>
          <cell r="AG214">
            <v>-218.08609178885729</v>
          </cell>
          <cell r="AH214">
            <v>-4368.9451979660007</v>
          </cell>
          <cell r="AI214">
            <v>-616.06000861600023</v>
          </cell>
          <cell r="AJ214">
            <v>-418.13140510899973</v>
          </cell>
          <cell r="AK214">
            <v>-69.908895480929687</v>
          </cell>
          <cell r="AL214">
            <v>257.21702195192927</v>
          </cell>
          <cell r="AM214">
            <v>292.73861594499988</v>
          </cell>
          <cell r="AN214">
            <v>354.97117541700015</v>
          </cell>
          <cell r="AO214">
            <v>361.30802727766292</v>
          </cell>
          <cell r="AP214">
            <v>239.41630728633709</v>
          </cell>
          <cell r="AQ214">
            <v>342.14187301700014</v>
          </cell>
          <cell r="AR214">
            <v>286.2785765996868</v>
          </cell>
          <cell r="AS214">
            <v>287.31880690616299</v>
          </cell>
          <cell r="AT214">
            <v>275.44301825674393</v>
          </cell>
          <cell r="AU214">
            <v>301.87882936500012</v>
          </cell>
          <cell r="AV214">
            <v>259.68761483674496</v>
          </cell>
          <cell r="AW214">
            <v>261.77345913262241</v>
          </cell>
          <cell r="AX214">
            <v>219.58224460436736</v>
          </cell>
          <cell r="AY214">
            <v>249.64349537836688</v>
          </cell>
          <cell r="AZ214">
            <v>251.66490019924424</v>
          </cell>
          <cell r="BA214">
            <v>253.68630502012172</v>
          </cell>
          <cell r="BB214">
            <v>255.70770984099875</v>
          </cell>
          <cell r="BC214">
            <v>271.97755826980034</v>
          </cell>
          <cell r="BD214">
            <v>274.17980570518341</v>
          </cell>
          <cell r="BE214">
            <v>276.38205314056643</v>
          </cell>
          <cell r="BF214">
            <v>278.58430057594956</v>
          </cell>
          <cell r="BG214">
            <v>275.63220943521691</v>
          </cell>
          <cell r="BH214">
            <v>277.86404918772894</v>
          </cell>
          <cell r="BI214">
            <v>280.09588894024068</v>
          </cell>
          <cell r="BJ214">
            <v>282.32772869275254</v>
          </cell>
          <cell r="BK214">
            <v>275.63220943521691</v>
          </cell>
          <cell r="BL214">
            <v>277.86404918772894</v>
          </cell>
          <cell r="BM214">
            <v>280.09588894024068</v>
          </cell>
          <cell r="BN214">
            <v>369.89846476779258</v>
          </cell>
        </row>
        <row r="215">
          <cell r="A215" t="str">
            <v>Net non-op income</v>
          </cell>
          <cell r="H215">
            <v>6.9539340109999443</v>
          </cell>
          <cell r="I215">
            <v>-238.36101234099999</v>
          </cell>
          <cell r="J215">
            <v>53.344025035000001</v>
          </cell>
          <cell r="K215">
            <v>114.639048867</v>
          </cell>
          <cell r="L215">
            <v>-4.4052661692749025E-2</v>
          </cell>
          <cell r="M215">
            <v>127.15864395674907</v>
          </cell>
          <cell r="N215">
            <v>169.84752538423777</v>
          </cell>
          <cell r="O215">
            <v>112.47913377968803</v>
          </cell>
          <cell r="P215">
            <v>115.35299818894123</v>
          </cell>
          <cell r="Q215">
            <v>-1.4604686541645151</v>
          </cell>
          <cell r="AE215">
            <v>-23.53841091</v>
          </cell>
          <cell r="AF215">
            <v>8.2456145539999994</v>
          </cell>
          <cell r="AG215">
            <v>-51.863796805000007</v>
          </cell>
          <cell r="AH215">
            <v>-171.20441918</v>
          </cell>
          <cell r="AI215">
            <v>69.820089715999998</v>
          </cell>
          <cell r="AJ215">
            <v>-63.553354689323101</v>
          </cell>
          <cell r="AK215">
            <v>-21.493838811676895</v>
          </cell>
          <cell r="AL215">
            <v>68.571128819999998</v>
          </cell>
          <cell r="AM215">
            <v>-0.967728959</v>
          </cell>
          <cell r="AN215">
            <v>124.820539842</v>
          </cell>
          <cell r="AO215">
            <v>2.0853736480000009</v>
          </cell>
          <cell r="AP215">
            <v>-11.299135664000005</v>
          </cell>
          <cell r="AQ215">
            <v>11.43453465</v>
          </cell>
          <cell r="AR215">
            <v>0.70938428800000075</v>
          </cell>
          <cell r="AS215">
            <v>18.804677622</v>
          </cell>
          <cell r="AT215">
            <v>-30.992649221692748</v>
          </cell>
          <cell r="AU215">
            <v>43.540123170000001</v>
          </cell>
          <cell r="AV215">
            <v>31.662502345230518</v>
          </cell>
          <cell r="AW215">
            <v>31.916819633144019</v>
          </cell>
          <cell r="AX215">
            <v>20.039198808374536</v>
          </cell>
          <cell r="AY215">
            <v>41.952338769906731</v>
          </cell>
          <cell r="AZ215">
            <v>42.292033820675208</v>
          </cell>
          <cell r="BA215">
            <v>42.631728871443677</v>
          </cell>
          <cell r="BB215">
            <v>42.971423922212153</v>
          </cell>
          <cell r="BC215">
            <v>27.782346043582944</v>
          </cell>
          <cell r="BD215">
            <v>28.00730431114232</v>
          </cell>
          <cell r="BE215">
            <v>28.232262578701693</v>
          </cell>
          <cell r="BF215">
            <v>28.457220846261066</v>
          </cell>
          <cell r="BG215">
            <v>28.492190552668482</v>
          </cell>
          <cell r="BH215">
            <v>28.722896549046364</v>
          </cell>
          <cell r="BI215">
            <v>28.95360254542425</v>
          </cell>
          <cell r="BJ215">
            <v>29.184308541802139</v>
          </cell>
          <cell r="BK215">
            <v>28.492190552668482</v>
          </cell>
          <cell r="BL215">
            <v>28.722896549046364</v>
          </cell>
          <cell r="BM215">
            <v>28.95360254542425</v>
          </cell>
          <cell r="BN215">
            <v>-87.629158301303605</v>
          </cell>
        </row>
        <row r="216">
          <cell r="A216" t="str">
            <v>Pretax profits</v>
          </cell>
          <cell r="H216">
            <v>501.03156449999932</v>
          </cell>
          <cell r="I216">
            <v>-5573.0851954380005</v>
          </cell>
          <cell r="J216">
            <v>-793.53926221900053</v>
          </cell>
          <cell r="K216">
            <v>1363.0731747929999</v>
          </cell>
          <cell r="L216">
            <v>1191.138222117901</v>
          </cell>
          <cell r="M216">
            <v>1170.0807918954838</v>
          </cell>
          <cell r="N216">
            <v>1180.5499358229695</v>
          </cell>
          <cell r="O216">
            <v>1213.6028514711879</v>
          </cell>
          <cell r="P216">
            <v>1231.2728744448805</v>
          </cell>
          <cell r="Q216">
            <v>1202.0301436768148</v>
          </cell>
          <cell r="AE216">
            <v>-400.65287869500014</v>
          </cell>
          <cell r="AF216">
            <v>-362.33281100314258</v>
          </cell>
          <cell r="AG216">
            <v>-269.94988859385728</v>
          </cell>
          <cell r="AH216">
            <v>-4540.1496171460003</v>
          </cell>
          <cell r="AI216">
            <v>-546.23991890000025</v>
          </cell>
          <cell r="AJ216">
            <v>-481.68475979832283</v>
          </cell>
          <cell r="AK216">
            <v>-91.402734292606581</v>
          </cell>
          <cell r="AL216">
            <v>325.78815077192928</v>
          </cell>
          <cell r="AM216">
            <v>291.77088698599988</v>
          </cell>
          <cell r="AN216">
            <v>479.79171525900017</v>
          </cell>
          <cell r="AO216">
            <v>363.39340092566295</v>
          </cell>
          <cell r="AP216">
            <v>228.11717162233708</v>
          </cell>
          <cell r="AQ216">
            <v>353.57640766700013</v>
          </cell>
          <cell r="AR216">
            <v>286.98796088768682</v>
          </cell>
          <cell r="AS216">
            <v>306.12348452816298</v>
          </cell>
          <cell r="AT216">
            <v>244.45036903505118</v>
          </cell>
          <cell r="AU216">
            <v>345.41895253500013</v>
          </cell>
          <cell r="AV216">
            <v>291.35011718197546</v>
          </cell>
          <cell r="AW216">
            <v>293.69027876576644</v>
          </cell>
          <cell r="AX216">
            <v>239.62144341274188</v>
          </cell>
          <cell r="AY216">
            <v>291.59583414827364</v>
          </cell>
          <cell r="AZ216">
            <v>293.95693401991946</v>
          </cell>
          <cell r="BA216">
            <v>296.31803389156539</v>
          </cell>
          <cell r="BB216">
            <v>298.67913376321087</v>
          </cell>
          <cell r="BC216">
            <v>299.75990431338329</v>
          </cell>
          <cell r="BD216">
            <v>302.18711001632573</v>
          </cell>
          <cell r="BE216">
            <v>304.61431571926812</v>
          </cell>
          <cell r="BF216">
            <v>307.04152142221062</v>
          </cell>
          <cell r="BG216">
            <v>304.1243999878854</v>
          </cell>
          <cell r="BH216">
            <v>306.58694573677531</v>
          </cell>
          <cell r="BI216">
            <v>309.04949148566493</v>
          </cell>
          <cell r="BJ216">
            <v>311.51203723455467</v>
          </cell>
          <cell r="BK216">
            <v>304.1243999878854</v>
          </cell>
          <cell r="BL216">
            <v>306.58694573677531</v>
          </cell>
          <cell r="BM216">
            <v>309.04949148566493</v>
          </cell>
          <cell r="BN216">
            <v>282.26930646648896</v>
          </cell>
        </row>
        <row r="217">
          <cell r="A217" t="str">
            <v xml:space="preserve">   Income taxes</v>
          </cell>
          <cell r="H217">
            <v>150.63719141000001</v>
          </cell>
          <cell r="I217">
            <v>0</v>
          </cell>
          <cell r="J217">
            <v>0</v>
          </cell>
          <cell r="K217">
            <v>0</v>
          </cell>
          <cell r="L217">
            <v>-2.5410259009999998</v>
          </cell>
          <cell r="M217">
            <v>0</v>
          </cell>
          <cell r="N217">
            <v>0</v>
          </cell>
          <cell r="O217">
            <v>305.56319250068691</v>
          </cell>
          <cell r="P217">
            <v>338.60004047234219</v>
          </cell>
          <cell r="Q217">
            <v>330.55828951112409</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-2.5410259009999998</v>
          </cell>
          <cell r="AT217">
            <v>0</v>
          </cell>
          <cell r="AU217">
            <v>-519.98051612200004</v>
          </cell>
          <cell r="AV217">
            <v>0</v>
          </cell>
          <cell r="AW217">
            <v>0</v>
          </cell>
          <cell r="AX217">
            <v>519.98051612200004</v>
          </cell>
          <cell r="AY217">
            <v>0</v>
          </cell>
          <cell r="AZ217">
            <v>0</v>
          </cell>
          <cell r="BA217">
            <v>0</v>
          </cell>
          <cell r="BB217">
            <v>0</v>
          </cell>
          <cell r="BC217">
            <v>43.568330025642766</v>
          </cell>
          <cell r="BD217">
            <v>83.101455254489579</v>
          </cell>
          <cell r="BE217">
            <v>83.768936822798736</v>
          </cell>
          <cell r="BF217">
            <v>95.124470397755829</v>
          </cell>
          <cell r="BG217">
            <v>83.634209996668488</v>
          </cell>
          <cell r="BH217">
            <v>84.311410077613218</v>
          </cell>
          <cell r="BI217">
            <v>84.988610158557861</v>
          </cell>
          <cell r="BJ217">
            <v>85.665810239502633</v>
          </cell>
          <cell r="BK217">
            <v>83.634209996668488</v>
          </cell>
          <cell r="BL217">
            <v>84.311410077613218</v>
          </cell>
          <cell r="BM217">
            <v>84.988610158557861</v>
          </cell>
          <cell r="BN217">
            <v>77.624059278284534</v>
          </cell>
        </row>
        <row r="218">
          <cell r="A218" t="str">
            <v xml:space="preserve">   Effective tax rate</v>
          </cell>
          <cell r="M218">
            <v>0</v>
          </cell>
          <cell r="N218">
            <v>0</v>
          </cell>
          <cell r="O218">
            <v>0.27500000000000002</v>
          </cell>
          <cell r="P218">
            <v>0.27500000000000002</v>
          </cell>
          <cell r="Q218">
            <v>0.27500000000000002</v>
          </cell>
          <cell r="AV218">
            <v>0</v>
          </cell>
          <cell r="AW218">
            <v>0</v>
          </cell>
          <cell r="AX218">
            <v>0</v>
          </cell>
          <cell r="AY218">
            <v>0</v>
          </cell>
          <cell r="AZ218">
            <v>0</v>
          </cell>
          <cell r="BA218">
            <v>0</v>
          </cell>
          <cell r="BB218">
            <v>0</v>
          </cell>
          <cell r="BC218">
            <v>0.27500000000000002</v>
          </cell>
          <cell r="BD218">
            <v>0.27500000000000002</v>
          </cell>
          <cell r="BE218">
            <v>0.27500000000000002</v>
          </cell>
          <cell r="BF218">
            <v>0.27500000000000002</v>
          </cell>
          <cell r="BG218">
            <v>0.27500000000000002</v>
          </cell>
          <cell r="BH218">
            <v>0.27500000000000002</v>
          </cell>
          <cell r="BI218">
            <v>0.27500000000000002</v>
          </cell>
          <cell r="BJ218">
            <v>0.27500000000000002</v>
          </cell>
          <cell r="BK218">
            <v>0.27500000000000002</v>
          </cell>
          <cell r="BL218">
            <v>0.27500000000000002</v>
          </cell>
          <cell r="BM218">
            <v>0.27500000000000002</v>
          </cell>
          <cell r="BN218">
            <v>0.27500000000000002</v>
          </cell>
        </row>
        <row r="219">
          <cell r="A219" t="str">
            <v>Net profits</v>
          </cell>
          <cell r="H219">
            <v>350.39437308999931</v>
          </cell>
          <cell r="I219">
            <v>-5573.0851954380005</v>
          </cell>
          <cell r="J219">
            <v>-793.53926221900053</v>
          </cell>
          <cell r="K219">
            <v>1363.0731747929999</v>
          </cell>
          <cell r="L219">
            <v>1193.679248018901</v>
          </cell>
          <cell r="M219">
            <v>1170.0807918954838</v>
          </cell>
          <cell r="N219">
            <v>1180.5499358229695</v>
          </cell>
          <cell r="O219">
            <v>908.03965897050091</v>
          </cell>
          <cell r="P219">
            <v>892.67283397253834</v>
          </cell>
          <cell r="Q219">
            <v>871.47185416569062</v>
          </cell>
          <cell r="AE219">
            <v>-400.65287869500014</v>
          </cell>
          <cell r="AF219">
            <v>-362.33281100314258</v>
          </cell>
          <cell r="AG219">
            <v>-269.94988859385728</v>
          </cell>
          <cell r="AH219">
            <v>-4540.1496171460003</v>
          </cell>
          <cell r="AI219">
            <v>-546.23991890000025</v>
          </cell>
          <cell r="AJ219">
            <v>-481.68475979832283</v>
          </cell>
          <cell r="AK219">
            <v>-91.402734292606581</v>
          </cell>
          <cell r="AL219">
            <v>325.78815077192928</v>
          </cell>
          <cell r="AM219">
            <v>291.77088698599988</v>
          </cell>
          <cell r="AN219">
            <v>479.79171525900017</v>
          </cell>
          <cell r="AO219">
            <v>363.39340092566295</v>
          </cell>
          <cell r="AP219">
            <v>228.11717162233708</v>
          </cell>
          <cell r="AQ219">
            <v>353.57640766700013</v>
          </cell>
          <cell r="AR219">
            <v>286.98796088768682</v>
          </cell>
          <cell r="AS219">
            <v>308.66451042916299</v>
          </cell>
          <cell r="AT219">
            <v>244.45036903505118</v>
          </cell>
          <cell r="AU219">
            <v>865.39946865700017</v>
          </cell>
          <cell r="AV219">
            <v>291.35011718197546</v>
          </cell>
          <cell r="AW219">
            <v>293.69027876576644</v>
          </cell>
          <cell r="AX219">
            <v>-280.35907270925816</v>
          </cell>
          <cell r="AY219">
            <v>291.59583414827364</v>
          </cell>
          <cell r="AZ219">
            <v>293.95693401991946</v>
          </cell>
          <cell r="BA219">
            <v>296.31803389156539</v>
          </cell>
          <cell r="BB219">
            <v>298.67913376321087</v>
          </cell>
          <cell r="BC219">
            <v>256.19157428774054</v>
          </cell>
          <cell r="BD219">
            <v>219.08565476183617</v>
          </cell>
          <cell r="BE219">
            <v>220.84537889646938</v>
          </cell>
          <cell r="BF219">
            <v>211.91705102445479</v>
          </cell>
          <cell r="BG219">
            <v>220.49018999121691</v>
          </cell>
          <cell r="BH219">
            <v>222.27553565916207</v>
          </cell>
          <cell r="BI219">
            <v>224.06088132710707</v>
          </cell>
          <cell r="BJ219">
            <v>225.84622699505204</v>
          </cell>
          <cell r="BK219">
            <v>220.49018999121691</v>
          </cell>
          <cell r="BL219">
            <v>222.27553565916207</v>
          </cell>
          <cell r="BM219">
            <v>224.06088132710707</v>
          </cell>
          <cell r="BN219">
            <v>204.64524718820442</v>
          </cell>
        </row>
        <row r="220">
          <cell r="A220" t="str">
            <v xml:space="preserve">   Return on avg IEA</v>
          </cell>
          <cell r="H220">
            <v>1.0966513065233989E-2</v>
          </cell>
          <cell r="I220">
            <v>-0.20387342912455114</v>
          </cell>
          <cell r="J220">
            <v>-4.7630341679873761E-2</v>
          </cell>
          <cell r="K220">
            <v>0.11631379523955851</v>
          </cell>
          <cell r="L220">
            <v>0.1030133334579892</v>
          </cell>
          <cell r="M220">
            <v>9.5000000000000001E-2</v>
          </cell>
          <cell r="N220">
            <v>0.09</v>
          </cell>
          <cell r="O220">
            <v>6.5000000000000002E-2</v>
          </cell>
          <cell r="P220">
            <v>0.06</v>
          </cell>
          <cell r="Q220">
            <v>5.5E-2</v>
          </cell>
          <cell r="AE220">
            <v>-4.7778057324581971E-2</v>
          </cell>
          <cell r="AF220">
            <v>-4.8204379697598221E-2</v>
          </cell>
          <cell r="AG220">
            <v>-4.0977463684475995E-2</v>
          </cell>
          <cell r="AH220">
            <v>-0.78972748442479423</v>
          </cell>
          <cell r="AI220">
            <v>-0.11317813135142758</v>
          </cell>
          <cell r="AJ220">
            <v>-0.11723006504607579</v>
          </cell>
          <cell r="AK220">
            <v>-2.5026457507477264E-2</v>
          </cell>
          <cell r="AL220">
            <v>0.10016444963129691</v>
          </cell>
          <cell r="AM220">
            <v>0.10063697398005529</v>
          </cell>
          <cell r="AN220">
            <v>0.17676609771692223</v>
          </cell>
          <cell r="AO220">
            <v>0.13580278294776227</v>
          </cell>
          <cell r="AP220">
            <v>8.317256294565864E-2</v>
          </cell>
          <cell r="AQ220">
            <v>0.12369635720994972</v>
          </cell>
          <cell r="AR220">
            <v>9.7739984156148665E-2</v>
          </cell>
          <cell r="AS220">
            <v>0.10332480416425618</v>
          </cell>
          <cell r="AT220">
            <v>8.1623901036077889E-2</v>
          </cell>
          <cell r="AU220">
            <v>0.29308556699626231</v>
          </cell>
          <cell r="AV220">
            <v>9.7283179109183049E-2</v>
          </cell>
          <cell r="AW220">
            <v>9.4925009929779702E-2</v>
          </cell>
          <cell r="AX220">
            <v>-8.9039775269824012E-2</v>
          </cell>
          <cell r="AY220">
            <v>9.1069956602603891E-2</v>
          </cell>
          <cell r="AZ220">
            <v>9.1073357933579346E-2</v>
          </cell>
          <cell r="BA220">
            <v>9.0716937101185058E-2</v>
          </cell>
          <cell r="BB220">
            <v>8.9322742653606277E-2</v>
          </cell>
          <cell r="BC220">
            <v>7.5129249255122585E-2</v>
          </cell>
          <cell r="BD220">
            <v>6.3734117200515861E-2</v>
          </cell>
          <cell r="BE220">
            <v>6.348469006155949E-2</v>
          </cell>
          <cell r="BF220">
            <v>5.9507740508846781E-2</v>
          </cell>
          <cell r="BG220">
            <v>6.0713304401735869E-2</v>
          </cell>
          <cell r="BH220">
            <v>6.0715571955719562E-2</v>
          </cell>
          <cell r="BI220">
            <v>6.0477958067456677E-2</v>
          </cell>
          <cell r="BJ220">
            <v>5.9548495102404231E-2</v>
          </cell>
          <cell r="BK220">
            <v>5.7007797560315369E-2</v>
          </cell>
          <cell r="BL220">
            <v>5.7009926718985499E-2</v>
          </cell>
          <cell r="BM220">
            <v>5.678681508681379E-2</v>
          </cell>
          <cell r="BN220">
            <v>5.0665228533564102E-2</v>
          </cell>
        </row>
        <row r="221">
          <cell r="A221" t="str">
            <v xml:space="preserve">   ROA</v>
          </cell>
          <cell r="I221">
            <v>-0.21738963725224661</v>
          </cell>
          <cell r="J221">
            <v>-5.3148160463513242E-2</v>
          </cell>
          <cell r="K221">
            <v>0.11213718271136465</v>
          </cell>
          <cell r="L221">
            <v>9.8347097231655689E-2</v>
          </cell>
          <cell r="M221">
            <v>9.1821977140904301E-2</v>
          </cell>
          <cell r="N221">
            <v>8.7031452330085135E-2</v>
          </cell>
          <cell r="O221">
            <v>6.2962477942303044E-2</v>
          </cell>
          <cell r="P221">
            <v>5.8216395143661087E-2</v>
          </cell>
          <cell r="Q221">
            <v>5.3453152305940041E-2</v>
          </cell>
          <cell r="AE221">
            <v>-4.7226840566949126E-2</v>
          </cell>
          <cell r="AF221">
            <v>-4.5292844621458224E-2</v>
          </cell>
          <cell r="AG221">
            <v>-3.8586488498596583E-2</v>
          </cell>
          <cell r="AH221">
            <v>-0.83414712664504065</v>
          </cell>
          <cell r="AI221">
            <v>-0.12588736389427277</v>
          </cell>
          <cell r="AJ221">
            <v>-0.11778218641163776</v>
          </cell>
          <cell r="AK221">
            <v>-2.5148667859886831E-2</v>
          </cell>
          <cell r="AL221">
            <v>0.10041317936026228</v>
          </cell>
          <cell r="AM221">
            <v>9.6354640273089695E-2</v>
          </cell>
          <cell r="AN221">
            <v>0.16487032163884291</v>
          </cell>
          <cell r="AO221">
            <v>0.12697268947846604</v>
          </cell>
          <cell r="AP221">
            <v>7.7971478483725584E-2</v>
          </cell>
          <cell r="AQ221">
            <v>0.11697237852347832</v>
          </cell>
          <cell r="AR221">
            <v>9.4187658914400604E-2</v>
          </cell>
          <cell r="AS221">
            <v>9.9613945549102398E-2</v>
          </cell>
          <cell r="AT221">
            <v>7.8244846164423773E-2</v>
          </cell>
          <cell r="AU221">
            <v>0.27837181954018958</v>
          </cell>
          <cell r="AV221">
            <v>9.2951335106426489E-2</v>
          </cell>
          <cell r="AW221">
            <v>9.25469590450749E-2</v>
          </cell>
          <cell r="AX221">
            <v>-8.6281867048057556E-2</v>
          </cell>
          <cell r="AY221">
            <v>8.8008620501532533E-2</v>
          </cell>
          <cell r="AZ221">
            <v>8.8031371985962587E-2</v>
          </cell>
          <cell r="BA221">
            <v>8.771537978967521E-2</v>
          </cell>
          <cell r="BB221">
            <v>8.6421586710481724E-2</v>
          </cell>
          <cell r="BC221">
            <v>7.2727286999504703E-2</v>
          </cell>
          <cell r="BD221">
            <v>6.1709944781123453E-2</v>
          </cell>
          <cell r="BE221">
            <v>6.1488186204898765E-2</v>
          </cell>
          <cell r="BF221">
            <v>5.7672073771657735E-2</v>
          </cell>
          <cell r="BG221">
            <v>5.8870984038655691E-2</v>
          </cell>
          <cell r="BH221">
            <v>5.888588160739535E-2</v>
          </cell>
          <cell r="BI221">
            <v>5.8674037172960172E-2</v>
          </cell>
          <cell r="BJ221">
            <v>5.7807703974548832E-2</v>
          </cell>
          <cell r="BK221">
            <v>5.5369640715037298E-2</v>
          </cell>
          <cell r="BL221">
            <v>5.5383503540726083E-2</v>
          </cell>
          <cell r="BM221">
            <v>5.5184041067929297E-2</v>
          </cell>
          <cell r="BN221">
            <v>4.9265030608961459E-2</v>
          </cell>
        </row>
        <row r="223">
          <cell r="A223" t="str">
            <v>VALUE ADDITION TO PRICE TARGET</v>
          </cell>
          <cell r="Q223">
            <v>0.14300000000000013</v>
          </cell>
        </row>
        <row r="224">
          <cell r="A224" t="str">
            <v>Tax carried forward</v>
          </cell>
          <cell r="H224">
            <v>0.4</v>
          </cell>
          <cell r="I224">
            <v>0.3</v>
          </cell>
          <cell r="J224">
            <v>0.2</v>
          </cell>
          <cell r="K224">
            <v>0.1</v>
          </cell>
          <cell r="Q224">
            <v>115.92695400000011</v>
          </cell>
        </row>
        <row r="225">
          <cell r="H225">
            <v>2006</v>
          </cell>
          <cell r="I225">
            <v>2007</v>
          </cell>
          <cell r="J225">
            <v>2008</v>
          </cell>
          <cell r="K225">
            <v>2009</v>
          </cell>
        </row>
        <row r="226">
          <cell r="H226">
            <v>321.77221777125806</v>
          </cell>
          <cell r="I226">
            <v>324.65123235131665</v>
          </cell>
          <cell r="J226">
            <v>249.71090621688776</v>
          </cell>
          <cell r="K226">
            <v>38.865643660537643</v>
          </cell>
          <cell r="M226">
            <v>3400</v>
          </cell>
          <cell r="N226">
            <v>935.00000000000011</v>
          </cell>
          <cell r="Q226">
            <v>46392</v>
          </cell>
          <cell r="Y226">
            <v>46392</v>
          </cell>
        </row>
        <row r="227">
          <cell r="H227">
            <v>321.77221777125806</v>
          </cell>
          <cell r="I227">
            <v>289.86717174224697</v>
          </cell>
          <cell r="J227">
            <v>199.06800559381995</v>
          </cell>
          <cell r="K227">
            <v>27.663797476125204</v>
          </cell>
          <cell r="L227">
            <v>838.37119258345012</v>
          </cell>
          <cell r="Q227">
            <v>17.892081999999998</v>
          </cell>
          <cell r="Y227">
            <v>0</v>
          </cell>
        </row>
        <row r="228">
          <cell r="H228">
            <v>0.12</v>
          </cell>
          <cell r="P228">
            <v>5.5E-2</v>
          </cell>
          <cell r="Q228">
            <v>830.04946814399989</v>
          </cell>
          <cell r="Y228">
            <v>0</v>
          </cell>
        </row>
        <row r="229">
          <cell r="A229" t="str">
            <v>Written off assets</v>
          </cell>
          <cell r="H229">
            <v>9000</v>
          </cell>
          <cell r="Q229">
            <v>45.652720747919993</v>
          </cell>
          <cell r="Y229">
            <v>0</v>
          </cell>
        </row>
        <row r="230">
          <cell r="A230" t="str">
            <v xml:space="preserve">   Recovery ratio</v>
          </cell>
          <cell r="H230">
            <v>0.08</v>
          </cell>
        </row>
        <row r="231">
          <cell r="A231" t="str">
            <v xml:space="preserve">   Value of written off assets</v>
          </cell>
          <cell r="H231">
            <v>720</v>
          </cell>
          <cell r="L231">
            <v>1021.7894363041793</v>
          </cell>
          <cell r="Q231">
            <v>70.274233252080109</v>
          </cell>
          <cell r="Y231">
            <v>115.92695400000011</v>
          </cell>
          <cell r="Z231">
            <v>0.64963669662761747</v>
          </cell>
        </row>
        <row r="232">
          <cell r="L232">
            <v>-285.71428571428572</v>
          </cell>
          <cell r="Q232">
            <v>171.01657954187655</v>
          </cell>
          <cell r="Y232">
            <v>282.11522534401547</v>
          </cell>
          <cell r="Z232">
            <v>410.92058700000001</v>
          </cell>
          <cell r="AE232">
            <v>0</v>
          </cell>
        </row>
        <row r="233">
          <cell r="A233" t="str">
            <v>Value of excess capital</v>
          </cell>
          <cell r="H233">
            <v>1552.0468673972084</v>
          </cell>
          <cell r="L233">
            <v>-150</v>
          </cell>
          <cell r="Q233">
            <v>6480.0981195939867</v>
          </cell>
          <cell r="Y233">
            <v>6480.0981195939867</v>
          </cell>
        </row>
        <row r="234">
          <cell r="L234">
            <v>586.07515058989361</v>
          </cell>
          <cell r="Q234">
            <v>2.6391047849224799E-2</v>
          </cell>
          <cell r="Y234">
            <v>4.3535640994536592E-2</v>
          </cell>
        </row>
        <row r="235">
          <cell r="A235" t="str">
            <v>Value to SFG</v>
          </cell>
          <cell r="H235">
            <v>2048.5882774034239</v>
          </cell>
          <cell r="L235">
            <v>146.5187876474734</v>
          </cell>
        </row>
        <row r="236">
          <cell r="A236" t="str">
            <v xml:space="preserve">   # of shares</v>
          </cell>
          <cell r="H236">
            <v>410.92058700000001</v>
          </cell>
          <cell r="L236">
            <v>596.51878764747335</v>
          </cell>
        </row>
        <row r="237">
          <cell r="A237" t="str">
            <v xml:space="preserve">  Per share value</v>
          </cell>
          <cell r="H237">
            <v>4985.3629684497264</v>
          </cell>
        </row>
        <row r="239">
          <cell r="A239" t="str">
            <v>Goodwill creation</v>
          </cell>
          <cell r="H239">
            <v>3914.3974554892129</v>
          </cell>
        </row>
        <row r="240">
          <cell r="A240" t="str">
            <v xml:space="preserve">   Amortization</v>
          </cell>
          <cell r="M240">
            <v>293.57980916169095</v>
          </cell>
          <cell r="N240">
            <v>391.43974554892128</v>
          </cell>
          <cell r="O240">
            <v>391.43974554892128</v>
          </cell>
          <cell r="P240">
            <v>391.43974554892128</v>
          </cell>
          <cell r="Q240">
            <v>391.43974554892128</v>
          </cell>
          <cell r="AV240">
            <v>97.85993638723032</v>
          </cell>
          <cell r="AW240">
            <v>97.85993638723032</v>
          </cell>
          <cell r="AX240">
            <v>97.85993638723032</v>
          </cell>
          <cell r="AY240">
            <v>97.85993638723032</v>
          </cell>
          <cell r="AZ240">
            <v>97.85993638723032</v>
          </cell>
          <cell r="BA240">
            <v>97.85993638723032</v>
          </cell>
          <cell r="BB240">
            <v>97.85993638723032</v>
          </cell>
          <cell r="BC240">
            <v>97.85993638723032</v>
          </cell>
          <cell r="BD240">
            <v>97.85993638723032</v>
          </cell>
          <cell r="BE240">
            <v>97.85993638723032</v>
          </cell>
          <cell r="BF240">
            <v>97.85993638723032</v>
          </cell>
          <cell r="BG240">
            <v>97.85993638723032</v>
          </cell>
          <cell r="BH240">
            <v>97.85993638723032</v>
          </cell>
          <cell r="BI240">
            <v>97.85993638723032</v>
          </cell>
          <cell r="BJ240">
            <v>97.85993638723032</v>
          </cell>
          <cell r="BK240">
            <v>97.85993638723032</v>
          </cell>
          <cell r="BL240">
            <v>97.85993638723032</v>
          </cell>
          <cell r="BM240">
            <v>97.85993638723032</v>
          </cell>
          <cell r="BN240">
            <v>97.85993638723032</v>
          </cell>
        </row>
        <row r="241">
          <cell r="AU241">
            <v>3914.3974554892129</v>
          </cell>
          <cell r="AV241">
            <v>3816.5375191019825</v>
          </cell>
          <cell r="AW241">
            <v>3718.6775827147521</v>
          </cell>
          <cell r="AX241">
            <v>3620.8176463275217</v>
          </cell>
          <cell r="AY241">
            <v>3522.9577099402914</v>
          </cell>
          <cell r="AZ241">
            <v>3425.097773553061</v>
          </cell>
          <cell r="BA241">
            <v>3327.2378371658306</v>
          </cell>
          <cell r="BB241">
            <v>3229.3779007786002</v>
          </cell>
          <cell r="BC241">
            <v>3131.5179643913698</v>
          </cell>
          <cell r="BD241">
            <v>3033.6580280041394</v>
          </cell>
          <cell r="BE241">
            <v>2935.798091616909</v>
          </cell>
          <cell r="BF241">
            <v>2837.9381552296786</v>
          </cell>
          <cell r="BG241">
            <v>2740.0782188424482</v>
          </cell>
          <cell r="BH241">
            <v>2642.2182824552178</v>
          </cell>
          <cell r="BI241">
            <v>2544.3583460679874</v>
          </cell>
          <cell r="BJ241">
            <v>2446.498409680757</v>
          </cell>
          <cell r="BK241">
            <v>2348.6384732935267</v>
          </cell>
          <cell r="BL241">
            <v>2250.7785369062963</v>
          </cell>
          <cell r="BM241">
            <v>2152.9186005190659</v>
          </cell>
          <cell r="BN241">
            <v>2055.0586641318355</v>
          </cell>
        </row>
        <row r="243">
          <cell r="A243" t="str">
            <v>Funding cost</v>
          </cell>
        </row>
        <row r="244">
          <cell r="A244" t="str">
            <v xml:space="preserve">   CRPS</v>
          </cell>
          <cell r="M244">
            <v>20.742201821250003</v>
          </cell>
          <cell r="N244">
            <v>27.656269095000003</v>
          </cell>
          <cell r="O244">
            <v>27.656269095000003</v>
          </cell>
          <cell r="P244">
            <v>27.656269095000003</v>
          </cell>
          <cell r="Q244">
            <v>27.656269095000003</v>
          </cell>
          <cell r="AV244">
            <v>6.9140672737500006</v>
          </cell>
          <cell r="AW244">
            <v>6.9140672737500006</v>
          </cell>
          <cell r="AX244">
            <v>6.9140672737500006</v>
          </cell>
          <cell r="AY244">
            <v>6.9140672737500006</v>
          </cell>
          <cell r="AZ244">
            <v>6.9140672737500006</v>
          </cell>
          <cell r="BA244">
            <v>6.9140672737500006</v>
          </cell>
          <cell r="BB244">
            <v>6.9140672737500006</v>
          </cell>
          <cell r="BC244">
            <v>6.9140672737500006</v>
          </cell>
          <cell r="BD244">
            <v>6.9140672737500006</v>
          </cell>
          <cell r="BE244">
            <v>6.9140672737500006</v>
          </cell>
          <cell r="BF244">
            <v>6.9140672737500006</v>
          </cell>
          <cell r="BG244">
            <v>6.9140672737500006</v>
          </cell>
          <cell r="BH244">
            <v>6.9140672737500006</v>
          </cell>
          <cell r="BI244">
            <v>6.9140672737500006</v>
          </cell>
          <cell r="BJ244">
            <v>6.9140672737500006</v>
          </cell>
          <cell r="BK244">
            <v>6.9140672737500006</v>
          </cell>
          <cell r="BL244">
            <v>6.9140672737500006</v>
          </cell>
          <cell r="BM244">
            <v>6.9140672737500006</v>
          </cell>
          <cell r="BN244">
            <v>6.9140672737500006</v>
          </cell>
        </row>
        <row r="245">
          <cell r="A245" t="str">
            <v xml:space="preserve">   RPS</v>
          </cell>
          <cell r="M245">
            <v>152.19749999999999</v>
          </cell>
          <cell r="N245">
            <v>202.93</v>
          </cell>
          <cell r="O245">
            <v>202.93</v>
          </cell>
          <cell r="P245">
            <v>202.93</v>
          </cell>
          <cell r="Q245">
            <v>202.93</v>
          </cell>
          <cell r="AV245">
            <v>50.732499999999995</v>
          </cell>
          <cell r="AW245">
            <v>50.732499999999995</v>
          </cell>
          <cell r="AX245">
            <v>50.732499999999995</v>
          </cell>
          <cell r="AY245">
            <v>50.732500000000002</v>
          </cell>
          <cell r="AZ245">
            <v>50.732500000000002</v>
          </cell>
          <cell r="BA245">
            <v>50.732500000000002</v>
          </cell>
          <cell r="BB245">
            <v>50.732500000000002</v>
          </cell>
          <cell r="BC245">
            <v>50.732500000000002</v>
          </cell>
          <cell r="BD245">
            <v>50.732500000000002</v>
          </cell>
          <cell r="BE245">
            <v>50.732500000000002</v>
          </cell>
          <cell r="BF245">
            <v>50.732500000000002</v>
          </cell>
          <cell r="BG245">
            <v>50.732500000000002</v>
          </cell>
          <cell r="BH245">
            <v>50.732500000000002</v>
          </cell>
          <cell r="BI245">
            <v>50.732500000000002</v>
          </cell>
          <cell r="BJ245">
            <v>50.732500000000002</v>
          </cell>
          <cell r="BK245">
            <v>50.732500000000002</v>
          </cell>
          <cell r="BL245">
            <v>50.732500000000002</v>
          </cell>
          <cell r="BM245">
            <v>50.732500000000002</v>
          </cell>
          <cell r="BN245">
            <v>50.732500000000002</v>
          </cell>
        </row>
        <row r="255">
          <cell r="A255" t="str">
            <v>Tender Offer</v>
          </cell>
        </row>
        <row r="256">
          <cell r="A256" t="str">
            <v xml:space="preserve">   Price (Won)</v>
          </cell>
          <cell r="H256">
            <v>46392</v>
          </cell>
        </row>
        <row r="257">
          <cell r="A257" t="str">
            <v xml:space="preserve">   Period</v>
          </cell>
        </row>
      </sheetData>
      <sheetData sheetId="6" refreshError="1"/>
      <sheetData sheetId="7" refreshError="1"/>
      <sheetData sheetId="8" refreshError="1"/>
      <sheetData sheetId="9" refreshError="1">
        <row r="2">
          <cell r="B2" t="str">
            <v>SHINHAN FINANCIAL GROUP (055550.KS)</v>
          </cell>
          <cell r="O2" t="str">
            <v>Foreign exchange rate</v>
          </cell>
          <cell r="W2">
            <v>965.2</v>
          </cell>
        </row>
        <row r="3">
          <cell r="O3" t="str">
            <v>Current share price</v>
          </cell>
          <cell r="W3">
            <v>58900</v>
          </cell>
          <cell r="X3">
            <v>61.023622047244089</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0</v>
          </cell>
          <cell r="D7">
            <v>0</v>
          </cell>
          <cell r="E7">
            <v>49724.987999999998</v>
          </cell>
          <cell r="F7">
            <v>57957.267000000007</v>
          </cell>
          <cell r="G7">
            <v>112895.58162500002</v>
          </cell>
          <cell r="H7">
            <v>114974.23262499998</v>
          </cell>
          <cell r="I7">
            <v>120580.75200000001</v>
          </cell>
          <cell r="J7">
            <v>138812.614</v>
          </cell>
          <cell r="K7">
            <v>156516.76335599885</v>
          </cell>
          <cell r="L7">
            <v>168104.09170572687</v>
          </cell>
          <cell r="M7">
            <v>183115.62515496527</v>
          </cell>
          <cell r="O7" t="str">
            <v>Book Value Per Share (Won)</v>
          </cell>
          <cell r="P7" t="e">
            <v>#DIV/0!</v>
          </cell>
          <cell r="Q7">
            <v>0</v>
          </cell>
          <cell r="R7">
            <v>12451.998142403514</v>
          </cell>
          <cell r="S7">
            <v>12234.947540557414</v>
          </cell>
          <cell r="T7">
            <v>17506.335706253656</v>
          </cell>
          <cell r="U7">
            <v>22965.11908125148</v>
          </cell>
          <cell r="V7">
            <v>27798.766366076343</v>
          </cell>
          <cell r="W7">
            <v>35090.084731713381</v>
          </cell>
          <cell r="X7">
            <v>38673.070574065168</v>
          </cell>
          <cell r="Y7">
            <v>43296.866391284449</v>
          </cell>
          <cell r="Z7">
            <v>48332.025647816103</v>
          </cell>
        </row>
        <row r="8">
          <cell r="B8" t="str">
            <v>Net Interest Margin (%)</v>
          </cell>
          <cell r="C8" t="e">
            <v>#DIV/0!</v>
          </cell>
          <cell r="D8" t="e">
            <v>#DIV/0!</v>
          </cell>
          <cell r="E8">
            <v>2.5436245454699762</v>
          </cell>
          <cell r="F8">
            <v>2.0384052960951382</v>
          </cell>
          <cell r="G8">
            <v>3.1026550642394182</v>
          </cell>
          <cell r="H8">
            <v>2.9873692758946273</v>
          </cell>
          <cell r="I8">
            <v>2.5144859654814553</v>
          </cell>
          <cell r="J8">
            <v>2.3191199324291967</v>
          </cell>
          <cell r="K8">
            <v>2.1933726161836997</v>
          </cell>
          <cell r="L8">
            <v>2.1218156277862024</v>
          </cell>
          <cell r="M8">
            <v>2.0908781077618204</v>
          </cell>
          <cell r="O8" t="str">
            <v>Price/Book (x)</v>
          </cell>
          <cell r="P8" t="e">
            <v>#DIV/0!</v>
          </cell>
          <cell r="Q8" t="e">
            <v>#DIV/0!</v>
          </cell>
          <cell r="R8">
            <v>4.7301645347524106</v>
          </cell>
          <cell r="S8">
            <v>4.814078671343168</v>
          </cell>
          <cell r="T8">
            <v>3.3644962023068938</v>
          </cell>
          <cell r="U8">
            <v>2.5647591807214027</v>
          </cell>
          <cell r="V8">
            <v>2.1187990583595613</v>
          </cell>
          <cell r="W8">
            <v>1.6785368416841673</v>
          </cell>
          <cell r="X8">
            <v>1.5230236214938506</v>
          </cell>
          <cell r="Y8">
            <v>1.3603755862538915</v>
          </cell>
          <cell r="Z8">
            <v>1.2186536610153731</v>
          </cell>
        </row>
        <row r="9">
          <cell r="B9" t="str">
            <v xml:space="preserve">  Interest Income</v>
          </cell>
          <cell r="C9">
            <v>0</v>
          </cell>
          <cell r="D9">
            <v>0</v>
          </cell>
          <cell r="E9">
            <v>4093.9695122271314</v>
          </cell>
          <cell r="F9">
            <v>5645.5872263039464</v>
          </cell>
          <cell r="G9">
            <v>7980.9449999999997</v>
          </cell>
          <cell r="H9">
            <v>7884.7379999999994</v>
          </cell>
          <cell r="I9">
            <v>9262.9760000000006</v>
          </cell>
          <cell r="J9">
            <v>13320.949000000001</v>
          </cell>
          <cell r="K9">
            <v>15333.669285486485</v>
          </cell>
          <cell r="L9">
            <v>16380.001282212468</v>
          </cell>
          <cell r="M9">
            <v>17964.533621263272</v>
          </cell>
          <cell r="O9" t="str">
            <v>ROAA (%)</v>
          </cell>
          <cell r="P9" t="e">
            <v>#DIV/0!</v>
          </cell>
          <cell r="Q9" t="e">
            <v>#DIV/0!</v>
          </cell>
          <cell r="R9">
            <v>1.8406863534163227</v>
          </cell>
          <cell r="S9">
            <v>0.39444653993212997</v>
          </cell>
          <cell r="T9">
            <v>0.74210067252642919</v>
          </cell>
          <cell r="U9">
            <v>1.1322192125998027</v>
          </cell>
          <cell r="V9">
            <v>1.1205480808626735</v>
          </cell>
          <cell r="W9">
            <v>1.1246407990881466</v>
          </cell>
          <cell r="X9">
            <v>1.1471067263024362</v>
          </cell>
          <cell r="Y9">
            <v>1.1251049747283821</v>
          </cell>
          <cell r="Z9">
            <v>1.1350010193471678</v>
          </cell>
        </row>
        <row r="10">
          <cell r="B10" t="str">
            <v xml:space="preserve">  Interest Expense</v>
          </cell>
          <cell r="C10">
            <v>0</v>
          </cell>
          <cell r="D10">
            <v>0</v>
          </cell>
          <cell r="E10">
            <v>2352.14</v>
          </cell>
          <cell r="F10">
            <v>2996.8960000000002</v>
          </cell>
          <cell r="G10">
            <v>3985.7900000000004</v>
          </cell>
          <cell r="H10">
            <v>3841.9270000000001</v>
          </cell>
          <cell r="I10">
            <v>4782.1670000000004</v>
          </cell>
          <cell r="J10">
            <v>6867.6059999999998</v>
          </cell>
          <cell r="K10">
            <v>8503.8665613400481</v>
          </cell>
          <cell r="L10">
            <v>9051.3068073174618</v>
          </cell>
          <cell r="M10">
            <v>9932.789299601649</v>
          </cell>
          <cell r="O10" t="str">
            <v>ROAE (Reported, %)</v>
          </cell>
          <cell r="S10">
            <v>9.319788443136142</v>
          </cell>
          <cell r="T10">
            <v>18.493212606186336</v>
          </cell>
          <cell r="U10">
            <v>21.581550838516041</v>
          </cell>
          <cell r="V10">
            <v>17.903234941104078</v>
          </cell>
          <cell r="W10">
            <v>17.454531018625993</v>
          </cell>
          <cell r="X10">
            <v>14.580874080497095</v>
          </cell>
          <cell r="Y10">
            <v>14.129812046500506</v>
          </cell>
          <cell r="Z10">
            <v>13.97476780686093</v>
          </cell>
        </row>
        <row r="11">
          <cell r="B11" t="str">
            <v>Net Interest Income (NII)</v>
          </cell>
          <cell r="C11">
            <v>0</v>
          </cell>
          <cell r="D11">
            <v>0</v>
          </cell>
          <cell r="E11">
            <v>1741.8295122271315</v>
          </cell>
          <cell r="F11">
            <v>2648.6912263039462</v>
          </cell>
          <cell r="G11">
            <v>3995.1549999999993</v>
          </cell>
          <cell r="H11">
            <v>4042.8109999999992</v>
          </cell>
          <cell r="I11">
            <v>4480.8090000000002</v>
          </cell>
          <cell r="J11">
            <v>6453.3430000000008</v>
          </cell>
          <cell r="K11">
            <v>6829.802724146437</v>
          </cell>
          <cell r="L11">
            <v>7328.6944748950064</v>
          </cell>
          <cell r="M11">
            <v>8031.744321661623</v>
          </cell>
          <cell r="O11" t="str">
            <v>ROAE (ModelWare, %)</v>
          </cell>
          <cell r="T11">
            <v>20.174543848069664</v>
          </cell>
          <cell r="U11">
            <v>22.968598483969629</v>
          </cell>
          <cell r="V11">
            <v>19.550041310098013</v>
          </cell>
          <cell r="W11">
            <v>17.91244842551021</v>
          </cell>
          <cell r="X11">
            <v>17.570013356211028</v>
          </cell>
          <cell r="Y11">
            <v>16.819680463970368</v>
          </cell>
          <cell r="Z11">
            <v>16.381086815182027</v>
          </cell>
        </row>
        <row r="12">
          <cell r="B12" t="str">
            <v>Loan Loss Prov Exp (LLPE)</v>
          </cell>
          <cell r="C12">
            <v>0</v>
          </cell>
          <cell r="D12">
            <v>0</v>
          </cell>
          <cell r="E12">
            <v>210.54599999999999</v>
          </cell>
          <cell r="F12">
            <v>1096.3929999999998</v>
          </cell>
          <cell r="G12">
            <v>1384.81</v>
          </cell>
          <cell r="H12">
            <v>902.69299999999998</v>
          </cell>
          <cell r="I12">
            <v>584.55900000000008</v>
          </cell>
          <cell r="J12">
            <v>866.42300000000012</v>
          </cell>
          <cell r="K12">
            <v>640.41421074056257</v>
          </cell>
          <cell r="L12">
            <v>779.5551711577657</v>
          </cell>
          <cell r="M12">
            <v>974.64059532565352</v>
          </cell>
        </row>
        <row r="13">
          <cell r="B13" t="str">
            <v>NII After LLPE</v>
          </cell>
          <cell r="C13">
            <v>0</v>
          </cell>
          <cell r="D13">
            <v>0</v>
          </cell>
          <cell r="E13">
            <v>1531.2835122271315</v>
          </cell>
          <cell r="F13">
            <v>1552.2982263039464</v>
          </cell>
          <cell r="G13">
            <v>2610.3449999999993</v>
          </cell>
          <cell r="H13">
            <v>3140.1179999999995</v>
          </cell>
          <cell r="I13">
            <v>3896.25</v>
          </cell>
          <cell r="J13">
            <v>5586.920000000001</v>
          </cell>
          <cell r="K13">
            <v>6189.3885134058746</v>
          </cell>
          <cell r="L13">
            <v>6549.1393037372409</v>
          </cell>
          <cell r="M13">
            <v>7057.1037263359694</v>
          </cell>
          <cell r="O13" t="str">
            <v>MW EPS Growth (%)</v>
          </cell>
          <cell r="S13">
            <v>-43.00337837184518</v>
          </cell>
          <cell r="T13">
            <v>143.37954558801238</v>
          </cell>
          <cell r="U13">
            <v>56.245570769616073</v>
          </cell>
          <cell r="V13">
            <v>8.927047444434443</v>
          </cell>
          <cell r="W13">
            <v>9.9238632538054983</v>
          </cell>
          <cell r="X13">
            <v>18.800169290303479</v>
          </cell>
          <cell r="Y13">
            <v>6.3801906980504919</v>
          </cell>
          <cell r="Z13">
            <v>8.8686418581237056</v>
          </cell>
        </row>
        <row r="14">
          <cell r="O14" t="str">
            <v>Current P/MW EPS</v>
          </cell>
          <cell r="P14" t="e">
            <v>#DIV/0!</v>
          </cell>
          <cell r="Q14" t="e">
            <v>#DIV/0!</v>
          </cell>
          <cell r="R14">
            <v>28.023307521997893</v>
          </cell>
          <cell r="S14">
            <v>49.166611496417396</v>
          </cell>
          <cell r="T14">
            <v>20.201620221464939</v>
          </cell>
          <cell r="U14">
            <v>12.929403452499916</v>
          </cell>
          <cell r="V14">
            <v>11.869782350518062</v>
          </cell>
          <cell r="W14">
            <v>10.798185215808578</v>
          </cell>
          <cell r="X14">
            <v>9.0893685424149719</v>
          </cell>
          <cell r="Y14">
            <v>8.5442303522600689</v>
          </cell>
          <cell r="Z14">
            <v>7.8482014714529154</v>
          </cell>
        </row>
        <row r="15">
          <cell r="B15" t="str">
            <v>Non-interest Income</v>
          </cell>
        </row>
        <row r="16">
          <cell r="B16" t="str">
            <v>Fees and Commissions</v>
          </cell>
          <cell r="C16">
            <v>0</v>
          </cell>
          <cell r="D16">
            <v>0</v>
          </cell>
          <cell r="E16">
            <v>284.00548777286809</v>
          </cell>
          <cell r="F16">
            <v>560.02877369605358</v>
          </cell>
          <cell r="G16">
            <v>718.28499999999985</v>
          </cell>
          <cell r="H16">
            <v>943.00099999999998</v>
          </cell>
          <cell r="I16">
            <v>786.91399999999999</v>
          </cell>
          <cell r="J16">
            <v>590.197</v>
          </cell>
          <cell r="K16">
            <v>681.11272646689088</v>
          </cell>
          <cell r="L16">
            <v>767.98008956179763</v>
          </cell>
          <cell r="M16">
            <v>819.50997851175975</v>
          </cell>
          <cell r="O16" t="str">
            <v>Gross Dividends</v>
          </cell>
          <cell r="P16">
            <v>0</v>
          </cell>
          <cell r="Q16">
            <v>150.812285352</v>
          </cell>
          <cell r="R16">
            <v>157.49299999999999</v>
          </cell>
          <cell r="S16">
            <v>185.54912639999998</v>
          </cell>
          <cell r="T16">
            <v>266.29053524999995</v>
          </cell>
          <cell r="U16">
            <v>295.9627792</v>
          </cell>
          <cell r="V16">
            <v>335.32384230000002</v>
          </cell>
          <cell r="W16">
            <v>356.57962830000002</v>
          </cell>
          <cell r="X16">
            <v>452.01264570000001</v>
          </cell>
          <cell r="Y16">
            <v>534.1967631</v>
          </cell>
          <cell r="Z16">
            <v>616.38088049999999</v>
          </cell>
        </row>
        <row r="17">
          <cell r="B17" t="str">
            <v>Dividend Income</v>
          </cell>
          <cell r="C17">
            <v>0</v>
          </cell>
          <cell r="D17">
            <v>0</v>
          </cell>
          <cell r="E17">
            <v>16.09</v>
          </cell>
          <cell r="F17">
            <v>8.4960000000000004</v>
          </cell>
          <cell r="G17">
            <v>78.173000000000002</v>
          </cell>
          <cell r="H17">
            <v>90.212000000000003</v>
          </cell>
          <cell r="I17">
            <v>97.061000000000007</v>
          </cell>
          <cell r="J17">
            <v>106.523</v>
          </cell>
          <cell r="K17">
            <v>110.55519089680313</v>
          </cell>
          <cell r="L17">
            <v>117.63362409418171</v>
          </cell>
          <cell r="M17">
            <v>123.65242509085931</v>
          </cell>
          <cell r="O17" t="str">
            <v>Gross DPS (Won)</v>
          </cell>
          <cell r="P17">
            <v>0</v>
          </cell>
          <cell r="Q17">
            <v>574.58669542322627</v>
          </cell>
          <cell r="R17">
            <v>600.00201685832212</v>
          </cell>
          <cell r="S17">
            <v>600</v>
          </cell>
          <cell r="T17">
            <v>750</v>
          </cell>
          <cell r="U17">
            <v>800</v>
          </cell>
          <cell r="V17">
            <v>900</v>
          </cell>
          <cell r="W17">
            <v>900</v>
          </cell>
          <cell r="X17">
            <v>1100</v>
          </cell>
          <cell r="Y17">
            <v>1300</v>
          </cell>
          <cell r="Z17">
            <v>1500</v>
          </cell>
        </row>
        <row r="18">
          <cell r="B18" t="str">
            <v>Forex Income</v>
          </cell>
          <cell r="C18">
            <v>0</v>
          </cell>
          <cell r="D18">
            <v>0</v>
          </cell>
          <cell r="E18">
            <v>85.564000000000021</v>
          </cell>
          <cell r="F18">
            <v>120.42400000000001</v>
          </cell>
          <cell r="G18">
            <v>149.31499999999994</v>
          </cell>
          <cell r="H18">
            <v>53.08199999999988</v>
          </cell>
          <cell r="I18">
            <v>124.31200000000013</v>
          </cell>
          <cell r="J18">
            <v>158.28400000000011</v>
          </cell>
          <cell r="K18">
            <v>-24.557502560363901</v>
          </cell>
          <cell r="L18">
            <v>0</v>
          </cell>
          <cell r="M18">
            <v>0</v>
          </cell>
          <cell r="O18" t="str">
            <v>Dividend Yield (Current Price, %)</v>
          </cell>
          <cell r="P18">
            <v>0</v>
          </cell>
          <cell r="Q18">
            <v>0.97552919426693763</v>
          </cell>
          <cell r="R18">
            <v>1.0186791457696469</v>
          </cell>
          <cell r="S18">
            <v>1.0186757215619695</v>
          </cell>
          <cell r="T18">
            <v>1.2733446519524618</v>
          </cell>
          <cell r="U18">
            <v>1.3582342954159592</v>
          </cell>
          <cell r="V18">
            <v>1.5280135823429541</v>
          </cell>
          <cell r="W18">
            <v>1.5280135823429541</v>
          </cell>
          <cell r="X18">
            <v>1.8675721561969438</v>
          </cell>
          <cell r="Y18">
            <v>2.2071307300509337</v>
          </cell>
          <cell r="Z18">
            <v>2.5466893039049237</v>
          </cell>
        </row>
        <row r="19">
          <cell r="B19" t="str">
            <v>Other trading income</v>
          </cell>
          <cell r="C19">
            <v>0</v>
          </cell>
          <cell r="D19">
            <v>0</v>
          </cell>
          <cell r="E19">
            <v>70.039000000000172</v>
          </cell>
          <cell r="F19">
            <v>54.36600000000012</v>
          </cell>
          <cell r="G19">
            <v>258.37800000000004</v>
          </cell>
          <cell r="H19">
            <v>152.58600000000035</v>
          </cell>
          <cell r="I19">
            <v>266.34400000000062</v>
          </cell>
          <cell r="J19">
            <v>156.21800000000036</v>
          </cell>
          <cell r="K19">
            <v>251.36587948925239</v>
          </cell>
          <cell r="L19">
            <v>308.92084917054422</v>
          </cell>
          <cell r="M19">
            <v>330.7706676874318</v>
          </cell>
          <cell r="O19" t="str">
            <v>Dividend Payout Ratio (%)</v>
          </cell>
          <cell r="P19" t="e">
            <v>#DIV/0!</v>
          </cell>
          <cell r="Q19" t="e">
            <v>#DIV/0!</v>
          </cell>
          <cell r="R19">
            <v>26.154546194302881</v>
          </cell>
          <cell r="S19">
            <v>51.117151641376694</v>
          </cell>
          <cell r="T19">
            <v>27.369656976640123</v>
          </cell>
          <cell r="U19">
            <v>18.120936123595342</v>
          </cell>
          <cell r="V19">
            <v>19.339113261303069</v>
          </cell>
          <cell r="W19">
            <v>16.326040681605729</v>
          </cell>
          <cell r="X19">
            <v>20.455007142560472</v>
          </cell>
          <cell r="Y19">
            <v>22.448243362362387</v>
          </cell>
          <cell r="Z19">
            <v>23.194200838310451</v>
          </cell>
        </row>
        <row r="20">
          <cell r="B20" t="str">
            <v>Other Income</v>
          </cell>
          <cell r="C20">
            <v>0</v>
          </cell>
          <cell r="D20">
            <v>0</v>
          </cell>
          <cell r="E20">
            <v>-106.20799999999986</v>
          </cell>
          <cell r="F20">
            <v>-161.6880000000005</v>
          </cell>
          <cell r="G20">
            <v>-156.81999999999826</v>
          </cell>
          <cell r="H20">
            <v>-174.83300000000094</v>
          </cell>
          <cell r="I20">
            <v>226.38765746088018</v>
          </cell>
          <cell r="J20">
            <v>1059.8640000000009</v>
          </cell>
          <cell r="K20">
            <v>293.53675247954277</v>
          </cell>
          <cell r="L20">
            <v>242.73044249755469</v>
          </cell>
          <cell r="M20">
            <v>265.92746223075414</v>
          </cell>
        </row>
        <row r="21">
          <cell r="B21" t="str">
            <v>Total Non-interest Income</v>
          </cell>
          <cell r="C21">
            <v>0</v>
          </cell>
          <cell r="D21">
            <v>0</v>
          </cell>
          <cell r="E21">
            <v>349.49048777286839</v>
          </cell>
          <cell r="F21">
            <v>581.62677369605308</v>
          </cell>
          <cell r="G21">
            <v>1047.3310000000015</v>
          </cell>
          <cell r="H21">
            <v>1064.0479999999993</v>
          </cell>
          <cell r="I21">
            <v>1501.0186574608811</v>
          </cell>
          <cell r="J21">
            <v>2071.0860000000011</v>
          </cell>
          <cell r="K21">
            <v>1312.0130467721251</v>
          </cell>
          <cell r="L21">
            <v>1437.2650053240782</v>
          </cell>
          <cell r="M21">
            <v>1539.8605335208051</v>
          </cell>
          <cell r="O21" t="str">
            <v>Issued Shares (m)</v>
          </cell>
          <cell r="P21">
            <v>0</v>
          </cell>
          <cell r="Q21">
            <v>292.34419200000002</v>
          </cell>
          <cell r="R21">
            <v>292.36112500000002</v>
          </cell>
          <cell r="S21">
            <v>339.12190299999997</v>
          </cell>
          <cell r="T21">
            <v>364.03961399999997</v>
          </cell>
          <cell r="U21">
            <v>381.56761399999999</v>
          </cell>
          <cell r="V21">
            <v>381.56761399999999</v>
          </cell>
          <cell r="W21">
            <v>410.92058700000001</v>
          </cell>
          <cell r="X21">
            <v>410.92058700000001</v>
          </cell>
          <cell r="Y21">
            <v>410.92058700000001</v>
          </cell>
          <cell r="Z21">
            <v>410.92058700000001</v>
          </cell>
        </row>
        <row r="22">
          <cell r="O22" t="str">
            <v>Market Cap (Wonbn)</v>
          </cell>
          <cell r="P22">
            <v>0</v>
          </cell>
          <cell r="Q22">
            <v>17219.072908800001</v>
          </cell>
          <cell r="R22">
            <v>17220.070262499998</v>
          </cell>
          <cell r="S22">
            <v>19974.280086700001</v>
          </cell>
          <cell r="T22">
            <v>21441.933264599997</v>
          </cell>
          <cell r="U22">
            <v>22474.3324646</v>
          </cell>
          <cell r="V22">
            <v>22474.3324646</v>
          </cell>
          <cell r="W22">
            <v>24203.222574300002</v>
          </cell>
          <cell r="X22">
            <v>24203.222574300002</v>
          </cell>
          <cell r="Y22">
            <v>24203.222574300002</v>
          </cell>
          <cell r="Z22">
            <v>24203.222574300002</v>
          </cell>
        </row>
        <row r="23">
          <cell r="B23" t="str">
            <v>Non-interest Expense</v>
          </cell>
          <cell r="O23" t="str">
            <v>Market Cap (US$mn)</v>
          </cell>
          <cell r="P23">
            <v>0</v>
          </cell>
          <cell r="Q23">
            <v>17839.901480314962</v>
          </cell>
          <cell r="R23">
            <v>17840.934793307086</v>
          </cell>
          <cell r="S23">
            <v>20694.446836614174</v>
          </cell>
          <cell r="T23">
            <v>22215.015814960625</v>
          </cell>
          <cell r="U23">
            <v>23284.637862204723</v>
          </cell>
          <cell r="V23">
            <v>23284.637862204723</v>
          </cell>
          <cell r="W23">
            <v>25075.862592519687</v>
          </cell>
          <cell r="X23">
            <v>25075.862592519687</v>
          </cell>
          <cell r="Y23">
            <v>25075.862592519687</v>
          </cell>
          <cell r="Z23">
            <v>25075.862592519687</v>
          </cell>
        </row>
        <row r="24">
          <cell r="B24" t="str">
            <v>Salaries &amp; Benefits</v>
          </cell>
          <cell r="C24">
            <v>0</v>
          </cell>
          <cell r="D24">
            <v>0</v>
          </cell>
          <cell r="E24">
            <v>563.56799999999998</v>
          </cell>
          <cell r="F24">
            <v>739.86200000000008</v>
          </cell>
          <cell r="G24">
            <v>1249.345</v>
          </cell>
          <cell r="H24">
            <v>1458.665</v>
          </cell>
          <cell r="I24">
            <v>1705.1170000000002</v>
          </cell>
          <cell r="J24">
            <v>2079.808</v>
          </cell>
          <cell r="K24">
            <v>2208.3588068099407</v>
          </cell>
          <cell r="L24">
            <v>2412.8204672103607</v>
          </cell>
          <cell r="M24">
            <v>2571.928177527634</v>
          </cell>
        </row>
        <row r="25">
          <cell r="B25" t="str">
            <v>Net Occupancy &amp; Equipment</v>
          </cell>
          <cell r="C25">
            <v>0</v>
          </cell>
          <cell r="D25">
            <v>0</v>
          </cell>
          <cell r="E25">
            <v>30.073</v>
          </cell>
          <cell r="F25">
            <v>47.597999999999999</v>
          </cell>
          <cell r="G25">
            <v>77.260999999999996</v>
          </cell>
          <cell r="H25">
            <v>88.057999999999993</v>
          </cell>
          <cell r="I25">
            <v>117.727</v>
          </cell>
          <cell r="J25">
            <v>163.23599999999999</v>
          </cell>
          <cell r="K25">
            <v>184.0946179960942</v>
          </cell>
          <cell r="L25">
            <v>194.38932776474522</v>
          </cell>
          <cell r="M25">
            <v>204.65487740003638</v>
          </cell>
          <cell r="O25" t="str">
            <v>PERFORMANCE RATIOS</v>
          </cell>
        </row>
        <row r="26">
          <cell r="B26" t="str">
            <v>Other Expenses</v>
          </cell>
          <cell r="C26">
            <v>0</v>
          </cell>
          <cell r="D26">
            <v>0</v>
          </cell>
          <cell r="E26">
            <v>348.11599999999999</v>
          </cell>
          <cell r="F26">
            <v>560.67899999999997</v>
          </cell>
          <cell r="G26">
            <v>861.28100000000018</v>
          </cell>
          <cell r="H26">
            <v>881.26499999999976</v>
          </cell>
          <cell r="I26">
            <v>1150.1221496401095</v>
          </cell>
          <cell r="J26">
            <v>1723.6419999999998</v>
          </cell>
          <cell r="K26">
            <v>1645.2775116999671</v>
          </cell>
          <cell r="L26">
            <v>1708.8365000409808</v>
          </cell>
          <cell r="M26">
            <v>1812.9344399135971</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0</v>
          </cell>
          <cell r="D27">
            <v>0</v>
          </cell>
          <cell r="E27">
            <v>941.75699999999995</v>
          </cell>
          <cell r="F27">
            <v>1348.1390000000001</v>
          </cell>
          <cell r="G27">
            <v>2187.8870000000002</v>
          </cell>
          <cell r="H27">
            <v>2427.9879999999998</v>
          </cell>
          <cell r="I27">
            <v>2972.9661496401095</v>
          </cell>
          <cell r="J27">
            <v>3966.6859999999997</v>
          </cell>
          <cell r="K27">
            <v>4037.7309365060019</v>
          </cell>
          <cell r="L27">
            <v>4316.0462950160872</v>
          </cell>
          <cell r="M27">
            <v>4589.5174948412678</v>
          </cell>
          <cell r="O27" t="str">
            <v>Growth (%)</v>
          </cell>
        </row>
        <row r="28">
          <cell r="O28" t="str">
            <v>Net Interest Income</v>
          </cell>
          <cell r="P28" t="e">
            <v>#DIV/0!</v>
          </cell>
          <cell r="Q28" t="e">
            <v>#DIV/0!</v>
          </cell>
          <cell r="R28" t="e">
            <v>#DIV/0!</v>
          </cell>
          <cell r="S28">
            <v>52.06374721009788</v>
          </cell>
          <cell r="T28">
            <v>50.83505998450957</v>
          </cell>
          <cell r="U28">
            <v>1.1928448333043296</v>
          </cell>
          <cell r="V28">
            <v>10.833996444553096</v>
          </cell>
          <cell r="W28">
            <v>44.02182730841686</v>
          </cell>
          <cell r="X28">
            <v>5.8335613672857001</v>
          </cell>
          <cell r="Y28">
            <v>7.3046290046528295</v>
          </cell>
          <cell r="Z28">
            <v>9.5931116950633832</v>
          </cell>
        </row>
        <row r="29">
          <cell r="B29" t="str">
            <v>Pre-tax Operating Profit</v>
          </cell>
          <cell r="C29">
            <v>0</v>
          </cell>
          <cell r="D29">
            <v>0</v>
          </cell>
          <cell r="E29">
            <v>939.01699999999994</v>
          </cell>
          <cell r="F29">
            <v>785.78599999999915</v>
          </cell>
          <cell r="G29">
            <v>1469.7890000000007</v>
          </cell>
          <cell r="H29">
            <v>1776.1779999999994</v>
          </cell>
          <cell r="I29">
            <v>2424.302507820772</v>
          </cell>
          <cell r="J29">
            <v>3691.3200000000024</v>
          </cell>
          <cell r="K29">
            <v>3463.6706236719974</v>
          </cell>
          <cell r="L29">
            <v>3670.3580140452323</v>
          </cell>
          <cell r="M29">
            <v>4007.4467650155075</v>
          </cell>
          <cell r="O29" t="str">
            <v>Non-interest Income</v>
          </cell>
          <cell r="P29" t="e">
            <v>#DIV/0!</v>
          </cell>
          <cell r="Q29" t="e">
            <v>#DIV/0!</v>
          </cell>
          <cell r="R29" t="e">
            <v>#DIV/0!</v>
          </cell>
          <cell r="S29">
            <v>66.421345943483459</v>
          </cell>
          <cell r="T29">
            <v>80.069255296578973</v>
          </cell>
          <cell r="U29">
            <v>1.5961525057501147</v>
          </cell>
          <cell r="V29">
            <v>41.066818175578732</v>
          </cell>
          <cell r="W29">
            <v>37.978697979906826</v>
          </cell>
          <cell r="X29">
            <v>-36.650962501213158</v>
          </cell>
          <cell r="Y29">
            <v>9.5465482496613685</v>
          </cell>
          <cell r="Z29">
            <v>7.1382471441718165</v>
          </cell>
        </row>
        <row r="30">
          <cell r="B30" t="str">
            <v>Associate Profit/Loss</v>
          </cell>
          <cell r="C30">
            <v>0</v>
          </cell>
          <cell r="D30">
            <v>0</v>
          </cell>
          <cell r="E30">
            <v>-86.700999999999993</v>
          </cell>
          <cell r="F30">
            <v>-154.80699999999999</v>
          </cell>
          <cell r="G30">
            <v>-136.00800000000001</v>
          </cell>
          <cell r="H30">
            <v>235.04500000000002</v>
          </cell>
          <cell r="I30">
            <v>89.374492179227758</v>
          </cell>
          <cell r="J30">
            <v>195.19999999999996</v>
          </cell>
          <cell r="K30">
            <v>115.26840718750049</v>
          </cell>
          <cell r="L30">
            <v>94.894787908159159</v>
          </cell>
          <cell r="M30">
            <v>94.929184250876901</v>
          </cell>
          <cell r="O30" t="str">
            <v>Non-interest Expense</v>
          </cell>
          <cell r="P30" t="e">
            <v>#DIV/0!</v>
          </cell>
          <cell r="Q30" t="e">
            <v>#DIV/0!</v>
          </cell>
          <cell r="R30" t="e">
            <v>#DIV/0!</v>
          </cell>
          <cell r="S30">
            <v>43.151471133211672</v>
          </cell>
          <cell r="T30">
            <v>62.289422678225307</v>
          </cell>
          <cell r="U30">
            <v>10.974104238473004</v>
          </cell>
          <cell r="V30">
            <v>22.445668991778778</v>
          </cell>
          <cell r="W30">
            <v>33.425198954255976</v>
          </cell>
          <cell r="X30">
            <v>1.7910400900399415</v>
          </cell>
          <cell r="Y30">
            <v>6.8928653961009667</v>
          </cell>
          <cell r="Z30">
            <v>6.3361507530854899</v>
          </cell>
        </row>
        <row r="31">
          <cell r="O31" t="str">
            <v>Recurrent Net Profit After Tax (FD)</v>
          </cell>
          <cell r="P31" t="e">
            <v>#DIV/0!</v>
          </cell>
          <cell r="Q31" t="e">
            <v>#DIV/0!</v>
          </cell>
          <cell r="R31" t="e">
            <v>#DIV/0!</v>
          </cell>
          <cell r="S31">
            <v>-28.701637719056571</v>
          </cell>
          <cell r="T31">
            <v>163.12278635744221</v>
          </cell>
          <cell r="U31">
            <v>24.921595152984001</v>
          </cell>
          <cell r="V31">
            <v>15.139496538870944</v>
          </cell>
          <cell r="W31">
            <v>79.030705112855856</v>
          </cell>
          <cell r="X31">
            <v>-24.880338826641513</v>
          </cell>
          <cell r="Y31">
            <v>6.2652160099088583</v>
          </cell>
          <cell r="Z31">
            <v>9.6678432295888239</v>
          </cell>
        </row>
        <row r="32">
          <cell r="B32" t="str">
            <v>Profit Before Tax</v>
          </cell>
          <cell r="C32">
            <v>0</v>
          </cell>
          <cell r="D32">
            <v>0</v>
          </cell>
          <cell r="E32">
            <v>852.31599999999992</v>
          </cell>
          <cell r="F32">
            <v>630.97899999999913</v>
          </cell>
          <cell r="G32">
            <v>1333.7810000000006</v>
          </cell>
          <cell r="H32">
            <v>2011.2229999999995</v>
          </cell>
          <cell r="I32">
            <v>2513.6769999999997</v>
          </cell>
          <cell r="J32">
            <v>3886.5200000000023</v>
          </cell>
          <cell r="K32">
            <v>3578.939030859498</v>
          </cell>
          <cell r="L32">
            <v>3765.2528019533916</v>
          </cell>
          <cell r="M32">
            <v>4102.3759492663839</v>
          </cell>
          <cell r="O32" t="str">
            <v>Net Profit</v>
          </cell>
          <cell r="P32" t="e">
            <v>#DIV/0!</v>
          </cell>
          <cell r="Q32" t="e">
            <v>#DIV/0!</v>
          </cell>
          <cell r="R32" t="e">
            <v>#DIV/0!</v>
          </cell>
          <cell r="S32">
            <v>-39.719311880670304</v>
          </cell>
          <cell r="T32">
            <v>168.03660485497454</v>
          </cell>
          <cell r="U32">
            <v>67.868840700506965</v>
          </cell>
          <cell r="V32">
            <v>6.1625666129573764</v>
          </cell>
          <cell r="W32">
            <v>25.96438673189747</v>
          </cell>
          <cell r="X32">
            <v>1.1754852330420285</v>
          </cell>
          <cell r="Y32">
            <v>7.688156084542408</v>
          </cell>
          <cell r="Z32">
            <v>10.556950206565352</v>
          </cell>
        </row>
        <row r="33">
          <cell r="B33" t="str">
            <v>Effective Tax</v>
          </cell>
          <cell r="C33" t="e">
            <v>#DIV/0!</v>
          </cell>
          <cell r="D33" t="e">
            <v>#DIV/0!</v>
          </cell>
          <cell r="E33">
            <v>254.57200000000012</v>
          </cell>
          <cell r="F33">
            <v>253.94699999999997</v>
          </cell>
          <cell r="G33">
            <v>212.6519999999999</v>
          </cell>
          <cell r="H33">
            <v>263.64200000000017</v>
          </cell>
          <cell r="I33">
            <v>671.16400000000021</v>
          </cell>
          <cell r="J33">
            <v>536.90699999999993</v>
          </cell>
          <cell r="K33">
            <v>1109.5656834863616</v>
          </cell>
          <cell r="L33">
            <v>1160.0239205371827</v>
          </cell>
          <cell r="M33">
            <v>1252.7327860482567</v>
          </cell>
        </row>
        <row r="34">
          <cell r="B34" t="str">
            <v xml:space="preserve">Minority Interests </v>
          </cell>
          <cell r="C34">
            <v>0</v>
          </cell>
          <cell r="D34">
            <v>0</v>
          </cell>
          <cell r="E34">
            <v>0</v>
          </cell>
          <cell r="F34">
            <v>0</v>
          </cell>
          <cell r="G34">
            <v>70.834000000000003</v>
          </cell>
          <cell r="H34">
            <v>15.513999999999999</v>
          </cell>
          <cell r="I34">
            <v>9.7949999999999999</v>
          </cell>
          <cell r="J34">
            <v>953.23599999999999</v>
          </cell>
          <cell r="K34">
            <v>8.2159999999999993</v>
          </cell>
          <cell r="L34">
            <v>8.2159999999999993</v>
          </cell>
          <cell r="M34">
            <v>8.2159999999999993</v>
          </cell>
          <cell r="O34" t="str">
            <v>Gross Customer Loans</v>
          </cell>
          <cell r="P34" t="e">
            <v>#DIV/0!</v>
          </cell>
          <cell r="Q34" t="e">
            <v>#DIV/0!</v>
          </cell>
          <cell r="R34" t="e">
            <v>#DIV/0!</v>
          </cell>
          <cell r="S34">
            <v>112.0591625455357</v>
          </cell>
          <cell r="T34">
            <v>1.4278304222505422</v>
          </cell>
          <cell r="U34">
            <v>9.3789743971032458</v>
          </cell>
          <cell r="V34">
            <v>14.628122186557135</v>
          </cell>
          <cell r="W34">
            <v>21.502643353002448</v>
          </cell>
          <cell r="X34">
            <v>11.999994187491092</v>
          </cell>
          <cell r="Y34">
            <v>10.744482349571459</v>
          </cell>
          <cell r="Z34">
            <v>9.6392354917727694</v>
          </cell>
        </row>
        <row r="35">
          <cell r="B35" t="str">
            <v>Preference Dividend</v>
          </cell>
          <cell r="C35">
            <v>0</v>
          </cell>
          <cell r="D35">
            <v>0</v>
          </cell>
          <cell r="E35">
            <v>0</v>
          </cell>
          <cell r="F35">
            <v>0</v>
          </cell>
          <cell r="G35">
            <v>77.354288769028159</v>
          </cell>
          <cell r="H35">
            <v>98.802707353298402</v>
          </cell>
          <cell r="I35">
            <v>98.802707353298402</v>
          </cell>
          <cell r="J35">
            <v>212.261235167</v>
          </cell>
          <cell r="K35">
            <v>251.36762425197904</v>
          </cell>
          <cell r="L35">
            <v>217.33107524131938</v>
          </cell>
          <cell r="M35">
            <v>210.52353369065969</v>
          </cell>
          <cell r="O35" t="str">
            <v>Total Deposits</v>
          </cell>
          <cell r="P35" t="e">
            <v>#DIV/0!</v>
          </cell>
          <cell r="Q35" t="e">
            <v>#DIV/0!</v>
          </cell>
          <cell r="R35" t="e">
            <v>#DIV/0!</v>
          </cell>
          <cell r="S35">
            <v>126.20694401396553</v>
          </cell>
          <cell r="T35">
            <v>-7.3687727405757908E-2</v>
          </cell>
          <cell r="U35">
            <v>4.5818232461681596</v>
          </cell>
          <cell r="V35">
            <v>8.9810159646481083</v>
          </cell>
          <cell r="W35">
            <v>11.087676311363271</v>
          </cell>
          <cell r="X35">
            <v>10.285917801372136</v>
          </cell>
          <cell r="Y35">
            <v>8.1412280812280144</v>
          </cell>
          <cell r="Z35">
            <v>8.198434245722396</v>
          </cell>
        </row>
        <row r="36">
          <cell r="B36" t="str">
            <v>Net Profit</v>
          </cell>
          <cell r="C36" t="e">
            <v>#DIV/0!</v>
          </cell>
          <cell r="D36" t="e">
            <v>#DIV/0!</v>
          </cell>
          <cell r="E36">
            <v>602.16299999999978</v>
          </cell>
          <cell r="F36">
            <v>362.98799999999915</v>
          </cell>
          <cell r="G36">
            <v>972.94071123097262</v>
          </cell>
          <cell r="H36">
            <v>1633.2642926467008</v>
          </cell>
          <cell r="I36">
            <v>1733.9152926467009</v>
          </cell>
          <cell r="J36">
            <v>2184.1157648330022</v>
          </cell>
          <cell r="K36">
            <v>2209.7897231211573</v>
          </cell>
          <cell r="L36">
            <v>2379.6818061748895</v>
          </cell>
          <cell r="M36">
            <v>2630.9036295274677</v>
          </cell>
          <cell r="O36" t="str">
            <v>Avg Earning Assets</v>
          </cell>
          <cell r="P36" t="e">
            <v>#DIV/0!</v>
          </cell>
          <cell r="Q36" t="e">
            <v>#DIV/0!</v>
          </cell>
          <cell r="R36" t="e">
            <v>#DIV/0!</v>
          </cell>
          <cell r="S36">
            <v>16.555617871642347</v>
          </cell>
          <cell r="T36">
            <v>94.791071885774073</v>
          </cell>
          <cell r="U36">
            <v>1.8412155463306989</v>
          </cell>
          <cell r="V36">
            <v>4.8763268490656264</v>
          </cell>
          <cell r="W36">
            <v>15.120043371432935</v>
          </cell>
          <cell r="X36">
            <v>12.753991763312555</v>
          </cell>
          <cell r="Y36">
            <v>7.4032506814446064</v>
          </cell>
          <cell r="Z36">
            <v>8.9299036667808807</v>
          </cell>
        </row>
        <row r="37">
          <cell r="B37" t="str">
            <v>EPS - Reported (Won)</v>
          </cell>
          <cell r="C37" t="e">
            <v>#DIV/0!</v>
          </cell>
          <cell r="D37" t="e">
            <v>#DIV/0!</v>
          </cell>
          <cell r="E37">
            <v>2059.6548190187723</v>
          </cell>
          <cell r="F37">
            <v>1070.37615910052</v>
          </cell>
          <cell r="G37">
            <v>2672.6231811436123</v>
          </cell>
          <cell r="H37">
            <v>4280.4059692725941</v>
          </cell>
          <cell r="I37">
            <v>4544.1888384340209</v>
          </cell>
          <cell r="J37">
            <v>5315.1772725200599</v>
          </cell>
          <cell r="K37">
            <v>5377.6563964685402</v>
          </cell>
          <cell r="L37">
            <v>5791.09901391942</v>
          </cell>
          <cell r="M37">
            <v>6402.4624532317912</v>
          </cell>
          <cell r="O37" t="str">
            <v>Total Interest-bearing Liab</v>
          </cell>
          <cell r="P37" t="e">
            <v>#DIV/0!</v>
          </cell>
          <cell r="Q37" t="e">
            <v>#DIV/0!</v>
          </cell>
          <cell r="R37" t="e">
            <v>#DIV/0!</v>
          </cell>
          <cell r="S37">
            <v>18.42290985145063</v>
          </cell>
          <cell r="T37">
            <v>87.310985986774554</v>
          </cell>
          <cell r="U37">
            <v>1.0543712250567827</v>
          </cell>
          <cell r="V37">
            <v>3.4256103458454756</v>
          </cell>
          <cell r="W37">
            <v>14.48919305119205</v>
          </cell>
          <cell r="X37">
            <v>13.378534846101765</v>
          </cell>
          <cell r="Y37">
            <v>7.8362534515066251</v>
          </cell>
          <cell r="Z37">
            <v>8.3293874291353589</v>
          </cell>
        </row>
        <row r="38">
          <cell r="B38" t="str">
            <v>EPS - ModelWare (Won)</v>
          </cell>
          <cell r="E38">
            <v>2101.8218478944482</v>
          </cell>
          <cell r="F38">
            <v>1197.9674459422904</v>
          </cell>
          <cell r="G38">
            <v>2915.6077262266645</v>
          </cell>
          <cell r="H38">
            <v>4555.5079332458772</v>
          </cell>
          <cell r="I38">
            <v>4962.1802877817117</v>
          </cell>
          <cell r="J38">
            <v>5454.6202739484606</v>
          </cell>
          <cell r="K38">
            <v>6480.0981195939867</v>
          </cell>
          <cell r="L38">
            <v>6893.5407370448675</v>
          </cell>
          <cell r="M38">
            <v>7504.9041763572377</v>
          </cell>
          <cell r="O38" t="str">
            <v>Risk-weighted Assets</v>
          </cell>
          <cell r="P38" t="e">
            <v>#DIV/0!</v>
          </cell>
          <cell r="Q38" t="e">
            <v>#DIV/0!</v>
          </cell>
          <cell r="R38" t="e">
            <v>#DIV/0!</v>
          </cell>
          <cell r="S38">
            <v>116.37673691113801</v>
          </cell>
          <cell r="T38">
            <v>2.0997881346845659</v>
          </cell>
          <cell r="U38">
            <v>11.323326356639729</v>
          </cell>
          <cell r="V38">
            <v>14.409505820219358</v>
          </cell>
          <cell r="W38">
            <v>19.319302295931418</v>
          </cell>
          <cell r="X38">
            <v>-1.2046334551493287</v>
          </cell>
          <cell r="Y38">
            <v>6.8887306472265042</v>
          </cell>
          <cell r="Z38">
            <v>8.8836818361297532</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t="e">
            <v>#DIV/0!</v>
          </cell>
          <cell r="Q41" t="e">
            <v>#DIV/0!</v>
          </cell>
          <cell r="R41">
            <v>83.288521710074576</v>
          </cell>
          <cell r="S41">
            <v>81.994751795456267</v>
          </cell>
          <cell r="T41">
            <v>79.229867965919951</v>
          </cell>
          <cell r="U41">
            <v>79.164335651326979</v>
          </cell>
          <cell r="V41">
            <v>74.907022679118413</v>
          </cell>
          <cell r="W41">
            <v>75.704108744409737</v>
          </cell>
          <cell r="X41">
            <v>83.885498226839601</v>
          </cell>
          <cell r="Y41">
            <v>83.60401951928533</v>
          </cell>
          <cell r="Z41">
            <v>83.912201174006199</v>
          </cell>
        </row>
        <row r="42">
          <cell r="B42" t="str">
            <v>Total Assets</v>
          </cell>
          <cell r="C42">
            <v>0</v>
          </cell>
          <cell r="D42">
            <v>0</v>
          </cell>
          <cell r="E42">
            <v>66767.594474691636</v>
          </cell>
          <cell r="F42">
            <v>139220.77600000001</v>
          </cell>
          <cell r="G42">
            <v>146831.17100000003</v>
          </cell>
          <cell r="H42">
            <v>160217.90100000001</v>
          </cell>
          <cell r="I42">
            <v>177725.16899999999</v>
          </cell>
          <cell r="J42">
            <v>220876.014</v>
          </cell>
          <cell r="K42">
            <v>243388.67246111063</v>
          </cell>
          <cell r="L42">
            <v>260155.0625328169</v>
          </cell>
          <cell r="M42">
            <v>283266.41056881676</v>
          </cell>
          <cell r="O42" t="str">
            <v>Non-interest Inc/Opg Income</v>
          </cell>
          <cell r="P42" t="e">
            <v>#DIV/0!</v>
          </cell>
          <cell r="Q42" t="e">
            <v>#DIV/0!</v>
          </cell>
          <cell r="R42">
            <v>16.711478289925427</v>
          </cell>
          <cell r="S42">
            <v>18.00524820454374</v>
          </cell>
          <cell r="T42">
            <v>20.770132034080042</v>
          </cell>
          <cell r="U42">
            <v>20.835664348673021</v>
          </cell>
          <cell r="V42">
            <v>25.092977320881587</v>
          </cell>
          <cell r="W42">
            <v>24.295891255590266</v>
          </cell>
          <cell r="X42">
            <v>16.114501773160406</v>
          </cell>
          <cell r="Y42">
            <v>16.39598048071467</v>
          </cell>
          <cell r="Z42">
            <v>16.087798825993811</v>
          </cell>
        </row>
        <row r="43">
          <cell r="B43" t="str">
            <v>RWA</v>
          </cell>
          <cell r="C43">
            <v>0</v>
          </cell>
          <cell r="D43">
            <v>0</v>
          </cell>
          <cell r="E43">
            <v>40358.226834557849</v>
          </cell>
          <cell r="F43">
            <v>87325.814299811536</v>
          </cell>
          <cell r="G43">
            <v>89159.471386995661</v>
          </cell>
          <cell r="H43">
            <v>99255.289309999993</v>
          </cell>
          <cell r="I43">
            <v>113557.486</v>
          </cell>
          <cell r="J43">
            <v>135496</v>
          </cell>
          <cell r="K43">
            <v>133863.76985361087</v>
          </cell>
          <cell r="L43">
            <v>143085.28439304931</v>
          </cell>
          <cell r="M43">
            <v>155796.52581284923</v>
          </cell>
          <cell r="O43" t="str">
            <v>Forex Income/Operating Income</v>
          </cell>
          <cell r="P43" t="e">
            <v>#DIV/0!</v>
          </cell>
          <cell r="Q43" t="e">
            <v>#DIV/0!</v>
          </cell>
          <cell r="R43">
            <v>4.0913872578084671</v>
          </cell>
          <cell r="S43">
            <v>3.7279301913929226</v>
          </cell>
          <cell r="T43">
            <v>2.9611386129778032</v>
          </cell>
          <cell r="U43">
            <v>1.0394256038790164</v>
          </cell>
          <cell r="V43">
            <v>2.0781608417780308</v>
          </cell>
          <cell r="W43">
            <v>1.8568281816881818</v>
          </cell>
          <cell r="X43">
            <v>-0.30162193853710006</v>
          </cell>
          <cell r="Y43">
            <v>0</v>
          </cell>
          <cell r="Z43">
            <v>0</v>
          </cell>
        </row>
        <row r="44">
          <cell r="B44" t="str">
            <v>Total Liquid Assets</v>
          </cell>
          <cell r="C44">
            <v>0</v>
          </cell>
          <cell r="D44">
            <v>0</v>
          </cell>
          <cell r="E44">
            <v>21689.015449180937</v>
          </cell>
          <cell r="F44">
            <v>40708.053</v>
          </cell>
          <cell r="G44">
            <v>40374.689000000006</v>
          </cell>
          <cell r="H44">
            <v>44036.509999999995</v>
          </cell>
          <cell r="I44">
            <v>46064.578000000001</v>
          </cell>
          <cell r="J44">
            <v>64514.883999999991</v>
          </cell>
          <cell r="K44">
            <v>71361.631428163935</v>
          </cell>
          <cell r="L44">
            <v>72253.458598232988</v>
          </cell>
          <cell r="M44">
            <v>79340.875471888838</v>
          </cell>
        </row>
        <row r="45">
          <cell r="B45" t="str">
            <v>Gross Customer Loans</v>
          </cell>
          <cell r="C45">
            <v>0</v>
          </cell>
          <cell r="D45">
            <v>0</v>
          </cell>
          <cell r="E45">
            <v>46048.02727117802</v>
          </cell>
          <cell r="F45">
            <v>97649.061000000002</v>
          </cell>
          <cell r="G45">
            <v>99043.323999999993</v>
          </cell>
          <cell r="H45">
            <v>108332.572</v>
          </cell>
          <cell r="I45">
            <v>124179.59299999999</v>
          </cell>
          <cell r="J45">
            <v>150881.48799999998</v>
          </cell>
          <cell r="K45">
            <v>168987.25779000006</v>
          </cell>
          <cell r="L45">
            <v>187144.06387627145</v>
          </cell>
          <cell r="M45">
            <v>205183.32090217891</v>
          </cell>
          <cell r="O45" t="str">
            <v>Efficiency (%)</v>
          </cell>
        </row>
        <row r="46">
          <cell r="B46" t="str">
            <v>Total Customer Deposits</v>
          </cell>
          <cell r="C46">
            <v>0</v>
          </cell>
          <cell r="D46">
            <v>0</v>
          </cell>
          <cell r="E46">
            <v>33851.352686086015</v>
          </cell>
          <cell r="F46">
            <v>75496.45</v>
          </cell>
          <cell r="G46">
            <v>74764.328999999998</v>
          </cell>
          <cell r="H46">
            <v>77204.725000000006</v>
          </cell>
          <cell r="I46">
            <v>82270.615999999995</v>
          </cell>
          <cell r="J46">
            <v>90349.616999999984</v>
          </cell>
          <cell r="K46">
            <v>99384.578699999984</v>
          </cell>
          <cell r="L46">
            <v>106341.49920899999</v>
          </cell>
          <cell r="M46">
            <v>113785.40415362999</v>
          </cell>
          <cell r="O46" t="str">
            <v>Cost/Income</v>
          </cell>
          <cell r="P46" t="e">
            <v>#DIV/0!</v>
          </cell>
          <cell r="Q46" t="e">
            <v>#DIV/0!</v>
          </cell>
          <cell r="R46">
            <v>45.031702465428538</v>
          </cell>
          <cell r="S46">
            <v>37.9</v>
          </cell>
          <cell r="T46">
            <v>43.389054525882663</v>
          </cell>
          <cell r="U46">
            <v>47.543666273143636</v>
          </cell>
          <cell r="V46">
            <v>49.699963286840173</v>
          </cell>
          <cell r="W46">
            <v>46.533157822066421</v>
          </cell>
          <cell r="X46">
            <v>49.592511672005863</v>
          </cell>
          <cell r="Y46">
            <v>49.236439031637161</v>
          </cell>
          <cell r="Z46">
            <v>47.949299665837437</v>
          </cell>
        </row>
        <row r="47">
          <cell r="B47" t="str">
            <v>Certificates of Deposits</v>
          </cell>
          <cell r="C47">
            <v>0</v>
          </cell>
          <cell r="D47">
            <v>0</v>
          </cell>
          <cell r="E47">
            <v>2776.6493348669974</v>
          </cell>
          <cell r="F47">
            <v>7163.7519999999931</v>
          </cell>
          <cell r="G47">
            <v>8061.3179999999993</v>
          </cell>
          <cell r="H47">
            <v>10686.451000000001</v>
          </cell>
          <cell r="I47">
            <v>13238.382000000012</v>
          </cell>
          <cell r="J47">
            <v>15842.782000000007</v>
          </cell>
          <cell r="K47">
            <v>17743.915840000009</v>
          </cell>
          <cell r="L47">
            <v>20228.064057600011</v>
          </cell>
          <cell r="M47">
            <v>23059.993025664015</v>
          </cell>
          <cell r="O47" t="str">
            <v>Expenses/Avg Assets</v>
          </cell>
          <cell r="P47" t="e">
            <v>#DIV/0!</v>
          </cell>
          <cell r="Q47" t="e">
            <v>#DIV/0!</v>
          </cell>
          <cell r="R47">
            <v>2.8210002394409295</v>
          </cell>
          <cell r="S47">
            <v>1.3089467108199069</v>
          </cell>
          <cell r="T47">
            <v>1.5297130629214</v>
          </cell>
          <cell r="U47">
            <v>1.5814983475996303</v>
          </cell>
          <cell r="V47">
            <v>1.7594479150823299</v>
          </cell>
          <cell r="W47">
            <v>1.9903031747901261</v>
          </cell>
          <cell r="X47">
            <v>1.7394090286228241</v>
          </cell>
          <cell r="Y47">
            <v>1.7142686901141315</v>
          </cell>
          <cell r="Z47">
            <v>1.689118933282532</v>
          </cell>
        </row>
        <row r="48">
          <cell r="B48" t="str">
            <v>Other Interest Bearing Liability</v>
          </cell>
          <cell r="C48">
            <v>0</v>
          </cell>
          <cell r="D48">
            <v>0</v>
          </cell>
          <cell r="E48">
            <v>19747.217395110012</v>
          </cell>
          <cell r="F48">
            <v>34957.455000000002</v>
          </cell>
          <cell r="G48">
            <v>35009.203999999998</v>
          </cell>
          <cell r="H48">
            <v>38756.544999999998</v>
          </cell>
          <cell r="I48">
            <v>46376.911000000007</v>
          </cell>
          <cell r="J48">
            <v>66791.438999999984</v>
          </cell>
          <cell r="K48">
            <v>75266.209151861054</v>
          </cell>
          <cell r="L48">
            <v>79599.477080950572</v>
          </cell>
          <cell r="M48">
            <v>88750.24193201735</v>
          </cell>
        </row>
        <row r="49">
          <cell r="B49" t="str">
            <v>EOP Shareholders' Equity</v>
          </cell>
          <cell r="C49">
            <v>0</v>
          </cell>
          <cell r="D49">
            <v>0</v>
          </cell>
          <cell r="E49">
            <v>3961.3668422400751</v>
          </cell>
          <cell r="F49">
            <v>6119.0149999999994</v>
          </cell>
          <cell r="G49">
            <v>7834.8869999999988</v>
          </cell>
          <cell r="H49">
            <v>10210.873</v>
          </cell>
          <cell r="I49">
            <v>11512.105</v>
          </cell>
          <cell r="J49">
            <v>18174.415000000001</v>
          </cell>
          <cell r="K49">
            <v>19242.199384163687</v>
          </cell>
          <cell r="L49">
            <v>20952.503752767178</v>
          </cell>
          <cell r="M49">
            <v>23011.554350099646</v>
          </cell>
          <cell r="O49" t="str">
            <v>Rev Per Employee</v>
          </cell>
          <cell r="P49">
            <v>0</v>
          </cell>
          <cell r="Q49">
            <v>0</v>
          </cell>
          <cell r="R49">
            <v>0.17988302081541371</v>
          </cell>
          <cell r="S49">
            <v>0.40897866683547501</v>
          </cell>
          <cell r="T49">
            <v>0.44308123544659733</v>
          </cell>
          <cell r="U49">
            <v>0.44566358320970406</v>
          </cell>
          <cell r="V49">
            <v>0.53764404614963879</v>
          </cell>
          <cell r="W49">
            <v>0.79589458942159585</v>
          </cell>
          <cell r="X49">
            <v>0.75067451326927548</v>
          </cell>
          <cell r="Y49">
            <v>0.77410451079292508</v>
          </cell>
          <cell r="Z49">
            <v>0.8269919522362561</v>
          </cell>
        </row>
        <row r="50">
          <cell r="O50" t="str">
            <v>Exp Per Employee</v>
          </cell>
          <cell r="P50">
            <v>0</v>
          </cell>
          <cell r="Q50">
            <v>0</v>
          </cell>
          <cell r="R50">
            <v>8.1004386719421978E-2</v>
          </cell>
          <cell r="S50">
            <v>0.17068291447743245</v>
          </cell>
          <cell r="T50">
            <v>0.19224875884187867</v>
          </cell>
          <cell r="U50">
            <v>0.21188480670215551</v>
          </cell>
          <cell r="V50">
            <v>0.26720889355025251</v>
          </cell>
          <cell r="W50">
            <v>0.37035488539283878</v>
          </cell>
          <cell r="X50">
            <v>0.37227834561183865</v>
          </cell>
          <cell r="Y50">
            <v>0.3811414954977117</v>
          </cell>
          <cell r="Z50">
            <v>0.39653684939012163</v>
          </cell>
        </row>
        <row r="51">
          <cell r="B51" t="str">
            <v>Avg Loans</v>
          </cell>
          <cell r="C51">
            <v>0</v>
          </cell>
          <cell r="D51">
            <v>0</v>
          </cell>
          <cell r="E51">
            <v>23024.01363558901</v>
          </cell>
          <cell r="F51">
            <v>71848.544135589007</v>
          </cell>
          <cell r="G51">
            <v>98346.192500000005</v>
          </cell>
          <cell r="H51">
            <v>103687.948</v>
          </cell>
          <cell r="I51">
            <v>116256.08249999999</v>
          </cell>
          <cell r="J51">
            <v>137530.5405</v>
          </cell>
          <cell r="K51">
            <v>159934.37289500004</v>
          </cell>
          <cell r="L51">
            <v>178065.66083313577</v>
          </cell>
          <cell r="M51">
            <v>196163.69238922518</v>
          </cell>
          <cell r="O51" t="str">
            <v>Rev Per Branch</v>
          </cell>
          <cell r="P51">
            <v>0</v>
          </cell>
          <cell r="Q51">
            <v>0</v>
          </cell>
          <cell r="R51">
            <v>2.8905597788527984</v>
          </cell>
          <cell r="S51">
            <v>5.7123218390804587</v>
          </cell>
          <cell r="T51">
            <v>6.1795171568627465</v>
          </cell>
          <cell r="U51">
            <v>6.1086830143540656</v>
          </cell>
          <cell r="V51">
            <v>6.7476905329507959</v>
          </cell>
          <cell r="W51">
            <v>9.316315846994538</v>
          </cell>
          <cell r="X51">
            <v>8.9274295733756155</v>
          </cell>
          <cell r="Y51">
            <v>9.6117976756788206</v>
          </cell>
          <cell r="Z51">
            <v>10.495180762261434</v>
          </cell>
        </row>
        <row r="52">
          <cell r="B52" t="str">
            <v>Avg Total Assets</v>
          </cell>
          <cell r="C52">
            <v>0</v>
          </cell>
          <cell r="D52">
            <v>0</v>
          </cell>
          <cell r="E52">
            <v>33383.797237345818</v>
          </cell>
          <cell r="F52">
            <v>102994.18523734582</v>
          </cell>
          <cell r="G52">
            <v>143025.97350000002</v>
          </cell>
          <cell r="H52">
            <v>153524.53600000002</v>
          </cell>
          <cell r="I52">
            <v>168971.535</v>
          </cell>
          <cell r="J52">
            <v>199300.59149999998</v>
          </cell>
          <cell r="K52">
            <v>232132.3432305553</v>
          </cell>
          <cell r="L52">
            <v>251771.86749696377</v>
          </cell>
          <cell r="M52">
            <v>271710.7365508168</v>
          </cell>
          <cell r="O52" t="str">
            <v>Exp Per Branch</v>
          </cell>
          <cell r="P52">
            <v>0</v>
          </cell>
          <cell r="Q52">
            <v>0</v>
          </cell>
          <cell r="R52">
            <v>1.3016682791983414</v>
          </cell>
          <cell r="S52">
            <v>2.3839770114942529</v>
          </cell>
          <cell r="T52">
            <v>2.6812340686274512</v>
          </cell>
          <cell r="U52">
            <v>2.904291866028708</v>
          </cell>
          <cell r="V52">
            <v>3.3535997175861358</v>
          </cell>
          <cell r="W52">
            <v>4.3351759562841528</v>
          </cell>
          <cell r="X52">
            <v>4.4273365531864055</v>
          </cell>
          <cell r="Y52">
            <v>4.73250690242992</v>
          </cell>
          <cell r="Z52">
            <v>5.0323656741680569</v>
          </cell>
        </row>
        <row r="53">
          <cell r="B53" t="str">
            <v>Avg Total Deposits</v>
          </cell>
          <cell r="C53">
            <v>0</v>
          </cell>
          <cell r="D53">
            <v>0</v>
          </cell>
          <cell r="E53">
            <v>0</v>
          </cell>
          <cell r="F53">
            <v>63157.468750182001</v>
          </cell>
          <cell r="G53">
            <v>87560.33249999999</v>
          </cell>
          <cell r="H53">
            <v>89533.250499999995</v>
          </cell>
          <cell r="I53">
            <v>95648.982000000004</v>
          </cell>
          <cell r="J53">
            <v>105290.0295</v>
          </cell>
          <cell r="K53">
            <v>116519.99062</v>
          </cell>
          <cell r="L53">
            <v>127194.52713829999</v>
          </cell>
          <cell r="M53">
            <v>137587.52828144701</v>
          </cell>
          <cell r="O53" t="str">
            <v>Net Profit Per Branch</v>
          </cell>
          <cell r="P53" t="e">
            <v>#DIV/0!</v>
          </cell>
          <cell r="Q53" t="e">
            <v>#DIV/0!</v>
          </cell>
          <cell r="R53">
            <v>0.83229163787145788</v>
          </cell>
          <cell r="S53">
            <v>0.64188859416445476</v>
          </cell>
          <cell r="T53">
            <v>1.1923293029791331</v>
          </cell>
          <cell r="U53">
            <v>1.9536654218261971</v>
          </cell>
          <cell r="V53">
            <v>1.955911215619516</v>
          </cell>
          <cell r="W53">
            <v>2.3870117648448113</v>
          </cell>
          <cell r="X53">
            <v>2.4230150472819707</v>
          </cell>
          <cell r="Y53">
            <v>2.609300226068958</v>
          </cell>
          <cell r="Z53">
            <v>2.8847627516748551</v>
          </cell>
        </row>
        <row r="54">
          <cell r="B54" t="str">
            <v>Avg Shareholders' Equity</v>
          </cell>
          <cell r="F54">
            <v>5040.1909211200373</v>
          </cell>
          <cell r="G54">
            <v>6976.9509999999991</v>
          </cell>
          <cell r="H54">
            <v>9022.8799999999992</v>
          </cell>
          <cell r="I54">
            <v>10861.489</v>
          </cell>
          <cell r="J54">
            <v>14843.26</v>
          </cell>
          <cell r="K54">
            <v>18708.307192081844</v>
          </cell>
          <cell r="L54">
            <v>20097.351568465434</v>
          </cell>
          <cell r="M54">
            <v>21982.029051433412</v>
          </cell>
        </row>
        <row r="55">
          <cell r="B55" t="str">
            <v>Avg Equity/Avg Assets (%)</v>
          </cell>
          <cell r="C55" t="e">
            <v>#DIV/0!</v>
          </cell>
          <cell r="D55" t="e">
            <v>#DIV/0!</v>
          </cell>
          <cell r="E55">
            <v>5.4524656969496359</v>
          </cell>
          <cell r="F55">
            <v>4.4487415305500964</v>
          </cell>
          <cell r="G55">
            <v>4.6392556104503626</v>
          </cell>
          <cell r="H55">
            <v>5.8245699566875739</v>
          </cell>
          <cell r="I55">
            <v>6.3615871750232946</v>
          </cell>
          <cell r="J55">
            <v>7.3605719830490317</v>
          </cell>
          <cell r="K55">
            <v>7.9627142581003385</v>
          </cell>
          <cell r="L55">
            <v>7.8823030411468666</v>
          </cell>
          <cell r="M55">
            <v>7.9975121069127617</v>
          </cell>
          <cell r="O55" t="str">
            <v>Net Interest Margin Analysis (%)</v>
          </cell>
        </row>
        <row r="56">
          <cell r="B56" t="str">
            <v>Avg EA/Avg Assets (%)</v>
          </cell>
          <cell r="C56" t="e">
            <v>#DIV/0!</v>
          </cell>
          <cell r="D56" t="e">
            <v>#DIV/0!</v>
          </cell>
          <cell r="E56">
            <v>148.94946685206202</v>
          </cell>
          <cell r="F56">
            <v>56.272368062759945</v>
          </cell>
          <cell r="G56">
            <v>78.933622238201366</v>
          </cell>
          <cell r="H56">
            <v>74.889809551354034</v>
          </cell>
          <cell r="I56">
            <v>71.361576966203216</v>
          </cell>
          <cell r="J56">
            <v>69.64987557500551</v>
          </cell>
          <cell r="K56">
            <v>67.425659508612895</v>
          </cell>
          <cell r="L56">
            <v>66.768417526932041</v>
          </cell>
          <cell r="M56">
            <v>67.393591979284182</v>
          </cell>
          <cell r="O56" t="str">
            <v>Int Income/Avg EA</v>
          </cell>
          <cell r="P56" t="e">
            <v>#DIV/0!</v>
          </cell>
          <cell r="Q56" t="e">
            <v>#DIV/0!</v>
          </cell>
          <cell r="R56">
            <v>6.8304571536548186</v>
          </cell>
          <cell r="S56">
            <v>5.812725779495433</v>
          </cell>
          <cell r="T56">
            <v>6.4593240724097365</v>
          </cell>
          <cell r="U56">
            <v>6.1475321376469747</v>
          </cell>
          <cell r="V56">
            <v>6.1167174392145096</v>
          </cell>
          <cell r="W56">
            <v>6.3407976741940768</v>
          </cell>
          <cell r="X56">
            <v>6.5572836374824899</v>
          </cell>
          <cell r="Y56">
            <v>6.4528461878514509</v>
          </cell>
          <cell r="Z56">
            <v>6.4544183387152829</v>
          </cell>
        </row>
        <row r="57">
          <cell r="B57" t="str">
            <v>Avg Loans/Avg EA (%)</v>
          </cell>
          <cell r="C57" t="e">
            <v>#DIV/0!</v>
          </cell>
          <cell r="D57" t="e">
            <v>#DIV/0!</v>
          </cell>
          <cell r="E57">
            <v>46.302703251711215</v>
          </cell>
          <cell r="F57">
            <v>123.96813696475542</v>
          </cell>
          <cell r="G57">
            <v>87.112525649295975</v>
          </cell>
          <cell r="H57">
            <v>90.183639962345879</v>
          </cell>
          <cell r="I57">
            <v>96.413466139272359</v>
          </cell>
          <cell r="J57">
            <v>99.076399858012905</v>
          </cell>
          <cell r="K57">
            <v>102.18354217511374</v>
          </cell>
          <cell r="L57">
            <v>105.92583382494165</v>
          </cell>
          <cell r="M57">
            <v>107.12558921349159</v>
          </cell>
          <cell r="O57" t="str">
            <v>Int Exp/Avg Int Bearing Liab.</v>
          </cell>
          <cell r="P57" t="e">
            <v>#DIV/0!</v>
          </cell>
          <cell r="Q57" t="e">
            <v>#DIV/0!</v>
          </cell>
          <cell r="R57">
            <v>4.313763861049023</v>
          </cell>
          <cell r="S57">
            <v>3.7381446179738971</v>
          </cell>
          <cell r="T57">
            <v>3.4572568134634758</v>
          </cell>
          <cell r="U57">
            <v>3.2802055377221655</v>
          </cell>
          <cell r="V57">
            <v>3.7915133097783258</v>
          </cell>
          <cell r="W57">
            <v>4.2563240606711652</v>
          </cell>
          <cell r="X57">
            <v>4.593084030785155</v>
          </cell>
          <cell r="Y57">
            <v>4.540172851023037</v>
          </cell>
          <cell r="Z57">
            <v>4.599609432165896</v>
          </cell>
        </row>
        <row r="58">
          <cell r="O58" t="str">
            <v xml:space="preserve">Net Interest Spread </v>
          </cell>
          <cell r="P58">
            <v>0</v>
          </cell>
          <cell r="Q58">
            <v>0</v>
          </cell>
          <cell r="R58">
            <v>2.5166932926057961</v>
          </cell>
          <cell r="S58">
            <v>2.0745811615215359</v>
          </cell>
          <cell r="T58">
            <v>3.0020672589462603</v>
          </cell>
          <cell r="U58">
            <v>2.8673265999248092</v>
          </cell>
          <cell r="V58">
            <v>2.3252041294361843</v>
          </cell>
          <cell r="W58">
            <v>2.0844736135229116</v>
          </cell>
          <cell r="X58">
            <v>1.9641996066973353</v>
          </cell>
          <cell r="Y58">
            <v>1.9126733368284139</v>
          </cell>
          <cell r="Z58">
            <v>1.8548089065493871</v>
          </cell>
        </row>
        <row r="59">
          <cell r="B59" t="str">
            <v>Asset Quality</v>
          </cell>
          <cell r="O59" t="str">
            <v>Contribution From Free Funds</v>
          </cell>
          <cell r="P59" t="e">
            <v>#DIV/0!</v>
          </cell>
          <cell r="Q59" t="e">
            <v>#DIV/0!</v>
          </cell>
          <cell r="R59">
            <v>2.6931252864180077E-2</v>
          </cell>
          <cell r="S59">
            <v>-3.6175865426397724E-2</v>
          </cell>
          <cell r="T59">
            <v>0.10058780529315792</v>
          </cell>
          <cell r="U59">
            <v>0.1200426759698181</v>
          </cell>
          <cell r="V59">
            <v>0.18928183604527105</v>
          </cell>
          <cell r="W59">
            <v>0.23464631890628507</v>
          </cell>
          <cell r="X59">
            <v>0.22917300948636443</v>
          </cell>
          <cell r="Y59">
            <v>0.20914229095778847</v>
          </cell>
          <cell r="Z59">
            <v>0.23606920121243324</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t="e">
            <v>#DIV/0!</v>
          </cell>
          <cell r="Q60" t="e">
            <v>#DIV/0!</v>
          </cell>
          <cell r="R60">
            <v>2.5436245454699762</v>
          </cell>
          <cell r="S60">
            <v>2.0384052960951382</v>
          </cell>
          <cell r="T60">
            <v>3.1026550642394182</v>
          </cell>
          <cell r="U60">
            <v>2.9873692758946273</v>
          </cell>
          <cell r="V60">
            <v>2.5144859654814553</v>
          </cell>
          <cell r="W60">
            <v>2.3191199324291967</v>
          </cell>
          <cell r="X60">
            <v>2.1933726161836997</v>
          </cell>
          <cell r="Y60">
            <v>2.1218156277862024</v>
          </cell>
          <cell r="Z60">
            <v>2.0908781077618204</v>
          </cell>
        </row>
        <row r="61">
          <cell r="B61" t="str">
            <v>Non-performing Loans (NPL)</v>
          </cell>
          <cell r="C61">
            <v>0</v>
          </cell>
          <cell r="D61">
            <v>1015.9639100000001</v>
          </cell>
          <cell r="E61">
            <v>702.2805179363703</v>
          </cell>
          <cell r="F61">
            <v>3444.8</v>
          </cell>
          <cell r="G61">
            <v>1702.1000000000001</v>
          </cell>
          <cell r="H61">
            <v>1210.4462781789998</v>
          </cell>
          <cell r="I61">
            <v>1078.5999999999999</v>
          </cell>
          <cell r="J61">
            <v>1590.1569686790003</v>
          </cell>
          <cell r="K61">
            <v>2030.8519399963293</v>
          </cell>
          <cell r="L61">
            <v>2646.0640784072971</v>
          </cell>
          <cell r="M61">
            <v>3363.1542232852744</v>
          </cell>
        </row>
        <row r="62">
          <cell r="B62" t="str">
            <v>Gross NPL Ratio (%)</v>
          </cell>
          <cell r="C62">
            <v>0</v>
          </cell>
          <cell r="D62">
            <v>2.7610022100621237</v>
          </cell>
          <cell r="E62">
            <v>1.5289946470795288</v>
          </cell>
          <cell r="F62">
            <v>3.4854367065618042</v>
          </cell>
          <cell r="G62">
            <v>1.7078126332582488</v>
          </cell>
          <cell r="H62">
            <v>1.110445535649885</v>
          </cell>
          <cell r="I62">
            <v>0.84865317812196339</v>
          </cell>
          <cell r="J62">
            <v>0.99705310837549344</v>
          </cell>
          <cell r="K62">
            <v>1.1523761970019661</v>
          </cell>
          <cell r="L62">
            <v>1.3466089810653352</v>
          </cell>
          <cell r="M62">
            <v>1.5419310496906753</v>
          </cell>
          <cell r="O62" t="str">
            <v>Liquidity (%)</v>
          </cell>
        </row>
        <row r="63">
          <cell r="B63" t="str">
            <v>Loan Loss Reserve (LLR)</v>
          </cell>
          <cell r="C63">
            <v>0</v>
          </cell>
          <cell r="D63">
            <v>557</v>
          </cell>
          <cell r="E63">
            <v>2886.0508423473698</v>
          </cell>
          <cell r="F63">
            <v>2823.1096119999997</v>
          </cell>
          <cell r="G63">
            <v>1941.75</v>
          </cell>
          <cell r="H63">
            <v>1772.4233314994103</v>
          </cell>
          <cell r="I63">
            <v>1942.2000000000003</v>
          </cell>
          <cell r="J63">
            <v>3050.4851436695494</v>
          </cell>
          <cell r="K63">
            <v>3600.913511971065</v>
          </cell>
          <cell r="L63">
            <v>4691.8666988627001</v>
          </cell>
          <cell r="M63">
            <v>5959.2513421799431</v>
          </cell>
          <cell r="O63" t="str">
            <v>Avg Loans/Avg EA</v>
          </cell>
          <cell r="P63" t="e">
            <v>#DIV/0!</v>
          </cell>
          <cell r="Q63" t="e">
            <v>#DIV/0!</v>
          </cell>
          <cell r="R63">
            <v>46.302703251711215</v>
          </cell>
          <cell r="S63">
            <v>123.96813696475542</v>
          </cell>
          <cell r="T63">
            <v>87.112525649295975</v>
          </cell>
          <cell r="U63">
            <v>90.183639962345879</v>
          </cell>
          <cell r="V63">
            <v>96.413466139272359</v>
          </cell>
          <cell r="W63">
            <v>99.076399858012905</v>
          </cell>
          <cell r="X63">
            <v>102.18354217511374</v>
          </cell>
          <cell r="Y63">
            <v>105.92583382494165</v>
          </cell>
          <cell r="Z63">
            <v>107.12558921349159</v>
          </cell>
        </row>
        <row r="64">
          <cell r="B64" t="str">
            <v>LLR/NPL (%)</v>
          </cell>
          <cell r="C64" t="str">
            <v>na</v>
          </cell>
          <cell r="D64">
            <v>54.824782112585083</v>
          </cell>
          <cell r="E64">
            <v>410.95413707729517</v>
          </cell>
          <cell r="F64">
            <v>81.952787157454694</v>
          </cell>
          <cell r="G64">
            <v>114.07966629457729</v>
          </cell>
          <cell r="H64">
            <v>146.42726104010589</v>
          </cell>
          <cell r="I64">
            <v>180.06675319859079</v>
          </cell>
          <cell r="J64">
            <v>191.83547308563479</v>
          </cell>
          <cell r="K64">
            <v>177.31048931009582</v>
          </cell>
          <cell r="L64">
            <v>177.31493115188655</v>
          </cell>
          <cell r="M64">
            <v>177.19233037010977</v>
          </cell>
          <cell r="O64" t="str">
            <v>Avg Liquid Assets/AEA</v>
          </cell>
          <cell r="P64" t="e">
            <v>#DIV/0!</v>
          </cell>
          <cell r="Q64" t="e">
            <v>#DIV/0!</v>
          </cell>
          <cell r="R64">
            <v>21.808970018435136</v>
          </cell>
          <cell r="S64">
            <v>53.830237068615503</v>
          </cell>
          <cell r="T64">
            <v>35.910502799537696</v>
          </cell>
          <cell r="U64">
            <v>36.708746417693263</v>
          </cell>
          <cell r="V64">
            <v>37.361306222406036</v>
          </cell>
          <cell r="W64">
            <v>39.830480391356943</v>
          </cell>
          <cell r="X64">
            <v>43.406377858425145</v>
          </cell>
          <cell r="Y64">
            <v>42.716119687854189</v>
          </cell>
          <cell r="Z64">
            <v>41.393063519793046</v>
          </cell>
        </row>
        <row r="65">
          <cell r="B65" t="str">
            <v>LLR/Total Credit (%)</v>
          </cell>
          <cell r="C65" t="e">
            <v>#DIV/0!</v>
          </cell>
          <cell r="D65">
            <v>1.5137134457902177</v>
          </cell>
          <cell r="E65">
            <v>6.283466757863712</v>
          </cell>
          <cell r="F65">
            <v>2.8564125256363941</v>
          </cell>
          <cell r="G65">
            <v>1.9482669529576433</v>
          </cell>
          <cell r="H65">
            <v>1.6259949831942591</v>
          </cell>
          <cell r="I65">
            <v>1.5281422237608731</v>
          </cell>
          <cell r="J65">
            <v>1.9127015473671547</v>
          </cell>
          <cell r="K65">
            <v>2.0432838735972596</v>
          </cell>
          <cell r="L65">
            <v>2.3877387876611205</v>
          </cell>
          <cell r="M65">
            <v>2.7321835596472033</v>
          </cell>
          <cell r="O65" t="str">
            <v>Avg Loans/Avg Deposits</v>
          </cell>
          <cell r="P65" t="e">
            <v>#DIV/0!</v>
          </cell>
          <cell r="Q65" t="e">
            <v>#DIV/0!</v>
          </cell>
          <cell r="R65" t="e">
            <v>#DIV/0!</v>
          </cell>
          <cell r="S65">
            <v>113.7609621750111</v>
          </cell>
          <cell r="T65">
            <v>112.3182035655244</v>
          </cell>
          <cell r="U65">
            <v>115.80943104483849</v>
          </cell>
          <cell r="V65">
            <v>121.54450582652305</v>
          </cell>
          <cell r="W65">
            <v>130.62066859806512</v>
          </cell>
          <cell r="X65">
            <v>137.25917076030748</v>
          </cell>
          <cell r="Y65">
            <v>139.99475043413074</v>
          </cell>
          <cell r="Z65">
            <v>142.57374548364271</v>
          </cell>
        </row>
        <row r="66">
          <cell r="O66" t="str">
            <v>Avg Loans/Avg Depo &amp; Equity</v>
          </cell>
          <cell r="P66" t="e">
            <v>#DIV/0!</v>
          </cell>
          <cell r="Q66" t="e">
            <v>#DIV/0!</v>
          </cell>
          <cell r="R66">
            <v>122.82148869330368</v>
          </cell>
          <cell r="S66">
            <v>121.25140126636254</v>
          </cell>
          <cell r="T66">
            <v>120.2780095034925</v>
          </cell>
          <cell r="U66">
            <v>122.09114849209148</v>
          </cell>
          <cell r="V66">
            <v>128.47829745423377</v>
          </cell>
          <cell r="W66">
            <v>136.19611817336107</v>
          </cell>
          <cell r="X66">
            <v>141.09640424646136</v>
          </cell>
          <cell r="Y66">
            <v>145.11278201539329</v>
          </cell>
          <cell r="Z66">
            <v>148.84164763646658</v>
          </cell>
        </row>
        <row r="67">
          <cell r="B67" t="str">
            <v>Specific Reserve</v>
          </cell>
          <cell r="C67">
            <v>0</v>
          </cell>
          <cell r="D67">
            <v>173.31301500000001</v>
          </cell>
          <cell r="E67">
            <v>222.35739149480787</v>
          </cell>
          <cell r="F67">
            <v>462.04250000000002</v>
          </cell>
          <cell r="G67">
            <v>477.67849999999999</v>
          </cell>
          <cell r="H67">
            <v>528.22919854546501</v>
          </cell>
          <cell r="I67">
            <v>622.12099999999998</v>
          </cell>
          <cell r="J67">
            <v>780.54542193505972</v>
          </cell>
          <cell r="K67">
            <v>860.2492158058709</v>
          </cell>
          <cell r="L67">
            <v>957.20285274076321</v>
          </cell>
          <cell r="M67">
            <v>1060.269556984882</v>
          </cell>
          <cell r="O67" t="str">
            <v>Period-End Loans/Deposits</v>
          </cell>
          <cell r="P67" t="e">
            <v>#DIV/0!</v>
          </cell>
          <cell r="Q67" t="e">
            <v>#DIV/0!</v>
          </cell>
          <cell r="R67">
            <v>118.9185265911994</v>
          </cell>
          <cell r="S67">
            <v>111.48094179868266</v>
          </cell>
          <cell r="T67">
            <v>113.15608274649296</v>
          </cell>
          <cell r="U67">
            <v>118.34653378027269</v>
          </cell>
          <cell r="V67">
            <v>124.47893621143315</v>
          </cell>
          <cell r="W67">
            <v>136.1493938271513</v>
          </cell>
          <cell r="X67">
            <v>138.26544332463874</v>
          </cell>
          <cell r="Y67">
            <v>141.59386960465937</v>
          </cell>
          <cell r="Z67">
            <v>143.47937400388361</v>
          </cell>
        </row>
        <row r="68">
          <cell r="B68" t="str">
            <v>Specific Reserve/NPLs (%)</v>
          </cell>
          <cell r="C68" t="str">
            <v>na</v>
          </cell>
          <cell r="D68">
            <v>17.058973581059586</v>
          </cell>
          <cell r="E68">
            <v>31.662189939171064</v>
          </cell>
          <cell r="F68">
            <v>13.412752554575011</v>
          </cell>
          <cell r="G68">
            <v>28.064067916103635</v>
          </cell>
          <cell r="H68">
            <v>43.639210435686174</v>
          </cell>
          <cell r="I68">
            <v>57.678564806230305</v>
          </cell>
          <cell r="J68">
            <v>49.086061144233227</v>
          </cell>
          <cell r="K68">
            <v>42.35903163907782</v>
          </cell>
          <cell r="L68">
            <v>36.174590802688236</v>
          </cell>
          <cell r="M68">
            <v>31.526046282503362</v>
          </cell>
        </row>
        <row r="69">
          <cell r="B69" t="str">
            <v>General Reserve</v>
          </cell>
          <cell r="C69">
            <v>0</v>
          </cell>
          <cell r="D69">
            <v>383.68698499999999</v>
          </cell>
          <cell r="E69">
            <v>2663.6934508525619</v>
          </cell>
          <cell r="F69">
            <v>2361.0671119999997</v>
          </cell>
          <cell r="G69">
            <v>1464.0715</v>
          </cell>
          <cell r="H69">
            <v>1244.1941329539454</v>
          </cell>
          <cell r="I69">
            <v>1320.0790000000002</v>
          </cell>
          <cell r="J69">
            <v>2269.9397217344895</v>
          </cell>
          <cell r="K69">
            <v>2740.6642961651942</v>
          </cell>
          <cell r="L69">
            <v>3734.6638461219368</v>
          </cell>
          <cell r="M69">
            <v>4898.9817851950611</v>
          </cell>
          <cell r="O69" t="str">
            <v>Capital Information</v>
          </cell>
        </row>
        <row r="70">
          <cell r="B70" t="str">
            <v>General Reserve/NPLs (%)</v>
          </cell>
          <cell r="C70" t="e">
            <v>#DIV/0!</v>
          </cell>
          <cell r="D70">
            <v>37.765808531525494</v>
          </cell>
          <cell r="E70">
            <v>379.2919471381241</v>
          </cell>
          <cell r="F70">
            <v>68.5400346028797</v>
          </cell>
          <cell r="G70">
            <v>86.015598378473641</v>
          </cell>
          <cell r="H70">
            <v>102.78805060441971</v>
          </cell>
          <cell r="I70">
            <v>122.38818839236049</v>
          </cell>
          <cell r="J70">
            <v>142.74941194140155</v>
          </cell>
          <cell r="K70">
            <v>134.95145767101801</v>
          </cell>
          <cell r="L70">
            <v>141.14034034919831</v>
          </cell>
          <cell r="M70">
            <v>145.66628408760641</v>
          </cell>
          <cell r="O70" t="str">
            <v>Tier 1 Ratio (%)</v>
          </cell>
          <cell r="P70" t="e">
            <v>#DIV/0!</v>
          </cell>
          <cell r="Q70" t="e">
            <v>#DIV/0!</v>
          </cell>
          <cell r="R70">
            <v>6.8123756062686791</v>
          </cell>
          <cell r="S70">
            <v>5.4802843554934402</v>
          </cell>
          <cell r="T70">
            <v>6.3272080024969855</v>
          </cell>
          <cell r="U70">
            <v>7.4047330888788494</v>
          </cell>
          <cell r="V70">
            <v>7.8106308200588392</v>
          </cell>
          <cell r="W70">
            <v>7.6363877900454629</v>
          </cell>
          <cell r="X70">
            <v>8.376806047056176</v>
          </cell>
          <cell r="Y70">
            <v>8.3370969111653732</v>
          </cell>
          <cell r="Z70">
            <v>8.2206549611334463</v>
          </cell>
        </row>
        <row r="71">
          <cell r="B71" t="str">
            <v>Net Charge-offs (NCO)</v>
          </cell>
          <cell r="C71">
            <v>1255.2463950000001</v>
          </cell>
          <cell r="D71">
            <v>1785.11</v>
          </cell>
          <cell r="E71">
            <v>188.6</v>
          </cell>
          <cell r="F71">
            <v>565.9</v>
          </cell>
          <cell r="G71">
            <v>1817.79</v>
          </cell>
          <cell r="H71">
            <v>797.197</v>
          </cell>
          <cell r="I71">
            <v>371.4</v>
          </cell>
          <cell r="J71">
            <v>801.97596778499997</v>
          </cell>
          <cell r="K71">
            <v>415.98584243904645</v>
          </cell>
          <cell r="L71">
            <v>-7.3980157338691868</v>
          </cell>
          <cell r="M71">
            <v>11.25595200841002</v>
          </cell>
          <cell r="O71" t="str">
            <v>Tier 2 Ratio (%)</v>
          </cell>
          <cell r="P71" t="e">
            <v>#DIV/0!</v>
          </cell>
          <cell r="Q71" t="e">
            <v>#DIV/0!</v>
          </cell>
          <cell r="R71">
            <v>4.2299674289411904</v>
          </cell>
          <cell r="S71">
            <v>4.5561204744126327</v>
          </cell>
          <cell r="T71">
            <v>4.7180386173666893</v>
          </cell>
          <cell r="U71">
            <v>4.493840702100111</v>
          </cell>
          <cell r="V71">
            <v>4.3088458298557262</v>
          </cell>
          <cell r="W71">
            <v>4.5160004723386669</v>
          </cell>
          <cell r="X71">
            <v>4.7273270300430204</v>
          </cell>
          <cell r="Y71">
            <v>4.8051417324854695</v>
          </cell>
          <cell r="Z71">
            <v>4.8193828470378302</v>
          </cell>
        </row>
        <row r="72">
          <cell r="B72" t="str">
            <v>NCO/Avg Total Credit (%)</v>
          </cell>
          <cell r="C72" t="e">
            <v>#DIV/0!</v>
          </cell>
          <cell r="D72">
            <v>4.8512477723780529</v>
          </cell>
          <cell r="E72">
            <v>0.4559531752059679</v>
          </cell>
          <cell r="F72">
            <v>0.7818189808982986</v>
          </cell>
          <cell r="G72">
            <v>1.8315301391035548</v>
          </cell>
          <cell r="H72">
            <v>0.76407085603612723</v>
          </cell>
          <cell r="I72">
            <v>0.31461117143916567</v>
          </cell>
          <cell r="J72">
            <v>0.55968501273387472</v>
          </cell>
          <cell r="K72">
            <v>0.24781908015903414</v>
          </cell>
          <cell r="L72">
            <v>-3.9696378831054358E-3</v>
          </cell>
          <cell r="M72">
            <v>5.4296385876669157E-3</v>
          </cell>
          <cell r="O72" t="str">
            <v>Total CAR (%)</v>
          </cell>
          <cell r="P72" t="e">
            <v>#DIV/0!</v>
          </cell>
          <cell r="Q72" t="e">
            <v>#DIV/0!</v>
          </cell>
          <cell r="R72">
            <v>11.042343035209869</v>
          </cell>
          <cell r="S72">
            <v>10.036404829906072</v>
          </cell>
          <cell r="T72">
            <v>11.045246619863676</v>
          </cell>
          <cell r="U72">
            <v>11.898573790978961</v>
          </cell>
          <cell r="V72">
            <v>12.119476649914565</v>
          </cell>
          <cell r="W72">
            <v>12.152388262384129</v>
          </cell>
          <cell r="X72">
            <v>13.104133077099196</v>
          </cell>
          <cell r="Y72">
            <v>13.142238643650842</v>
          </cell>
          <cell r="Z72">
            <v>13.040037808171277</v>
          </cell>
        </row>
        <row r="73">
          <cell r="B73" t="str">
            <v>LLPE/Avg Loans (%)</v>
          </cell>
          <cell r="C73" t="e">
            <v>#DIV/0!</v>
          </cell>
          <cell r="D73" t="e">
            <v>#DIV/0!</v>
          </cell>
          <cell r="E73">
            <v>0.9144626272916716</v>
          </cell>
          <cell r="F73">
            <v>1.5259780322492567</v>
          </cell>
          <cell r="G73">
            <v>1.4080972173884616</v>
          </cell>
          <cell r="H73">
            <v>0.87058623245201072</v>
          </cell>
          <cell r="I73">
            <v>0.50282014276543352</v>
          </cell>
          <cell r="J73">
            <v>0.6299858902975809</v>
          </cell>
          <cell r="K73">
            <v>0.40042312302747241</v>
          </cell>
          <cell r="L73">
            <v>0.43779085058307904</v>
          </cell>
          <cell r="M73">
            <v>0.49685065745590967</v>
          </cell>
        </row>
        <row r="152">
          <cell r="O152">
            <v>3810988.7930000001</v>
          </cell>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Out"/>
      <sheetName val="Result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Results"/>
      <sheetName val="Cover"/>
      <sheetName val="AFFILIATES (2)"/>
      <sheetName val="Charts"/>
      <sheetName val="For report"/>
      <sheetName val="valuationExhibits"/>
      <sheetName val="Exhibits"/>
      <sheetName val="目標株価"/>
      <sheetName val="Annual"/>
      <sheetName val="CREDIT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HANA FINANCIAL GROUP (086790.KS)</v>
          </cell>
          <cell r="P2" t="str">
            <v>Foreign exchange rate</v>
          </cell>
          <cell r="X2">
            <v>1343</v>
          </cell>
        </row>
        <row r="3">
          <cell r="P3" t="str">
            <v>Current share price</v>
          </cell>
          <cell r="X3">
            <v>22050</v>
          </cell>
          <cell r="Y3">
            <v>16.418466120625464</v>
          </cell>
        </row>
        <row r="5">
          <cell r="B5" t="str">
            <v>Profit and Loss Statements</v>
          </cell>
          <cell r="P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v>2008</v>
          </cell>
          <cell r="L6" t="str">
            <v>2009E</v>
          </cell>
          <cell r="M6" t="str">
            <v>2010E</v>
          </cell>
          <cell r="N6" t="str">
            <v>2011E</v>
          </cell>
          <cell r="P6" t="str">
            <v>Won billions, Year ending Dec 31</v>
          </cell>
          <cell r="Q6">
            <v>2000</v>
          </cell>
          <cell r="R6">
            <v>2001</v>
          </cell>
          <cell r="S6">
            <v>2002</v>
          </cell>
          <cell r="T6">
            <v>2003</v>
          </cell>
          <cell r="U6">
            <v>2004</v>
          </cell>
          <cell r="V6">
            <v>2005</v>
          </cell>
          <cell r="W6">
            <v>2006</v>
          </cell>
          <cell r="X6">
            <v>2007</v>
          </cell>
          <cell r="Y6">
            <v>2008</v>
          </cell>
          <cell r="Z6" t="str">
            <v>2009E</v>
          </cell>
          <cell r="AA6" t="str">
            <v>2010E</v>
          </cell>
          <cell r="AB6" t="str">
            <v>2011E</v>
          </cell>
        </row>
        <row r="7">
          <cell r="B7" t="str">
            <v>Avg Earning Assets</v>
          </cell>
          <cell r="C7">
            <v>41630.420756499996</v>
          </cell>
          <cell r="D7">
            <v>57006.342904999998</v>
          </cell>
          <cell r="E7">
            <v>44447.248813375001</v>
          </cell>
          <cell r="F7">
            <v>66999.274650250009</v>
          </cell>
          <cell r="G7">
            <v>71044.64224999999</v>
          </cell>
          <cell r="H7">
            <v>76006.012629992125</v>
          </cell>
          <cell r="I7">
            <v>88759.657000000007</v>
          </cell>
          <cell r="J7">
            <v>99423.021999999997</v>
          </cell>
          <cell r="K7">
            <v>114830.74400000001</v>
          </cell>
          <cell r="L7">
            <v>123180.26802796163</v>
          </cell>
          <cell r="M7">
            <v>126804.02161527581</v>
          </cell>
          <cell r="N7">
            <v>131886.61177515215</v>
          </cell>
          <cell r="P7" t="str">
            <v>Book Value Per Share (Won)</v>
          </cell>
          <cell r="Q7">
            <v>9373.0969626120514</v>
          </cell>
          <cell r="R7">
            <v>10328.444430835849</v>
          </cell>
          <cell r="S7">
            <v>13830.078535870867</v>
          </cell>
          <cell r="T7">
            <v>16486.216283571532</v>
          </cell>
          <cell r="U7">
            <v>25270.053906182126</v>
          </cell>
          <cell r="V7">
            <v>30662.088049269507</v>
          </cell>
          <cell r="W7">
            <v>36739.657652704125</v>
          </cell>
          <cell r="X7">
            <v>44009.756395836928</v>
          </cell>
          <cell r="Y7">
            <v>42182.042973828371</v>
          </cell>
          <cell r="Z7">
            <v>43024.536958237666</v>
          </cell>
          <cell r="AA7">
            <v>44577.155484940078</v>
          </cell>
          <cell r="AB7">
            <v>46562.852459314177</v>
          </cell>
        </row>
        <row r="8">
          <cell r="B8" t="str">
            <v>Net Interest Margin (%)</v>
          </cell>
          <cell r="C8">
            <v>2.5959599671623828</v>
          </cell>
          <cell r="D8">
            <v>1.9422254990907144</v>
          </cell>
          <cell r="E8">
            <v>2.1527687372678668</v>
          </cell>
          <cell r="F8">
            <v>2.3246983017810745</v>
          </cell>
          <cell r="G8">
            <v>2.4383864498944683</v>
          </cell>
          <cell r="H8">
            <v>2.4167443290863639</v>
          </cell>
          <cell r="I8">
            <v>2.4020890481809785</v>
          </cell>
          <cell r="J8">
            <v>2.312278337305016</v>
          </cell>
          <cell r="K8">
            <v>2.0556045513386207</v>
          </cell>
          <cell r="L8">
            <v>1.6942136697422991</v>
          </cell>
          <cell r="M8">
            <v>1.8341097125864336</v>
          </cell>
          <cell r="N8">
            <v>1.8411394865284065</v>
          </cell>
          <cell r="P8" t="str">
            <v>Price/Book (x)</v>
          </cell>
          <cell r="Q8">
            <v>2.3524775309542094</v>
          </cell>
          <cell r="R8">
            <v>2.1348810217896057</v>
          </cell>
          <cell r="S8">
            <v>1.5943510329901054</v>
          </cell>
          <cell r="T8">
            <v>1.33748093684618</v>
          </cell>
          <cell r="U8">
            <v>0.87257431590225598</v>
          </cell>
          <cell r="V8">
            <v>0.71912910707740663</v>
          </cell>
          <cell r="W8">
            <v>0.60016890218292684</v>
          </cell>
          <cell r="X8">
            <v>0.50102526816271598</v>
          </cell>
          <cell r="Y8">
            <v>0.52273428325130689</v>
          </cell>
          <cell r="Z8">
            <v>0.51249825236708824</v>
          </cell>
          <cell r="AA8">
            <v>0.49464798191193154</v>
          </cell>
          <cell r="AB8">
            <v>0.47355346237146689</v>
          </cell>
        </row>
        <row r="9">
          <cell r="B9" t="str">
            <v xml:space="preserve">  Interest Income</v>
          </cell>
          <cell r="C9">
            <v>4431.0066329999991</v>
          </cell>
          <cell r="D9">
            <v>4190.6223290000007</v>
          </cell>
          <cell r="E9">
            <v>5124.4074480300005</v>
          </cell>
          <cell r="F9">
            <v>4338.7250000000004</v>
          </cell>
          <cell r="G9">
            <v>4424.4849299999996</v>
          </cell>
          <cell r="H9">
            <v>4480.9417508030001</v>
          </cell>
          <cell r="I9">
            <v>5786.2309999999998</v>
          </cell>
          <cell r="J9">
            <v>6967.6370000000006</v>
          </cell>
          <cell r="K9">
            <v>8617.6710000000003</v>
          </cell>
          <cell r="L9">
            <v>8465.5523646520851</v>
          </cell>
          <cell r="M9">
            <v>9093.7525957058497</v>
          </cell>
          <cell r="N9">
            <v>9585.4567269284453</v>
          </cell>
          <cell r="P9" t="str">
            <v>ROAA (%)</v>
          </cell>
          <cell r="Q9">
            <v>-1.0700583280595537</v>
          </cell>
          <cell r="R9">
            <v>0.66709903372522805</v>
          </cell>
          <cell r="S9">
            <v>0.87173232301160242</v>
          </cell>
          <cell r="T9">
            <v>0.72095581488141292</v>
          </cell>
          <cell r="U9">
            <v>1.6879745001747535</v>
          </cell>
          <cell r="V9">
            <v>1.0700503839549005</v>
          </cell>
          <cell r="W9">
            <v>1.0216945239813493</v>
          </cell>
          <cell r="X9">
            <v>1.0048569482589882</v>
          </cell>
          <cell r="Y9">
            <v>0.35849393984133643</v>
          </cell>
          <cell r="Z9">
            <v>3.851526571592942E-2</v>
          </cell>
          <cell r="AA9">
            <v>0.24799761331347236</v>
          </cell>
          <cell r="AB9">
            <v>0.29237241187453444</v>
          </cell>
        </row>
        <row r="10">
          <cell r="B10" t="str">
            <v xml:space="preserve">  Interest Expense</v>
          </cell>
          <cell r="C10">
            <v>3350.2975759999999</v>
          </cell>
          <cell r="D10">
            <v>3083.4306010000005</v>
          </cell>
          <cell r="E10">
            <v>3481.8585419999999</v>
          </cell>
          <cell r="F10">
            <v>2610.1930000000002</v>
          </cell>
          <cell r="G10">
            <v>2534.1690000000003</v>
          </cell>
          <cell r="H10">
            <v>2484.7829999999999</v>
          </cell>
          <cell r="I10">
            <v>3374.9969999999998</v>
          </cell>
          <cell r="J10">
            <v>4308.1169999999993</v>
          </cell>
          <cell r="K10">
            <v>5741.3739999999998</v>
          </cell>
          <cell r="L10">
            <v>5916.3122235986975</v>
          </cell>
          <cell r="M10">
            <v>6282.4635590898115</v>
          </cell>
          <cell r="N10">
            <v>6647.5463636071399</v>
          </cell>
          <cell r="P10" t="str">
            <v>ROAE (Reported, %)</v>
          </cell>
          <cell r="R10">
            <v>17.332831389844287</v>
          </cell>
          <cell r="S10">
            <v>22.954300184803195</v>
          </cell>
          <cell r="T10">
            <v>17.28037851266204</v>
          </cell>
          <cell r="U10">
            <v>32.819505718058295</v>
          </cell>
          <cell r="V10">
            <v>16.303057435303739</v>
          </cell>
          <cell r="W10">
            <v>14.619218084149038</v>
          </cell>
          <cell r="X10">
            <v>15.265262678924973</v>
          </cell>
          <cell r="Y10">
            <v>5.2951746096768195</v>
          </cell>
          <cell r="Z10">
            <v>0.28253815545441691</v>
          </cell>
          <cell r="AA10">
            <v>3.9959033986742982</v>
          </cell>
          <cell r="AB10">
            <v>4.7911296032005888</v>
          </cell>
        </row>
        <row r="11">
          <cell r="B11" t="str">
            <v>Net Interest Income (NII)</v>
          </cell>
          <cell r="C11">
            <v>1080.7090569999991</v>
          </cell>
          <cell r="D11">
            <v>1107.1917280000002</v>
          </cell>
          <cell r="E11">
            <v>1642.5489060300006</v>
          </cell>
          <cell r="F11">
            <v>1728.5320000000002</v>
          </cell>
          <cell r="G11">
            <v>1890.3159299999993</v>
          </cell>
          <cell r="H11">
            <v>1996.1587508030002</v>
          </cell>
          <cell r="I11">
            <v>2411.2339999999999</v>
          </cell>
          <cell r="J11">
            <v>2659.5200000000013</v>
          </cell>
          <cell r="K11">
            <v>2876.2970000000005</v>
          </cell>
          <cell r="L11">
            <v>2549.2401410533876</v>
          </cell>
          <cell r="M11">
            <v>2811.2890366160382</v>
          </cell>
          <cell r="N11">
            <v>2937.9103633213053</v>
          </cell>
          <cell r="P11" t="str">
            <v>ROAE (ModelWare, %)</v>
          </cell>
          <cell r="U11">
            <v>33.900054363817652</v>
          </cell>
          <cell r="V11">
            <v>17.155381375830554</v>
          </cell>
          <cell r="W11">
            <v>15.421409246407078</v>
          </cell>
          <cell r="X11">
            <v>14.235437974355611</v>
          </cell>
          <cell r="Y11">
            <v>5.5781010489121483</v>
          </cell>
          <cell r="Z11">
            <v>0.68742033471675812</v>
          </cell>
          <cell r="AA11">
            <v>4.4852467307741648</v>
          </cell>
          <cell r="AB11">
            <v>5.3233592181627225</v>
          </cell>
        </row>
        <row r="12">
          <cell r="B12" t="str">
            <v>Loan Loss Prov Exp (LLPE)</v>
          </cell>
          <cell r="C12">
            <v>1503.88949</v>
          </cell>
          <cell r="D12">
            <v>604.04272100000003</v>
          </cell>
          <cell r="E12">
            <v>356.85102099999995</v>
          </cell>
          <cell r="F12">
            <v>829.11900000000003</v>
          </cell>
          <cell r="G12">
            <v>353.24399999999997</v>
          </cell>
          <cell r="H12">
            <v>211.80599999999998</v>
          </cell>
          <cell r="I12">
            <v>322.286</v>
          </cell>
          <cell r="J12">
            <v>400.44299999999998</v>
          </cell>
          <cell r="K12">
            <v>1233.181</v>
          </cell>
          <cell r="L12">
            <v>1104.880062482757</v>
          </cell>
          <cell r="M12">
            <v>992.04354474518652</v>
          </cell>
          <cell r="N12">
            <v>960.10671873845263</v>
          </cell>
        </row>
        <row r="13">
          <cell r="B13" t="str">
            <v>NII After LLPE</v>
          </cell>
          <cell r="C13">
            <v>-423.1804330000009</v>
          </cell>
          <cell r="D13">
            <v>503.14900700000021</v>
          </cell>
          <cell r="E13">
            <v>1285.6978850300006</v>
          </cell>
          <cell r="F13">
            <v>899.41300000000012</v>
          </cell>
          <cell r="G13">
            <v>1537.0719299999994</v>
          </cell>
          <cell r="H13">
            <v>1784.3527508030002</v>
          </cell>
          <cell r="I13">
            <v>2088.9479999999999</v>
          </cell>
          <cell r="J13">
            <v>2259.0770000000011</v>
          </cell>
          <cell r="K13">
            <v>1643.1160000000004</v>
          </cell>
          <cell r="L13">
            <v>1444.3600785706305</v>
          </cell>
          <cell r="M13">
            <v>1819.2454918708518</v>
          </cell>
          <cell r="N13">
            <v>1977.8036445828527</v>
          </cell>
          <cell r="P13" t="str">
            <v>MW EPS Growth (%)</v>
          </cell>
          <cell r="T13">
            <v>-9.3836346492542013</v>
          </cell>
          <cell r="U13">
            <v>152.72110914950119</v>
          </cell>
          <cell r="V13">
            <v>-34.679647272624173</v>
          </cell>
          <cell r="W13">
            <v>9.4407569435800642</v>
          </cell>
          <cell r="X13">
            <v>12.423377316454175</v>
          </cell>
          <cell r="Y13">
            <v>-58.174406557708537</v>
          </cell>
          <cell r="Z13">
            <v>-87.81731026163429</v>
          </cell>
          <cell r="AA13">
            <v>570.81586674355322</v>
          </cell>
          <cell r="AB13">
            <v>23.479823560583334</v>
          </cell>
        </row>
        <row r="14">
          <cell r="P14" t="str">
            <v>Current P/MW EPS</v>
          </cell>
          <cell r="Q14" t="e">
            <v>#DIV/0!</v>
          </cell>
          <cell r="R14" t="e">
            <v>#DIV/0!</v>
          </cell>
          <cell r="S14">
            <v>7.0609115486004113</v>
          </cell>
          <cell r="T14">
            <v>7.7920930962856128</v>
          </cell>
          <cell r="U14">
            <v>3.0832775000508867</v>
          </cell>
          <cell r="V14">
            <v>4.7202401262580471</v>
          </cell>
          <cell r="W14">
            <v>4.3130550793718188</v>
          </cell>
          <cell r="X14">
            <v>3.8364396999311325</v>
          </cell>
          <cell r="Y14">
            <v>9.172469256711036</v>
          </cell>
          <cell r="Z14">
            <v>75.291002674270743</v>
          </cell>
          <cell r="AA14">
            <v>11.223795739920057</v>
          </cell>
          <cell r="AB14">
            <v>9.0895786989955383</v>
          </cell>
        </row>
        <row r="15">
          <cell r="B15" t="str">
            <v>Non-interest Income</v>
          </cell>
        </row>
        <row r="16">
          <cell r="B16" t="str">
            <v>Fees and Commissions</v>
          </cell>
          <cell r="C16">
            <v>443.29103599999996</v>
          </cell>
          <cell r="D16">
            <v>538.598837</v>
          </cell>
          <cell r="E16">
            <v>438.30765497000004</v>
          </cell>
          <cell r="F16">
            <v>270.185</v>
          </cell>
          <cell r="G16">
            <v>216.66806999999994</v>
          </cell>
          <cell r="H16">
            <v>258.62900000000002</v>
          </cell>
          <cell r="I16">
            <v>581.46600000000012</v>
          </cell>
          <cell r="J16">
            <v>620.41000000000008</v>
          </cell>
          <cell r="K16">
            <v>565.20400000000018</v>
          </cell>
          <cell r="L16">
            <v>486.45910292548109</v>
          </cell>
          <cell r="M16">
            <v>530.85512883276374</v>
          </cell>
          <cell r="N16">
            <v>539.64632580209764</v>
          </cell>
          <cell r="P16" t="str">
            <v>Gross Dividends</v>
          </cell>
          <cell r="Q16">
            <v>0</v>
          </cell>
          <cell r="R16">
            <v>0</v>
          </cell>
          <cell r="S16">
            <v>86.068103771932897</v>
          </cell>
          <cell r="T16">
            <v>84.962999999999965</v>
          </cell>
          <cell r="U16">
            <v>135.19027875</v>
          </cell>
          <cell r="V16">
            <v>75.806999999999988</v>
          </cell>
          <cell r="W16">
            <v>188.72295789999998</v>
          </cell>
          <cell r="X16">
            <v>275.40699999999998</v>
          </cell>
          <cell r="Y16">
            <v>42.0718216</v>
          </cell>
          <cell r="Z16">
            <v>0</v>
          </cell>
          <cell r="AA16">
            <v>41.8663186</v>
          </cell>
          <cell r="AB16">
            <v>41.8663186</v>
          </cell>
        </row>
        <row r="17">
          <cell r="B17" t="str">
            <v>Dividend Income</v>
          </cell>
          <cell r="C17">
            <v>8.3889549999999993</v>
          </cell>
          <cell r="D17">
            <v>6.6682290000000002</v>
          </cell>
          <cell r="E17">
            <v>7.1389420000000001</v>
          </cell>
          <cell r="F17">
            <v>93.081000000000003</v>
          </cell>
          <cell r="G17">
            <v>11.289</v>
          </cell>
          <cell r="H17">
            <v>13.642000000000001</v>
          </cell>
          <cell r="I17">
            <v>25.193000000000001</v>
          </cell>
          <cell r="J17">
            <v>57.429000000000002</v>
          </cell>
          <cell r="K17">
            <v>155.94200000000001</v>
          </cell>
          <cell r="L17">
            <v>33.313522691045925</v>
          </cell>
          <cell r="M17">
            <v>29.157752253437081</v>
          </cell>
          <cell r="N17">
            <v>22.79618953624977</v>
          </cell>
          <cell r="P17" t="str">
            <v>Gross DPS (Won)</v>
          </cell>
          <cell r="Q17">
            <v>0</v>
          </cell>
          <cell r="R17">
            <v>0</v>
          </cell>
          <cell r="S17">
            <v>511.19178775156371</v>
          </cell>
          <cell r="T17">
            <v>499.68769739459287</v>
          </cell>
          <cell r="U17">
            <v>750</v>
          </cell>
          <cell r="V17">
            <v>400</v>
          </cell>
          <cell r="W17">
            <v>900</v>
          </cell>
          <cell r="X17">
            <v>1300</v>
          </cell>
          <cell r="Y17">
            <v>200</v>
          </cell>
          <cell r="Z17">
            <v>0</v>
          </cell>
          <cell r="AA17">
            <v>200</v>
          </cell>
          <cell r="AB17">
            <v>200</v>
          </cell>
        </row>
        <row r="18">
          <cell r="B18" t="str">
            <v>Forex Income</v>
          </cell>
          <cell r="C18">
            <v>53.629543000000012</v>
          </cell>
          <cell r="D18">
            <v>44.452679999999987</v>
          </cell>
          <cell r="E18">
            <v>42.158178000000021</v>
          </cell>
          <cell r="F18">
            <v>36.711999999999989</v>
          </cell>
          <cell r="G18">
            <v>49.080999999999989</v>
          </cell>
          <cell r="H18">
            <v>-5.8139999999999645</v>
          </cell>
          <cell r="I18">
            <v>24.173000000000002</v>
          </cell>
          <cell r="J18">
            <v>49.385999999999967</v>
          </cell>
          <cell r="K18">
            <v>213.33300000000008</v>
          </cell>
          <cell r="L18">
            <v>-126.83634938645719</v>
          </cell>
          <cell r="M18">
            <v>0</v>
          </cell>
          <cell r="N18">
            <v>0</v>
          </cell>
          <cell r="P18" t="str">
            <v>Dividend Yield (Current Price, %)</v>
          </cell>
          <cell r="Q18">
            <v>0</v>
          </cell>
          <cell r="R18">
            <v>0</v>
          </cell>
          <cell r="S18">
            <v>2.3183301031816947</v>
          </cell>
          <cell r="T18">
            <v>2.2661573577986074</v>
          </cell>
          <cell r="U18">
            <v>3.4013605442176873</v>
          </cell>
          <cell r="V18">
            <v>1.8140589569160999</v>
          </cell>
          <cell r="W18">
            <v>4.0816326530612246</v>
          </cell>
          <cell r="X18">
            <v>5.895691609977324</v>
          </cell>
          <cell r="Y18">
            <v>0.90702947845804993</v>
          </cell>
          <cell r="Z18">
            <v>0</v>
          </cell>
          <cell r="AA18">
            <v>0.90702947845804993</v>
          </cell>
          <cell r="AB18">
            <v>0.90702947845804993</v>
          </cell>
        </row>
        <row r="19">
          <cell r="B19" t="str">
            <v>Other trading income</v>
          </cell>
          <cell r="C19">
            <v>-33.562145999999956</v>
          </cell>
          <cell r="D19">
            <v>55.459299000000016</v>
          </cell>
          <cell r="E19">
            <v>33.583663999999985</v>
          </cell>
          <cell r="F19">
            <v>37.261999999999944</v>
          </cell>
          <cell r="G19">
            <v>107.50399999999995</v>
          </cell>
          <cell r="H19">
            <v>57.330999999999996</v>
          </cell>
          <cell r="I19">
            <v>62.304000000000002</v>
          </cell>
          <cell r="J19">
            <v>123.79300000000043</v>
          </cell>
          <cell r="K19">
            <v>-1089.5950000000012</v>
          </cell>
          <cell r="L19">
            <v>181.54678016587911</v>
          </cell>
          <cell r="M19">
            <v>99.501461253457819</v>
          </cell>
          <cell r="N19">
            <v>119.74632637549075</v>
          </cell>
          <cell r="P19" t="str">
            <v>Dividend Payout Ratio (%)</v>
          </cell>
          <cell r="Q19">
            <v>0</v>
          </cell>
          <cell r="R19">
            <v>0</v>
          </cell>
          <cell r="S19">
            <v>14.030838929715959</v>
          </cell>
          <cell r="T19">
            <v>16.429050702792804</v>
          </cell>
          <cell r="U19">
            <v>10.15121126850458</v>
          </cell>
          <cell r="V19">
            <v>8.3602793266516073</v>
          </cell>
          <cell r="W19">
            <v>18.381008202756707</v>
          </cell>
          <cell r="X19">
            <v>21.092573672786958</v>
          </cell>
          <cell r="Y19">
            <v>8.7024862342433806</v>
          </cell>
          <cell r="Z19">
            <v>0</v>
          </cell>
          <cell r="AA19">
            <v>11.291081923139069</v>
          </cell>
          <cell r="AB19">
            <v>9.0514061898298479</v>
          </cell>
        </row>
        <row r="20">
          <cell r="B20" t="str">
            <v>Other Income</v>
          </cell>
          <cell r="C20">
            <v>-255.41181200000014</v>
          </cell>
          <cell r="D20">
            <v>0.33494699999985755</v>
          </cell>
          <cell r="E20">
            <v>-90.1765809999998</v>
          </cell>
          <cell r="F20">
            <v>-179.56100000000032</v>
          </cell>
          <cell r="G20">
            <v>-143.6659999999994</v>
          </cell>
          <cell r="H20">
            <v>-139.47475080300023</v>
          </cell>
          <cell r="I20">
            <v>-98.478999999999616</v>
          </cell>
          <cell r="J20">
            <v>162.35799999999929</v>
          </cell>
          <cell r="K20">
            <v>770.61999999999762</v>
          </cell>
          <cell r="L20">
            <v>-213.99433881707222</v>
          </cell>
          <cell r="M20">
            <v>-206.15842549332541</v>
          </cell>
          <cell r="N20">
            <v>-208.19256801537165</v>
          </cell>
        </row>
        <row r="21">
          <cell r="B21" t="str">
            <v>Total Non-interest Income</v>
          </cell>
          <cell r="C21">
            <v>216.33557599999986</v>
          </cell>
          <cell r="D21">
            <v>645.5139919999998</v>
          </cell>
          <cell r="E21">
            <v>431.01185797000016</v>
          </cell>
          <cell r="F21">
            <v>257.67899999999963</v>
          </cell>
          <cell r="G21">
            <v>240.87607000000051</v>
          </cell>
          <cell r="H21">
            <v>184.31324919699983</v>
          </cell>
          <cell r="I21">
            <v>594.65700000000049</v>
          </cell>
          <cell r="J21">
            <v>1013.3759999999997</v>
          </cell>
          <cell r="K21">
            <v>615.50399999999672</v>
          </cell>
          <cell r="L21">
            <v>360.48871757887667</v>
          </cell>
          <cell r="M21">
            <v>453.35591684633329</v>
          </cell>
          <cell r="N21">
            <v>473.99627369846655</v>
          </cell>
          <cell r="P21" t="str">
            <v>Issued Shares (m)</v>
          </cell>
          <cell r="Q21">
            <v>246.363</v>
          </cell>
          <cell r="R21">
            <v>253.108</v>
          </cell>
          <cell r="S21">
            <v>197.43220299999999</v>
          </cell>
          <cell r="T21">
            <v>197.43220299999999</v>
          </cell>
          <cell r="U21">
            <v>192.35344799999999</v>
          </cell>
          <cell r="V21">
            <v>204.25624300000001</v>
          </cell>
          <cell r="W21">
            <v>211.85159300000001</v>
          </cell>
          <cell r="X21">
            <v>211.85159300000001</v>
          </cell>
          <cell r="Y21">
            <v>211.85159300000001</v>
          </cell>
          <cell r="Z21">
            <v>211.85159300000001</v>
          </cell>
          <cell r="AA21">
            <v>211.85159300000001</v>
          </cell>
          <cell r="AB21">
            <v>211.85159300000001</v>
          </cell>
        </row>
        <row r="22">
          <cell r="P22" t="str">
            <v>Market Cap (Wonbn)</v>
          </cell>
          <cell r="Q22">
            <v>5432.3041499999999</v>
          </cell>
          <cell r="R22">
            <v>5581.0314000000008</v>
          </cell>
          <cell r="S22">
            <v>4353.3800761499997</v>
          </cell>
          <cell r="T22">
            <v>4353.3800761499997</v>
          </cell>
          <cell r="U22">
            <v>4241.393528399999</v>
          </cell>
          <cell r="V22">
            <v>4503.8501581500004</v>
          </cell>
          <cell r="W22">
            <v>4671.3276256499994</v>
          </cell>
          <cell r="X22">
            <v>4671.3276256499994</v>
          </cell>
          <cell r="Y22">
            <v>4671.3276256499994</v>
          </cell>
          <cell r="Z22">
            <v>4671.3276256499994</v>
          </cell>
          <cell r="AA22">
            <v>4671.3276256499994</v>
          </cell>
          <cell r="AB22">
            <v>4671.3276256499994</v>
          </cell>
        </row>
        <row r="23">
          <cell r="B23" t="str">
            <v>Non-interest Expense</v>
          </cell>
          <cell r="P23" t="str">
            <v>Market Cap (US$mn)</v>
          </cell>
          <cell r="Q23">
            <v>4044.9025688756519</v>
          </cell>
          <cell r="R23">
            <v>4155.6451228592714</v>
          </cell>
          <cell r="S23">
            <v>3241.533936075949</v>
          </cell>
          <cell r="T23">
            <v>3241.533936075949</v>
          </cell>
          <cell r="U23">
            <v>3158.1485691734915</v>
          </cell>
          <cell r="V23">
            <v>3353.5742056217427</v>
          </cell>
          <cell r="W23">
            <v>3478.2782022710344</v>
          </cell>
          <cell r="X23">
            <v>3478.2782022710344</v>
          </cell>
          <cell r="Y23">
            <v>3478.2782022710344</v>
          </cell>
          <cell r="Z23">
            <v>3478.2782022710344</v>
          </cell>
          <cell r="AA23">
            <v>3478.2782022710344</v>
          </cell>
          <cell r="AB23">
            <v>3478.2782022710344</v>
          </cell>
        </row>
        <row r="24">
          <cell r="B24" t="str">
            <v>Salaries &amp; Benefits</v>
          </cell>
          <cell r="C24">
            <v>421.96628399999997</v>
          </cell>
          <cell r="D24">
            <v>412.35855699999996</v>
          </cell>
          <cell r="E24">
            <v>434.26188100000002</v>
          </cell>
          <cell r="F24">
            <v>451.20699999999999</v>
          </cell>
          <cell r="G24">
            <v>487.63099999999997</v>
          </cell>
          <cell r="H24">
            <v>594.47199999999998</v>
          </cell>
          <cell r="I24">
            <v>796.83200000000011</v>
          </cell>
          <cell r="J24">
            <v>878.59899999999993</v>
          </cell>
          <cell r="K24">
            <v>917.33600000000001</v>
          </cell>
          <cell r="L24">
            <v>1027.1199059611799</v>
          </cell>
          <cell r="M24">
            <v>1012.5506193600037</v>
          </cell>
          <cell r="N24">
            <v>1052.8843644440062</v>
          </cell>
        </row>
        <row r="25">
          <cell r="B25" t="str">
            <v>Net Occupancy &amp; Equipment</v>
          </cell>
          <cell r="C25">
            <v>17.354278999999998</v>
          </cell>
          <cell r="D25">
            <v>20.735520999999999</v>
          </cell>
          <cell r="E25">
            <v>25.628824000000002</v>
          </cell>
          <cell r="F25">
            <v>38.527000000000001</v>
          </cell>
          <cell r="G25">
            <v>35.698999999999998</v>
          </cell>
          <cell r="H25">
            <v>37.822999999999993</v>
          </cell>
          <cell r="I25">
            <v>47.731000000000002</v>
          </cell>
          <cell r="J25">
            <v>60.82</v>
          </cell>
          <cell r="K25">
            <v>84.622</v>
          </cell>
          <cell r="L25">
            <v>90.507531535980704</v>
          </cell>
          <cell r="M25">
            <v>87.794604901773923</v>
          </cell>
          <cell r="N25">
            <v>85.751821183419111</v>
          </cell>
          <cell r="P25" t="str">
            <v>PERFORMANCE RATIOS</v>
          </cell>
        </row>
        <row r="26">
          <cell r="B26" t="str">
            <v>Other Expenses</v>
          </cell>
          <cell r="C26">
            <v>266.59823499999993</v>
          </cell>
          <cell r="D26">
            <v>319.07631100000015</v>
          </cell>
          <cell r="E26">
            <v>393.24414200000001</v>
          </cell>
          <cell r="F26">
            <v>392.26</v>
          </cell>
          <cell r="G26">
            <v>402.10500000000002</v>
          </cell>
          <cell r="H26">
            <v>408.57899999999995</v>
          </cell>
          <cell r="I26">
            <v>541.15600000000006</v>
          </cell>
          <cell r="J26">
            <v>657.49699999999984</v>
          </cell>
          <cell r="K26">
            <v>689.16600000000005</v>
          </cell>
          <cell r="L26">
            <v>705.42558679668764</v>
          </cell>
          <cell r="M26">
            <v>742.59184764250529</v>
          </cell>
          <cell r="N26">
            <v>767.12382766224027</v>
          </cell>
          <cell r="P26" t="str">
            <v>Won billions, Year ending Dec 31</v>
          </cell>
          <cell r="Q26">
            <v>2000</v>
          </cell>
          <cell r="R26">
            <v>2001</v>
          </cell>
          <cell r="S26">
            <v>2002</v>
          </cell>
          <cell r="T26">
            <v>2003</v>
          </cell>
          <cell r="U26">
            <v>2004</v>
          </cell>
          <cell r="V26">
            <v>2005</v>
          </cell>
          <cell r="W26">
            <v>2006</v>
          </cell>
          <cell r="X26">
            <v>2007</v>
          </cell>
          <cell r="Y26">
            <v>2008</v>
          </cell>
          <cell r="Z26" t="str">
            <v>2009E</v>
          </cell>
          <cell r="AA26" t="str">
            <v>2010E</v>
          </cell>
          <cell r="AB26" t="str">
            <v>2011E</v>
          </cell>
        </row>
        <row r="27">
          <cell r="B27" t="str">
            <v>Total Non-interest Expense</v>
          </cell>
          <cell r="C27">
            <v>705.91879799999992</v>
          </cell>
          <cell r="D27">
            <v>752.17038900000011</v>
          </cell>
          <cell r="E27">
            <v>853.13484700000004</v>
          </cell>
          <cell r="F27">
            <v>881.99399999999991</v>
          </cell>
          <cell r="G27">
            <v>925.43499999999995</v>
          </cell>
          <cell r="H27">
            <v>1040.8739999999998</v>
          </cell>
          <cell r="I27">
            <v>1385.7190000000001</v>
          </cell>
          <cell r="J27">
            <v>1596.9159999999997</v>
          </cell>
          <cell r="K27">
            <v>1691.124</v>
          </cell>
          <cell r="L27">
            <v>1823.0530242938482</v>
          </cell>
          <cell r="M27">
            <v>1842.9370719042827</v>
          </cell>
          <cell r="N27">
            <v>1905.7600132896655</v>
          </cell>
          <cell r="P27" t="str">
            <v>Growth (%)</v>
          </cell>
        </row>
        <row r="28">
          <cell r="P28" t="str">
            <v>Net Interest Income</v>
          </cell>
          <cell r="Q28">
            <v>106.65613880989694</v>
          </cell>
          <cell r="R28">
            <v>2.45049033580933</v>
          </cell>
          <cell r="S28">
            <v>48.352707529440679</v>
          </cell>
          <cell r="T28">
            <v>5.2347356997618055</v>
          </cell>
          <cell r="U28">
            <v>9.3596144011218296</v>
          </cell>
          <cell r="V28">
            <v>5.5992132914523429</v>
          </cell>
          <cell r="W28">
            <v>20.793699350316007</v>
          </cell>
          <cell r="X28">
            <v>10.297051219417174</v>
          </cell>
          <cell r="Y28">
            <v>8.1509821321140272</v>
          </cell>
          <cell r="Z28">
            <v>-11.370761049593025</v>
          </cell>
          <cell r="AA28">
            <v>10.27949039961249</v>
          </cell>
          <cell r="AB28">
            <v>4.5040308931621587</v>
          </cell>
        </row>
        <row r="29">
          <cell r="B29" t="str">
            <v>Pre-tax Operating Profit</v>
          </cell>
          <cell r="C29">
            <v>-912.76365500000099</v>
          </cell>
          <cell r="D29">
            <v>396.49261000000001</v>
          </cell>
          <cell r="E29">
            <v>863.57489600000076</v>
          </cell>
          <cell r="F29">
            <v>275.09799999999973</v>
          </cell>
          <cell r="G29">
            <v>852.51299999999992</v>
          </cell>
          <cell r="H29">
            <v>927.79200000000014</v>
          </cell>
          <cell r="I29">
            <v>1297.8860000000004</v>
          </cell>
          <cell r="J29">
            <v>1675.5370000000012</v>
          </cell>
          <cell r="K29">
            <v>567.49599999999714</v>
          </cell>
          <cell r="L29">
            <v>-18.204228144340959</v>
          </cell>
          <cell r="M29">
            <v>429.66433681290255</v>
          </cell>
          <cell r="N29">
            <v>546.03990499165366</v>
          </cell>
          <cell r="P29" t="str">
            <v>Non-interest Income</v>
          </cell>
          <cell r="Q29">
            <v>-14.398329944294208</v>
          </cell>
          <cell r="R29">
            <v>198.38550086648726</v>
          </cell>
          <cell r="S29">
            <v>-33.229664529099736</v>
          </cell>
          <cell r="T29">
            <v>-40.215333932196607</v>
          </cell>
          <cell r="U29">
            <v>-6.5208767497542119</v>
          </cell>
          <cell r="V29">
            <v>-23.48212539460668</v>
          </cell>
          <cell r="W29">
            <v>222.63388692389242</v>
          </cell>
          <cell r="X29">
            <v>70.41353250697442</v>
          </cell>
          <cell r="Y29">
            <v>-39.26203107237621</v>
          </cell>
          <cell r="Z29">
            <v>-41.431945595986605</v>
          </cell>
          <cell r="AA29">
            <v>25.761471785073773</v>
          </cell>
          <cell r="AB29">
            <v>4.5527930893045854</v>
          </cell>
        </row>
        <row r="30">
          <cell r="B30" t="str">
            <v>Associate Profit/Loss</v>
          </cell>
          <cell r="C30">
            <v>426.75069199999996</v>
          </cell>
          <cell r="D30">
            <v>140.88274299999995</v>
          </cell>
          <cell r="E30">
            <v>11.490430000000039</v>
          </cell>
          <cell r="F30">
            <v>217.70100000000002</v>
          </cell>
          <cell r="G30">
            <v>157.06899999999999</v>
          </cell>
          <cell r="H30">
            <v>240.27599999999995</v>
          </cell>
          <cell r="I30">
            <v>158.91</v>
          </cell>
          <cell r="J30">
            <v>81.469999999999956</v>
          </cell>
          <cell r="K30">
            <v>81.254999999999981</v>
          </cell>
          <cell r="L30">
            <v>48.462601086322643</v>
          </cell>
          <cell r="M30">
            <v>52.190825755326848</v>
          </cell>
          <cell r="N30">
            <v>53.441358901211217</v>
          </cell>
          <cell r="P30" t="str">
            <v>Non-interest Expense</v>
          </cell>
          <cell r="Q30">
            <v>136.11256364542524</v>
          </cell>
          <cell r="R30">
            <v>6.5519704434900516</v>
          </cell>
          <cell r="S30">
            <v>13.423083316830752</v>
          </cell>
          <cell r="T30">
            <v>3.3827188165483468</v>
          </cell>
          <cell r="U30">
            <v>4.9253169522695206</v>
          </cell>
          <cell r="V30">
            <v>12.474025728441207</v>
          </cell>
          <cell r="W30">
            <v>33.130330856568648</v>
          </cell>
          <cell r="X30">
            <v>15.240968767838181</v>
          </cell>
          <cell r="Y30">
            <v>5.8993710376751496</v>
          </cell>
          <cell r="Z30">
            <v>7.8012626095926851</v>
          </cell>
          <cell r="AA30">
            <v>1.0907004538793563</v>
          </cell>
          <cell r="AB30">
            <v>3.4088489695673019</v>
          </cell>
        </row>
        <row r="31">
          <cell r="P31" t="str">
            <v>Recurrent Net Profit After Tax (FD)</v>
          </cell>
          <cell r="Q31" t="str">
            <v>NM</v>
          </cell>
          <cell r="R31" t="str">
            <v>NM</v>
          </cell>
          <cell r="S31">
            <v>92.289899611111579</v>
          </cell>
          <cell r="T31">
            <v>-52.311149447730983</v>
          </cell>
          <cell r="U31">
            <v>289.53996825160164</v>
          </cell>
          <cell r="V31">
            <v>-35.955179788548044</v>
          </cell>
          <cell r="W31">
            <v>28.763167392692047</v>
          </cell>
          <cell r="X31">
            <v>36.061672010486603</v>
          </cell>
          <cell r="Y31">
            <v>-66.470062224641623</v>
          </cell>
          <cell r="Z31" t="str">
            <v>NM</v>
          </cell>
          <cell r="AA31" t="str">
            <v>NM</v>
          </cell>
          <cell r="AB31">
            <v>27.085228679201911</v>
          </cell>
        </row>
        <row r="32">
          <cell r="B32" t="str">
            <v>Profit Before Tax</v>
          </cell>
          <cell r="C32">
            <v>-486.01296300000104</v>
          </cell>
          <cell r="D32">
            <v>537.3753529999999</v>
          </cell>
          <cell r="E32">
            <v>875.06532600000082</v>
          </cell>
          <cell r="F32">
            <v>492.79899999999975</v>
          </cell>
          <cell r="G32">
            <v>1009.5819999999999</v>
          </cell>
          <cell r="H32">
            <v>1168.0680000000002</v>
          </cell>
          <cell r="I32">
            <v>1456.7960000000005</v>
          </cell>
          <cell r="J32">
            <v>1757.0070000000012</v>
          </cell>
          <cell r="K32">
            <v>648.75099999999713</v>
          </cell>
          <cell r="L32">
            <v>30.258372941981683</v>
          </cell>
          <cell r="M32">
            <v>481.85516256822939</v>
          </cell>
          <cell r="N32">
            <v>599.48126389286483</v>
          </cell>
          <cell r="P32" t="str">
            <v>Net Profit</v>
          </cell>
          <cell r="Q32" t="str">
            <v>NM</v>
          </cell>
          <cell r="R32" t="str">
            <v>NM</v>
          </cell>
          <cell r="S32">
            <v>43.765372177739323</v>
          </cell>
          <cell r="T32">
            <v>-15.693943919469033</v>
          </cell>
          <cell r="U32">
            <v>157.5195639184688</v>
          </cell>
          <cell r="V32">
            <v>-31.913513269983795</v>
          </cell>
          <cell r="W32">
            <v>13.231401750423522</v>
          </cell>
          <cell r="X32">
            <v>27.171558582214629</v>
          </cell>
          <cell r="Y32">
            <v>-62.974360231170209</v>
          </cell>
          <cell r="Z32">
            <v>-94.725224184289218</v>
          </cell>
          <cell r="AA32">
            <v>1354.0429599715058</v>
          </cell>
          <cell r="AB32">
            <v>24.743953440358467</v>
          </cell>
        </row>
        <row r="33">
          <cell r="B33" t="str">
            <v>Effective Tax</v>
          </cell>
          <cell r="C33">
            <v>13.252741000000006</v>
          </cell>
          <cell r="D33">
            <v>110.69337200000005</v>
          </cell>
          <cell r="E33">
            <v>261.64438800000005</v>
          </cell>
          <cell r="F33">
            <v>-24.351999999999972</v>
          </cell>
          <cell r="G33">
            <v>-322.18300000000005</v>
          </cell>
          <cell r="H33">
            <v>261.31600000000003</v>
          </cell>
          <cell r="I33">
            <v>415.85799999999995</v>
          </cell>
          <cell r="J33">
            <v>433.82999999999993</v>
          </cell>
          <cell r="K33">
            <v>165.084</v>
          </cell>
          <cell r="L33">
            <v>7.9436802519606671</v>
          </cell>
          <cell r="M33">
            <v>106.00813576501041</v>
          </cell>
          <cell r="N33">
            <v>131.88587805643027</v>
          </cell>
        </row>
        <row r="34">
          <cell r="B34" t="str">
            <v xml:space="preserve">Minority Interests </v>
          </cell>
          <cell r="C34">
            <v>0</v>
          </cell>
          <cell r="D34">
            <v>0</v>
          </cell>
          <cell r="E34">
            <v>0</v>
          </cell>
          <cell r="F34">
            <v>0</v>
          </cell>
          <cell r="G34">
            <v>0</v>
          </cell>
          <cell r="H34">
            <v>0</v>
          </cell>
          <cell r="I34">
            <v>14.21</v>
          </cell>
          <cell r="J34">
            <v>17.471</v>
          </cell>
          <cell r="K34">
            <v>0.22100000000000009</v>
          </cell>
          <cell r="L34">
            <v>-3.1859999999999991</v>
          </cell>
          <cell r="M34">
            <v>5.056</v>
          </cell>
          <cell r="N34">
            <v>5.056</v>
          </cell>
          <cell r="P34" t="str">
            <v>Gross Customer Loans</v>
          </cell>
          <cell r="Q34">
            <v>98.571347450617594</v>
          </cell>
          <cell r="R34">
            <v>18.111401357876588</v>
          </cell>
          <cell r="S34">
            <v>24.253726023955458</v>
          </cell>
          <cell r="T34">
            <v>8.5218154890679187</v>
          </cell>
          <cell r="U34">
            <v>6.1168569832166675</v>
          </cell>
          <cell r="V34">
            <v>12.339403243774028</v>
          </cell>
          <cell r="W34">
            <v>25.987519316939967</v>
          </cell>
          <cell r="X34">
            <v>5.6257915515370183</v>
          </cell>
          <cell r="Y34">
            <v>16.919757601310792</v>
          </cell>
          <cell r="Z34">
            <v>3.112279736774437</v>
          </cell>
          <cell r="AA34">
            <v>2.9666312698659603</v>
          </cell>
          <cell r="AB34">
            <v>4.9842277604434049</v>
          </cell>
        </row>
        <row r="35">
          <cell r="B35" t="str">
            <v>Preference Dividend</v>
          </cell>
          <cell r="C35">
            <v>0</v>
          </cell>
          <cell r="D35">
            <v>0</v>
          </cell>
          <cell r="E35">
            <v>0</v>
          </cell>
          <cell r="F35">
            <v>0</v>
          </cell>
          <cell r="G35">
            <v>0</v>
          </cell>
          <cell r="H35">
            <v>0</v>
          </cell>
          <cell r="I35">
            <v>0</v>
          </cell>
          <cell r="J35">
            <v>0</v>
          </cell>
          <cell r="K35">
            <v>0</v>
          </cell>
          <cell r="L35">
            <v>0</v>
          </cell>
          <cell r="M35">
            <v>0</v>
          </cell>
          <cell r="N35">
            <v>0</v>
          </cell>
          <cell r="P35" t="str">
            <v>Total Deposits</v>
          </cell>
          <cell r="Q35">
            <v>80.822132561453813</v>
          </cell>
          <cell r="R35">
            <v>17.588712031559051</v>
          </cell>
          <cell r="S35">
            <v>11.708149820740065</v>
          </cell>
          <cell r="T35">
            <v>5.3625104341374019</v>
          </cell>
          <cell r="U35">
            <v>-2.0612986597465577</v>
          </cell>
          <cell r="V35">
            <v>12.055952603807384</v>
          </cell>
          <cell r="W35">
            <v>24.206983569405228</v>
          </cell>
          <cell r="X35">
            <v>1.805147296187859</v>
          </cell>
          <cell r="Y35">
            <v>16.897689626140068</v>
          </cell>
          <cell r="Z35">
            <v>3.7894857993363118</v>
          </cell>
          <cell r="AA35">
            <v>4.2068846213306532</v>
          </cell>
          <cell r="AB35">
            <v>4.2104445396361045</v>
          </cell>
        </row>
        <row r="36">
          <cell r="B36" t="str">
            <v>Net Profit</v>
          </cell>
          <cell r="C36">
            <v>-499.26570400000105</v>
          </cell>
          <cell r="D36">
            <v>426.68198099999984</v>
          </cell>
          <cell r="E36">
            <v>613.42093800000077</v>
          </cell>
          <cell r="F36">
            <v>517.15099999999973</v>
          </cell>
          <cell r="G36">
            <v>1331.7649999999999</v>
          </cell>
          <cell r="H36">
            <v>906.75200000000018</v>
          </cell>
          <cell r="I36">
            <v>1026.7280000000005</v>
          </cell>
          <cell r="J36">
            <v>1305.7060000000013</v>
          </cell>
          <cell r="K36">
            <v>483.44599999999713</v>
          </cell>
          <cell r="L36">
            <v>25.500692690021015</v>
          </cell>
          <cell r="M36">
            <v>370.79102680321898</v>
          </cell>
          <cell r="N36">
            <v>462.53938583643458</v>
          </cell>
          <cell r="P36" t="str">
            <v>Avg Earning Assets</v>
          </cell>
          <cell r="Q36">
            <v>88.167259551365262</v>
          </cell>
          <cell r="R36">
            <v>36.93434240896849</v>
          </cell>
          <cell r="S36">
            <v>-22.031046812728349</v>
          </cell>
          <cell r="T36">
            <v>50.738856597325956</v>
          </cell>
          <cell r="U36">
            <v>6.03792745648013</v>
          </cell>
          <cell r="V36">
            <v>6.9834546601466485</v>
          </cell>
          <cell r="W36">
            <v>16.779783504884538</v>
          </cell>
          <cell r="X36">
            <v>12.013751923354077</v>
          </cell>
          <cell r="Y36">
            <v>15.497137071532595</v>
          </cell>
          <cell r="Z36">
            <v>7.2711573025788567</v>
          </cell>
          <cell r="AA36">
            <v>2.9418296008997036</v>
          </cell>
          <cell r="AB36">
            <v>4.0082247354085832</v>
          </cell>
        </row>
        <row r="37">
          <cell r="B37" t="str">
            <v>EPS - Reported (Won)</v>
          </cell>
          <cell r="C37">
            <v>-2026.5449925516457</v>
          </cell>
          <cell r="D37">
            <v>1685.7704260631817</v>
          </cell>
          <cell r="E37">
            <v>3106.995356780782</v>
          </cell>
          <cell r="F37">
            <v>2619.3852479070993</v>
          </cell>
          <cell r="G37">
            <v>6923.5306871130269</v>
          </cell>
          <cell r="H37">
            <v>4439.2865876809456</v>
          </cell>
          <cell r="I37">
            <v>4846.4492782926609</v>
          </cell>
          <cell r="J37">
            <v>6163.3050831012688</v>
          </cell>
          <cell r="K37">
            <v>2282.0031379230513</v>
          </cell>
          <cell r="L37">
            <v>120.37054963292636</v>
          </cell>
          <cell r="M37">
            <v>1750.2395028165729</v>
          </cell>
          <cell r="N37">
            <v>2183.3179504882673</v>
          </cell>
          <cell r="P37" t="str">
            <v>Total Interest-bearing Liab</v>
          </cell>
          <cell r="Q37" t="e">
            <v>#DIV/0!</v>
          </cell>
          <cell r="R37" t="e">
            <v>#DIV/0!</v>
          </cell>
          <cell r="S37" t="e">
            <v>#DIV/0!</v>
          </cell>
          <cell r="T37">
            <v>50.468167415994799</v>
          </cell>
          <cell r="U37">
            <v>6.4602573761064264</v>
          </cell>
          <cell r="V37">
            <v>5.2918044571224954</v>
          </cell>
          <cell r="W37">
            <v>14.958415408508486</v>
          </cell>
          <cell r="X37">
            <v>12.049283619728568</v>
          </cell>
          <cell r="Y37">
            <v>16.479162767203981</v>
          </cell>
          <cell r="Z37">
            <v>6.9575956644489789</v>
          </cell>
          <cell r="AA37">
            <v>4.0218286723957553</v>
          </cell>
          <cell r="AB37">
            <v>3.7208456411233382</v>
          </cell>
        </row>
        <row r="38">
          <cell r="B38" t="str">
            <v>EPS - ModelWare (Won)</v>
          </cell>
          <cell r="E38">
            <v>3122.8262595033743</v>
          </cell>
          <cell r="F38">
            <v>2829.7916525806068</v>
          </cell>
          <cell r="G38">
            <v>7151.4808510217081</v>
          </cell>
          <cell r="H38">
            <v>4671.3725171181186</v>
          </cell>
          <cell r="I38">
            <v>5112.3854423884386</v>
          </cell>
          <cell r="J38">
            <v>5747.5163757678292</v>
          </cell>
          <cell r="K38">
            <v>2403.9328323577774</v>
          </cell>
          <cell r="L38">
            <v>292.8636784848552</v>
          </cell>
          <cell r="M38">
            <v>1964.5760232052346</v>
          </cell>
          <cell r="N38">
            <v>2425.8550071673485</v>
          </cell>
          <cell r="P38" t="str">
            <v>Risk-weighted Assets</v>
          </cell>
          <cell r="Q38" t="e">
            <v>#DIV/0!</v>
          </cell>
          <cell r="R38" t="e">
            <v>#DIV/0!</v>
          </cell>
          <cell r="S38" t="e">
            <v>#DIV/0!</v>
          </cell>
          <cell r="T38">
            <v>5.3618152214711223</v>
          </cell>
          <cell r="U38">
            <v>8.5345539660518064</v>
          </cell>
          <cell r="V38">
            <v>11.382386358592678</v>
          </cell>
          <cell r="W38">
            <v>31.04489215718278</v>
          </cell>
          <cell r="X38">
            <v>9.2516041331763823</v>
          </cell>
          <cell r="Y38">
            <v>3.7383962970121143</v>
          </cell>
          <cell r="Z38">
            <v>2.3509569004365849</v>
          </cell>
          <cell r="AA38">
            <v>4.282723025312074</v>
          </cell>
          <cell r="AB38">
            <v>5.1759185747033198</v>
          </cell>
        </row>
        <row r="40">
          <cell r="B40" t="str">
            <v>Selective Balance Sheet Data</v>
          </cell>
          <cell r="P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v>2008</v>
          </cell>
          <cell r="L41" t="str">
            <v>2009E</v>
          </cell>
          <cell r="M41" t="str">
            <v>2010E</v>
          </cell>
          <cell r="N41" t="str">
            <v>2011E</v>
          </cell>
          <cell r="P41" t="str">
            <v>NII/Operating Income</v>
          </cell>
          <cell r="Q41">
            <v>83.320884224344184</v>
          </cell>
          <cell r="R41">
            <v>63.170429317706592</v>
          </cell>
          <cell r="S41">
            <v>79.213926813576606</v>
          </cell>
          <cell r="T41">
            <v>87.026604927673873</v>
          </cell>
          <cell r="U41">
            <v>88.697589424134435</v>
          </cell>
          <cell r="V41">
            <v>91.547093968782917</v>
          </cell>
          <cell r="W41">
            <v>80.216947321110439</v>
          </cell>
          <cell r="X41">
            <v>72.40934673892211</v>
          </cell>
          <cell r="Y41">
            <v>82.372878637700225</v>
          </cell>
          <cell r="Z41">
            <v>87.610917199057283</v>
          </cell>
          <cell r="AA41">
            <v>86.113163198175059</v>
          </cell>
          <cell r="AB41">
            <v>86.107583702451706</v>
          </cell>
        </row>
        <row r="42">
          <cell r="B42" t="str">
            <v>Total Assets</v>
          </cell>
          <cell r="C42">
            <v>60913.659992000001</v>
          </cell>
          <cell r="D42">
            <v>67033.145632</v>
          </cell>
          <cell r="E42">
            <v>74420.016474000004</v>
          </cell>
          <cell r="F42">
            <v>80566.457999999999</v>
          </cell>
          <cell r="G42">
            <v>82423.207999999984</v>
          </cell>
          <cell r="H42">
            <v>95915.497224970997</v>
          </cell>
          <cell r="I42">
            <v>116098.363</v>
          </cell>
          <cell r="J42">
            <v>126248.67</v>
          </cell>
          <cell r="K42">
            <v>157871.61400000003</v>
          </cell>
          <cell r="L42">
            <v>164305.24582727591</v>
          </cell>
          <cell r="M42">
            <v>171341.98442211625</v>
          </cell>
          <cell r="N42">
            <v>180210.50602008583</v>
          </cell>
          <cell r="P42" t="str">
            <v>Non-interest Inc/Opg Income</v>
          </cell>
          <cell r="Q42">
            <v>16.679115775655813</v>
          </cell>
          <cell r="R42">
            <v>36.829570682293422</v>
          </cell>
          <cell r="S42">
            <v>20.786073186423391</v>
          </cell>
          <cell r="T42">
            <v>12.973395072326136</v>
          </cell>
          <cell r="U42">
            <v>11.302410575865549</v>
          </cell>
          <cell r="V42">
            <v>8.4529060312170863</v>
          </cell>
          <cell r="W42">
            <v>19.783052678889568</v>
          </cell>
          <cell r="X42">
            <v>27.59065326107789</v>
          </cell>
          <cell r="Y42">
            <v>17.627121362299778</v>
          </cell>
          <cell r="Z42">
            <v>12.389082800942717</v>
          </cell>
          <cell r="AA42">
            <v>13.88683680182494</v>
          </cell>
          <cell r="AB42">
            <v>13.892416297548287</v>
          </cell>
        </row>
        <row r="43">
          <cell r="B43" t="str">
            <v>RWA</v>
          </cell>
          <cell r="C43">
            <v>0</v>
          </cell>
          <cell r="D43">
            <v>0</v>
          </cell>
          <cell r="E43">
            <v>48529.675000000003</v>
          </cell>
          <cell r="F43">
            <v>51131.746501080474</v>
          </cell>
          <cell r="G43">
            <v>55495.612999999998</v>
          </cell>
          <cell r="H43">
            <v>61812.338083729388</v>
          </cell>
          <cell r="I43">
            <v>81001.911781656396</v>
          </cell>
          <cell r="J43">
            <v>88495.888000000006</v>
          </cell>
          <cell r="K43">
            <v>91804.214999999997</v>
          </cell>
          <cell r="L43">
            <v>93962.492527434137</v>
          </cell>
          <cell r="M43">
            <v>97986.645830063688</v>
          </cell>
          <cell r="N43">
            <v>103058.35483231071</v>
          </cell>
          <cell r="P43" t="str">
            <v>Forex Income/Operating Income</v>
          </cell>
          <cell r="Q43">
            <v>4.1347492318716563</v>
          </cell>
          <cell r="R43">
            <v>2.5362318096388701</v>
          </cell>
          <cell r="S43">
            <v>2.0331296160655943</v>
          </cell>
          <cell r="T43">
            <v>1.8483434035960928</v>
          </cell>
          <cell r="U43">
            <v>2.3029834946827874</v>
          </cell>
          <cell r="V43">
            <v>-0.2666395165817293</v>
          </cell>
          <cell r="W43">
            <v>0.80418751045862935</v>
          </cell>
          <cell r="X43">
            <v>1.3446065448082372</v>
          </cell>
          <cell r="Y43">
            <v>6.1095406066955205</v>
          </cell>
          <cell r="Z43">
            <v>-4.3590435930197762</v>
          </cell>
          <cell r="AA43">
            <v>0</v>
          </cell>
          <cell r="AB43">
            <v>0</v>
          </cell>
        </row>
        <row r="44">
          <cell r="B44" t="str">
            <v>Total Liquid Assets</v>
          </cell>
          <cell r="C44">
            <v>25970.409538</v>
          </cell>
          <cell r="D44">
            <v>25632.494008999998</v>
          </cell>
          <cell r="E44">
            <v>21427.787038999999</v>
          </cell>
          <cell r="F44">
            <v>22380.150999999998</v>
          </cell>
          <cell r="G44">
            <v>21344.007000000001</v>
          </cell>
          <cell r="H44">
            <v>29272.919657278002</v>
          </cell>
          <cell r="I44">
            <v>28502.98</v>
          </cell>
          <cell r="J44">
            <v>32248.152000000002</v>
          </cell>
          <cell r="K44">
            <v>37034.952000000005</v>
          </cell>
          <cell r="L44">
            <v>37956.005942415839</v>
          </cell>
          <cell r="M44">
            <v>39498.546464023035</v>
          </cell>
          <cell r="N44">
            <v>40536.405440138929</v>
          </cell>
        </row>
        <row r="45">
          <cell r="B45" t="str">
            <v>Gross Customer Loans</v>
          </cell>
          <cell r="C45">
            <v>35416.187191999998</v>
          </cell>
          <cell r="D45">
            <v>41830.555</v>
          </cell>
          <cell r="E45">
            <v>51976.023203999997</v>
          </cell>
          <cell r="F45">
            <v>56405.324000000001</v>
          </cell>
          <cell r="G45">
            <v>59855.556999999993</v>
          </cell>
          <cell r="H45">
            <v>67241.375542037</v>
          </cell>
          <cell r="I45">
            <v>84715.741000000009</v>
          </cell>
          <cell r="J45">
            <v>89481.671999999991</v>
          </cell>
          <cell r="K45">
            <v>104621.75399999999</v>
          </cell>
          <cell r="L45">
            <v>107877.87564999999</v>
          </cell>
          <cell r="M45">
            <v>111078.21444230001</v>
          </cell>
          <cell r="N45">
            <v>116614.60564233798</v>
          </cell>
          <cell r="P45" t="str">
            <v>Efficiency (%)</v>
          </cell>
        </row>
        <row r="46">
          <cell r="B46" t="str">
            <v>Total Customer Deposits</v>
          </cell>
          <cell r="C46">
            <v>37867.318066</v>
          </cell>
          <cell r="D46">
            <v>44748.851478999997</v>
          </cell>
          <cell r="E46">
            <v>48922.024000000005</v>
          </cell>
          <cell r="F46">
            <v>53861.928999999996</v>
          </cell>
          <cell r="G46">
            <v>53017.877</v>
          </cell>
          <cell r="H46">
            <v>57070.172606144006</v>
          </cell>
          <cell r="I46">
            <v>69649.535000000003</v>
          </cell>
          <cell r="J46">
            <v>69313.578000000009</v>
          </cell>
          <cell r="K46">
            <v>79464.37000000001</v>
          </cell>
          <cell r="L46">
            <v>82642.944800000012</v>
          </cell>
          <cell r="M46">
            <v>85948.662592000022</v>
          </cell>
          <cell r="N46">
            <v>89386.609095680033</v>
          </cell>
          <cell r="P46" t="str">
            <v>Cost/Income</v>
          </cell>
          <cell r="Q46">
            <v>54.425173971634663</v>
          </cell>
          <cell r="R46">
            <v>42.914813389209463</v>
          </cell>
          <cell r="S46">
            <v>41.143469813455617</v>
          </cell>
          <cell r="T46">
            <v>37.9</v>
          </cell>
          <cell r="U46">
            <v>43.423351814383686</v>
          </cell>
          <cell r="V46">
            <v>47.736178221962938</v>
          </cell>
          <cell r="W46">
            <v>46.100108087751678</v>
          </cell>
          <cell r="X46">
            <v>43.478388715607501</v>
          </cell>
          <cell r="Y46">
            <v>48.431282309616194</v>
          </cell>
          <cell r="Z46">
            <v>62.653708055491656</v>
          </cell>
          <cell r="AA46">
            <v>56.451378271616527</v>
          </cell>
          <cell r="AB46">
            <v>55.856159503658233</v>
          </cell>
        </row>
        <row r="47">
          <cell r="B47" t="str">
            <v>Certificates of Deposits</v>
          </cell>
          <cell r="C47">
            <v>2050.8671610000001</v>
          </cell>
          <cell r="D47">
            <v>2741.2278759999999</v>
          </cell>
          <cell r="E47">
            <v>4536.4353770000016</v>
          </cell>
          <cell r="F47">
            <v>2192.4790000000066</v>
          </cell>
          <cell r="G47">
            <v>1569.5350000000035</v>
          </cell>
          <cell r="H47">
            <v>3993.2857669409932</v>
          </cell>
          <cell r="I47">
            <v>6969.4489999999932</v>
          </cell>
          <cell r="J47">
            <v>8384.7350000000006</v>
          </cell>
          <cell r="K47">
            <v>9836.7279999999882</v>
          </cell>
          <cell r="L47">
            <v>10033.462559999989</v>
          </cell>
          <cell r="M47">
            <v>10635.470313599988</v>
          </cell>
          <cell r="N47">
            <v>11273.598532415988</v>
          </cell>
          <cell r="P47" t="str">
            <v>Expenses/Avg Assets</v>
          </cell>
          <cell r="Q47">
            <v>1.5133501595664849</v>
          </cell>
          <cell r="R47">
            <v>1.1757548542640748</v>
          </cell>
          <cell r="S47">
            <v>1.2062435852239075</v>
          </cell>
          <cell r="T47">
            <v>1.1381560913535849</v>
          </cell>
          <cell r="U47">
            <v>1.1355750615502214</v>
          </cell>
          <cell r="V47">
            <v>1.167300164803772</v>
          </cell>
          <cell r="W47">
            <v>1.3071966130229349</v>
          </cell>
          <cell r="X47">
            <v>1.3178754286626646</v>
          </cell>
          <cell r="Y47">
            <v>1.1904282061044258</v>
          </cell>
          <cell r="Z47">
            <v>1.1317094748960028</v>
          </cell>
          <cell r="AA47">
            <v>1.0981392997254564</v>
          </cell>
          <cell r="AB47">
            <v>1.0841965652938459</v>
          </cell>
        </row>
        <row r="48">
          <cell r="B48" t="str">
            <v>Other Interest Bearing Liability</v>
          </cell>
          <cell r="C48">
            <v>12510.805729</v>
          </cell>
          <cell r="D48">
            <v>9952.527562999996</v>
          </cell>
          <cell r="E48">
            <v>12105.286842000001</v>
          </cell>
          <cell r="F48">
            <v>13721.209999999992</v>
          </cell>
          <cell r="G48">
            <v>15615.631999999998</v>
          </cell>
          <cell r="H48">
            <v>20422.343376655008</v>
          </cell>
          <cell r="I48">
            <v>22728.152999999991</v>
          </cell>
          <cell r="J48">
            <v>27214.11</v>
          </cell>
          <cell r="K48">
            <v>34422.557000000001</v>
          </cell>
          <cell r="L48">
            <v>34502.425195289237</v>
          </cell>
          <cell r="M48">
            <v>34489.549009130031</v>
          </cell>
          <cell r="N48">
            <v>36124.470438170771</v>
          </cell>
        </row>
        <row r="49">
          <cell r="B49" t="str">
            <v>EOP Shareholders' Equity</v>
          </cell>
          <cell r="C49">
            <v>2309.1842869999932</v>
          </cell>
          <cell r="D49">
            <v>2614.2119130000001</v>
          </cell>
          <cell r="E49">
            <v>2730.5028729999995</v>
          </cell>
          <cell r="F49">
            <v>3254.91</v>
          </cell>
          <cell r="G49">
            <v>4860.7820000000002</v>
          </cell>
          <cell r="H49">
            <v>6629.1442996239894</v>
          </cell>
          <cell r="I49">
            <v>8006.2560000000103</v>
          </cell>
          <cell r="J49">
            <v>9569.4559999999929</v>
          </cell>
          <cell r="K49">
            <v>9300.2389999999996</v>
          </cell>
          <cell r="L49">
            <v>9481.8816926900254</v>
          </cell>
          <cell r="M49">
            <v>9810.8064008932433</v>
          </cell>
          <cell r="N49">
            <v>10231.479468129677</v>
          </cell>
          <cell r="P49" t="str">
            <v>Rev Per Employee</v>
          </cell>
          <cell r="Q49">
            <v>6.5454412242632168E-2</v>
          </cell>
          <cell r="R49">
            <v>9.1599243251718102E-2</v>
          </cell>
          <cell r="S49">
            <v>0.16006490130842571</v>
          </cell>
          <cell r="T49">
            <v>0.27943317388857625</v>
          </cell>
          <cell r="U49">
            <v>0.30981130978339877</v>
          </cell>
          <cell r="V49">
            <v>0.31418904899135447</v>
          </cell>
          <cell r="W49">
            <v>0.41320929273489593</v>
          </cell>
          <cell r="X49">
            <v>0.48368947125831319</v>
          </cell>
          <cell r="Y49">
            <v>0.42518124809741215</v>
          </cell>
          <cell r="Z49">
            <v>0.34491807238409961</v>
          </cell>
          <cell r="AA49">
            <v>0.39420937673879991</v>
          </cell>
          <cell r="AB49">
            <v>0.40975382957014084</v>
          </cell>
        </row>
        <row r="50">
          <cell r="P50" t="str">
            <v>Exp Per Employee</v>
          </cell>
          <cell r="Q50">
            <v>3.5623677735163499E-2</v>
          </cell>
          <cell r="R50">
            <v>3.9309644307402865E-2</v>
          </cell>
          <cell r="S50">
            <v>6.5856254351769658E-2</v>
          </cell>
          <cell r="T50">
            <v>0.12408469330332018</v>
          </cell>
          <cell r="U50">
            <v>0.13453045500799535</v>
          </cell>
          <cell r="V50">
            <v>0.14998184438040343</v>
          </cell>
          <cell r="W50">
            <v>0.19048993057942126</v>
          </cell>
          <cell r="X50">
            <v>0.210300388490156</v>
          </cell>
          <cell r="Y50">
            <v>0.2059207305936073</v>
          </cell>
          <cell r="Z50">
            <v>0.21610396210216315</v>
          </cell>
          <cell r="AA50">
            <v>0.22253662644500183</v>
          </cell>
          <cell r="AB50">
            <v>0.22887275261704582</v>
          </cell>
        </row>
        <row r="51">
          <cell r="B51" t="str">
            <v>Avg Loans</v>
          </cell>
          <cell r="C51">
            <v>26625.842215500001</v>
          </cell>
          <cell r="D51">
            <v>38623.371096000003</v>
          </cell>
          <cell r="E51">
            <v>46903.289101999995</v>
          </cell>
          <cell r="F51">
            <v>54190.673601999995</v>
          </cell>
          <cell r="G51">
            <v>58130.440499999997</v>
          </cell>
          <cell r="H51">
            <v>63548.466271018493</v>
          </cell>
          <cell r="I51">
            <v>75978.558271018497</v>
          </cell>
          <cell r="J51">
            <v>87098.7065</v>
          </cell>
          <cell r="K51">
            <v>97051.712999999989</v>
          </cell>
          <cell r="L51">
            <v>106249.81482499998</v>
          </cell>
          <cell r="M51">
            <v>109478.04504615</v>
          </cell>
          <cell r="N51">
            <v>113846.410042319</v>
          </cell>
          <cell r="P51" t="str">
            <v>Rev Per Branch</v>
          </cell>
          <cell r="Q51">
            <v>1.1362633666228639</v>
          </cell>
          <cell r="R51">
            <v>1.536113689745837</v>
          </cell>
          <cell r="S51">
            <v>2.4366166439482968</v>
          </cell>
          <cell r="T51">
            <v>3.5468053571428566</v>
          </cell>
          <cell r="U51">
            <v>3.8961462522851922</v>
          </cell>
          <cell r="V51">
            <v>3.9681019108280258</v>
          </cell>
          <cell r="W51">
            <v>5.2967242290748908</v>
          </cell>
          <cell r="X51">
            <v>6.1729344537815143</v>
          </cell>
          <cell r="Y51">
            <v>5.6228679549114284</v>
          </cell>
          <cell r="Z51">
            <v>4.5967280547113178</v>
          </cell>
          <cell r="AA51">
            <v>5.1574169880922138</v>
          </cell>
          <cell r="AB51">
            <v>5.3900578783882658</v>
          </cell>
        </row>
        <row r="52">
          <cell r="B52" t="str">
            <v>Avg Total Assets</v>
          </cell>
          <cell r="C52">
            <v>46646.097966000001</v>
          </cell>
          <cell r="D52">
            <v>63973.402812</v>
          </cell>
          <cell r="E52">
            <v>70726.581053000002</v>
          </cell>
          <cell r="F52">
            <v>77493.237236999994</v>
          </cell>
          <cell r="G52">
            <v>81494.832999999984</v>
          </cell>
          <cell r="H52">
            <v>89169.352612485498</v>
          </cell>
          <cell r="I52">
            <v>106006.9301124855</v>
          </cell>
          <cell r="J52">
            <v>121173.5165</v>
          </cell>
          <cell r="K52">
            <v>142060.14200000002</v>
          </cell>
          <cell r="L52">
            <v>161088.42991363799</v>
          </cell>
          <cell r="M52">
            <v>167823.61512469608</v>
          </cell>
          <cell r="N52">
            <v>175776.24522110104</v>
          </cell>
          <cell r="P52" t="str">
            <v>Exp Per Branch</v>
          </cell>
          <cell r="Q52">
            <v>0.61841331406044675</v>
          </cell>
          <cell r="R52">
            <v>0.65922032340052594</v>
          </cell>
          <cell r="S52">
            <v>1.0025086333725031</v>
          </cell>
          <cell r="T52">
            <v>1.5749892857142855</v>
          </cell>
          <cell r="U52">
            <v>1.6918372943327238</v>
          </cell>
          <cell r="V52">
            <v>1.8942202001819832</v>
          </cell>
          <cell r="W52">
            <v>2.4417955947136565</v>
          </cell>
          <cell r="X52">
            <v>2.6838924369747894</v>
          </cell>
          <cell r="Y52">
            <v>2.7232270531400968</v>
          </cell>
          <cell r="Z52">
            <v>2.8800205755037096</v>
          </cell>
          <cell r="AA52">
            <v>2.9114329729925479</v>
          </cell>
          <cell r="AB52">
            <v>3.0106793258920468</v>
          </cell>
        </row>
        <row r="53">
          <cell r="B53" t="str">
            <v>Avg Total Deposits</v>
          </cell>
          <cell r="C53">
            <v>32322.240476500003</v>
          </cell>
          <cell r="D53">
            <v>45285.3858415</v>
          </cell>
          <cell r="E53">
            <v>51811.351515000002</v>
          </cell>
          <cell r="F53">
            <v>56142.709453000003</v>
          </cell>
          <cell r="G53">
            <v>57014.987000000001</v>
          </cell>
          <cell r="H53">
            <v>59822.302157279497</v>
          </cell>
          <cell r="I53">
            <v>70875.595657279497</v>
          </cell>
          <cell r="J53">
            <v>79236.601500000004</v>
          </cell>
          <cell r="K53">
            <v>86699.833500000008</v>
          </cell>
          <cell r="L53">
            <v>95225.012599999987</v>
          </cell>
          <cell r="M53">
            <v>99035.9804496</v>
          </cell>
          <cell r="N53">
            <v>103204.10899632002</v>
          </cell>
          <cell r="P53" t="str">
            <v>Net Profit Per Branch</v>
          </cell>
          <cell r="Q53">
            <v>-0.43737687604029879</v>
          </cell>
          <cell r="R53">
            <v>0.37395440929009627</v>
          </cell>
          <cell r="S53">
            <v>0.72082366392479524</v>
          </cell>
          <cell r="T53">
            <v>0.92348392857142814</v>
          </cell>
          <cell r="U53">
            <v>2.4346709323583178</v>
          </cell>
          <cell r="V53">
            <v>1.6501401273885354</v>
          </cell>
          <cell r="W53">
            <v>1.809212334801763</v>
          </cell>
          <cell r="X53">
            <v>2.1944638655462207</v>
          </cell>
          <cell r="Y53">
            <v>0.77849597423510009</v>
          </cell>
          <cell r="Z53">
            <v>4.0285454486605081E-2</v>
          </cell>
          <cell r="AA53">
            <v>0.58576781485500629</v>
          </cell>
          <cell r="AB53">
            <v>0.73070993023133424</v>
          </cell>
        </row>
        <row r="54">
          <cell r="B54" t="str">
            <v>Avg Shareholders' Equity</v>
          </cell>
          <cell r="D54">
            <v>2461.6980999999969</v>
          </cell>
          <cell r="E54">
            <v>2672.3573929999998</v>
          </cell>
          <cell r="F54">
            <v>2992.7064364999997</v>
          </cell>
          <cell r="G54">
            <v>4057.846</v>
          </cell>
          <cell r="H54">
            <v>5744.9631498119943</v>
          </cell>
          <cell r="I54">
            <v>7317.7001498119998</v>
          </cell>
          <cell r="J54">
            <v>8787.8560000000016</v>
          </cell>
          <cell r="K54">
            <v>9434.8474999999962</v>
          </cell>
          <cell r="L54">
            <v>9391.0603463450134</v>
          </cell>
          <cell r="M54">
            <v>9646.3440467916334</v>
          </cell>
          <cell r="N54">
            <v>10021.142934511459</v>
          </cell>
        </row>
        <row r="55">
          <cell r="B55" t="str">
            <v>Avg Equity/Avg Assets (%)</v>
          </cell>
          <cell r="C55">
            <v>4.3677219356804979</v>
          </cell>
          <cell r="D55">
            <v>3.8480024381917617</v>
          </cell>
          <cell r="E55">
            <v>3.7784342933209647</v>
          </cell>
          <cell r="F55">
            <v>3.861893686732059</v>
          </cell>
          <cell r="G55">
            <v>4.9792678267099477</v>
          </cell>
          <cell r="H55">
            <v>6.442755253342038</v>
          </cell>
          <cell r="I55">
            <v>6.9030393975630471</v>
          </cell>
          <cell r="J55">
            <v>7.2522909739934818</v>
          </cell>
          <cell r="K55">
            <v>6.6414459166174806</v>
          </cell>
          <cell r="L55">
            <v>5.8297547200501656</v>
          </cell>
          <cell r="M55">
            <v>5.7479062405038883</v>
          </cell>
          <cell r="N55">
            <v>5.7010791884343153</v>
          </cell>
          <cell r="P55" t="str">
            <v>Net Interest Margin Analysis (%)</v>
          </cell>
        </row>
        <row r="56">
          <cell r="B56" t="str">
            <v>Avg EA/Avg Assets (%)</v>
          </cell>
          <cell r="C56">
            <v>89.247380963878484</v>
          </cell>
          <cell r="D56">
            <v>89.109442986057431</v>
          </cell>
          <cell r="E56">
            <v>62.843768427131806</v>
          </cell>
          <cell r="F56">
            <v>86.458221438528923</v>
          </cell>
          <cell r="G56">
            <v>87.176867090457137</v>
          </cell>
          <cell r="H56">
            <v>85.237820398114849</v>
          </cell>
          <cell r="I56">
            <v>83.730051333262693</v>
          </cell>
          <cell r="J56">
            <v>82.050125202069211</v>
          </cell>
          <cell r="K56">
            <v>80.832485722842648</v>
          </cell>
          <cell r="L56">
            <v>76.467483166854691</v>
          </cell>
          <cell r="M56">
            <v>75.557913301449304</v>
          </cell>
          <cell r="N56">
            <v>75.030964286020506</v>
          </cell>
          <cell r="P56" t="str">
            <v>Int Income/Avg EA</v>
          </cell>
          <cell r="Q56">
            <v>10.643674871597739</v>
          </cell>
          <cell r="R56">
            <v>7.3511509692589723</v>
          </cell>
          <cell r="S56">
            <v>6.7593665687715969</v>
          </cell>
          <cell r="T56">
            <v>6.3411313363885</v>
          </cell>
          <cell r="U56">
            <v>6.1076173974259129</v>
          </cell>
          <cell r="V56">
            <v>5.8021686014085239</v>
          </cell>
          <cell r="W56">
            <v>6.2075262413418288</v>
          </cell>
          <cell r="X56">
            <v>6.5828234430452133</v>
          </cell>
          <cell r="Y56">
            <v>6.8408134671669467</v>
          </cell>
          <cell r="Z56">
            <v>6.2134847638400847</v>
          </cell>
          <cell r="AA56">
            <v>6.4918681354455359</v>
          </cell>
          <cell r="AB56">
            <v>6.5820049613349196</v>
          </cell>
        </row>
        <row r="57">
          <cell r="B57" t="str">
            <v>Avg Loans/Avg EA (%)</v>
          </cell>
          <cell r="C57">
            <v>63.957658202007863</v>
          </cell>
          <cell r="D57">
            <v>67.752760706585107</v>
          </cell>
          <cell r="E57">
            <v>105.5257419844756</v>
          </cell>
          <cell r="F57">
            <v>80.882478034107763</v>
          </cell>
          <cell r="G57">
            <v>81.822412864637954</v>
          </cell>
          <cell r="H57">
            <v>83.609788320802053</v>
          </cell>
          <cell r="I57">
            <v>85.600328841985601</v>
          </cell>
          <cell r="J57">
            <v>87.604163249031004</v>
          </cell>
          <cell r="K57">
            <v>84.517185571836038</v>
          </cell>
          <cell r="L57">
            <v>86.255547683076585</v>
          </cell>
          <cell r="M57">
            <v>86.336413980864961</v>
          </cell>
          <cell r="N57">
            <v>86.321430591007115</v>
          </cell>
          <cell r="P57" t="str">
            <v>Int Exp/Avg Int Bearing Liab.</v>
          </cell>
          <cell r="Q57" t="e">
            <v>#DIV/0!</v>
          </cell>
          <cell r="R57" t="e">
            <v>#DIV/0!</v>
          </cell>
          <cell r="S57">
            <v>4.6313369340110055</v>
          </cell>
          <cell r="T57">
            <v>4.0452670229563381</v>
          </cell>
          <cell r="U57">
            <v>3.6809119629991809</v>
          </cell>
          <cell r="V57">
            <v>3.4507662002186983</v>
          </cell>
          <cell r="W57">
            <v>3.9403417237731766</v>
          </cell>
          <cell r="X57">
            <v>4.4205356988732829</v>
          </cell>
          <cell r="Y57">
            <v>4.9115149565837148</v>
          </cell>
          <cell r="Z57">
            <v>4.6521562826867413</v>
          </cell>
          <cell r="AA57">
            <v>4.7449349222804189</v>
          </cell>
          <cell r="AB57">
            <v>4.8429787934421542</v>
          </cell>
        </row>
        <row r="58">
          <cell r="P58" t="str">
            <v xml:space="preserve">Net Interest Spread </v>
          </cell>
          <cell r="Q58">
            <v>0</v>
          </cell>
          <cell r="R58">
            <v>0</v>
          </cell>
          <cell r="S58">
            <v>2.1280296347605914</v>
          </cell>
          <cell r="T58">
            <v>2.2958643134321619</v>
          </cell>
          <cell r="U58">
            <v>2.426705434426732</v>
          </cell>
          <cell r="V58">
            <v>2.351402401189826</v>
          </cell>
          <cell r="W58">
            <v>2.2671845175686522</v>
          </cell>
          <cell r="X58">
            <v>2.1622877441719299</v>
          </cell>
          <cell r="Y58">
            <v>1.9292985105832314</v>
          </cell>
          <cell r="Z58">
            <v>1.561328481153343</v>
          </cell>
          <cell r="AA58">
            <v>1.7469332131651174</v>
          </cell>
          <cell r="AB58">
            <v>1.7390261678927654</v>
          </cell>
        </row>
        <row r="59">
          <cell r="B59" t="str">
            <v>Asset Quality</v>
          </cell>
          <cell r="P59" t="str">
            <v>Contribution From Free Funds</v>
          </cell>
          <cell r="Q59">
            <v>2.5959599671623828</v>
          </cell>
          <cell r="R59">
            <v>1.9422254990907144</v>
          </cell>
          <cell r="S59">
            <v>2.4739102507275401E-2</v>
          </cell>
          <cell r="T59">
            <v>2.8833988348912598E-2</v>
          </cell>
          <cell r="U59">
            <v>1.1681015467736255E-2</v>
          </cell>
          <cell r="V59">
            <v>6.5341927896537921E-2</v>
          </cell>
          <cell r="W59">
            <v>0.13490453061232621</v>
          </cell>
          <cell r="X59">
            <v>0.14999059313308605</v>
          </cell>
          <cell r="Y59">
            <v>0.12630604075538931</v>
          </cell>
          <cell r="Z59">
            <v>0.13288518858895615</v>
          </cell>
          <cell r="AA59">
            <v>8.7176499421316223E-2</v>
          </cell>
          <cell r="AB59">
            <v>0.1021133186356411</v>
          </cell>
        </row>
        <row r="60">
          <cell r="B60" t="str">
            <v>Won billions, Year ending Dec 31</v>
          </cell>
          <cell r="C60">
            <v>2000</v>
          </cell>
          <cell r="D60">
            <v>2001</v>
          </cell>
          <cell r="E60">
            <v>2002</v>
          </cell>
          <cell r="F60">
            <v>2003</v>
          </cell>
          <cell r="G60">
            <v>2004</v>
          </cell>
          <cell r="H60">
            <v>2005</v>
          </cell>
          <cell r="I60">
            <v>2006</v>
          </cell>
          <cell r="J60">
            <v>2007</v>
          </cell>
          <cell r="K60">
            <v>2008</v>
          </cell>
          <cell r="L60" t="str">
            <v>2009E</v>
          </cell>
          <cell r="M60" t="str">
            <v>2010E</v>
          </cell>
          <cell r="N60" t="str">
            <v>2011E</v>
          </cell>
          <cell r="P60" t="str">
            <v>Net Interest Margin</v>
          </cell>
          <cell r="Q60">
            <v>2.5959599671623828</v>
          </cell>
          <cell r="R60">
            <v>1.9422254990907144</v>
          </cell>
          <cell r="S60">
            <v>2.1527687372678668</v>
          </cell>
          <cell r="T60">
            <v>2.3246983017810745</v>
          </cell>
          <cell r="U60">
            <v>2.4383864498944683</v>
          </cell>
          <cell r="V60">
            <v>2.4167443290863639</v>
          </cell>
          <cell r="W60">
            <v>2.4020890481809785</v>
          </cell>
          <cell r="X60">
            <v>2.312278337305016</v>
          </cell>
          <cell r="Y60">
            <v>2.0556045513386207</v>
          </cell>
          <cell r="Z60">
            <v>1.6942136697422991</v>
          </cell>
          <cell r="AA60">
            <v>1.8341097125864336</v>
          </cell>
          <cell r="AB60">
            <v>1.8411394865284065</v>
          </cell>
        </row>
        <row r="61">
          <cell r="B61" t="str">
            <v>Non-performing Loans (NPL)</v>
          </cell>
          <cell r="C61">
            <v>0</v>
          </cell>
          <cell r="D61">
            <v>0</v>
          </cell>
          <cell r="E61">
            <v>979.94100000000003</v>
          </cell>
          <cell r="F61">
            <v>1134.2430000000002</v>
          </cell>
          <cell r="G61">
            <v>862.82200000000012</v>
          </cell>
          <cell r="H61">
            <v>635.66500000000008</v>
          </cell>
          <cell r="I61">
            <v>573.048</v>
          </cell>
          <cell r="J61">
            <v>687.15685434600005</v>
          </cell>
          <cell r="K61">
            <v>1257.5650000000001</v>
          </cell>
          <cell r="L61">
            <v>1943.6494220151201</v>
          </cell>
          <cell r="M61">
            <v>2010.8178262311749</v>
          </cell>
          <cell r="N61">
            <v>1646.4485325195558</v>
          </cell>
        </row>
        <row r="62">
          <cell r="B62" t="str">
            <v>Gross NPL Ratio (%)</v>
          </cell>
          <cell r="C62">
            <v>0</v>
          </cell>
          <cell r="D62">
            <v>0</v>
          </cell>
          <cell r="E62">
            <v>1.7407534800600934</v>
          </cell>
          <cell r="F62">
            <v>1.9842182085651967</v>
          </cell>
          <cell r="G62">
            <v>1.4362584111901322</v>
          </cell>
          <cell r="H62">
            <v>0.97864373109768032</v>
          </cell>
          <cell r="I62">
            <v>0.68631426610592261</v>
          </cell>
          <cell r="J62">
            <v>0.77334405874766943</v>
          </cell>
          <cell r="K62">
            <v>1.1987012754904474</v>
          </cell>
          <cell r="L62">
            <v>1.790020931506711</v>
          </cell>
          <cell r="M62">
            <v>1.796198119035552</v>
          </cell>
          <cell r="N62">
            <v>1.4033577174790395</v>
          </cell>
          <cell r="P62" t="str">
            <v>Liquidity (%)</v>
          </cell>
        </row>
        <row r="63">
          <cell r="B63" t="str">
            <v>Loan Loss Reserve (LLR)</v>
          </cell>
          <cell r="C63">
            <v>2315.1305339999999</v>
          </cell>
          <cell r="D63">
            <v>0</v>
          </cell>
          <cell r="E63">
            <v>915.74700000000007</v>
          </cell>
          <cell r="F63">
            <v>1081.7809999999999</v>
          </cell>
          <cell r="G63">
            <v>953.59899999999993</v>
          </cell>
          <cell r="H63">
            <v>811.20899999999995</v>
          </cell>
          <cell r="I63">
            <v>990.77899999999977</v>
          </cell>
          <cell r="J63">
            <v>1161.7883185707453</v>
          </cell>
          <cell r="K63">
            <v>1595.05</v>
          </cell>
          <cell r="L63">
            <v>1857.0001307794321</v>
          </cell>
          <cell r="M63">
            <v>1935.5941774127398</v>
          </cell>
          <cell r="N63">
            <v>1926.4274624788422</v>
          </cell>
          <cell r="P63" t="str">
            <v>Avg Loans/Avg EA</v>
          </cell>
          <cell r="Q63">
            <v>63.957658202007863</v>
          </cell>
          <cell r="R63">
            <v>67.752760706585107</v>
          </cell>
          <cell r="S63">
            <v>105.5257419844756</v>
          </cell>
          <cell r="T63">
            <v>80.882478034107763</v>
          </cell>
          <cell r="U63">
            <v>81.822412864637954</v>
          </cell>
          <cell r="V63">
            <v>83.609788320802053</v>
          </cell>
          <cell r="W63">
            <v>85.600328841985601</v>
          </cell>
          <cell r="X63">
            <v>87.604163249031004</v>
          </cell>
          <cell r="Y63">
            <v>84.517185571836038</v>
          </cell>
          <cell r="Z63">
            <v>86.255547683076585</v>
          </cell>
          <cell r="AA63">
            <v>86.336413980864961</v>
          </cell>
          <cell r="AB63">
            <v>86.321430591007115</v>
          </cell>
        </row>
        <row r="64">
          <cell r="B64" t="str">
            <v>LLR/NPL (%)</v>
          </cell>
          <cell r="C64" t="str">
            <v>na</v>
          </cell>
          <cell r="D64" t="str">
            <v>na</v>
          </cell>
          <cell r="E64">
            <v>93.449197451683318</v>
          </cell>
          <cell r="F64">
            <v>95.374712473429398</v>
          </cell>
          <cell r="G64">
            <v>110.52094174696516</v>
          </cell>
          <cell r="H64">
            <v>127.61580392187706</v>
          </cell>
          <cell r="I64">
            <v>172.89633678156102</v>
          </cell>
          <cell r="J64">
            <v>169.07177905930587</v>
          </cell>
          <cell r="K64">
            <v>126.83638619077342</v>
          </cell>
          <cell r="L64">
            <v>95.541927970433449</v>
          </cell>
          <cell r="M64">
            <v>96.25905202166301</v>
          </cell>
          <cell r="N64">
            <v>117.00502168329766</v>
          </cell>
          <cell r="P64" t="str">
            <v>Avg Liquid Assets/AEA</v>
          </cell>
          <cell r="Q64">
            <v>47.761146864929366</v>
          </cell>
          <cell r="R64">
            <v>45.260668302293368</v>
          </cell>
          <cell r="S64">
            <v>52.939475788025248</v>
          </cell>
          <cell r="T64">
            <v>32.692845010402309</v>
          </cell>
          <cell r="U64">
            <v>30.772312038773059</v>
          </cell>
          <cell r="V64">
            <v>33.297975321826357</v>
          </cell>
          <cell r="W64">
            <v>32.546261223879</v>
          </cell>
          <cell r="X64">
            <v>30.551843415099572</v>
          </cell>
          <cell r="Y64">
            <v>30.167488943553305</v>
          </cell>
          <cell r="Z64">
            <v>30.439517279420546</v>
          </cell>
          <cell r="AA64">
            <v>30.541047286905641</v>
          </cell>
          <cell r="AB64">
            <v>30.34233377706682</v>
          </cell>
        </row>
        <row r="65">
          <cell r="B65" t="str">
            <v>LLR/Total Credit (%)</v>
          </cell>
          <cell r="C65">
            <v>3.0002086490841178</v>
          </cell>
          <cell r="D65">
            <v>0</v>
          </cell>
          <cell r="E65">
            <v>1.6267201567284058</v>
          </cell>
          <cell r="F65">
            <v>1.8924424112644882</v>
          </cell>
          <cell r="G65">
            <v>1.5873663219673337</v>
          </cell>
          <cell r="H65">
            <v>1.2489040649713576</v>
          </cell>
          <cell r="I65">
            <v>1.1866122249063951</v>
          </cell>
          <cell r="J65">
            <v>1.3075065583741283</v>
          </cell>
          <cell r="K65">
            <v>1.5203893790547909</v>
          </cell>
          <cell r="L65">
            <v>1.7102205090358233</v>
          </cell>
          <cell r="M65">
            <v>1.7290032818145646</v>
          </cell>
          <cell r="N65">
            <v>1.641999001630581</v>
          </cell>
          <cell r="P65" t="str">
            <v>Avg Loans/Avg Deposits</v>
          </cell>
          <cell r="Q65">
            <v>82.376227090007617</v>
          </cell>
          <cell r="R65">
            <v>85.288819733551094</v>
          </cell>
          <cell r="S65">
            <v>90.527051950036338</v>
          </cell>
          <cell r="T65">
            <v>96.523082213133733</v>
          </cell>
          <cell r="U65">
            <v>101.95642156333386</v>
          </cell>
          <cell r="V65">
            <v>106.22872069340042</v>
          </cell>
          <cell r="W65">
            <v>107.19988674016159</v>
          </cell>
          <cell r="X65">
            <v>109.92231475248215</v>
          </cell>
          <cell r="Y65">
            <v>111.93990701262418</v>
          </cell>
          <cell r="Z65">
            <v>111.57763272902943</v>
          </cell>
          <cell r="AA65">
            <v>110.54370800303637</v>
          </cell>
          <cell r="AB65">
            <v>110.31189663812557</v>
          </cell>
        </row>
        <row r="66">
          <cell r="P66" t="str">
            <v>Avg Loans/Avg Depo &amp; Equity</v>
          </cell>
          <cell r="Q66">
            <v>85.085608734411295</v>
          </cell>
          <cell r="R66">
            <v>88.24208977346008</v>
          </cell>
          <cell r="S66">
            <v>94.739200112771243</v>
          </cell>
          <cell r="T66">
            <v>99.643264750248647</v>
          </cell>
          <cell r="U66">
            <v>101.10037612081126</v>
          </cell>
          <cell r="V66">
            <v>104.53943783415723</v>
          </cell>
          <cell r="W66">
            <v>107.50026567369369</v>
          </cell>
          <cell r="X66">
            <v>111.28064427467115</v>
          </cell>
          <cell r="Y66">
            <v>115.78058750280189</v>
          </cell>
          <cell r="Z66">
            <v>117.47487025497811</v>
          </cell>
          <cell r="AA66">
            <v>116.53772846017398</v>
          </cell>
          <cell r="AB66">
            <v>116.53990505974896</v>
          </cell>
        </row>
        <row r="67">
          <cell r="B67" t="str">
            <v>Specific Reserve</v>
          </cell>
          <cell r="C67">
            <v>0</v>
          </cell>
          <cell r="D67">
            <v>0</v>
          </cell>
          <cell r="E67">
            <v>271.33365500000002</v>
          </cell>
          <cell r="F67">
            <v>272.97055499999999</v>
          </cell>
          <cell r="G67">
            <v>289.30635000000001</v>
          </cell>
          <cell r="H67">
            <v>316.29219499999999</v>
          </cell>
          <cell r="I67">
            <v>409.67789499999998</v>
          </cell>
          <cell r="J67">
            <v>435.00255018420506</v>
          </cell>
          <cell r="K67">
            <v>509.20642999999995</v>
          </cell>
          <cell r="L67">
            <v>512.72478065445353</v>
          </cell>
          <cell r="M67">
            <v>528.58508210394768</v>
          </cell>
          <cell r="N67">
            <v>565.71621933927167</v>
          </cell>
          <cell r="P67" t="str">
            <v>Period-End Loans/Deposits</v>
          </cell>
          <cell r="Q67">
            <v>85.084430804538599</v>
          </cell>
          <cell r="R67">
            <v>85.462636527256279</v>
          </cell>
          <cell r="S67">
            <v>95.060665147378742</v>
          </cell>
          <cell r="T67">
            <v>97.911068376076543</v>
          </cell>
          <cell r="U67">
            <v>106.08691658920026</v>
          </cell>
          <cell r="V67">
            <v>106.3552682804809</v>
          </cell>
          <cell r="W67">
            <v>107.87989557332733</v>
          </cell>
          <cell r="X67">
            <v>111.92851899008586</v>
          </cell>
          <cell r="Y67">
            <v>111.94964888397743</v>
          </cell>
          <cell r="Z67">
            <v>111.21919935585782</v>
          </cell>
          <cell r="AA67">
            <v>109.89548657767077</v>
          </cell>
          <cell r="AB67">
            <v>110.71148236323631</v>
          </cell>
        </row>
        <row r="68">
          <cell r="B68" t="str">
            <v>Specific Reserve/NPLs (%)</v>
          </cell>
          <cell r="C68" t="str">
            <v>na</v>
          </cell>
          <cell r="D68" t="str">
            <v>na</v>
          </cell>
          <cell r="E68">
            <v>27.688774630309375</v>
          </cell>
          <cell r="F68">
            <v>24.066320444560819</v>
          </cell>
          <cell r="G68">
            <v>33.530247258414825</v>
          </cell>
          <cell r="H68">
            <v>49.757686045322608</v>
          </cell>
          <cell r="I68">
            <v>71.491026057154016</v>
          </cell>
          <cell r="J68">
            <v>63.304694908154225</v>
          </cell>
          <cell r="K68">
            <v>40.491460083574204</v>
          </cell>
          <cell r="L68">
            <v>26.379488751776808</v>
          </cell>
          <cell r="M68">
            <v>26.287069629507982</v>
          </cell>
          <cell r="N68">
            <v>34.359787637792586</v>
          </cell>
        </row>
        <row r="69">
          <cell r="B69" t="str">
            <v>General Reserve</v>
          </cell>
          <cell r="C69">
            <v>2315.1305339999999</v>
          </cell>
          <cell r="D69">
            <v>0</v>
          </cell>
          <cell r="E69">
            <v>644.41334500000005</v>
          </cell>
          <cell r="F69">
            <v>808.81044499999996</v>
          </cell>
          <cell r="G69">
            <v>664.29264999999987</v>
          </cell>
          <cell r="H69">
            <v>494.91680499999995</v>
          </cell>
          <cell r="I69">
            <v>581.10110499999973</v>
          </cell>
          <cell r="J69">
            <v>726.78576838654021</v>
          </cell>
          <cell r="K69">
            <v>1085.84357</v>
          </cell>
          <cell r="L69">
            <v>1344.2753501249786</v>
          </cell>
          <cell r="M69">
            <v>1407.009095308792</v>
          </cell>
          <cell r="N69">
            <v>1360.7112431395706</v>
          </cell>
          <cell r="P69" t="str">
            <v>Capital Information</v>
          </cell>
        </row>
        <row r="70">
          <cell r="B70" t="str">
            <v>General Reserve/NPLs (%)</v>
          </cell>
          <cell r="C70" t="e">
            <v>#DIV/0!</v>
          </cell>
          <cell r="D70" t="e">
            <v>#DIV/0!</v>
          </cell>
          <cell r="E70">
            <v>65.760422821373936</v>
          </cell>
          <cell r="F70">
            <v>71.308392028868582</v>
          </cell>
          <cell r="G70">
            <v>76.990694488550332</v>
          </cell>
          <cell r="H70">
            <v>77.858117876554459</v>
          </cell>
          <cell r="I70">
            <v>101.40531072440699</v>
          </cell>
          <cell r="J70">
            <v>105.76708415115161</v>
          </cell>
          <cell r="K70">
            <v>86.344926107199228</v>
          </cell>
          <cell r="L70">
            <v>69.162439218656644</v>
          </cell>
          <cell r="M70">
            <v>69.971982392155013</v>
          </cell>
          <cell r="N70">
            <v>82.645234045505063</v>
          </cell>
          <cell r="P70" t="str">
            <v>Tier 1 Ratio (%)</v>
          </cell>
          <cell r="Q70" t="e">
            <v>#DIV/0!</v>
          </cell>
          <cell r="R70" t="e">
            <v>#DIV/0!</v>
          </cell>
          <cell r="S70">
            <v>5.7077502037031973</v>
          </cell>
          <cell r="T70">
            <v>6.2119320704425416</v>
          </cell>
          <cell r="U70">
            <v>7.5772079497527098</v>
          </cell>
          <cell r="V70">
            <v>9.2980198827211868</v>
          </cell>
          <cell r="W70">
            <v>7.932598629672249</v>
          </cell>
          <cell r="X70">
            <v>7.827630364023241</v>
          </cell>
          <cell r="Y70">
            <v>9.4265824287043909</v>
          </cell>
          <cell r="Z70">
            <v>9.4371844064279333</v>
          </cell>
          <cell r="AA70">
            <v>9.3639344054147635</v>
          </cell>
          <cell r="AB70">
            <v>9.3113055457209093</v>
          </cell>
        </row>
        <row r="71">
          <cell r="B71" t="str">
            <v>Net Charge-offs (NCO)</v>
          </cell>
          <cell r="C71">
            <v>1255.2463950000001</v>
          </cell>
          <cell r="D71">
            <v>1785.11</v>
          </cell>
          <cell r="E71">
            <v>0</v>
          </cell>
          <cell r="F71">
            <v>518.6</v>
          </cell>
          <cell r="G71">
            <v>362.79999999999995</v>
          </cell>
          <cell r="H71">
            <v>241.79999999999998</v>
          </cell>
          <cell r="I71">
            <v>101</v>
          </cell>
          <cell r="J71">
            <v>155.20000000000002</v>
          </cell>
          <cell r="K71">
            <v>280.79999999999995</v>
          </cell>
          <cell r="L71">
            <v>850.1833707658252</v>
          </cell>
          <cell r="M71">
            <v>887.31673532359741</v>
          </cell>
          <cell r="N71">
            <v>940.95577388195045</v>
          </cell>
          <cell r="P71" t="str">
            <v>Tier 2 Ratio (%)</v>
          </cell>
          <cell r="Q71" t="e">
            <v>#DIV/0!</v>
          </cell>
          <cell r="R71" t="e">
            <v>#DIV/0!</v>
          </cell>
          <cell r="S71">
            <v>4.6314151605852496</v>
          </cell>
          <cell r="T71">
            <v>5.0509747591367109</v>
          </cell>
          <cell r="U71">
            <v>4.3502069253654341</v>
          </cell>
          <cell r="V71">
            <v>4.2285330041382272</v>
          </cell>
          <cell r="W71">
            <v>3.6511106009102186</v>
          </cell>
          <cell r="X71">
            <v>3.9915990220924158</v>
          </cell>
          <cell r="Y71">
            <v>4.0834464953488245</v>
          </cell>
          <cell r="Z71">
            <v>3.8642036961024111</v>
          </cell>
          <cell r="AA71">
            <v>3.7124508741334834</v>
          </cell>
          <cell r="AB71">
            <v>3.52898392388565</v>
          </cell>
        </row>
        <row r="72">
          <cell r="B72" t="str">
            <v>NCO/Avg Total Credit (%)</v>
          </cell>
          <cell r="C72" t="e">
            <v>#DIV/0!</v>
          </cell>
          <cell r="D72" t="e">
            <v>#DIV/0!</v>
          </cell>
          <cell r="E72">
            <v>0</v>
          </cell>
          <cell r="F72">
            <v>0.91417660337207063</v>
          </cell>
          <cell r="G72">
            <v>0.61891456476394158</v>
          </cell>
          <cell r="H72">
            <v>0.38679349750221864</v>
          </cell>
          <cell r="I72">
            <v>0.13607265002314481</v>
          </cell>
          <cell r="J72">
            <v>0.18009685961682195</v>
          </cell>
          <cell r="K72">
            <v>0.28983430566297252</v>
          </cell>
          <cell r="L72">
            <v>0.79645036177194206</v>
          </cell>
          <cell r="M72">
            <v>0.80470911527782285</v>
          </cell>
          <cell r="N72">
            <v>0.82082535934199907</v>
          </cell>
          <cell r="P72" t="str">
            <v>Total CAR (%)</v>
          </cell>
          <cell r="Q72" t="e">
            <v>#DIV/0!</v>
          </cell>
          <cell r="R72" t="e">
            <v>#DIV/0!</v>
          </cell>
          <cell r="S72">
            <v>10.339165364288448</v>
          </cell>
          <cell r="T72">
            <v>11.262906829579252</v>
          </cell>
          <cell r="U72">
            <v>11.927414875118144</v>
          </cell>
          <cell r="V72">
            <v>13.526552886859413</v>
          </cell>
          <cell r="W72">
            <v>11.583709230582468</v>
          </cell>
          <cell r="X72">
            <v>11.819229386115657</v>
          </cell>
          <cell r="Y72">
            <v>13.510028924053216</v>
          </cell>
          <cell r="Z72">
            <v>13.301388102530344</v>
          </cell>
          <cell r="AA72">
            <v>13.076385279548248</v>
          </cell>
          <cell r="AB72">
            <v>12.84028946960656</v>
          </cell>
        </row>
        <row r="73">
          <cell r="B73" t="str">
            <v>LLPE/Avg Loans (%)</v>
          </cell>
          <cell r="C73">
            <v>5.6482325622906453</v>
          </cell>
          <cell r="D73">
            <v>1.5639306043447803</v>
          </cell>
          <cell r="E73">
            <v>0.76082302079916075</v>
          </cell>
          <cell r="F73">
            <v>1.530003125795063</v>
          </cell>
          <cell r="G73">
            <v>0.60767473454807208</v>
          </cell>
          <cell r="H73">
            <v>0.33329836647307864</v>
          </cell>
          <cell r="I73">
            <v>0.42418019943257312</v>
          </cell>
          <cell r="J73">
            <v>0.45975768882400109</v>
          </cell>
          <cell r="K73">
            <v>1.2706432085335786</v>
          </cell>
          <cell r="L73">
            <v>1.0398889299737253</v>
          </cell>
          <cell r="M73">
            <v>0.90615752622089185</v>
          </cell>
          <cell r="N73">
            <v>0.84333508485824171</v>
          </cell>
        </row>
        <row r="152">
          <cell r="P152">
            <v>3810988.7930000001</v>
          </cell>
          <cell r="Q152">
            <v>0</v>
          </cell>
        </row>
        <row r="167">
          <cell r="C167">
            <v>2891795.6310000001</v>
          </cell>
          <cell r="D167">
            <v>3078048.412</v>
          </cell>
          <cell r="E167">
            <v>4094917.1359999999</v>
          </cell>
          <cell r="F167">
            <v>4859382.1409999998</v>
          </cell>
        </row>
        <row r="171">
          <cell r="A171" t="str">
            <v>Contra Account of Guarantee Issued</v>
          </cell>
        </row>
        <row r="188">
          <cell r="P188">
            <v>2791587</v>
          </cell>
          <cell r="Q188">
            <v>0</v>
          </cell>
        </row>
        <row r="192">
          <cell r="P192">
            <v>2348914.6860000002</v>
          </cell>
        </row>
        <row r="203">
          <cell r="C203">
            <v>331599</v>
          </cell>
          <cell r="D203">
            <v>316714</v>
          </cell>
          <cell r="E203">
            <v>620630</v>
          </cell>
          <cell r="F203">
            <v>1055526</v>
          </cell>
        </row>
        <row r="207">
          <cell r="A207" t="str">
            <v xml:space="preserve">    Guarantee Payment</v>
          </cell>
        </row>
      </sheetData>
      <sheetData sheetId="9" refreshError="1">
        <row r="1">
          <cell r="A1" t="str">
            <v>Summary of 2Q06 results</v>
          </cell>
        </row>
        <row r="3">
          <cell r="A3" t="str">
            <v>(Won billions)</v>
          </cell>
          <cell r="B3" t="str">
            <v>2Q06A</v>
          </cell>
          <cell r="C3" t="str">
            <v>2Q05</v>
          </cell>
          <cell r="D3" t="str">
            <v>Change (y-y)</v>
          </cell>
          <cell r="E3" t="str">
            <v>1Q06</v>
          </cell>
          <cell r="F3" t="str">
            <v>Change (q-q)</v>
          </cell>
          <cell r="G3" t="str">
            <v>2Q06E</v>
          </cell>
          <cell r="H3" t="str">
            <v>Difference</v>
          </cell>
          <cell r="V3" t="str">
            <v>1Q05</v>
          </cell>
          <cell r="W3" t="str">
            <v>2Q05</v>
          </cell>
          <cell r="X3" t="str">
            <v>3Q05</v>
          </cell>
          <cell r="Y3" t="str">
            <v>4Q05</v>
          </cell>
        </row>
        <row r="4">
          <cell r="A4" t="str">
            <v>Income statement</v>
          </cell>
        </row>
        <row r="5">
          <cell r="A5" t="str">
            <v>Net operating revenue</v>
          </cell>
          <cell r="B5">
            <v>696.29200000000003</v>
          </cell>
          <cell r="C5">
            <v>522.69100000000026</v>
          </cell>
          <cell r="D5">
            <v>0.33212930775544192</v>
          </cell>
          <cell r="E5">
            <v>769.59800000000007</v>
          </cell>
          <cell r="F5">
            <v>-9.525232653931015E-2</v>
          </cell>
          <cell r="G5">
            <v>700.58100000000002</v>
          </cell>
          <cell r="H5">
            <v>-6.1220615460596539E-3</v>
          </cell>
          <cell r="K5" t="str">
            <v>Provisioning expenses</v>
          </cell>
          <cell r="V5">
            <v>505.05099999999993</v>
          </cell>
          <cell r="W5">
            <v>522.69100000000026</v>
          </cell>
          <cell r="X5">
            <v>573.55799999999988</v>
          </cell>
          <cell r="Y5">
            <v>579.17199999999991</v>
          </cell>
        </row>
        <row r="6">
          <cell r="A6" t="str">
            <v xml:space="preserve">   Net interest income</v>
          </cell>
          <cell r="B6">
            <v>591.87300000000005</v>
          </cell>
          <cell r="C6">
            <v>491.70000000000005</v>
          </cell>
          <cell r="D6">
            <v>0.20372788285539967</v>
          </cell>
          <cell r="E6">
            <v>581.80199999999991</v>
          </cell>
          <cell r="F6">
            <v>1.7310012684728093E-2</v>
          </cell>
          <cell r="G6">
            <v>591.87300000000005</v>
          </cell>
          <cell r="H6">
            <v>0</v>
          </cell>
          <cell r="V6">
            <v>450.30029676699996</v>
          </cell>
          <cell r="W6">
            <v>491.70000000000005</v>
          </cell>
          <cell r="X6">
            <v>510.80000000000007</v>
          </cell>
          <cell r="Y6">
            <v>543.35845403600013</v>
          </cell>
        </row>
        <row r="7">
          <cell r="A7" t="str">
            <v xml:space="preserve">   Non-interest income</v>
          </cell>
          <cell r="B7">
            <v>104.419</v>
          </cell>
          <cell r="C7">
            <v>30.991000000000167</v>
          </cell>
          <cell r="D7">
            <v>2.3693330321706121</v>
          </cell>
          <cell r="E7">
            <v>187.79600000000019</v>
          </cell>
          <cell r="F7">
            <v>-0.44397644252273805</v>
          </cell>
          <cell r="G7">
            <v>108.70800000000001</v>
          </cell>
          <cell r="H7">
            <v>-3.9454317989476517E-2</v>
          </cell>
          <cell r="K7" t="str">
            <v>Actual</v>
          </cell>
          <cell r="L7" t="str">
            <v>Expected</v>
          </cell>
          <cell r="V7">
            <v>54.750703232999982</v>
          </cell>
          <cell r="W7">
            <v>30.991000000000167</v>
          </cell>
          <cell r="X7">
            <v>62.757999999999853</v>
          </cell>
          <cell r="Y7">
            <v>35.8135459639998</v>
          </cell>
        </row>
        <row r="8">
          <cell r="A8" t="str">
            <v>Loan loss prov. Expenses</v>
          </cell>
          <cell r="B8">
            <v>59.65</v>
          </cell>
          <cell r="C8">
            <v>23.966999999999999</v>
          </cell>
          <cell r="D8">
            <v>1.4888388200442275</v>
          </cell>
          <cell r="E8">
            <v>43.924999999999997</v>
          </cell>
          <cell r="F8">
            <v>0.35799658508821852</v>
          </cell>
          <cell r="G8">
            <v>63.939000000000007</v>
          </cell>
          <cell r="H8">
            <v>-6.7079560205821287E-2</v>
          </cell>
          <cell r="J8" t="str">
            <v>Corp</v>
          </cell>
          <cell r="K8">
            <v>35.9</v>
          </cell>
          <cell r="L8">
            <v>36</v>
          </cell>
          <cell r="V8">
            <v>62.860999999999997</v>
          </cell>
          <cell r="W8">
            <v>23.966999999999999</v>
          </cell>
          <cell r="X8">
            <v>29.13</v>
          </cell>
          <cell r="Y8">
            <v>95.847999999999999</v>
          </cell>
        </row>
        <row r="9">
          <cell r="A9" t="str">
            <v>SG&amp;A expenses</v>
          </cell>
          <cell r="B9">
            <v>324.84399999999999</v>
          </cell>
          <cell r="C9">
            <v>245.69799999999995</v>
          </cell>
          <cell r="D9">
            <v>0.32212716424228138</v>
          </cell>
          <cell r="E9">
            <v>340.69400000000002</v>
          </cell>
          <cell r="F9">
            <v>-4.6522686046716499E-2</v>
          </cell>
          <cell r="G9">
            <v>324.84399999999999</v>
          </cell>
          <cell r="H9">
            <v>0</v>
          </cell>
          <cell r="J9" t="str">
            <v>Retail</v>
          </cell>
          <cell r="K9">
            <v>22.8</v>
          </cell>
          <cell r="L9">
            <v>22.8</v>
          </cell>
          <cell r="V9">
            <v>250.036</v>
          </cell>
          <cell r="W9">
            <v>245.69799999999995</v>
          </cell>
          <cell r="X9">
            <v>238.11399999999998</v>
          </cell>
          <cell r="Y9">
            <v>307.02600000000007</v>
          </cell>
        </row>
        <row r="10">
          <cell r="A10" t="str">
            <v>Operating profits</v>
          </cell>
          <cell r="B10">
            <v>311.79800000000006</v>
          </cell>
          <cell r="C10">
            <v>253.02600000000032</v>
          </cell>
          <cell r="D10">
            <v>0.23227652494209949</v>
          </cell>
          <cell r="E10">
            <v>384.9790000000001</v>
          </cell>
          <cell r="F10">
            <v>-0.19009088807441454</v>
          </cell>
          <cell r="G10">
            <v>311.79800000000006</v>
          </cell>
          <cell r="H10">
            <v>0</v>
          </cell>
          <cell r="J10" t="str">
            <v>C/C</v>
          </cell>
          <cell r="K10">
            <v>2.6</v>
          </cell>
          <cell r="L10">
            <v>2.6</v>
          </cell>
          <cell r="V10">
            <v>192.15399999999994</v>
          </cell>
          <cell r="W10">
            <v>253.02600000000032</v>
          </cell>
          <cell r="X10">
            <v>306.31399999999991</v>
          </cell>
          <cell r="Y10">
            <v>176.29799999999983</v>
          </cell>
        </row>
        <row r="11">
          <cell r="A11" t="str">
            <v>Non-operating income</v>
          </cell>
          <cell r="B11">
            <v>34.134999999999934</v>
          </cell>
          <cell r="C11">
            <v>45.23599999999999</v>
          </cell>
          <cell r="D11">
            <v>-0.24540189229817089</v>
          </cell>
          <cell r="E11">
            <v>30.067999999999998</v>
          </cell>
          <cell r="F11">
            <v>0.13526007715843869</v>
          </cell>
          <cell r="G11">
            <v>34.134999999999998</v>
          </cell>
          <cell r="H11">
            <v>-1.8873791418627661E-15</v>
          </cell>
          <cell r="V11">
            <v>72.852000000000004</v>
          </cell>
          <cell r="W11">
            <v>45.23599999999999</v>
          </cell>
          <cell r="X11">
            <v>16.148000000000003</v>
          </cell>
          <cell r="Y11">
            <v>106.03999999999996</v>
          </cell>
        </row>
        <row r="12">
          <cell r="A12" t="str">
            <v>Pretax profits</v>
          </cell>
          <cell r="B12">
            <v>345.93299999999999</v>
          </cell>
          <cell r="C12">
            <v>298.26200000000028</v>
          </cell>
          <cell r="D12">
            <v>0.15982927761498167</v>
          </cell>
          <cell r="E12">
            <v>415.04700000000008</v>
          </cell>
          <cell r="F12">
            <v>-0.16652090004264597</v>
          </cell>
          <cell r="G12">
            <v>345.93300000000005</v>
          </cell>
          <cell r="H12">
            <v>0</v>
          </cell>
          <cell r="V12">
            <v>265.00599999999997</v>
          </cell>
          <cell r="W12">
            <v>298.26200000000028</v>
          </cell>
          <cell r="X12">
            <v>322.46199999999993</v>
          </cell>
          <cell r="Y12">
            <v>282.33799999999979</v>
          </cell>
        </row>
        <row r="13">
          <cell r="A13" t="str">
            <v>Net profits</v>
          </cell>
          <cell r="B13">
            <v>244.09899999999999</v>
          </cell>
          <cell r="C13">
            <v>261.39100000000025</v>
          </cell>
          <cell r="D13">
            <v>-6.6153769640118654E-2</v>
          </cell>
          <cell r="E13">
            <v>288.28800000000012</v>
          </cell>
          <cell r="F13">
            <v>-0.15328074703074746</v>
          </cell>
          <cell r="G13">
            <v>244.09899999999999</v>
          </cell>
          <cell r="H13">
            <v>0</v>
          </cell>
          <cell r="V13">
            <v>204.90199999999999</v>
          </cell>
          <cell r="W13">
            <v>261.39100000000025</v>
          </cell>
          <cell r="X13">
            <v>235.19699999999995</v>
          </cell>
          <cell r="Y13">
            <v>205.26199999999977</v>
          </cell>
        </row>
        <row r="14">
          <cell r="A14" t="str">
            <v xml:space="preserve">   Net interest margin *</v>
          </cell>
          <cell r="B14">
            <v>2.46E-2</v>
          </cell>
          <cell r="C14">
            <v>2.4447579188013619E-2</v>
          </cell>
          <cell r="D14">
            <v>1.5242081198638124</v>
          </cell>
          <cell r="E14">
            <v>2.6724603208946176E-2</v>
          </cell>
          <cell r="F14">
            <v>-21.246032089461757</v>
          </cell>
          <cell r="G14">
            <v>2.4622077189826692E-2</v>
          </cell>
          <cell r="H14">
            <v>-0.22077189826691379</v>
          </cell>
          <cell r="V14">
            <v>2.2953968171109906E-2</v>
          </cell>
          <cell r="W14">
            <v>2.4447579188013619E-2</v>
          </cell>
          <cell r="X14">
            <v>2.4129847724601534E-2</v>
          </cell>
          <cell r="Y14">
            <v>2.5017312347218826E-2</v>
          </cell>
        </row>
        <row r="15">
          <cell r="A15" t="str">
            <v xml:space="preserve">   Cost / income</v>
          </cell>
          <cell r="B15">
            <v>0.46653415521074487</v>
          </cell>
          <cell r="C15">
            <v>0.47006357484632377</v>
          </cell>
          <cell r="E15">
            <v>0.44269085938373021</v>
          </cell>
          <cell r="G15">
            <v>0.46367800439920576</v>
          </cell>
        </row>
        <row r="16">
          <cell r="A16" t="str">
            <v xml:space="preserve">   LLPE / Avg. total credit (annualized)</v>
          </cell>
          <cell r="B16">
            <v>3.2501023574513922E-3</v>
          </cell>
          <cell r="C16">
            <v>1.5305366756734784E-3</v>
          </cell>
          <cell r="D16">
            <v>17.195656817779138</v>
          </cell>
          <cell r="E16">
            <v>2.6354667997069902E-3</v>
          </cell>
          <cell r="F16">
            <v>6.1463555774440195</v>
          </cell>
          <cell r="G16">
            <v>3.4837940542824112E-3</v>
          </cell>
          <cell r="H16">
            <v>-2.3369169683101894</v>
          </cell>
        </row>
        <row r="17">
          <cell r="A17" t="str">
            <v>Balance sheet</v>
          </cell>
        </row>
        <row r="18">
          <cell r="A18" t="str">
            <v>Total assets</v>
          </cell>
          <cell r="B18">
            <v>110710.629</v>
          </cell>
          <cell r="C18">
            <v>88273.888000000006</v>
          </cell>
          <cell r="D18">
            <v>0.2541718905595276</v>
          </cell>
          <cell r="E18">
            <v>97381.525999999998</v>
          </cell>
          <cell r="F18">
            <v>0.13687506806989247</v>
          </cell>
          <cell r="G18">
            <v>110710.62899999999</v>
          </cell>
          <cell r="H18">
            <v>0</v>
          </cell>
          <cell r="V18">
            <v>86033.645000000004</v>
          </cell>
          <cell r="W18">
            <v>88273.888000000006</v>
          </cell>
          <cell r="X18">
            <v>92580.868000000002</v>
          </cell>
          <cell r="Y18">
            <v>95915.497224970997</v>
          </cell>
        </row>
        <row r="19">
          <cell r="A19" t="str">
            <v xml:space="preserve">   Net loans</v>
          </cell>
          <cell r="B19">
            <v>80782.680999999997</v>
          </cell>
          <cell r="C19">
            <v>63077.800999999999</v>
          </cell>
          <cell r="D19">
            <v>0.28068321532007756</v>
          </cell>
          <cell r="E19">
            <v>67832.312999999995</v>
          </cell>
          <cell r="F19">
            <v>0.19091738770576794</v>
          </cell>
          <cell r="G19">
            <v>80782.680999999997</v>
          </cell>
          <cell r="H19">
            <v>0</v>
          </cell>
          <cell r="V19">
            <v>59929.012999999999</v>
          </cell>
          <cell r="W19">
            <v>63077.800999999999</v>
          </cell>
          <cell r="X19">
            <v>66676.78</v>
          </cell>
          <cell r="Y19">
            <v>66446.510872058003</v>
          </cell>
        </row>
        <row r="20">
          <cell r="A20" t="str">
            <v>Total liabilities</v>
          </cell>
          <cell r="B20">
            <v>103317.999</v>
          </cell>
          <cell r="C20">
            <v>82868.596000000005</v>
          </cell>
          <cell r="D20">
            <v>0.24676902936789213</v>
          </cell>
          <cell r="E20">
            <v>90348.698999999993</v>
          </cell>
          <cell r="F20">
            <v>0.14354716939532253</v>
          </cell>
          <cell r="G20">
            <v>103317.999</v>
          </cell>
          <cell r="H20">
            <v>0</v>
          </cell>
        </row>
        <row r="21">
          <cell r="A21" t="str">
            <v xml:space="preserve">   Deposits</v>
          </cell>
          <cell r="B21">
            <v>71485.498000000007</v>
          </cell>
          <cell r="C21">
            <v>59354.055</v>
          </cell>
          <cell r="D21">
            <v>0.20439114058845687</v>
          </cell>
          <cell r="E21">
            <v>62083.572</v>
          </cell>
          <cell r="F21">
            <v>0.15143983661249405</v>
          </cell>
          <cell r="G21">
            <v>71485.498000000007</v>
          </cell>
          <cell r="H21">
            <v>0</v>
          </cell>
          <cell r="V21">
            <v>57649.256000000001</v>
          </cell>
          <cell r="W21">
            <v>59354.055</v>
          </cell>
          <cell r="X21">
            <v>63542.572999999997</v>
          </cell>
          <cell r="Y21">
            <v>63223.361314558999</v>
          </cell>
        </row>
        <row r="22">
          <cell r="A22" t="str">
            <v>Shareholders' equity</v>
          </cell>
          <cell r="B22">
            <v>7392.63</v>
          </cell>
          <cell r="C22">
            <v>5405.2920000000004</v>
          </cell>
          <cell r="D22">
            <v>0.36766524361681108</v>
          </cell>
          <cell r="E22">
            <v>7032.8269999999993</v>
          </cell>
          <cell r="F22">
            <v>5.1160507716171644E-2</v>
          </cell>
          <cell r="G22">
            <v>7392.63</v>
          </cell>
          <cell r="H22">
            <v>0</v>
          </cell>
        </row>
        <row r="23">
          <cell r="A23" t="str">
            <v xml:space="preserve">   Tier 1 ratio</v>
          </cell>
          <cell r="B23" t="str">
            <v>NA</v>
          </cell>
          <cell r="C23">
            <v>8.3606358453860011E-2</v>
          </cell>
          <cell r="D23" t="str">
            <v>NA</v>
          </cell>
          <cell r="E23">
            <v>9.3579741492587729E-2</v>
          </cell>
          <cell r="F23" t="str">
            <v>NA</v>
          </cell>
          <cell r="G23">
            <v>8.4619620457365624E-2</v>
          </cell>
          <cell r="H23" t="str">
            <v>NA</v>
          </cell>
          <cell r="V23">
            <v>7.9892089447319251E-2</v>
          </cell>
          <cell r="W23">
            <v>8.3606358453860011E-2</v>
          </cell>
          <cell r="X23">
            <v>8.7889852683509823E-2</v>
          </cell>
          <cell r="Y23">
            <v>9.2980198827211868E-2</v>
          </cell>
        </row>
        <row r="24">
          <cell r="A24" t="str">
            <v xml:space="preserve">   BIS ratio</v>
          </cell>
          <cell r="B24" t="str">
            <v>NA</v>
          </cell>
          <cell r="C24">
            <v>0.11712397502112852</v>
          </cell>
          <cell r="D24" t="str">
            <v>NA</v>
          </cell>
          <cell r="E24">
            <v>0.1319079489647719</v>
          </cell>
          <cell r="F24" t="str">
            <v>NA</v>
          </cell>
          <cell r="G24">
            <v>0.11669748249537576</v>
          </cell>
          <cell r="H24" t="str">
            <v>NA</v>
          </cell>
          <cell r="V24">
            <v>0.11827261065988857</v>
          </cell>
          <cell r="W24">
            <v>0.11712397502112852</v>
          </cell>
          <cell r="X24">
            <v>0.13044302643290387</v>
          </cell>
          <cell r="Y24">
            <v>0.13464044330804373</v>
          </cell>
        </row>
        <row r="25">
          <cell r="A25" t="str">
            <v>Asset quality</v>
          </cell>
        </row>
        <row r="26">
          <cell r="A26" t="str">
            <v>Precautionary &amp; below</v>
          </cell>
          <cell r="B26">
            <v>1566.4</v>
          </cell>
          <cell r="C26">
            <v>1908.8370000000002</v>
          </cell>
          <cell r="D26">
            <v>-0.17939562152242439</v>
          </cell>
          <cell r="E26">
            <v>1649.21</v>
          </cell>
          <cell r="F26">
            <v>-5.0211919646376058E-2</v>
          </cell>
          <cell r="G26">
            <v>1566.3759179810002</v>
          </cell>
          <cell r="H26">
            <v>1.5374354727759609E-5</v>
          </cell>
          <cell r="V26">
            <v>2221.1600000000003</v>
          </cell>
          <cell r="W26">
            <v>1908.8370000000002</v>
          </cell>
          <cell r="X26">
            <v>1874.9870000000001</v>
          </cell>
          <cell r="Y26">
            <v>1695.2289999999998</v>
          </cell>
        </row>
        <row r="27">
          <cell r="A27" t="str">
            <v xml:space="preserve">   % of total credit</v>
          </cell>
          <cell r="B27">
            <v>1.9968181447336218E-2</v>
          </cell>
          <cell r="C27">
            <v>2.9904687705499693E-2</v>
          </cell>
          <cell r="D27">
            <v>-99.365062581634746</v>
          </cell>
          <cell r="E27">
            <v>2.4117835061594643E-2</v>
          </cell>
          <cell r="F27">
            <v>-41.496536142584247</v>
          </cell>
          <cell r="G27">
            <v>1.9967878177901553E-2</v>
          </cell>
          <cell r="H27">
            <v>3.0326943466565948E-3</v>
          </cell>
          <cell r="V27">
            <v>3.6149921691661924E-2</v>
          </cell>
          <cell r="W27">
            <v>2.9904687705499693E-2</v>
          </cell>
          <cell r="X27">
            <v>2.9374997091855124E-2</v>
          </cell>
          <cell r="Y27">
            <v>2.6099049556369932E-2</v>
          </cell>
        </row>
        <row r="28">
          <cell r="A28" t="str">
            <v xml:space="preserve">   Coverage ratio</v>
          </cell>
          <cell r="B28">
            <v>0.54973186925434114</v>
          </cell>
          <cell r="C28">
            <v>0.46288394451700166</v>
          </cell>
          <cell r="D28">
            <v>868.47924737339486</v>
          </cell>
          <cell r="E28">
            <v>0.50597013115370382</v>
          </cell>
          <cell r="F28">
            <v>437.61738100637325</v>
          </cell>
          <cell r="G28">
            <v>0.549738405778047</v>
          </cell>
          <cell r="H28">
            <v>-6.5365237058578884E-2</v>
          </cell>
          <cell r="V28">
            <v>0.4323758756685695</v>
          </cell>
          <cell r="W28">
            <v>0.46288394451700166</v>
          </cell>
          <cell r="X28">
            <v>0.46133546525922575</v>
          </cell>
          <cell r="Y28">
            <v>0.47852473028717657</v>
          </cell>
        </row>
        <row r="29">
          <cell r="A29" t="str">
            <v>Substandard &amp; below</v>
          </cell>
          <cell r="B29">
            <v>581.70000000000005</v>
          </cell>
          <cell r="C29">
            <v>698.13900000000001</v>
          </cell>
          <cell r="D29">
            <v>-0.16678483797639143</v>
          </cell>
          <cell r="E29">
            <v>627.81100000000004</v>
          </cell>
          <cell r="F29">
            <v>-7.3447263587289813E-2</v>
          </cell>
          <cell r="G29">
            <v>581.64281241800006</v>
          </cell>
          <cell r="H29">
            <v>9.832079203775379E-5</v>
          </cell>
          <cell r="V29">
            <v>849.53700000000003</v>
          </cell>
          <cell r="W29">
            <v>698.13900000000001</v>
          </cell>
          <cell r="X29">
            <v>684.29499999999985</v>
          </cell>
          <cell r="Y29">
            <v>635.66500000000008</v>
          </cell>
        </row>
        <row r="30">
          <cell r="A30" t="str">
            <v xml:space="preserve">   % of total credit</v>
          </cell>
          <cell r="B30">
            <v>7.4154054825813828E-3</v>
          </cell>
          <cell r="C30">
            <v>1.0937355452576542E-2</v>
          </cell>
          <cell r="D30">
            <v>-35.219499699951591</v>
          </cell>
          <cell r="E30">
            <v>9.1810273693797607E-3</v>
          </cell>
          <cell r="F30">
            <v>-17.656218867983778</v>
          </cell>
          <cell r="G30">
            <v>7.4146778484598412E-3</v>
          </cell>
          <cell r="H30">
            <v>7.2763412154158019E-3</v>
          </cell>
          <cell r="V30">
            <v>1.3826422240707285E-2</v>
          </cell>
          <cell r="W30">
            <v>1.0937355452576542E-2</v>
          </cell>
          <cell r="X30">
            <v>1.0720694935469418E-2</v>
          </cell>
          <cell r="Y30">
            <v>9.7864373109768036E-3</v>
          </cell>
        </row>
        <row r="31">
          <cell r="A31" t="str">
            <v xml:space="preserve">   Coverage ratio</v>
          </cell>
          <cell r="B31">
            <v>1.4803163142513323</v>
          </cell>
          <cell r="C31">
            <v>1.2656075652556296</v>
          </cell>
          <cell r="D31">
            <v>2147.0874899570267</v>
          </cell>
          <cell r="E31">
            <v>1.3291436435487749</v>
          </cell>
          <cell r="F31">
            <v>1511.7267070255734</v>
          </cell>
          <cell r="G31">
            <v>1.4804567023191699</v>
          </cell>
          <cell r="H31">
            <v>-1.4038806783767122</v>
          </cell>
          <cell r="V31">
            <v>1.1304698912466438</v>
          </cell>
          <cell r="W31">
            <v>1.2656075652556296</v>
          </cell>
          <cell r="X31">
            <v>1.2640717819069263</v>
          </cell>
          <cell r="Y31">
            <v>1.2761580392187706</v>
          </cell>
        </row>
        <row r="33">
          <cell r="B33">
            <v>861.1</v>
          </cell>
        </row>
        <row r="34">
          <cell r="B34">
            <v>78444.800000000003</v>
          </cell>
        </row>
        <row r="37">
          <cell r="A37" t="str">
            <v>In line bottom line, however…</v>
          </cell>
        </row>
        <row r="39">
          <cell r="A39" t="str">
            <v>XXX</v>
          </cell>
        </row>
        <row r="40">
          <cell r="A40" t="str">
            <v>XXX</v>
          </cell>
        </row>
        <row r="41">
          <cell r="A41" t="str">
            <v>XXX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hange analysi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ipeline-handout"/>
      <sheetName val="summary"/>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WYE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777.7528584280044</v>
          </cell>
          <cell r="E12">
            <v>801.12416082795426</v>
          </cell>
          <cell r="F12">
            <v>480.32922347793647</v>
          </cell>
          <cell r="G12">
            <v>302.52535042870295</v>
          </cell>
          <cell r="H12">
            <v>-140.85209419635794</v>
          </cell>
          <cell r="BA12" t="str">
            <v>.</v>
          </cell>
        </row>
        <row r="13">
          <cell r="C13" t="str">
            <v>Pipeline products launching 2010–2015</v>
          </cell>
          <cell r="D13">
            <v>336.15000000000003</v>
          </cell>
          <cell r="E13">
            <v>486.05249999999995</v>
          </cell>
          <cell r="F13">
            <v>643.90925000000004</v>
          </cell>
          <cell r="G13">
            <v>903.77877650000028</v>
          </cell>
          <cell r="H13">
            <v>877.75910161390948</v>
          </cell>
          <cell r="BA13" t="str">
            <v>.</v>
          </cell>
        </row>
        <row r="14">
          <cell r="C14" t="str">
            <v>Products expiring 2010–15</v>
          </cell>
          <cell r="D14">
            <v>-1897.5856368349996</v>
          </cell>
          <cell r="E14">
            <v>-405.26704991404949</v>
          </cell>
          <cell r="F14">
            <v>-247.4564255044188</v>
          </cell>
          <cell r="G14">
            <v>-486.45018457921105</v>
          </cell>
          <cell r="H14">
            <v>-467.41580692871912</v>
          </cell>
          <cell r="BA14" t="str">
            <v>.</v>
          </cell>
        </row>
        <row r="15">
          <cell r="C15" t="str">
            <v>Net YOY change</v>
          </cell>
          <cell r="D15">
            <v>-783.68277840699375</v>
          </cell>
          <cell r="E15">
            <v>881.90961091390272</v>
          </cell>
          <cell r="F15">
            <v>876.78204797351646</v>
          </cell>
          <cell r="G15">
            <v>719.85394234949126</v>
          </cell>
          <cell r="H15">
            <v>269.4912004888356</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 val="PE FY1"/>
      <sheetName val="Results"/>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PE FY1"/>
      <sheetName val="EVEBITDA FY1"/>
      <sheetName val="Results"/>
    </sheetNames>
    <sheetDataSet>
      <sheetData sheetId="0"/>
      <sheetData sheetId="1">
        <row r="1">
          <cell r="B1" t="str">
            <v>DROG3-BR</v>
          </cell>
          <cell r="C1" t="str">
            <v>IBOVESPA-BSP</v>
          </cell>
          <cell r="D1" t="str">
            <v>USDBRL</v>
          </cell>
          <cell r="F1" t="str">
            <v>DROG (base 100)</v>
          </cell>
          <cell r="G1" t="str">
            <v>Ibovespa (base 100)</v>
          </cell>
        </row>
        <row r="2">
          <cell r="A2">
            <v>40181</v>
          </cell>
          <cell r="B2">
            <v>28</v>
          </cell>
          <cell r="C2">
            <v>68588.41</v>
          </cell>
          <cell r="D2">
            <v>1.7432000000000001</v>
          </cell>
          <cell r="F2">
            <v>100</v>
          </cell>
          <cell r="G2">
            <v>100</v>
          </cell>
        </row>
        <row r="3">
          <cell r="A3">
            <v>40182</v>
          </cell>
          <cell r="B3">
            <v>28.4</v>
          </cell>
          <cell r="C3">
            <v>70045.08</v>
          </cell>
          <cell r="D3">
            <v>1.7235</v>
          </cell>
          <cell r="F3">
            <v>101.42857142857142</v>
          </cell>
          <cell r="G3">
            <v>102.1237844702917</v>
          </cell>
        </row>
        <row r="4">
          <cell r="A4">
            <v>40183</v>
          </cell>
          <cell r="B4">
            <v>27.71</v>
          </cell>
          <cell r="C4">
            <v>70239.820000000007</v>
          </cell>
          <cell r="D4">
            <v>1.7233000000000001</v>
          </cell>
          <cell r="F4">
            <v>98.964285714285722</v>
          </cell>
          <cell r="G4">
            <v>102.40770999065293</v>
          </cell>
        </row>
        <row r="5">
          <cell r="A5">
            <v>40184</v>
          </cell>
          <cell r="B5">
            <v>27.99</v>
          </cell>
          <cell r="C5">
            <v>70729.34</v>
          </cell>
          <cell r="D5">
            <v>1.7302500000000001</v>
          </cell>
          <cell r="F5">
            <v>99.964285714285708</v>
          </cell>
          <cell r="G5">
            <v>103.1214165775238</v>
          </cell>
        </row>
        <row r="6">
          <cell r="A6">
            <v>40185</v>
          </cell>
          <cell r="B6">
            <v>27.8</v>
          </cell>
          <cell r="C6">
            <v>70451.12</v>
          </cell>
          <cell r="D6">
            <v>1.7359</v>
          </cell>
          <cell r="F6">
            <v>99.285714285714292</v>
          </cell>
          <cell r="G6">
            <v>102.715779531848</v>
          </cell>
        </row>
        <row r="7">
          <cell r="A7">
            <v>40186</v>
          </cell>
          <cell r="B7">
            <v>28.29</v>
          </cell>
          <cell r="C7">
            <v>70262.7</v>
          </cell>
          <cell r="D7">
            <v>1.7364999999999999</v>
          </cell>
          <cell r="F7">
            <v>101.03571428571428</v>
          </cell>
          <cell r="G7">
            <v>102.44106839624945</v>
          </cell>
        </row>
        <row r="8">
          <cell r="A8">
            <v>40187</v>
          </cell>
          <cell r="B8">
            <v>28.29</v>
          </cell>
          <cell r="C8">
            <v>70262.7</v>
          </cell>
          <cell r="D8">
            <v>1.7364999999999999</v>
          </cell>
          <cell r="F8">
            <v>101.03571428571428</v>
          </cell>
          <cell r="G8">
            <v>102.44106839624945</v>
          </cell>
        </row>
        <row r="9">
          <cell r="A9">
            <v>40188</v>
          </cell>
          <cell r="B9">
            <v>28.29</v>
          </cell>
          <cell r="C9">
            <v>70262.7</v>
          </cell>
          <cell r="D9">
            <v>1.7364999999999999</v>
          </cell>
          <cell r="F9">
            <v>101.03571428571428</v>
          </cell>
          <cell r="G9">
            <v>102.44106839624945</v>
          </cell>
        </row>
        <row r="10">
          <cell r="A10">
            <v>40189</v>
          </cell>
          <cell r="B10">
            <v>29.05</v>
          </cell>
          <cell r="C10">
            <v>70433.490000000005</v>
          </cell>
          <cell r="D10">
            <v>1.73075</v>
          </cell>
          <cell r="F10">
            <v>103.75000000000001</v>
          </cell>
          <cell r="G10">
            <v>102.69007548068252</v>
          </cell>
        </row>
        <row r="11">
          <cell r="A11">
            <v>40190</v>
          </cell>
          <cell r="B11">
            <v>29.19</v>
          </cell>
          <cell r="C11">
            <v>70075.78</v>
          </cell>
          <cell r="D11">
            <v>1.7364999999999999</v>
          </cell>
          <cell r="F11">
            <v>104.25</v>
          </cell>
          <cell r="G11">
            <v>102.16854421905974</v>
          </cell>
        </row>
        <row r="12">
          <cell r="A12">
            <v>40191</v>
          </cell>
          <cell r="B12">
            <v>29.9</v>
          </cell>
          <cell r="C12">
            <v>70385.47</v>
          </cell>
          <cell r="D12">
            <v>1.7474499999999999</v>
          </cell>
          <cell r="F12">
            <v>106.78571428571428</v>
          </cell>
          <cell r="G12">
            <v>102.62006365215348</v>
          </cell>
        </row>
        <row r="13">
          <cell r="A13">
            <v>40192</v>
          </cell>
          <cell r="B13">
            <v>29.9</v>
          </cell>
          <cell r="C13">
            <v>69801.42</v>
          </cell>
          <cell r="D13">
            <v>1.7695000000000001</v>
          </cell>
          <cell r="F13">
            <v>106.78571428571428</v>
          </cell>
          <cell r="G13">
            <v>101.7685349463561</v>
          </cell>
        </row>
        <row r="14">
          <cell r="A14">
            <v>40193</v>
          </cell>
          <cell r="B14">
            <v>29.79</v>
          </cell>
          <cell r="C14">
            <v>68978.3</v>
          </cell>
          <cell r="D14">
            <v>1.7683500000000001</v>
          </cell>
          <cell r="F14">
            <v>106.39285714285714</v>
          </cell>
          <cell r="G14">
            <v>100.56844880935422</v>
          </cell>
        </row>
        <row r="15">
          <cell r="A15">
            <v>40194</v>
          </cell>
          <cell r="B15">
            <v>29.79</v>
          </cell>
          <cell r="C15">
            <v>68978.3</v>
          </cell>
          <cell r="D15">
            <v>1.7683500000000001</v>
          </cell>
          <cell r="F15">
            <v>106.39285714285714</v>
          </cell>
          <cell r="G15">
            <v>100.56844880935422</v>
          </cell>
        </row>
        <row r="16">
          <cell r="A16">
            <v>40195</v>
          </cell>
          <cell r="B16">
            <v>29.79</v>
          </cell>
          <cell r="C16">
            <v>68978.3</v>
          </cell>
          <cell r="D16">
            <v>1.7683500000000001</v>
          </cell>
          <cell r="F16">
            <v>106.39285714285714</v>
          </cell>
          <cell r="G16">
            <v>100.56844880935422</v>
          </cell>
        </row>
        <row r="17">
          <cell r="A17">
            <v>40196</v>
          </cell>
          <cell r="B17">
            <v>29.79</v>
          </cell>
          <cell r="C17">
            <v>68978.3</v>
          </cell>
          <cell r="D17">
            <v>1.7683500000000001</v>
          </cell>
          <cell r="F17">
            <v>106.39285714285714</v>
          </cell>
          <cell r="G17">
            <v>100.56844880935422</v>
          </cell>
        </row>
        <row r="18">
          <cell r="A18">
            <v>40197</v>
          </cell>
          <cell r="B18">
            <v>28.99</v>
          </cell>
          <cell r="C18">
            <v>69908.59</v>
          </cell>
          <cell r="D18">
            <v>1.772</v>
          </cell>
          <cell r="F18">
            <v>103.53571428571429</v>
          </cell>
          <cell r="G18">
            <v>101.92478583480793</v>
          </cell>
        </row>
        <row r="19">
          <cell r="A19">
            <v>40198</v>
          </cell>
          <cell r="B19">
            <v>28.69</v>
          </cell>
          <cell r="C19">
            <v>68200.070000000007</v>
          </cell>
          <cell r="D19">
            <v>1.7904</v>
          </cell>
          <cell r="F19">
            <v>102.46428571428572</v>
          </cell>
          <cell r="G19">
            <v>99.433811047668257</v>
          </cell>
        </row>
        <row r="20">
          <cell r="A20">
            <v>40199</v>
          </cell>
          <cell r="B20">
            <v>27.99</v>
          </cell>
          <cell r="C20">
            <v>66270.14</v>
          </cell>
          <cell r="D20">
            <v>1.7985</v>
          </cell>
          <cell r="F20">
            <v>99.964285714285708</v>
          </cell>
          <cell r="G20">
            <v>96.62002661965775</v>
          </cell>
        </row>
        <row r="21">
          <cell r="A21">
            <v>40200</v>
          </cell>
          <cell r="B21">
            <v>28.2</v>
          </cell>
          <cell r="C21">
            <v>66220.039999999994</v>
          </cell>
          <cell r="D21">
            <v>1.8169</v>
          </cell>
          <cell r="F21">
            <v>100.71428571428571</v>
          </cell>
          <cell r="G21">
            <v>96.546982208801737</v>
          </cell>
        </row>
        <row r="22">
          <cell r="A22">
            <v>40201</v>
          </cell>
          <cell r="B22">
            <v>28.2</v>
          </cell>
          <cell r="C22">
            <v>66220.039999999994</v>
          </cell>
          <cell r="D22">
            <v>1.8169</v>
          </cell>
          <cell r="F22">
            <v>100.71428571428571</v>
          </cell>
          <cell r="G22">
            <v>96.546982208801737</v>
          </cell>
        </row>
        <row r="23">
          <cell r="A23">
            <v>40202</v>
          </cell>
          <cell r="B23">
            <v>28.2</v>
          </cell>
          <cell r="C23">
            <v>66220.039999999994</v>
          </cell>
          <cell r="D23">
            <v>1.8169</v>
          </cell>
          <cell r="F23">
            <v>100.71428571428571</v>
          </cell>
          <cell r="G23">
            <v>96.546982208801737</v>
          </cell>
        </row>
        <row r="24">
          <cell r="A24">
            <v>40203</v>
          </cell>
          <cell r="B24">
            <v>28.2</v>
          </cell>
          <cell r="C24">
            <v>66220.039999999994</v>
          </cell>
          <cell r="D24">
            <v>1.8240000000000001</v>
          </cell>
          <cell r="F24">
            <v>100.71428571428571</v>
          </cell>
          <cell r="G24">
            <v>96.546982208801737</v>
          </cell>
        </row>
        <row r="25">
          <cell r="A25">
            <v>40204</v>
          </cell>
          <cell r="B25">
            <v>27.43</v>
          </cell>
          <cell r="C25">
            <v>65523.73</v>
          </cell>
          <cell r="D25">
            <v>1.84355</v>
          </cell>
          <cell r="F25">
            <v>97.964285714285708</v>
          </cell>
          <cell r="G25">
            <v>95.531781535685113</v>
          </cell>
        </row>
        <row r="26">
          <cell r="A26">
            <v>40205</v>
          </cell>
          <cell r="B26">
            <v>26.8</v>
          </cell>
          <cell r="C26">
            <v>65069.79</v>
          </cell>
          <cell r="D26">
            <v>1.8621000000000001</v>
          </cell>
          <cell r="F26">
            <v>95.714285714285722</v>
          </cell>
          <cell r="G26">
            <v>94.869949602272456</v>
          </cell>
        </row>
        <row r="27">
          <cell r="A27">
            <v>40206</v>
          </cell>
          <cell r="B27">
            <v>26.5</v>
          </cell>
          <cell r="C27">
            <v>65587.81</v>
          </cell>
          <cell r="D27">
            <v>1.86175</v>
          </cell>
          <cell r="F27">
            <v>94.642857142857139</v>
          </cell>
          <cell r="G27">
            <v>95.625208398911695</v>
          </cell>
        </row>
        <row r="28">
          <cell r="A28">
            <v>40207</v>
          </cell>
          <cell r="B28">
            <v>27</v>
          </cell>
          <cell r="C28">
            <v>65401.77</v>
          </cell>
          <cell r="D28">
            <v>1.8714</v>
          </cell>
          <cell r="F28">
            <v>96.428571428571431</v>
          </cell>
          <cell r="G28">
            <v>95.353967237321868</v>
          </cell>
        </row>
        <row r="29">
          <cell r="A29">
            <v>40208</v>
          </cell>
          <cell r="B29">
            <v>27</v>
          </cell>
          <cell r="C29">
            <v>65401.77</v>
          </cell>
          <cell r="D29">
            <v>1.8714</v>
          </cell>
          <cell r="F29">
            <v>96.428571428571431</v>
          </cell>
          <cell r="G29">
            <v>95.353967237321868</v>
          </cell>
        </row>
        <row r="30">
          <cell r="A30">
            <v>40209</v>
          </cell>
          <cell r="B30">
            <v>27</v>
          </cell>
          <cell r="C30">
            <v>65401.77</v>
          </cell>
          <cell r="D30">
            <v>1.8714</v>
          </cell>
          <cell r="F30">
            <v>96.428571428571431</v>
          </cell>
          <cell r="G30">
            <v>95.353967237321868</v>
          </cell>
        </row>
        <row r="31">
          <cell r="A31">
            <v>40210</v>
          </cell>
          <cell r="B31">
            <v>28.19</v>
          </cell>
          <cell r="C31">
            <v>66571.740000000005</v>
          </cell>
          <cell r="D31">
            <v>1.8684499999999999</v>
          </cell>
          <cell r="F31">
            <v>100.67857142857144</v>
          </cell>
          <cell r="G31">
            <v>97.05975105706635</v>
          </cell>
        </row>
        <row r="32">
          <cell r="A32">
            <v>40211</v>
          </cell>
          <cell r="B32">
            <v>28.47</v>
          </cell>
          <cell r="C32">
            <v>67163.210000000006</v>
          </cell>
          <cell r="D32">
            <v>1.839</v>
          </cell>
          <cell r="F32">
            <v>101.67857142857142</v>
          </cell>
          <cell r="G32">
            <v>97.922097917126237</v>
          </cell>
        </row>
        <row r="33">
          <cell r="A33">
            <v>40212</v>
          </cell>
          <cell r="B33">
            <v>29.31</v>
          </cell>
          <cell r="C33">
            <v>67108.56</v>
          </cell>
          <cell r="D33">
            <v>1.8459000000000001</v>
          </cell>
          <cell r="F33">
            <v>104.67857142857142</v>
          </cell>
          <cell r="G33">
            <v>97.842419732430002</v>
          </cell>
        </row>
        <row r="34">
          <cell r="A34">
            <v>40213</v>
          </cell>
          <cell r="B34">
            <v>28.2</v>
          </cell>
          <cell r="C34">
            <v>63934.01</v>
          </cell>
          <cell r="D34">
            <v>1.8857999999999999</v>
          </cell>
          <cell r="F34">
            <v>100.71428571428571</v>
          </cell>
          <cell r="G34">
            <v>93.214013854527309</v>
          </cell>
        </row>
        <row r="35">
          <cell r="A35">
            <v>40214</v>
          </cell>
          <cell r="B35">
            <v>27.5</v>
          </cell>
          <cell r="C35">
            <v>62762.7</v>
          </cell>
          <cell r="D35">
            <v>1.875</v>
          </cell>
          <cell r="F35">
            <v>98.214285714285708</v>
          </cell>
          <cell r="G35">
            <v>91.506276351937586</v>
          </cell>
        </row>
        <row r="36">
          <cell r="A36">
            <v>40215</v>
          </cell>
          <cell r="B36">
            <v>27.5</v>
          </cell>
          <cell r="C36">
            <v>62762.7</v>
          </cell>
          <cell r="D36">
            <v>1.875</v>
          </cell>
          <cell r="F36">
            <v>98.214285714285708</v>
          </cell>
          <cell r="G36">
            <v>91.506276351937586</v>
          </cell>
        </row>
        <row r="37">
          <cell r="A37">
            <v>40216</v>
          </cell>
          <cell r="B37">
            <v>27.5</v>
          </cell>
          <cell r="C37">
            <v>62762.7</v>
          </cell>
          <cell r="D37">
            <v>1.875</v>
          </cell>
          <cell r="F37">
            <v>98.214285714285708</v>
          </cell>
          <cell r="G37">
            <v>91.506276351937586</v>
          </cell>
        </row>
        <row r="38">
          <cell r="A38">
            <v>40217</v>
          </cell>
          <cell r="B38">
            <v>28.3</v>
          </cell>
          <cell r="C38">
            <v>63153.09</v>
          </cell>
          <cell r="D38">
            <v>1.8654999999999999</v>
          </cell>
          <cell r="F38">
            <v>101.07142857142857</v>
          </cell>
          <cell r="G38">
            <v>92.075454147428104</v>
          </cell>
        </row>
        <row r="39">
          <cell r="A39">
            <v>40218</v>
          </cell>
          <cell r="B39">
            <v>29</v>
          </cell>
          <cell r="C39">
            <v>64718.17</v>
          </cell>
          <cell r="D39">
            <v>1.85425</v>
          </cell>
          <cell r="F39">
            <v>103.57142857142858</v>
          </cell>
          <cell r="G39">
            <v>94.357297391789658</v>
          </cell>
        </row>
        <row r="40">
          <cell r="A40">
            <v>40219</v>
          </cell>
          <cell r="B40">
            <v>28.99</v>
          </cell>
          <cell r="C40">
            <v>65051.42</v>
          </cell>
          <cell r="D40">
            <v>1.85595</v>
          </cell>
          <cell r="F40">
            <v>103.53571428571429</v>
          </cell>
          <cell r="G40">
            <v>94.843166651625239</v>
          </cell>
        </row>
        <row r="41">
          <cell r="A41">
            <v>40220</v>
          </cell>
          <cell r="B41">
            <v>29</v>
          </cell>
          <cell r="C41">
            <v>66128.94</v>
          </cell>
          <cell r="D41">
            <v>1.8623499999999999</v>
          </cell>
          <cell r="F41">
            <v>103.57142857142858</v>
          </cell>
          <cell r="G41">
            <v>96.41416093477018</v>
          </cell>
        </row>
        <row r="42">
          <cell r="A42">
            <v>40221</v>
          </cell>
          <cell r="B42">
            <v>28.49</v>
          </cell>
          <cell r="C42">
            <v>65854.97</v>
          </cell>
          <cell r="D42">
            <v>1.8629</v>
          </cell>
          <cell r="F42">
            <v>101.74999999999999</v>
          </cell>
          <cell r="G42">
            <v>96.014720271252813</v>
          </cell>
        </row>
        <row r="43">
          <cell r="A43">
            <v>40222</v>
          </cell>
          <cell r="B43">
            <v>28.49</v>
          </cell>
          <cell r="C43">
            <v>65854.97</v>
          </cell>
          <cell r="D43">
            <v>1.8629</v>
          </cell>
          <cell r="F43">
            <v>101.74999999999999</v>
          </cell>
          <cell r="G43">
            <v>96.014720271252813</v>
          </cell>
        </row>
        <row r="44">
          <cell r="A44">
            <v>40223</v>
          </cell>
          <cell r="B44">
            <v>28.49</v>
          </cell>
          <cell r="C44">
            <v>65854.97</v>
          </cell>
          <cell r="D44">
            <v>1.8629</v>
          </cell>
          <cell r="F44">
            <v>101.74999999999999</v>
          </cell>
          <cell r="G44">
            <v>96.014720271252813</v>
          </cell>
        </row>
        <row r="45">
          <cell r="A45">
            <v>40224</v>
          </cell>
          <cell r="B45">
            <v>28.49</v>
          </cell>
          <cell r="C45">
            <v>65854.97</v>
          </cell>
          <cell r="D45">
            <v>1.8629</v>
          </cell>
          <cell r="F45">
            <v>101.74999999999999</v>
          </cell>
          <cell r="G45">
            <v>96.014720271252813</v>
          </cell>
        </row>
        <row r="46">
          <cell r="A46">
            <v>40225</v>
          </cell>
          <cell r="B46">
            <v>28.49</v>
          </cell>
          <cell r="C46">
            <v>65854.97</v>
          </cell>
          <cell r="D46">
            <v>1.8445</v>
          </cell>
          <cell r="F46">
            <v>101.74999999999999</v>
          </cell>
          <cell r="G46">
            <v>96.014720271252813</v>
          </cell>
        </row>
        <row r="47">
          <cell r="A47">
            <v>40226</v>
          </cell>
          <cell r="B47">
            <v>28.85</v>
          </cell>
          <cell r="C47">
            <v>67284.570000000007</v>
          </cell>
          <cell r="D47">
            <v>1.8366499999999999</v>
          </cell>
          <cell r="F47">
            <v>103.03571428571429</v>
          </cell>
          <cell r="G47">
            <v>98.099037432125925</v>
          </cell>
        </row>
        <row r="48">
          <cell r="A48">
            <v>40227</v>
          </cell>
          <cell r="B48">
            <v>28.75</v>
          </cell>
          <cell r="C48">
            <v>67836.08</v>
          </cell>
          <cell r="D48">
            <v>1.8209500000000001</v>
          </cell>
          <cell r="F48">
            <v>102.67857142857142</v>
          </cell>
          <cell r="G48">
            <v>98.90312372017371</v>
          </cell>
        </row>
        <row r="49">
          <cell r="A49">
            <v>40228</v>
          </cell>
          <cell r="B49">
            <v>28.7</v>
          </cell>
          <cell r="C49">
            <v>67597.429999999993</v>
          </cell>
          <cell r="D49">
            <v>1.8131999999999999</v>
          </cell>
          <cell r="F49">
            <v>102.49999999999999</v>
          </cell>
          <cell r="G49">
            <v>98.555178637323692</v>
          </cell>
        </row>
        <row r="50">
          <cell r="A50">
            <v>40229</v>
          </cell>
          <cell r="B50">
            <v>28.7</v>
          </cell>
          <cell r="C50">
            <v>67597.429999999993</v>
          </cell>
          <cell r="D50">
            <v>1.8131999999999999</v>
          </cell>
          <cell r="F50">
            <v>102.49999999999999</v>
          </cell>
          <cell r="G50">
            <v>98.555178637323692</v>
          </cell>
        </row>
        <row r="51">
          <cell r="A51">
            <v>40230</v>
          </cell>
          <cell r="B51">
            <v>28.7</v>
          </cell>
          <cell r="C51">
            <v>67597.429999999993</v>
          </cell>
          <cell r="D51">
            <v>1.8131999999999999</v>
          </cell>
          <cell r="F51">
            <v>102.49999999999999</v>
          </cell>
          <cell r="G51">
            <v>98.555178637323692</v>
          </cell>
        </row>
        <row r="52">
          <cell r="A52">
            <v>40231</v>
          </cell>
          <cell r="B52">
            <v>28.8</v>
          </cell>
          <cell r="C52">
            <v>67184.160000000003</v>
          </cell>
          <cell r="D52">
            <v>1.8109999999999999</v>
          </cell>
          <cell r="F52">
            <v>102.85714285714288</v>
          </cell>
          <cell r="G52">
            <v>97.952642436236687</v>
          </cell>
        </row>
        <row r="53">
          <cell r="A53">
            <v>40232</v>
          </cell>
          <cell r="B53">
            <v>27.19</v>
          </cell>
          <cell r="C53">
            <v>66108.33</v>
          </cell>
          <cell r="D53">
            <v>1.8220000000000001</v>
          </cell>
          <cell r="F53">
            <v>97.107142857142861</v>
          </cell>
          <cell r="G53">
            <v>96.384112126232395</v>
          </cell>
        </row>
        <row r="54">
          <cell r="A54">
            <v>40233</v>
          </cell>
          <cell r="B54">
            <v>28</v>
          </cell>
          <cell r="C54">
            <v>65794.77</v>
          </cell>
          <cell r="D54">
            <v>1.81955</v>
          </cell>
          <cell r="F54">
            <v>100</v>
          </cell>
          <cell r="G54">
            <v>95.926950340443824</v>
          </cell>
        </row>
        <row r="55">
          <cell r="A55">
            <v>40234</v>
          </cell>
          <cell r="B55">
            <v>27.8</v>
          </cell>
          <cell r="C55">
            <v>66121.039999999994</v>
          </cell>
          <cell r="D55">
            <v>1.8353999999999999</v>
          </cell>
          <cell r="F55">
            <v>99.285714285714292</v>
          </cell>
          <cell r="G55">
            <v>96.402642953816823</v>
          </cell>
        </row>
        <row r="56">
          <cell r="A56">
            <v>40235</v>
          </cell>
          <cell r="B56">
            <v>27.8</v>
          </cell>
          <cell r="C56">
            <v>66503.27</v>
          </cell>
          <cell r="D56">
            <v>1.8089999999999999</v>
          </cell>
          <cell r="F56">
            <v>99.285714285714292</v>
          </cell>
          <cell r="G56">
            <v>96.959923695563148</v>
          </cell>
        </row>
        <row r="57">
          <cell r="A57">
            <v>40236</v>
          </cell>
          <cell r="B57">
            <v>27.8</v>
          </cell>
          <cell r="C57">
            <v>66503.27</v>
          </cell>
          <cell r="D57">
            <v>1.8089999999999999</v>
          </cell>
          <cell r="F57">
            <v>99.285714285714292</v>
          </cell>
          <cell r="G57">
            <v>96.959923695563148</v>
          </cell>
        </row>
        <row r="58">
          <cell r="A58">
            <v>40237</v>
          </cell>
          <cell r="B58">
            <v>27.8</v>
          </cell>
          <cell r="C58">
            <v>66503.27</v>
          </cell>
          <cell r="D58">
            <v>1.8089999999999999</v>
          </cell>
          <cell r="F58">
            <v>99.285714285714292</v>
          </cell>
          <cell r="G58">
            <v>96.959923695563148</v>
          </cell>
        </row>
        <row r="59">
          <cell r="A59">
            <v>40238</v>
          </cell>
          <cell r="B59">
            <v>27.78</v>
          </cell>
          <cell r="C59">
            <v>67227.929999999993</v>
          </cell>
          <cell r="D59">
            <v>1.8001</v>
          </cell>
          <cell r="F59">
            <v>99.214285714285722</v>
          </cell>
          <cell r="G59">
            <v>98.01645788260727</v>
          </cell>
        </row>
        <row r="60">
          <cell r="A60">
            <v>40239</v>
          </cell>
          <cell r="B60">
            <v>28.8</v>
          </cell>
          <cell r="C60">
            <v>67779.16</v>
          </cell>
          <cell r="D60">
            <v>1.7820499999999999</v>
          </cell>
          <cell r="F60">
            <v>102.85714285714288</v>
          </cell>
          <cell r="G60">
            <v>98.820135938418758</v>
          </cell>
        </row>
        <row r="61">
          <cell r="A61">
            <v>40240</v>
          </cell>
          <cell r="B61">
            <v>28.75</v>
          </cell>
          <cell r="C61">
            <v>67641.34</v>
          </cell>
          <cell r="D61">
            <v>1.7785</v>
          </cell>
          <cell r="F61">
            <v>102.67857142857142</v>
          </cell>
          <cell r="G61">
            <v>98.619198199812459</v>
          </cell>
        </row>
        <row r="62">
          <cell r="A62">
            <v>40241</v>
          </cell>
          <cell r="B62">
            <v>28.8</v>
          </cell>
          <cell r="C62">
            <v>67814.710000000006</v>
          </cell>
          <cell r="D62">
            <v>1.7904500000000001</v>
          </cell>
          <cell r="F62">
            <v>102.85714285714288</v>
          </cell>
          <cell r="G62">
            <v>98.871966852708795</v>
          </cell>
        </row>
        <row r="63">
          <cell r="A63">
            <v>40242</v>
          </cell>
          <cell r="B63">
            <v>28.5</v>
          </cell>
          <cell r="C63">
            <v>68846.5</v>
          </cell>
          <cell r="D63">
            <v>1.7779499999999999</v>
          </cell>
          <cell r="F63">
            <v>101.78571428571428</v>
          </cell>
          <cell r="G63">
            <v>100.37628806382885</v>
          </cell>
        </row>
        <row r="64">
          <cell r="A64">
            <v>40243</v>
          </cell>
          <cell r="B64">
            <v>28.5</v>
          </cell>
          <cell r="C64">
            <v>68846.5</v>
          </cell>
          <cell r="D64">
            <v>1.7779499999999999</v>
          </cell>
          <cell r="F64">
            <v>101.78571428571428</v>
          </cell>
          <cell r="G64">
            <v>100.37628806382885</v>
          </cell>
        </row>
        <row r="65">
          <cell r="A65">
            <v>40244</v>
          </cell>
          <cell r="B65">
            <v>28.5</v>
          </cell>
          <cell r="C65">
            <v>68846.5</v>
          </cell>
          <cell r="D65">
            <v>1.7779499999999999</v>
          </cell>
          <cell r="F65">
            <v>101.78571428571428</v>
          </cell>
          <cell r="G65">
            <v>100.37628806382885</v>
          </cell>
        </row>
        <row r="66">
          <cell r="A66">
            <v>40245</v>
          </cell>
          <cell r="B66">
            <v>28.75</v>
          </cell>
          <cell r="C66">
            <v>68575.47</v>
          </cell>
          <cell r="D66">
            <v>1.7879499999999999</v>
          </cell>
          <cell r="F66">
            <v>102.67857142857142</v>
          </cell>
          <cell r="G66">
            <v>99.981133838792886</v>
          </cell>
        </row>
        <row r="67">
          <cell r="A67">
            <v>40246</v>
          </cell>
          <cell r="B67">
            <v>28.8</v>
          </cell>
          <cell r="C67">
            <v>69576.38</v>
          </cell>
          <cell r="D67">
            <v>1.7927999999999999</v>
          </cell>
          <cell r="F67">
            <v>102.85714285714288</v>
          </cell>
          <cell r="G67">
            <v>101.44043286613584</v>
          </cell>
        </row>
        <row r="68">
          <cell r="A68">
            <v>40247</v>
          </cell>
          <cell r="B68">
            <v>28.95</v>
          </cell>
          <cell r="C68">
            <v>69979.28</v>
          </cell>
          <cell r="D68">
            <v>1.7675000000000001</v>
          </cell>
          <cell r="F68">
            <v>103.39285714285712</v>
          </cell>
          <cell r="G68">
            <v>102.02784989475626</v>
          </cell>
        </row>
        <row r="69">
          <cell r="A69">
            <v>40248</v>
          </cell>
          <cell r="B69">
            <v>29</v>
          </cell>
          <cell r="C69">
            <v>69884.61</v>
          </cell>
          <cell r="D69">
            <v>1.7692000000000001</v>
          </cell>
          <cell r="F69">
            <v>103.57142857142858</v>
          </cell>
          <cell r="G69">
            <v>101.8898236597116</v>
          </cell>
        </row>
        <row r="70">
          <cell r="A70">
            <v>40249</v>
          </cell>
          <cell r="B70">
            <v>28.7</v>
          </cell>
          <cell r="C70">
            <v>69341.38</v>
          </cell>
          <cell r="D70">
            <v>1.7661</v>
          </cell>
          <cell r="F70">
            <v>102.49999999999999</v>
          </cell>
          <cell r="G70">
            <v>101.09780938208073</v>
          </cell>
        </row>
        <row r="71">
          <cell r="A71">
            <v>40250</v>
          </cell>
          <cell r="B71">
            <v>28.7</v>
          </cell>
          <cell r="C71">
            <v>69341.38</v>
          </cell>
          <cell r="D71">
            <v>1.7661</v>
          </cell>
          <cell r="F71">
            <v>102.49999999999999</v>
          </cell>
          <cell r="G71">
            <v>101.09780938208073</v>
          </cell>
        </row>
        <row r="72">
          <cell r="A72">
            <v>40251</v>
          </cell>
          <cell r="B72">
            <v>28.7</v>
          </cell>
          <cell r="C72">
            <v>69341.38</v>
          </cell>
          <cell r="D72">
            <v>1.7661</v>
          </cell>
          <cell r="F72">
            <v>102.49999999999999</v>
          </cell>
          <cell r="G72">
            <v>101.09780938208073</v>
          </cell>
        </row>
        <row r="73">
          <cell r="A73">
            <v>40252</v>
          </cell>
          <cell r="B73">
            <v>28.5</v>
          </cell>
          <cell r="C73">
            <v>69023.75</v>
          </cell>
          <cell r="D73">
            <v>1.7669999999999999</v>
          </cell>
          <cell r="F73">
            <v>101.78571428571428</v>
          </cell>
          <cell r="G73">
            <v>100.63471364914275</v>
          </cell>
        </row>
        <row r="74">
          <cell r="A74">
            <v>40253</v>
          </cell>
          <cell r="B74">
            <v>28.45</v>
          </cell>
          <cell r="C74">
            <v>69942.210000000006</v>
          </cell>
          <cell r="D74">
            <v>1.7621500000000001</v>
          </cell>
          <cell r="F74">
            <v>101.60714285714285</v>
          </cell>
          <cell r="G74">
            <v>101.97380286261193</v>
          </cell>
        </row>
        <row r="75">
          <cell r="A75">
            <v>40254</v>
          </cell>
          <cell r="B75">
            <v>27.98</v>
          </cell>
          <cell r="C75">
            <v>69723.240000000005</v>
          </cell>
          <cell r="D75">
            <v>1.7656499999999999</v>
          </cell>
          <cell r="F75">
            <v>99.928571428571431</v>
          </cell>
          <cell r="G75">
            <v>101.6545506740862</v>
          </cell>
        </row>
        <row r="76">
          <cell r="A76">
            <v>40255</v>
          </cell>
          <cell r="B76">
            <v>28.5</v>
          </cell>
          <cell r="C76">
            <v>69697.33</v>
          </cell>
          <cell r="D76">
            <v>1.78975</v>
          </cell>
          <cell r="F76">
            <v>101.78571428571428</v>
          </cell>
          <cell r="G76">
            <v>101.61677461250378</v>
          </cell>
        </row>
        <row r="77">
          <cell r="A77">
            <v>40256</v>
          </cell>
          <cell r="B77">
            <v>28.5</v>
          </cell>
          <cell r="C77">
            <v>68828.98</v>
          </cell>
          <cell r="D77">
            <v>1.7983499999999999</v>
          </cell>
          <cell r="F77">
            <v>101.78571428571428</v>
          </cell>
          <cell r="G77">
            <v>100.35074438961334</v>
          </cell>
        </row>
        <row r="78">
          <cell r="A78">
            <v>40257</v>
          </cell>
          <cell r="B78">
            <v>28.5</v>
          </cell>
          <cell r="C78">
            <v>68828.98</v>
          </cell>
          <cell r="D78">
            <v>1.7983499999999999</v>
          </cell>
          <cell r="F78">
            <v>101.78571428571428</v>
          </cell>
          <cell r="G78">
            <v>100.35074438961334</v>
          </cell>
        </row>
        <row r="79">
          <cell r="A79">
            <v>40258</v>
          </cell>
          <cell r="B79">
            <v>28.5</v>
          </cell>
          <cell r="C79">
            <v>68828.98</v>
          </cell>
          <cell r="D79">
            <v>1.7983499999999999</v>
          </cell>
          <cell r="F79">
            <v>101.78571428571428</v>
          </cell>
          <cell r="G79">
            <v>100.35074438961334</v>
          </cell>
        </row>
        <row r="80">
          <cell r="A80">
            <v>40259</v>
          </cell>
          <cell r="B80">
            <v>28.3</v>
          </cell>
          <cell r="C80">
            <v>69041.73</v>
          </cell>
          <cell r="D80">
            <v>1.8027</v>
          </cell>
          <cell r="F80">
            <v>101.07142857142857</v>
          </cell>
          <cell r="G80">
            <v>100.66092799060364</v>
          </cell>
        </row>
        <row r="81">
          <cell r="A81">
            <v>40260</v>
          </cell>
          <cell r="B81">
            <v>28.4</v>
          </cell>
          <cell r="C81">
            <v>69386.720000000001</v>
          </cell>
          <cell r="D81">
            <v>1.78295</v>
          </cell>
          <cell r="F81">
            <v>101.42857142857142</v>
          </cell>
          <cell r="G81">
            <v>101.16391384491928</v>
          </cell>
        </row>
        <row r="82">
          <cell r="A82">
            <v>40261</v>
          </cell>
          <cell r="B82">
            <v>28.59</v>
          </cell>
          <cell r="C82">
            <v>68913.399999999994</v>
          </cell>
          <cell r="D82">
            <v>1.7886</v>
          </cell>
          <cell r="F82">
            <v>102.10714285714286</v>
          </cell>
          <cell r="G82">
            <v>100.47382640886411</v>
          </cell>
        </row>
        <row r="83">
          <cell r="A83">
            <v>40262</v>
          </cell>
          <cell r="B83">
            <v>28.55</v>
          </cell>
          <cell r="C83">
            <v>68441.66</v>
          </cell>
          <cell r="D83">
            <v>1.8047</v>
          </cell>
          <cell r="F83">
            <v>101.96428571428571</v>
          </cell>
          <cell r="G83">
            <v>99.786042568999633</v>
          </cell>
        </row>
        <row r="84">
          <cell r="A84">
            <v>40263</v>
          </cell>
          <cell r="B84">
            <v>28.59</v>
          </cell>
          <cell r="C84">
            <v>68682.66</v>
          </cell>
          <cell r="D84">
            <v>1.8210999999999999</v>
          </cell>
          <cell r="F84">
            <v>102.10714285714286</v>
          </cell>
          <cell r="G84">
            <v>100.1374138866902</v>
          </cell>
        </row>
        <row r="85">
          <cell r="A85">
            <v>40264</v>
          </cell>
          <cell r="B85">
            <v>28.59</v>
          </cell>
          <cell r="C85">
            <v>68682.66</v>
          </cell>
          <cell r="D85">
            <v>1.8210999999999999</v>
          </cell>
          <cell r="F85">
            <v>102.10714285714286</v>
          </cell>
          <cell r="G85">
            <v>100.1374138866902</v>
          </cell>
        </row>
        <row r="86">
          <cell r="A86">
            <v>40265</v>
          </cell>
          <cell r="B86">
            <v>28.59</v>
          </cell>
          <cell r="C86">
            <v>68682.66</v>
          </cell>
          <cell r="D86">
            <v>1.8210999999999999</v>
          </cell>
          <cell r="F86">
            <v>102.10714285714286</v>
          </cell>
          <cell r="G86">
            <v>100.1374138866902</v>
          </cell>
        </row>
        <row r="87">
          <cell r="A87">
            <v>40266</v>
          </cell>
          <cell r="B87">
            <v>28.52</v>
          </cell>
          <cell r="C87">
            <v>69939.12</v>
          </cell>
          <cell r="D87">
            <v>1.80975</v>
          </cell>
          <cell r="F87">
            <v>101.85714285714285</v>
          </cell>
          <cell r="G87">
            <v>101.96929772828965</v>
          </cell>
        </row>
        <row r="88">
          <cell r="A88">
            <v>40267</v>
          </cell>
          <cell r="B88">
            <v>28.5</v>
          </cell>
          <cell r="C88">
            <v>69959.58</v>
          </cell>
          <cell r="D88">
            <v>1.79495</v>
          </cell>
          <cell r="F88">
            <v>101.78571428571428</v>
          </cell>
          <cell r="G88">
            <v>101.99912784098655</v>
          </cell>
        </row>
        <row r="89">
          <cell r="A89">
            <v>40268</v>
          </cell>
          <cell r="B89">
            <v>28.59</v>
          </cell>
          <cell r="C89">
            <v>70371.539999999994</v>
          </cell>
          <cell r="D89">
            <v>1.7847</v>
          </cell>
          <cell r="F89">
            <v>102.10714285714286</v>
          </cell>
          <cell r="G89">
            <v>102.5997540983965</v>
          </cell>
        </row>
        <row r="90">
          <cell r="A90">
            <v>40269</v>
          </cell>
          <cell r="B90">
            <v>28.5</v>
          </cell>
          <cell r="C90">
            <v>71136.34</v>
          </cell>
          <cell r="D90">
            <v>1.76905</v>
          </cell>
          <cell r="F90">
            <v>101.78571428571428</v>
          </cell>
          <cell r="G90">
            <v>103.71481129246179</v>
          </cell>
        </row>
        <row r="91">
          <cell r="A91">
            <v>40270</v>
          </cell>
          <cell r="B91">
            <v>28.5</v>
          </cell>
          <cell r="C91">
            <v>71136.34</v>
          </cell>
          <cell r="D91">
            <v>1.76905</v>
          </cell>
          <cell r="F91">
            <v>101.78571428571428</v>
          </cell>
          <cell r="G91">
            <v>103.71481129246179</v>
          </cell>
        </row>
        <row r="92">
          <cell r="A92">
            <v>40271</v>
          </cell>
          <cell r="B92">
            <v>28.5</v>
          </cell>
          <cell r="C92">
            <v>71136.34</v>
          </cell>
          <cell r="D92">
            <v>1.76905</v>
          </cell>
          <cell r="F92">
            <v>101.78571428571428</v>
          </cell>
          <cell r="G92">
            <v>103.71481129246179</v>
          </cell>
        </row>
        <row r="93">
          <cell r="A93">
            <v>40272</v>
          </cell>
          <cell r="B93">
            <v>28.5</v>
          </cell>
          <cell r="C93">
            <v>71136.34</v>
          </cell>
          <cell r="D93">
            <v>1.76905</v>
          </cell>
          <cell r="F93">
            <v>101.78571428571428</v>
          </cell>
          <cell r="G93">
            <v>103.71481129246179</v>
          </cell>
        </row>
        <row r="94">
          <cell r="A94">
            <v>40273</v>
          </cell>
          <cell r="B94">
            <v>28.39</v>
          </cell>
          <cell r="C94">
            <v>71289.679999999993</v>
          </cell>
          <cell r="D94">
            <v>1.75925</v>
          </cell>
          <cell r="F94">
            <v>101.39285714285715</v>
          </cell>
          <cell r="G94">
            <v>103.93837676073842</v>
          </cell>
        </row>
        <row r="95">
          <cell r="A95">
            <v>40274</v>
          </cell>
          <cell r="B95">
            <v>27.7</v>
          </cell>
          <cell r="C95">
            <v>71095.649999999994</v>
          </cell>
          <cell r="D95">
            <v>1.7604</v>
          </cell>
          <cell r="F95">
            <v>98.928571428571416</v>
          </cell>
          <cell r="G95">
            <v>103.65548640069071</v>
          </cell>
        </row>
        <row r="96">
          <cell r="A96">
            <v>40275</v>
          </cell>
          <cell r="B96">
            <v>27.64</v>
          </cell>
          <cell r="C96">
            <v>70792.94</v>
          </cell>
          <cell r="D96">
            <v>1.7637499999999999</v>
          </cell>
          <cell r="F96">
            <v>98.714285714285722</v>
          </cell>
          <cell r="G96">
            <v>103.21414361405958</v>
          </cell>
        </row>
        <row r="97">
          <cell r="A97">
            <v>40276</v>
          </cell>
          <cell r="B97">
            <v>27.9</v>
          </cell>
          <cell r="C97">
            <v>71784.78</v>
          </cell>
          <cell r="D97">
            <v>1.7839499999999999</v>
          </cell>
          <cell r="F97">
            <v>99.642857142857139</v>
          </cell>
          <cell r="G97">
            <v>104.66021883289028</v>
          </cell>
        </row>
        <row r="98">
          <cell r="A98">
            <v>40277</v>
          </cell>
          <cell r="B98">
            <v>27.2</v>
          </cell>
          <cell r="C98">
            <v>71417.27</v>
          </cell>
          <cell r="D98">
            <v>1.7742</v>
          </cell>
          <cell r="F98">
            <v>97.142857142857139</v>
          </cell>
          <cell r="G98">
            <v>104.12439944299628</v>
          </cell>
        </row>
        <row r="99">
          <cell r="A99">
            <v>40278</v>
          </cell>
          <cell r="B99">
            <v>27.2</v>
          </cell>
          <cell r="C99">
            <v>71417.27</v>
          </cell>
          <cell r="D99">
            <v>1.7742</v>
          </cell>
          <cell r="F99">
            <v>97.142857142857139</v>
          </cell>
          <cell r="G99">
            <v>104.12439944299628</v>
          </cell>
        </row>
        <row r="100">
          <cell r="A100">
            <v>40279</v>
          </cell>
          <cell r="B100">
            <v>27.2</v>
          </cell>
          <cell r="C100">
            <v>71417.27</v>
          </cell>
          <cell r="D100">
            <v>1.7742</v>
          </cell>
          <cell r="F100">
            <v>97.142857142857139</v>
          </cell>
          <cell r="G100">
            <v>104.12439944299628</v>
          </cell>
        </row>
        <row r="101">
          <cell r="A101">
            <v>40280</v>
          </cell>
          <cell r="B101">
            <v>27.19</v>
          </cell>
          <cell r="C101">
            <v>70614.36</v>
          </cell>
          <cell r="D101">
            <v>1.75875</v>
          </cell>
          <cell r="F101">
            <v>97.107142857142861</v>
          </cell>
          <cell r="G101">
            <v>102.95377892562314</v>
          </cell>
        </row>
        <row r="102">
          <cell r="A102">
            <v>40281</v>
          </cell>
          <cell r="B102">
            <v>27.3</v>
          </cell>
          <cell r="C102">
            <v>70792.399999999994</v>
          </cell>
          <cell r="D102">
            <v>1.7659</v>
          </cell>
          <cell r="F102">
            <v>97.5</v>
          </cell>
          <cell r="G102">
            <v>103.21335630903236</v>
          </cell>
        </row>
        <row r="103">
          <cell r="A103">
            <v>40282</v>
          </cell>
          <cell r="B103">
            <v>27.15</v>
          </cell>
          <cell r="C103">
            <v>71034.850000000006</v>
          </cell>
          <cell r="D103">
            <v>1.74275</v>
          </cell>
          <cell r="F103">
            <v>96.964285714285708</v>
          </cell>
          <cell r="G103">
            <v>103.56684168651817</v>
          </cell>
        </row>
        <row r="104">
          <cell r="A104">
            <v>40283</v>
          </cell>
          <cell r="B104">
            <v>27.9</v>
          </cell>
          <cell r="C104">
            <v>70524.350000000006</v>
          </cell>
          <cell r="D104">
            <v>1.74</v>
          </cell>
          <cell r="F104">
            <v>99.642857142857139</v>
          </cell>
          <cell r="G104">
            <v>102.82254684136869</v>
          </cell>
        </row>
        <row r="105">
          <cell r="A105">
            <v>40284</v>
          </cell>
          <cell r="B105">
            <v>28</v>
          </cell>
          <cell r="C105">
            <v>69421.350000000006</v>
          </cell>
          <cell r="D105">
            <v>1.7518</v>
          </cell>
          <cell r="F105">
            <v>100</v>
          </cell>
          <cell r="G105">
            <v>101.21440342471854</v>
          </cell>
        </row>
        <row r="106">
          <cell r="A106">
            <v>40285</v>
          </cell>
          <cell r="B106">
            <v>28</v>
          </cell>
          <cell r="C106">
            <v>69421.350000000006</v>
          </cell>
          <cell r="D106">
            <v>1.7518</v>
          </cell>
          <cell r="F106">
            <v>100</v>
          </cell>
          <cell r="G106">
            <v>101.21440342471854</v>
          </cell>
        </row>
        <row r="107">
          <cell r="A107">
            <v>40286</v>
          </cell>
          <cell r="B107">
            <v>28</v>
          </cell>
          <cell r="C107">
            <v>69421.350000000006</v>
          </cell>
          <cell r="D107">
            <v>1.7518</v>
          </cell>
          <cell r="F107">
            <v>100</v>
          </cell>
          <cell r="G107">
            <v>101.21440342471854</v>
          </cell>
        </row>
        <row r="108">
          <cell r="A108">
            <v>40287</v>
          </cell>
          <cell r="B108">
            <v>28.3</v>
          </cell>
          <cell r="C108">
            <v>69097.58</v>
          </cell>
          <cell r="D108">
            <v>1.7575499999999999</v>
          </cell>
          <cell r="F108">
            <v>101.07142857142857</v>
          </cell>
          <cell r="G108">
            <v>100.74235574202697</v>
          </cell>
        </row>
        <row r="109">
          <cell r="A109">
            <v>40288</v>
          </cell>
          <cell r="B109">
            <v>28.49</v>
          </cell>
          <cell r="C109">
            <v>69318.44</v>
          </cell>
          <cell r="D109">
            <v>1.7511000000000001</v>
          </cell>
          <cell r="F109">
            <v>101.74999999999999</v>
          </cell>
          <cell r="G109">
            <v>101.06436349814787</v>
          </cell>
        </row>
        <row r="110">
          <cell r="A110">
            <v>40289</v>
          </cell>
          <cell r="B110">
            <v>28.49</v>
          </cell>
          <cell r="C110">
            <v>69318.44</v>
          </cell>
          <cell r="D110">
            <v>1.7511000000000001</v>
          </cell>
          <cell r="F110">
            <v>101.74999999999999</v>
          </cell>
          <cell r="G110">
            <v>101.06436349814787</v>
          </cell>
        </row>
        <row r="111">
          <cell r="A111">
            <v>40290</v>
          </cell>
          <cell r="B111">
            <v>29.67</v>
          </cell>
          <cell r="C111">
            <v>69386.41</v>
          </cell>
          <cell r="D111">
            <v>1.7662500000000001</v>
          </cell>
          <cell r="F111">
            <v>105.96428571428571</v>
          </cell>
          <cell r="G111">
            <v>101.16346187351479</v>
          </cell>
        </row>
        <row r="112">
          <cell r="A112">
            <v>40291</v>
          </cell>
          <cell r="B112">
            <v>29.9</v>
          </cell>
          <cell r="C112">
            <v>69509.490000000005</v>
          </cell>
          <cell r="D112">
            <v>1.7623</v>
          </cell>
          <cell r="F112">
            <v>106.78571428571428</v>
          </cell>
          <cell r="G112">
            <v>101.34290910082331</v>
          </cell>
        </row>
        <row r="113">
          <cell r="A113">
            <v>40292</v>
          </cell>
          <cell r="B113">
            <v>29.9</v>
          </cell>
          <cell r="C113">
            <v>69509.490000000005</v>
          </cell>
          <cell r="D113">
            <v>1.7623</v>
          </cell>
          <cell r="F113">
            <v>106.78571428571428</v>
          </cell>
          <cell r="G113">
            <v>101.34290910082331</v>
          </cell>
        </row>
        <row r="114">
          <cell r="A114">
            <v>40293</v>
          </cell>
          <cell r="B114">
            <v>29.9</v>
          </cell>
          <cell r="C114">
            <v>69509.490000000005</v>
          </cell>
          <cell r="D114">
            <v>1.7623</v>
          </cell>
          <cell r="F114">
            <v>106.78571428571428</v>
          </cell>
          <cell r="G114">
            <v>101.34290910082331</v>
          </cell>
        </row>
        <row r="115">
          <cell r="A115">
            <v>40294</v>
          </cell>
          <cell r="B115">
            <v>29.2</v>
          </cell>
          <cell r="C115">
            <v>68871.94</v>
          </cell>
          <cell r="D115">
            <v>1.7442500000000001</v>
          </cell>
          <cell r="F115">
            <v>104.28571428571429</v>
          </cell>
          <cell r="G115">
            <v>100.41337887844317</v>
          </cell>
        </row>
        <row r="116">
          <cell r="A116">
            <v>40295</v>
          </cell>
          <cell r="B116">
            <v>29.05</v>
          </cell>
          <cell r="C116">
            <v>66511.100000000006</v>
          </cell>
          <cell r="D116">
            <v>1.7515000000000001</v>
          </cell>
          <cell r="F116">
            <v>103.75000000000001</v>
          </cell>
          <cell r="G116">
            <v>96.971339618457407</v>
          </cell>
        </row>
        <row r="117">
          <cell r="A117">
            <v>40296</v>
          </cell>
          <cell r="B117">
            <v>29.37</v>
          </cell>
          <cell r="C117">
            <v>66655.710000000006</v>
          </cell>
          <cell r="D117">
            <v>1.7576499999999999</v>
          </cell>
          <cell r="F117">
            <v>104.89285714285714</v>
          </cell>
          <cell r="G117">
            <v>97.182176988794467</v>
          </cell>
        </row>
        <row r="118">
          <cell r="A118">
            <v>40297</v>
          </cell>
          <cell r="B118">
            <v>29.3</v>
          </cell>
          <cell r="C118">
            <v>67978.05</v>
          </cell>
          <cell r="D118">
            <v>1.7309000000000001</v>
          </cell>
          <cell r="F118">
            <v>104.64285714285715</v>
          </cell>
          <cell r="G118">
            <v>99.110112043711169</v>
          </cell>
        </row>
        <row r="119">
          <cell r="A119">
            <v>40298</v>
          </cell>
          <cell r="B119">
            <v>29.95</v>
          </cell>
          <cell r="C119">
            <v>67529.73</v>
          </cell>
          <cell r="D119">
            <v>1.73075</v>
          </cell>
          <cell r="F119">
            <v>106.96428571428571</v>
          </cell>
          <cell r="G119">
            <v>98.456473914470379</v>
          </cell>
        </row>
        <row r="120">
          <cell r="A120">
            <v>40299</v>
          </cell>
          <cell r="B120">
            <v>29.95</v>
          </cell>
          <cell r="C120">
            <v>67529.73</v>
          </cell>
          <cell r="D120">
            <v>1.73075</v>
          </cell>
          <cell r="F120">
            <v>106.96428571428571</v>
          </cell>
          <cell r="G120">
            <v>98.456473914470379</v>
          </cell>
        </row>
        <row r="121">
          <cell r="A121">
            <v>40300</v>
          </cell>
          <cell r="B121">
            <v>29.95</v>
          </cell>
          <cell r="C121">
            <v>67529.73</v>
          </cell>
          <cell r="D121">
            <v>1.73075</v>
          </cell>
          <cell r="F121">
            <v>106.96428571428571</v>
          </cell>
          <cell r="G121">
            <v>98.456473914470379</v>
          </cell>
        </row>
        <row r="122">
          <cell r="A122">
            <v>40301</v>
          </cell>
          <cell r="B122">
            <v>29.5</v>
          </cell>
          <cell r="C122">
            <v>67119.41</v>
          </cell>
          <cell r="D122">
            <v>1.7344999999999999</v>
          </cell>
          <cell r="F122">
            <v>105.35714285714286</v>
          </cell>
          <cell r="G122">
            <v>97.858238731587448</v>
          </cell>
        </row>
        <row r="123">
          <cell r="A123">
            <v>40302</v>
          </cell>
          <cell r="B123">
            <v>28.6</v>
          </cell>
          <cell r="C123">
            <v>64869.32</v>
          </cell>
          <cell r="D123">
            <v>1.7555000000000001</v>
          </cell>
          <cell r="F123">
            <v>102.14285714285715</v>
          </cell>
          <cell r="G123">
            <v>94.577669900789346</v>
          </cell>
        </row>
        <row r="124">
          <cell r="A124">
            <v>40303</v>
          </cell>
          <cell r="B124">
            <v>28.5</v>
          </cell>
          <cell r="C124">
            <v>64914.17</v>
          </cell>
          <cell r="D124">
            <v>1.7878499999999999</v>
          </cell>
          <cell r="F124">
            <v>101.78571428571428</v>
          </cell>
          <cell r="G124">
            <v>94.643059957214334</v>
          </cell>
        </row>
        <row r="125">
          <cell r="A125">
            <v>40304</v>
          </cell>
          <cell r="B125">
            <v>27.9</v>
          </cell>
          <cell r="C125">
            <v>63414.22</v>
          </cell>
          <cell r="D125">
            <v>1.8084499999999999</v>
          </cell>
          <cell r="F125">
            <v>99.642857142857139</v>
          </cell>
          <cell r="G125">
            <v>92.456174446965605</v>
          </cell>
        </row>
        <row r="126">
          <cell r="A126">
            <v>40305</v>
          </cell>
          <cell r="B126">
            <v>27.99</v>
          </cell>
          <cell r="C126">
            <v>62870.879999999997</v>
          </cell>
          <cell r="D126">
            <v>1.84975</v>
          </cell>
          <cell r="F126">
            <v>99.964285714285708</v>
          </cell>
          <cell r="G126">
            <v>91.663999792384743</v>
          </cell>
        </row>
        <row r="127">
          <cell r="A127">
            <v>40306</v>
          </cell>
          <cell r="B127">
            <v>27.99</v>
          </cell>
          <cell r="C127">
            <v>62870.879999999997</v>
          </cell>
          <cell r="D127">
            <v>1.84975</v>
          </cell>
          <cell r="F127">
            <v>99.964285714285708</v>
          </cell>
          <cell r="G127">
            <v>91.663999792384743</v>
          </cell>
        </row>
        <row r="128">
          <cell r="A128">
            <v>40307</v>
          </cell>
          <cell r="B128">
            <v>27.99</v>
          </cell>
          <cell r="C128">
            <v>62870.879999999997</v>
          </cell>
          <cell r="D128">
            <v>1.84975</v>
          </cell>
          <cell r="F128">
            <v>99.964285714285708</v>
          </cell>
          <cell r="G128">
            <v>91.663999792384743</v>
          </cell>
        </row>
        <row r="129">
          <cell r="A129">
            <v>40308</v>
          </cell>
          <cell r="B129">
            <v>29</v>
          </cell>
          <cell r="C129">
            <v>65452.68</v>
          </cell>
          <cell r="D129">
            <v>1.7876000000000001</v>
          </cell>
          <cell r="F129">
            <v>103.57142857142858</v>
          </cell>
          <cell r="G129">
            <v>95.42819260571865</v>
          </cell>
        </row>
        <row r="130">
          <cell r="A130">
            <v>40309</v>
          </cell>
          <cell r="B130">
            <v>29</v>
          </cell>
          <cell r="C130">
            <v>64424.89</v>
          </cell>
          <cell r="D130">
            <v>1.78285</v>
          </cell>
          <cell r="F130">
            <v>103.57142857142858</v>
          </cell>
          <cell r="G130">
            <v>93.92970328368888</v>
          </cell>
        </row>
        <row r="131">
          <cell r="A131">
            <v>40310</v>
          </cell>
          <cell r="B131">
            <v>29.28</v>
          </cell>
          <cell r="C131">
            <v>65223.63</v>
          </cell>
          <cell r="D131">
            <v>1.77155</v>
          </cell>
          <cell r="F131">
            <v>104.57142857142858</v>
          </cell>
          <cell r="G131">
            <v>95.094244056685369</v>
          </cell>
        </row>
        <row r="132">
          <cell r="A132">
            <v>40311</v>
          </cell>
          <cell r="B132">
            <v>28.9</v>
          </cell>
          <cell r="C132">
            <v>64788.22</v>
          </cell>
          <cell r="D132">
            <v>1.7722500000000001</v>
          </cell>
          <cell r="F132">
            <v>103.21428571428571</v>
          </cell>
          <cell r="G132">
            <v>94.459428349483531</v>
          </cell>
        </row>
        <row r="133">
          <cell r="A133">
            <v>40312</v>
          </cell>
          <cell r="B133">
            <v>28.68</v>
          </cell>
          <cell r="C133">
            <v>63412.47</v>
          </cell>
          <cell r="D133">
            <v>1.7946</v>
          </cell>
          <cell r="F133">
            <v>102.42857142857143</v>
          </cell>
          <cell r="G133">
            <v>92.453622995488587</v>
          </cell>
        </row>
        <row r="134">
          <cell r="A134">
            <v>40313</v>
          </cell>
          <cell r="B134">
            <v>28.68</v>
          </cell>
          <cell r="C134">
            <v>63412.47</v>
          </cell>
          <cell r="D134">
            <v>1.7946</v>
          </cell>
          <cell r="F134">
            <v>102.42857142857143</v>
          </cell>
          <cell r="G134">
            <v>92.453622995488587</v>
          </cell>
        </row>
        <row r="135">
          <cell r="A135">
            <v>40314</v>
          </cell>
          <cell r="B135">
            <v>28.68</v>
          </cell>
          <cell r="C135">
            <v>63412.47</v>
          </cell>
          <cell r="D135">
            <v>1.7946</v>
          </cell>
          <cell r="F135">
            <v>102.42857142857143</v>
          </cell>
          <cell r="G135">
            <v>92.453622995488587</v>
          </cell>
        </row>
        <row r="136">
          <cell r="A136">
            <v>40315</v>
          </cell>
          <cell r="B136">
            <v>28.7</v>
          </cell>
          <cell r="C136">
            <v>62866.26</v>
          </cell>
          <cell r="D136">
            <v>1.8073999999999999</v>
          </cell>
          <cell r="F136">
            <v>102.49999999999999</v>
          </cell>
          <cell r="G136">
            <v>91.657263960485452</v>
          </cell>
        </row>
        <row r="137">
          <cell r="A137">
            <v>40316</v>
          </cell>
          <cell r="B137">
            <v>28.11</v>
          </cell>
          <cell r="C137">
            <v>60841.08</v>
          </cell>
          <cell r="D137">
            <v>1.7967500000000001</v>
          </cell>
          <cell r="F137">
            <v>100.39285714285715</v>
          </cell>
          <cell r="G137">
            <v>88.704607673512186</v>
          </cell>
        </row>
        <row r="138">
          <cell r="A138">
            <v>40317</v>
          </cell>
          <cell r="B138">
            <v>27</v>
          </cell>
          <cell r="C138">
            <v>59689.32</v>
          </cell>
          <cell r="D138">
            <v>1.83765</v>
          </cell>
          <cell r="F138">
            <v>96.428571428571431</v>
          </cell>
          <cell r="G138">
            <v>87.025373528851304</v>
          </cell>
        </row>
        <row r="139">
          <cell r="A139">
            <v>40318</v>
          </cell>
          <cell r="B139">
            <v>25.01</v>
          </cell>
          <cell r="C139">
            <v>58192.08</v>
          </cell>
          <cell r="D139">
            <v>1.8864000000000001</v>
          </cell>
          <cell r="F139">
            <v>89.321428571428569</v>
          </cell>
          <cell r="G139">
            <v>84.842439123461233</v>
          </cell>
        </row>
        <row r="140">
          <cell r="A140">
            <v>40319</v>
          </cell>
          <cell r="B140">
            <v>26</v>
          </cell>
          <cell r="C140">
            <v>60259.33</v>
          </cell>
          <cell r="D140">
            <v>1.8728</v>
          </cell>
          <cell r="F140">
            <v>92.857142857142861</v>
          </cell>
          <cell r="G140">
            <v>87.856432303941716</v>
          </cell>
        </row>
        <row r="141">
          <cell r="A141">
            <v>40320</v>
          </cell>
          <cell r="B141">
            <v>26</v>
          </cell>
          <cell r="C141">
            <v>60259.33</v>
          </cell>
          <cell r="D141">
            <v>1.8728</v>
          </cell>
          <cell r="F141">
            <v>92.857142857142861</v>
          </cell>
          <cell r="G141">
            <v>87.856432303941716</v>
          </cell>
        </row>
        <row r="142">
          <cell r="A142">
            <v>40321</v>
          </cell>
          <cell r="B142">
            <v>26</v>
          </cell>
          <cell r="C142">
            <v>60259.33</v>
          </cell>
          <cell r="D142">
            <v>1.8728</v>
          </cell>
          <cell r="F142">
            <v>92.857142857142861</v>
          </cell>
          <cell r="G142">
            <v>87.856432303941716</v>
          </cell>
        </row>
        <row r="143">
          <cell r="A143">
            <v>40322</v>
          </cell>
          <cell r="B143">
            <v>26.84</v>
          </cell>
          <cell r="C143">
            <v>59915.14</v>
          </cell>
          <cell r="D143">
            <v>1.8485</v>
          </cell>
          <cell r="F143">
            <v>95.857142857142847</v>
          </cell>
          <cell r="G143">
            <v>87.354612827444171</v>
          </cell>
        </row>
        <row r="144">
          <cell r="A144">
            <v>40323</v>
          </cell>
          <cell r="B144">
            <v>28.9</v>
          </cell>
          <cell r="C144">
            <v>59184.08</v>
          </cell>
          <cell r="D144">
            <v>1.8866000000000001</v>
          </cell>
          <cell r="F144">
            <v>103.21428571428571</v>
          </cell>
          <cell r="G144">
            <v>86.288747617855549</v>
          </cell>
        </row>
        <row r="145">
          <cell r="A145">
            <v>40324</v>
          </cell>
          <cell r="B145">
            <v>28.5</v>
          </cell>
          <cell r="C145">
            <v>60190.36</v>
          </cell>
          <cell r="D145">
            <v>1.8408</v>
          </cell>
          <cell r="F145">
            <v>101.78571428571428</v>
          </cell>
          <cell r="G145">
            <v>87.755875956302233</v>
          </cell>
        </row>
        <row r="146">
          <cell r="A146">
            <v>40325</v>
          </cell>
          <cell r="B146">
            <v>29.5</v>
          </cell>
          <cell r="C146">
            <v>62091.77</v>
          </cell>
          <cell r="D146">
            <v>1.8319000000000001</v>
          </cell>
          <cell r="F146">
            <v>105.35714285714286</v>
          </cell>
          <cell r="G146">
            <v>90.528079015098896</v>
          </cell>
        </row>
        <row r="147">
          <cell r="A147">
            <v>40326</v>
          </cell>
          <cell r="B147">
            <v>29.7</v>
          </cell>
          <cell r="C147">
            <v>61946.99</v>
          </cell>
          <cell r="D147">
            <v>1.8245</v>
          </cell>
          <cell r="F147">
            <v>106.07142857142857</v>
          </cell>
          <cell r="G147">
            <v>90.316993789475504</v>
          </cell>
        </row>
        <row r="148">
          <cell r="A148">
            <v>40327</v>
          </cell>
          <cell r="B148">
            <v>29.7</v>
          </cell>
          <cell r="C148">
            <v>61946.99</v>
          </cell>
          <cell r="D148">
            <v>1.8245</v>
          </cell>
          <cell r="F148">
            <v>106.07142857142857</v>
          </cell>
          <cell r="G148">
            <v>90.316993789475504</v>
          </cell>
        </row>
        <row r="149">
          <cell r="A149">
            <v>40328</v>
          </cell>
          <cell r="B149">
            <v>29.7</v>
          </cell>
          <cell r="C149">
            <v>61946.99</v>
          </cell>
          <cell r="D149">
            <v>1.8245</v>
          </cell>
          <cell r="F149">
            <v>106.07142857142857</v>
          </cell>
          <cell r="G149">
            <v>90.316993789475504</v>
          </cell>
        </row>
        <row r="150">
          <cell r="A150">
            <v>40329</v>
          </cell>
          <cell r="B150">
            <v>29.7</v>
          </cell>
          <cell r="C150">
            <v>61946.99</v>
          </cell>
          <cell r="D150">
            <v>1.8245</v>
          </cell>
          <cell r="F150">
            <v>106.07142857142857</v>
          </cell>
          <cell r="G150">
            <v>90.316993789475504</v>
          </cell>
        </row>
        <row r="151">
          <cell r="A151">
            <v>40330</v>
          </cell>
          <cell r="B151">
            <v>29.5</v>
          </cell>
          <cell r="C151">
            <v>61840.99</v>
          </cell>
          <cell r="D151">
            <v>1.8204</v>
          </cell>
          <cell r="F151">
            <v>105.35714285714286</v>
          </cell>
          <cell r="G151">
            <v>90.162448728582561</v>
          </cell>
        </row>
        <row r="152">
          <cell r="A152">
            <v>40331</v>
          </cell>
          <cell r="B152">
            <v>29.7</v>
          </cell>
          <cell r="C152">
            <v>62942.91</v>
          </cell>
          <cell r="D152">
            <v>1.83365</v>
          </cell>
          <cell r="F152">
            <v>106.07142857142857</v>
          </cell>
          <cell r="G152">
            <v>91.769017535178321</v>
          </cell>
        </row>
        <row r="153">
          <cell r="A153">
            <v>40332</v>
          </cell>
          <cell r="B153">
            <v>29.7</v>
          </cell>
          <cell r="C153">
            <v>62942.91</v>
          </cell>
          <cell r="D153">
            <v>1.8191999999999999</v>
          </cell>
          <cell r="F153">
            <v>106.07142857142857</v>
          </cell>
          <cell r="G153">
            <v>91.769017535178321</v>
          </cell>
        </row>
        <row r="154">
          <cell r="A154">
            <v>40333</v>
          </cell>
          <cell r="B154">
            <v>30</v>
          </cell>
          <cell r="C154">
            <v>61675.75</v>
          </cell>
          <cell r="D154">
            <v>1.83975</v>
          </cell>
          <cell r="F154">
            <v>107.14285714285714</v>
          </cell>
          <cell r="G154">
            <v>89.921533390262283</v>
          </cell>
        </row>
        <row r="155">
          <cell r="A155">
            <v>40334</v>
          </cell>
          <cell r="B155">
            <v>30</v>
          </cell>
          <cell r="C155">
            <v>61675.75</v>
          </cell>
          <cell r="D155">
            <v>1.83975</v>
          </cell>
          <cell r="F155">
            <v>107.14285714285714</v>
          </cell>
          <cell r="G155">
            <v>89.921533390262283</v>
          </cell>
        </row>
        <row r="156">
          <cell r="A156">
            <v>40335</v>
          </cell>
          <cell r="B156">
            <v>30</v>
          </cell>
          <cell r="C156">
            <v>61675.75</v>
          </cell>
          <cell r="D156">
            <v>1.83975</v>
          </cell>
          <cell r="F156">
            <v>107.14285714285714</v>
          </cell>
          <cell r="G156">
            <v>89.921533390262283</v>
          </cell>
        </row>
        <row r="157">
          <cell r="A157">
            <v>40336</v>
          </cell>
          <cell r="B157">
            <v>30.49</v>
          </cell>
          <cell r="C157">
            <v>61182.92</v>
          </cell>
          <cell r="D157">
            <v>1.8701000000000001</v>
          </cell>
          <cell r="F157">
            <v>108.89285714285715</v>
          </cell>
          <cell r="G157">
            <v>89.203000915169184</v>
          </cell>
        </row>
        <row r="158">
          <cell r="A158">
            <v>40337</v>
          </cell>
          <cell r="B158">
            <v>30.45</v>
          </cell>
          <cell r="C158">
            <v>61793</v>
          </cell>
          <cell r="D158">
            <v>1.8734999999999999</v>
          </cell>
          <cell r="F158">
            <v>108.74999999999999</v>
          </cell>
          <cell r="G158">
            <v>90.092480639221691</v>
          </cell>
        </row>
        <row r="159">
          <cell r="A159">
            <v>40338</v>
          </cell>
          <cell r="B159">
            <v>30</v>
          </cell>
          <cell r="C159">
            <v>61478.61</v>
          </cell>
          <cell r="D159">
            <v>1.8412500000000001</v>
          </cell>
          <cell r="F159">
            <v>107.14285714285714</v>
          </cell>
          <cell r="G159">
            <v>89.634108736446876</v>
          </cell>
        </row>
        <row r="160">
          <cell r="A160">
            <v>40339</v>
          </cell>
          <cell r="B160">
            <v>29.9</v>
          </cell>
          <cell r="C160">
            <v>63048.800000000003</v>
          </cell>
          <cell r="D160">
            <v>1.8202499999999999</v>
          </cell>
          <cell r="F160">
            <v>106.78571428571428</v>
          </cell>
          <cell r="G160">
            <v>91.923402219121272</v>
          </cell>
        </row>
        <row r="161">
          <cell r="A161">
            <v>40340</v>
          </cell>
          <cell r="B161">
            <v>30.9</v>
          </cell>
          <cell r="C161">
            <v>63605.38</v>
          </cell>
          <cell r="D161">
            <v>1.8079000000000001</v>
          </cell>
          <cell r="F161">
            <v>110.35714285714285</v>
          </cell>
          <cell r="G161">
            <v>92.734880426591019</v>
          </cell>
        </row>
        <row r="162">
          <cell r="A162">
            <v>40341</v>
          </cell>
          <cell r="B162">
            <v>30.9</v>
          </cell>
          <cell r="C162">
            <v>63605.38</v>
          </cell>
          <cell r="D162">
            <v>1.8079000000000001</v>
          </cell>
          <cell r="F162">
            <v>110.35714285714285</v>
          </cell>
          <cell r="G162">
            <v>92.734880426591019</v>
          </cell>
        </row>
        <row r="163">
          <cell r="A163">
            <v>40342</v>
          </cell>
          <cell r="B163">
            <v>30.9</v>
          </cell>
          <cell r="C163">
            <v>63605.38</v>
          </cell>
          <cell r="D163">
            <v>1.8079000000000001</v>
          </cell>
          <cell r="F163">
            <v>110.35714285714285</v>
          </cell>
          <cell r="G163">
            <v>92.734880426591019</v>
          </cell>
        </row>
        <row r="164">
          <cell r="A164">
            <v>40343</v>
          </cell>
          <cell r="B164">
            <v>31.5</v>
          </cell>
          <cell r="C164">
            <v>63532.85</v>
          </cell>
          <cell r="D164">
            <v>1.8010999999999999</v>
          </cell>
          <cell r="F164">
            <v>112.5</v>
          </cell>
          <cell r="G164">
            <v>92.62913369766116</v>
          </cell>
        </row>
        <row r="165">
          <cell r="A165">
            <v>40344</v>
          </cell>
          <cell r="B165">
            <v>32.79</v>
          </cell>
          <cell r="C165">
            <v>64442.27</v>
          </cell>
          <cell r="D165">
            <v>1.7940499999999999</v>
          </cell>
          <cell r="F165">
            <v>117.10714285714286</v>
          </cell>
          <cell r="G165">
            <v>93.955042841786224</v>
          </cell>
        </row>
        <row r="166">
          <cell r="A166">
            <v>40345</v>
          </cell>
          <cell r="B166">
            <v>33.99</v>
          </cell>
          <cell r="C166">
            <v>64750.71</v>
          </cell>
          <cell r="D166">
            <v>1.7903500000000001</v>
          </cell>
          <cell r="F166">
            <v>121.39285714285715</v>
          </cell>
          <cell r="G166">
            <v>94.404739809539237</v>
          </cell>
        </row>
        <row r="167">
          <cell r="A167">
            <v>40346</v>
          </cell>
          <cell r="B167">
            <v>32.520000000000003</v>
          </cell>
          <cell r="C167">
            <v>64540.91</v>
          </cell>
          <cell r="D167">
            <v>1.7837000000000001</v>
          </cell>
          <cell r="F167">
            <v>116.14285714285715</v>
          </cell>
          <cell r="G167">
            <v>94.098857226753026</v>
          </cell>
        </row>
        <row r="168">
          <cell r="A168">
            <v>40347</v>
          </cell>
          <cell r="B168">
            <v>32.75</v>
          </cell>
          <cell r="C168">
            <v>64437.58</v>
          </cell>
          <cell r="D168">
            <v>1.7732000000000001</v>
          </cell>
          <cell r="F168">
            <v>116.96428571428572</v>
          </cell>
          <cell r="G168">
            <v>93.948204951827861</v>
          </cell>
        </row>
        <row r="169">
          <cell r="A169">
            <v>40348</v>
          </cell>
          <cell r="B169">
            <v>32.75</v>
          </cell>
          <cell r="C169">
            <v>64437.58</v>
          </cell>
          <cell r="D169">
            <v>1.7732000000000001</v>
          </cell>
          <cell r="F169">
            <v>116.96428571428572</v>
          </cell>
          <cell r="G169">
            <v>93.948204951827861</v>
          </cell>
        </row>
        <row r="170">
          <cell r="A170">
            <v>40349</v>
          </cell>
          <cell r="B170">
            <v>32.75</v>
          </cell>
          <cell r="C170">
            <v>64437.58</v>
          </cell>
          <cell r="D170">
            <v>1.7732000000000001</v>
          </cell>
          <cell r="F170">
            <v>116.96428571428572</v>
          </cell>
          <cell r="G170">
            <v>93.948204951827861</v>
          </cell>
        </row>
        <row r="171">
          <cell r="A171">
            <v>40350</v>
          </cell>
          <cell r="B171">
            <v>33.35</v>
          </cell>
          <cell r="C171">
            <v>64829.03</v>
          </cell>
          <cell r="D171">
            <v>1.7637</v>
          </cell>
          <cell r="F171">
            <v>119.10714285714286</v>
          </cell>
          <cell r="G171">
            <v>94.518928197927309</v>
          </cell>
        </row>
        <row r="172">
          <cell r="A172">
            <v>40351</v>
          </cell>
          <cell r="B172">
            <v>33.49</v>
          </cell>
          <cell r="C172">
            <v>64810.62</v>
          </cell>
          <cell r="D172">
            <v>1.7641500000000001</v>
          </cell>
          <cell r="F172">
            <v>119.60714285714286</v>
          </cell>
          <cell r="G172">
            <v>94.492086928389213</v>
          </cell>
        </row>
        <row r="173">
          <cell r="A173">
            <v>40352</v>
          </cell>
          <cell r="B173">
            <v>33</v>
          </cell>
          <cell r="C173">
            <v>65160.33</v>
          </cell>
          <cell r="D173">
            <v>1.7968500000000001</v>
          </cell>
          <cell r="F173">
            <v>117.85714285714286</v>
          </cell>
          <cell r="G173">
            <v>95.001954411831377</v>
          </cell>
        </row>
        <row r="174">
          <cell r="A174">
            <v>40353</v>
          </cell>
          <cell r="B174">
            <v>33.99</v>
          </cell>
          <cell r="C174">
            <v>63936.7</v>
          </cell>
          <cell r="D174">
            <v>1.7924</v>
          </cell>
          <cell r="F174">
            <v>121.39285714285715</v>
          </cell>
          <cell r="G174">
            <v>93.217935799940534</v>
          </cell>
        </row>
        <row r="175">
          <cell r="A175">
            <v>40354</v>
          </cell>
          <cell r="B175">
            <v>34</v>
          </cell>
          <cell r="C175">
            <v>64823.83</v>
          </cell>
          <cell r="D175">
            <v>1.7867999999999999</v>
          </cell>
          <cell r="F175">
            <v>121.42857142857142</v>
          </cell>
          <cell r="G175">
            <v>94.511346742109922</v>
          </cell>
        </row>
        <row r="176">
          <cell r="A176">
            <v>40355</v>
          </cell>
          <cell r="B176">
            <v>34</v>
          </cell>
          <cell r="C176">
            <v>64823.83</v>
          </cell>
          <cell r="D176">
            <v>1.7867999999999999</v>
          </cell>
          <cell r="F176">
            <v>121.42857142857142</v>
          </cell>
          <cell r="G176">
            <v>94.511346742109922</v>
          </cell>
        </row>
        <row r="177">
          <cell r="A177">
            <v>40356</v>
          </cell>
          <cell r="B177">
            <v>34</v>
          </cell>
          <cell r="C177">
            <v>64823.83</v>
          </cell>
          <cell r="D177">
            <v>1.7867999999999999</v>
          </cell>
          <cell r="F177">
            <v>121.42857142857142</v>
          </cell>
          <cell r="G177">
            <v>94.511346742109922</v>
          </cell>
        </row>
        <row r="178">
          <cell r="A178">
            <v>40357</v>
          </cell>
          <cell r="B178">
            <v>34.89</v>
          </cell>
          <cell r="C178">
            <v>64225.22</v>
          </cell>
          <cell r="D178">
            <v>1.7789999999999999</v>
          </cell>
          <cell r="F178">
            <v>124.60714285714285</v>
          </cell>
          <cell r="G178">
            <v>93.63858996002385</v>
          </cell>
        </row>
        <row r="179">
          <cell r="A179">
            <v>40358</v>
          </cell>
          <cell r="B179">
            <v>35</v>
          </cell>
          <cell r="C179">
            <v>61977.91</v>
          </cell>
          <cell r="D179">
            <v>1.8023</v>
          </cell>
          <cell r="F179">
            <v>125</v>
          </cell>
          <cell r="G179">
            <v>90.362074292143518</v>
          </cell>
        </row>
        <row r="180">
          <cell r="A180">
            <v>40359</v>
          </cell>
          <cell r="B180">
            <v>34.5</v>
          </cell>
          <cell r="C180">
            <v>60935.9</v>
          </cell>
          <cell r="D180">
            <v>1.8025</v>
          </cell>
          <cell r="F180">
            <v>123.21428571428572</v>
          </cell>
          <cell r="G180">
            <v>88.842852604397734</v>
          </cell>
        </row>
        <row r="181">
          <cell r="A181">
            <v>40360</v>
          </cell>
          <cell r="B181">
            <v>34</v>
          </cell>
          <cell r="C181">
            <v>61236.2</v>
          </cell>
          <cell r="D181">
            <v>1.8050999999999999</v>
          </cell>
          <cell r="F181">
            <v>121.42857142857142</v>
          </cell>
          <cell r="G181">
            <v>89.280681677851987</v>
          </cell>
        </row>
        <row r="182">
          <cell r="A182">
            <v>40361</v>
          </cell>
          <cell r="B182">
            <v>34.700000000000003</v>
          </cell>
          <cell r="C182">
            <v>61429.79</v>
          </cell>
          <cell r="D182">
            <v>1.7716000000000001</v>
          </cell>
          <cell r="F182">
            <v>123.92857142857143</v>
          </cell>
          <cell r="G182">
            <v>89.562930530099763</v>
          </cell>
        </row>
        <row r="183">
          <cell r="A183">
            <v>40362</v>
          </cell>
          <cell r="B183">
            <v>34.700000000000003</v>
          </cell>
          <cell r="C183">
            <v>61429.79</v>
          </cell>
          <cell r="D183">
            <v>1.7716000000000001</v>
          </cell>
          <cell r="F183">
            <v>123.92857142857143</v>
          </cell>
          <cell r="G183">
            <v>89.562930530099763</v>
          </cell>
        </row>
        <row r="184">
          <cell r="A184">
            <v>40363</v>
          </cell>
          <cell r="B184">
            <v>34.700000000000003</v>
          </cell>
          <cell r="C184">
            <v>61429.79</v>
          </cell>
          <cell r="D184">
            <v>1.7716000000000001</v>
          </cell>
          <cell r="F184">
            <v>123.92857142857143</v>
          </cell>
          <cell r="G184">
            <v>89.562930530099763</v>
          </cell>
        </row>
        <row r="185">
          <cell r="A185">
            <v>40364</v>
          </cell>
          <cell r="B185">
            <v>34.700000000000003</v>
          </cell>
          <cell r="C185">
            <v>61429.79</v>
          </cell>
          <cell r="D185">
            <v>1.7716000000000001</v>
          </cell>
          <cell r="F185">
            <v>123.92857142857143</v>
          </cell>
          <cell r="G185">
            <v>89.562930530099763</v>
          </cell>
        </row>
        <row r="186">
          <cell r="A186">
            <v>40365</v>
          </cell>
          <cell r="B186">
            <v>34.43</v>
          </cell>
          <cell r="C186">
            <v>62064.75</v>
          </cell>
          <cell r="D186">
            <v>1.7646500000000001</v>
          </cell>
          <cell r="F186">
            <v>122.96428571428571</v>
          </cell>
          <cell r="G186">
            <v>90.488684604293923</v>
          </cell>
        </row>
        <row r="187">
          <cell r="A187">
            <v>40366</v>
          </cell>
          <cell r="B187">
            <v>35</v>
          </cell>
          <cell r="C187">
            <v>63283.8</v>
          </cell>
          <cell r="D187">
            <v>1.7698</v>
          </cell>
          <cell r="F187">
            <v>125</v>
          </cell>
          <cell r="G187">
            <v>92.266025703176382</v>
          </cell>
        </row>
        <row r="188">
          <cell r="A188">
            <v>40367</v>
          </cell>
          <cell r="B188">
            <v>35</v>
          </cell>
          <cell r="C188">
            <v>63476.32</v>
          </cell>
          <cell r="D188">
            <v>1.7686999999999999</v>
          </cell>
          <cell r="F188">
            <v>125</v>
          </cell>
          <cell r="G188">
            <v>92.546714525092497</v>
          </cell>
        </row>
        <row r="189">
          <cell r="A189">
            <v>40368</v>
          </cell>
          <cell r="B189">
            <v>35</v>
          </cell>
          <cell r="C189">
            <v>63476.32</v>
          </cell>
          <cell r="D189">
            <v>1.76075</v>
          </cell>
          <cell r="F189">
            <v>125</v>
          </cell>
          <cell r="G189">
            <v>92.546714525092497</v>
          </cell>
        </row>
        <row r="190">
          <cell r="A190">
            <v>40369</v>
          </cell>
          <cell r="B190">
            <v>35</v>
          </cell>
          <cell r="C190">
            <v>63476.32</v>
          </cell>
          <cell r="D190">
            <v>1.76075</v>
          </cell>
          <cell r="F190">
            <v>125</v>
          </cell>
          <cell r="G190">
            <v>92.546714525092497</v>
          </cell>
        </row>
        <row r="191">
          <cell r="A191">
            <v>40370</v>
          </cell>
          <cell r="B191">
            <v>35</v>
          </cell>
          <cell r="C191">
            <v>63476.32</v>
          </cell>
          <cell r="D191">
            <v>1.76075</v>
          </cell>
          <cell r="F191">
            <v>125</v>
          </cell>
          <cell r="G191">
            <v>92.546714525092497</v>
          </cell>
        </row>
        <row r="192">
          <cell r="A192">
            <v>40371</v>
          </cell>
          <cell r="B192">
            <v>34.75</v>
          </cell>
          <cell r="C192">
            <v>62960.1</v>
          </cell>
          <cell r="D192">
            <v>1.76315</v>
          </cell>
          <cell r="F192">
            <v>124.10714285714286</v>
          </cell>
          <cell r="G192">
            <v>91.794080078543871</v>
          </cell>
        </row>
        <row r="193">
          <cell r="A193">
            <v>40372</v>
          </cell>
          <cell r="B193">
            <v>34.75</v>
          </cell>
          <cell r="C193">
            <v>63685.56</v>
          </cell>
          <cell r="D193">
            <v>1.7516499999999999</v>
          </cell>
          <cell r="F193">
            <v>124.10714285714286</v>
          </cell>
          <cell r="G193">
            <v>92.851780643406073</v>
          </cell>
        </row>
        <row r="194">
          <cell r="A194">
            <v>40373</v>
          </cell>
          <cell r="B194">
            <v>34.74</v>
          </cell>
          <cell r="C194">
            <v>63479.46</v>
          </cell>
          <cell r="D194">
            <v>1.7649999999999999</v>
          </cell>
          <cell r="F194">
            <v>124.07142857142858</v>
          </cell>
          <cell r="G194">
            <v>92.551292558028393</v>
          </cell>
        </row>
        <row r="195">
          <cell r="A195">
            <v>40374</v>
          </cell>
          <cell r="B195">
            <v>35</v>
          </cell>
          <cell r="C195">
            <v>63489.37</v>
          </cell>
          <cell r="D195">
            <v>1.7693000000000001</v>
          </cell>
          <cell r="F195">
            <v>125</v>
          </cell>
          <cell r="G195">
            <v>92.565741063249604</v>
          </cell>
        </row>
        <row r="196">
          <cell r="A196">
            <v>40375</v>
          </cell>
          <cell r="B196">
            <v>34.4</v>
          </cell>
          <cell r="C196">
            <v>62339.27</v>
          </cell>
          <cell r="D196">
            <v>1.7783500000000001</v>
          </cell>
          <cell r="F196">
            <v>122.85714285714285</v>
          </cell>
          <cell r="G196">
            <v>90.888927152561195</v>
          </cell>
        </row>
        <row r="197">
          <cell r="A197">
            <v>40376</v>
          </cell>
          <cell r="B197">
            <v>34.4</v>
          </cell>
          <cell r="C197">
            <v>62339.27</v>
          </cell>
          <cell r="D197">
            <v>1.7783500000000001</v>
          </cell>
          <cell r="F197">
            <v>122.85714285714285</v>
          </cell>
          <cell r="G197">
            <v>90.888927152561195</v>
          </cell>
        </row>
        <row r="198">
          <cell r="A198">
            <v>40377</v>
          </cell>
          <cell r="B198">
            <v>34.4</v>
          </cell>
          <cell r="C198">
            <v>62339.27</v>
          </cell>
          <cell r="D198">
            <v>1.7783500000000001</v>
          </cell>
          <cell r="F198">
            <v>122.85714285714285</v>
          </cell>
          <cell r="G198">
            <v>90.888927152561195</v>
          </cell>
        </row>
        <row r="199">
          <cell r="A199">
            <v>40378</v>
          </cell>
          <cell r="B199">
            <v>34.49</v>
          </cell>
          <cell r="C199">
            <v>63297.04</v>
          </cell>
          <cell r="D199">
            <v>1.7847999999999999</v>
          </cell>
          <cell r="F199">
            <v>123.17857142857143</v>
          </cell>
          <cell r="G199">
            <v>92.285329256065268</v>
          </cell>
        </row>
        <row r="200">
          <cell r="A200">
            <v>40379</v>
          </cell>
          <cell r="B200">
            <v>34.4</v>
          </cell>
          <cell r="C200">
            <v>64462.5</v>
          </cell>
          <cell r="D200">
            <v>1.7808999999999999</v>
          </cell>
          <cell r="F200">
            <v>122.85714285714285</v>
          </cell>
          <cell r="G200">
            <v>93.984537620860436</v>
          </cell>
        </row>
        <row r="201">
          <cell r="A201">
            <v>40380</v>
          </cell>
          <cell r="B201">
            <v>34.799999999999997</v>
          </cell>
          <cell r="C201">
            <v>64476.84</v>
          </cell>
          <cell r="D201">
            <v>1.77495</v>
          </cell>
          <cell r="F201">
            <v>124.28571428571426</v>
          </cell>
          <cell r="G201">
            <v>94.005444943249145</v>
          </cell>
        </row>
        <row r="202">
          <cell r="A202">
            <v>40381</v>
          </cell>
          <cell r="B202">
            <v>34.9</v>
          </cell>
          <cell r="C202">
            <v>65748.100000000006</v>
          </cell>
          <cell r="D202">
            <v>1.7615000000000001</v>
          </cell>
          <cell r="F202">
            <v>124.64285714285714</v>
          </cell>
          <cell r="G202">
            <v>95.858906774482747</v>
          </cell>
        </row>
        <row r="203">
          <cell r="A203">
            <v>40382</v>
          </cell>
          <cell r="B203">
            <v>34.200000000000003</v>
          </cell>
          <cell r="C203">
            <v>66322.990000000005</v>
          </cell>
          <cell r="D203">
            <v>1.7618</v>
          </cell>
          <cell r="F203">
            <v>122.14285714285715</v>
          </cell>
          <cell r="G203">
            <v>96.697080454263343</v>
          </cell>
        </row>
        <row r="204">
          <cell r="A204">
            <v>40383</v>
          </cell>
          <cell r="B204">
            <v>34.200000000000003</v>
          </cell>
          <cell r="C204">
            <v>66322.990000000005</v>
          </cell>
          <cell r="D204">
            <v>1.7618</v>
          </cell>
          <cell r="F204">
            <v>122.14285714285715</v>
          </cell>
          <cell r="G204">
            <v>96.697080454263343</v>
          </cell>
        </row>
        <row r="205">
          <cell r="A205">
            <v>40384</v>
          </cell>
          <cell r="B205">
            <v>34.200000000000003</v>
          </cell>
          <cell r="C205">
            <v>66322.990000000005</v>
          </cell>
          <cell r="D205">
            <v>1.7618</v>
          </cell>
          <cell r="F205">
            <v>122.14285714285715</v>
          </cell>
          <cell r="G205">
            <v>96.697080454263343</v>
          </cell>
        </row>
        <row r="206">
          <cell r="A206">
            <v>40385</v>
          </cell>
          <cell r="B206">
            <v>34.15</v>
          </cell>
          <cell r="C206">
            <v>66443.259999999995</v>
          </cell>
          <cell r="D206">
            <v>1.7714000000000001</v>
          </cell>
          <cell r="F206">
            <v>121.96428571428571</v>
          </cell>
          <cell r="G206">
            <v>96.87243077948591</v>
          </cell>
        </row>
        <row r="207">
          <cell r="A207">
            <v>40386</v>
          </cell>
          <cell r="B207">
            <v>34.700000000000003</v>
          </cell>
          <cell r="C207">
            <v>66674.44</v>
          </cell>
          <cell r="D207">
            <v>1.76675</v>
          </cell>
          <cell r="F207">
            <v>123.92857142857143</v>
          </cell>
          <cell r="G207">
            <v>97.209484809459795</v>
          </cell>
        </row>
        <row r="208">
          <cell r="A208">
            <v>40387</v>
          </cell>
          <cell r="B208">
            <v>35</v>
          </cell>
          <cell r="C208">
            <v>66808.25</v>
          </cell>
          <cell r="D208">
            <v>1.7639</v>
          </cell>
          <cell r="F208">
            <v>125</v>
          </cell>
          <cell r="G208">
            <v>97.404576079253033</v>
          </cell>
        </row>
        <row r="209">
          <cell r="A209">
            <v>40388</v>
          </cell>
          <cell r="B209">
            <v>35</v>
          </cell>
          <cell r="C209">
            <v>66953.83</v>
          </cell>
          <cell r="D209">
            <v>1.7637499999999999</v>
          </cell>
          <cell r="F209">
            <v>125</v>
          </cell>
          <cell r="G209">
            <v>97.616827682694492</v>
          </cell>
        </row>
        <row r="210">
          <cell r="A210">
            <v>40389</v>
          </cell>
          <cell r="B210">
            <v>36.6</v>
          </cell>
          <cell r="C210">
            <v>67515.399999999994</v>
          </cell>
          <cell r="D210">
            <v>1.75925</v>
          </cell>
          <cell r="F210">
            <v>130.71428571428572</v>
          </cell>
          <cell r="G210">
            <v>98.435581171804373</v>
          </cell>
        </row>
        <row r="211">
          <cell r="A211">
            <v>40390</v>
          </cell>
          <cell r="B211">
            <v>36.6</v>
          </cell>
          <cell r="C211">
            <v>67515.399999999994</v>
          </cell>
          <cell r="D211">
            <v>1.75925</v>
          </cell>
          <cell r="F211">
            <v>130.71428571428572</v>
          </cell>
          <cell r="G211">
            <v>98.435581171804373</v>
          </cell>
        </row>
        <row r="212">
          <cell r="A212">
            <v>40391</v>
          </cell>
          <cell r="B212">
            <v>36.6</v>
          </cell>
          <cell r="C212">
            <v>67515.399999999994</v>
          </cell>
          <cell r="D212">
            <v>1.75925</v>
          </cell>
          <cell r="F212">
            <v>130.71428571428572</v>
          </cell>
          <cell r="G212">
            <v>98.435581171804373</v>
          </cell>
        </row>
        <row r="213">
          <cell r="A213">
            <v>40392</v>
          </cell>
          <cell r="B213">
            <v>36.5</v>
          </cell>
          <cell r="C213">
            <v>68517.460000000006</v>
          </cell>
          <cell r="D213">
            <v>1.7472000000000001</v>
          </cell>
          <cell r="F213">
            <v>130.35714285714286</v>
          </cell>
          <cell r="G213">
            <v>99.896556867260813</v>
          </cell>
        </row>
        <row r="214">
          <cell r="A214">
            <v>40393</v>
          </cell>
          <cell r="B214">
            <v>36</v>
          </cell>
          <cell r="C214">
            <v>67997.36</v>
          </cell>
          <cell r="D214">
            <v>1.7615000000000001</v>
          </cell>
          <cell r="F214">
            <v>128.57142857142858</v>
          </cell>
          <cell r="G214">
            <v>99.138265488294593</v>
          </cell>
        </row>
        <row r="215">
          <cell r="A215">
            <v>40394</v>
          </cell>
          <cell r="B215">
            <v>35.950000000000003</v>
          </cell>
          <cell r="C215">
            <v>68272</v>
          </cell>
          <cell r="D215">
            <v>1.75925</v>
          </cell>
          <cell r="F215">
            <v>128.39285714285717</v>
          </cell>
          <cell r="G215">
            <v>99.538682993234559</v>
          </cell>
        </row>
        <row r="216">
          <cell r="A216">
            <v>40395</v>
          </cell>
          <cell r="B216">
            <v>36.25</v>
          </cell>
          <cell r="C216">
            <v>68411.72</v>
          </cell>
          <cell r="D216">
            <v>1.7563500000000001</v>
          </cell>
          <cell r="F216">
            <v>129.46428571428572</v>
          </cell>
          <cell r="G216">
            <v>99.742390879158734</v>
          </cell>
        </row>
        <row r="217">
          <cell r="A217">
            <v>40396</v>
          </cell>
          <cell r="B217">
            <v>36.36</v>
          </cell>
          <cell r="C217">
            <v>68094.759999999995</v>
          </cell>
          <cell r="D217">
            <v>1.75875</v>
          </cell>
          <cell r="F217">
            <v>129.85714285714286</v>
          </cell>
          <cell r="G217">
            <v>99.280271987643374</v>
          </cell>
        </row>
        <row r="218">
          <cell r="A218">
            <v>40397</v>
          </cell>
          <cell r="B218">
            <v>36.36</v>
          </cell>
          <cell r="C218">
            <v>68094.759999999995</v>
          </cell>
          <cell r="D218">
            <v>1.75875</v>
          </cell>
          <cell r="F218">
            <v>129.85714285714286</v>
          </cell>
          <cell r="G218">
            <v>99.280271987643374</v>
          </cell>
        </row>
        <row r="219">
          <cell r="A219">
            <v>40398</v>
          </cell>
          <cell r="B219">
            <v>36.36</v>
          </cell>
          <cell r="C219">
            <v>68094.759999999995</v>
          </cell>
          <cell r="D219">
            <v>1.75875</v>
          </cell>
          <cell r="F219">
            <v>129.85714285714286</v>
          </cell>
          <cell r="G219">
            <v>99.280271987643374</v>
          </cell>
        </row>
        <row r="220">
          <cell r="A220">
            <v>40399</v>
          </cell>
          <cell r="B220">
            <v>36.5</v>
          </cell>
          <cell r="C220">
            <v>67862.28</v>
          </cell>
          <cell r="D220">
            <v>1.7544999999999999</v>
          </cell>
          <cell r="F220">
            <v>130.35714285714286</v>
          </cell>
          <cell r="G220">
            <v>98.941322593715171</v>
          </cell>
        </row>
        <row r="221">
          <cell r="A221">
            <v>40400</v>
          </cell>
          <cell r="B221">
            <v>36.5</v>
          </cell>
          <cell r="C221">
            <v>67223.23</v>
          </cell>
          <cell r="D221">
            <v>1.7614000000000001</v>
          </cell>
          <cell r="F221">
            <v>130.35714285714286</v>
          </cell>
          <cell r="G221">
            <v>98.009605412926177</v>
          </cell>
        </row>
        <row r="222">
          <cell r="A222">
            <v>40401</v>
          </cell>
          <cell r="B222">
            <v>36</v>
          </cell>
          <cell r="C222">
            <v>65790.289999999994</v>
          </cell>
          <cell r="D222">
            <v>1.7721</v>
          </cell>
          <cell r="F222">
            <v>128.57142857142858</v>
          </cell>
          <cell r="G222">
            <v>95.920418624662659</v>
          </cell>
        </row>
        <row r="223">
          <cell r="A223">
            <v>40402</v>
          </cell>
          <cell r="B223">
            <v>35.799999999999997</v>
          </cell>
          <cell r="C223">
            <v>65966.17</v>
          </cell>
          <cell r="D223">
            <v>1.76925</v>
          </cell>
          <cell r="F223">
            <v>127.85714285714285</v>
          </cell>
          <cell r="G223">
            <v>96.176846787963143</v>
          </cell>
        </row>
        <row r="224">
          <cell r="A224">
            <v>40403</v>
          </cell>
          <cell r="B224">
            <v>38</v>
          </cell>
          <cell r="C224">
            <v>66264.429999999993</v>
          </cell>
          <cell r="D224">
            <v>1.7709999999999999</v>
          </cell>
          <cell r="F224">
            <v>135.71428571428572</v>
          </cell>
          <cell r="G224">
            <v>96.611701597981337</v>
          </cell>
        </row>
        <row r="225">
          <cell r="A225">
            <v>40404</v>
          </cell>
          <cell r="B225">
            <v>38</v>
          </cell>
          <cell r="C225">
            <v>66264.429999999993</v>
          </cell>
          <cell r="D225">
            <v>1.7709999999999999</v>
          </cell>
          <cell r="F225">
            <v>135.71428571428572</v>
          </cell>
          <cell r="G225">
            <v>96.611701597981337</v>
          </cell>
        </row>
        <row r="226">
          <cell r="A226">
            <v>40405</v>
          </cell>
          <cell r="B226">
            <v>38</v>
          </cell>
          <cell r="C226">
            <v>66264.429999999993</v>
          </cell>
          <cell r="D226">
            <v>1.7709999999999999</v>
          </cell>
          <cell r="F226">
            <v>135.71428571428572</v>
          </cell>
          <cell r="G226">
            <v>96.611701597981337</v>
          </cell>
        </row>
        <row r="227">
          <cell r="A227">
            <v>40406</v>
          </cell>
          <cell r="B227">
            <v>37.5</v>
          </cell>
          <cell r="C227">
            <v>66701.89</v>
          </cell>
          <cell r="D227">
            <v>1.76315</v>
          </cell>
          <cell r="F227">
            <v>133.92857142857142</v>
          </cell>
          <cell r="G227">
            <v>97.249506148341965</v>
          </cell>
        </row>
        <row r="228">
          <cell r="A228">
            <v>40407</v>
          </cell>
          <cell r="B228">
            <v>36.76</v>
          </cell>
          <cell r="C228">
            <v>67583.77</v>
          </cell>
          <cell r="D228">
            <v>1.75065</v>
          </cell>
          <cell r="F228">
            <v>131.28571428571428</v>
          </cell>
          <cell r="G228">
            <v>98.535262736080341</v>
          </cell>
        </row>
        <row r="229">
          <cell r="A229">
            <v>40408</v>
          </cell>
          <cell r="B229">
            <v>36.799999999999997</v>
          </cell>
          <cell r="C229">
            <v>67638.38</v>
          </cell>
          <cell r="D229">
            <v>1.7533000000000001</v>
          </cell>
          <cell r="F229">
            <v>131.42857142857142</v>
          </cell>
          <cell r="G229">
            <v>98.614882601885654</v>
          </cell>
        </row>
        <row r="230">
          <cell r="A230">
            <v>40409</v>
          </cell>
          <cell r="B230">
            <v>36.89</v>
          </cell>
          <cell r="C230">
            <v>66887.13</v>
          </cell>
          <cell r="D230">
            <v>1.76325</v>
          </cell>
          <cell r="F230">
            <v>131.75</v>
          </cell>
          <cell r="G230">
            <v>97.51958093211374</v>
          </cell>
        </row>
        <row r="231">
          <cell r="A231">
            <v>40410</v>
          </cell>
          <cell r="B231">
            <v>36.799999999999997</v>
          </cell>
          <cell r="C231">
            <v>66677.16</v>
          </cell>
          <cell r="D231">
            <v>1.764</v>
          </cell>
          <cell r="F231">
            <v>131.42857142857142</v>
          </cell>
          <cell r="G231">
            <v>97.213450494041197</v>
          </cell>
        </row>
        <row r="232">
          <cell r="A232">
            <v>40411</v>
          </cell>
          <cell r="B232">
            <v>36.799999999999997</v>
          </cell>
          <cell r="C232">
            <v>66677.16</v>
          </cell>
          <cell r="D232">
            <v>1.764</v>
          </cell>
          <cell r="F232">
            <v>131.42857142857142</v>
          </cell>
          <cell r="G232">
            <v>97.213450494041197</v>
          </cell>
        </row>
        <row r="233">
          <cell r="A233">
            <v>40412</v>
          </cell>
          <cell r="B233">
            <v>36.799999999999997</v>
          </cell>
          <cell r="C233">
            <v>66677.16</v>
          </cell>
          <cell r="D233">
            <v>1.764</v>
          </cell>
          <cell r="F233">
            <v>131.42857142857142</v>
          </cell>
          <cell r="G233">
            <v>97.213450494041197</v>
          </cell>
        </row>
        <row r="234">
          <cell r="A234">
            <v>40413</v>
          </cell>
          <cell r="B234">
            <v>37.299999999999997</v>
          </cell>
          <cell r="C234">
            <v>65981.86</v>
          </cell>
          <cell r="D234">
            <v>1.7623</v>
          </cell>
          <cell r="F234">
            <v>133.21428571428569</v>
          </cell>
          <cell r="G234">
            <v>96.199722372919851</v>
          </cell>
        </row>
        <row r="235">
          <cell r="A235">
            <v>40414</v>
          </cell>
          <cell r="B235">
            <v>37.299999999999997</v>
          </cell>
          <cell r="C235">
            <v>65156.36</v>
          </cell>
          <cell r="D235">
            <v>1.768</v>
          </cell>
          <cell r="F235">
            <v>133.21428571428569</v>
          </cell>
          <cell r="G235">
            <v>94.996166261909266</v>
          </cell>
        </row>
        <row r="236">
          <cell r="A236">
            <v>40415</v>
          </cell>
          <cell r="B236">
            <v>36.99</v>
          </cell>
          <cell r="C236">
            <v>64803.43</v>
          </cell>
          <cell r="D236">
            <v>1.7704</v>
          </cell>
          <cell r="F236">
            <v>132.10714285714286</v>
          </cell>
          <cell r="G236">
            <v>94.481604107749391</v>
          </cell>
        </row>
        <row r="237">
          <cell r="A237">
            <v>40416</v>
          </cell>
          <cell r="B237">
            <v>36.46</v>
          </cell>
          <cell r="C237">
            <v>63867.48</v>
          </cell>
          <cell r="D237">
            <v>1.7578</v>
          </cell>
          <cell r="F237">
            <v>130.21428571428572</v>
          </cell>
          <cell r="G237">
            <v>93.117014959232918</v>
          </cell>
        </row>
        <row r="238">
          <cell r="A238">
            <v>40417</v>
          </cell>
          <cell r="B238">
            <v>36.86</v>
          </cell>
          <cell r="C238">
            <v>65585.14</v>
          </cell>
          <cell r="D238">
            <v>1.75265</v>
          </cell>
          <cell r="F238">
            <v>131.64285714285714</v>
          </cell>
          <cell r="G238">
            <v>95.621315612943931</v>
          </cell>
        </row>
        <row r="239">
          <cell r="A239">
            <v>40418</v>
          </cell>
          <cell r="B239">
            <v>36.86</v>
          </cell>
          <cell r="C239">
            <v>65585.14</v>
          </cell>
          <cell r="D239">
            <v>1.75265</v>
          </cell>
          <cell r="F239">
            <v>131.64285714285714</v>
          </cell>
          <cell r="G239">
            <v>95.621315612943931</v>
          </cell>
        </row>
        <row r="240">
          <cell r="A240">
            <v>40419</v>
          </cell>
          <cell r="B240">
            <v>36.86</v>
          </cell>
          <cell r="C240">
            <v>65585.14</v>
          </cell>
          <cell r="D240">
            <v>1.75265</v>
          </cell>
          <cell r="F240">
            <v>131.64285714285714</v>
          </cell>
          <cell r="G240">
            <v>95.621315612943931</v>
          </cell>
        </row>
        <row r="241">
          <cell r="A241">
            <v>40420</v>
          </cell>
          <cell r="B241">
            <v>36.75</v>
          </cell>
          <cell r="C241">
            <v>64260.79</v>
          </cell>
          <cell r="D241">
            <v>1.7556</v>
          </cell>
          <cell r="F241">
            <v>131.25</v>
          </cell>
          <cell r="G241">
            <v>93.690450033759348</v>
          </cell>
        </row>
        <row r="242">
          <cell r="A242">
            <v>40421</v>
          </cell>
          <cell r="B242">
            <v>36.99</v>
          </cell>
          <cell r="C242">
            <v>65145.45</v>
          </cell>
          <cell r="D242">
            <v>1.7539499999999999</v>
          </cell>
          <cell r="F242">
            <v>132.10714285714286</v>
          </cell>
          <cell r="G242">
            <v>94.980259784415466</v>
          </cell>
        </row>
        <row r="243">
          <cell r="A243">
            <v>40422</v>
          </cell>
          <cell r="B243">
            <v>37.1</v>
          </cell>
          <cell r="C243">
            <v>67072.53</v>
          </cell>
          <cell r="D243">
            <v>1.7400500000000001</v>
          </cell>
          <cell r="F243">
            <v>132.5</v>
          </cell>
          <cell r="G243">
            <v>97.789888991449132</v>
          </cell>
        </row>
        <row r="244">
          <cell r="A244">
            <v>40423</v>
          </cell>
          <cell r="B244">
            <v>37.25</v>
          </cell>
          <cell r="C244">
            <v>66808.08</v>
          </cell>
          <cell r="D244">
            <v>1.7364999999999999</v>
          </cell>
          <cell r="F244">
            <v>133.03571428571428</v>
          </cell>
          <cell r="G244">
            <v>97.404328223966701</v>
          </cell>
        </row>
        <row r="245">
          <cell r="A245">
            <v>40424</v>
          </cell>
          <cell r="B245">
            <v>37.71</v>
          </cell>
          <cell r="C245">
            <v>66678.62</v>
          </cell>
          <cell r="D245">
            <v>1.72525</v>
          </cell>
          <cell r="F245">
            <v>134.67857142857142</v>
          </cell>
          <cell r="G245">
            <v>97.215579133559132</v>
          </cell>
        </row>
        <row r="246">
          <cell r="A246">
            <v>40425</v>
          </cell>
          <cell r="B246">
            <v>37.71</v>
          </cell>
          <cell r="C246">
            <v>66678.62</v>
          </cell>
          <cell r="D246">
            <v>1.72525</v>
          </cell>
          <cell r="F246">
            <v>134.67857142857142</v>
          </cell>
          <cell r="G246">
            <v>97.215579133559132</v>
          </cell>
        </row>
        <row r="247">
          <cell r="A247">
            <v>40426</v>
          </cell>
          <cell r="B247">
            <v>37.71</v>
          </cell>
          <cell r="C247">
            <v>66678.62</v>
          </cell>
          <cell r="D247">
            <v>1.72525</v>
          </cell>
          <cell r="F247">
            <v>134.67857142857142</v>
          </cell>
          <cell r="G247">
            <v>97.215579133559132</v>
          </cell>
        </row>
        <row r="248">
          <cell r="A248">
            <v>40427</v>
          </cell>
          <cell r="B248">
            <v>37.71</v>
          </cell>
          <cell r="C248">
            <v>66678.62</v>
          </cell>
          <cell r="D248">
            <v>1.72525</v>
          </cell>
          <cell r="F248">
            <v>134.67857142857142</v>
          </cell>
          <cell r="G248">
            <v>97.215579133559132</v>
          </cell>
        </row>
        <row r="249">
          <cell r="A249">
            <v>40428</v>
          </cell>
          <cell r="B249">
            <v>37.1</v>
          </cell>
          <cell r="C249">
            <v>66747.3</v>
          </cell>
          <cell r="D249">
            <v>1.72695</v>
          </cell>
          <cell r="F249">
            <v>132.5</v>
          </cell>
          <cell r="G249">
            <v>97.315712669239602</v>
          </cell>
        </row>
        <row r="250">
          <cell r="A250">
            <v>40429</v>
          </cell>
          <cell r="B250">
            <v>37.549999999999997</v>
          </cell>
          <cell r="C250">
            <v>66407.28</v>
          </cell>
          <cell r="D250">
            <v>1.7230000000000001</v>
          </cell>
          <cell r="F250">
            <v>134.10714285714283</v>
          </cell>
          <cell r="G250">
            <v>96.819972937118663</v>
          </cell>
        </row>
        <row r="251">
          <cell r="A251">
            <v>40430</v>
          </cell>
          <cell r="B251">
            <v>37.549999999999997</v>
          </cell>
          <cell r="C251">
            <v>66624.100000000006</v>
          </cell>
          <cell r="D251">
            <v>1.722</v>
          </cell>
          <cell r="F251">
            <v>134.10714285714283</v>
          </cell>
          <cell r="G251">
            <v>97.136090485258379</v>
          </cell>
        </row>
        <row r="252">
          <cell r="A252">
            <v>40431</v>
          </cell>
          <cell r="B252">
            <v>39</v>
          </cell>
          <cell r="C252">
            <v>66806.789999999994</v>
          </cell>
          <cell r="D252">
            <v>1.7174</v>
          </cell>
          <cell r="F252">
            <v>139.28571428571428</v>
          </cell>
          <cell r="G252">
            <v>97.402447439735056</v>
          </cell>
        </row>
        <row r="253">
          <cell r="A253">
            <v>40432</v>
          </cell>
          <cell r="B253">
            <v>39</v>
          </cell>
          <cell r="C253">
            <v>66806.789999999994</v>
          </cell>
          <cell r="D253">
            <v>1.7174</v>
          </cell>
          <cell r="F253">
            <v>139.28571428571428</v>
          </cell>
          <cell r="G253">
            <v>97.402447439735056</v>
          </cell>
        </row>
        <row r="254">
          <cell r="A254">
            <v>40433</v>
          </cell>
          <cell r="B254">
            <v>39</v>
          </cell>
          <cell r="C254">
            <v>66806.789999999994</v>
          </cell>
          <cell r="D254">
            <v>1.7174</v>
          </cell>
          <cell r="F254">
            <v>139.28571428571428</v>
          </cell>
          <cell r="G254">
            <v>97.402447439735056</v>
          </cell>
        </row>
        <row r="255">
          <cell r="A255">
            <v>40434</v>
          </cell>
          <cell r="B255">
            <v>40.5</v>
          </cell>
          <cell r="C255">
            <v>68030.58</v>
          </cell>
          <cell r="D255">
            <v>1.7152000000000001</v>
          </cell>
          <cell r="F255">
            <v>144.64285714285714</v>
          </cell>
          <cell r="G255">
            <v>99.18669932718953</v>
          </cell>
        </row>
        <row r="256">
          <cell r="A256">
            <v>40435</v>
          </cell>
          <cell r="B256">
            <v>40.4</v>
          </cell>
          <cell r="C256">
            <v>67691.850000000006</v>
          </cell>
          <cell r="D256">
            <v>1.70675</v>
          </cell>
          <cell r="F256">
            <v>144.28571428571428</v>
          </cell>
          <cell r="G256">
            <v>98.692840379300236</v>
          </cell>
        </row>
        <row r="257">
          <cell r="A257">
            <v>40436</v>
          </cell>
          <cell r="B257">
            <v>41.74</v>
          </cell>
          <cell r="C257">
            <v>68106.850000000006</v>
          </cell>
          <cell r="D257">
            <v>1.7116</v>
          </cell>
          <cell r="F257">
            <v>149.07142857142858</v>
          </cell>
          <cell r="G257">
            <v>99.297898872418827</v>
          </cell>
        </row>
        <row r="258">
          <cell r="A258">
            <v>40437</v>
          </cell>
          <cell r="B258">
            <v>40.25</v>
          </cell>
          <cell r="C258">
            <v>67662.990000000005</v>
          </cell>
          <cell r="D258">
            <v>1.71715</v>
          </cell>
          <cell r="F258">
            <v>143.75</v>
          </cell>
          <cell r="G258">
            <v>98.650763299513727</v>
          </cell>
        </row>
        <row r="259">
          <cell r="A259">
            <v>40438</v>
          </cell>
          <cell r="B259">
            <v>41.01</v>
          </cell>
          <cell r="C259">
            <v>67089.119999999995</v>
          </cell>
          <cell r="D259">
            <v>1.7159</v>
          </cell>
          <cell r="F259">
            <v>146.46428571428572</v>
          </cell>
          <cell r="G259">
            <v>97.81407675145114</v>
          </cell>
        </row>
        <row r="260">
          <cell r="A260">
            <v>40439</v>
          </cell>
          <cell r="B260">
            <v>41.01</v>
          </cell>
          <cell r="C260">
            <v>67089.119999999995</v>
          </cell>
          <cell r="D260">
            <v>1.7159</v>
          </cell>
          <cell r="F260">
            <v>146.46428571428572</v>
          </cell>
          <cell r="G260">
            <v>97.81407675145114</v>
          </cell>
        </row>
        <row r="261">
          <cell r="A261">
            <v>40440</v>
          </cell>
          <cell r="B261">
            <v>41.01</v>
          </cell>
          <cell r="C261">
            <v>67089.119999999995</v>
          </cell>
          <cell r="D261">
            <v>1.7159</v>
          </cell>
          <cell r="F261">
            <v>146.46428571428572</v>
          </cell>
          <cell r="G261">
            <v>97.81407675145114</v>
          </cell>
        </row>
        <row r="262">
          <cell r="A262">
            <v>40441</v>
          </cell>
          <cell r="B262">
            <v>41</v>
          </cell>
          <cell r="C262">
            <v>68190.460000000006</v>
          </cell>
          <cell r="D262">
            <v>1.7173</v>
          </cell>
          <cell r="F262">
            <v>146.42857142857142</v>
          </cell>
          <cell r="G262">
            <v>99.419799934128818</v>
          </cell>
        </row>
        <row r="263">
          <cell r="A263">
            <v>40442</v>
          </cell>
          <cell r="B263">
            <v>41</v>
          </cell>
          <cell r="C263">
            <v>67719.13</v>
          </cell>
          <cell r="D263">
            <v>1.7299</v>
          </cell>
          <cell r="F263">
            <v>146.42857142857142</v>
          </cell>
          <cell r="G263">
            <v>98.732613862896073</v>
          </cell>
        </row>
        <row r="264">
          <cell r="A264">
            <v>40443</v>
          </cell>
          <cell r="B264">
            <v>41.1</v>
          </cell>
          <cell r="C264">
            <v>68325.179999999993</v>
          </cell>
          <cell r="D264">
            <v>1.7190000000000001</v>
          </cell>
          <cell r="F264">
            <v>146.78571428571431</v>
          </cell>
          <cell r="G264">
            <v>99.616217958690086</v>
          </cell>
        </row>
        <row r="265">
          <cell r="A265">
            <v>40444</v>
          </cell>
          <cell r="B265">
            <v>41</v>
          </cell>
          <cell r="C265">
            <v>68794.320000000007</v>
          </cell>
          <cell r="D265">
            <v>1.7211000000000001</v>
          </cell>
          <cell r="F265">
            <v>146.42857142857142</v>
          </cell>
          <cell r="G265">
            <v>100.3002110706459</v>
          </cell>
        </row>
        <row r="266">
          <cell r="A266">
            <v>40445</v>
          </cell>
          <cell r="B266">
            <v>41</v>
          </cell>
          <cell r="C266">
            <v>68196.479999999996</v>
          </cell>
          <cell r="D266">
            <v>1.7124999999999999</v>
          </cell>
          <cell r="F266">
            <v>146.42857142857142</v>
          </cell>
          <cell r="G266">
            <v>99.428576927209704</v>
          </cell>
        </row>
        <row r="267">
          <cell r="A267">
            <v>40446</v>
          </cell>
          <cell r="B267">
            <v>41</v>
          </cell>
          <cell r="C267">
            <v>68196.479999999996</v>
          </cell>
          <cell r="D267">
            <v>1.7124999999999999</v>
          </cell>
          <cell r="F267">
            <v>146.42857142857142</v>
          </cell>
          <cell r="G267">
            <v>99.428576927209704</v>
          </cell>
        </row>
        <row r="268">
          <cell r="A268">
            <v>40447</v>
          </cell>
          <cell r="B268">
            <v>41</v>
          </cell>
          <cell r="C268">
            <v>68196.479999999996</v>
          </cell>
          <cell r="D268">
            <v>1.7124999999999999</v>
          </cell>
          <cell r="F268">
            <v>146.42857142857142</v>
          </cell>
          <cell r="G268">
            <v>99.428576927209704</v>
          </cell>
        </row>
        <row r="269">
          <cell r="A269">
            <v>40448</v>
          </cell>
          <cell r="B269">
            <v>40.5</v>
          </cell>
          <cell r="C269">
            <v>68815.97</v>
          </cell>
          <cell r="D269">
            <v>1.7117500000000001</v>
          </cell>
          <cell r="F269">
            <v>144.64285714285714</v>
          </cell>
          <cell r="G269">
            <v>100.33177617034714</v>
          </cell>
        </row>
        <row r="270">
          <cell r="A270">
            <v>40449</v>
          </cell>
          <cell r="B270">
            <v>41.25</v>
          </cell>
          <cell r="C270">
            <v>69227.63</v>
          </cell>
          <cell r="D270">
            <v>1.7088000000000001</v>
          </cell>
          <cell r="F270">
            <v>147.32142857142858</v>
          </cell>
          <cell r="G270">
            <v>100.93196503607533</v>
          </cell>
        </row>
        <row r="271">
          <cell r="A271">
            <v>40450</v>
          </cell>
          <cell r="B271">
            <v>42.9</v>
          </cell>
          <cell r="C271">
            <v>69228.240000000005</v>
          </cell>
          <cell r="D271">
            <v>1.7072499999999999</v>
          </cell>
          <cell r="F271">
            <v>153.21428571428569</v>
          </cell>
          <cell r="G271">
            <v>100.93285439916161</v>
          </cell>
        </row>
        <row r="272">
          <cell r="A272">
            <v>40451</v>
          </cell>
          <cell r="B272">
            <v>43.2</v>
          </cell>
          <cell r="C272">
            <v>69429.78</v>
          </cell>
          <cell r="D272">
            <v>1.6941999999999999</v>
          </cell>
          <cell r="F272">
            <v>154.28571428571431</v>
          </cell>
          <cell r="G272">
            <v>101.22669413097636</v>
          </cell>
        </row>
        <row r="273">
          <cell r="A273">
            <v>40452</v>
          </cell>
          <cell r="B273">
            <v>43.85</v>
          </cell>
          <cell r="C273">
            <v>70229.350000000006</v>
          </cell>
          <cell r="D273">
            <v>1.6854</v>
          </cell>
          <cell r="F273">
            <v>156.60714285714286</v>
          </cell>
          <cell r="G273">
            <v>102.39244502095907</v>
          </cell>
        </row>
        <row r="274">
          <cell r="A274">
            <v>40453</v>
          </cell>
          <cell r="B274">
            <v>43.85</v>
          </cell>
          <cell r="C274">
            <v>70229.350000000006</v>
          </cell>
          <cell r="D274">
            <v>1.6854</v>
          </cell>
          <cell r="F274">
            <v>156.60714285714286</v>
          </cell>
          <cell r="G274">
            <v>102.39244502095907</v>
          </cell>
        </row>
        <row r="275">
          <cell r="A275">
            <v>40454</v>
          </cell>
          <cell r="B275">
            <v>43.85</v>
          </cell>
          <cell r="C275">
            <v>70229.350000000006</v>
          </cell>
          <cell r="D275">
            <v>1.6854</v>
          </cell>
          <cell r="F275">
            <v>156.60714285714286</v>
          </cell>
          <cell r="G275">
            <v>102.39244502095907</v>
          </cell>
        </row>
        <row r="276">
          <cell r="A276">
            <v>40455</v>
          </cell>
          <cell r="B276">
            <v>44.35</v>
          </cell>
          <cell r="C276">
            <v>70384.92</v>
          </cell>
          <cell r="D276">
            <v>1.6857</v>
          </cell>
          <cell r="F276">
            <v>158.39285714285717</v>
          </cell>
          <cell r="G276">
            <v>102.61926176740354</v>
          </cell>
        </row>
        <row r="277">
          <cell r="A277">
            <v>40456</v>
          </cell>
          <cell r="B277">
            <v>46</v>
          </cell>
          <cell r="C277">
            <v>71283.11</v>
          </cell>
          <cell r="D277">
            <v>1.6820999999999999</v>
          </cell>
          <cell r="F277">
            <v>164.28571428571428</v>
          </cell>
          <cell r="G277">
            <v>103.9287978829076</v>
          </cell>
        </row>
        <row r="278">
          <cell r="A278">
            <v>40457</v>
          </cell>
          <cell r="B278">
            <v>45.4</v>
          </cell>
          <cell r="C278">
            <v>70541.37</v>
          </cell>
          <cell r="D278">
            <v>1.6806000000000001</v>
          </cell>
          <cell r="F278">
            <v>162.14285714285714</v>
          </cell>
          <cell r="G278">
            <v>102.84736152944789</v>
          </cell>
        </row>
        <row r="279">
          <cell r="A279">
            <v>40458</v>
          </cell>
          <cell r="B279">
            <v>44</v>
          </cell>
          <cell r="C279">
            <v>69918.399999999994</v>
          </cell>
          <cell r="D279">
            <v>1.6775500000000001</v>
          </cell>
          <cell r="F279">
            <v>157.14285714285714</v>
          </cell>
          <cell r="G279">
            <v>101.9390885428019</v>
          </cell>
        </row>
        <row r="280">
          <cell r="A280">
            <v>40459</v>
          </cell>
          <cell r="B280">
            <v>45.23</v>
          </cell>
          <cell r="C280">
            <v>70808.800000000003</v>
          </cell>
          <cell r="D280">
            <v>1.6810499999999999</v>
          </cell>
          <cell r="F280">
            <v>161.53571428571428</v>
          </cell>
          <cell r="G280">
            <v>103.23726705430261</v>
          </cell>
        </row>
        <row r="281">
          <cell r="A281">
            <v>40460</v>
          </cell>
          <cell r="B281">
            <v>45.23</v>
          </cell>
          <cell r="C281">
            <v>70808.800000000003</v>
          </cell>
          <cell r="D281">
            <v>1.6810499999999999</v>
          </cell>
          <cell r="F281">
            <v>161.53571428571428</v>
          </cell>
          <cell r="G281">
            <v>103.23726705430261</v>
          </cell>
        </row>
        <row r="282">
          <cell r="A282">
            <v>40461</v>
          </cell>
          <cell r="B282">
            <v>45.23</v>
          </cell>
          <cell r="C282">
            <v>70808.800000000003</v>
          </cell>
          <cell r="D282">
            <v>1.6810499999999999</v>
          </cell>
          <cell r="F282">
            <v>161.53571428571428</v>
          </cell>
          <cell r="G282">
            <v>103.23726705430261</v>
          </cell>
        </row>
        <row r="283">
          <cell r="A283">
            <v>40462</v>
          </cell>
          <cell r="B283">
            <v>47</v>
          </cell>
          <cell r="C283">
            <v>70946.490000000005</v>
          </cell>
          <cell r="D283">
            <v>1.6640999999999999</v>
          </cell>
          <cell r="F283">
            <v>167.85714285714286</v>
          </cell>
          <cell r="G283">
            <v>103.43801525651347</v>
          </cell>
        </row>
        <row r="284">
          <cell r="A284">
            <v>40463</v>
          </cell>
          <cell r="B284">
            <v>47</v>
          </cell>
          <cell r="C284">
            <v>70946.490000000005</v>
          </cell>
          <cell r="D284">
            <v>1.66995</v>
          </cell>
          <cell r="F284">
            <v>167.85714285714286</v>
          </cell>
          <cell r="G284">
            <v>103.43801525651347</v>
          </cell>
        </row>
        <row r="285">
          <cell r="A285">
            <v>40464</v>
          </cell>
          <cell r="B285">
            <v>49.4</v>
          </cell>
          <cell r="C285">
            <v>71674.899999999994</v>
          </cell>
          <cell r="D285">
            <v>1.6567000000000001</v>
          </cell>
          <cell r="F285">
            <v>176.42857142857142</v>
          </cell>
          <cell r="G285">
            <v>104.50001683957973</v>
          </cell>
        </row>
        <row r="286">
          <cell r="A286">
            <v>40465</v>
          </cell>
          <cell r="B286">
            <v>49.5</v>
          </cell>
          <cell r="C286">
            <v>71692.289999999994</v>
          </cell>
          <cell r="D286">
            <v>1.65615</v>
          </cell>
          <cell r="F286">
            <v>176.78571428571428</v>
          </cell>
          <cell r="G286">
            <v>104.5253709773998</v>
          </cell>
        </row>
        <row r="287">
          <cell r="A287">
            <v>40466</v>
          </cell>
          <cell r="B287">
            <v>49.5</v>
          </cell>
          <cell r="C287">
            <v>71830.179999999993</v>
          </cell>
          <cell r="D287">
            <v>1.66235</v>
          </cell>
          <cell r="F287">
            <v>176.78571428571428</v>
          </cell>
          <cell r="G287">
            <v>104.72641077406517</v>
          </cell>
        </row>
        <row r="288">
          <cell r="A288">
            <v>40467</v>
          </cell>
          <cell r="B288">
            <v>49.5</v>
          </cell>
          <cell r="C288">
            <v>71830.179999999993</v>
          </cell>
          <cell r="D288">
            <v>1.66235</v>
          </cell>
          <cell r="F288">
            <v>176.78571428571428</v>
          </cell>
          <cell r="G288">
            <v>104.72641077406517</v>
          </cell>
        </row>
        <row r="289">
          <cell r="A289">
            <v>40468</v>
          </cell>
          <cell r="B289">
            <v>49.5</v>
          </cell>
          <cell r="C289">
            <v>71830.179999999993</v>
          </cell>
          <cell r="D289">
            <v>1.66235</v>
          </cell>
          <cell r="F289">
            <v>176.78571428571428</v>
          </cell>
          <cell r="G289">
            <v>104.72641077406517</v>
          </cell>
        </row>
        <row r="290">
          <cell r="A290">
            <v>40469</v>
          </cell>
          <cell r="B290">
            <v>48.29</v>
          </cell>
          <cell r="C290">
            <v>71735.53</v>
          </cell>
          <cell r="D290">
            <v>1.6594500000000001</v>
          </cell>
          <cell r="F290">
            <v>172.46428571428572</v>
          </cell>
          <cell r="G290">
            <v>104.58841369846597</v>
          </cell>
        </row>
        <row r="291">
          <cell r="A291">
            <v>40470</v>
          </cell>
          <cell r="B291">
            <v>46.6</v>
          </cell>
          <cell r="C291">
            <v>69863.58</v>
          </cell>
          <cell r="D291">
            <v>1.6898500000000001</v>
          </cell>
          <cell r="F291">
            <v>166.42857142857144</v>
          </cell>
          <cell r="G291">
            <v>101.85916250281934</v>
          </cell>
        </row>
        <row r="292">
          <cell r="A292">
            <v>40471</v>
          </cell>
          <cell r="B292">
            <v>46</v>
          </cell>
          <cell r="C292">
            <v>70404.679999999993</v>
          </cell>
          <cell r="D292">
            <v>1.6756500000000001</v>
          </cell>
          <cell r="F292">
            <v>164.28571428571428</v>
          </cell>
          <cell r="G292">
            <v>102.64807129950964</v>
          </cell>
        </row>
        <row r="293">
          <cell r="A293">
            <v>40472</v>
          </cell>
          <cell r="B293">
            <v>45.45</v>
          </cell>
          <cell r="C293">
            <v>69652.100000000006</v>
          </cell>
          <cell r="D293">
            <v>1.69085</v>
          </cell>
          <cell r="F293">
            <v>162.32142857142858</v>
          </cell>
          <cell r="G293">
            <v>101.55083052661521</v>
          </cell>
        </row>
        <row r="294">
          <cell r="A294">
            <v>40473</v>
          </cell>
          <cell r="B294">
            <v>45</v>
          </cell>
          <cell r="C294">
            <v>69529.73</v>
          </cell>
          <cell r="D294">
            <v>1.69495</v>
          </cell>
          <cell r="F294">
            <v>160.71428571428572</v>
          </cell>
          <cell r="G294">
            <v>101.37241845962022</v>
          </cell>
        </row>
        <row r="295">
          <cell r="A295">
            <v>40474</v>
          </cell>
          <cell r="B295">
            <v>45</v>
          </cell>
          <cell r="C295">
            <v>69529.73</v>
          </cell>
          <cell r="D295">
            <v>1.69495</v>
          </cell>
          <cell r="F295">
            <v>160.71428571428572</v>
          </cell>
          <cell r="G295">
            <v>101.37241845962022</v>
          </cell>
        </row>
        <row r="296">
          <cell r="A296">
            <v>40475</v>
          </cell>
          <cell r="B296">
            <v>45</v>
          </cell>
          <cell r="C296">
            <v>69529.73</v>
          </cell>
          <cell r="D296">
            <v>1.69495</v>
          </cell>
          <cell r="F296">
            <v>160.71428571428572</v>
          </cell>
          <cell r="G296">
            <v>101.37241845962022</v>
          </cell>
        </row>
        <row r="297">
          <cell r="A297">
            <v>40476</v>
          </cell>
          <cell r="B297">
            <v>43.85</v>
          </cell>
          <cell r="C297">
            <v>69580.28</v>
          </cell>
          <cell r="D297">
            <v>1.7056500000000001</v>
          </cell>
          <cell r="F297">
            <v>156.60714285714286</v>
          </cell>
          <cell r="G297">
            <v>101.44611895799886</v>
          </cell>
        </row>
        <row r="298">
          <cell r="A298">
            <v>40477</v>
          </cell>
          <cell r="B298">
            <v>42.7</v>
          </cell>
          <cell r="C298">
            <v>70740.39</v>
          </cell>
          <cell r="D298">
            <v>1.70705</v>
          </cell>
          <cell r="F298">
            <v>152.5</v>
          </cell>
          <cell r="G298">
            <v>103.13752717113576</v>
          </cell>
        </row>
        <row r="299">
          <cell r="A299">
            <v>40478</v>
          </cell>
          <cell r="B299">
            <v>40.89</v>
          </cell>
          <cell r="C299">
            <v>70568.94</v>
          </cell>
          <cell r="D299">
            <v>1.7161500000000001</v>
          </cell>
          <cell r="F299">
            <v>146.03571428571428</v>
          </cell>
          <cell r="G299">
            <v>102.88755782500279</v>
          </cell>
        </row>
        <row r="300">
          <cell r="A300">
            <v>40479</v>
          </cell>
          <cell r="B300">
            <v>42.64</v>
          </cell>
          <cell r="C300">
            <v>70320.13</v>
          </cell>
          <cell r="D300">
            <v>1.7134</v>
          </cell>
          <cell r="F300">
            <v>152.28571428571428</v>
          </cell>
          <cell r="G300">
            <v>102.52479974386344</v>
          </cell>
        </row>
        <row r="301">
          <cell r="A301">
            <v>40480</v>
          </cell>
          <cell r="B301">
            <v>43.03</v>
          </cell>
          <cell r="C301">
            <v>70673.3</v>
          </cell>
          <cell r="D301">
            <v>1.69665</v>
          </cell>
          <cell r="F301">
            <v>153.67857142857144</v>
          </cell>
          <cell r="G301">
            <v>103.0397118113687</v>
          </cell>
        </row>
        <row r="302">
          <cell r="A302">
            <v>40481</v>
          </cell>
          <cell r="B302">
            <v>43.03</v>
          </cell>
          <cell r="C302">
            <v>70673.3</v>
          </cell>
          <cell r="D302">
            <v>1.69665</v>
          </cell>
          <cell r="F302">
            <v>153.67857142857144</v>
          </cell>
          <cell r="G302">
            <v>103.0397118113687</v>
          </cell>
        </row>
        <row r="303">
          <cell r="A303">
            <v>40482</v>
          </cell>
          <cell r="B303">
            <v>43.03</v>
          </cell>
          <cell r="C303">
            <v>70673.3</v>
          </cell>
          <cell r="D303">
            <v>1.69665</v>
          </cell>
          <cell r="F303">
            <v>153.67857142857144</v>
          </cell>
          <cell r="G303">
            <v>103.0397118113687</v>
          </cell>
        </row>
        <row r="304">
          <cell r="A304">
            <v>40483</v>
          </cell>
          <cell r="B304">
            <v>43.89</v>
          </cell>
          <cell r="C304">
            <v>71560.929999999993</v>
          </cell>
          <cell r="D304">
            <v>1.7047000000000001</v>
          </cell>
          <cell r="F304">
            <v>156.75</v>
          </cell>
          <cell r="G304">
            <v>104.33385173967437</v>
          </cell>
        </row>
        <row r="305">
          <cell r="A305">
            <v>40484</v>
          </cell>
          <cell r="B305">
            <v>43.89</v>
          </cell>
          <cell r="C305">
            <v>71560.929999999993</v>
          </cell>
          <cell r="D305">
            <v>1.7038</v>
          </cell>
          <cell r="F305">
            <v>156.75</v>
          </cell>
          <cell r="G305">
            <v>104.33385173967437</v>
          </cell>
        </row>
        <row r="306">
          <cell r="A306">
            <v>40485</v>
          </cell>
          <cell r="B306">
            <v>45.5</v>
          </cell>
          <cell r="C306">
            <v>71904.77</v>
          </cell>
          <cell r="D306">
            <v>1.6991499999999999</v>
          </cell>
          <cell r="F306">
            <v>162.5</v>
          </cell>
          <cell r="G306">
            <v>104.83516092587655</v>
          </cell>
        </row>
        <row r="307">
          <cell r="A307">
            <v>40486</v>
          </cell>
          <cell r="B307">
            <v>43.01</v>
          </cell>
          <cell r="C307">
            <v>72995.69</v>
          </cell>
          <cell r="D307">
            <v>1.6793</v>
          </cell>
          <cell r="F307">
            <v>153.60714285714286</v>
          </cell>
          <cell r="G307">
            <v>106.42569203747397</v>
          </cell>
        </row>
      </sheetData>
      <sheetData sheetId="2">
        <row r="1">
          <cell r="C1" t="str">
            <v>Mean</v>
          </cell>
          <cell r="D1" t="str">
            <v>StdDev</v>
          </cell>
          <cell r="F1" t="e">
            <v>#DIV/0!</v>
          </cell>
        </row>
        <row r="2">
          <cell r="B2" t="str">
            <v>DROG3-BR</v>
          </cell>
          <cell r="C2" t="e">
            <v>#DIV/0!</v>
          </cell>
          <cell r="D2" t="e">
            <v>#DIV/0!</v>
          </cell>
          <cell r="F2" t="e">
            <v>#DIV/0!</v>
          </cell>
        </row>
        <row r="3">
          <cell r="B3" t="str">
            <v>PE</v>
          </cell>
          <cell r="C3" t="str">
            <v>Mean</v>
          </cell>
          <cell r="D3" t="str">
            <v>+1 StdDev</v>
          </cell>
          <cell r="E3" t="str">
            <v>-1 StdDev</v>
          </cell>
          <cell r="F3" t="e">
            <v>#DIV/0!</v>
          </cell>
        </row>
        <row r="4">
          <cell r="A4">
            <v>39448</v>
          </cell>
          <cell r="B4" t="str">
            <v>#Calc</v>
          </cell>
          <cell r="C4" t="e">
            <v>#DIV/0!</v>
          </cell>
          <cell r="D4" t="e">
            <v>#DIV/0!</v>
          </cell>
          <cell r="E4" t="e">
            <v>#DIV/0!</v>
          </cell>
        </row>
        <row r="5">
          <cell r="A5">
            <v>39449</v>
          </cell>
          <cell r="B5" t="str">
            <v>#Calc</v>
          </cell>
          <cell r="C5" t="e">
            <v>#DIV/0!</v>
          </cell>
          <cell r="D5" t="e">
            <v>#DIV/0!</v>
          </cell>
          <cell r="E5" t="e">
            <v>#DIV/0!</v>
          </cell>
        </row>
        <row r="6">
          <cell r="A6">
            <v>39450</v>
          </cell>
          <cell r="B6" t="str">
            <v>#Calc</v>
          </cell>
          <cell r="C6" t="e">
            <v>#DIV/0!</v>
          </cell>
          <cell r="D6" t="e">
            <v>#DIV/0!</v>
          </cell>
          <cell r="E6" t="e">
            <v>#DIV/0!</v>
          </cell>
        </row>
        <row r="7">
          <cell r="A7">
            <v>39451</v>
          </cell>
          <cell r="B7" t="str">
            <v>#Calc</v>
          </cell>
          <cell r="C7" t="e">
            <v>#DIV/0!</v>
          </cell>
          <cell r="D7" t="e">
            <v>#DIV/0!</v>
          </cell>
          <cell r="E7" t="e">
            <v>#DIV/0!</v>
          </cell>
        </row>
        <row r="8">
          <cell r="A8">
            <v>39452</v>
          </cell>
          <cell r="B8" t="str">
            <v>#Calc</v>
          </cell>
          <cell r="C8" t="e">
            <v>#DIV/0!</v>
          </cell>
          <cell r="D8" t="e">
            <v>#DIV/0!</v>
          </cell>
          <cell r="E8" t="e">
            <v>#DIV/0!</v>
          </cell>
        </row>
        <row r="9">
          <cell r="A9">
            <v>39453</v>
          </cell>
          <cell r="B9" t="str">
            <v>#Calc</v>
          </cell>
          <cell r="C9" t="e">
            <v>#DIV/0!</v>
          </cell>
          <cell r="D9" t="e">
            <v>#DIV/0!</v>
          </cell>
          <cell r="E9" t="e">
            <v>#DIV/0!</v>
          </cell>
        </row>
        <row r="10">
          <cell r="A10">
            <v>39454</v>
          </cell>
          <cell r="B10" t="str">
            <v>#Calc</v>
          </cell>
          <cell r="C10" t="e">
            <v>#DIV/0!</v>
          </cell>
          <cell r="D10" t="e">
            <v>#DIV/0!</v>
          </cell>
          <cell r="E10" t="e">
            <v>#DIV/0!</v>
          </cell>
        </row>
        <row r="11">
          <cell r="A11">
            <v>39455</v>
          </cell>
          <cell r="B11" t="str">
            <v>#Calc</v>
          </cell>
          <cell r="C11" t="e">
            <v>#DIV/0!</v>
          </cell>
          <cell r="D11" t="e">
            <v>#DIV/0!</v>
          </cell>
          <cell r="E11" t="e">
            <v>#DIV/0!</v>
          </cell>
        </row>
        <row r="12">
          <cell r="A12">
            <v>39456</v>
          </cell>
          <cell r="B12" t="str">
            <v>#Calc</v>
          </cell>
          <cell r="C12" t="e">
            <v>#DIV/0!</v>
          </cell>
          <cell r="D12" t="e">
            <v>#DIV/0!</v>
          </cell>
          <cell r="E12" t="e">
            <v>#DIV/0!</v>
          </cell>
        </row>
        <row r="13">
          <cell r="A13">
            <v>39457</v>
          </cell>
          <cell r="B13" t="str">
            <v>#Calc</v>
          </cell>
          <cell r="C13" t="e">
            <v>#DIV/0!</v>
          </cell>
          <cell r="D13" t="e">
            <v>#DIV/0!</v>
          </cell>
          <cell r="E13" t="e">
            <v>#DIV/0!</v>
          </cell>
        </row>
        <row r="14">
          <cell r="A14">
            <v>39458</v>
          </cell>
          <cell r="B14" t="str">
            <v>#Calc</v>
          </cell>
          <cell r="C14" t="e">
            <v>#DIV/0!</v>
          </cell>
          <cell r="D14" t="e">
            <v>#DIV/0!</v>
          </cell>
          <cell r="E14" t="e">
            <v>#DIV/0!</v>
          </cell>
        </row>
        <row r="15">
          <cell r="A15">
            <v>39459</v>
          </cell>
          <cell r="B15" t="str">
            <v>#Calc</v>
          </cell>
          <cell r="C15" t="e">
            <v>#DIV/0!</v>
          </cell>
          <cell r="D15" t="e">
            <v>#DIV/0!</v>
          </cell>
          <cell r="E15" t="e">
            <v>#DIV/0!</v>
          </cell>
        </row>
        <row r="16">
          <cell r="A16">
            <v>39460</v>
          </cell>
          <cell r="B16" t="str">
            <v>#Calc</v>
          </cell>
          <cell r="C16" t="e">
            <v>#DIV/0!</v>
          </cell>
          <cell r="D16" t="e">
            <v>#DIV/0!</v>
          </cell>
          <cell r="E16" t="e">
            <v>#DIV/0!</v>
          </cell>
        </row>
        <row r="17">
          <cell r="A17">
            <v>39461</v>
          </cell>
          <cell r="B17" t="str">
            <v>#Calc</v>
          </cell>
          <cell r="C17" t="e">
            <v>#DIV/0!</v>
          </cell>
          <cell r="D17" t="e">
            <v>#DIV/0!</v>
          </cell>
          <cell r="E17" t="e">
            <v>#DIV/0!</v>
          </cell>
        </row>
        <row r="18">
          <cell r="A18">
            <v>39462</v>
          </cell>
          <cell r="B18" t="str">
            <v>#Calc</v>
          </cell>
          <cell r="C18" t="e">
            <v>#DIV/0!</v>
          </cell>
          <cell r="D18" t="e">
            <v>#DIV/0!</v>
          </cell>
          <cell r="E18" t="e">
            <v>#DIV/0!</v>
          </cell>
        </row>
        <row r="19">
          <cell r="A19">
            <v>39463</v>
          </cell>
          <cell r="B19" t="str">
            <v>#Calc</v>
          </cell>
          <cell r="C19" t="e">
            <v>#DIV/0!</v>
          </cell>
          <cell r="D19" t="e">
            <v>#DIV/0!</v>
          </cell>
          <cell r="E19" t="e">
            <v>#DIV/0!</v>
          </cell>
        </row>
        <row r="20">
          <cell r="A20">
            <v>39464</v>
          </cell>
          <cell r="B20" t="str">
            <v>#Calc</v>
          </cell>
          <cell r="C20" t="e">
            <v>#DIV/0!</v>
          </cell>
          <cell r="D20" t="e">
            <v>#DIV/0!</v>
          </cell>
          <cell r="E20" t="e">
            <v>#DIV/0!</v>
          </cell>
        </row>
        <row r="21">
          <cell r="A21">
            <v>39465</v>
          </cell>
          <cell r="B21" t="str">
            <v>#Calc</v>
          </cell>
          <cell r="C21" t="e">
            <v>#DIV/0!</v>
          </cell>
          <cell r="D21" t="e">
            <v>#DIV/0!</v>
          </cell>
          <cell r="E21" t="e">
            <v>#DIV/0!</v>
          </cell>
        </row>
        <row r="22">
          <cell r="A22">
            <v>39466</v>
          </cell>
          <cell r="B22" t="str">
            <v>#Calc</v>
          </cell>
          <cell r="C22" t="e">
            <v>#DIV/0!</v>
          </cell>
          <cell r="D22" t="e">
            <v>#DIV/0!</v>
          </cell>
          <cell r="E22" t="e">
            <v>#DIV/0!</v>
          </cell>
        </row>
        <row r="23">
          <cell r="A23">
            <v>39467</v>
          </cell>
          <cell r="B23" t="str">
            <v>#Calc</v>
          </cell>
          <cell r="C23" t="e">
            <v>#DIV/0!</v>
          </cell>
          <cell r="D23" t="e">
            <v>#DIV/0!</v>
          </cell>
          <cell r="E23" t="e">
            <v>#DIV/0!</v>
          </cell>
        </row>
        <row r="24">
          <cell r="A24">
            <v>39468</v>
          </cell>
          <cell r="B24" t="str">
            <v>#Calc</v>
          </cell>
          <cell r="C24" t="e">
            <v>#DIV/0!</v>
          </cell>
          <cell r="D24" t="e">
            <v>#DIV/0!</v>
          </cell>
          <cell r="E24" t="e">
            <v>#DIV/0!</v>
          </cell>
        </row>
        <row r="25">
          <cell r="A25">
            <v>39469</v>
          </cell>
          <cell r="B25" t="str">
            <v>#Calc</v>
          </cell>
          <cell r="C25" t="e">
            <v>#DIV/0!</v>
          </cell>
          <cell r="D25" t="e">
            <v>#DIV/0!</v>
          </cell>
          <cell r="E25" t="e">
            <v>#DIV/0!</v>
          </cell>
        </row>
        <row r="26">
          <cell r="A26">
            <v>39470</v>
          </cell>
          <cell r="B26" t="str">
            <v>#Calc</v>
          </cell>
          <cell r="C26" t="e">
            <v>#DIV/0!</v>
          </cell>
          <cell r="D26" t="e">
            <v>#DIV/0!</v>
          </cell>
          <cell r="E26" t="e">
            <v>#DIV/0!</v>
          </cell>
        </row>
        <row r="27">
          <cell r="A27">
            <v>39471</v>
          </cell>
          <cell r="B27" t="str">
            <v>#Calc</v>
          </cell>
          <cell r="C27" t="e">
            <v>#DIV/0!</v>
          </cell>
          <cell r="D27" t="e">
            <v>#DIV/0!</v>
          </cell>
          <cell r="E27" t="e">
            <v>#DIV/0!</v>
          </cell>
        </row>
        <row r="28">
          <cell r="A28">
            <v>39472</v>
          </cell>
          <cell r="B28" t="str">
            <v>#Calc</v>
          </cell>
          <cell r="C28" t="e">
            <v>#DIV/0!</v>
          </cell>
          <cell r="D28" t="e">
            <v>#DIV/0!</v>
          </cell>
          <cell r="E28" t="e">
            <v>#DIV/0!</v>
          </cell>
        </row>
        <row r="29">
          <cell r="A29">
            <v>39473</v>
          </cell>
          <cell r="B29" t="str">
            <v>#Calc</v>
          </cell>
          <cell r="C29" t="e">
            <v>#DIV/0!</v>
          </cell>
          <cell r="D29" t="e">
            <v>#DIV/0!</v>
          </cell>
          <cell r="E29" t="e">
            <v>#DIV/0!</v>
          </cell>
        </row>
        <row r="30">
          <cell r="A30">
            <v>39474</v>
          </cell>
          <cell r="B30" t="str">
            <v>#Calc</v>
          </cell>
          <cell r="C30" t="e">
            <v>#DIV/0!</v>
          </cell>
          <cell r="D30" t="e">
            <v>#DIV/0!</v>
          </cell>
          <cell r="E30" t="e">
            <v>#DIV/0!</v>
          </cell>
        </row>
        <row r="31">
          <cell r="A31">
            <v>39475</v>
          </cell>
          <cell r="B31" t="str">
            <v>#Calc</v>
          </cell>
          <cell r="C31" t="e">
            <v>#DIV/0!</v>
          </cell>
          <cell r="D31" t="e">
            <v>#DIV/0!</v>
          </cell>
          <cell r="E31" t="e">
            <v>#DIV/0!</v>
          </cell>
        </row>
        <row r="32">
          <cell r="A32">
            <v>39476</v>
          </cell>
          <cell r="B32" t="str">
            <v>#Calc</v>
          </cell>
          <cell r="C32" t="e">
            <v>#DIV/0!</v>
          </cell>
          <cell r="D32" t="e">
            <v>#DIV/0!</v>
          </cell>
          <cell r="E32" t="e">
            <v>#DIV/0!</v>
          </cell>
        </row>
        <row r="33">
          <cell r="A33">
            <v>39477</v>
          </cell>
          <cell r="B33" t="str">
            <v>#Calc</v>
          </cell>
          <cell r="C33" t="e">
            <v>#DIV/0!</v>
          </cell>
          <cell r="D33" t="e">
            <v>#DIV/0!</v>
          </cell>
          <cell r="E33" t="e">
            <v>#DIV/0!</v>
          </cell>
        </row>
        <row r="34">
          <cell r="A34">
            <v>39478</v>
          </cell>
          <cell r="B34" t="str">
            <v>#Calc</v>
          </cell>
          <cell r="C34" t="e">
            <v>#DIV/0!</v>
          </cell>
          <cell r="D34" t="e">
            <v>#DIV/0!</v>
          </cell>
          <cell r="E34" t="e">
            <v>#DIV/0!</v>
          </cell>
        </row>
        <row r="35">
          <cell r="A35">
            <v>39479</v>
          </cell>
          <cell r="B35" t="str">
            <v>#Calc</v>
          </cell>
          <cell r="C35" t="e">
            <v>#DIV/0!</v>
          </cell>
          <cell r="D35" t="e">
            <v>#DIV/0!</v>
          </cell>
          <cell r="E35" t="e">
            <v>#DIV/0!</v>
          </cell>
        </row>
        <row r="36">
          <cell r="A36">
            <v>39480</v>
          </cell>
          <cell r="B36" t="str">
            <v>#Calc</v>
          </cell>
          <cell r="C36" t="e">
            <v>#DIV/0!</v>
          </cell>
          <cell r="D36" t="e">
            <v>#DIV/0!</v>
          </cell>
          <cell r="E36" t="e">
            <v>#DIV/0!</v>
          </cell>
        </row>
        <row r="37">
          <cell r="A37">
            <v>39481</v>
          </cell>
          <cell r="B37" t="str">
            <v>#Calc</v>
          </cell>
          <cell r="C37" t="e">
            <v>#DIV/0!</v>
          </cell>
          <cell r="D37" t="e">
            <v>#DIV/0!</v>
          </cell>
          <cell r="E37" t="e">
            <v>#DIV/0!</v>
          </cell>
        </row>
        <row r="38">
          <cell r="A38">
            <v>39482</v>
          </cell>
          <cell r="B38" t="str">
            <v>#Calc</v>
          </cell>
          <cell r="C38" t="e">
            <v>#DIV/0!</v>
          </cell>
          <cell r="D38" t="e">
            <v>#DIV/0!</v>
          </cell>
          <cell r="E38" t="e">
            <v>#DIV/0!</v>
          </cell>
        </row>
        <row r="39">
          <cell r="A39">
            <v>39483</v>
          </cell>
          <cell r="B39" t="str">
            <v>#Calc</v>
          </cell>
          <cell r="C39" t="e">
            <v>#DIV/0!</v>
          </cell>
          <cell r="D39" t="e">
            <v>#DIV/0!</v>
          </cell>
          <cell r="E39" t="e">
            <v>#DIV/0!</v>
          </cell>
        </row>
        <row r="40">
          <cell r="A40">
            <v>39484</v>
          </cell>
          <cell r="B40" t="str">
            <v>#Calc</v>
          </cell>
          <cell r="C40" t="e">
            <v>#DIV/0!</v>
          </cell>
          <cell r="D40" t="e">
            <v>#DIV/0!</v>
          </cell>
          <cell r="E40" t="e">
            <v>#DIV/0!</v>
          </cell>
        </row>
        <row r="41">
          <cell r="A41">
            <v>39485</v>
          </cell>
          <cell r="B41" t="str">
            <v>#Calc</v>
          </cell>
          <cell r="C41" t="e">
            <v>#DIV/0!</v>
          </cell>
          <cell r="D41" t="e">
            <v>#DIV/0!</v>
          </cell>
          <cell r="E41" t="e">
            <v>#DIV/0!</v>
          </cell>
        </row>
        <row r="42">
          <cell r="A42">
            <v>39486</v>
          </cell>
          <cell r="B42" t="str">
            <v>#Calc</v>
          </cell>
          <cell r="C42" t="e">
            <v>#DIV/0!</v>
          </cell>
          <cell r="D42" t="e">
            <v>#DIV/0!</v>
          </cell>
          <cell r="E42" t="e">
            <v>#DIV/0!</v>
          </cell>
        </row>
        <row r="43">
          <cell r="A43">
            <v>39487</v>
          </cell>
          <cell r="B43" t="str">
            <v>#Calc</v>
          </cell>
          <cell r="C43" t="e">
            <v>#DIV/0!</v>
          </cell>
          <cell r="D43" t="e">
            <v>#DIV/0!</v>
          </cell>
          <cell r="E43" t="e">
            <v>#DIV/0!</v>
          </cell>
        </row>
        <row r="44">
          <cell r="A44">
            <v>39488</v>
          </cell>
          <cell r="B44" t="str">
            <v>#Calc</v>
          </cell>
          <cell r="C44" t="e">
            <v>#DIV/0!</v>
          </cell>
          <cell r="D44" t="e">
            <v>#DIV/0!</v>
          </cell>
          <cell r="E44" t="e">
            <v>#DIV/0!</v>
          </cell>
        </row>
        <row r="45">
          <cell r="A45">
            <v>39489</v>
          </cell>
          <cell r="B45" t="str">
            <v>#Calc</v>
          </cell>
          <cell r="C45" t="e">
            <v>#DIV/0!</v>
          </cell>
          <cell r="D45" t="e">
            <v>#DIV/0!</v>
          </cell>
          <cell r="E45" t="e">
            <v>#DIV/0!</v>
          </cell>
        </row>
        <row r="46">
          <cell r="A46">
            <v>39490</v>
          </cell>
          <cell r="B46" t="str">
            <v>#Calc</v>
          </cell>
          <cell r="C46" t="e">
            <v>#DIV/0!</v>
          </cell>
          <cell r="D46" t="e">
            <v>#DIV/0!</v>
          </cell>
          <cell r="E46" t="e">
            <v>#DIV/0!</v>
          </cell>
        </row>
        <row r="47">
          <cell r="A47">
            <v>39491</v>
          </cell>
          <cell r="B47" t="str">
            <v>#Calc</v>
          </cell>
          <cell r="C47" t="e">
            <v>#DIV/0!</v>
          </cell>
          <cell r="D47" t="e">
            <v>#DIV/0!</v>
          </cell>
          <cell r="E47" t="e">
            <v>#DIV/0!</v>
          </cell>
        </row>
        <row r="48">
          <cell r="A48">
            <v>39492</v>
          </cell>
          <cell r="B48" t="str">
            <v>#Calc</v>
          </cell>
          <cell r="C48" t="e">
            <v>#DIV/0!</v>
          </cell>
          <cell r="D48" t="e">
            <v>#DIV/0!</v>
          </cell>
          <cell r="E48" t="e">
            <v>#DIV/0!</v>
          </cell>
        </row>
        <row r="49">
          <cell r="A49">
            <v>39493</v>
          </cell>
          <cell r="B49" t="str">
            <v>#Calc</v>
          </cell>
          <cell r="C49" t="e">
            <v>#DIV/0!</v>
          </cell>
          <cell r="D49" t="e">
            <v>#DIV/0!</v>
          </cell>
          <cell r="E49" t="e">
            <v>#DIV/0!</v>
          </cell>
        </row>
        <row r="50">
          <cell r="A50">
            <v>39494</v>
          </cell>
          <cell r="B50" t="str">
            <v>#Calc</v>
          </cell>
          <cell r="C50" t="e">
            <v>#DIV/0!</v>
          </cell>
          <cell r="D50" t="e">
            <v>#DIV/0!</v>
          </cell>
          <cell r="E50" t="e">
            <v>#DIV/0!</v>
          </cell>
        </row>
        <row r="51">
          <cell r="A51">
            <v>39495</v>
          </cell>
          <cell r="B51" t="str">
            <v>#Calc</v>
          </cell>
          <cell r="C51" t="e">
            <v>#DIV/0!</v>
          </cell>
          <cell r="D51" t="e">
            <v>#DIV/0!</v>
          </cell>
          <cell r="E51" t="e">
            <v>#DIV/0!</v>
          </cell>
        </row>
        <row r="52">
          <cell r="A52">
            <v>39496</v>
          </cell>
          <cell r="B52" t="str">
            <v>#Calc</v>
          </cell>
          <cell r="C52" t="e">
            <v>#DIV/0!</v>
          </cell>
          <cell r="D52" t="e">
            <v>#DIV/0!</v>
          </cell>
          <cell r="E52" t="e">
            <v>#DIV/0!</v>
          </cell>
        </row>
        <row r="53">
          <cell r="A53">
            <v>39497</v>
          </cell>
          <cell r="B53" t="str">
            <v>#Calc</v>
          </cell>
          <cell r="C53" t="e">
            <v>#DIV/0!</v>
          </cell>
          <cell r="D53" t="e">
            <v>#DIV/0!</v>
          </cell>
          <cell r="E53" t="e">
            <v>#DIV/0!</v>
          </cell>
        </row>
        <row r="54">
          <cell r="A54">
            <v>39498</v>
          </cell>
          <cell r="B54" t="str">
            <v>#Calc</v>
          </cell>
          <cell r="C54" t="e">
            <v>#DIV/0!</v>
          </cell>
          <cell r="D54" t="e">
            <v>#DIV/0!</v>
          </cell>
          <cell r="E54" t="e">
            <v>#DIV/0!</v>
          </cell>
        </row>
        <row r="55">
          <cell r="A55">
            <v>39499</v>
          </cell>
          <cell r="B55" t="str">
            <v>#Calc</v>
          </cell>
          <cell r="C55" t="e">
            <v>#DIV/0!</v>
          </cell>
          <cell r="D55" t="e">
            <v>#DIV/0!</v>
          </cell>
          <cell r="E55" t="e">
            <v>#DIV/0!</v>
          </cell>
        </row>
        <row r="56">
          <cell r="A56">
            <v>39500</v>
          </cell>
          <cell r="B56" t="str">
            <v>#Calc</v>
          </cell>
          <cell r="C56" t="e">
            <v>#DIV/0!</v>
          </cell>
          <cell r="D56" t="e">
            <v>#DIV/0!</v>
          </cell>
          <cell r="E56" t="e">
            <v>#DIV/0!</v>
          </cell>
        </row>
        <row r="57">
          <cell r="A57">
            <v>39501</v>
          </cell>
          <cell r="B57" t="str">
            <v>#Calc</v>
          </cell>
          <cell r="C57" t="e">
            <v>#DIV/0!</v>
          </cell>
          <cell r="D57" t="e">
            <v>#DIV/0!</v>
          </cell>
          <cell r="E57" t="e">
            <v>#DIV/0!</v>
          </cell>
        </row>
        <row r="58">
          <cell r="A58">
            <v>39502</v>
          </cell>
          <cell r="B58" t="str">
            <v>#Calc</v>
          </cell>
          <cell r="C58" t="e">
            <v>#DIV/0!</v>
          </cell>
          <cell r="D58" t="e">
            <v>#DIV/0!</v>
          </cell>
          <cell r="E58" t="e">
            <v>#DIV/0!</v>
          </cell>
        </row>
        <row r="59">
          <cell r="A59">
            <v>39503</v>
          </cell>
          <cell r="B59" t="str">
            <v>#Calc</v>
          </cell>
          <cell r="C59" t="e">
            <v>#DIV/0!</v>
          </cell>
          <cell r="D59" t="e">
            <v>#DIV/0!</v>
          </cell>
          <cell r="E59" t="e">
            <v>#DIV/0!</v>
          </cell>
        </row>
        <row r="60">
          <cell r="A60">
            <v>39504</v>
          </cell>
          <cell r="B60" t="str">
            <v>#Calc</v>
          </cell>
          <cell r="C60" t="e">
            <v>#DIV/0!</v>
          </cell>
          <cell r="D60" t="e">
            <v>#DIV/0!</v>
          </cell>
          <cell r="E60" t="e">
            <v>#DIV/0!</v>
          </cell>
        </row>
        <row r="61">
          <cell r="A61">
            <v>39505</v>
          </cell>
          <cell r="B61" t="str">
            <v>#Calc</v>
          </cell>
          <cell r="C61" t="e">
            <v>#DIV/0!</v>
          </cell>
          <cell r="D61" t="e">
            <v>#DIV/0!</v>
          </cell>
          <cell r="E61" t="e">
            <v>#DIV/0!</v>
          </cell>
        </row>
        <row r="62">
          <cell r="A62">
            <v>39506</v>
          </cell>
          <cell r="B62" t="str">
            <v>#Calc</v>
          </cell>
          <cell r="C62" t="e">
            <v>#DIV/0!</v>
          </cell>
          <cell r="D62" t="e">
            <v>#DIV/0!</v>
          </cell>
          <cell r="E62" t="e">
            <v>#DIV/0!</v>
          </cell>
        </row>
        <row r="63">
          <cell r="A63">
            <v>39507</v>
          </cell>
          <cell r="B63" t="str">
            <v>#Calc</v>
          </cell>
          <cell r="C63" t="e">
            <v>#DIV/0!</v>
          </cell>
          <cell r="D63" t="e">
            <v>#DIV/0!</v>
          </cell>
          <cell r="E63" t="e">
            <v>#DIV/0!</v>
          </cell>
        </row>
        <row r="64">
          <cell r="A64">
            <v>39508</v>
          </cell>
          <cell r="B64" t="str">
            <v>#Calc</v>
          </cell>
          <cell r="C64" t="e">
            <v>#DIV/0!</v>
          </cell>
          <cell r="D64" t="e">
            <v>#DIV/0!</v>
          </cell>
          <cell r="E64" t="e">
            <v>#DIV/0!</v>
          </cell>
        </row>
        <row r="65">
          <cell r="A65">
            <v>39509</v>
          </cell>
          <cell r="B65" t="str">
            <v>#Calc</v>
          </cell>
          <cell r="C65" t="e">
            <v>#DIV/0!</v>
          </cell>
          <cell r="D65" t="e">
            <v>#DIV/0!</v>
          </cell>
          <cell r="E65" t="e">
            <v>#DIV/0!</v>
          </cell>
        </row>
        <row r="66">
          <cell r="A66">
            <v>39510</v>
          </cell>
          <cell r="B66" t="str">
            <v>#Calc</v>
          </cell>
          <cell r="C66" t="e">
            <v>#DIV/0!</v>
          </cell>
          <cell r="D66" t="e">
            <v>#DIV/0!</v>
          </cell>
          <cell r="E66" t="e">
            <v>#DIV/0!</v>
          </cell>
        </row>
        <row r="67">
          <cell r="A67">
            <v>39511</v>
          </cell>
          <cell r="B67" t="str">
            <v>#Calc</v>
          </cell>
          <cell r="C67" t="e">
            <v>#DIV/0!</v>
          </cell>
          <cell r="D67" t="e">
            <v>#DIV/0!</v>
          </cell>
          <cell r="E67" t="e">
            <v>#DIV/0!</v>
          </cell>
        </row>
        <row r="68">
          <cell r="A68">
            <v>39512</v>
          </cell>
          <cell r="B68" t="str">
            <v>#Calc</v>
          </cell>
          <cell r="C68" t="e">
            <v>#DIV/0!</v>
          </cell>
          <cell r="D68" t="e">
            <v>#DIV/0!</v>
          </cell>
          <cell r="E68" t="e">
            <v>#DIV/0!</v>
          </cell>
        </row>
        <row r="69">
          <cell r="A69">
            <v>39513</v>
          </cell>
          <cell r="B69" t="str">
            <v>#Calc</v>
          </cell>
          <cell r="C69" t="e">
            <v>#DIV/0!</v>
          </cell>
          <cell r="D69" t="e">
            <v>#DIV/0!</v>
          </cell>
          <cell r="E69" t="e">
            <v>#DIV/0!</v>
          </cell>
        </row>
        <row r="70">
          <cell r="A70">
            <v>39514</v>
          </cell>
          <cell r="B70" t="str">
            <v>#Calc</v>
          </cell>
          <cell r="C70" t="e">
            <v>#DIV/0!</v>
          </cell>
          <cell r="D70" t="e">
            <v>#DIV/0!</v>
          </cell>
          <cell r="E70" t="e">
            <v>#DIV/0!</v>
          </cell>
        </row>
        <row r="71">
          <cell r="A71">
            <v>39515</v>
          </cell>
          <cell r="B71" t="str">
            <v>#Calc</v>
          </cell>
          <cell r="C71" t="e">
            <v>#DIV/0!</v>
          </cell>
          <cell r="D71" t="e">
            <v>#DIV/0!</v>
          </cell>
          <cell r="E71" t="e">
            <v>#DIV/0!</v>
          </cell>
        </row>
        <row r="72">
          <cell r="A72">
            <v>39516</v>
          </cell>
          <cell r="B72" t="str">
            <v>#Calc</v>
          </cell>
          <cell r="C72" t="e">
            <v>#DIV/0!</v>
          </cell>
          <cell r="D72" t="e">
            <v>#DIV/0!</v>
          </cell>
          <cell r="E72" t="e">
            <v>#DIV/0!</v>
          </cell>
        </row>
        <row r="73">
          <cell r="A73">
            <v>39517</v>
          </cell>
          <cell r="B73" t="str">
            <v>#Calc</v>
          </cell>
          <cell r="C73" t="e">
            <v>#DIV/0!</v>
          </cell>
          <cell r="D73" t="e">
            <v>#DIV/0!</v>
          </cell>
          <cell r="E73" t="e">
            <v>#DIV/0!</v>
          </cell>
        </row>
        <row r="74">
          <cell r="A74">
            <v>39518</v>
          </cell>
          <cell r="B74" t="str">
            <v>#Calc</v>
          </cell>
          <cell r="C74" t="e">
            <v>#DIV/0!</v>
          </cell>
          <cell r="D74" t="e">
            <v>#DIV/0!</v>
          </cell>
          <cell r="E74" t="e">
            <v>#DIV/0!</v>
          </cell>
        </row>
        <row r="75">
          <cell r="A75">
            <v>39519</v>
          </cell>
          <cell r="B75" t="str">
            <v>#Calc</v>
          </cell>
          <cell r="C75" t="e">
            <v>#DIV/0!</v>
          </cell>
          <cell r="D75" t="e">
            <v>#DIV/0!</v>
          </cell>
          <cell r="E75" t="e">
            <v>#DIV/0!</v>
          </cell>
        </row>
        <row r="76">
          <cell r="A76">
            <v>39520</v>
          </cell>
          <cell r="B76" t="str">
            <v>#Calc</v>
          </cell>
          <cell r="C76" t="e">
            <v>#DIV/0!</v>
          </cell>
          <cell r="D76" t="e">
            <v>#DIV/0!</v>
          </cell>
          <cell r="E76" t="e">
            <v>#DIV/0!</v>
          </cell>
        </row>
        <row r="77">
          <cell r="A77">
            <v>39521</v>
          </cell>
          <cell r="B77" t="str">
            <v>#Calc</v>
          </cell>
          <cell r="C77" t="e">
            <v>#DIV/0!</v>
          </cell>
          <cell r="D77" t="e">
            <v>#DIV/0!</v>
          </cell>
          <cell r="E77" t="e">
            <v>#DIV/0!</v>
          </cell>
        </row>
        <row r="78">
          <cell r="A78">
            <v>39522</v>
          </cell>
          <cell r="B78" t="str">
            <v>#Calc</v>
          </cell>
          <cell r="C78" t="e">
            <v>#DIV/0!</v>
          </cell>
          <cell r="D78" t="e">
            <v>#DIV/0!</v>
          </cell>
          <cell r="E78" t="e">
            <v>#DIV/0!</v>
          </cell>
        </row>
        <row r="79">
          <cell r="A79">
            <v>39523</v>
          </cell>
          <cell r="B79" t="str">
            <v>#Calc</v>
          </cell>
          <cell r="C79" t="e">
            <v>#DIV/0!</v>
          </cell>
          <cell r="D79" t="e">
            <v>#DIV/0!</v>
          </cell>
          <cell r="E79" t="e">
            <v>#DIV/0!</v>
          </cell>
        </row>
        <row r="80">
          <cell r="A80">
            <v>39524</v>
          </cell>
          <cell r="B80" t="str">
            <v>#Calc</v>
          </cell>
          <cell r="C80" t="e">
            <v>#DIV/0!</v>
          </cell>
          <cell r="D80" t="e">
            <v>#DIV/0!</v>
          </cell>
          <cell r="E80" t="e">
            <v>#DIV/0!</v>
          </cell>
        </row>
        <row r="81">
          <cell r="A81">
            <v>39525</v>
          </cell>
          <cell r="B81" t="str">
            <v>#Calc</v>
          </cell>
          <cell r="C81" t="e">
            <v>#DIV/0!</v>
          </cell>
          <cell r="D81" t="e">
            <v>#DIV/0!</v>
          </cell>
          <cell r="E81" t="e">
            <v>#DIV/0!</v>
          </cell>
        </row>
        <row r="82">
          <cell r="A82">
            <v>39526</v>
          </cell>
          <cell r="B82" t="str">
            <v>#Calc</v>
          </cell>
          <cell r="C82" t="e">
            <v>#DIV/0!</v>
          </cell>
          <cell r="D82" t="e">
            <v>#DIV/0!</v>
          </cell>
          <cell r="E82" t="e">
            <v>#DIV/0!</v>
          </cell>
        </row>
        <row r="83">
          <cell r="A83">
            <v>39527</v>
          </cell>
          <cell r="B83" t="str">
            <v>#Calc</v>
          </cell>
          <cell r="C83" t="e">
            <v>#DIV/0!</v>
          </cell>
          <cell r="D83" t="e">
            <v>#DIV/0!</v>
          </cell>
          <cell r="E83" t="e">
            <v>#DIV/0!</v>
          </cell>
        </row>
        <row r="84">
          <cell r="A84">
            <v>39528</v>
          </cell>
          <cell r="B84" t="str">
            <v>#Calc</v>
          </cell>
          <cell r="C84" t="e">
            <v>#DIV/0!</v>
          </cell>
          <cell r="D84" t="e">
            <v>#DIV/0!</v>
          </cell>
          <cell r="E84" t="e">
            <v>#DIV/0!</v>
          </cell>
        </row>
        <row r="85">
          <cell r="A85">
            <v>39529</v>
          </cell>
          <cell r="B85" t="str">
            <v>#Calc</v>
          </cell>
          <cell r="C85" t="e">
            <v>#DIV/0!</v>
          </cell>
          <cell r="D85" t="e">
            <v>#DIV/0!</v>
          </cell>
          <cell r="E85" t="e">
            <v>#DIV/0!</v>
          </cell>
        </row>
        <row r="86">
          <cell r="A86">
            <v>39530</v>
          </cell>
          <cell r="B86" t="str">
            <v>#Calc</v>
          </cell>
          <cell r="C86" t="e">
            <v>#DIV/0!</v>
          </cell>
          <cell r="D86" t="e">
            <v>#DIV/0!</v>
          </cell>
          <cell r="E86" t="e">
            <v>#DIV/0!</v>
          </cell>
        </row>
        <row r="87">
          <cell r="A87">
            <v>39531</v>
          </cell>
          <cell r="B87" t="str">
            <v>#Calc</v>
          </cell>
          <cell r="C87" t="e">
            <v>#DIV/0!</v>
          </cell>
          <cell r="D87" t="e">
            <v>#DIV/0!</v>
          </cell>
          <cell r="E87" t="e">
            <v>#DIV/0!</v>
          </cell>
        </row>
        <row r="88">
          <cell r="A88">
            <v>39532</v>
          </cell>
          <cell r="B88" t="str">
            <v>#Calc</v>
          </cell>
          <cell r="C88" t="e">
            <v>#DIV/0!</v>
          </cell>
          <cell r="D88" t="e">
            <v>#DIV/0!</v>
          </cell>
          <cell r="E88" t="e">
            <v>#DIV/0!</v>
          </cell>
        </row>
        <row r="89">
          <cell r="A89">
            <v>39533</v>
          </cell>
          <cell r="B89" t="str">
            <v>#Calc</v>
          </cell>
          <cell r="C89" t="e">
            <v>#DIV/0!</v>
          </cell>
          <cell r="D89" t="e">
            <v>#DIV/0!</v>
          </cell>
          <cell r="E89" t="e">
            <v>#DIV/0!</v>
          </cell>
        </row>
        <row r="90">
          <cell r="A90">
            <v>39534</v>
          </cell>
          <cell r="B90" t="str">
            <v>#Calc</v>
          </cell>
          <cell r="C90" t="e">
            <v>#DIV/0!</v>
          </cell>
          <cell r="D90" t="e">
            <v>#DIV/0!</v>
          </cell>
          <cell r="E90" t="e">
            <v>#DIV/0!</v>
          </cell>
        </row>
        <row r="91">
          <cell r="A91">
            <v>39535</v>
          </cell>
          <cell r="B91" t="str">
            <v>#Calc</v>
          </cell>
          <cell r="C91" t="e">
            <v>#DIV/0!</v>
          </cell>
          <cell r="D91" t="e">
            <v>#DIV/0!</v>
          </cell>
          <cell r="E91" t="e">
            <v>#DIV/0!</v>
          </cell>
        </row>
        <row r="92">
          <cell r="A92">
            <v>39536</v>
          </cell>
          <cell r="B92" t="str">
            <v>#Calc</v>
          </cell>
          <cell r="C92" t="e">
            <v>#DIV/0!</v>
          </cell>
          <cell r="D92" t="e">
            <v>#DIV/0!</v>
          </cell>
          <cell r="E92" t="e">
            <v>#DIV/0!</v>
          </cell>
        </row>
        <row r="93">
          <cell r="A93">
            <v>39537</v>
          </cell>
          <cell r="B93" t="str">
            <v>#Calc</v>
          </cell>
          <cell r="C93" t="e">
            <v>#DIV/0!</v>
          </cell>
          <cell r="D93" t="e">
            <v>#DIV/0!</v>
          </cell>
          <cell r="E93" t="e">
            <v>#DIV/0!</v>
          </cell>
        </row>
        <row r="94">
          <cell r="A94">
            <v>39538</v>
          </cell>
          <cell r="B94" t="str">
            <v>#Calc</v>
          </cell>
          <cell r="C94" t="e">
            <v>#DIV/0!</v>
          </cell>
          <cell r="D94" t="e">
            <v>#DIV/0!</v>
          </cell>
          <cell r="E94" t="e">
            <v>#DIV/0!</v>
          </cell>
        </row>
        <row r="95">
          <cell r="A95">
            <v>39539</v>
          </cell>
          <cell r="B95" t="str">
            <v>#Calc</v>
          </cell>
          <cell r="C95" t="e">
            <v>#DIV/0!</v>
          </cell>
          <cell r="D95" t="e">
            <v>#DIV/0!</v>
          </cell>
          <cell r="E95" t="e">
            <v>#DIV/0!</v>
          </cell>
        </row>
        <row r="96">
          <cell r="A96">
            <v>39540</v>
          </cell>
          <cell r="B96" t="str">
            <v>#Calc</v>
          </cell>
          <cell r="C96" t="e">
            <v>#DIV/0!</v>
          </cell>
          <cell r="D96" t="e">
            <v>#DIV/0!</v>
          </cell>
          <cell r="E96" t="e">
            <v>#DIV/0!</v>
          </cell>
        </row>
        <row r="97">
          <cell r="A97">
            <v>39541</v>
          </cell>
          <cell r="B97" t="str">
            <v>#Calc</v>
          </cell>
          <cell r="C97" t="e">
            <v>#DIV/0!</v>
          </cell>
          <cell r="D97" t="e">
            <v>#DIV/0!</v>
          </cell>
          <cell r="E97" t="e">
            <v>#DIV/0!</v>
          </cell>
        </row>
        <row r="98">
          <cell r="A98">
            <v>39542</v>
          </cell>
          <cell r="B98" t="str">
            <v>#Calc</v>
          </cell>
          <cell r="C98" t="e">
            <v>#DIV/0!</v>
          </cell>
          <cell r="D98" t="e">
            <v>#DIV/0!</v>
          </cell>
          <cell r="E98" t="e">
            <v>#DIV/0!</v>
          </cell>
        </row>
        <row r="99">
          <cell r="A99">
            <v>39543</v>
          </cell>
          <cell r="B99" t="str">
            <v>#Calc</v>
          </cell>
          <cell r="C99" t="e">
            <v>#DIV/0!</v>
          </cell>
          <cell r="D99" t="e">
            <v>#DIV/0!</v>
          </cell>
          <cell r="E99" t="e">
            <v>#DIV/0!</v>
          </cell>
        </row>
        <row r="100">
          <cell r="A100">
            <v>39544</v>
          </cell>
          <cell r="B100" t="str">
            <v>#Calc</v>
          </cell>
          <cell r="C100" t="e">
            <v>#DIV/0!</v>
          </cell>
          <cell r="D100" t="e">
            <v>#DIV/0!</v>
          </cell>
          <cell r="E100" t="e">
            <v>#DIV/0!</v>
          </cell>
        </row>
        <row r="101">
          <cell r="A101">
            <v>39545</v>
          </cell>
          <cell r="B101" t="str">
            <v>#Calc</v>
          </cell>
          <cell r="C101" t="e">
            <v>#DIV/0!</v>
          </cell>
          <cell r="D101" t="e">
            <v>#DIV/0!</v>
          </cell>
          <cell r="E101" t="e">
            <v>#DIV/0!</v>
          </cell>
        </row>
        <row r="102">
          <cell r="A102">
            <v>39546</v>
          </cell>
          <cell r="B102" t="str">
            <v>#Calc</v>
          </cell>
          <cell r="C102" t="e">
            <v>#DIV/0!</v>
          </cell>
          <cell r="D102" t="e">
            <v>#DIV/0!</v>
          </cell>
          <cell r="E102" t="e">
            <v>#DIV/0!</v>
          </cell>
        </row>
        <row r="103">
          <cell r="A103">
            <v>39547</v>
          </cell>
          <cell r="B103" t="str">
            <v>#Calc</v>
          </cell>
          <cell r="C103" t="e">
            <v>#DIV/0!</v>
          </cell>
          <cell r="D103" t="e">
            <v>#DIV/0!</v>
          </cell>
          <cell r="E103" t="e">
            <v>#DIV/0!</v>
          </cell>
        </row>
        <row r="104">
          <cell r="A104">
            <v>39548</v>
          </cell>
          <cell r="B104" t="str">
            <v>#Calc</v>
          </cell>
          <cell r="C104" t="e">
            <v>#DIV/0!</v>
          </cell>
          <cell r="D104" t="e">
            <v>#DIV/0!</v>
          </cell>
          <cell r="E104" t="e">
            <v>#DIV/0!</v>
          </cell>
        </row>
        <row r="105">
          <cell r="A105">
            <v>39549</v>
          </cell>
          <cell r="B105" t="str">
            <v>#Calc</v>
          </cell>
          <cell r="C105" t="e">
            <v>#DIV/0!</v>
          </cell>
          <cell r="D105" t="e">
            <v>#DIV/0!</v>
          </cell>
          <cell r="E105" t="e">
            <v>#DIV/0!</v>
          </cell>
        </row>
        <row r="106">
          <cell r="A106">
            <v>39550</v>
          </cell>
          <cell r="B106" t="str">
            <v>#Calc</v>
          </cell>
          <cell r="C106" t="e">
            <v>#DIV/0!</v>
          </cell>
          <cell r="D106" t="e">
            <v>#DIV/0!</v>
          </cell>
          <cell r="E106" t="e">
            <v>#DIV/0!</v>
          </cell>
        </row>
        <row r="107">
          <cell r="A107">
            <v>39551</v>
          </cell>
          <cell r="B107" t="str">
            <v>#Calc</v>
          </cell>
          <cell r="C107" t="e">
            <v>#DIV/0!</v>
          </cell>
          <cell r="D107" t="e">
            <v>#DIV/0!</v>
          </cell>
          <cell r="E107" t="e">
            <v>#DIV/0!</v>
          </cell>
        </row>
        <row r="108">
          <cell r="A108">
            <v>39552</v>
          </cell>
          <cell r="B108" t="str">
            <v>#Calc</v>
          </cell>
          <cell r="C108" t="e">
            <v>#DIV/0!</v>
          </cell>
          <cell r="D108" t="e">
            <v>#DIV/0!</v>
          </cell>
          <cell r="E108" t="e">
            <v>#DIV/0!</v>
          </cell>
        </row>
        <row r="109">
          <cell r="A109">
            <v>39553</v>
          </cell>
          <cell r="B109" t="str">
            <v>#Calc</v>
          </cell>
          <cell r="C109" t="e">
            <v>#DIV/0!</v>
          </cell>
          <cell r="D109" t="e">
            <v>#DIV/0!</v>
          </cell>
          <cell r="E109" t="e">
            <v>#DIV/0!</v>
          </cell>
        </row>
        <row r="110">
          <cell r="A110">
            <v>39554</v>
          </cell>
          <cell r="B110" t="str">
            <v>#Calc</v>
          </cell>
          <cell r="C110" t="e">
            <v>#DIV/0!</v>
          </cell>
          <cell r="D110" t="e">
            <v>#DIV/0!</v>
          </cell>
          <cell r="E110" t="e">
            <v>#DIV/0!</v>
          </cell>
        </row>
        <row r="111">
          <cell r="A111">
            <v>39555</v>
          </cell>
          <cell r="B111" t="str">
            <v>#Calc</v>
          </cell>
          <cell r="C111" t="e">
            <v>#DIV/0!</v>
          </cell>
          <cell r="D111" t="e">
            <v>#DIV/0!</v>
          </cell>
          <cell r="E111" t="e">
            <v>#DIV/0!</v>
          </cell>
        </row>
        <row r="112">
          <cell r="A112">
            <v>39556</v>
          </cell>
          <cell r="B112" t="str">
            <v>#Calc</v>
          </cell>
          <cell r="C112" t="e">
            <v>#DIV/0!</v>
          </cell>
          <cell r="D112" t="e">
            <v>#DIV/0!</v>
          </cell>
          <cell r="E112" t="e">
            <v>#DIV/0!</v>
          </cell>
        </row>
        <row r="113">
          <cell r="A113">
            <v>39557</v>
          </cell>
          <cell r="B113" t="str">
            <v>#Calc</v>
          </cell>
          <cell r="C113" t="e">
            <v>#DIV/0!</v>
          </cell>
          <cell r="D113" t="e">
            <v>#DIV/0!</v>
          </cell>
          <cell r="E113" t="e">
            <v>#DIV/0!</v>
          </cell>
        </row>
        <row r="114">
          <cell r="A114">
            <v>39558</v>
          </cell>
          <cell r="B114" t="str">
            <v>#Calc</v>
          </cell>
          <cell r="C114" t="e">
            <v>#DIV/0!</v>
          </cell>
          <cell r="D114" t="e">
            <v>#DIV/0!</v>
          </cell>
          <cell r="E114" t="e">
            <v>#DIV/0!</v>
          </cell>
        </row>
        <row r="115">
          <cell r="A115">
            <v>39559</v>
          </cell>
          <cell r="B115" t="str">
            <v>#Calc</v>
          </cell>
          <cell r="C115" t="e">
            <v>#DIV/0!</v>
          </cell>
          <cell r="D115" t="e">
            <v>#DIV/0!</v>
          </cell>
          <cell r="E115" t="e">
            <v>#DIV/0!</v>
          </cell>
        </row>
        <row r="116">
          <cell r="A116">
            <v>39560</v>
          </cell>
          <cell r="B116" t="str">
            <v>#Calc</v>
          </cell>
          <cell r="C116" t="e">
            <v>#DIV/0!</v>
          </cell>
          <cell r="D116" t="e">
            <v>#DIV/0!</v>
          </cell>
          <cell r="E116" t="e">
            <v>#DIV/0!</v>
          </cell>
        </row>
        <row r="117">
          <cell r="A117">
            <v>39561</v>
          </cell>
          <cell r="B117" t="str">
            <v>#Calc</v>
          </cell>
          <cell r="C117" t="e">
            <v>#DIV/0!</v>
          </cell>
          <cell r="D117" t="e">
            <v>#DIV/0!</v>
          </cell>
          <cell r="E117" t="e">
            <v>#DIV/0!</v>
          </cell>
        </row>
        <row r="118">
          <cell r="A118">
            <v>39562</v>
          </cell>
          <cell r="B118" t="str">
            <v>#Calc</v>
          </cell>
          <cell r="C118" t="e">
            <v>#DIV/0!</v>
          </cell>
          <cell r="D118" t="e">
            <v>#DIV/0!</v>
          </cell>
          <cell r="E118" t="e">
            <v>#DIV/0!</v>
          </cell>
        </row>
        <row r="119">
          <cell r="A119">
            <v>39563</v>
          </cell>
          <cell r="B119" t="str">
            <v>#Calc</v>
          </cell>
          <cell r="C119" t="e">
            <v>#DIV/0!</v>
          </cell>
          <cell r="D119" t="e">
            <v>#DIV/0!</v>
          </cell>
          <cell r="E119" t="e">
            <v>#DIV/0!</v>
          </cell>
        </row>
        <row r="120">
          <cell r="A120">
            <v>39564</v>
          </cell>
          <cell r="B120" t="str">
            <v>#Calc</v>
          </cell>
          <cell r="C120" t="e">
            <v>#DIV/0!</v>
          </cell>
          <cell r="D120" t="e">
            <v>#DIV/0!</v>
          </cell>
          <cell r="E120" t="e">
            <v>#DIV/0!</v>
          </cell>
        </row>
        <row r="121">
          <cell r="A121">
            <v>39565</v>
          </cell>
          <cell r="B121" t="str">
            <v>#Calc</v>
          </cell>
          <cell r="C121" t="e">
            <v>#DIV/0!</v>
          </cell>
          <cell r="D121" t="e">
            <v>#DIV/0!</v>
          </cell>
          <cell r="E121" t="e">
            <v>#DIV/0!</v>
          </cell>
        </row>
        <row r="122">
          <cell r="A122">
            <v>39566</v>
          </cell>
          <cell r="B122" t="str">
            <v>#Calc</v>
          </cell>
          <cell r="C122" t="e">
            <v>#DIV/0!</v>
          </cell>
          <cell r="D122" t="e">
            <v>#DIV/0!</v>
          </cell>
          <cell r="E122" t="e">
            <v>#DIV/0!</v>
          </cell>
        </row>
        <row r="123">
          <cell r="A123">
            <v>39567</v>
          </cell>
          <cell r="B123" t="str">
            <v>#Calc</v>
          </cell>
          <cell r="C123" t="e">
            <v>#DIV/0!</v>
          </cell>
          <cell r="D123" t="e">
            <v>#DIV/0!</v>
          </cell>
          <cell r="E123" t="e">
            <v>#DIV/0!</v>
          </cell>
        </row>
        <row r="124">
          <cell r="A124">
            <v>39568</v>
          </cell>
          <cell r="B124" t="str">
            <v>#Calc</v>
          </cell>
          <cell r="C124" t="e">
            <v>#DIV/0!</v>
          </cell>
          <cell r="D124" t="e">
            <v>#DIV/0!</v>
          </cell>
          <cell r="E124" t="e">
            <v>#DIV/0!</v>
          </cell>
        </row>
        <row r="125">
          <cell r="A125">
            <v>39569</v>
          </cell>
          <cell r="B125" t="str">
            <v>#Calc</v>
          </cell>
          <cell r="C125" t="e">
            <v>#DIV/0!</v>
          </cell>
          <cell r="D125" t="e">
            <v>#DIV/0!</v>
          </cell>
          <cell r="E125" t="e">
            <v>#DIV/0!</v>
          </cell>
        </row>
        <row r="126">
          <cell r="A126">
            <v>39570</v>
          </cell>
          <cell r="B126" t="str">
            <v>#Calc</v>
          </cell>
          <cell r="C126" t="e">
            <v>#DIV/0!</v>
          </cell>
          <cell r="D126" t="e">
            <v>#DIV/0!</v>
          </cell>
          <cell r="E126" t="e">
            <v>#DIV/0!</v>
          </cell>
        </row>
        <row r="127">
          <cell r="A127">
            <v>39571</v>
          </cell>
          <cell r="B127" t="str">
            <v>#Calc</v>
          </cell>
          <cell r="C127" t="e">
            <v>#DIV/0!</v>
          </cell>
          <cell r="D127" t="e">
            <v>#DIV/0!</v>
          </cell>
          <cell r="E127" t="e">
            <v>#DIV/0!</v>
          </cell>
        </row>
        <row r="128">
          <cell r="A128">
            <v>39572</v>
          </cell>
          <cell r="B128" t="str">
            <v>#Calc</v>
          </cell>
          <cell r="C128" t="e">
            <v>#DIV/0!</v>
          </cell>
          <cell r="D128" t="e">
            <v>#DIV/0!</v>
          </cell>
          <cell r="E128" t="e">
            <v>#DIV/0!</v>
          </cell>
        </row>
        <row r="129">
          <cell r="A129">
            <v>39573</v>
          </cell>
          <cell r="B129" t="str">
            <v>#Calc</v>
          </cell>
          <cell r="C129" t="e">
            <v>#DIV/0!</v>
          </cell>
          <cell r="D129" t="e">
            <v>#DIV/0!</v>
          </cell>
          <cell r="E129" t="e">
            <v>#DIV/0!</v>
          </cell>
        </row>
        <row r="130">
          <cell r="A130">
            <v>39574</v>
          </cell>
          <cell r="B130" t="str">
            <v>#Calc</v>
          </cell>
          <cell r="C130" t="e">
            <v>#DIV/0!</v>
          </cell>
          <cell r="D130" t="e">
            <v>#DIV/0!</v>
          </cell>
          <cell r="E130" t="e">
            <v>#DIV/0!</v>
          </cell>
        </row>
        <row r="131">
          <cell r="A131">
            <v>39575</v>
          </cell>
          <cell r="B131" t="str">
            <v>#Calc</v>
          </cell>
          <cell r="C131" t="e">
            <v>#DIV/0!</v>
          </cell>
          <cell r="D131" t="e">
            <v>#DIV/0!</v>
          </cell>
          <cell r="E131" t="e">
            <v>#DIV/0!</v>
          </cell>
        </row>
        <row r="132">
          <cell r="A132">
            <v>39576</v>
          </cell>
          <cell r="B132" t="str">
            <v>#Calc</v>
          </cell>
          <cell r="C132" t="e">
            <v>#DIV/0!</v>
          </cell>
          <cell r="D132" t="e">
            <v>#DIV/0!</v>
          </cell>
          <cell r="E132" t="e">
            <v>#DIV/0!</v>
          </cell>
        </row>
        <row r="133">
          <cell r="A133">
            <v>39577</v>
          </cell>
          <cell r="B133" t="str">
            <v>#Calc</v>
          </cell>
          <cell r="C133" t="e">
            <v>#DIV/0!</v>
          </cell>
          <cell r="D133" t="e">
            <v>#DIV/0!</v>
          </cell>
          <cell r="E133" t="e">
            <v>#DIV/0!</v>
          </cell>
        </row>
        <row r="134">
          <cell r="A134">
            <v>39578</v>
          </cell>
          <cell r="B134" t="str">
            <v>#Calc</v>
          </cell>
          <cell r="C134" t="e">
            <v>#DIV/0!</v>
          </cell>
          <cell r="D134" t="e">
            <v>#DIV/0!</v>
          </cell>
          <cell r="E134" t="e">
            <v>#DIV/0!</v>
          </cell>
        </row>
        <row r="135">
          <cell r="A135">
            <v>39579</v>
          </cell>
          <cell r="B135" t="str">
            <v>#Calc</v>
          </cell>
          <cell r="C135" t="e">
            <v>#DIV/0!</v>
          </cell>
          <cell r="D135" t="e">
            <v>#DIV/0!</v>
          </cell>
          <cell r="E135" t="e">
            <v>#DIV/0!</v>
          </cell>
        </row>
        <row r="136">
          <cell r="A136">
            <v>39580</v>
          </cell>
          <cell r="B136" t="str">
            <v>#Calc</v>
          </cell>
          <cell r="C136" t="e">
            <v>#DIV/0!</v>
          </cell>
          <cell r="D136" t="e">
            <v>#DIV/0!</v>
          </cell>
          <cell r="E136" t="e">
            <v>#DIV/0!</v>
          </cell>
        </row>
        <row r="137">
          <cell r="A137">
            <v>39581</v>
          </cell>
          <cell r="B137" t="str">
            <v>#Calc</v>
          </cell>
          <cell r="C137" t="e">
            <v>#DIV/0!</v>
          </cell>
          <cell r="D137" t="e">
            <v>#DIV/0!</v>
          </cell>
          <cell r="E137" t="e">
            <v>#DIV/0!</v>
          </cell>
        </row>
        <row r="138">
          <cell r="A138">
            <v>39582</v>
          </cell>
          <cell r="B138" t="str">
            <v>#Calc</v>
          </cell>
          <cell r="C138" t="e">
            <v>#DIV/0!</v>
          </cell>
          <cell r="D138" t="e">
            <v>#DIV/0!</v>
          </cell>
          <cell r="E138" t="e">
            <v>#DIV/0!</v>
          </cell>
        </row>
        <row r="139">
          <cell r="A139">
            <v>39583</v>
          </cell>
          <cell r="B139" t="str">
            <v>#Calc</v>
          </cell>
          <cell r="C139" t="e">
            <v>#DIV/0!</v>
          </cell>
          <cell r="D139" t="e">
            <v>#DIV/0!</v>
          </cell>
          <cell r="E139" t="e">
            <v>#DIV/0!</v>
          </cell>
        </row>
        <row r="140">
          <cell r="A140">
            <v>39584</v>
          </cell>
          <cell r="B140" t="str">
            <v>#Calc</v>
          </cell>
          <cell r="C140" t="e">
            <v>#DIV/0!</v>
          </cell>
          <cell r="D140" t="e">
            <v>#DIV/0!</v>
          </cell>
          <cell r="E140" t="e">
            <v>#DIV/0!</v>
          </cell>
        </row>
        <row r="141">
          <cell r="A141">
            <v>39585</v>
          </cell>
          <cell r="B141" t="str">
            <v>#Calc</v>
          </cell>
          <cell r="C141" t="e">
            <v>#DIV/0!</v>
          </cell>
          <cell r="D141" t="e">
            <v>#DIV/0!</v>
          </cell>
          <cell r="E141" t="e">
            <v>#DIV/0!</v>
          </cell>
        </row>
        <row r="142">
          <cell r="A142">
            <v>39586</v>
          </cell>
          <cell r="B142" t="str">
            <v>#Calc</v>
          </cell>
          <cell r="C142" t="e">
            <v>#DIV/0!</v>
          </cell>
          <cell r="D142" t="e">
            <v>#DIV/0!</v>
          </cell>
          <cell r="E142" t="e">
            <v>#DIV/0!</v>
          </cell>
        </row>
        <row r="143">
          <cell r="A143">
            <v>39587</v>
          </cell>
          <cell r="B143" t="str">
            <v>#Calc</v>
          </cell>
          <cell r="C143" t="e">
            <v>#DIV/0!</v>
          </cell>
          <cell r="D143" t="e">
            <v>#DIV/0!</v>
          </cell>
          <cell r="E143" t="e">
            <v>#DIV/0!</v>
          </cell>
        </row>
        <row r="144">
          <cell r="A144">
            <v>39588</v>
          </cell>
          <cell r="B144" t="str">
            <v>#Calc</v>
          </cell>
          <cell r="C144" t="e">
            <v>#DIV/0!</v>
          </cell>
          <cell r="D144" t="e">
            <v>#DIV/0!</v>
          </cell>
          <cell r="E144" t="e">
            <v>#DIV/0!</v>
          </cell>
        </row>
        <row r="145">
          <cell r="A145">
            <v>39589</v>
          </cell>
          <cell r="B145" t="str">
            <v>#Calc</v>
          </cell>
          <cell r="C145" t="e">
            <v>#DIV/0!</v>
          </cell>
          <cell r="D145" t="e">
            <v>#DIV/0!</v>
          </cell>
          <cell r="E145" t="e">
            <v>#DIV/0!</v>
          </cell>
        </row>
        <row r="146">
          <cell r="A146">
            <v>39590</v>
          </cell>
          <cell r="B146" t="str">
            <v>#Calc</v>
          </cell>
          <cell r="C146" t="e">
            <v>#DIV/0!</v>
          </cell>
          <cell r="D146" t="e">
            <v>#DIV/0!</v>
          </cell>
          <cell r="E146" t="e">
            <v>#DIV/0!</v>
          </cell>
        </row>
        <row r="147">
          <cell r="A147">
            <v>39591</v>
          </cell>
          <cell r="B147" t="str">
            <v>#Calc</v>
          </cell>
          <cell r="C147" t="e">
            <v>#DIV/0!</v>
          </cell>
          <cell r="D147" t="e">
            <v>#DIV/0!</v>
          </cell>
          <cell r="E147" t="e">
            <v>#DIV/0!</v>
          </cell>
        </row>
        <row r="148">
          <cell r="A148">
            <v>39592</v>
          </cell>
          <cell r="B148" t="str">
            <v>#Calc</v>
          </cell>
          <cell r="C148" t="e">
            <v>#DIV/0!</v>
          </cell>
          <cell r="D148" t="e">
            <v>#DIV/0!</v>
          </cell>
          <cell r="E148" t="e">
            <v>#DIV/0!</v>
          </cell>
        </row>
        <row r="149">
          <cell r="A149">
            <v>39593</v>
          </cell>
          <cell r="B149" t="str">
            <v>#Calc</v>
          </cell>
          <cell r="C149" t="e">
            <v>#DIV/0!</v>
          </cell>
          <cell r="D149" t="e">
            <v>#DIV/0!</v>
          </cell>
          <cell r="E149" t="e">
            <v>#DIV/0!</v>
          </cell>
        </row>
        <row r="150">
          <cell r="A150">
            <v>39594</v>
          </cell>
          <cell r="B150" t="str">
            <v>#Calc</v>
          </cell>
          <cell r="C150" t="e">
            <v>#DIV/0!</v>
          </cell>
          <cell r="D150" t="e">
            <v>#DIV/0!</v>
          </cell>
          <cell r="E150" t="e">
            <v>#DIV/0!</v>
          </cell>
        </row>
        <row r="151">
          <cell r="A151">
            <v>39595</v>
          </cell>
          <cell r="B151" t="str">
            <v>#Calc</v>
          </cell>
          <cell r="C151" t="e">
            <v>#DIV/0!</v>
          </cell>
          <cell r="D151" t="e">
            <v>#DIV/0!</v>
          </cell>
          <cell r="E151" t="e">
            <v>#DIV/0!</v>
          </cell>
        </row>
        <row r="152">
          <cell r="A152">
            <v>39596</v>
          </cell>
          <cell r="B152" t="str">
            <v>#Calc</v>
          </cell>
          <cell r="C152" t="e">
            <v>#DIV/0!</v>
          </cell>
          <cell r="D152" t="e">
            <v>#DIV/0!</v>
          </cell>
          <cell r="E152" t="e">
            <v>#DIV/0!</v>
          </cell>
        </row>
        <row r="153">
          <cell r="A153">
            <v>39597</v>
          </cell>
          <cell r="B153" t="str">
            <v>#Calc</v>
          </cell>
          <cell r="C153" t="e">
            <v>#DIV/0!</v>
          </cell>
          <cell r="D153" t="e">
            <v>#DIV/0!</v>
          </cell>
          <cell r="E153" t="e">
            <v>#DIV/0!</v>
          </cell>
        </row>
        <row r="154">
          <cell r="A154">
            <v>39598</v>
          </cell>
          <cell r="B154" t="str">
            <v>#Calc</v>
          </cell>
          <cell r="C154" t="e">
            <v>#DIV/0!</v>
          </cell>
          <cell r="D154" t="e">
            <v>#DIV/0!</v>
          </cell>
          <cell r="E154" t="e">
            <v>#DIV/0!</v>
          </cell>
        </row>
        <row r="155">
          <cell r="A155">
            <v>39599</v>
          </cell>
          <cell r="B155" t="str">
            <v>#Calc</v>
          </cell>
          <cell r="C155" t="e">
            <v>#DIV/0!</v>
          </cell>
          <cell r="D155" t="e">
            <v>#DIV/0!</v>
          </cell>
          <cell r="E155" t="e">
            <v>#DIV/0!</v>
          </cell>
        </row>
        <row r="156">
          <cell r="A156">
            <v>39600</v>
          </cell>
          <cell r="B156" t="str">
            <v>#Calc</v>
          </cell>
          <cell r="C156" t="e">
            <v>#DIV/0!</v>
          </cell>
          <cell r="D156" t="e">
            <v>#DIV/0!</v>
          </cell>
          <cell r="E156" t="e">
            <v>#DIV/0!</v>
          </cell>
        </row>
        <row r="157">
          <cell r="A157">
            <v>39601</v>
          </cell>
          <cell r="B157" t="str">
            <v>#Calc</v>
          </cell>
          <cell r="C157" t="e">
            <v>#DIV/0!</v>
          </cell>
          <cell r="D157" t="e">
            <v>#DIV/0!</v>
          </cell>
          <cell r="E157" t="e">
            <v>#DIV/0!</v>
          </cell>
        </row>
        <row r="158">
          <cell r="A158">
            <v>39602</v>
          </cell>
          <cell r="B158" t="str">
            <v>#Calc</v>
          </cell>
          <cell r="C158" t="e">
            <v>#DIV/0!</v>
          </cell>
          <cell r="D158" t="e">
            <v>#DIV/0!</v>
          </cell>
          <cell r="E158" t="e">
            <v>#DIV/0!</v>
          </cell>
        </row>
        <row r="159">
          <cell r="A159">
            <v>39603</v>
          </cell>
          <cell r="B159" t="str">
            <v>#Calc</v>
          </cell>
          <cell r="C159" t="e">
            <v>#DIV/0!</v>
          </cell>
          <cell r="D159" t="e">
            <v>#DIV/0!</v>
          </cell>
          <cell r="E159" t="e">
            <v>#DIV/0!</v>
          </cell>
        </row>
        <row r="160">
          <cell r="A160">
            <v>39604</v>
          </cell>
          <cell r="B160" t="str">
            <v>#Calc</v>
          </cell>
          <cell r="C160" t="e">
            <v>#DIV/0!</v>
          </cell>
          <cell r="D160" t="e">
            <v>#DIV/0!</v>
          </cell>
          <cell r="E160" t="e">
            <v>#DIV/0!</v>
          </cell>
        </row>
        <row r="161">
          <cell r="A161">
            <v>39605</v>
          </cell>
          <cell r="B161" t="str">
            <v>#Calc</v>
          </cell>
          <cell r="C161" t="e">
            <v>#DIV/0!</v>
          </cell>
          <cell r="D161" t="e">
            <v>#DIV/0!</v>
          </cell>
          <cell r="E161" t="e">
            <v>#DIV/0!</v>
          </cell>
        </row>
        <row r="162">
          <cell r="A162">
            <v>39606</v>
          </cell>
          <cell r="B162" t="str">
            <v>#Calc</v>
          </cell>
          <cell r="C162" t="e">
            <v>#DIV/0!</v>
          </cell>
          <cell r="D162" t="e">
            <v>#DIV/0!</v>
          </cell>
          <cell r="E162" t="e">
            <v>#DIV/0!</v>
          </cell>
        </row>
        <row r="163">
          <cell r="A163">
            <v>39607</v>
          </cell>
          <cell r="B163" t="str">
            <v>#Calc</v>
          </cell>
          <cell r="C163" t="e">
            <v>#DIV/0!</v>
          </cell>
          <cell r="D163" t="e">
            <v>#DIV/0!</v>
          </cell>
          <cell r="E163" t="e">
            <v>#DIV/0!</v>
          </cell>
        </row>
        <row r="164">
          <cell r="A164">
            <v>39608</v>
          </cell>
          <cell r="B164" t="str">
            <v>#Calc</v>
          </cell>
          <cell r="C164" t="e">
            <v>#DIV/0!</v>
          </cell>
          <cell r="D164" t="e">
            <v>#DIV/0!</v>
          </cell>
          <cell r="E164" t="e">
            <v>#DIV/0!</v>
          </cell>
        </row>
        <row r="165">
          <cell r="A165">
            <v>39609</v>
          </cell>
          <cell r="B165" t="str">
            <v>#Calc</v>
          </cell>
          <cell r="C165" t="e">
            <v>#DIV/0!</v>
          </cell>
          <cell r="D165" t="e">
            <v>#DIV/0!</v>
          </cell>
          <cell r="E165" t="e">
            <v>#DIV/0!</v>
          </cell>
        </row>
        <row r="166">
          <cell r="A166">
            <v>39610</v>
          </cell>
          <cell r="B166" t="str">
            <v>#Calc</v>
          </cell>
          <cell r="C166" t="e">
            <v>#DIV/0!</v>
          </cell>
          <cell r="D166" t="e">
            <v>#DIV/0!</v>
          </cell>
          <cell r="E166" t="e">
            <v>#DIV/0!</v>
          </cell>
        </row>
        <row r="167">
          <cell r="A167">
            <v>39611</v>
          </cell>
          <cell r="B167" t="str">
            <v>#Calc</v>
          </cell>
          <cell r="C167" t="e">
            <v>#DIV/0!</v>
          </cell>
          <cell r="D167" t="e">
            <v>#DIV/0!</v>
          </cell>
          <cell r="E167" t="e">
            <v>#DIV/0!</v>
          </cell>
        </row>
        <row r="168">
          <cell r="A168">
            <v>39612</v>
          </cell>
          <cell r="B168" t="str">
            <v>#Calc</v>
          </cell>
          <cell r="C168" t="e">
            <v>#DIV/0!</v>
          </cell>
          <cell r="D168" t="e">
            <v>#DIV/0!</v>
          </cell>
          <cell r="E168" t="e">
            <v>#DIV/0!</v>
          </cell>
        </row>
        <row r="169">
          <cell r="A169">
            <v>39613</v>
          </cell>
          <cell r="B169" t="str">
            <v>#Calc</v>
          </cell>
          <cell r="C169" t="e">
            <v>#DIV/0!</v>
          </cell>
          <cell r="D169" t="e">
            <v>#DIV/0!</v>
          </cell>
          <cell r="E169" t="e">
            <v>#DIV/0!</v>
          </cell>
        </row>
        <row r="170">
          <cell r="A170">
            <v>39614</v>
          </cell>
          <cell r="B170" t="str">
            <v>#Calc</v>
          </cell>
          <cell r="C170" t="e">
            <v>#DIV/0!</v>
          </cell>
          <cell r="D170" t="e">
            <v>#DIV/0!</v>
          </cell>
          <cell r="E170" t="e">
            <v>#DIV/0!</v>
          </cell>
        </row>
        <row r="171">
          <cell r="A171">
            <v>39615</v>
          </cell>
          <cell r="B171" t="str">
            <v>#Calc</v>
          </cell>
          <cell r="C171" t="e">
            <v>#DIV/0!</v>
          </cell>
          <cell r="D171" t="e">
            <v>#DIV/0!</v>
          </cell>
          <cell r="E171" t="e">
            <v>#DIV/0!</v>
          </cell>
        </row>
        <row r="172">
          <cell r="A172">
            <v>39616</v>
          </cell>
          <cell r="B172" t="str">
            <v>#Calc</v>
          </cell>
          <cell r="C172" t="e">
            <v>#DIV/0!</v>
          </cell>
          <cell r="D172" t="e">
            <v>#DIV/0!</v>
          </cell>
          <cell r="E172" t="e">
            <v>#DIV/0!</v>
          </cell>
        </row>
        <row r="173">
          <cell r="A173">
            <v>39617</v>
          </cell>
          <cell r="B173" t="str">
            <v>#Calc</v>
          </cell>
          <cell r="C173" t="e">
            <v>#DIV/0!</v>
          </cell>
          <cell r="D173" t="e">
            <v>#DIV/0!</v>
          </cell>
          <cell r="E173" t="e">
            <v>#DIV/0!</v>
          </cell>
        </row>
        <row r="174">
          <cell r="A174">
            <v>39618</v>
          </cell>
          <cell r="B174" t="str">
            <v>#Calc</v>
          </cell>
          <cell r="C174" t="e">
            <v>#DIV/0!</v>
          </cell>
          <cell r="D174" t="e">
            <v>#DIV/0!</v>
          </cell>
          <cell r="E174" t="e">
            <v>#DIV/0!</v>
          </cell>
        </row>
        <row r="175">
          <cell r="A175">
            <v>39619</v>
          </cell>
          <cell r="B175" t="str">
            <v>#Calc</v>
          </cell>
          <cell r="C175" t="e">
            <v>#DIV/0!</v>
          </cell>
          <cell r="D175" t="e">
            <v>#DIV/0!</v>
          </cell>
          <cell r="E175" t="e">
            <v>#DIV/0!</v>
          </cell>
        </row>
        <row r="176">
          <cell r="A176">
            <v>39620</v>
          </cell>
          <cell r="B176" t="str">
            <v>#Calc</v>
          </cell>
          <cell r="C176" t="e">
            <v>#DIV/0!</v>
          </cell>
          <cell r="D176" t="e">
            <v>#DIV/0!</v>
          </cell>
          <cell r="E176" t="e">
            <v>#DIV/0!</v>
          </cell>
        </row>
        <row r="177">
          <cell r="A177">
            <v>39621</v>
          </cell>
          <cell r="B177" t="str">
            <v>#Calc</v>
          </cell>
          <cell r="C177" t="e">
            <v>#DIV/0!</v>
          </cell>
          <cell r="D177" t="e">
            <v>#DIV/0!</v>
          </cell>
          <cell r="E177" t="e">
            <v>#DIV/0!</v>
          </cell>
        </row>
        <row r="178">
          <cell r="A178">
            <v>39622</v>
          </cell>
          <cell r="B178" t="str">
            <v>#Calc</v>
          </cell>
          <cell r="C178" t="e">
            <v>#DIV/0!</v>
          </cell>
          <cell r="D178" t="e">
            <v>#DIV/0!</v>
          </cell>
          <cell r="E178" t="e">
            <v>#DIV/0!</v>
          </cell>
        </row>
        <row r="179">
          <cell r="A179">
            <v>39623</v>
          </cell>
          <cell r="B179" t="str">
            <v>#Calc</v>
          </cell>
          <cell r="C179" t="e">
            <v>#DIV/0!</v>
          </cell>
          <cell r="D179" t="e">
            <v>#DIV/0!</v>
          </cell>
          <cell r="E179" t="e">
            <v>#DIV/0!</v>
          </cell>
        </row>
        <row r="180">
          <cell r="A180">
            <v>39624</v>
          </cell>
          <cell r="B180" t="str">
            <v>#Calc</v>
          </cell>
          <cell r="C180" t="e">
            <v>#DIV/0!</v>
          </cell>
          <cell r="D180" t="e">
            <v>#DIV/0!</v>
          </cell>
          <cell r="E180" t="e">
            <v>#DIV/0!</v>
          </cell>
        </row>
        <row r="181">
          <cell r="A181">
            <v>39625</v>
          </cell>
          <cell r="B181" t="str">
            <v>#Calc</v>
          </cell>
          <cell r="C181" t="e">
            <v>#DIV/0!</v>
          </cell>
          <cell r="D181" t="e">
            <v>#DIV/0!</v>
          </cell>
          <cell r="E181" t="e">
            <v>#DIV/0!</v>
          </cell>
        </row>
        <row r="182">
          <cell r="A182">
            <v>39626</v>
          </cell>
          <cell r="B182" t="str">
            <v>#Calc</v>
          </cell>
          <cell r="C182" t="e">
            <v>#DIV/0!</v>
          </cell>
          <cell r="D182" t="e">
            <v>#DIV/0!</v>
          </cell>
          <cell r="E182" t="e">
            <v>#DIV/0!</v>
          </cell>
        </row>
        <row r="183">
          <cell r="A183">
            <v>39627</v>
          </cell>
          <cell r="B183" t="str">
            <v>#Calc</v>
          </cell>
          <cell r="C183" t="e">
            <v>#DIV/0!</v>
          </cell>
          <cell r="D183" t="e">
            <v>#DIV/0!</v>
          </cell>
          <cell r="E183" t="e">
            <v>#DIV/0!</v>
          </cell>
        </row>
        <row r="184">
          <cell r="A184">
            <v>39628</v>
          </cell>
          <cell r="B184" t="str">
            <v>#Calc</v>
          </cell>
          <cell r="C184" t="e">
            <v>#DIV/0!</v>
          </cell>
          <cell r="D184" t="e">
            <v>#DIV/0!</v>
          </cell>
          <cell r="E184" t="e">
            <v>#DIV/0!</v>
          </cell>
        </row>
        <row r="185">
          <cell r="A185">
            <v>39629</v>
          </cell>
          <cell r="B185" t="str">
            <v>#Calc</v>
          </cell>
          <cell r="C185" t="e">
            <v>#DIV/0!</v>
          </cell>
          <cell r="D185" t="e">
            <v>#DIV/0!</v>
          </cell>
          <cell r="E185" t="e">
            <v>#DIV/0!</v>
          </cell>
        </row>
        <row r="186">
          <cell r="A186">
            <v>39630</v>
          </cell>
          <cell r="B186" t="str">
            <v>#Calc</v>
          </cell>
          <cell r="C186" t="e">
            <v>#DIV/0!</v>
          </cell>
          <cell r="D186" t="e">
            <v>#DIV/0!</v>
          </cell>
          <cell r="E186" t="e">
            <v>#DIV/0!</v>
          </cell>
        </row>
        <row r="187">
          <cell r="A187">
            <v>39631</v>
          </cell>
          <cell r="B187" t="str">
            <v>#Calc</v>
          </cell>
          <cell r="C187" t="e">
            <v>#DIV/0!</v>
          </cell>
          <cell r="D187" t="e">
            <v>#DIV/0!</v>
          </cell>
          <cell r="E187" t="e">
            <v>#DIV/0!</v>
          </cell>
        </row>
        <row r="188">
          <cell r="A188">
            <v>39632</v>
          </cell>
          <cell r="B188" t="str">
            <v>#Calc</v>
          </cell>
          <cell r="C188" t="e">
            <v>#DIV/0!</v>
          </cell>
          <cell r="D188" t="e">
            <v>#DIV/0!</v>
          </cell>
          <cell r="E188" t="e">
            <v>#DIV/0!</v>
          </cell>
        </row>
        <row r="189">
          <cell r="A189">
            <v>39633</v>
          </cell>
          <cell r="B189" t="str">
            <v>#Calc</v>
          </cell>
          <cell r="C189" t="e">
            <v>#DIV/0!</v>
          </cell>
          <cell r="D189" t="e">
            <v>#DIV/0!</v>
          </cell>
          <cell r="E189" t="e">
            <v>#DIV/0!</v>
          </cell>
        </row>
        <row r="190">
          <cell r="A190">
            <v>39634</v>
          </cell>
          <cell r="B190" t="str">
            <v>#Calc</v>
          </cell>
          <cell r="C190" t="e">
            <v>#DIV/0!</v>
          </cell>
          <cell r="D190" t="e">
            <v>#DIV/0!</v>
          </cell>
          <cell r="E190" t="e">
            <v>#DIV/0!</v>
          </cell>
        </row>
        <row r="191">
          <cell r="A191">
            <v>39635</v>
          </cell>
          <cell r="B191" t="str">
            <v>#Calc</v>
          </cell>
          <cell r="C191" t="e">
            <v>#DIV/0!</v>
          </cell>
          <cell r="D191" t="e">
            <v>#DIV/0!</v>
          </cell>
          <cell r="E191" t="e">
            <v>#DIV/0!</v>
          </cell>
        </row>
        <row r="192">
          <cell r="A192">
            <v>39636</v>
          </cell>
          <cell r="B192" t="str">
            <v>#Calc</v>
          </cell>
          <cell r="C192" t="e">
            <v>#DIV/0!</v>
          </cell>
          <cell r="D192" t="e">
            <v>#DIV/0!</v>
          </cell>
          <cell r="E192" t="e">
            <v>#DIV/0!</v>
          </cell>
        </row>
        <row r="193">
          <cell r="A193">
            <v>39637</v>
          </cell>
          <cell r="B193" t="str">
            <v>#Calc</v>
          </cell>
          <cell r="C193" t="e">
            <v>#DIV/0!</v>
          </cell>
          <cell r="D193" t="e">
            <v>#DIV/0!</v>
          </cell>
          <cell r="E193" t="e">
            <v>#DIV/0!</v>
          </cell>
        </row>
        <row r="194">
          <cell r="A194">
            <v>39638</v>
          </cell>
          <cell r="B194" t="str">
            <v>#Calc</v>
          </cell>
          <cell r="C194" t="e">
            <v>#DIV/0!</v>
          </cell>
          <cell r="D194" t="e">
            <v>#DIV/0!</v>
          </cell>
          <cell r="E194" t="e">
            <v>#DIV/0!</v>
          </cell>
        </row>
        <row r="195">
          <cell r="A195">
            <v>39639</v>
          </cell>
          <cell r="B195" t="str">
            <v>#Calc</v>
          </cell>
          <cell r="C195" t="e">
            <v>#DIV/0!</v>
          </cell>
          <cell r="D195" t="e">
            <v>#DIV/0!</v>
          </cell>
          <cell r="E195" t="e">
            <v>#DIV/0!</v>
          </cell>
        </row>
        <row r="196">
          <cell r="A196">
            <v>39640</v>
          </cell>
          <cell r="B196" t="str">
            <v>#Calc</v>
          </cell>
          <cell r="C196" t="e">
            <v>#DIV/0!</v>
          </cell>
          <cell r="D196" t="e">
            <v>#DIV/0!</v>
          </cell>
          <cell r="E196" t="e">
            <v>#DIV/0!</v>
          </cell>
        </row>
        <row r="197">
          <cell r="A197">
            <v>39641</v>
          </cell>
          <cell r="B197" t="str">
            <v>#Calc</v>
          </cell>
          <cell r="C197" t="e">
            <v>#DIV/0!</v>
          </cell>
          <cell r="D197" t="e">
            <v>#DIV/0!</v>
          </cell>
          <cell r="E197" t="e">
            <v>#DIV/0!</v>
          </cell>
        </row>
        <row r="198">
          <cell r="A198">
            <v>39642</v>
          </cell>
          <cell r="B198" t="str">
            <v>#Calc</v>
          </cell>
          <cell r="C198" t="e">
            <v>#DIV/0!</v>
          </cell>
          <cell r="D198" t="e">
            <v>#DIV/0!</v>
          </cell>
          <cell r="E198" t="e">
            <v>#DIV/0!</v>
          </cell>
        </row>
        <row r="199">
          <cell r="A199">
            <v>39643</v>
          </cell>
          <cell r="B199" t="str">
            <v>#Calc</v>
          </cell>
          <cell r="C199" t="e">
            <v>#DIV/0!</v>
          </cell>
          <cell r="D199" t="e">
            <v>#DIV/0!</v>
          </cell>
          <cell r="E199" t="e">
            <v>#DIV/0!</v>
          </cell>
        </row>
        <row r="200">
          <cell r="A200">
            <v>39644</v>
          </cell>
          <cell r="B200" t="str">
            <v>#Calc</v>
          </cell>
          <cell r="C200" t="e">
            <v>#DIV/0!</v>
          </cell>
          <cell r="D200" t="e">
            <v>#DIV/0!</v>
          </cell>
          <cell r="E200" t="e">
            <v>#DIV/0!</v>
          </cell>
        </row>
        <row r="201">
          <cell r="A201">
            <v>39645</v>
          </cell>
          <cell r="B201" t="str">
            <v>#Calc</v>
          </cell>
          <cell r="C201" t="e">
            <v>#DIV/0!</v>
          </cell>
          <cell r="D201" t="e">
            <v>#DIV/0!</v>
          </cell>
          <cell r="E201" t="e">
            <v>#DIV/0!</v>
          </cell>
        </row>
        <row r="202">
          <cell r="A202">
            <v>39646</v>
          </cell>
          <cell r="B202" t="str">
            <v>#Calc</v>
          </cell>
          <cell r="C202" t="e">
            <v>#DIV/0!</v>
          </cell>
          <cell r="D202" t="e">
            <v>#DIV/0!</v>
          </cell>
          <cell r="E202" t="e">
            <v>#DIV/0!</v>
          </cell>
        </row>
        <row r="203">
          <cell r="A203">
            <v>39647</v>
          </cell>
          <cell r="B203" t="str">
            <v>#Calc</v>
          </cell>
          <cell r="C203" t="e">
            <v>#DIV/0!</v>
          </cell>
          <cell r="D203" t="e">
            <v>#DIV/0!</v>
          </cell>
          <cell r="E203" t="e">
            <v>#DIV/0!</v>
          </cell>
        </row>
        <row r="204">
          <cell r="A204">
            <v>39648</v>
          </cell>
          <cell r="B204" t="str">
            <v>#Calc</v>
          </cell>
          <cell r="C204" t="e">
            <v>#DIV/0!</v>
          </cell>
          <cell r="D204" t="e">
            <v>#DIV/0!</v>
          </cell>
          <cell r="E204" t="e">
            <v>#DIV/0!</v>
          </cell>
        </row>
        <row r="205">
          <cell r="A205">
            <v>39649</v>
          </cell>
          <cell r="B205" t="str">
            <v>#Calc</v>
          </cell>
          <cell r="C205" t="e">
            <v>#DIV/0!</v>
          </cell>
          <cell r="D205" t="e">
            <v>#DIV/0!</v>
          </cell>
          <cell r="E205" t="e">
            <v>#DIV/0!</v>
          </cell>
        </row>
        <row r="206">
          <cell r="A206">
            <v>39650</v>
          </cell>
          <cell r="B206" t="str">
            <v>#Calc</v>
          </cell>
          <cell r="C206" t="e">
            <v>#DIV/0!</v>
          </cell>
          <cell r="D206" t="e">
            <v>#DIV/0!</v>
          </cell>
          <cell r="E206" t="e">
            <v>#DIV/0!</v>
          </cell>
        </row>
        <row r="207">
          <cell r="A207">
            <v>39651</v>
          </cell>
          <cell r="B207" t="str">
            <v>#Calc</v>
          </cell>
          <cell r="C207" t="e">
            <v>#DIV/0!</v>
          </cell>
          <cell r="D207" t="e">
            <v>#DIV/0!</v>
          </cell>
          <cell r="E207" t="e">
            <v>#DIV/0!</v>
          </cell>
        </row>
        <row r="208">
          <cell r="A208">
            <v>39652</v>
          </cell>
          <cell r="B208" t="str">
            <v>#Calc</v>
          </cell>
          <cell r="C208" t="e">
            <v>#DIV/0!</v>
          </cell>
          <cell r="D208" t="e">
            <v>#DIV/0!</v>
          </cell>
          <cell r="E208" t="e">
            <v>#DIV/0!</v>
          </cell>
        </row>
        <row r="209">
          <cell r="A209">
            <v>39653</v>
          </cell>
          <cell r="B209" t="str">
            <v>#Calc</v>
          </cell>
          <cell r="C209" t="e">
            <v>#DIV/0!</v>
          </cell>
          <cell r="D209" t="e">
            <v>#DIV/0!</v>
          </cell>
          <cell r="E209" t="e">
            <v>#DIV/0!</v>
          </cell>
        </row>
        <row r="210">
          <cell r="A210">
            <v>39654</v>
          </cell>
          <cell r="B210" t="str">
            <v>#Calc</v>
          </cell>
          <cell r="C210" t="e">
            <v>#DIV/0!</v>
          </cell>
          <cell r="D210" t="e">
            <v>#DIV/0!</v>
          </cell>
          <cell r="E210" t="e">
            <v>#DIV/0!</v>
          </cell>
        </row>
        <row r="211">
          <cell r="A211">
            <v>39655</v>
          </cell>
          <cell r="B211" t="str">
            <v>#Calc</v>
          </cell>
          <cell r="C211" t="e">
            <v>#DIV/0!</v>
          </cell>
          <cell r="D211" t="e">
            <v>#DIV/0!</v>
          </cell>
          <cell r="E211" t="e">
            <v>#DIV/0!</v>
          </cell>
        </row>
        <row r="212">
          <cell r="A212">
            <v>39656</v>
          </cell>
          <cell r="B212" t="str">
            <v>#Calc</v>
          </cell>
          <cell r="C212" t="e">
            <v>#DIV/0!</v>
          </cell>
          <cell r="D212" t="e">
            <v>#DIV/0!</v>
          </cell>
          <cell r="E212" t="e">
            <v>#DIV/0!</v>
          </cell>
        </row>
        <row r="213">
          <cell r="A213">
            <v>39657</v>
          </cell>
          <cell r="B213" t="str">
            <v>#Calc</v>
          </cell>
          <cell r="C213" t="e">
            <v>#DIV/0!</v>
          </cell>
          <cell r="D213" t="e">
            <v>#DIV/0!</v>
          </cell>
          <cell r="E213" t="e">
            <v>#DIV/0!</v>
          </cell>
        </row>
        <row r="214">
          <cell r="A214">
            <v>39658</v>
          </cell>
          <cell r="B214" t="str">
            <v>#Calc</v>
          </cell>
          <cell r="C214" t="e">
            <v>#DIV/0!</v>
          </cell>
          <cell r="D214" t="e">
            <v>#DIV/0!</v>
          </cell>
          <cell r="E214" t="e">
            <v>#DIV/0!</v>
          </cell>
        </row>
        <row r="215">
          <cell r="A215">
            <v>39659</v>
          </cell>
          <cell r="B215" t="str">
            <v>#Calc</v>
          </cell>
          <cell r="C215" t="e">
            <v>#DIV/0!</v>
          </cell>
          <cell r="D215" t="e">
            <v>#DIV/0!</v>
          </cell>
          <cell r="E215" t="e">
            <v>#DIV/0!</v>
          </cell>
        </row>
        <row r="216">
          <cell r="A216">
            <v>39660</v>
          </cell>
          <cell r="B216" t="str">
            <v>#Calc</v>
          </cell>
          <cell r="C216" t="e">
            <v>#DIV/0!</v>
          </cell>
          <cell r="D216" t="e">
            <v>#DIV/0!</v>
          </cell>
          <cell r="E216" t="e">
            <v>#DIV/0!</v>
          </cell>
        </row>
        <row r="217">
          <cell r="A217">
            <v>39661</v>
          </cell>
          <cell r="B217" t="str">
            <v>#Calc</v>
          </cell>
          <cell r="C217" t="e">
            <v>#DIV/0!</v>
          </cell>
          <cell r="D217" t="e">
            <v>#DIV/0!</v>
          </cell>
          <cell r="E217" t="e">
            <v>#DIV/0!</v>
          </cell>
        </row>
        <row r="218">
          <cell r="A218">
            <v>39662</v>
          </cell>
          <cell r="B218" t="str">
            <v>#Calc</v>
          </cell>
          <cell r="C218" t="e">
            <v>#DIV/0!</v>
          </cell>
          <cell r="D218" t="e">
            <v>#DIV/0!</v>
          </cell>
          <cell r="E218" t="e">
            <v>#DIV/0!</v>
          </cell>
        </row>
        <row r="219">
          <cell r="A219">
            <v>39663</v>
          </cell>
          <cell r="B219" t="str">
            <v>#Calc</v>
          </cell>
          <cell r="C219" t="e">
            <v>#DIV/0!</v>
          </cell>
          <cell r="D219" t="e">
            <v>#DIV/0!</v>
          </cell>
          <cell r="E219" t="e">
            <v>#DIV/0!</v>
          </cell>
        </row>
        <row r="220">
          <cell r="A220">
            <v>39664</v>
          </cell>
          <cell r="B220" t="str">
            <v>#Calc</v>
          </cell>
          <cell r="C220" t="e">
            <v>#DIV/0!</v>
          </cell>
          <cell r="D220" t="e">
            <v>#DIV/0!</v>
          </cell>
          <cell r="E220" t="e">
            <v>#DIV/0!</v>
          </cell>
        </row>
        <row r="221">
          <cell r="A221">
            <v>39665</v>
          </cell>
          <cell r="B221" t="str">
            <v>#Calc</v>
          </cell>
          <cell r="C221" t="e">
            <v>#DIV/0!</v>
          </cell>
          <cell r="D221" t="e">
            <v>#DIV/0!</v>
          </cell>
          <cell r="E221" t="e">
            <v>#DIV/0!</v>
          </cell>
        </row>
        <row r="222">
          <cell r="A222">
            <v>39666</v>
          </cell>
          <cell r="B222" t="str">
            <v>#Calc</v>
          </cell>
          <cell r="C222" t="e">
            <v>#DIV/0!</v>
          </cell>
          <cell r="D222" t="e">
            <v>#DIV/0!</v>
          </cell>
          <cell r="E222" t="e">
            <v>#DIV/0!</v>
          </cell>
        </row>
        <row r="223">
          <cell r="A223">
            <v>39667</v>
          </cell>
          <cell r="B223" t="str">
            <v>#Calc</v>
          </cell>
          <cell r="C223" t="e">
            <v>#DIV/0!</v>
          </cell>
          <cell r="D223" t="e">
            <v>#DIV/0!</v>
          </cell>
          <cell r="E223" t="e">
            <v>#DIV/0!</v>
          </cell>
        </row>
        <row r="224">
          <cell r="A224">
            <v>39668</v>
          </cell>
          <cell r="B224" t="str">
            <v>#Calc</v>
          </cell>
          <cell r="C224" t="e">
            <v>#DIV/0!</v>
          </cell>
          <cell r="D224" t="e">
            <v>#DIV/0!</v>
          </cell>
          <cell r="E224" t="e">
            <v>#DIV/0!</v>
          </cell>
        </row>
        <row r="225">
          <cell r="A225">
            <v>39669</v>
          </cell>
          <cell r="B225" t="str">
            <v>#Calc</v>
          </cell>
          <cell r="C225" t="e">
            <v>#DIV/0!</v>
          </cell>
          <cell r="D225" t="e">
            <v>#DIV/0!</v>
          </cell>
          <cell r="E225" t="e">
            <v>#DIV/0!</v>
          </cell>
        </row>
        <row r="226">
          <cell r="A226">
            <v>39670</v>
          </cell>
          <cell r="B226" t="str">
            <v>#Calc</v>
          </cell>
          <cell r="C226" t="e">
            <v>#DIV/0!</v>
          </cell>
          <cell r="D226" t="e">
            <v>#DIV/0!</v>
          </cell>
          <cell r="E226" t="e">
            <v>#DIV/0!</v>
          </cell>
        </row>
        <row r="227">
          <cell r="A227">
            <v>39671</v>
          </cell>
          <cell r="B227" t="str">
            <v>#Calc</v>
          </cell>
          <cell r="C227" t="e">
            <v>#DIV/0!</v>
          </cell>
          <cell r="D227" t="e">
            <v>#DIV/0!</v>
          </cell>
          <cell r="E227" t="e">
            <v>#DIV/0!</v>
          </cell>
        </row>
        <row r="228">
          <cell r="A228">
            <v>39672</v>
          </cell>
          <cell r="B228" t="str">
            <v>#Calc</v>
          </cell>
          <cell r="C228" t="e">
            <v>#DIV/0!</v>
          </cell>
          <cell r="D228" t="e">
            <v>#DIV/0!</v>
          </cell>
          <cell r="E228" t="e">
            <v>#DIV/0!</v>
          </cell>
        </row>
        <row r="229">
          <cell r="A229">
            <v>39673</v>
          </cell>
          <cell r="B229" t="str">
            <v>#Calc</v>
          </cell>
          <cell r="C229" t="e">
            <v>#DIV/0!</v>
          </cell>
          <cell r="D229" t="e">
            <v>#DIV/0!</v>
          </cell>
          <cell r="E229" t="e">
            <v>#DIV/0!</v>
          </cell>
        </row>
        <row r="230">
          <cell r="A230">
            <v>39674</v>
          </cell>
          <cell r="B230" t="str">
            <v>#Calc</v>
          </cell>
          <cell r="C230" t="e">
            <v>#DIV/0!</v>
          </cell>
          <cell r="D230" t="e">
            <v>#DIV/0!</v>
          </cell>
          <cell r="E230" t="e">
            <v>#DIV/0!</v>
          </cell>
        </row>
        <row r="231">
          <cell r="A231">
            <v>39675</v>
          </cell>
          <cell r="B231" t="str">
            <v>#Calc</v>
          </cell>
          <cell r="C231" t="e">
            <v>#DIV/0!</v>
          </cell>
          <cell r="D231" t="e">
            <v>#DIV/0!</v>
          </cell>
          <cell r="E231" t="e">
            <v>#DIV/0!</v>
          </cell>
        </row>
        <row r="232">
          <cell r="A232">
            <v>39676</v>
          </cell>
          <cell r="B232" t="str">
            <v>#Calc</v>
          </cell>
          <cell r="C232" t="e">
            <v>#DIV/0!</v>
          </cell>
          <cell r="D232" t="e">
            <v>#DIV/0!</v>
          </cell>
          <cell r="E232" t="e">
            <v>#DIV/0!</v>
          </cell>
        </row>
        <row r="233">
          <cell r="A233">
            <v>39677</v>
          </cell>
          <cell r="B233" t="str">
            <v>#Calc</v>
          </cell>
          <cell r="C233" t="e">
            <v>#DIV/0!</v>
          </cell>
          <cell r="D233" t="e">
            <v>#DIV/0!</v>
          </cell>
          <cell r="E233" t="e">
            <v>#DIV/0!</v>
          </cell>
        </row>
        <row r="234">
          <cell r="A234">
            <v>39678</v>
          </cell>
          <cell r="B234" t="str">
            <v>#Calc</v>
          </cell>
          <cell r="C234" t="e">
            <v>#DIV/0!</v>
          </cell>
          <cell r="D234" t="e">
            <v>#DIV/0!</v>
          </cell>
          <cell r="E234" t="e">
            <v>#DIV/0!</v>
          </cell>
        </row>
        <row r="235">
          <cell r="A235">
            <v>39679</v>
          </cell>
          <cell r="B235" t="str">
            <v>#Calc</v>
          </cell>
          <cell r="C235" t="e">
            <v>#DIV/0!</v>
          </cell>
          <cell r="D235" t="e">
            <v>#DIV/0!</v>
          </cell>
          <cell r="E235" t="e">
            <v>#DIV/0!</v>
          </cell>
        </row>
        <row r="236">
          <cell r="A236">
            <v>39680</v>
          </cell>
          <cell r="B236" t="str">
            <v>#Calc</v>
          </cell>
          <cell r="C236" t="e">
            <v>#DIV/0!</v>
          </cell>
          <cell r="D236" t="e">
            <v>#DIV/0!</v>
          </cell>
          <cell r="E236" t="e">
            <v>#DIV/0!</v>
          </cell>
        </row>
        <row r="237">
          <cell r="A237">
            <v>39681</v>
          </cell>
          <cell r="B237" t="str">
            <v>#Calc</v>
          </cell>
          <cell r="C237" t="e">
            <v>#DIV/0!</v>
          </cell>
          <cell r="D237" t="e">
            <v>#DIV/0!</v>
          </cell>
          <cell r="E237" t="e">
            <v>#DIV/0!</v>
          </cell>
        </row>
        <row r="238">
          <cell r="A238">
            <v>39682</v>
          </cell>
          <cell r="B238" t="str">
            <v>#Calc</v>
          </cell>
          <cell r="C238" t="e">
            <v>#DIV/0!</v>
          </cell>
          <cell r="D238" t="e">
            <v>#DIV/0!</v>
          </cell>
          <cell r="E238" t="e">
            <v>#DIV/0!</v>
          </cell>
        </row>
        <row r="239">
          <cell r="A239">
            <v>39683</v>
          </cell>
          <cell r="B239" t="str">
            <v>#Calc</v>
          </cell>
          <cell r="C239" t="e">
            <v>#DIV/0!</v>
          </cell>
          <cell r="D239" t="e">
            <v>#DIV/0!</v>
          </cell>
          <cell r="E239" t="e">
            <v>#DIV/0!</v>
          </cell>
        </row>
        <row r="240">
          <cell r="A240">
            <v>39684</v>
          </cell>
          <cell r="B240" t="str">
            <v>#Calc</v>
          </cell>
          <cell r="C240" t="e">
            <v>#DIV/0!</v>
          </cell>
          <cell r="D240" t="e">
            <v>#DIV/0!</v>
          </cell>
          <cell r="E240" t="e">
            <v>#DIV/0!</v>
          </cell>
        </row>
        <row r="241">
          <cell r="A241">
            <v>39685</v>
          </cell>
          <cell r="B241" t="str">
            <v>#Calc</v>
          </cell>
          <cell r="C241" t="e">
            <v>#DIV/0!</v>
          </cell>
          <cell r="D241" t="e">
            <v>#DIV/0!</v>
          </cell>
          <cell r="E241" t="e">
            <v>#DIV/0!</v>
          </cell>
        </row>
        <row r="242">
          <cell r="A242">
            <v>39686</v>
          </cell>
          <cell r="B242" t="str">
            <v>#Calc</v>
          </cell>
          <cell r="C242" t="e">
            <v>#DIV/0!</v>
          </cell>
          <cell r="D242" t="e">
            <v>#DIV/0!</v>
          </cell>
          <cell r="E242" t="e">
            <v>#DIV/0!</v>
          </cell>
        </row>
        <row r="243">
          <cell r="A243">
            <v>39687</v>
          </cell>
          <cell r="B243" t="str">
            <v>#Calc</v>
          </cell>
          <cell r="C243" t="e">
            <v>#DIV/0!</v>
          </cell>
          <cell r="D243" t="e">
            <v>#DIV/0!</v>
          </cell>
          <cell r="E243" t="e">
            <v>#DIV/0!</v>
          </cell>
        </row>
        <row r="244">
          <cell r="A244">
            <v>39688</v>
          </cell>
          <cell r="B244" t="str">
            <v>#Calc</v>
          </cell>
          <cell r="C244" t="e">
            <v>#DIV/0!</v>
          </cell>
          <cell r="D244" t="e">
            <v>#DIV/0!</v>
          </cell>
          <cell r="E244" t="e">
            <v>#DIV/0!</v>
          </cell>
        </row>
        <row r="245">
          <cell r="A245">
            <v>39689</v>
          </cell>
          <cell r="B245" t="str">
            <v>#Calc</v>
          </cell>
          <cell r="C245" t="e">
            <v>#DIV/0!</v>
          </cell>
          <cell r="D245" t="e">
            <v>#DIV/0!</v>
          </cell>
          <cell r="E245" t="e">
            <v>#DIV/0!</v>
          </cell>
        </row>
        <row r="246">
          <cell r="A246">
            <v>39690</v>
          </cell>
          <cell r="B246" t="str">
            <v>#Calc</v>
          </cell>
          <cell r="C246" t="e">
            <v>#DIV/0!</v>
          </cell>
          <cell r="D246" t="e">
            <v>#DIV/0!</v>
          </cell>
          <cell r="E246" t="e">
            <v>#DIV/0!</v>
          </cell>
        </row>
        <row r="247">
          <cell r="A247">
            <v>39691</v>
          </cell>
          <cell r="B247" t="str">
            <v>#Calc</v>
          </cell>
          <cell r="C247" t="e">
            <v>#DIV/0!</v>
          </cell>
          <cell r="D247" t="e">
            <v>#DIV/0!</v>
          </cell>
          <cell r="E247" t="e">
            <v>#DIV/0!</v>
          </cell>
        </row>
        <row r="248">
          <cell r="A248">
            <v>39692</v>
          </cell>
          <cell r="B248" t="str">
            <v>#Calc</v>
          </cell>
          <cell r="C248" t="e">
            <v>#DIV/0!</v>
          </cell>
          <cell r="D248" t="e">
            <v>#DIV/0!</v>
          </cell>
          <cell r="E248" t="e">
            <v>#DIV/0!</v>
          </cell>
        </row>
        <row r="249">
          <cell r="A249">
            <v>39693</v>
          </cell>
          <cell r="B249" t="str">
            <v>#Calc</v>
          </cell>
          <cell r="C249" t="e">
            <v>#DIV/0!</v>
          </cell>
          <cell r="D249" t="e">
            <v>#DIV/0!</v>
          </cell>
          <cell r="E249" t="e">
            <v>#DIV/0!</v>
          </cell>
        </row>
        <row r="250">
          <cell r="A250">
            <v>39694</v>
          </cell>
          <cell r="B250" t="str">
            <v>#Calc</v>
          </cell>
          <cell r="C250" t="e">
            <v>#DIV/0!</v>
          </cell>
          <cell r="D250" t="e">
            <v>#DIV/0!</v>
          </cell>
          <cell r="E250" t="e">
            <v>#DIV/0!</v>
          </cell>
        </row>
        <row r="251">
          <cell r="A251">
            <v>39695</v>
          </cell>
          <cell r="B251" t="str">
            <v>#Calc</v>
          </cell>
          <cell r="C251" t="e">
            <v>#DIV/0!</v>
          </cell>
          <cell r="D251" t="e">
            <v>#DIV/0!</v>
          </cell>
          <cell r="E251" t="e">
            <v>#DIV/0!</v>
          </cell>
        </row>
        <row r="252">
          <cell r="A252">
            <v>39696</v>
          </cell>
          <cell r="B252" t="str">
            <v>#Calc</v>
          </cell>
          <cell r="C252" t="e">
            <v>#DIV/0!</v>
          </cell>
          <cell r="D252" t="e">
            <v>#DIV/0!</v>
          </cell>
          <cell r="E252" t="e">
            <v>#DIV/0!</v>
          </cell>
        </row>
        <row r="253">
          <cell r="A253">
            <v>39697</v>
          </cell>
          <cell r="B253" t="str">
            <v>#Calc</v>
          </cell>
          <cell r="C253" t="e">
            <v>#DIV/0!</v>
          </cell>
          <cell r="D253" t="e">
            <v>#DIV/0!</v>
          </cell>
          <cell r="E253" t="e">
            <v>#DIV/0!</v>
          </cell>
        </row>
        <row r="254">
          <cell r="A254">
            <v>39698</v>
          </cell>
          <cell r="B254" t="str">
            <v>#Calc</v>
          </cell>
          <cell r="C254" t="e">
            <v>#DIV/0!</v>
          </cell>
          <cell r="D254" t="e">
            <v>#DIV/0!</v>
          </cell>
          <cell r="E254" t="e">
            <v>#DIV/0!</v>
          </cell>
        </row>
        <row r="255">
          <cell r="A255">
            <v>39699</v>
          </cell>
          <cell r="B255" t="str">
            <v>#Calc</v>
          </cell>
          <cell r="C255" t="e">
            <v>#DIV/0!</v>
          </cell>
          <cell r="D255" t="e">
            <v>#DIV/0!</v>
          </cell>
          <cell r="E255" t="e">
            <v>#DIV/0!</v>
          </cell>
        </row>
        <row r="256">
          <cell r="A256">
            <v>39700</v>
          </cell>
          <cell r="B256" t="str">
            <v>#Calc</v>
          </cell>
          <cell r="C256" t="e">
            <v>#DIV/0!</v>
          </cell>
          <cell r="D256" t="e">
            <v>#DIV/0!</v>
          </cell>
          <cell r="E256" t="e">
            <v>#DIV/0!</v>
          </cell>
        </row>
        <row r="257">
          <cell r="A257">
            <v>39701</v>
          </cell>
          <cell r="B257" t="str">
            <v>#Calc</v>
          </cell>
          <cell r="C257" t="e">
            <v>#DIV/0!</v>
          </cell>
          <cell r="D257" t="e">
            <v>#DIV/0!</v>
          </cell>
          <cell r="E257" t="e">
            <v>#DIV/0!</v>
          </cell>
        </row>
        <row r="258">
          <cell r="A258">
            <v>39702</v>
          </cell>
          <cell r="B258" t="str">
            <v>#Calc</v>
          </cell>
          <cell r="C258" t="e">
            <v>#DIV/0!</v>
          </cell>
          <cell r="D258" t="e">
            <v>#DIV/0!</v>
          </cell>
          <cell r="E258" t="e">
            <v>#DIV/0!</v>
          </cell>
        </row>
        <row r="259">
          <cell r="A259">
            <v>39703</v>
          </cell>
          <cell r="B259" t="str">
            <v>#Calc</v>
          </cell>
          <cell r="C259" t="e">
            <v>#DIV/0!</v>
          </cell>
          <cell r="D259" t="e">
            <v>#DIV/0!</v>
          </cell>
          <cell r="E259" t="e">
            <v>#DIV/0!</v>
          </cell>
        </row>
        <row r="260">
          <cell r="A260">
            <v>39704</v>
          </cell>
          <cell r="B260" t="str">
            <v>#Calc</v>
          </cell>
          <cell r="C260" t="e">
            <v>#DIV/0!</v>
          </cell>
          <cell r="D260" t="e">
            <v>#DIV/0!</v>
          </cell>
          <cell r="E260" t="e">
            <v>#DIV/0!</v>
          </cell>
        </row>
        <row r="261">
          <cell r="A261">
            <v>39705</v>
          </cell>
          <cell r="B261" t="str">
            <v>#Calc</v>
          </cell>
          <cell r="C261" t="e">
            <v>#DIV/0!</v>
          </cell>
          <cell r="D261" t="e">
            <v>#DIV/0!</v>
          </cell>
          <cell r="E261" t="e">
            <v>#DIV/0!</v>
          </cell>
        </row>
        <row r="262">
          <cell r="A262">
            <v>39706</v>
          </cell>
          <cell r="B262" t="str">
            <v>#Calc</v>
          </cell>
          <cell r="C262" t="e">
            <v>#DIV/0!</v>
          </cell>
          <cell r="D262" t="e">
            <v>#DIV/0!</v>
          </cell>
          <cell r="E262" t="e">
            <v>#DIV/0!</v>
          </cell>
        </row>
        <row r="263">
          <cell r="A263">
            <v>39707</v>
          </cell>
          <cell r="B263" t="str">
            <v>#Calc</v>
          </cell>
          <cell r="C263" t="e">
            <v>#DIV/0!</v>
          </cell>
          <cell r="D263" t="e">
            <v>#DIV/0!</v>
          </cell>
          <cell r="E263" t="e">
            <v>#DIV/0!</v>
          </cell>
        </row>
        <row r="264">
          <cell r="A264">
            <v>39708</v>
          </cell>
          <cell r="B264" t="str">
            <v>#Calc</v>
          </cell>
          <cell r="C264" t="e">
            <v>#DIV/0!</v>
          </cell>
          <cell r="D264" t="e">
            <v>#DIV/0!</v>
          </cell>
          <cell r="E264" t="e">
            <v>#DIV/0!</v>
          </cell>
        </row>
        <row r="265">
          <cell r="A265">
            <v>39709</v>
          </cell>
          <cell r="B265" t="str">
            <v>#Calc</v>
          </cell>
          <cell r="C265" t="e">
            <v>#DIV/0!</v>
          </cell>
          <cell r="D265" t="e">
            <v>#DIV/0!</v>
          </cell>
          <cell r="E265" t="e">
            <v>#DIV/0!</v>
          </cell>
        </row>
        <row r="266">
          <cell r="A266">
            <v>39710</v>
          </cell>
          <cell r="B266" t="str">
            <v>#Calc</v>
          </cell>
          <cell r="C266" t="e">
            <v>#DIV/0!</v>
          </cell>
          <cell r="D266" t="e">
            <v>#DIV/0!</v>
          </cell>
          <cell r="E266" t="e">
            <v>#DIV/0!</v>
          </cell>
        </row>
        <row r="267">
          <cell r="A267">
            <v>39711</v>
          </cell>
          <cell r="B267" t="str">
            <v>#Calc</v>
          </cell>
          <cell r="C267" t="e">
            <v>#DIV/0!</v>
          </cell>
          <cell r="D267" t="e">
            <v>#DIV/0!</v>
          </cell>
          <cell r="E267" t="e">
            <v>#DIV/0!</v>
          </cell>
        </row>
        <row r="268">
          <cell r="A268">
            <v>39712</v>
          </cell>
          <cell r="B268" t="str">
            <v>#Calc</v>
          </cell>
          <cell r="C268" t="e">
            <v>#DIV/0!</v>
          </cell>
          <cell r="D268" t="e">
            <v>#DIV/0!</v>
          </cell>
          <cell r="E268" t="e">
            <v>#DIV/0!</v>
          </cell>
        </row>
        <row r="269">
          <cell r="A269">
            <v>39713</v>
          </cell>
          <cell r="B269" t="str">
            <v>#Calc</v>
          </cell>
          <cell r="C269" t="e">
            <v>#DIV/0!</v>
          </cell>
          <cell r="D269" t="e">
            <v>#DIV/0!</v>
          </cell>
          <cell r="E269" t="e">
            <v>#DIV/0!</v>
          </cell>
        </row>
        <row r="270">
          <cell r="A270">
            <v>39714</v>
          </cell>
          <cell r="B270" t="str">
            <v>#Calc</v>
          </cell>
          <cell r="C270" t="e">
            <v>#DIV/0!</v>
          </cell>
          <cell r="D270" t="e">
            <v>#DIV/0!</v>
          </cell>
          <cell r="E270" t="e">
            <v>#DIV/0!</v>
          </cell>
        </row>
        <row r="271">
          <cell r="A271">
            <v>39715</v>
          </cell>
          <cell r="B271" t="str">
            <v>#Calc</v>
          </cell>
          <cell r="C271" t="e">
            <v>#DIV/0!</v>
          </cell>
          <cell r="D271" t="e">
            <v>#DIV/0!</v>
          </cell>
          <cell r="E271" t="e">
            <v>#DIV/0!</v>
          </cell>
        </row>
        <row r="272">
          <cell r="A272">
            <v>39716</v>
          </cell>
          <cell r="B272" t="str">
            <v>#Calc</v>
          </cell>
          <cell r="C272" t="e">
            <v>#DIV/0!</v>
          </cell>
          <cell r="D272" t="e">
            <v>#DIV/0!</v>
          </cell>
          <cell r="E272" t="e">
            <v>#DIV/0!</v>
          </cell>
        </row>
        <row r="273">
          <cell r="A273">
            <v>39717</v>
          </cell>
          <cell r="B273" t="str">
            <v>#Calc</v>
          </cell>
          <cell r="C273" t="e">
            <v>#DIV/0!</v>
          </cell>
          <cell r="D273" t="e">
            <v>#DIV/0!</v>
          </cell>
          <cell r="E273" t="e">
            <v>#DIV/0!</v>
          </cell>
        </row>
        <row r="274">
          <cell r="A274">
            <v>39718</v>
          </cell>
          <cell r="B274" t="str">
            <v>#Calc</v>
          </cell>
          <cell r="C274" t="e">
            <v>#DIV/0!</v>
          </cell>
          <cell r="D274" t="e">
            <v>#DIV/0!</v>
          </cell>
          <cell r="E274" t="e">
            <v>#DIV/0!</v>
          </cell>
        </row>
        <row r="275">
          <cell r="A275">
            <v>39719</v>
          </cell>
          <cell r="B275" t="str">
            <v>#Calc</v>
          </cell>
          <cell r="C275" t="e">
            <v>#DIV/0!</v>
          </cell>
          <cell r="D275" t="e">
            <v>#DIV/0!</v>
          </cell>
          <cell r="E275" t="e">
            <v>#DIV/0!</v>
          </cell>
        </row>
        <row r="276">
          <cell r="A276">
            <v>39720</v>
          </cell>
          <cell r="B276" t="str">
            <v>#Calc</v>
          </cell>
          <cell r="C276" t="e">
            <v>#DIV/0!</v>
          </cell>
          <cell r="D276" t="e">
            <v>#DIV/0!</v>
          </cell>
          <cell r="E276" t="e">
            <v>#DIV/0!</v>
          </cell>
        </row>
        <row r="277">
          <cell r="A277">
            <v>39721</v>
          </cell>
          <cell r="B277" t="str">
            <v>#Calc</v>
          </cell>
          <cell r="C277" t="e">
            <v>#DIV/0!</v>
          </cell>
          <cell r="D277" t="e">
            <v>#DIV/0!</v>
          </cell>
          <cell r="E277" t="e">
            <v>#DIV/0!</v>
          </cell>
        </row>
        <row r="278">
          <cell r="A278">
            <v>39722</v>
          </cell>
          <cell r="B278" t="str">
            <v>#Calc</v>
          </cell>
          <cell r="C278" t="e">
            <v>#DIV/0!</v>
          </cell>
          <cell r="D278" t="e">
            <v>#DIV/0!</v>
          </cell>
          <cell r="E278" t="e">
            <v>#DIV/0!</v>
          </cell>
        </row>
        <row r="279">
          <cell r="A279">
            <v>39723</v>
          </cell>
          <cell r="B279" t="str">
            <v>#Calc</v>
          </cell>
          <cell r="C279" t="e">
            <v>#DIV/0!</v>
          </cell>
          <cell r="D279" t="e">
            <v>#DIV/0!</v>
          </cell>
          <cell r="E279" t="e">
            <v>#DIV/0!</v>
          </cell>
        </row>
        <row r="280">
          <cell r="A280">
            <v>39724</v>
          </cell>
          <cell r="B280" t="str">
            <v>#Calc</v>
          </cell>
          <cell r="C280" t="e">
            <v>#DIV/0!</v>
          </cell>
          <cell r="D280" t="e">
            <v>#DIV/0!</v>
          </cell>
          <cell r="E280" t="e">
            <v>#DIV/0!</v>
          </cell>
        </row>
        <row r="281">
          <cell r="A281">
            <v>39725</v>
          </cell>
          <cell r="B281" t="str">
            <v>#Calc</v>
          </cell>
          <cell r="C281" t="e">
            <v>#DIV/0!</v>
          </cell>
          <cell r="D281" t="e">
            <v>#DIV/0!</v>
          </cell>
          <cell r="E281" t="e">
            <v>#DIV/0!</v>
          </cell>
        </row>
        <row r="282">
          <cell r="A282">
            <v>39726</v>
          </cell>
          <cell r="B282" t="str">
            <v>#Calc</v>
          </cell>
          <cell r="C282" t="e">
            <v>#DIV/0!</v>
          </cell>
          <cell r="D282" t="e">
            <v>#DIV/0!</v>
          </cell>
          <cell r="E282" t="e">
            <v>#DIV/0!</v>
          </cell>
        </row>
        <row r="283">
          <cell r="A283">
            <v>39727</v>
          </cell>
          <cell r="B283" t="str">
            <v>#Calc</v>
          </cell>
          <cell r="C283" t="e">
            <v>#DIV/0!</v>
          </cell>
          <cell r="D283" t="e">
            <v>#DIV/0!</v>
          </cell>
          <cell r="E283" t="e">
            <v>#DIV/0!</v>
          </cell>
        </row>
        <row r="284">
          <cell r="A284">
            <v>39728</v>
          </cell>
          <cell r="B284" t="str">
            <v>#Calc</v>
          </cell>
          <cell r="C284" t="e">
            <v>#DIV/0!</v>
          </cell>
          <cell r="D284" t="e">
            <v>#DIV/0!</v>
          </cell>
          <cell r="E284" t="e">
            <v>#DIV/0!</v>
          </cell>
        </row>
        <row r="285">
          <cell r="A285">
            <v>39729</v>
          </cell>
          <cell r="B285" t="str">
            <v>#Calc</v>
          </cell>
          <cell r="C285" t="e">
            <v>#DIV/0!</v>
          </cell>
          <cell r="D285" t="e">
            <v>#DIV/0!</v>
          </cell>
          <cell r="E285" t="e">
            <v>#DIV/0!</v>
          </cell>
        </row>
        <row r="286">
          <cell r="A286">
            <v>39730</v>
          </cell>
          <cell r="B286" t="str">
            <v>#Calc</v>
          </cell>
          <cell r="C286" t="e">
            <v>#DIV/0!</v>
          </cell>
          <cell r="D286" t="e">
            <v>#DIV/0!</v>
          </cell>
          <cell r="E286" t="e">
            <v>#DIV/0!</v>
          </cell>
        </row>
        <row r="287">
          <cell r="A287">
            <v>39731</v>
          </cell>
          <cell r="B287" t="str">
            <v>#Calc</v>
          </cell>
          <cell r="C287" t="e">
            <v>#DIV/0!</v>
          </cell>
          <cell r="D287" t="e">
            <v>#DIV/0!</v>
          </cell>
          <cell r="E287" t="e">
            <v>#DIV/0!</v>
          </cell>
        </row>
        <row r="288">
          <cell r="A288">
            <v>39732</v>
          </cell>
          <cell r="B288" t="str">
            <v>#Calc</v>
          </cell>
          <cell r="C288" t="e">
            <v>#DIV/0!</v>
          </cell>
          <cell r="D288" t="e">
            <v>#DIV/0!</v>
          </cell>
          <cell r="E288" t="e">
            <v>#DIV/0!</v>
          </cell>
        </row>
        <row r="289">
          <cell r="A289">
            <v>39733</v>
          </cell>
          <cell r="B289" t="str">
            <v>#Calc</v>
          </cell>
          <cell r="C289" t="e">
            <v>#DIV/0!</v>
          </cell>
          <cell r="D289" t="e">
            <v>#DIV/0!</v>
          </cell>
          <cell r="E289" t="e">
            <v>#DIV/0!</v>
          </cell>
        </row>
        <row r="290">
          <cell r="A290">
            <v>39734</v>
          </cell>
          <cell r="B290" t="str">
            <v>#Calc</v>
          </cell>
          <cell r="C290" t="e">
            <v>#DIV/0!</v>
          </cell>
          <cell r="D290" t="e">
            <v>#DIV/0!</v>
          </cell>
          <cell r="E290" t="e">
            <v>#DIV/0!</v>
          </cell>
        </row>
        <row r="291">
          <cell r="A291">
            <v>39735</v>
          </cell>
          <cell r="B291" t="str">
            <v>#Calc</v>
          </cell>
          <cell r="C291" t="e">
            <v>#DIV/0!</v>
          </cell>
          <cell r="D291" t="e">
            <v>#DIV/0!</v>
          </cell>
          <cell r="E291" t="e">
            <v>#DIV/0!</v>
          </cell>
        </row>
        <row r="292">
          <cell r="A292">
            <v>39736</v>
          </cell>
          <cell r="B292" t="str">
            <v>#Calc</v>
          </cell>
          <cell r="C292" t="e">
            <v>#DIV/0!</v>
          </cell>
          <cell r="D292" t="e">
            <v>#DIV/0!</v>
          </cell>
          <cell r="E292" t="e">
            <v>#DIV/0!</v>
          </cell>
        </row>
        <row r="293">
          <cell r="A293">
            <v>39737</v>
          </cell>
          <cell r="B293" t="str">
            <v>#Calc</v>
          </cell>
          <cell r="C293" t="e">
            <v>#DIV/0!</v>
          </cell>
          <cell r="D293" t="e">
            <v>#DIV/0!</v>
          </cell>
          <cell r="E293" t="e">
            <v>#DIV/0!</v>
          </cell>
        </row>
        <row r="294">
          <cell r="A294">
            <v>39738</v>
          </cell>
          <cell r="B294" t="str">
            <v>#Calc</v>
          </cell>
          <cell r="C294" t="e">
            <v>#DIV/0!</v>
          </cell>
          <cell r="D294" t="e">
            <v>#DIV/0!</v>
          </cell>
          <cell r="E294" t="e">
            <v>#DIV/0!</v>
          </cell>
        </row>
        <row r="295">
          <cell r="A295">
            <v>39739</v>
          </cell>
          <cell r="B295" t="str">
            <v>#Calc</v>
          </cell>
          <cell r="C295" t="e">
            <v>#DIV/0!</v>
          </cell>
          <cell r="D295" t="e">
            <v>#DIV/0!</v>
          </cell>
          <cell r="E295" t="e">
            <v>#DIV/0!</v>
          </cell>
        </row>
        <row r="296">
          <cell r="A296">
            <v>39740</v>
          </cell>
          <cell r="B296" t="str">
            <v>#Calc</v>
          </cell>
          <cell r="C296" t="e">
            <v>#DIV/0!</v>
          </cell>
          <cell r="D296" t="e">
            <v>#DIV/0!</v>
          </cell>
          <cell r="E296" t="e">
            <v>#DIV/0!</v>
          </cell>
        </row>
        <row r="297">
          <cell r="A297">
            <v>39741</v>
          </cell>
          <cell r="B297" t="str">
            <v>#Calc</v>
          </cell>
          <cell r="C297" t="e">
            <v>#DIV/0!</v>
          </cell>
          <cell r="D297" t="e">
            <v>#DIV/0!</v>
          </cell>
          <cell r="E297" t="e">
            <v>#DIV/0!</v>
          </cell>
        </row>
        <row r="298">
          <cell r="A298">
            <v>39742</v>
          </cell>
          <cell r="B298" t="str">
            <v>#Calc</v>
          </cell>
          <cell r="C298" t="e">
            <v>#DIV/0!</v>
          </cell>
          <cell r="D298" t="e">
            <v>#DIV/0!</v>
          </cell>
          <cell r="E298" t="e">
            <v>#DIV/0!</v>
          </cell>
        </row>
        <row r="299">
          <cell r="A299">
            <v>39743</v>
          </cell>
          <cell r="B299" t="str">
            <v>#Calc</v>
          </cell>
          <cell r="C299" t="e">
            <v>#DIV/0!</v>
          </cell>
          <cell r="D299" t="e">
            <v>#DIV/0!</v>
          </cell>
          <cell r="E299" t="e">
            <v>#DIV/0!</v>
          </cell>
        </row>
        <row r="300">
          <cell r="A300">
            <v>39744</v>
          </cell>
          <cell r="B300" t="str">
            <v>#Calc</v>
          </cell>
          <cell r="C300" t="e">
            <v>#DIV/0!</v>
          </cell>
          <cell r="D300" t="e">
            <v>#DIV/0!</v>
          </cell>
          <cell r="E300" t="e">
            <v>#DIV/0!</v>
          </cell>
        </row>
        <row r="301">
          <cell r="A301">
            <v>39745</v>
          </cell>
          <cell r="B301" t="str">
            <v>#Calc</v>
          </cell>
          <cell r="C301" t="e">
            <v>#DIV/0!</v>
          </cell>
          <cell r="D301" t="e">
            <v>#DIV/0!</v>
          </cell>
          <cell r="E301" t="e">
            <v>#DIV/0!</v>
          </cell>
        </row>
        <row r="302">
          <cell r="A302">
            <v>39746</v>
          </cell>
          <cell r="B302" t="str">
            <v>#Calc</v>
          </cell>
          <cell r="C302" t="e">
            <v>#DIV/0!</v>
          </cell>
          <cell r="D302" t="e">
            <v>#DIV/0!</v>
          </cell>
          <cell r="E302" t="e">
            <v>#DIV/0!</v>
          </cell>
        </row>
        <row r="303">
          <cell r="A303">
            <v>39747</v>
          </cell>
          <cell r="B303" t="str">
            <v>#Calc</v>
          </cell>
          <cell r="C303" t="e">
            <v>#DIV/0!</v>
          </cell>
          <cell r="D303" t="e">
            <v>#DIV/0!</v>
          </cell>
          <cell r="E303" t="e">
            <v>#DIV/0!</v>
          </cell>
        </row>
        <row r="304">
          <cell r="A304">
            <v>39748</v>
          </cell>
          <cell r="B304" t="str">
            <v>#Calc</v>
          </cell>
          <cell r="C304" t="e">
            <v>#DIV/0!</v>
          </cell>
          <cell r="D304" t="e">
            <v>#DIV/0!</v>
          </cell>
          <cell r="E304" t="e">
            <v>#DIV/0!</v>
          </cell>
        </row>
        <row r="305">
          <cell r="A305">
            <v>39749</v>
          </cell>
          <cell r="B305" t="str">
            <v>#Calc</v>
          </cell>
          <cell r="C305" t="e">
            <v>#DIV/0!</v>
          </cell>
          <cell r="D305" t="e">
            <v>#DIV/0!</v>
          </cell>
          <cell r="E305" t="e">
            <v>#DIV/0!</v>
          </cell>
        </row>
        <row r="306">
          <cell r="A306">
            <v>39750</v>
          </cell>
          <cell r="B306" t="str">
            <v>#Calc</v>
          </cell>
          <cell r="C306" t="e">
            <v>#DIV/0!</v>
          </cell>
          <cell r="D306" t="e">
            <v>#DIV/0!</v>
          </cell>
          <cell r="E306" t="e">
            <v>#DIV/0!</v>
          </cell>
        </row>
        <row r="307">
          <cell r="A307">
            <v>39751</v>
          </cell>
          <cell r="B307" t="str">
            <v>#Calc</v>
          </cell>
          <cell r="C307" t="e">
            <v>#DIV/0!</v>
          </cell>
          <cell r="D307" t="e">
            <v>#DIV/0!</v>
          </cell>
          <cell r="E307" t="e">
            <v>#DIV/0!</v>
          </cell>
        </row>
        <row r="308">
          <cell r="A308">
            <v>39752</v>
          </cell>
          <cell r="B308" t="str">
            <v>#Calc</v>
          </cell>
          <cell r="C308" t="e">
            <v>#DIV/0!</v>
          </cell>
          <cell r="D308" t="e">
            <v>#DIV/0!</v>
          </cell>
          <cell r="E308" t="e">
            <v>#DIV/0!</v>
          </cell>
        </row>
        <row r="309">
          <cell r="A309">
            <v>39753</v>
          </cell>
          <cell r="B309" t="str">
            <v>#Calc</v>
          </cell>
          <cell r="C309" t="e">
            <v>#DIV/0!</v>
          </cell>
          <cell r="D309" t="e">
            <v>#DIV/0!</v>
          </cell>
          <cell r="E309" t="e">
            <v>#DIV/0!</v>
          </cell>
        </row>
        <row r="310">
          <cell r="A310">
            <v>39754</v>
          </cell>
          <cell r="B310" t="str">
            <v>#Calc</v>
          </cell>
          <cell r="C310" t="e">
            <v>#DIV/0!</v>
          </cell>
          <cell r="D310" t="e">
            <v>#DIV/0!</v>
          </cell>
          <cell r="E310" t="e">
            <v>#DIV/0!</v>
          </cell>
        </row>
        <row r="311">
          <cell r="A311">
            <v>39755</v>
          </cell>
          <cell r="B311" t="str">
            <v>#Calc</v>
          </cell>
          <cell r="C311" t="e">
            <v>#DIV/0!</v>
          </cell>
          <cell r="D311" t="e">
            <v>#DIV/0!</v>
          </cell>
          <cell r="E311" t="e">
            <v>#DIV/0!</v>
          </cell>
        </row>
        <row r="312">
          <cell r="A312">
            <v>39756</v>
          </cell>
          <cell r="B312" t="str">
            <v>#Calc</v>
          </cell>
          <cell r="C312" t="e">
            <v>#DIV/0!</v>
          </cell>
          <cell r="D312" t="e">
            <v>#DIV/0!</v>
          </cell>
          <cell r="E312" t="e">
            <v>#DIV/0!</v>
          </cell>
        </row>
        <row r="313">
          <cell r="A313">
            <v>39757</v>
          </cell>
          <cell r="B313" t="str">
            <v>#Calc</v>
          </cell>
          <cell r="C313" t="e">
            <v>#DIV/0!</v>
          </cell>
          <cell r="D313" t="e">
            <v>#DIV/0!</v>
          </cell>
          <cell r="E313" t="e">
            <v>#DIV/0!</v>
          </cell>
        </row>
        <row r="314">
          <cell r="A314">
            <v>39758</v>
          </cell>
          <cell r="B314" t="str">
            <v>#Calc</v>
          </cell>
          <cell r="C314" t="e">
            <v>#DIV/0!</v>
          </cell>
          <cell r="D314" t="e">
            <v>#DIV/0!</v>
          </cell>
          <cell r="E314" t="e">
            <v>#DIV/0!</v>
          </cell>
        </row>
        <row r="315">
          <cell r="A315">
            <v>39759</v>
          </cell>
          <cell r="B315" t="str">
            <v>#Calc</v>
          </cell>
          <cell r="C315" t="e">
            <v>#DIV/0!</v>
          </cell>
          <cell r="D315" t="e">
            <v>#DIV/0!</v>
          </cell>
          <cell r="E315" t="e">
            <v>#DIV/0!</v>
          </cell>
        </row>
        <row r="316">
          <cell r="A316">
            <v>39760</v>
          </cell>
          <cell r="B316" t="str">
            <v>#Calc</v>
          </cell>
          <cell r="C316" t="e">
            <v>#DIV/0!</v>
          </cell>
          <cell r="D316" t="e">
            <v>#DIV/0!</v>
          </cell>
          <cell r="E316" t="e">
            <v>#DIV/0!</v>
          </cell>
        </row>
        <row r="317">
          <cell r="A317">
            <v>39761</v>
          </cell>
          <cell r="B317" t="str">
            <v>#Calc</v>
          </cell>
          <cell r="C317" t="e">
            <v>#DIV/0!</v>
          </cell>
          <cell r="D317" t="e">
            <v>#DIV/0!</v>
          </cell>
          <cell r="E317" t="e">
            <v>#DIV/0!</v>
          </cell>
        </row>
        <row r="318">
          <cell r="A318">
            <v>39762</v>
          </cell>
          <cell r="B318" t="str">
            <v>#Calc</v>
          </cell>
          <cell r="C318" t="e">
            <v>#DIV/0!</v>
          </cell>
          <cell r="D318" t="e">
            <v>#DIV/0!</v>
          </cell>
          <cell r="E318" t="e">
            <v>#DIV/0!</v>
          </cell>
        </row>
        <row r="319">
          <cell r="A319">
            <v>39763</v>
          </cell>
          <cell r="B319" t="str">
            <v>#Calc</v>
          </cell>
          <cell r="C319" t="e">
            <v>#DIV/0!</v>
          </cell>
          <cell r="D319" t="e">
            <v>#DIV/0!</v>
          </cell>
          <cell r="E319" t="e">
            <v>#DIV/0!</v>
          </cell>
        </row>
        <row r="320">
          <cell r="A320">
            <v>39764</v>
          </cell>
          <cell r="B320" t="str">
            <v>#Calc</v>
          </cell>
          <cell r="C320" t="e">
            <v>#DIV/0!</v>
          </cell>
          <cell r="D320" t="e">
            <v>#DIV/0!</v>
          </cell>
          <cell r="E320" t="e">
            <v>#DIV/0!</v>
          </cell>
        </row>
        <row r="321">
          <cell r="A321">
            <v>39765</v>
          </cell>
          <cell r="B321" t="str">
            <v>#Calc</v>
          </cell>
          <cell r="C321" t="e">
            <v>#DIV/0!</v>
          </cell>
          <cell r="D321" t="e">
            <v>#DIV/0!</v>
          </cell>
          <cell r="E321" t="e">
            <v>#DIV/0!</v>
          </cell>
        </row>
        <row r="322">
          <cell r="A322">
            <v>39766</v>
          </cell>
          <cell r="B322" t="str">
            <v>#Calc</v>
          </cell>
          <cell r="C322" t="e">
            <v>#DIV/0!</v>
          </cell>
          <cell r="D322" t="e">
            <v>#DIV/0!</v>
          </cell>
          <cell r="E322" t="e">
            <v>#DIV/0!</v>
          </cell>
        </row>
        <row r="323">
          <cell r="A323">
            <v>39767</v>
          </cell>
          <cell r="B323" t="str">
            <v>#Calc</v>
          </cell>
          <cell r="C323" t="e">
            <v>#DIV/0!</v>
          </cell>
          <cell r="D323" t="e">
            <v>#DIV/0!</v>
          </cell>
          <cell r="E323" t="e">
            <v>#DIV/0!</v>
          </cell>
        </row>
        <row r="324">
          <cell r="A324">
            <v>39768</v>
          </cell>
          <cell r="B324" t="str">
            <v>#Calc</v>
          </cell>
          <cell r="C324" t="e">
            <v>#DIV/0!</v>
          </cell>
          <cell r="D324" t="e">
            <v>#DIV/0!</v>
          </cell>
          <cell r="E324" t="e">
            <v>#DIV/0!</v>
          </cell>
        </row>
        <row r="325">
          <cell r="A325">
            <v>39769</v>
          </cell>
          <cell r="B325" t="str">
            <v>#Calc</v>
          </cell>
          <cell r="C325" t="e">
            <v>#DIV/0!</v>
          </cell>
          <cell r="D325" t="e">
            <v>#DIV/0!</v>
          </cell>
          <cell r="E325" t="e">
            <v>#DIV/0!</v>
          </cell>
        </row>
        <row r="326">
          <cell r="A326">
            <v>39770</v>
          </cell>
          <cell r="B326" t="str">
            <v>#Calc</v>
          </cell>
          <cell r="C326" t="e">
            <v>#DIV/0!</v>
          </cell>
          <cell r="D326" t="e">
            <v>#DIV/0!</v>
          </cell>
          <cell r="E326" t="e">
            <v>#DIV/0!</v>
          </cell>
        </row>
        <row r="327">
          <cell r="A327">
            <v>39771</v>
          </cell>
          <cell r="B327" t="str">
            <v>#Calc</v>
          </cell>
          <cell r="C327" t="e">
            <v>#DIV/0!</v>
          </cell>
          <cell r="D327" t="e">
            <v>#DIV/0!</v>
          </cell>
          <cell r="E327" t="e">
            <v>#DIV/0!</v>
          </cell>
        </row>
        <row r="328">
          <cell r="A328">
            <v>39772</v>
          </cell>
          <cell r="B328" t="str">
            <v>#Calc</v>
          </cell>
          <cell r="C328" t="e">
            <v>#DIV/0!</v>
          </cell>
          <cell r="D328" t="e">
            <v>#DIV/0!</v>
          </cell>
          <cell r="E328" t="e">
            <v>#DIV/0!</v>
          </cell>
        </row>
        <row r="329">
          <cell r="A329">
            <v>39773</v>
          </cell>
          <cell r="B329" t="str">
            <v>#Calc</v>
          </cell>
          <cell r="C329" t="e">
            <v>#DIV/0!</v>
          </cell>
          <cell r="D329" t="e">
            <v>#DIV/0!</v>
          </cell>
          <cell r="E329" t="e">
            <v>#DIV/0!</v>
          </cell>
        </row>
        <row r="330">
          <cell r="A330">
            <v>39774</v>
          </cell>
          <cell r="B330" t="str">
            <v>#Calc</v>
          </cell>
          <cell r="C330" t="e">
            <v>#DIV/0!</v>
          </cell>
          <cell r="D330" t="e">
            <v>#DIV/0!</v>
          </cell>
          <cell r="E330" t="e">
            <v>#DIV/0!</v>
          </cell>
        </row>
        <row r="331">
          <cell r="A331">
            <v>39775</v>
          </cell>
          <cell r="B331" t="str">
            <v>#Calc</v>
          </cell>
          <cell r="C331" t="e">
            <v>#DIV/0!</v>
          </cell>
          <cell r="D331" t="e">
            <v>#DIV/0!</v>
          </cell>
          <cell r="E331" t="e">
            <v>#DIV/0!</v>
          </cell>
        </row>
        <row r="332">
          <cell r="A332">
            <v>39776</v>
          </cell>
          <cell r="B332" t="str">
            <v>#Calc</v>
          </cell>
          <cell r="C332" t="e">
            <v>#DIV/0!</v>
          </cell>
          <cell r="D332" t="e">
            <v>#DIV/0!</v>
          </cell>
          <cell r="E332" t="e">
            <v>#DIV/0!</v>
          </cell>
        </row>
        <row r="333">
          <cell r="A333">
            <v>39777</v>
          </cell>
          <cell r="B333" t="str">
            <v>#Calc</v>
          </cell>
          <cell r="C333" t="e">
            <v>#DIV/0!</v>
          </cell>
          <cell r="D333" t="e">
            <v>#DIV/0!</v>
          </cell>
          <cell r="E333" t="e">
            <v>#DIV/0!</v>
          </cell>
        </row>
        <row r="334">
          <cell r="A334">
            <v>39778</v>
          </cell>
          <cell r="B334" t="str">
            <v>#Calc</v>
          </cell>
          <cell r="C334" t="e">
            <v>#DIV/0!</v>
          </cell>
          <cell r="D334" t="e">
            <v>#DIV/0!</v>
          </cell>
          <cell r="E334" t="e">
            <v>#DIV/0!</v>
          </cell>
        </row>
        <row r="335">
          <cell r="A335">
            <v>39779</v>
          </cell>
          <cell r="B335" t="str">
            <v>#Calc</v>
          </cell>
          <cell r="C335" t="e">
            <v>#DIV/0!</v>
          </cell>
          <cell r="D335" t="e">
            <v>#DIV/0!</v>
          </cell>
          <cell r="E335" t="e">
            <v>#DIV/0!</v>
          </cell>
        </row>
        <row r="336">
          <cell r="A336">
            <v>39780</v>
          </cell>
          <cell r="B336" t="str">
            <v>#Calc</v>
          </cell>
          <cell r="C336" t="e">
            <v>#DIV/0!</v>
          </cell>
          <cell r="D336" t="e">
            <v>#DIV/0!</v>
          </cell>
          <cell r="E336" t="e">
            <v>#DIV/0!</v>
          </cell>
        </row>
        <row r="337">
          <cell r="A337">
            <v>39781</v>
          </cell>
          <cell r="B337" t="str">
            <v>#Calc</v>
          </cell>
          <cell r="C337" t="e">
            <v>#DIV/0!</v>
          </cell>
          <cell r="D337" t="e">
            <v>#DIV/0!</v>
          </cell>
          <cell r="E337" t="e">
            <v>#DIV/0!</v>
          </cell>
        </row>
        <row r="338">
          <cell r="A338">
            <v>39782</v>
          </cell>
          <cell r="B338" t="str">
            <v>#Calc</v>
          </cell>
          <cell r="C338" t="e">
            <v>#DIV/0!</v>
          </cell>
          <cell r="D338" t="e">
            <v>#DIV/0!</v>
          </cell>
          <cell r="E338" t="e">
            <v>#DIV/0!</v>
          </cell>
        </row>
        <row r="339">
          <cell r="A339">
            <v>39783</v>
          </cell>
          <cell r="B339" t="str">
            <v>#Calc</v>
          </cell>
          <cell r="C339" t="e">
            <v>#DIV/0!</v>
          </cell>
          <cell r="D339" t="e">
            <v>#DIV/0!</v>
          </cell>
          <cell r="E339" t="e">
            <v>#DIV/0!</v>
          </cell>
        </row>
        <row r="340">
          <cell r="A340">
            <v>39784</v>
          </cell>
          <cell r="B340" t="str">
            <v>#Calc</v>
          </cell>
          <cell r="C340" t="e">
            <v>#DIV/0!</v>
          </cell>
          <cell r="D340" t="e">
            <v>#DIV/0!</v>
          </cell>
          <cell r="E340" t="e">
            <v>#DIV/0!</v>
          </cell>
        </row>
        <row r="341">
          <cell r="A341">
            <v>39785</v>
          </cell>
          <cell r="B341" t="str">
            <v>#Calc</v>
          </cell>
          <cell r="C341" t="e">
            <v>#DIV/0!</v>
          </cell>
          <cell r="D341" t="e">
            <v>#DIV/0!</v>
          </cell>
          <cell r="E341" t="e">
            <v>#DIV/0!</v>
          </cell>
        </row>
        <row r="342">
          <cell r="A342">
            <v>39786</v>
          </cell>
          <cell r="B342" t="str">
            <v>#Calc</v>
          </cell>
          <cell r="C342" t="e">
            <v>#DIV/0!</v>
          </cell>
          <cell r="D342" t="e">
            <v>#DIV/0!</v>
          </cell>
          <cell r="E342" t="e">
            <v>#DIV/0!</v>
          </cell>
        </row>
        <row r="343">
          <cell r="A343">
            <v>39787</v>
          </cell>
          <cell r="B343" t="str">
            <v>#Calc</v>
          </cell>
          <cell r="C343" t="e">
            <v>#DIV/0!</v>
          </cell>
          <cell r="D343" t="e">
            <v>#DIV/0!</v>
          </cell>
          <cell r="E343" t="e">
            <v>#DIV/0!</v>
          </cell>
        </row>
        <row r="344">
          <cell r="A344">
            <v>39788</v>
          </cell>
          <cell r="B344" t="str">
            <v>#Calc</v>
          </cell>
          <cell r="C344" t="e">
            <v>#DIV/0!</v>
          </cell>
          <cell r="D344" t="e">
            <v>#DIV/0!</v>
          </cell>
          <cell r="E344" t="e">
            <v>#DIV/0!</v>
          </cell>
        </row>
        <row r="345">
          <cell r="A345">
            <v>39789</v>
          </cell>
          <cell r="B345" t="str">
            <v>#Calc</v>
          </cell>
          <cell r="C345" t="e">
            <v>#DIV/0!</v>
          </cell>
          <cell r="D345" t="e">
            <v>#DIV/0!</v>
          </cell>
          <cell r="E345" t="e">
            <v>#DIV/0!</v>
          </cell>
        </row>
        <row r="346">
          <cell r="A346">
            <v>39790</v>
          </cell>
          <cell r="B346" t="str">
            <v>#Calc</v>
          </cell>
          <cell r="C346" t="e">
            <v>#DIV/0!</v>
          </cell>
          <cell r="D346" t="e">
            <v>#DIV/0!</v>
          </cell>
          <cell r="E346" t="e">
            <v>#DIV/0!</v>
          </cell>
        </row>
        <row r="347">
          <cell r="A347">
            <v>39791</v>
          </cell>
          <cell r="B347" t="str">
            <v>#Calc</v>
          </cell>
          <cell r="C347" t="e">
            <v>#DIV/0!</v>
          </cell>
          <cell r="D347" t="e">
            <v>#DIV/0!</v>
          </cell>
          <cell r="E347" t="e">
            <v>#DIV/0!</v>
          </cell>
        </row>
        <row r="348">
          <cell r="A348">
            <v>39792</v>
          </cell>
          <cell r="B348" t="str">
            <v>#Calc</v>
          </cell>
          <cell r="C348" t="e">
            <v>#DIV/0!</v>
          </cell>
          <cell r="D348" t="e">
            <v>#DIV/0!</v>
          </cell>
          <cell r="E348" t="e">
            <v>#DIV/0!</v>
          </cell>
        </row>
        <row r="349">
          <cell r="A349">
            <v>39793</v>
          </cell>
          <cell r="B349" t="str">
            <v>#Calc</v>
          </cell>
          <cell r="C349" t="e">
            <v>#DIV/0!</v>
          </cell>
          <cell r="D349" t="e">
            <v>#DIV/0!</v>
          </cell>
          <cell r="E349" t="e">
            <v>#DIV/0!</v>
          </cell>
        </row>
        <row r="350">
          <cell r="A350">
            <v>39794</v>
          </cell>
          <cell r="B350" t="str">
            <v>#Calc</v>
          </cell>
          <cell r="C350" t="e">
            <v>#DIV/0!</v>
          </cell>
          <cell r="D350" t="e">
            <v>#DIV/0!</v>
          </cell>
          <cell r="E350" t="e">
            <v>#DIV/0!</v>
          </cell>
        </row>
        <row r="351">
          <cell r="A351">
            <v>39795</v>
          </cell>
          <cell r="B351" t="str">
            <v>#Calc</v>
          </cell>
          <cell r="C351" t="e">
            <v>#DIV/0!</v>
          </cell>
          <cell r="D351" t="e">
            <v>#DIV/0!</v>
          </cell>
          <cell r="E351" t="e">
            <v>#DIV/0!</v>
          </cell>
        </row>
        <row r="352">
          <cell r="A352">
            <v>39796</v>
          </cell>
          <cell r="B352" t="str">
            <v>#Calc</v>
          </cell>
          <cell r="C352" t="e">
            <v>#DIV/0!</v>
          </cell>
          <cell r="D352" t="e">
            <v>#DIV/0!</v>
          </cell>
          <cell r="E352" t="e">
            <v>#DIV/0!</v>
          </cell>
        </row>
        <row r="353">
          <cell r="A353">
            <v>39797</v>
          </cell>
          <cell r="B353" t="str">
            <v>#Calc</v>
          </cell>
          <cell r="C353" t="e">
            <v>#DIV/0!</v>
          </cell>
          <cell r="D353" t="e">
            <v>#DIV/0!</v>
          </cell>
          <cell r="E353" t="e">
            <v>#DIV/0!</v>
          </cell>
        </row>
        <row r="354">
          <cell r="A354">
            <v>39798</v>
          </cell>
          <cell r="B354" t="str">
            <v>#Calc</v>
          </cell>
          <cell r="C354" t="e">
            <v>#DIV/0!</v>
          </cell>
          <cell r="D354" t="e">
            <v>#DIV/0!</v>
          </cell>
          <cell r="E354" t="e">
            <v>#DIV/0!</v>
          </cell>
        </row>
        <row r="355">
          <cell r="A355">
            <v>39799</v>
          </cell>
          <cell r="B355" t="str">
            <v>#Calc</v>
          </cell>
          <cell r="C355" t="e">
            <v>#DIV/0!</v>
          </cell>
          <cell r="D355" t="e">
            <v>#DIV/0!</v>
          </cell>
          <cell r="E355" t="e">
            <v>#DIV/0!</v>
          </cell>
        </row>
        <row r="356">
          <cell r="A356">
            <v>39800</v>
          </cell>
          <cell r="B356" t="str">
            <v>#Calc</v>
          </cell>
          <cell r="C356" t="e">
            <v>#DIV/0!</v>
          </cell>
          <cell r="D356" t="e">
            <v>#DIV/0!</v>
          </cell>
          <cell r="E356" t="e">
            <v>#DIV/0!</v>
          </cell>
        </row>
        <row r="357">
          <cell r="A357">
            <v>39801</v>
          </cell>
          <cell r="B357" t="str">
            <v>#Calc</v>
          </cell>
          <cell r="C357" t="e">
            <v>#DIV/0!</v>
          </cell>
          <cell r="D357" t="e">
            <v>#DIV/0!</v>
          </cell>
          <cell r="E357" t="e">
            <v>#DIV/0!</v>
          </cell>
        </row>
        <row r="358">
          <cell r="A358">
            <v>39802</v>
          </cell>
          <cell r="B358" t="str">
            <v>#Calc</v>
          </cell>
          <cell r="C358" t="e">
            <v>#DIV/0!</v>
          </cell>
          <cell r="D358" t="e">
            <v>#DIV/0!</v>
          </cell>
          <cell r="E358" t="e">
            <v>#DIV/0!</v>
          </cell>
        </row>
        <row r="359">
          <cell r="A359">
            <v>39803</v>
          </cell>
          <cell r="B359" t="str">
            <v>#Calc</v>
          </cell>
          <cell r="C359" t="e">
            <v>#DIV/0!</v>
          </cell>
          <cell r="D359" t="e">
            <v>#DIV/0!</v>
          </cell>
          <cell r="E359" t="e">
            <v>#DIV/0!</v>
          </cell>
        </row>
        <row r="360">
          <cell r="A360">
            <v>39804</v>
          </cell>
          <cell r="B360" t="str">
            <v>#Calc</v>
          </cell>
          <cell r="C360" t="e">
            <v>#DIV/0!</v>
          </cell>
          <cell r="D360" t="e">
            <v>#DIV/0!</v>
          </cell>
          <cell r="E360" t="e">
            <v>#DIV/0!</v>
          </cell>
        </row>
        <row r="361">
          <cell r="A361">
            <v>39805</v>
          </cell>
          <cell r="B361" t="str">
            <v>#Calc</v>
          </cell>
          <cell r="C361" t="e">
            <v>#DIV/0!</v>
          </cell>
          <cell r="D361" t="e">
            <v>#DIV/0!</v>
          </cell>
          <cell r="E361" t="e">
            <v>#DIV/0!</v>
          </cell>
        </row>
        <row r="362">
          <cell r="A362">
            <v>39806</v>
          </cell>
          <cell r="B362" t="str">
            <v>#Calc</v>
          </cell>
          <cell r="C362" t="e">
            <v>#DIV/0!</v>
          </cell>
          <cell r="D362" t="e">
            <v>#DIV/0!</v>
          </cell>
          <cell r="E362" t="e">
            <v>#DIV/0!</v>
          </cell>
        </row>
        <row r="363">
          <cell r="A363">
            <v>39807</v>
          </cell>
          <cell r="B363" t="str">
            <v>#Calc</v>
          </cell>
          <cell r="C363" t="e">
            <v>#DIV/0!</v>
          </cell>
          <cell r="D363" t="e">
            <v>#DIV/0!</v>
          </cell>
          <cell r="E363" t="e">
            <v>#DIV/0!</v>
          </cell>
        </row>
        <row r="364">
          <cell r="A364">
            <v>39808</v>
          </cell>
          <cell r="B364" t="str">
            <v>#Calc</v>
          </cell>
          <cell r="C364" t="e">
            <v>#DIV/0!</v>
          </cell>
          <cell r="D364" t="e">
            <v>#DIV/0!</v>
          </cell>
          <cell r="E364" t="e">
            <v>#DIV/0!</v>
          </cell>
        </row>
        <row r="365">
          <cell r="A365">
            <v>39809</v>
          </cell>
          <cell r="B365" t="str">
            <v>#Calc</v>
          </cell>
          <cell r="C365" t="e">
            <v>#DIV/0!</v>
          </cell>
          <cell r="D365" t="e">
            <v>#DIV/0!</v>
          </cell>
          <cell r="E365" t="e">
            <v>#DIV/0!</v>
          </cell>
        </row>
        <row r="366">
          <cell r="A366">
            <v>39810</v>
          </cell>
          <cell r="B366" t="str">
            <v>#Calc</v>
          </cell>
          <cell r="C366" t="e">
            <v>#DIV/0!</v>
          </cell>
          <cell r="D366" t="e">
            <v>#DIV/0!</v>
          </cell>
          <cell r="E366" t="e">
            <v>#DIV/0!</v>
          </cell>
        </row>
        <row r="367">
          <cell r="A367">
            <v>39811</v>
          </cell>
          <cell r="B367" t="str">
            <v>#Calc</v>
          </cell>
          <cell r="C367" t="e">
            <v>#DIV/0!</v>
          </cell>
          <cell r="D367" t="e">
            <v>#DIV/0!</v>
          </cell>
          <cell r="E367" t="e">
            <v>#DIV/0!</v>
          </cell>
        </row>
        <row r="368">
          <cell r="A368">
            <v>39812</v>
          </cell>
          <cell r="B368" t="str">
            <v>#Calc</v>
          </cell>
          <cell r="C368" t="e">
            <v>#DIV/0!</v>
          </cell>
          <cell r="D368" t="e">
            <v>#DIV/0!</v>
          </cell>
          <cell r="E368" t="e">
            <v>#DIV/0!</v>
          </cell>
        </row>
        <row r="369">
          <cell r="A369">
            <v>39813</v>
          </cell>
          <cell r="B369" t="str">
            <v>#Calc</v>
          </cell>
          <cell r="C369" t="e">
            <v>#DIV/0!</v>
          </cell>
          <cell r="D369" t="e">
            <v>#DIV/0!</v>
          </cell>
          <cell r="E369" t="e">
            <v>#DIV/0!</v>
          </cell>
        </row>
        <row r="370">
          <cell r="A370">
            <v>39814</v>
          </cell>
          <cell r="B370" t="str">
            <v>#Calc</v>
          </cell>
          <cell r="C370" t="e">
            <v>#DIV/0!</v>
          </cell>
          <cell r="D370" t="e">
            <v>#DIV/0!</v>
          </cell>
          <cell r="E370" t="e">
            <v>#DIV/0!</v>
          </cell>
        </row>
        <row r="371">
          <cell r="A371">
            <v>39815</v>
          </cell>
          <cell r="B371" t="str">
            <v>#Calc</v>
          </cell>
          <cell r="C371" t="e">
            <v>#DIV/0!</v>
          </cell>
          <cell r="D371" t="e">
            <v>#DIV/0!</v>
          </cell>
          <cell r="E371" t="e">
            <v>#DIV/0!</v>
          </cell>
        </row>
        <row r="372">
          <cell r="A372">
            <v>39816</v>
          </cell>
          <cell r="B372" t="str">
            <v>#Calc</v>
          </cell>
          <cell r="C372" t="e">
            <v>#DIV/0!</v>
          </cell>
          <cell r="D372" t="e">
            <v>#DIV/0!</v>
          </cell>
          <cell r="E372" t="e">
            <v>#DIV/0!</v>
          </cell>
        </row>
        <row r="373">
          <cell r="A373">
            <v>39817</v>
          </cell>
          <cell r="B373" t="str">
            <v>#Calc</v>
          </cell>
          <cell r="C373" t="e">
            <v>#DIV/0!</v>
          </cell>
          <cell r="D373" t="e">
            <v>#DIV/0!</v>
          </cell>
          <cell r="E373" t="e">
            <v>#DIV/0!</v>
          </cell>
        </row>
        <row r="374">
          <cell r="A374">
            <v>39818</v>
          </cell>
          <cell r="B374" t="str">
            <v>#Calc</v>
          </cell>
          <cell r="C374" t="e">
            <v>#DIV/0!</v>
          </cell>
          <cell r="D374" t="e">
            <v>#DIV/0!</v>
          </cell>
          <cell r="E374" t="e">
            <v>#DIV/0!</v>
          </cell>
        </row>
        <row r="375">
          <cell r="A375">
            <v>39819</v>
          </cell>
          <cell r="B375" t="str">
            <v>#Calc</v>
          </cell>
          <cell r="C375" t="e">
            <v>#DIV/0!</v>
          </cell>
          <cell r="D375" t="e">
            <v>#DIV/0!</v>
          </cell>
          <cell r="E375" t="e">
            <v>#DIV/0!</v>
          </cell>
        </row>
        <row r="376">
          <cell r="A376">
            <v>39820</v>
          </cell>
          <cell r="B376" t="str">
            <v>#Calc</v>
          </cell>
          <cell r="C376" t="e">
            <v>#DIV/0!</v>
          </cell>
          <cell r="D376" t="e">
            <v>#DIV/0!</v>
          </cell>
          <cell r="E376" t="e">
            <v>#DIV/0!</v>
          </cell>
        </row>
        <row r="377">
          <cell r="A377">
            <v>39821</v>
          </cell>
          <cell r="B377" t="str">
            <v>#Calc</v>
          </cell>
          <cell r="C377" t="e">
            <v>#DIV/0!</v>
          </cell>
          <cell r="D377" t="e">
            <v>#DIV/0!</v>
          </cell>
          <cell r="E377" t="e">
            <v>#DIV/0!</v>
          </cell>
        </row>
        <row r="378">
          <cell r="A378">
            <v>39822</v>
          </cell>
          <cell r="B378" t="str">
            <v>#Calc</v>
          </cell>
          <cell r="C378" t="e">
            <v>#DIV/0!</v>
          </cell>
          <cell r="D378" t="e">
            <v>#DIV/0!</v>
          </cell>
          <cell r="E378" t="e">
            <v>#DIV/0!</v>
          </cell>
        </row>
        <row r="379">
          <cell r="A379">
            <v>39823</v>
          </cell>
          <cell r="B379" t="str">
            <v>#Calc</v>
          </cell>
          <cell r="C379" t="e">
            <v>#DIV/0!</v>
          </cell>
          <cell r="D379" t="e">
            <v>#DIV/0!</v>
          </cell>
          <cell r="E379" t="e">
            <v>#DIV/0!</v>
          </cell>
        </row>
        <row r="380">
          <cell r="A380">
            <v>39824</v>
          </cell>
          <cell r="B380" t="str">
            <v>#Calc</v>
          </cell>
          <cell r="C380" t="e">
            <v>#DIV/0!</v>
          </cell>
          <cell r="D380" t="e">
            <v>#DIV/0!</v>
          </cell>
          <cell r="E380" t="e">
            <v>#DIV/0!</v>
          </cell>
        </row>
        <row r="381">
          <cell r="A381">
            <v>39825</v>
          </cell>
          <cell r="B381" t="str">
            <v>#Calc</v>
          </cell>
          <cell r="C381" t="e">
            <v>#DIV/0!</v>
          </cell>
          <cell r="D381" t="e">
            <v>#DIV/0!</v>
          </cell>
          <cell r="E381" t="e">
            <v>#DIV/0!</v>
          </cell>
        </row>
        <row r="382">
          <cell r="A382">
            <v>39826</v>
          </cell>
          <cell r="B382" t="str">
            <v>#Calc</v>
          </cell>
          <cell r="C382" t="e">
            <v>#DIV/0!</v>
          </cell>
          <cell r="D382" t="e">
            <v>#DIV/0!</v>
          </cell>
          <cell r="E382" t="e">
            <v>#DIV/0!</v>
          </cell>
        </row>
        <row r="383">
          <cell r="A383">
            <v>39827</v>
          </cell>
          <cell r="B383" t="str">
            <v>#Calc</v>
          </cell>
          <cell r="C383" t="e">
            <v>#DIV/0!</v>
          </cell>
          <cell r="D383" t="e">
            <v>#DIV/0!</v>
          </cell>
          <cell r="E383" t="e">
            <v>#DIV/0!</v>
          </cell>
        </row>
        <row r="384">
          <cell r="A384">
            <v>39828</v>
          </cell>
          <cell r="B384" t="str">
            <v>#Calc</v>
          </cell>
          <cell r="C384" t="e">
            <v>#DIV/0!</v>
          </cell>
          <cell r="D384" t="e">
            <v>#DIV/0!</v>
          </cell>
          <cell r="E384" t="e">
            <v>#DIV/0!</v>
          </cell>
        </row>
        <row r="385">
          <cell r="A385">
            <v>39829</v>
          </cell>
          <cell r="B385" t="str">
            <v>#Calc</v>
          </cell>
          <cell r="C385" t="e">
            <v>#DIV/0!</v>
          </cell>
          <cell r="D385" t="e">
            <v>#DIV/0!</v>
          </cell>
          <cell r="E385" t="e">
            <v>#DIV/0!</v>
          </cell>
        </row>
        <row r="386">
          <cell r="A386">
            <v>39830</v>
          </cell>
          <cell r="B386" t="str">
            <v>#Calc</v>
          </cell>
          <cell r="C386" t="e">
            <v>#DIV/0!</v>
          </cell>
          <cell r="D386" t="e">
            <v>#DIV/0!</v>
          </cell>
          <cell r="E386" t="e">
            <v>#DIV/0!</v>
          </cell>
        </row>
        <row r="387">
          <cell r="A387">
            <v>39831</v>
          </cell>
          <cell r="B387" t="str">
            <v>#Calc</v>
          </cell>
          <cell r="C387" t="e">
            <v>#DIV/0!</v>
          </cell>
          <cell r="D387" t="e">
            <v>#DIV/0!</v>
          </cell>
          <cell r="E387" t="e">
            <v>#DIV/0!</v>
          </cell>
        </row>
        <row r="388">
          <cell r="A388">
            <v>39832</v>
          </cell>
          <cell r="B388" t="str">
            <v>#Calc</v>
          </cell>
          <cell r="C388" t="e">
            <v>#DIV/0!</v>
          </cell>
          <cell r="D388" t="e">
            <v>#DIV/0!</v>
          </cell>
          <cell r="E388" t="e">
            <v>#DIV/0!</v>
          </cell>
        </row>
        <row r="389">
          <cell r="A389">
            <v>39833</v>
          </cell>
          <cell r="B389" t="str">
            <v>#Calc</v>
          </cell>
          <cell r="C389" t="e">
            <v>#DIV/0!</v>
          </cell>
          <cell r="D389" t="e">
            <v>#DIV/0!</v>
          </cell>
          <cell r="E389" t="e">
            <v>#DIV/0!</v>
          </cell>
        </row>
        <row r="390">
          <cell r="A390">
            <v>39834</v>
          </cell>
          <cell r="B390" t="str">
            <v>#Calc</v>
          </cell>
          <cell r="C390" t="e">
            <v>#DIV/0!</v>
          </cell>
          <cell r="D390" t="e">
            <v>#DIV/0!</v>
          </cell>
          <cell r="E390" t="e">
            <v>#DIV/0!</v>
          </cell>
        </row>
        <row r="391">
          <cell r="A391">
            <v>39835</v>
          </cell>
          <cell r="B391" t="str">
            <v>#Calc</v>
          </cell>
          <cell r="C391" t="e">
            <v>#DIV/0!</v>
          </cell>
          <cell r="D391" t="e">
            <v>#DIV/0!</v>
          </cell>
          <cell r="E391" t="e">
            <v>#DIV/0!</v>
          </cell>
        </row>
        <row r="392">
          <cell r="A392">
            <v>39836</v>
          </cell>
          <cell r="B392" t="str">
            <v>#Calc</v>
          </cell>
          <cell r="C392" t="e">
            <v>#DIV/0!</v>
          </cell>
          <cell r="D392" t="e">
            <v>#DIV/0!</v>
          </cell>
          <cell r="E392" t="e">
            <v>#DIV/0!</v>
          </cell>
        </row>
        <row r="393">
          <cell r="A393">
            <v>39837</v>
          </cell>
          <cell r="B393" t="str">
            <v>#Calc</v>
          </cell>
          <cell r="C393" t="e">
            <v>#DIV/0!</v>
          </cell>
          <cell r="D393" t="e">
            <v>#DIV/0!</v>
          </cell>
          <cell r="E393" t="e">
            <v>#DIV/0!</v>
          </cell>
        </row>
        <row r="394">
          <cell r="A394">
            <v>39838</v>
          </cell>
          <cell r="B394" t="str">
            <v>#Calc</v>
          </cell>
          <cell r="C394" t="e">
            <v>#DIV/0!</v>
          </cell>
          <cell r="D394" t="e">
            <v>#DIV/0!</v>
          </cell>
          <cell r="E394" t="e">
            <v>#DIV/0!</v>
          </cell>
        </row>
        <row r="395">
          <cell r="A395">
            <v>39839</v>
          </cell>
          <cell r="B395" t="str">
            <v>#Calc</v>
          </cell>
          <cell r="C395" t="e">
            <v>#DIV/0!</v>
          </cell>
          <cell r="D395" t="e">
            <v>#DIV/0!</v>
          </cell>
          <cell r="E395" t="e">
            <v>#DIV/0!</v>
          </cell>
        </row>
        <row r="396">
          <cell r="A396">
            <v>39840</v>
          </cell>
          <cell r="B396" t="str">
            <v>#Calc</v>
          </cell>
          <cell r="C396" t="e">
            <v>#DIV/0!</v>
          </cell>
          <cell r="D396" t="e">
            <v>#DIV/0!</v>
          </cell>
          <cell r="E396" t="e">
            <v>#DIV/0!</v>
          </cell>
        </row>
        <row r="397">
          <cell r="A397">
            <v>39841</v>
          </cell>
          <cell r="B397" t="str">
            <v>#Calc</v>
          </cell>
          <cell r="C397" t="e">
            <v>#DIV/0!</v>
          </cell>
          <cell r="D397" t="e">
            <v>#DIV/0!</v>
          </cell>
          <cell r="E397" t="e">
            <v>#DIV/0!</v>
          </cell>
        </row>
        <row r="398">
          <cell r="A398">
            <v>39842</v>
          </cell>
          <cell r="B398" t="str">
            <v>#Calc</v>
          </cell>
          <cell r="C398" t="e">
            <v>#DIV/0!</v>
          </cell>
          <cell r="D398" t="e">
            <v>#DIV/0!</v>
          </cell>
          <cell r="E398" t="e">
            <v>#DIV/0!</v>
          </cell>
        </row>
        <row r="399">
          <cell r="A399">
            <v>39843</v>
          </cell>
          <cell r="B399" t="str">
            <v>#Calc</v>
          </cell>
          <cell r="C399" t="e">
            <v>#DIV/0!</v>
          </cell>
          <cell r="D399" t="e">
            <v>#DIV/0!</v>
          </cell>
          <cell r="E399" t="e">
            <v>#DIV/0!</v>
          </cell>
        </row>
        <row r="400">
          <cell r="A400">
            <v>39844</v>
          </cell>
          <cell r="B400" t="str">
            <v>#Calc</v>
          </cell>
          <cell r="C400" t="e">
            <v>#DIV/0!</v>
          </cell>
          <cell r="D400" t="e">
            <v>#DIV/0!</v>
          </cell>
          <cell r="E400" t="e">
            <v>#DIV/0!</v>
          </cell>
        </row>
        <row r="401">
          <cell r="A401">
            <v>39845</v>
          </cell>
          <cell r="B401" t="str">
            <v>#Calc</v>
          </cell>
          <cell r="C401" t="e">
            <v>#DIV/0!</v>
          </cell>
          <cell r="D401" t="e">
            <v>#DIV/0!</v>
          </cell>
          <cell r="E401" t="e">
            <v>#DIV/0!</v>
          </cell>
        </row>
        <row r="402">
          <cell r="A402">
            <v>39846</v>
          </cell>
          <cell r="B402" t="str">
            <v>#Calc</v>
          </cell>
          <cell r="C402" t="e">
            <v>#DIV/0!</v>
          </cell>
          <cell r="D402" t="e">
            <v>#DIV/0!</v>
          </cell>
          <cell r="E402" t="e">
            <v>#DIV/0!</v>
          </cell>
        </row>
        <row r="403">
          <cell r="A403">
            <v>39847</v>
          </cell>
          <cell r="B403" t="str">
            <v>#Calc</v>
          </cell>
          <cell r="C403" t="e">
            <v>#DIV/0!</v>
          </cell>
          <cell r="D403" t="e">
            <v>#DIV/0!</v>
          </cell>
          <cell r="E403" t="e">
            <v>#DIV/0!</v>
          </cell>
        </row>
        <row r="404">
          <cell r="A404">
            <v>39848</v>
          </cell>
          <cell r="B404" t="str">
            <v>#Calc</v>
          </cell>
          <cell r="C404" t="e">
            <v>#DIV/0!</v>
          </cell>
          <cell r="D404" t="e">
            <v>#DIV/0!</v>
          </cell>
          <cell r="E404" t="e">
            <v>#DIV/0!</v>
          </cell>
        </row>
        <row r="405">
          <cell r="A405">
            <v>39849</v>
          </cell>
          <cell r="B405" t="str">
            <v>#Calc</v>
          </cell>
          <cell r="C405" t="e">
            <v>#DIV/0!</v>
          </cell>
          <cell r="D405" t="e">
            <v>#DIV/0!</v>
          </cell>
          <cell r="E405" t="e">
            <v>#DIV/0!</v>
          </cell>
        </row>
        <row r="406">
          <cell r="A406">
            <v>39850</v>
          </cell>
          <cell r="B406" t="str">
            <v>#Calc</v>
          </cell>
          <cell r="C406" t="e">
            <v>#DIV/0!</v>
          </cell>
          <cell r="D406" t="e">
            <v>#DIV/0!</v>
          </cell>
          <cell r="E406" t="e">
            <v>#DIV/0!</v>
          </cell>
        </row>
        <row r="407">
          <cell r="A407">
            <v>39851</v>
          </cell>
          <cell r="B407" t="str">
            <v>#Calc</v>
          </cell>
          <cell r="C407" t="e">
            <v>#DIV/0!</v>
          </cell>
          <cell r="D407" t="e">
            <v>#DIV/0!</v>
          </cell>
          <cell r="E407" t="e">
            <v>#DIV/0!</v>
          </cell>
        </row>
        <row r="408">
          <cell r="A408">
            <v>39852</v>
          </cell>
          <cell r="B408" t="str">
            <v>#Calc</v>
          </cell>
          <cell r="C408" t="e">
            <v>#DIV/0!</v>
          </cell>
          <cell r="D408" t="e">
            <v>#DIV/0!</v>
          </cell>
          <cell r="E408" t="e">
            <v>#DIV/0!</v>
          </cell>
        </row>
        <row r="409">
          <cell r="A409">
            <v>39853</v>
          </cell>
          <cell r="B409" t="str">
            <v>#Calc</v>
          </cell>
          <cell r="C409" t="e">
            <v>#DIV/0!</v>
          </cell>
          <cell r="D409" t="e">
            <v>#DIV/0!</v>
          </cell>
          <cell r="E409" t="e">
            <v>#DIV/0!</v>
          </cell>
        </row>
        <row r="410">
          <cell r="A410">
            <v>39854</v>
          </cell>
          <cell r="B410" t="str">
            <v>#Calc</v>
          </cell>
          <cell r="C410" t="e">
            <v>#DIV/0!</v>
          </cell>
          <cell r="D410" t="e">
            <v>#DIV/0!</v>
          </cell>
          <cell r="E410" t="e">
            <v>#DIV/0!</v>
          </cell>
        </row>
        <row r="411">
          <cell r="A411">
            <v>39855</v>
          </cell>
          <cell r="B411" t="str">
            <v>#Calc</v>
          </cell>
          <cell r="C411" t="e">
            <v>#DIV/0!</v>
          </cell>
          <cell r="D411" t="e">
            <v>#DIV/0!</v>
          </cell>
          <cell r="E411" t="e">
            <v>#DIV/0!</v>
          </cell>
        </row>
        <row r="412">
          <cell r="A412">
            <v>39856</v>
          </cell>
          <cell r="B412" t="str">
            <v>#Calc</v>
          </cell>
          <cell r="C412" t="e">
            <v>#DIV/0!</v>
          </cell>
          <cell r="D412" t="e">
            <v>#DIV/0!</v>
          </cell>
          <cell r="E412" t="e">
            <v>#DIV/0!</v>
          </cell>
        </row>
        <row r="413">
          <cell r="A413">
            <v>39857</v>
          </cell>
          <cell r="B413" t="str">
            <v>#Calc</v>
          </cell>
          <cell r="C413" t="e">
            <v>#DIV/0!</v>
          </cell>
          <cell r="D413" t="e">
            <v>#DIV/0!</v>
          </cell>
          <cell r="E413" t="e">
            <v>#DIV/0!</v>
          </cell>
        </row>
        <row r="414">
          <cell r="A414">
            <v>39858</v>
          </cell>
          <cell r="B414" t="str">
            <v>#Calc</v>
          </cell>
          <cell r="C414" t="e">
            <v>#DIV/0!</v>
          </cell>
          <cell r="D414" t="e">
            <v>#DIV/0!</v>
          </cell>
          <cell r="E414" t="e">
            <v>#DIV/0!</v>
          </cell>
        </row>
        <row r="415">
          <cell r="A415">
            <v>39859</v>
          </cell>
          <cell r="B415" t="str">
            <v>#Calc</v>
          </cell>
          <cell r="C415" t="e">
            <v>#DIV/0!</v>
          </cell>
          <cell r="D415" t="e">
            <v>#DIV/0!</v>
          </cell>
          <cell r="E415" t="e">
            <v>#DIV/0!</v>
          </cell>
        </row>
        <row r="416">
          <cell r="A416">
            <v>39860</v>
          </cell>
          <cell r="B416" t="str">
            <v>#Calc</v>
          </cell>
          <cell r="C416" t="e">
            <v>#DIV/0!</v>
          </cell>
          <cell r="D416" t="e">
            <v>#DIV/0!</v>
          </cell>
          <cell r="E416" t="e">
            <v>#DIV/0!</v>
          </cell>
        </row>
        <row r="417">
          <cell r="A417">
            <v>39861</v>
          </cell>
          <cell r="B417" t="str">
            <v>#Calc</v>
          </cell>
          <cell r="C417" t="e">
            <v>#DIV/0!</v>
          </cell>
          <cell r="D417" t="e">
            <v>#DIV/0!</v>
          </cell>
          <cell r="E417" t="e">
            <v>#DIV/0!</v>
          </cell>
        </row>
        <row r="418">
          <cell r="A418">
            <v>39862</v>
          </cell>
          <cell r="B418" t="str">
            <v>#Calc</v>
          </cell>
          <cell r="C418" t="e">
            <v>#DIV/0!</v>
          </cell>
          <cell r="D418" t="e">
            <v>#DIV/0!</v>
          </cell>
          <cell r="E418" t="e">
            <v>#DIV/0!</v>
          </cell>
        </row>
        <row r="419">
          <cell r="A419">
            <v>39863</v>
          </cell>
          <cell r="B419" t="str">
            <v>#Calc</v>
          </cell>
          <cell r="C419" t="e">
            <v>#DIV/0!</v>
          </cell>
          <cell r="D419" t="e">
            <v>#DIV/0!</v>
          </cell>
          <cell r="E419" t="e">
            <v>#DIV/0!</v>
          </cell>
        </row>
        <row r="420">
          <cell r="A420">
            <v>39864</v>
          </cell>
          <cell r="B420" t="str">
            <v>#Calc</v>
          </cell>
          <cell r="C420" t="e">
            <v>#DIV/0!</v>
          </cell>
          <cell r="D420" t="e">
            <v>#DIV/0!</v>
          </cell>
          <cell r="E420" t="e">
            <v>#DIV/0!</v>
          </cell>
        </row>
        <row r="421">
          <cell r="A421">
            <v>39865</v>
          </cell>
          <cell r="B421" t="str">
            <v>#Calc</v>
          </cell>
          <cell r="C421" t="e">
            <v>#DIV/0!</v>
          </cell>
          <cell r="D421" t="e">
            <v>#DIV/0!</v>
          </cell>
          <cell r="E421" t="e">
            <v>#DIV/0!</v>
          </cell>
        </row>
        <row r="422">
          <cell r="A422">
            <v>39866</v>
          </cell>
          <cell r="B422" t="str">
            <v>#Calc</v>
          </cell>
          <cell r="C422" t="e">
            <v>#DIV/0!</v>
          </cell>
          <cell r="D422" t="e">
            <v>#DIV/0!</v>
          </cell>
          <cell r="E422" t="e">
            <v>#DIV/0!</v>
          </cell>
        </row>
        <row r="423">
          <cell r="A423">
            <v>39867</v>
          </cell>
          <cell r="B423" t="str">
            <v>#Calc</v>
          </cell>
          <cell r="C423" t="e">
            <v>#DIV/0!</v>
          </cell>
          <cell r="D423" t="e">
            <v>#DIV/0!</v>
          </cell>
          <cell r="E423" t="e">
            <v>#DIV/0!</v>
          </cell>
        </row>
        <row r="424">
          <cell r="A424">
            <v>39868</v>
          </cell>
          <cell r="B424" t="str">
            <v>#Calc</v>
          </cell>
          <cell r="C424" t="e">
            <v>#DIV/0!</v>
          </cell>
          <cell r="D424" t="e">
            <v>#DIV/0!</v>
          </cell>
          <cell r="E424" t="e">
            <v>#DIV/0!</v>
          </cell>
        </row>
        <row r="425">
          <cell r="A425">
            <v>39869</v>
          </cell>
          <cell r="B425" t="str">
            <v>#Calc</v>
          </cell>
          <cell r="C425" t="e">
            <v>#DIV/0!</v>
          </cell>
          <cell r="D425" t="e">
            <v>#DIV/0!</v>
          </cell>
          <cell r="E425" t="e">
            <v>#DIV/0!</v>
          </cell>
        </row>
        <row r="426">
          <cell r="A426">
            <v>39870</v>
          </cell>
          <cell r="B426" t="str">
            <v>#Calc</v>
          </cell>
          <cell r="C426" t="e">
            <v>#DIV/0!</v>
          </cell>
          <cell r="D426" t="e">
            <v>#DIV/0!</v>
          </cell>
          <cell r="E426" t="e">
            <v>#DIV/0!</v>
          </cell>
        </row>
        <row r="427">
          <cell r="A427">
            <v>39871</v>
          </cell>
          <cell r="B427" t="str">
            <v>#Calc</v>
          </cell>
          <cell r="C427" t="e">
            <v>#DIV/0!</v>
          </cell>
          <cell r="D427" t="e">
            <v>#DIV/0!</v>
          </cell>
          <cell r="E427" t="e">
            <v>#DIV/0!</v>
          </cell>
        </row>
        <row r="428">
          <cell r="A428">
            <v>39872</v>
          </cell>
          <cell r="B428" t="str">
            <v>#Calc</v>
          </cell>
          <cell r="C428" t="e">
            <v>#DIV/0!</v>
          </cell>
          <cell r="D428" t="e">
            <v>#DIV/0!</v>
          </cell>
          <cell r="E428" t="e">
            <v>#DIV/0!</v>
          </cell>
        </row>
        <row r="429">
          <cell r="A429">
            <v>39873</v>
          </cell>
          <cell r="B429" t="str">
            <v>#Calc</v>
          </cell>
          <cell r="C429" t="e">
            <v>#DIV/0!</v>
          </cell>
          <cell r="D429" t="e">
            <v>#DIV/0!</v>
          </cell>
          <cell r="E429" t="e">
            <v>#DIV/0!</v>
          </cell>
        </row>
        <row r="430">
          <cell r="A430">
            <v>39874</v>
          </cell>
          <cell r="B430" t="str">
            <v>#Calc</v>
          </cell>
          <cell r="C430" t="e">
            <v>#DIV/0!</v>
          </cell>
          <cell r="D430" t="e">
            <v>#DIV/0!</v>
          </cell>
          <cell r="E430" t="e">
            <v>#DIV/0!</v>
          </cell>
        </row>
        <row r="431">
          <cell r="A431">
            <v>39875</v>
          </cell>
          <cell r="B431" t="str">
            <v>#Calc</v>
          </cell>
          <cell r="C431" t="e">
            <v>#DIV/0!</v>
          </cell>
          <cell r="D431" t="e">
            <v>#DIV/0!</v>
          </cell>
          <cell r="E431" t="e">
            <v>#DIV/0!</v>
          </cell>
        </row>
        <row r="432">
          <cell r="A432">
            <v>39876</v>
          </cell>
          <cell r="B432" t="str">
            <v>#Calc</v>
          </cell>
          <cell r="C432" t="e">
            <v>#DIV/0!</v>
          </cell>
          <cell r="D432" t="e">
            <v>#DIV/0!</v>
          </cell>
          <cell r="E432" t="e">
            <v>#DIV/0!</v>
          </cell>
        </row>
        <row r="433">
          <cell r="A433">
            <v>39877</v>
          </cell>
          <cell r="B433" t="str">
            <v>#Calc</v>
          </cell>
          <cell r="C433" t="e">
            <v>#DIV/0!</v>
          </cell>
          <cell r="D433" t="e">
            <v>#DIV/0!</v>
          </cell>
          <cell r="E433" t="e">
            <v>#DIV/0!</v>
          </cell>
        </row>
        <row r="434">
          <cell r="A434">
            <v>39878</v>
          </cell>
          <cell r="B434" t="str">
            <v>#Calc</v>
          </cell>
          <cell r="C434" t="e">
            <v>#DIV/0!</v>
          </cell>
          <cell r="D434" t="e">
            <v>#DIV/0!</v>
          </cell>
          <cell r="E434" t="e">
            <v>#DIV/0!</v>
          </cell>
        </row>
        <row r="435">
          <cell r="A435">
            <v>39879</v>
          </cell>
          <cell r="B435" t="str">
            <v>#Calc</v>
          </cell>
          <cell r="C435" t="e">
            <v>#DIV/0!</v>
          </cell>
          <cell r="D435" t="e">
            <v>#DIV/0!</v>
          </cell>
          <cell r="E435" t="e">
            <v>#DIV/0!</v>
          </cell>
        </row>
        <row r="436">
          <cell r="A436">
            <v>39880</v>
          </cell>
          <cell r="B436" t="str">
            <v>#Calc</v>
          </cell>
          <cell r="C436" t="e">
            <v>#DIV/0!</v>
          </cell>
          <cell r="D436" t="e">
            <v>#DIV/0!</v>
          </cell>
          <cell r="E436" t="e">
            <v>#DIV/0!</v>
          </cell>
        </row>
        <row r="437">
          <cell r="A437">
            <v>39881</v>
          </cell>
          <cell r="B437" t="str">
            <v>#Calc</v>
          </cell>
          <cell r="C437" t="e">
            <v>#DIV/0!</v>
          </cell>
          <cell r="D437" t="e">
            <v>#DIV/0!</v>
          </cell>
          <cell r="E437" t="e">
            <v>#DIV/0!</v>
          </cell>
        </row>
        <row r="438">
          <cell r="A438">
            <v>39882</v>
          </cell>
          <cell r="B438" t="str">
            <v>#Calc</v>
          </cell>
          <cell r="C438" t="e">
            <v>#DIV/0!</v>
          </cell>
          <cell r="D438" t="e">
            <v>#DIV/0!</v>
          </cell>
          <cell r="E438" t="e">
            <v>#DIV/0!</v>
          </cell>
        </row>
        <row r="439">
          <cell r="A439">
            <v>39883</v>
          </cell>
          <cell r="B439" t="str">
            <v>#Calc</v>
          </cell>
          <cell r="C439" t="e">
            <v>#DIV/0!</v>
          </cell>
          <cell r="D439" t="e">
            <v>#DIV/0!</v>
          </cell>
          <cell r="E439" t="e">
            <v>#DIV/0!</v>
          </cell>
        </row>
        <row r="440">
          <cell r="A440">
            <v>39884</v>
          </cell>
          <cell r="B440" t="str">
            <v>#Calc</v>
          </cell>
          <cell r="C440" t="e">
            <v>#DIV/0!</v>
          </cell>
          <cell r="D440" t="e">
            <v>#DIV/0!</v>
          </cell>
          <cell r="E440" t="e">
            <v>#DIV/0!</v>
          </cell>
        </row>
        <row r="441">
          <cell r="A441">
            <v>39885</v>
          </cell>
          <cell r="B441" t="str">
            <v>#Calc</v>
          </cell>
          <cell r="C441" t="e">
            <v>#DIV/0!</v>
          </cell>
          <cell r="D441" t="e">
            <v>#DIV/0!</v>
          </cell>
          <cell r="E441" t="e">
            <v>#DIV/0!</v>
          </cell>
        </row>
        <row r="442">
          <cell r="A442">
            <v>39886</v>
          </cell>
          <cell r="B442" t="str">
            <v>#Calc</v>
          </cell>
          <cell r="C442" t="e">
            <v>#DIV/0!</v>
          </cell>
          <cell r="D442" t="e">
            <v>#DIV/0!</v>
          </cell>
          <cell r="E442" t="e">
            <v>#DIV/0!</v>
          </cell>
        </row>
        <row r="443">
          <cell r="A443">
            <v>39887</v>
          </cell>
          <cell r="B443" t="str">
            <v>#Calc</v>
          </cell>
          <cell r="C443" t="e">
            <v>#DIV/0!</v>
          </cell>
          <cell r="D443" t="e">
            <v>#DIV/0!</v>
          </cell>
          <cell r="E443" t="e">
            <v>#DIV/0!</v>
          </cell>
        </row>
        <row r="444">
          <cell r="A444">
            <v>39888</v>
          </cell>
          <cell r="B444" t="str">
            <v>#Calc</v>
          </cell>
          <cell r="C444" t="e">
            <v>#DIV/0!</v>
          </cell>
          <cell r="D444" t="e">
            <v>#DIV/0!</v>
          </cell>
          <cell r="E444" t="e">
            <v>#DIV/0!</v>
          </cell>
        </row>
        <row r="445">
          <cell r="A445">
            <v>39889</v>
          </cell>
          <cell r="B445" t="str">
            <v>#Calc</v>
          </cell>
          <cell r="C445" t="e">
            <v>#DIV/0!</v>
          </cell>
          <cell r="D445" t="e">
            <v>#DIV/0!</v>
          </cell>
          <cell r="E445" t="e">
            <v>#DIV/0!</v>
          </cell>
        </row>
        <row r="446">
          <cell r="A446">
            <v>39890</v>
          </cell>
          <cell r="B446" t="str">
            <v>#Calc</v>
          </cell>
          <cell r="C446" t="e">
            <v>#DIV/0!</v>
          </cell>
          <cell r="D446" t="e">
            <v>#DIV/0!</v>
          </cell>
          <cell r="E446" t="e">
            <v>#DIV/0!</v>
          </cell>
        </row>
        <row r="447">
          <cell r="A447">
            <v>39891</v>
          </cell>
          <cell r="B447" t="str">
            <v>#Calc</v>
          </cell>
          <cell r="C447" t="e">
            <v>#DIV/0!</v>
          </cell>
          <cell r="D447" t="e">
            <v>#DIV/0!</v>
          </cell>
          <cell r="E447" t="e">
            <v>#DIV/0!</v>
          </cell>
        </row>
        <row r="448">
          <cell r="A448">
            <v>39892</v>
          </cell>
          <cell r="B448" t="str">
            <v>#Calc</v>
          </cell>
          <cell r="C448" t="e">
            <v>#DIV/0!</v>
          </cell>
          <cell r="D448" t="e">
            <v>#DIV/0!</v>
          </cell>
          <cell r="E448" t="e">
            <v>#DIV/0!</v>
          </cell>
        </row>
        <row r="449">
          <cell r="A449">
            <v>39893</v>
          </cell>
          <cell r="B449" t="str">
            <v>#Calc</v>
          </cell>
          <cell r="C449" t="e">
            <v>#DIV/0!</v>
          </cell>
          <cell r="D449" t="e">
            <v>#DIV/0!</v>
          </cell>
          <cell r="E449" t="e">
            <v>#DIV/0!</v>
          </cell>
        </row>
        <row r="450">
          <cell r="A450">
            <v>39894</v>
          </cell>
          <cell r="B450" t="str">
            <v>#Calc</v>
          </cell>
          <cell r="C450" t="e">
            <v>#DIV/0!</v>
          </cell>
          <cell r="D450" t="e">
            <v>#DIV/0!</v>
          </cell>
          <cell r="E450" t="e">
            <v>#DIV/0!</v>
          </cell>
        </row>
        <row r="451">
          <cell r="A451">
            <v>39895</v>
          </cell>
          <cell r="B451" t="str">
            <v>#Calc</v>
          </cell>
          <cell r="C451" t="e">
            <v>#DIV/0!</v>
          </cell>
          <cell r="D451" t="e">
            <v>#DIV/0!</v>
          </cell>
          <cell r="E451" t="e">
            <v>#DIV/0!</v>
          </cell>
        </row>
        <row r="452">
          <cell r="A452">
            <v>39896</v>
          </cell>
          <cell r="B452" t="str">
            <v>#Calc</v>
          </cell>
          <cell r="C452" t="e">
            <v>#DIV/0!</v>
          </cell>
          <cell r="D452" t="e">
            <v>#DIV/0!</v>
          </cell>
          <cell r="E452" t="e">
            <v>#DIV/0!</v>
          </cell>
        </row>
        <row r="453">
          <cell r="A453">
            <v>39897</v>
          </cell>
          <cell r="B453" t="str">
            <v>#Calc</v>
          </cell>
          <cell r="C453" t="e">
            <v>#DIV/0!</v>
          </cell>
          <cell r="D453" t="e">
            <v>#DIV/0!</v>
          </cell>
          <cell r="E453" t="e">
            <v>#DIV/0!</v>
          </cell>
        </row>
        <row r="454">
          <cell r="A454">
            <v>39898</v>
          </cell>
          <cell r="B454" t="str">
            <v>#Calc</v>
          </cell>
          <cell r="C454" t="e">
            <v>#DIV/0!</v>
          </cell>
          <cell r="D454" t="e">
            <v>#DIV/0!</v>
          </cell>
          <cell r="E454" t="e">
            <v>#DIV/0!</v>
          </cell>
        </row>
        <row r="455">
          <cell r="A455">
            <v>39899</v>
          </cell>
          <cell r="B455" t="str">
            <v>#Calc</v>
          </cell>
          <cell r="C455" t="e">
            <v>#DIV/0!</v>
          </cell>
          <cell r="D455" t="e">
            <v>#DIV/0!</v>
          </cell>
          <cell r="E455" t="e">
            <v>#DIV/0!</v>
          </cell>
        </row>
        <row r="456">
          <cell r="A456">
            <v>39900</v>
          </cell>
          <cell r="B456" t="str">
            <v>#Calc</v>
          </cell>
          <cell r="C456" t="e">
            <v>#DIV/0!</v>
          </cell>
          <cell r="D456" t="e">
            <v>#DIV/0!</v>
          </cell>
          <cell r="E456" t="e">
            <v>#DIV/0!</v>
          </cell>
        </row>
        <row r="457">
          <cell r="A457">
            <v>39901</v>
          </cell>
          <cell r="B457" t="str">
            <v>#Calc</v>
          </cell>
          <cell r="C457" t="e">
            <v>#DIV/0!</v>
          </cell>
          <cell r="D457" t="e">
            <v>#DIV/0!</v>
          </cell>
          <cell r="E457" t="e">
            <v>#DIV/0!</v>
          </cell>
        </row>
        <row r="458">
          <cell r="A458">
            <v>39902</v>
          </cell>
          <cell r="B458" t="str">
            <v>#Calc</v>
          </cell>
          <cell r="C458" t="e">
            <v>#DIV/0!</v>
          </cell>
          <cell r="D458" t="e">
            <v>#DIV/0!</v>
          </cell>
          <cell r="E458" t="e">
            <v>#DIV/0!</v>
          </cell>
        </row>
        <row r="459">
          <cell r="A459">
            <v>39903</v>
          </cell>
          <cell r="B459" t="str">
            <v>#Calc</v>
          </cell>
          <cell r="C459" t="e">
            <v>#DIV/0!</v>
          </cell>
          <cell r="D459" t="e">
            <v>#DIV/0!</v>
          </cell>
          <cell r="E459" t="e">
            <v>#DIV/0!</v>
          </cell>
        </row>
        <row r="460">
          <cell r="A460">
            <v>39904</v>
          </cell>
          <cell r="B460" t="str">
            <v>#Calc</v>
          </cell>
          <cell r="C460" t="e">
            <v>#DIV/0!</v>
          </cell>
          <cell r="D460" t="e">
            <v>#DIV/0!</v>
          </cell>
          <cell r="E460" t="e">
            <v>#DIV/0!</v>
          </cell>
        </row>
        <row r="461">
          <cell r="A461">
            <v>39905</v>
          </cell>
          <cell r="B461" t="str">
            <v>#Calc</v>
          </cell>
          <cell r="C461" t="e">
            <v>#DIV/0!</v>
          </cell>
          <cell r="D461" t="e">
            <v>#DIV/0!</v>
          </cell>
          <cell r="E461" t="e">
            <v>#DIV/0!</v>
          </cell>
        </row>
        <row r="462">
          <cell r="A462">
            <v>39906</v>
          </cell>
          <cell r="B462" t="str">
            <v>#Calc</v>
          </cell>
          <cell r="C462" t="e">
            <v>#DIV/0!</v>
          </cell>
          <cell r="D462" t="e">
            <v>#DIV/0!</v>
          </cell>
          <cell r="E462" t="e">
            <v>#DIV/0!</v>
          </cell>
        </row>
        <row r="463">
          <cell r="A463">
            <v>39907</v>
          </cell>
          <cell r="B463" t="str">
            <v>#Calc</v>
          </cell>
          <cell r="C463" t="e">
            <v>#DIV/0!</v>
          </cell>
          <cell r="D463" t="e">
            <v>#DIV/0!</v>
          </cell>
          <cell r="E463" t="e">
            <v>#DIV/0!</v>
          </cell>
        </row>
        <row r="464">
          <cell r="A464">
            <v>39908</v>
          </cell>
          <cell r="B464" t="str">
            <v>#Calc</v>
          </cell>
          <cell r="C464" t="e">
            <v>#DIV/0!</v>
          </cell>
          <cell r="D464" t="e">
            <v>#DIV/0!</v>
          </cell>
          <cell r="E464" t="e">
            <v>#DIV/0!</v>
          </cell>
        </row>
        <row r="465">
          <cell r="A465">
            <v>39909</v>
          </cell>
          <cell r="B465" t="str">
            <v>#Calc</v>
          </cell>
          <cell r="C465" t="e">
            <v>#DIV/0!</v>
          </cell>
          <cell r="D465" t="e">
            <v>#DIV/0!</v>
          </cell>
          <cell r="E465" t="e">
            <v>#DIV/0!</v>
          </cell>
        </row>
        <row r="466">
          <cell r="A466">
            <v>39910</v>
          </cell>
          <cell r="B466" t="str">
            <v>#Calc</v>
          </cell>
          <cell r="C466" t="e">
            <v>#DIV/0!</v>
          </cell>
          <cell r="D466" t="e">
            <v>#DIV/0!</v>
          </cell>
          <cell r="E466" t="e">
            <v>#DIV/0!</v>
          </cell>
        </row>
        <row r="467">
          <cell r="A467">
            <v>39911</v>
          </cell>
          <cell r="B467" t="str">
            <v>#Calc</v>
          </cell>
          <cell r="C467" t="e">
            <v>#DIV/0!</v>
          </cell>
          <cell r="D467" t="e">
            <v>#DIV/0!</v>
          </cell>
          <cell r="E467" t="e">
            <v>#DIV/0!</v>
          </cell>
        </row>
        <row r="468">
          <cell r="A468">
            <v>39912</v>
          </cell>
          <cell r="B468" t="str">
            <v>#Calc</v>
          </cell>
          <cell r="C468" t="e">
            <v>#DIV/0!</v>
          </cell>
          <cell r="D468" t="e">
            <v>#DIV/0!</v>
          </cell>
          <cell r="E468" t="e">
            <v>#DIV/0!</v>
          </cell>
        </row>
        <row r="469">
          <cell r="A469">
            <v>39913</v>
          </cell>
          <cell r="B469" t="str">
            <v>#Calc</v>
          </cell>
          <cell r="C469" t="e">
            <v>#DIV/0!</v>
          </cell>
          <cell r="D469" t="e">
            <v>#DIV/0!</v>
          </cell>
          <cell r="E469" t="e">
            <v>#DIV/0!</v>
          </cell>
        </row>
        <row r="470">
          <cell r="A470">
            <v>39914</v>
          </cell>
          <cell r="B470" t="str">
            <v>#Calc</v>
          </cell>
          <cell r="C470" t="e">
            <v>#DIV/0!</v>
          </cell>
          <cell r="D470" t="e">
            <v>#DIV/0!</v>
          </cell>
          <cell r="E470" t="e">
            <v>#DIV/0!</v>
          </cell>
        </row>
        <row r="471">
          <cell r="A471">
            <v>39915</v>
          </cell>
          <cell r="B471" t="str">
            <v>#Calc</v>
          </cell>
          <cell r="C471" t="e">
            <v>#DIV/0!</v>
          </cell>
          <cell r="D471" t="e">
            <v>#DIV/0!</v>
          </cell>
          <cell r="E471" t="e">
            <v>#DIV/0!</v>
          </cell>
        </row>
        <row r="472">
          <cell r="A472">
            <v>39916</v>
          </cell>
          <cell r="B472" t="str">
            <v>#Calc</v>
          </cell>
          <cell r="C472" t="e">
            <v>#DIV/0!</v>
          </cell>
          <cell r="D472" t="e">
            <v>#DIV/0!</v>
          </cell>
          <cell r="E472" t="e">
            <v>#DIV/0!</v>
          </cell>
        </row>
        <row r="473">
          <cell r="A473">
            <v>39917</v>
          </cell>
          <cell r="B473" t="str">
            <v>#Calc</v>
          </cell>
          <cell r="C473" t="e">
            <v>#DIV/0!</v>
          </cell>
          <cell r="D473" t="e">
            <v>#DIV/0!</v>
          </cell>
          <cell r="E473" t="e">
            <v>#DIV/0!</v>
          </cell>
        </row>
        <row r="474">
          <cell r="A474">
            <v>39918</v>
          </cell>
          <cell r="B474" t="str">
            <v>#Calc</v>
          </cell>
          <cell r="C474" t="e">
            <v>#DIV/0!</v>
          </cell>
          <cell r="D474" t="e">
            <v>#DIV/0!</v>
          </cell>
          <cell r="E474" t="e">
            <v>#DIV/0!</v>
          </cell>
        </row>
        <row r="475">
          <cell r="A475">
            <v>39919</v>
          </cell>
          <cell r="B475" t="str">
            <v>#Calc</v>
          </cell>
          <cell r="C475" t="e">
            <v>#DIV/0!</v>
          </cell>
          <cell r="D475" t="e">
            <v>#DIV/0!</v>
          </cell>
          <cell r="E475" t="e">
            <v>#DIV/0!</v>
          </cell>
        </row>
        <row r="476">
          <cell r="A476">
            <v>39920</v>
          </cell>
          <cell r="B476" t="str">
            <v>#Calc</v>
          </cell>
          <cell r="C476" t="e">
            <v>#DIV/0!</v>
          </cell>
          <cell r="D476" t="e">
            <v>#DIV/0!</v>
          </cell>
          <cell r="E476" t="e">
            <v>#DIV/0!</v>
          </cell>
        </row>
        <row r="477">
          <cell r="A477">
            <v>39921</v>
          </cell>
          <cell r="B477" t="str">
            <v>#Calc</v>
          </cell>
          <cell r="C477" t="e">
            <v>#DIV/0!</v>
          </cell>
          <cell r="D477" t="e">
            <v>#DIV/0!</v>
          </cell>
          <cell r="E477" t="e">
            <v>#DIV/0!</v>
          </cell>
        </row>
        <row r="478">
          <cell r="A478">
            <v>39922</v>
          </cell>
          <cell r="B478" t="str">
            <v>#Calc</v>
          </cell>
          <cell r="C478" t="e">
            <v>#DIV/0!</v>
          </cell>
          <cell r="D478" t="e">
            <v>#DIV/0!</v>
          </cell>
          <cell r="E478" t="e">
            <v>#DIV/0!</v>
          </cell>
        </row>
        <row r="479">
          <cell r="A479">
            <v>39923</v>
          </cell>
          <cell r="B479" t="str">
            <v>#Calc</v>
          </cell>
          <cell r="C479" t="e">
            <v>#DIV/0!</v>
          </cell>
          <cell r="D479" t="e">
            <v>#DIV/0!</v>
          </cell>
          <cell r="E479" t="e">
            <v>#DIV/0!</v>
          </cell>
        </row>
        <row r="480">
          <cell r="A480">
            <v>39924</v>
          </cell>
          <cell r="B480" t="str">
            <v>#Calc</v>
          </cell>
          <cell r="C480" t="e">
            <v>#DIV/0!</v>
          </cell>
          <cell r="D480" t="e">
            <v>#DIV/0!</v>
          </cell>
          <cell r="E480" t="e">
            <v>#DIV/0!</v>
          </cell>
        </row>
        <row r="481">
          <cell r="A481">
            <v>39925</v>
          </cell>
          <cell r="B481" t="str">
            <v>#Calc</v>
          </cell>
          <cell r="C481" t="e">
            <v>#DIV/0!</v>
          </cell>
          <cell r="D481" t="e">
            <v>#DIV/0!</v>
          </cell>
          <cell r="E481" t="e">
            <v>#DIV/0!</v>
          </cell>
        </row>
        <row r="482">
          <cell r="A482">
            <v>39926</v>
          </cell>
          <cell r="B482" t="str">
            <v>#Calc</v>
          </cell>
          <cell r="C482" t="e">
            <v>#DIV/0!</v>
          </cell>
          <cell r="D482" t="e">
            <v>#DIV/0!</v>
          </cell>
          <cell r="E482" t="e">
            <v>#DIV/0!</v>
          </cell>
        </row>
        <row r="483">
          <cell r="A483">
            <v>39927</v>
          </cell>
          <cell r="B483" t="str">
            <v>#Calc</v>
          </cell>
          <cell r="C483" t="e">
            <v>#DIV/0!</v>
          </cell>
          <cell r="D483" t="e">
            <v>#DIV/0!</v>
          </cell>
          <cell r="E483" t="e">
            <v>#DIV/0!</v>
          </cell>
        </row>
        <row r="484">
          <cell r="A484">
            <v>39928</v>
          </cell>
          <cell r="B484" t="str">
            <v>#Calc</v>
          </cell>
          <cell r="C484" t="e">
            <v>#DIV/0!</v>
          </cell>
          <cell r="D484" t="e">
            <v>#DIV/0!</v>
          </cell>
          <cell r="E484" t="e">
            <v>#DIV/0!</v>
          </cell>
        </row>
        <row r="485">
          <cell r="A485">
            <v>39929</v>
          </cell>
          <cell r="B485" t="str">
            <v>#Calc</v>
          </cell>
          <cell r="C485" t="e">
            <v>#DIV/0!</v>
          </cell>
          <cell r="D485" t="e">
            <v>#DIV/0!</v>
          </cell>
          <cell r="E485" t="e">
            <v>#DIV/0!</v>
          </cell>
        </row>
        <row r="486">
          <cell r="A486">
            <v>39930</v>
          </cell>
          <cell r="B486" t="str">
            <v>#Calc</v>
          </cell>
          <cell r="C486" t="e">
            <v>#DIV/0!</v>
          </cell>
          <cell r="D486" t="e">
            <v>#DIV/0!</v>
          </cell>
          <cell r="E486" t="e">
            <v>#DIV/0!</v>
          </cell>
        </row>
        <row r="487">
          <cell r="A487">
            <v>39931</v>
          </cell>
          <cell r="B487" t="str">
            <v>#Calc</v>
          </cell>
          <cell r="C487" t="e">
            <v>#DIV/0!</v>
          </cell>
          <cell r="D487" t="e">
            <v>#DIV/0!</v>
          </cell>
          <cell r="E487" t="e">
            <v>#DIV/0!</v>
          </cell>
        </row>
        <row r="488">
          <cell r="A488">
            <v>39932</v>
          </cell>
          <cell r="B488" t="str">
            <v>#Calc</v>
          </cell>
          <cell r="C488" t="e">
            <v>#DIV/0!</v>
          </cell>
          <cell r="D488" t="e">
            <v>#DIV/0!</v>
          </cell>
          <cell r="E488" t="e">
            <v>#DIV/0!</v>
          </cell>
        </row>
        <row r="489">
          <cell r="A489">
            <v>39933</v>
          </cell>
          <cell r="B489" t="str">
            <v>#Calc</v>
          </cell>
          <cell r="C489" t="e">
            <v>#DIV/0!</v>
          </cell>
          <cell r="D489" t="e">
            <v>#DIV/0!</v>
          </cell>
          <cell r="E489" t="e">
            <v>#DIV/0!</v>
          </cell>
        </row>
        <row r="490">
          <cell r="A490">
            <v>39934</v>
          </cell>
          <cell r="B490" t="str">
            <v>#Calc</v>
          </cell>
          <cell r="C490" t="e">
            <v>#DIV/0!</v>
          </cell>
          <cell r="D490" t="e">
            <v>#DIV/0!</v>
          </cell>
          <cell r="E490" t="e">
            <v>#DIV/0!</v>
          </cell>
        </row>
        <row r="491">
          <cell r="A491">
            <v>39935</v>
          </cell>
          <cell r="B491" t="str">
            <v>#Calc</v>
          </cell>
          <cell r="C491" t="e">
            <v>#DIV/0!</v>
          </cell>
          <cell r="D491" t="e">
            <v>#DIV/0!</v>
          </cell>
          <cell r="E491" t="e">
            <v>#DIV/0!</v>
          </cell>
        </row>
        <row r="492">
          <cell r="A492">
            <v>39936</v>
          </cell>
          <cell r="B492" t="str">
            <v>#Calc</v>
          </cell>
          <cell r="C492" t="e">
            <v>#DIV/0!</v>
          </cell>
          <cell r="D492" t="e">
            <v>#DIV/0!</v>
          </cell>
          <cell r="E492" t="e">
            <v>#DIV/0!</v>
          </cell>
        </row>
        <row r="493">
          <cell r="A493">
            <v>39937</v>
          </cell>
          <cell r="B493" t="str">
            <v>#Calc</v>
          </cell>
          <cell r="C493" t="e">
            <v>#DIV/0!</v>
          </cell>
          <cell r="D493" t="e">
            <v>#DIV/0!</v>
          </cell>
          <cell r="E493" t="e">
            <v>#DIV/0!</v>
          </cell>
        </row>
        <row r="494">
          <cell r="A494">
            <v>39938</v>
          </cell>
          <cell r="B494" t="str">
            <v>#Calc</v>
          </cell>
          <cell r="C494" t="e">
            <v>#DIV/0!</v>
          </cell>
          <cell r="D494" t="e">
            <v>#DIV/0!</v>
          </cell>
          <cell r="E494" t="e">
            <v>#DIV/0!</v>
          </cell>
        </row>
        <row r="495">
          <cell r="A495">
            <v>39939</v>
          </cell>
          <cell r="B495" t="str">
            <v>#Calc</v>
          </cell>
          <cell r="C495" t="e">
            <v>#DIV/0!</v>
          </cell>
          <cell r="D495" t="e">
            <v>#DIV/0!</v>
          </cell>
          <cell r="E495" t="e">
            <v>#DIV/0!</v>
          </cell>
        </row>
        <row r="496">
          <cell r="A496">
            <v>39940</v>
          </cell>
          <cell r="B496" t="str">
            <v>#Calc</v>
          </cell>
          <cell r="C496" t="e">
            <v>#DIV/0!</v>
          </cell>
          <cell r="D496" t="e">
            <v>#DIV/0!</v>
          </cell>
          <cell r="E496" t="e">
            <v>#DIV/0!</v>
          </cell>
        </row>
        <row r="497">
          <cell r="A497">
            <v>39941</v>
          </cell>
          <cell r="B497" t="str">
            <v>#Calc</v>
          </cell>
          <cell r="C497" t="e">
            <v>#DIV/0!</v>
          </cell>
          <cell r="D497" t="e">
            <v>#DIV/0!</v>
          </cell>
          <cell r="E497" t="e">
            <v>#DIV/0!</v>
          </cell>
        </row>
        <row r="498">
          <cell r="A498">
            <v>39942</v>
          </cell>
          <cell r="B498" t="str">
            <v>#Calc</v>
          </cell>
          <cell r="C498" t="e">
            <v>#DIV/0!</v>
          </cell>
          <cell r="D498" t="e">
            <v>#DIV/0!</v>
          </cell>
          <cell r="E498" t="e">
            <v>#DIV/0!</v>
          </cell>
        </row>
        <row r="499">
          <cell r="A499">
            <v>39943</v>
          </cell>
          <cell r="B499" t="str">
            <v>#Calc</v>
          </cell>
          <cell r="C499" t="e">
            <v>#DIV/0!</v>
          </cell>
          <cell r="D499" t="e">
            <v>#DIV/0!</v>
          </cell>
          <cell r="E499" t="e">
            <v>#DIV/0!</v>
          </cell>
        </row>
        <row r="500">
          <cell r="A500">
            <v>39944</v>
          </cell>
          <cell r="B500" t="str">
            <v>#Calc</v>
          </cell>
          <cell r="C500" t="e">
            <v>#DIV/0!</v>
          </cell>
          <cell r="D500" t="e">
            <v>#DIV/0!</v>
          </cell>
          <cell r="E500" t="e">
            <v>#DIV/0!</v>
          </cell>
        </row>
        <row r="501">
          <cell r="A501">
            <v>39945</v>
          </cell>
          <cell r="B501" t="str">
            <v>#Calc</v>
          </cell>
          <cell r="C501" t="e">
            <v>#DIV/0!</v>
          </cell>
          <cell r="D501" t="e">
            <v>#DIV/0!</v>
          </cell>
          <cell r="E501" t="e">
            <v>#DIV/0!</v>
          </cell>
        </row>
        <row r="502">
          <cell r="A502">
            <v>39946</v>
          </cell>
          <cell r="B502" t="str">
            <v>#Calc</v>
          </cell>
          <cell r="C502" t="e">
            <v>#DIV/0!</v>
          </cell>
          <cell r="D502" t="e">
            <v>#DIV/0!</v>
          </cell>
          <cell r="E502" t="e">
            <v>#DIV/0!</v>
          </cell>
        </row>
        <row r="503">
          <cell r="A503">
            <v>39947</v>
          </cell>
          <cell r="B503" t="str">
            <v>#Calc</v>
          </cell>
          <cell r="C503" t="e">
            <v>#DIV/0!</v>
          </cell>
          <cell r="D503" t="e">
            <v>#DIV/0!</v>
          </cell>
          <cell r="E503" t="e">
            <v>#DIV/0!</v>
          </cell>
        </row>
        <row r="504">
          <cell r="A504">
            <v>39948</v>
          </cell>
          <cell r="B504" t="str">
            <v>#Calc</v>
          </cell>
          <cell r="C504" t="e">
            <v>#DIV/0!</v>
          </cell>
          <cell r="D504" t="e">
            <v>#DIV/0!</v>
          </cell>
          <cell r="E504" t="e">
            <v>#DIV/0!</v>
          </cell>
        </row>
        <row r="505">
          <cell r="A505">
            <v>39949</v>
          </cell>
          <cell r="B505" t="str">
            <v>#Calc</v>
          </cell>
          <cell r="C505" t="e">
            <v>#DIV/0!</v>
          </cell>
          <cell r="D505" t="e">
            <v>#DIV/0!</v>
          </cell>
          <cell r="E505" t="e">
            <v>#DIV/0!</v>
          </cell>
        </row>
        <row r="506">
          <cell r="A506">
            <v>39950</v>
          </cell>
          <cell r="B506" t="str">
            <v>#Calc</v>
          </cell>
          <cell r="C506" t="e">
            <v>#DIV/0!</v>
          </cell>
          <cell r="D506" t="e">
            <v>#DIV/0!</v>
          </cell>
          <cell r="E506" t="e">
            <v>#DIV/0!</v>
          </cell>
        </row>
        <row r="507">
          <cell r="A507">
            <v>39951</v>
          </cell>
          <cell r="B507" t="str">
            <v>#Calc</v>
          </cell>
          <cell r="C507" t="e">
            <v>#DIV/0!</v>
          </cell>
          <cell r="D507" t="e">
            <v>#DIV/0!</v>
          </cell>
          <cell r="E507" t="e">
            <v>#DIV/0!</v>
          </cell>
        </row>
        <row r="508">
          <cell r="A508">
            <v>39952</v>
          </cell>
          <cell r="B508" t="str">
            <v>#Calc</v>
          </cell>
          <cell r="C508" t="e">
            <v>#DIV/0!</v>
          </cell>
          <cell r="D508" t="e">
            <v>#DIV/0!</v>
          </cell>
          <cell r="E508" t="e">
            <v>#DIV/0!</v>
          </cell>
        </row>
        <row r="509">
          <cell r="A509">
            <v>39953</v>
          </cell>
          <cell r="B509" t="str">
            <v>#Calc</v>
          </cell>
          <cell r="C509" t="e">
            <v>#DIV/0!</v>
          </cell>
          <cell r="D509" t="e">
            <v>#DIV/0!</v>
          </cell>
          <cell r="E509" t="e">
            <v>#DIV/0!</v>
          </cell>
        </row>
        <row r="510">
          <cell r="A510">
            <v>39954</v>
          </cell>
          <cell r="B510" t="str">
            <v>#Calc</v>
          </cell>
          <cell r="C510" t="e">
            <v>#DIV/0!</v>
          </cell>
          <cell r="D510" t="e">
            <v>#DIV/0!</v>
          </cell>
          <cell r="E510" t="e">
            <v>#DIV/0!</v>
          </cell>
        </row>
        <row r="511">
          <cell r="A511">
            <v>39955</v>
          </cell>
          <cell r="B511" t="str">
            <v>#Calc</v>
          </cell>
          <cell r="C511" t="e">
            <v>#DIV/0!</v>
          </cell>
          <cell r="D511" t="e">
            <v>#DIV/0!</v>
          </cell>
          <cell r="E511" t="e">
            <v>#DIV/0!</v>
          </cell>
        </row>
        <row r="512">
          <cell r="A512">
            <v>39956</v>
          </cell>
          <cell r="B512" t="str">
            <v>#Calc</v>
          </cell>
          <cell r="C512" t="e">
            <v>#DIV/0!</v>
          </cell>
          <cell r="D512" t="e">
            <v>#DIV/0!</v>
          </cell>
          <cell r="E512" t="e">
            <v>#DIV/0!</v>
          </cell>
        </row>
        <row r="513">
          <cell r="A513">
            <v>39957</v>
          </cell>
          <cell r="B513" t="str">
            <v>#Calc</v>
          </cell>
          <cell r="C513" t="e">
            <v>#DIV/0!</v>
          </cell>
          <cell r="D513" t="e">
            <v>#DIV/0!</v>
          </cell>
          <cell r="E513" t="e">
            <v>#DIV/0!</v>
          </cell>
        </row>
        <row r="514">
          <cell r="A514">
            <v>39958</v>
          </cell>
          <cell r="B514" t="str">
            <v>#Calc</v>
          </cell>
          <cell r="C514" t="e">
            <v>#DIV/0!</v>
          </cell>
          <cell r="D514" t="e">
            <v>#DIV/0!</v>
          </cell>
          <cell r="E514" t="e">
            <v>#DIV/0!</v>
          </cell>
        </row>
        <row r="515">
          <cell r="A515">
            <v>39959</v>
          </cell>
          <cell r="B515" t="str">
            <v>#Calc</v>
          </cell>
          <cell r="C515" t="e">
            <v>#DIV/0!</v>
          </cell>
          <cell r="D515" t="e">
            <v>#DIV/0!</v>
          </cell>
          <cell r="E515" t="e">
            <v>#DIV/0!</v>
          </cell>
        </row>
        <row r="516">
          <cell r="A516">
            <v>39960</v>
          </cell>
          <cell r="B516" t="str">
            <v>#Calc</v>
          </cell>
          <cell r="C516" t="e">
            <v>#DIV/0!</v>
          </cell>
          <cell r="D516" t="e">
            <v>#DIV/0!</v>
          </cell>
          <cell r="E516" t="e">
            <v>#DIV/0!</v>
          </cell>
        </row>
        <row r="517">
          <cell r="A517">
            <v>39961</v>
          </cell>
          <cell r="B517" t="str">
            <v>#Calc</v>
          </cell>
          <cell r="C517" t="e">
            <v>#DIV/0!</v>
          </cell>
          <cell r="D517" t="e">
            <v>#DIV/0!</v>
          </cell>
          <cell r="E517" t="e">
            <v>#DIV/0!</v>
          </cell>
        </row>
        <row r="518">
          <cell r="A518">
            <v>39962</v>
          </cell>
          <cell r="B518" t="str">
            <v>#Calc</v>
          </cell>
          <cell r="C518" t="e">
            <v>#DIV/0!</v>
          </cell>
          <cell r="D518" t="e">
            <v>#DIV/0!</v>
          </cell>
          <cell r="E518" t="e">
            <v>#DIV/0!</v>
          </cell>
        </row>
        <row r="519">
          <cell r="A519">
            <v>39963</v>
          </cell>
          <cell r="B519" t="str">
            <v>#Calc</v>
          </cell>
          <cell r="C519" t="e">
            <v>#DIV/0!</v>
          </cell>
          <cell r="D519" t="e">
            <v>#DIV/0!</v>
          </cell>
          <cell r="E519" t="e">
            <v>#DIV/0!</v>
          </cell>
        </row>
        <row r="520">
          <cell r="A520">
            <v>39964</v>
          </cell>
          <cell r="B520" t="str">
            <v>#Calc</v>
          </cell>
          <cell r="C520" t="e">
            <v>#DIV/0!</v>
          </cell>
          <cell r="D520" t="e">
            <v>#DIV/0!</v>
          </cell>
          <cell r="E520" t="e">
            <v>#DIV/0!</v>
          </cell>
        </row>
        <row r="521">
          <cell r="A521">
            <v>39965</v>
          </cell>
          <cell r="B521" t="str">
            <v>#Calc</v>
          </cell>
          <cell r="C521" t="e">
            <v>#DIV/0!</v>
          </cell>
          <cell r="D521" t="e">
            <v>#DIV/0!</v>
          </cell>
          <cell r="E521" t="e">
            <v>#DIV/0!</v>
          </cell>
        </row>
        <row r="522">
          <cell r="A522">
            <v>39966</v>
          </cell>
          <cell r="B522" t="str">
            <v>#Calc</v>
          </cell>
          <cell r="C522" t="e">
            <v>#DIV/0!</v>
          </cell>
          <cell r="D522" t="e">
            <v>#DIV/0!</v>
          </cell>
          <cell r="E522" t="e">
            <v>#DIV/0!</v>
          </cell>
        </row>
        <row r="523">
          <cell r="A523">
            <v>39967</v>
          </cell>
          <cell r="B523" t="str">
            <v>#Calc</v>
          </cell>
          <cell r="C523" t="e">
            <v>#DIV/0!</v>
          </cell>
          <cell r="D523" t="e">
            <v>#DIV/0!</v>
          </cell>
          <cell r="E523" t="e">
            <v>#DIV/0!</v>
          </cell>
        </row>
        <row r="524">
          <cell r="A524">
            <v>39968</v>
          </cell>
          <cell r="B524" t="str">
            <v>#Calc</v>
          </cell>
          <cell r="C524" t="e">
            <v>#DIV/0!</v>
          </cell>
          <cell r="D524" t="e">
            <v>#DIV/0!</v>
          </cell>
          <cell r="E524" t="e">
            <v>#DIV/0!</v>
          </cell>
        </row>
        <row r="525">
          <cell r="A525">
            <v>39969</v>
          </cell>
          <cell r="B525" t="str">
            <v>#Calc</v>
          </cell>
          <cell r="C525" t="e">
            <v>#DIV/0!</v>
          </cell>
          <cell r="D525" t="e">
            <v>#DIV/0!</v>
          </cell>
          <cell r="E525" t="e">
            <v>#DIV/0!</v>
          </cell>
        </row>
        <row r="526">
          <cell r="A526">
            <v>39970</v>
          </cell>
          <cell r="B526" t="str">
            <v>#Calc</v>
          </cell>
          <cell r="C526" t="e">
            <v>#DIV/0!</v>
          </cell>
          <cell r="D526" t="e">
            <v>#DIV/0!</v>
          </cell>
          <cell r="E526" t="e">
            <v>#DIV/0!</v>
          </cell>
        </row>
        <row r="527">
          <cell r="A527">
            <v>39971</v>
          </cell>
          <cell r="B527" t="str">
            <v>#Calc</v>
          </cell>
          <cell r="C527" t="e">
            <v>#DIV/0!</v>
          </cell>
          <cell r="D527" t="e">
            <v>#DIV/0!</v>
          </cell>
          <cell r="E527" t="e">
            <v>#DIV/0!</v>
          </cell>
        </row>
        <row r="528">
          <cell r="A528">
            <v>39972</v>
          </cell>
          <cell r="B528" t="str">
            <v>#Calc</v>
          </cell>
          <cell r="C528" t="e">
            <v>#DIV/0!</v>
          </cell>
          <cell r="D528" t="e">
            <v>#DIV/0!</v>
          </cell>
          <cell r="E528" t="e">
            <v>#DIV/0!</v>
          </cell>
        </row>
        <row r="529">
          <cell r="A529">
            <v>39973</v>
          </cell>
          <cell r="B529" t="str">
            <v>#Calc</v>
          </cell>
          <cell r="C529" t="e">
            <v>#DIV/0!</v>
          </cell>
          <cell r="D529" t="e">
            <v>#DIV/0!</v>
          </cell>
          <cell r="E529" t="e">
            <v>#DIV/0!</v>
          </cell>
        </row>
        <row r="530">
          <cell r="A530">
            <v>39974</v>
          </cell>
          <cell r="B530" t="str">
            <v>#Calc</v>
          </cell>
          <cell r="C530" t="e">
            <v>#DIV/0!</v>
          </cell>
          <cell r="D530" t="e">
            <v>#DIV/0!</v>
          </cell>
          <cell r="E530" t="e">
            <v>#DIV/0!</v>
          </cell>
        </row>
        <row r="531">
          <cell r="A531">
            <v>39975</v>
          </cell>
          <cell r="B531" t="str">
            <v>#Calc</v>
          </cell>
          <cell r="C531" t="e">
            <v>#DIV/0!</v>
          </cell>
          <cell r="D531" t="e">
            <v>#DIV/0!</v>
          </cell>
          <cell r="E531" t="e">
            <v>#DIV/0!</v>
          </cell>
        </row>
        <row r="532">
          <cell r="A532">
            <v>39976</v>
          </cell>
          <cell r="B532" t="str">
            <v>#Calc</v>
          </cell>
          <cell r="C532" t="e">
            <v>#DIV/0!</v>
          </cell>
          <cell r="D532" t="e">
            <v>#DIV/0!</v>
          </cell>
          <cell r="E532" t="e">
            <v>#DIV/0!</v>
          </cell>
        </row>
        <row r="533">
          <cell r="A533">
            <v>39977</v>
          </cell>
          <cell r="B533" t="str">
            <v>#Calc</v>
          </cell>
          <cell r="C533" t="e">
            <v>#DIV/0!</v>
          </cell>
          <cell r="D533" t="e">
            <v>#DIV/0!</v>
          </cell>
          <cell r="E533" t="e">
            <v>#DIV/0!</v>
          </cell>
        </row>
        <row r="534">
          <cell r="A534">
            <v>39978</v>
          </cell>
          <cell r="B534" t="str">
            <v>#Calc</v>
          </cell>
          <cell r="C534" t="e">
            <v>#DIV/0!</v>
          </cell>
          <cell r="D534" t="e">
            <v>#DIV/0!</v>
          </cell>
          <cell r="E534" t="e">
            <v>#DIV/0!</v>
          </cell>
        </row>
        <row r="535">
          <cell r="A535">
            <v>39979</v>
          </cell>
          <cell r="B535" t="str">
            <v>#Calc</v>
          </cell>
          <cell r="C535" t="e">
            <v>#DIV/0!</v>
          </cell>
          <cell r="D535" t="e">
            <v>#DIV/0!</v>
          </cell>
          <cell r="E535" t="e">
            <v>#DIV/0!</v>
          </cell>
        </row>
        <row r="536">
          <cell r="A536">
            <v>39980</v>
          </cell>
          <cell r="B536" t="str">
            <v>#Calc</v>
          </cell>
          <cell r="C536" t="e">
            <v>#DIV/0!</v>
          </cell>
          <cell r="D536" t="e">
            <v>#DIV/0!</v>
          </cell>
          <cell r="E536" t="e">
            <v>#DIV/0!</v>
          </cell>
        </row>
        <row r="537">
          <cell r="A537">
            <v>39981</v>
          </cell>
          <cell r="B537" t="str">
            <v>#Calc</v>
          </cell>
          <cell r="C537" t="e">
            <v>#DIV/0!</v>
          </cell>
          <cell r="D537" t="e">
            <v>#DIV/0!</v>
          </cell>
          <cell r="E537" t="e">
            <v>#DIV/0!</v>
          </cell>
        </row>
        <row r="538">
          <cell r="A538">
            <v>39982</v>
          </cell>
          <cell r="B538" t="str">
            <v>#Calc</v>
          </cell>
          <cell r="C538" t="e">
            <v>#DIV/0!</v>
          </cell>
          <cell r="D538" t="e">
            <v>#DIV/0!</v>
          </cell>
          <cell r="E538" t="e">
            <v>#DIV/0!</v>
          </cell>
        </row>
        <row r="539">
          <cell r="A539">
            <v>39983</v>
          </cell>
          <cell r="B539" t="str">
            <v>#Calc</v>
          </cell>
          <cell r="C539" t="e">
            <v>#DIV/0!</v>
          </cell>
          <cell r="D539" t="e">
            <v>#DIV/0!</v>
          </cell>
          <cell r="E539" t="e">
            <v>#DIV/0!</v>
          </cell>
        </row>
        <row r="540">
          <cell r="A540">
            <v>39984</v>
          </cell>
          <cell r="B540" t="str">
            <v>#Calc</v>
          </cell>
          <cell r="C540" t="e">
            <v>#DIV/0!</v>
          </cell>
          <cell r="D540" t="e">
            <v>#DIV/0!</v>
          </cell>
          <cell r="E540" t="e">
            <v>#DIV/0!</v>
          </cell>
        </row>
        <row r="541">
          <cell r="A541">
            <v>39985</v>
          </cell>
          <cell r="B541" t="str">
            <v>#Calc</v>
          </cell>
          <cell r="C541" t="e">
            <v>#DIV/0!</v>
          </cell>
          <cell r="D541" t="e">
            <v>#DIV/0!</v>
          </cell>
          <cell r="E541" t="e">
            <v>#DIV/0!</v>
          </cell>
        </row>
        <row r="542">
          <cell r="A542">
            <v>39986</v>
          </cell>
          <cell r="B542" t="str">
            <v>#Calc</v>
          </cell>
          <cell r="C542" t="e">
            <v>#DIV/0!</v>
          </cell>
          <cell r="D542" t="e">
            <v>#DIV/0!</v>
          </cell>
          <cell r="E542" t="e">
            <v>#DIV/0!</v>
          </cell>
        </row>
        <row r="543">
          <cell r="A543">
            <v>39987</v>
          </cell>
          <cell r="B543" t="str">
            <v>#Calc</v>
          </cell>
          <cell r="C543" t="e">
            <v>#DIV/0!</v>
          </cell>
          <cell r="D543" t="e">
            <v>#DIV/0!</v>
          </cell>
          <cell r="E543" t="e">
            <v>#DIV/0!</v>
          </cell>
        </row>
        <row r="544">
          <cell r="A544">
            <v>39988</v>
          </cell>
          <cell r="B544" t="str">
            <v>#Calc</v>
          </cell>
          <cell r="C544" t="e">
            <v>#DIV/0!</v>
          </cell>
          <cell r="D544" t="e">
            <v>#DIV/0!</v>
          </cell>
          <cell r="E544" t="e">
            <v>#DIV/0!</v>
          </cell>
        </row>
        <row r="545">
          <cell r="A545">
            <v>39989</v>
          </cell>
          <cell r="B545" t="str">
            <v>#Calc</v>
          </cell>
          <cell r="C545" t="e">
            <v>#DIV/0!</v>
          </cell>
          <cell r="D545" t="e">
            <v>#DIV/0!</v>
          </cell>
          <cell r="E545" t="e">
            <v>#DIV/0!</v>
          </cell>
        </row>
        <row r="546">
          <cell r="A546">
            <v>39990</v>
          </cell>
          <cell r="B546" t="str">
            <v>#Calc</v>
          </cell>
          <cell r="C546" t="e">
            <v>#DIV/0!</v>
          </cell>
          <cell r="D546" t="e">
            <v>#DIV/0!</v>
          </cell>
          <cell r="E546" t="e">
            <v>#DIV/0!</v>
          </cell>
        </row>
        <row r="547">
          <cell r="A547">
            <v>39991</v>
          </cell>
          <cell r="B547" t="str">
            <v>#Calc</v>
          </cell>
          <cell r="C547" t="e">
            <v>#DIV/0!</v>
          </cell>
          <cell r="D547" t="e">
            <v>#DIV/0!</v>
          </cell>
          <cell r="E547" t="e">
            <v>#DIV/0!</v>
          </cell>
        </row>
        <row r="548">
          <cell r="A548">
            <v>39992</v>
          </cell>
          <cell r="B548" t="str">
            <v>#Calc</v>
          </cell>
          <cell r="C548" t="e">
            <v>#DIV/0!</v>
          </cell>
          <cell r="D548" t="e">
            <v>#DIV/0!</v>
          </cell>
          <cell r="E548" t="e">
            <v>#DIV/0!</v>
          </cell>
        </row>
        <row r="549">
          <cell r="A549">
            <v>39993</v>
          </cell>
          <cell r="B549" t="str">
            <v>#Calc</v>
          </cell>
          <cell r="C549" t="e">
            <v>#DIV/0!</v>
          </cell>
          <cell r="D549" t="e">
            <v>#DIV/0!</v>
          </cell>
          <cell r="E549" t="e">
            <v>#DIV/0!</v>
          </cell>
        </row>
        <row r="550">
          <cell r="A550">
            <v>39994</v>
          </cell>
          <cell r="B550" t="str">
            <v>#Calc</v>
          </cell>
          <cell r="C550" t="e">
            <v>#DIV/0!</v>
          </cell>
          <cell r="D550" t="e">
            <v>#DIV/0!</v>
          </cell>
          <cell r="E550" t="e">
            <v>#DIV/0!</v>
          </cell>
        </row>
        <row r="551">
          <cell r="A551">
            <v>39995</v>
          </cell>
          <cell r="B551" t="str">
            <v>#Calc</v>
          </cell>
          <cell r="C551" t="e">
            <v>#DIV/0!</v>
          </cell>
          <cell r="D551" t="e">
            <v>#DIV/0!</v>
          </cell>
          <cell r="E551" t="e">
            <v>#DIV/0!</v>
          </cell>
        </row>
        <row r="552">
          <cell r="A552">
            <v>39996</v>
          </cell>
          <cell r="B552" t="str">
            <v>#Calc</v>
          </cell>
          <cell r="C552" t="e">
            <v>#DIV/0!</v>
          </cell>
          <cell r="D552" t="e">
            <v>#DIV/0!</v>
          </cell>
          <cell r="E552" t="e">
            <v>#DIV/0!</v>
          </cell>
        </row>
        <row r="553">
          <cell r="A553">
            <v>39997</v>
          </cell>
          <cell r="B553" t="str">
            <v>#Calc</v>
          </cell>
          <cell r="C553" t="e">
            <v>#DIV/0!</v>
          </cell>
          <cell r="D553" t="e">
            <v>#DIV/0!</v>
          </cell>
          <cell r="E553" t="e">
            <v>#DIV/0!</v>
          </cell>
        </row>
        <row r="554">
          <cell r="A554">
            <v>39998</v>
          </cell>
          <cell r="B554" t="str">
            <v>#Calc</v>
          </cell>
          <cell r="C554" t="e">
            <v>#DIV/0!</v>
          </cell>
          <cell r="D554" t="e">
            <v>#DIV/0!</v>
          </cell>
          <cell r="E554" t="e">
            <v>#DIV/0!</v>
          </cell>
        </row>
        <row r="555">
          <cell r="A555">
            <v>39999</v>
          </cell>
          <cell r="B555" t="str">
            <v>#Calc</v>
          </cell>
          <cell r="C555" t="e">
            <v>#DIV/0!</v>
          </cell>
          <cell r="D555" t="e">
            <v>#DIV/0!</v>
          </cell>
          <cell r="E555" t="e">
            <v>#DIV/0!</v>
          </cell>
        </row>
        <row r="556">
          <cell r="A556">
            <v>40000</v>
          </cell>
          <cell r="B556" t="str">
            <v>#Calc</v>
          </cell>
          <cell r="C556" t="e">
            <v>#DIV/0!</v>
          </cell>
          <cell r="D556" t="e">
            <v>#DIV/0!</v>
          </cell>
          <cell r="E556" t="e">
            <v>#DIV/0!</v>
          </cell>
        </row>
        <row r="557">
          <cell r="A557">
            <v>40001</v>
          </cell>
          <cell r="B557" t="str">
            <v>#Calc</v>
          </cell>
          <cell r="C557" t="e">
            <v>#DIV/0!</v>
          </cell>
          <cell r="D557" t="e">
            <v>#DIV/0!</v>
          </cell>
          <cell r="E557" t="e">
            <v>#DIV/0!</v>
          </cell>
        </row>
        <row r="558">
          <cell r="A558">
            <v>40002</v>
          </cell>
          <cell r="B558" t="str">
            <v>#Calc</v>
          </cell>
          <cell r="C558" t="e">
            <v>#DIV/0!</v>
          </cell>
          <cell r="D558" t="e">
            <v>#DIV/0!</v>
          </cell>
          <cell r="E558" t="e">
            <v>#DIV/0!</v>
          </cell>
        </row>
        <row r="559">
          <cell r="A559">
            <v>40003</v>
          </cell>
          <cell r="B559" t="str">
            <v>#Calc</v>
          </cell>
          <cell r="C559" t="e">
            <v>#DIV/0!</v>
          </cell>
          <cell r="D559" t="e">
            <v>#DIV/0!</v>
          </cell>
          <cell r="E559" t="e">
            <v>#DIV/0!</v>
          </cell>
        </row>
        <row r="560">
          <cell r="A560">
            <v>40004</v>
          </cell>
          <cell r="B560" t="str">
            <v>#Calc</v>
          </cell>
          <cell r="C560" t="e">
            <v>#DIV/0!</v>
          </cell>
          <cell r="D560" t="e">
            <v>#DIV/0!</v>
          </cell>
          <cell r="E560" t="e">
            <v>#DIV/0!</v>
          </cell>
        </row>
        <row r="561">
          <cell r="A561">
            <v>40005</v>
          </cell>
          <cell r="B561" t="str">
            <v>#Calc</v>
          </cell>
          <cell r="C561" t="e">
            <v>#DIV/0!</v>
          </cell>
          <cell r="D561" t="e">
            <v>#DIV/0!</v>
          </cell>
          <cell r="E561" t="e">
            <v>#DIV/0!</v>
          </cell>
        </row>
        <row r="562">
          <cell r="A562">
            <v>40006</v>
          </cell>
          <cell r="B562" t="str">
            <v>#Calc</v>
          </cell>
          <cell r="C562" t="e">
            <v>#DIV/0!</v>
          </cell>
          <cell r="D562" t="e">
            <v>#DIV/0!</v>
          </cell>
          <cell r="E562" t="e">
            <v>#DIV/0!</v>
          </cell>
        </row>
        <row r="563">
          <cell r="A563">
            <v>40007</v>
          </cell>
          <cell r="B563" t="str">
            <v>#Calc</v>
          </cell>
          <cell r="C563" t="e">
            <v>#DIV/0!</v>
          </cell>
          <cell r="D563" t="e">
            <v>#DIV/0!</v>
          </cell>
          <cell r="E563" t="e">
            <v>#DIV/0!</v>
          </cell>
        </row>
        <row r="564">
          <cell r="A564">
            <v>40008</v>
          </cell>
          <cell r="B564" t="str">
            <v>#Calc</v>
          </cell>
          <cell r="C564" t="e">
            <v>#DIV/0!</v>
          </cell>
          <cell r="D564" t="e">
            <v>#DIV/0!</v>
          </cell>
          <cell r="E564" t="e">
            <v>#DIV/0!</v>
          </cell>
        </row>
        <row r="565">
          <cell r="A565">
            <v>40009</v>
          </cell>
          <cell r="B565" t="str">
            <v>#Calc</v>
          </cell>
          <cell r="C565" t="e">
            <v>#DIV/0!</v>
          </cell>
          <cell r="D565" t="e">
            <v>#DIV/0!</v>
          </cell>
          <cell r="E565" t="e">
            <v>#DIV/0!</v>
          </cell>
        </row>
        <row r="566">
          <cell r="A566">
            <v>40010</v>
          </cell>
          <cell r="B566" t="str">
            <v>#Calc</v>
          </cell>
          <cell r="C566" t="e">
            <v>#DIV/0!</v>
          </cell>
          <cell r="D566" t="e">
            <v>#DIV/0!</v>
          </cell>
          <cell r="E566" t="e">
            <v>#DIV/0!</v>
          </cell>
        </row>
        <row r="567">
          <cell r="A567">
            <v>40011</v>
          </cell>
          <cell r="B567" t="str">
            <v>#Calc</v>
          </cell>
          <cell r="C567" t="e">
            <v>#DIV/0!</v>
          </cell>
          <cell r="D567" t="e">
            <v>#DIV/0!</v>
          </cell>
          <cell r="E567" t="e">
            <v>#DIV/0!</v>
          </cell>
        </row>
        <row r="568">
          <cell r="A568">
            <v>40012</v>
          </cell>
          <cell r="B568" t="str">
            <v>#Calc</v>
          </cell>
          <cell r="C568" t="e">
            <v>#DIV/0!</v>
          </cell>
          <cell r="D568" t="e">
            <v>#DIV/0!</v>
          </cell>
          <cell r="E568" t="e">
            <v>#DIV/0!</v>
          </cell>
        </row>
        <row r="569">
          <cell r="A569">
            <v>40013</v>
          </cell>
          <cell r="B569" t="str">
            <v>#Calc</v>
          </cell>
          <cell r="C569" t="e">
            <v>#DIV/0!</v>
          </cell>
          <cell r="D569" t="e">
            <v>#DIV/0!</v>
          </cell>
          <cell r="E569" t="e">
            <v>#DIV/0!</v>
          </cell>
        </row>
        <row r="570">
          <cell r="A570">
            <v>40014</v>
          </cell>
          <cell r="B570" t="str">
            <v>#Calc</v>
          </cell>
          <cell r="C570" t="e">
            <v>#DIV/0!</v>
          </cell>
          <cell r="D570" t="e">
            <v>#DIV/0!</v>
          </cell>
          <cell r="E570" t="e">
            <v>#DIV/0!</v>
          </cell>
        </row>
        <row r="571">
          <cell r="A571">
            <v>40015</v>
          </cell>
          <cell r="B571" t="str">
            <v>#Calc</v>
          </cell>
          <cell r="C571" t="e">
            <v>#DIV/0!</v>
          </cell>
          <cell r="D571" t="e">
            <v>#DIV/0!</v>
          </cell>
          <cell r="E571" t="e">
            <v>#DIV/0!</v>
          </cell>
        </row>
        <row r="572">
          <cell r="A572">
            <v>40016</v>
          </cell>
          <cell r="B572" t="str">
            <v>#Calc</v>
          </cell>
          <cell r="C572" t="e">
            <v>#DIV/0!</v>
          </cell>
          <cell r="D572" t="e">
            <v>#DIV/0!</v>
          </cell>
          <cell r="E572" t="e">
            <v>#DIV/0!</v>
          </cell>
        </row>
        <row r="573">
          <cell r="A573">
            <v>40017</v>
          </cell>
          <cell r="B573" t="str">
            <v>#Calc</v>
          </cell>
          <cell r="C573" t="e">
            <v>#DIV/0!</v>
          </cell>
          <cell r="D573" t="e">
            <v>#DIV/0!</v>
          </cell>
          <cell r="E573" t="e">
            <v>#DIV/0!</v>
          </cell>
        </row>
        <row r="574">
          <cell r="A574">
            <v>40018</v>
          </cell>
          <cell r="B574" t="str">
            <v>#Calc</v>
          </cell>
          <cell r="C574" t="e">
            <v>#DIV/0!</v>
          </cell>
          <cell r="D574" t="e">
            <v>#DIV/0!</v>
          </cell>
          <cell r="E574" t="e">
            <v>#DIV/0!</v>
          </cell>
        </row>
        <row r="575">
          <cell r="A575">
            <v>40019</v>
          </cell>
          <cell r="B575" t="str">
            <v>#Calc</v>
          </cell>
          <cell r="C575" t="e">
            <v>#DIV/0!</v>
          </cell>
          <cell r="D575" t="e">
            <v>#DIV/0!</v>
          </cell>
          <cell r="E575" t="e">
            <v>#DIV/0!</v>
          </cell>
        </row>
        <row r="576">
          <cell r="A576">
            <v>40020</v>
          </cell>
          <cell r="B576" t="str">
            <v>#Calc</v>
          </cell>
          <cell r="C576" t="e">
            <v>#DIV/0!</v>
          </cell>
          <cell r="D576" t="e">
            <v>#DIV/0!</v>
          </cell>
          <cell r="E576" t="e">
            <v>#DIV/0!</v>
          </cell>
        </row>
        <row r="577">
          <cell r="A577">
            <v>40021</v>
          </cell>
          <cell r="B577" t="str">
            <v>#Calc</v>
          </cell>
          <cell r="C577" t="e">
            <v>#DIV/0!</v>
          </cell>
          <cell r="D577" t="e">
            <v>#DIV/0!</v>
          </cell>
          <cell r="E577" t="e">
            <v>#DIV/0!</v>
          </cell>
        </row>
        <row r="578">
          <cell r="A578">
            <v>40022</v>
          </cell>
          <cell r="B578" t="str">
            <v>#Calc</v>
          </cell>
          <cell r="C578" t="e">
            <v>#DIV/0!</v>
          </cell>
          <cell r="D578" t="e">
            <v>#DIV/0!</v>
          </cell>
          <cell r="E578" t="e">
            <v>#DIV/0!</v>
          </cell>
        </row>
        <row r="579">
          <cell r="A579">
            <v>40023</v>
          </cell>
          <cell r="B579" t="str">
            <v>#Calc</v>
          </cell>
          <cell r="C579" t="e">
            <v>#DIV/0!</v>
          </cell>
          <cell r="D579" t="e">
            <v>#DIV/0!</v>
          </cell>
          <cell r="E579" t="e">
            <v>#DIV/0!</v>
          </cell>
        </row>
        <row r="580">
          <cell r="A580">
            <v>40024</v>
          </cell>
          <cell r="B580" t="str">
            <v>#Calc</v>
          </cell>
          <cell r="C580" t="e">
            <v>#DIV/0!</v>
          </cell>
          <cell r="D580" t="e">
            <v>#DIV/0!</v>
          </cell>
          <cell r="E580" t="e">
            <v>#DIV/0!</v>
          </cell>
        </row>
        <row r="581">
          <cell r="A581">
            <v>40025</v>
          </cell>
          <cell r="B581" t="str">
            <v>#Calc</v>
          </cell>
          <cell r="C581" t="e">
            <v>#DIV/0!</v>
          </cell>
          <cell r="D581" t="e">
            <v>#DIV/0!</v>
          </cell>
          <cell r="E581" t="e">
            <v>#DIV/0!</v>
          </cell>
        </row>
        <row r="582">
          <cell r="A582">
            <v>40026</v>
          </cell>
          <cell r="B582" t="str">
            <v>#Calc</v>
          </cell>
          <cell r="C582" t="e">
            <v>#DIV/0!</v>
          </cell>
          <cell r="D582" t="e">
            <v>#DIV/0!</v>
          </cell>
          <cell r="E582" t="e">
            <v>#DIV/0!</v>
          </cell>
        </row>
        <row r="583">
          <cell r="A583">
            <v>40027</v>
          </cell>
          <cell r="B583" t="str">
            <v>#Calc</v>
          </cell>
          <cell r="C583" t="e">
            <v>#DIV/0!</v>
          </cell>
          <cell r="D583" t="e">
            <v>#DIV/0!</v>
          </cell>
          <cell r="E583" t="e">
            <v>#DIV/0!</v>
          </cell>
        </row>
        <row r="584">
          <cell r="A584">
            <v>40028</v>
          </cell>
          <cell r="B584" t="str">
            <v>#Calc</v>
          </cell>
          <cell r="C584" t="e">
            <v>#DIV/0!</v>
          </cell>
          <cell r="D584" t="e">
            <v>#DIV/0!</v>
          </cell>
          <cell r="E584" t="e">
            <v>#DIV/0!</v>
          </cell>
        </row>
        <row r="585">
          <cell r="A585">
            <v>40029</v>
          </cell>
          <cell r="B585" t="str">
            <v>#Calc</v>
          </cell>
          <cell r="C585" t="e">
            <v>#DIV/0!</v>
          </cell>
          <cell r="D585" t="e">
            <v>#DIV/0!</v>
          </cell>
          <cell r="E585" t="e">
            <v>#DIV/0!</v>
          </cell>
        </row>
        <row r="586">
          <cell r="A586">
            <v>40030</v>
          </cell>
          <cell r="B586" t="str">
            <v>#Calc</v>
          </cell>
          <cell r="C586" t="e">
            <v>#DIV/0!</v>
          </cell>
          <cell r="D586" t="e">
            <v>#DIV/0!</v>
          </cell>
          <cell r="E586" t="e">
            <v>#DIV/0!</v>
          </cell>
        </row>
        <row r="587">
          <cell r="A587">
            <v>40031</v>
          </cell>
          <cell r="B587" t="str">
            <v>#Calc</v>
          </cell>
          <cell r="C587" t="e">
            <v>#DIV/0!</v>
          </cell>
          <cell r="D587" t="e">
            <v>#DIV/0!</v>
          </cell>
          <cell r="E587" t="e">
            <v>#DIV/0!</v>
          </cell>
        </row>
        <row r="588">
          <cell r="A588">
            <v>40032</v>
          </cell>
          <cell r="B588" t="str">
            <v>#Calc</v>
          </cell>
          <cell r="C588" t="e">
            <v>#DIV/0!</v>
          </cell>
          <cell r="D588" t="e">
            <v>#DIV/0!</v>
          </cell>
          <cell r="E588" t="e">
            <v>#DIV/0!</v>
          </cell>
        </row>
        <row r="589">
          <cell r="A589">
            <v>40033</v>
          </cell>
          <cell r="B589" t="str">
            <v>#Calc</v>
          </cell>
          <cell r="C589" t="e">
            <v>#DIV/0!</v>
          </cell>
          <cell r="D589" t="e">
            <v>#DIV/0!</v>
          </cell>
          <cell r="E589" t="e">
            <v>#DIV/0!</v>
          </cell>
        </row>
        <row r="590">
          <cell r="A590">
            <v>40034</v>
          </cell>
          <cell r="B590" t="str">
            <v>#Calc</v>
          </cell>
          <cell r="C590" t="e">
            <v>#DIV/0!</v>
          </cell>
          <cell r="D590" t="e">
            <v>#DIV/0!</v>
          </cell>
          <cell r="E590" t="e">
            <v>#DIV/0!</v>
          </cell>
        </row>
        <row r="591">
          <cell r="A591">
            <v>40035</v>
          </cell>
          <cell r="B591" t="str">
            <v>#Calc</v>
          </cell>
          <cell r="C591" t="e">
            <v>#DIV/0!</v>
          </cell>
          <cell r="D591" t="e">
            <v>#DIV/0!</v>
          </cell>
          <cell r="E591" t="e">
            <v>#DIV/0!</v>
          </cell>
        </row>
        <row r="592">
          <cell r="A592">
            <v>40036</v>
          </cell>
          <cell r="B592" t="str">
            <v>#Calc</v>
          </cell>
          <cell r="C592" t="e">
            <v>#DIV/0!</v>
          </cell>
          <cell r="D592" t="e">
            <v>#DIV/0!</v>
          </cell>
          <cell r="E592" t="e">
            <v>#DIV/0!</v>
          </cell>
        </row>
        <row r="593">
          <cell r="A593">
            <v>40037</v>
          </cell>
          <cell r="B593" t="str">
            <v>#Calc</v>
          </cell>
          <cell r="C593" t="e">
            <v>#DIV/0!</v>
          </cell>
          <cell r="D593" t="e">
            <v>#DIV/0!</v>
          </cell>
          <cell r="E593" t="e">
            <v>#DIV/0!</v>
          </cell>
        </row>
        <row r="594">
          <cell r="A594">
            <v>40038</v>
          </cell>
          <cell r="B594" t="str">
            <v>#Calc</v>
          </cell>
          <cell r="C594" t="e">
            <v>#DIV/0!</v>
          </cell>
          <cell r="D594" t="e">
            <v>#DIV/0!</v>
          </cell>
          <cell r="E594" t="e">
            <v>#DIV/0!</v>
          </cell>
        </row>
        <row r="595">
          <cell r="A595">
            <v>40039</v>
          </cell>
          <cell r="B595" t="str">
            <v>#Calc</v>
          </cell>
          <cell r="C595" t="e">
            <v>#DIV/0!</v>
          </cell>
          <cell r="D595" t="e">
            <v>#DIV/0!</v>
          </cell>
          <cell r="E595" t="e">
            <v>#DIV/0!</v>
          </cell>
        </row>
        <row r="596">
          <cell r="A596">
            <v>40040</v>
          </cell>
          <cell r="B596" t="str">
            <v>#Calc</v>
          </cell>
          <cell r="C596" t="e">
            <v>#DIV/0!</v>
          </cell>
          <cell r="D596" t="e">
            <v>#DIV/0!</v>
          </cell>
          <cell r="E596" t="e">
            <v>#DIV/0!</v>
          </cell>
        </row>
        <row r="597">
          <cell r="A597">
            <v>40041</v>
          </cell>
          <cell r="B597" t="str">
            <v>#Calc</v>
          </cell>
          <cell r="C597" t="e">
            <v>#DIV/0!</v>
          </cell>
          <cell r="D597" t="e">
            <v>#DIV/0!</v>
          </cell>
          <cell r="E597" t="e">
            <v>#DIV/0!</v>
          </cell>
        </row>
        <row r="598">
          <cell r="A598">
            <v>40042</v>
          </cell>
          <cell r="B598" t="str">
            <v>#Calc</v>
          </cell>
          <cell r="C598" t="e">
            <v>#DIV/0!</v>
          </cell>
          <cell r="D598" t="e">
            <v>#DIV/0!</v>
          </cell>
          <cell r="E598" t="e">
            <v>#DIV/0!</v>
          </cell>
        </row>
        <row r="599">
          <cell r="A599">
            <v>40043</v>
          </cell>
          <cell r="B599" t="str">
            <v>#Calc</v>
          </cell>
          <cell r="C599" t="e">
            <v>#DIV/0!</v>
          </cell>
          <cell r="D599" t="e">
            <v>#DIV/0!</v>
          </cell>
          <cell r="E599" t="e">
            <v>#DIV/0!</v>
          </cell>
        </row>
        <row r="600">
          <cell r="A600">
            <v>40044</v>
          </cell>
          <cell r="B600" t="str">
            <v>#Calc</v>
          </cell>
          <cell r="C600" t="e">
            <v>#DIV/0!</v>
          </cell>
          <cell r="D600" t="e">
            <v>#DIV/0!</v>
          </cell>
          <cell r="E600" t="e">
            <v>#DIV/0!</v>
          </cell>
        </row>
        <row r="601">
          <cell r="A601">
            <v>40045</v>
          </cell>
          <cell r="B601" t="str">
            <v>#Calc</v>
          </cell>
          <cell r="C601" t="e">
            <v>#DIV/0!</v>
          </cell>
          <cell r="D601" t="e">
            <v>#DIV/0!</v>
          </cell>
          <cell r="E601" t="e">
            <v>#DIV/0!</v>
          </cell>
        </row>
        <row r="602">
          <cell r="A602">
            <v>40046</v>
          </cell>
          <cell r="B602" t="str">
            <v>#Calc</v>
          </cell>
          <cell r="C602" t="e">
            <v>#DIV/0!</v>
          </cell>
          <cell r="D602" t="e">
            <v>#DIV/0!</v>
          </cell>
          <cell r="E602" t="e">
            <v>#DIV/0!</v>
          </cell>
        </row>
        <row r="603">
          <cell r="A603">
            <v>40047</v>
          </cell>
          <cell r="B603" t="str">
            <v>#Calc</v>
          </cell>
          <cell r="C603" t="e">
            <v>#DIV/0!</v>
          </cell>
          <cell r="D603" t="e">
            <v>#DIV/0!</v>
          </cell>
          <cell r="E603" t="e">
            <v>#DIV/0!</v>
          </cell>
        </row>
        <row r="604">
          <cell r="A604">
            <v>40048</v>
          </cell>
          <cell r="B604" t="str">
            <v>#Calc</v>
          </cell>
          <cell r="C604" t="e">
            <v>#DIV/0!</v>
          </cell>
          <cell r="D604" t="e">
            <v>#DIV/0!</v>
          </cell>
          <cell r="E604" t="e">
            <v>#DIV/0!</v>
          </cell>
        </row>
        <row r="605">
          <cell r="A605">
            <v>40049</v>
          </cell>
          <cell r="B605" t="str">
            <v>#Calc</v>
          </cell>
          <cell r="C605" t="e">
            <v>#DIV/0!</v>
          </cell>
          <cell r="D605" t="e">
            <v>#DIV/0!</v>
          </cell>
          <cell r="E605" t="e">
            <v>#DIV/0!</v>
          </cell>
        </row>
        <row r="606">
          <cell r="A606">
            <v>40050</v>
          </cell>
          <cell r="B606" t="str">
            <v>#Calc</v>
          </cell>
          <cell r="C606" t="e">
            <v>#DIV/0!</v>
          </cell>
          <cell r="D606" t="e">
            <v>#DIV/0!</v>
          </cell>
          <cell r="E606" t="e">
            <v>#DIV/0!</v>
          </cell>
        </row>
        <row r="607">
          <cell r="A607">
            <v>40051</v>
          </cell>
          <cell r="B607" t="str">
            <v>#Calc</v>
          </cell>
          <cell r="C607" t="e">
            <v>#DIV/0!</v>
          </cell>
          <cell r="D607" t="e">
            <v>#DIV/0!</v>
          </cell>
          <cell r="E607" t="e">
            <v>#DIV/0!</v>
          </cell>
        </row>
        <row r="608">
          <cell r="A608">
            <v>40052</v>
          </cell>
          <cell r="B608" t="str">
            <v>#Calc</v>
          </cell>
          <cell r="C608" t="e">
            <v>#DIV/0!</v>
          </cell>
          <cell r="D608" t="e">
            <v>#DIV/0!</v>
          </cell>
          <cell r="E608" t="e">
            <v>#DIV/0!</v>
          </cell>
        </row>
        <row r="609">
          <cell r="A609">
            <v>40053</v>
          </cell>
          <cell r="B609" t="str">
            <v>#Calc</v>
          </cell>
          <cell r="C609" t="e">
            <v>#DIV/0!</v>
          </cell>
          <cell r="D609" t="e">
            <v>#DIV/0!</v>
          </cell>
          <cell r="E609" t="e">
            <v>#DIV/0!</v>
          </cell>
        </row>
        <row r="610">
          <cell r="A610">
            <v>40054</v>
          </cell>
          <cell r="B610" t="str">
            <v>#Calc</v>
          </cell>
          <cell r="C610" t="e">
            <v>#DIV/0!</v>
          </cell>
          <cell r="D610" t="e">
            <v>#DIV/0!</v>
          </cell>
          <cell r="E610" t="e">
            <v>#DIV/0!</v>
          </cell>
        </row>
        <row r="611">
          <cell r="A611">
            <v>40055</v>
          </cell>
          <cell r="B611" t="str">
            <v>#Calc</v>
          </cell>
          <cell r="C611" t="e">
            <v>#DIV/0!</v>
          </cell>
          <cell r="D611" t="e">
            <v>#DIV/0!</v>
          </cell>
          <cell r="E611" t="e">
            <v>#DIV/0!</v>
          </cell>
        </row>
        <row r="612">
          <cell r="A612">
            <v>40056</v>
          </cell>
          <cell r="B612" t="str">
            <v>#Calc</v>
          </cell>
          <cell r="C612" t="e">
            <v>#DIV/0!</v>
          </cell>
          <cell r="D612" t="e">
            <v>#DIV/0!</v>
          </cell>
          <cell r="E612" t="e">
            <v>#DIV/0!</v>
          </cell>
        </row>
        <row r="613">
          <cell r="A613">
            <v>40057</v>
          </cell>
          <cell r="B613" t="str">
            <v>#Calc</v>
          </cell>
          <cell r="C613" t="e">
            <v>#DIV/0!</v>
          </cell>
          <cell r="D613" t="e">
            <v>#DIV/0!</v>
          </cell>
          <cell r="E613" t="e">
            <v>#DIV/0!</v>
          </cell>
        </row>
        <row r="614">
          <cell r="A614">
            <v>40058</v>
          </cell>
          <cell r="B614" t="str">
            <v>#Calc</v>
          </cell>
          <cell r="C614" t="e">
            <v>#DIV/0!</v>
          </cell>
          <cell r="D614" t="e">
            <v>#DIV/0!</v>
          </cell>
          <cell r="E614" t="e">
            <v>#DIV/0!</v>
          </cell>
        </row>
        <row r="615">
          <cell r="A615">
            <v>40059</v>
          </cell>
          <cell r="B615" t="str">
            <v>#Calc</v>
          </cell>
          <cell r="C615" t="e">
            <v>#DIV/0!</v>
          </cell>
          <cell r="D615" t="e">
            <v>#DIV/0!</v>
          </cell>
          <cell r="E615" t="e">
            <v>#DIV/0!</v>
          </cell>
        </row>
        <row r="616">
          <cell r="A616">
            <v>40060</v>
          </cell>
          <cell r="B616" t="str">
            <v>#Calc</v>
          </cell>
          <cell r="C616" t="e">
            <v>#DIV/0!</v>
          </cell>
          <cell r="D616" t="e">
            <v>#DIV/0!</v>
          </cell>
          <cell r="E616" t="e">
            <v>#DIV/0!</v>
          </cell>
        </row>
        <row r="617">
          <cell r="A617">
            <v>40061</v>
          </cell>
          <cell r="B617" t="str">
            <v>#Calc</v>
          </cell>
          <cell r="C617" t="e">
            <v>#DIV/0!</v>
          </cell>
          <cell r="D617" t="e">
            <v>#DIV/0!</v>
          </cell>
          <cell r="E617" t="e">
            <v>#DIV/0!</v>
          </cell>
        </row>
        <row r="618">
          <cell r="A618">
            <v>40062</v>
          </cell>
          <cell r="B618" t="str">
            <v>#Calc</v>
          </cell>
          <cell r="C618" t="e">
            <v>#DIV/0!</v>
          </cell>
          <cell r="D618" t="e">
            <v>#DIV/0!</v>
          </cell>
          <cell r="E618" t="e">
            <v>#DIV/0!</v>
          </cell>
        </row>
        <row r="619">
          <cell r="A619">
            <v>40063</v>
          </cell>
          <cell r="B619" t="str">
            <v>#Calc</v>
          </cell>
          <cell r="C619" t="e">
            <v>#DIV/0!</v>
          </cell>
          <cell r="D619" t="e">
            <v>#DIV/0!</v>
          </cell>
          <cell r="E619" t="e">
            <v>#DIV/0!</v>
          </cell>
        </row>
        <row r="620">
          <cell r="A620">
            <v>40064</v>
          </cell>
          <cell r="B620" t="str">
            <v>#Calc</v>
          </cell>
          <cell r="C620" t="e">
            <v>#DIV/0!</v>
          </cell>
          <cell r="D620" t="e">
            <v>#DIV/0!</v>
          </cell>
          <cell r="E620" t="e">
            <v>#DIV/0!</v>
          </cell>
        </row>
        <row r="621">
          <cell r="A621">
            <v>40065</v>
          </cell>
          <cell r="B621" t="str">
            <v>#Calc</v>
          </cell>
          <cell r="C621" t="e">
            <v>#DIV/0!</v>
          </cell>
          <cell r="D621" t="e">
            <v>#DIV/0!</v>
          </cell>
          <cell r="E621" t="e">
            <v>#DIV/0!</v>
          </cell>
        </row>
        <row r="622">
          <cell r="A622">
            <v>40066</v>
          </cell>
          <cell r="B622" t="str">
            <v>#Calc</v>
          </cell>
          <cell r="C622" t="e">
            <v>#DIV/0!</v>
          </cell>
          <cell r="D622" t="e">
            <v>#DIV/0!</v>
          </cell>
          <cell r="E622" t="e">
            <v>#DIV/0!</v>
          </cell>
        </row>
        <row r="623">
          <cell r="A623">
            <v>40067</v>
          </cell>
          <cell r="B623" t="str">
            <v>#Calc</v>
          </cell>
          <cell r="C623" t="e">
            <v>#DIV/0!</v>
          </cell>
          <cell r="D623" t="e">
            <v>#DIV/0!</v>
          </cell>
          <cell r="E623" t="e">
            <v>#DIV/0!</v>
          </cell>
        </row>
        <row r="624">
          <cell r="A624">
            <v>40068</v>
          </cell>
          <cell r="B624" t="str">
            <v>#Calc</v>
          </cell>
          <cell r="C624" t="e">
            <v>#DIV/0!</v>
          </cell>
          <cell r="D624" t="e">
            <v>#DIV/0!</v>
          </cell>
          <cell r="E624" t="e">
            <v>#DIV/0!</v>
          </cell>
        </row>
        <row r="625">
          <cell r="A625">
            <v>40069</v>
          </cell>
          <cell r="B625" t="str">
            <v>#Calc</v>
          </cell>
          <cell r="C625" t="e">
            <v>#DIV/0!</v>
          </cell>
          <cell r="D625" t="e">
            <v>#DIV/0!</v>
          </cell>
          <cell r="E625" t="e">
            <v>#DIV/0!</v>
          </cell>
        </row>
        <row r="626">
          <cell r="A626">
            <v>40070</v>
          </cell>
          <cell r="B626" t="str">
            <v>#Calc</v>
          </cell>
          <cell r="C626" t="e">
            <v>#DIV/0!</v>
          </cell>
          <cell r="D626" t="e">
            <v>#DIV/0!</v>
          </cell>
          <cell r="E626" t="e">
            <v>#DIV/0!</v>
          </cell>
        </row>
        <row r="627">
          <cell r="A627">
            <v>40071</v>
          </cell>
          <cell r="B627" t="str">
            <v>#Calc</v>
          </cell>
          <cell r="C627" t="e">
            <v>#DIV/0!</v>
          </cell>
          <cell r="D627" t="e">
            <v>#DIV/0!</v>
          </cell>
          <cell r="E627" t="e">
            <v>#DIV/0!</v>
          </cell>
        </row>
        <row r="628">
          <cell r="A628">
            <v>40072</v>
          </cell>
          <cell r="B628" t="str">
            <v>#Calc</v>
          </cell>
          <cell r="C628" t="e">
            <v>#DIV/0!</v>
          </cell>
          <cell r="D628" t="e">
            <v>#DIV/0!</v>
          </cell>
          <cell r="E628" t="e">
            <v>#DIV/0!</v>
          </cell>
        </row>
        <row r="629">
          <cell r="A629">
            <v>40073</v>
          </cell>
          <cell r="B629" t="str">
            <v>#Calc</v>
          </cell>
          <cell r="C629" t="e">
            <v>#DIV/0!</v>
          </cell>
          <cell r="D629" t="e">
            <v>#DIV/0!</v>
          </cell>
          <cell r="E629" t="e">
            <v>#DIV/0!</v>
          </cell>
        </row>
        <row r="630">
          <cell r="A630">
            <v>40074</v>
          </cell>
          <cell r="B630" t="str">
            <v>#Calc</v>
          </cell>
          <cell r="C630" t="e">
            <v>#DIV/0!</v>
          </cell>
          <cell r="D630" t="e">
            <v>#DIV/0!</v>
          </cell>
          <cell r="E630" t="e">
            <v>#DIV/0!</v>
          </cell>
        </row>
        <row r="631">
          <cell r="A631">
            <v>40075</v>
          </cell>
          <cell r="B631" t="str">
            <v>#Calc</v>
          </cell>
          <cell r="C631" t="e">
            <v>#DIV/0!</v>
          </cell>
          <cell r="D631" t="e">
            <v>#DIV/0!</v>
          </cell>
          <cell r="E631" t="e">
            <v>#DIV/0!</v>
          </cell>
        </row>
        <row r="632">
          <cell r="A632">
            <v>40076</v>
          </cell>
          <cell r="B632" t="str">
            <v>#Calc</v>
          </cell>
          <cell r="C632" t="e">
            <v>#DIV/0!</v>
          </cell>
          <cell r="D632" t="e">
            <v>#DIV/0!</v>
          </cell>
          <cell r="E632" t="e">
            <v>#DIV/0!</v>
          </cell>
        </row>
        <row r="633">
          <cell r="A633">
            <v>40077</v>
          </cell>
          <cell r="B633" t="str">
            <v>#Calc</v>
          </cell>
          <cell r="C633" t="e">
            <v>#DIV/0!</v>
          </cell>
          <cell r="D633" t="e">
            <v>#DIV/0!</v>
          </cell>
          <cell r="E633" t="e">
            <v>#DIV/0!</v>
          </cell>
        </row>
        <row r="634">
          <cell r="A634">
            <v>40078</v>
          </cell>
          <cell r="B634" t="str">
            <v>#Calc</v>
          </cell>
          <cell r="C634" t="e">
            <v>#DIV/0!</v>
          </cell>
          <cell r="D634" t="e">
            <v>#DIV/0!</v>
          </cell>
          <cell r="E634" t="e">
            <v>#DIV/0!</v>
          </cell>
        </row>
        <row r="635">
          <cell r="A635">
            <v>40079</v>
          </cell>
          <cell r="B635" t="str">
            <v>#Calc</v>
          </cell>
          <cell r="C635" t="e">
            <v>#DIV/0!</v>
          </cell>
          <cell r="D635" t="e">
            <v>#DIV/0!</v>
          </cell>
          <cell r="E635" t="e">
            <v>#DIV/0!</v>
          </cell>
        </row>
        <row r="636">
          <cell r="A636">
            <v>40080</v>
          </cell>
          <cell r="B636" t="str">
            <v>#Calc</v>
          </cell>
          <cell r="C636" t="e">
            <v>#DIV/0!</v>
          </cell>
          <cell r="D636" t="e">
            <v>#DIV/0!</v>
          </cell>
          <cell r="E636" t="e">
            <v>#DIV/0!</v>
          </cell>
        </row>
        <row r="637">
          <cell r="A637">
            <v>40081</v>
          </cell>
          <cell r="B637" t="str">
            <v>#Calc</v>
          </cell>
          <cell r="C637" t="e">
            <v>#DIV/0!</v>
          </cell>
          <cell r="D637" t="e">
            <v>#DIV/0!</v>
          </cell>
          <cell r="E637" t="e">
            <v>#DIV/0!</v>
          </cell>
        </row>
        <row r="638">
          <cell r="A638">
            <v>40082</v>
          </cell>
          <cell r="B638" t="str">
            <v>#Calc</v>
          </cell>
          <cell r="C638" t="e">
            <v>#DIV/0!</v>
          </cell>
          <cell r="D638" t="e">
            <v>#DIV/0!</v>
          </cell>
          <cell r="E638" t="e">
            <v>#DIV/0!</v>
          </cell>
        </row>
        <row r="639">
          <cell r="A639">
            <v>40083</v>
          </cell>
          <cell r="B639" t="str">
            <v>#Calc</v>
          </cell>
          <cell r="C639" t="e">
            <v>#DIV/0!</v>
          </cell>
          <cell r="D639" t="e">
            <v>#DIV/0!</v>
          </cell>
          <cell r="E639" t="e">
            <v>#DIV/0!</v>
          </cell>
        </row>
        <row r="640">
          <cell r="A640">
            <v>40084</v>
          </cell>
          <cell r="B640" t="str">
            <v>#Calc</v>
          </cell>
          <cell r="C640" t="e">
            <v>#DIV/0!</v>
          </cell>
          <cell r="D640" t="e">
            <v>#DIV/0!</v>
          </cell>
          <cell r="E640" t="e">
            <v>#DIV/0!</v>
          </cell>
        </row>
        <row r="641">
          <cell r="A641">
            <v>40085</v>
          </cell>
          <cell r="B641" t="str">
            <v>#Calc</v>
          </cell>
          <cell r="C641" t="e">
            <v>#DIV/0!</v>
          </cell>
          <cell r="D641" t="e">
            <v>#DIV/0!</v>
          </cell>
          <cell r="E641" t="e">
            <v>#DIV/0!</v>
          </cell>
        </row>
        <row r="642">
          <cell r="A642">
            <v>40086</v>
          </cell>
          <cell r="B642" t="str">
            <v>#Calc</v>
          </cell>
          <cell r="C642" t="e">
            <v>#DIV/0!</v>
          </cell>
          <cell r="D642" t="e">
            <v>#DIV/0!</v>
          </cell>
          <cell r="E642" t="e">
            <v>#DIV/0!</v>
          </cell>
        </row>
        <row r="643">
          <cell r="A643">
            <v>40087</v>
          </cell>
          <cell r="B643" t="str">
            <v>#Calc</v>
          </cell>
          <cell r="C643" t="e">
            <v>#DIV/0!</v>
          </cell>
          <cell r="D643" t="e">
            <v>#DIV/0!</v>
          </cell>
          <cell r="E643" t="e">
            <v>#DIV/0!</v>
          </cell>
        </row>
        <row r="644">
          <cell r="A644">
            <v>40088</v>
          </cell>
          <cell r="B644" t="str">
            <v>#Calc</v>
          </cell>
          <cell r="C644" t="e">
            <v>#DIV/0!</v>
          </cell>
          <cell r="D644" t="e">
            <v>#DIV/0!</v>
          </cell>
          <cell r="E644" t="e">
            <v>#DIV/0!</v>
          </cell>
        </row>
        <row r="645">
          <cell r="A645">
            <v>40089</v>
          </cell>
          <cell r="B645" t="str">
            <v>#Calc</v>
          </cell>
          <cell r="C645" t="e">
            <v>#DIV/0!</v>
          </cell>
          <cell r="D645" t="e">
            <v>#DIV/0!</v>
          </cell>
          <cell r="E645" t="e">
            <v>#DIV/0!</v>
          </cell>
        </row>
        <row r="646">
          <cell r="A646">
            <v>40090</v>
          </cell>
          <cell r="B646" t="str">
            <v>#Calc</v>
          </cell>
          <cell r="C646" t="e">
            <v>#DIV/0!</v>
          </cell>
          <cell r="D646" t="e">
            <v>#DIV/0!</v>
          </cell>
          <cell r="E646" t="e">
            <v>#DIV/0!</v>
          </cell>
        </row>
        <row r="647">
          <cell r="A647">
            <v>40091</v>
          </cell>
          <cell r="B647" t="str">
            <v>#Calc</v>
          </cell>
          <cell r="C647" t="e">
            <v>#DIV/0!</v>
          </cell>
          <cell r="D647" t="e">
            <v>#DIV/0!</v>
          </cell>
          <cell r="E647" t="e">
            <v>#DIV/0!</v>
          </cell>
        </row>
        <row r="648">
          <cell r="A648">
            <v>40092</v>
          </cell>
          <cell r="B648" t="str">
            <v>#Calc</v>
          </cell>
          <cell r="C648" t="e">
            <v>#DIV/0!</v>
          </cell>
          <cell r="D648" t="e">
            <v>#DIV/0!</v>
          </cell>
          <cell r="E648" t="e">
            <v>#DIV/0!</v>
          </cell>
        </row>
        <row r="649">
          <cell r="A649">
            <v>40093</v>
          </cell>
          <cell r="B649" t="str">
            <v>#Calc</v>
          </cell>
          <cell r="C649" t="e">
            <v>#DIV/0!</v>
          </cell>
          <cell r="D649" t="e">
            <v>#DIV/0!</v>
          </cell>
          <cell r="E649" t="e">
            <v>#DIV/0!</v>
          </cell>
        </row>
        <row r="650">
          <cell r="A650">
            <v>40094</v>
          </cell>
          <cell r="B650" t="str">
            <v>#Calc</v>
          </cell>
          <cell r="C650" t="e">
            <v>#DIV/0!</v>
          </cell>
          <cell r="D650" t="e">
            <v>#DIV/0!</v>
          </cell>
          <cell r="E650" t="e">
            <v>#DIV/0!</v>
          </cell>
        </row>
        <row r="651">
          <cell r="A651">
            <v>40095</v>
          </cell>
          <cell r="B651" t="str">
            <v>#Calc</v>
          </cell>
          <cell r="C651" t="e">
            <v>#DIV/0!</v>
          </cell>
          <cell r="D651" t="e">
            <v>#DIV/0!</v>
          </cell>
          <cell r="E651" t="e">
            <v>#DIV/0!</v>
          </cell>
        </row>
        <row r="652">
          <cell r="A652">
            <v>40096</v>
          </cell>
          <cell r="B652" t="str">
            <v>#Calc</v>
          </cell>
          <cell r="C652" t="e">
            <v>#DIV/0!</v>
          </cell>
          <cell r="D652" t="e">
            <v>#DIV/0!</v>
          </cell>
          <cell r="E652" t="e">
            <v>#DIV/0!</v>
          </cell>
        </row>
        <row r="653">
          <cell r="A653">
            <v>40097</v>
          </cell>
          <cell r="B653" t="str">
            <v>#Calc</v>
          </cell>
          <cell r="C653" t="e">
            <v>#DIV/0!</v>
          </cell>
          <cell r="D653" t="e">
            <v>#DIV/0!</v>
          </cell>
          <cell r="E653" t="e">
            <v>#DIV/0!</v>
          </cell>
        </row>
        <row r="654">
          <cell r="A654">
            <v>40098</v>
          </cell>
          <cell r="B654" t="str">
            <v>#Calc</v>
          </cell>
          <cell r="C654" t="e">
            <v>#DIV/0!</v>
          </cell>
          <cell r="D654" t="e">
            <v>#DIV/0!</v>
          </cell>
          <cell r="E654" t="e">
            <v>#DIV/0!</v>
          </cell>
        </row>
        <row r="655">
          <cell r="A655">
            <v>40099</v>
          </cell>
          <cell r="B655" t="str">
            <v>#Calc</v>
          </cell>
          <cell r="C655" t="e">
            <v>#DIV/0!</v>
          </cell>
          <cell r="D655" t="e">
            <v>#DIV/0!</v>
          </cell>
          <cell r="E655" t="e">
            <v>#DIV/0!</v>
          </cell>
        </row>
        <row r="656">
          <cell r="A656">
            <v>40100</v>
          </cell>
          <cell r="B656" t="str">
            <v>#Calc</v>
          </cell>
          <cell r="C656" t="e">
            <v>#DIV/0!</v>
          </cell>
          <cell r="D656" t="e">
            <v>#DIV/0!</v>
          </cell>
          <cell r="E656" t="e">
            <v>#DIV/0!</v>
          </cell>
        </row>
        <row r="657">
          <cell r="A657">
            <v>40101</v>
          </cell>
          <cell r="B657" t="str">
            <v>#Calc</v>
          </cell>
          <cell r="C657" t="e">
            <v>#DIV/0!</v>
          </cell>
          <cell r="D657" t="e">
            <v>#DIV/0!</v>
          </cell>
          <cell r="E657" t="e">
            <v>#DIV/0!</v>
          </cell>
        </row>
        <row r="658">
          <cell r="A658">
            <v>40102</v>
          </cell>
          <cell r="B658" t="str">
            <v>#Calc</v>
          </cell>
          <cell r="C658" t="e">
            <v>#DIV/0!</v>
          </cell>
          <cell r="D658" t="e">
            <v>#DIV/0!</v>
          </cell>
          <cell r="E658" t="e">
            <v>#DIV/0!</v>
          </cell>
        </row>
        <row r="659">
          <cell r="A659">
            <v>40103</v>
          </cell>
          <cell r="B659" t="str">
            <v>#Calc</v>
          </cell>
          <cell r="C659" t="e">
            <v>#DIV/0!</v>
          </cell>
          <cell r="D659" t="e">
            <v>#DIV/0!</v>
          </cell>
          <cell r="E659" t="e">
            <v>#DIV/0!</v>
          </cell>
        </row>
        <row r="660">
          <cell r="A660">
            <v>40104</v>
          </cell>
          <cell r="B660" t="str">
            <v>#Calc</v>
          </cell>
          <cell r="C660" t="e">
            <v>#DIV/0!</v>
          </cell>
          <cell r="D660" t="e">
            <v>#DIV/0!</v>
          </cell>
          <cell r="E660" t="e">
            <v>#DIV/0!</v>
          </cell>
        </row>
        <row r="661">
          <cell r="A661">
            <v>40105</v>
          </cell>
          <cell r="B661" t="str">
            <v>#Calc</v>
          </cell>
          <cell r="C661" t="e">
            <v>#DIV/0!</v>
          </cell>
          <cell r="D661" t="e">
            <v>#DIV/0!</v>
          </cell>
          <cell r="E661" t="e">
            <v>#DIV/0!</v>
          </cell>
        </row>
        <row r="662">
          <cell r="A662">
            <v>40106</v>
          </cell>
          <cell r="B662" t="str">
            <v>#Calc</v>
          </cell>
          <cell r="C662" t="e">
            <v>#DIV/0!</v>
          </cell>
          <cell r="D662" t="e">
            <v>#DIV/0!</v>
          </cell>
          <cell r="E662" t="e">
            <v>#DIV/0!</v>
          </cell>
        </row>
        <row r="663">
          <cell r="A663">
            <v>40107</v>
          </cell>
          <cell r="B663" t="str">
            <v>#Calc</v>
          </cell>
          <cell r="C663" t="e">
            <v>#DIV/0!</v>
          </cell>
          <cell r="D663" t="e">
            <v>#DIV/0!</v>
          </cell>
          <cell r="E663" t="e">
            <v>#DIV/0!</v>
          </cell>
        </row>
        <row r="664">
          <cell r="A664">
            <v>40108</v>
          </cell>
          <cell r="B664" t="str">
            <v>#Calc</v>
          </cell>
          <cell r="C664" t="e">
            <v>#DIV/0!</v>
          </cell>
          <cell r="D664" t="e">
            <v>#DIV/0!</v>
          </cell>
          <cell r="E664" t="e">
            <v>#DIV/0!</v>
          </cell>
        </row>
        <row r="665">
          <cell r="A665">
            <v>40109</v>
          </cell>
          <cell r="B665" t="str">
            <v>#Calc</v>
          </cell>
          <cell r="C665" t="e">
            <v>#DIV/0!</v>
          </cell>
          <cell r="D665" t="e">
            <v>#DIV/0!</v>
          </cell>
          <cell r="E665" t="e">
            <v>#DIV/0!</v>
          </cell>
        </row>
        <row r="666">
          <cell r="A666">
            <v>40110</v>
          </cell>
          <cell r="B666" t="str">
            <v>#Calc</v>
          </cell>
          <cell r="C666" t="e">
            <v>#DIV/0!</v>
          </cell>
          <cell r="D666" t="e">
            <v>#DIV/0!</v>
          </cell>
          <cell r="E666" t="e">
            <v>#DIV/0!</v>
          </cell>
        </row>
        <row r="667">
          <cell r="A667">
            <v>40111</v>
          </cell>
          <cell r="B667" t="str">
            <v>#Calc</v>
          </cell>
          <cell r="C667" t="e">
            <v>#DIV/0!</v>
          </cell>
          <cell r="D667" t="e">
            <v>#DIV/0!</v>
          </cell>
          <cell r="E667" t="e">
            <v>#DIV/0!</v>
          </cell>
        </row>
        <row r="668">
          <cell r="A668">
            <v>40112</v>
          </cell>
          <cell r="B668" t="str">
            <v>#Calc</v>
          </cell>
          <cell r="C668" t="e">
            <v>#DIV/0!</v>
          </cell>
          <cell r="D668" t="e">
            <v>#DIV/0!</v>
          </cell>
          <cell r="E668" t="e">
            <v>#DIV/0!</v>
          </cell>
        </row>
        <row r="669">
          <cell r="A669">
            <v>40113</v>
          </cell>
          <cell r="B669" t="str">
            <v>#Calc</v>
          </cell>
          <cell r="C669" t="e">
            <v>#DIV/0!</v>
          </cell>
          <cell r="D669" t="e">
            <v>#DIV/0!</v>
          </cell>
          <cell r="E669" t="e">
            <v>#DIV/0!</v>
          </cell>
        </row>
        <row r="670">
          <cell r="A670">
            <v>40114</v>
          </cell>
          <cell r="B670" t="str">
            <v>#Calc</v>
          </cell>
          <cell r="C670" t="e">
            <v>#DIV/0!</v>
          </cell>
          <cell r="D670" t="e">
            <v>#DIV/0!</v>
          </cell>
          <cell r="E670" t="e">
            <v>#DIV/0!</v>
          </cell>
        </row>
        <row r="671">
          <cell r="A671">
            <v>40115</v>
          </cell>
          <cell r="B671" t="str">
            <v>#Calc</v>
          </cell>
          <cell r="C671" t="e">
            <v>#DIV/0!</v>
          </cell>
          <cell r="D671" t="e">
            <v>#DIV/0!</v>
          </cell>
          <cell r="E671" t="e">
            <v>#DIV/0!</v>
          </cell>
        </row>
        <row r="672">
          <cell r="A672">
            <v>40116</v>
          </cell>
          <cell r="B672" t="str">
            <v>#Calc</v>
          </cell>
          <cell r="C672" t="e">
            <v>#DIV/0!</v>
          </cell>
          <cell r="D672" t="e">
            <v>#DIV/0!</v>
          </cell>
          <cell r="E672" t="e">
            <v>#DIV/0!</v>
          </cell>
        </row>
        <row r="673">
          <cell r="A673">
            <v>40117</v>
          </cell>
          <cell r="B673" t="str">
            <v>#Calc</v>
          </cell>
          <cell r="C673" t="e">
            <v>#DIV/0!</v>
          </cell>
          <cell r="D673" t="e">
            <v>#DIV/0!</v>
          </cell>
          <cell r="E673" t="e">
            <v>#DIV/0!</v>
          </cell>
        </row>
        <row r="674">
          <cell r="A674">
            <v>40118</v>
          </cell>
          <cell r="B674" t="str">
            <v>#Calc</v>
          </cell>
          <cell r="C674" t="e">
            <v>#DIV/0!</v>
          </cell>
          <cell r="D674" t="e">
            <v>#DIV/0!</v>
          </cell>
          <cell r="E674" t="e">
            <v>#DIV/0!</v>
          </cell>
        </row>
        <row r="675">
          <cell r="A675">
            <v>40119</v>
          </cell>
          <cell r="B675" t="str">
            <v>#Calc</v>
          </cell>
          <cell r="C675" t="e">
            <v>#DIV/0!</v>
          </cell>
          <cell r="D675" t="e">
            <v>#DIV/0!</v>
          </cell>
          <cell r="E675" t="e">
            <v>#DIV/0!</v>
          </cell>
        </row>
        <row r="676">
          <cell r="A676">
            <v>40120</v>
          </cell>
          <cell r="B676" t="str">
            <v>#Calc</v>
          </cell>
          <cell r="C676" t="e">
            <v>#DIV/0!</v>
          </cell>
          <cell r="D676" t="e">
            <v>#DIV/0!</v>
          </cell>
          <cell r="E676" t="e">
            <v>#DIV/0!</v>
          </cell>
        </row>
        <row r="677">
          <cell r="A677">
            <v>40121</v>
          </cell>
          <cell r="B677" t="str">
            <v>#Calc</v>
          </cell>
          <cell r="C677" t="e">
            <v>#DIV/0!</v>
          </cell>
          <cell r="D677" t="e">
            <v>#DIV/0!</v>
          </cell>
          <cell r="E677" t="e">
            <v>#DIV/0!</v>
          </cell>
        </row>
        <row r="678">
          <cell r="A678">
            <v>40122</v>
          </cell>
          <cell r="B678" t="str">
            <v>#Calc</v>
          </cell>
          <cell r="C678" t="e">
            <v>#DIV/0!</v>
          </cell>
          <cell r="D678" t="e">
            <v>#DIV/0!</v>
          </cell>
          <cell r="E678" t="e">
            <v>#DIV/0!</v>
          </cell>
        </row>
        <row r="679">
          <cell r="A679">
            <v>40123</v>
          </cell>
          <cell r="B679" t="str">
            <v>#Calc</v>
          </cell>
          <cell r="C679" t="e">
            <v>#DIV/0!</v>
          </cell>
          <cell r="D679" t="e">
            <v>#DIV/0!</v>
          </cell>
          <cell r="E679" t="e">
            <v>#DIV/0!</v>
          </cell>
        </row>
        <row r="680">
          <cell r="A680">
            <v>40124</v>
          </cell>
          <cell r="B680" t="str">
            <v>#Calc</v>
          </cell>
          <cell r="C680" t="e">
            <v>#DIV/0!</v>
          </cell>
          <cell r="D680" t="e">
            <v>#DIV/0!</v>
          </cell>
          <cell r="E680" t="e">
            <v>#DIV/0!</v>
          </cell>
        </row>
        <row r="681">
          <cell r="A681">
            <v>40125</v>
          </cell>
          <cell r="B681" t="str">
            <v>#Calc</v>
          </cell>
          <cell r="C681" t="e">
            <v>#DIV/0!</v>
          </cell>
          <cell r="D681" t="e">
            <v>#DIV/0!</v>
          </cell>
          <cell r="E681" t="e">
            <v>#DIV/0!</v>
          </cell>
        </row>
        <row r="682">
          <cell r="A682">
            <v>40126</v>
          </cell>
          <cell r="B682" t="str">
            <v>#Calc</v>
          </cell>
          <cell r="C682" t="e">
            <v>#DIV/0!</v>
          </cell>
          <cell r="D682" t="e">
            <v>#DIV/0!</v>
          </cell>
          <cell r="E682" t="e">
            <v>#DIV/0!</v>
          </cell>
        </row>
        <row r="683">
          <cell r="A683">
            <v>40127</v>
          </cell>
          <cell r="B683" t="str">
            <v>#Calc</v>
          </cell>
          <cell r="C683" t="e">
            <v>#DIV/0!</v>
          </cell>
          <cell r="D683" t="e">
            <v>#DIV/0!</v>
          </cell>
          <cell r="E683" t="e">
            <v>#DIV/0!</v>
          </cell>
        </row>
        <row r="684">
          <cell r="A684">
            <v>40128</v>
          </cell>
          <cell r="B684" t="str">
            <v>#Calc</v>
          </cell>
          <cell r="C684" t="e">
            <v>#DIV/0!</v>
          </cell>
          <cell r="D684" t="e">
            <v>#DIV/0!</v>
          </cell>
          <cell r="E684" t="e">
            <v>#DIV/0!</v>
          </cell>
        </row>
        <row r="685">
          <cell r="A685">
            <v>40129</v>
          </cell>
          <cell r="B685" t="str">
            <v>#Calc</v>
          </cell>
          <cell r="C685" t="e">
            <v>#DIV/0!</v>
          </cell>
          <cell r="D685" t="e">
            <v>#DIV/0!</v>
          </cell>
          <cell r="E685" t="e">
            <v>#DIV/0!</v>
          </cell>
        </row>
        <row r="686">
          <cell r="A686">
            <v>40130</v>
          </cell>
          <cell r="B686" t="str">
            <v>#Calc</v>
          </cell>
          <cell r="C686" t="e">
            <v>#DIV/0!</v>
          </cell>
          <cell r="D686" t="e">
            <v>#DIV/0!</v>
          </cell>
          <cell r="E686" t="e">
            <v>#DIV/0!</v>
          </cell>
        </row>
        <row r="687">
          <cell r="A687">
            <v>40131</v>
          </cell>
          <cell r="B687" t="str">
            <v>#Calc</v>
          </cell>
          <cell r="C687" t="e">
            <v>#DIV/0!</v>
          </cell>
          <cell r="D687" t="e">
            <v>#DIV/0!</v>
          </cell>
          <cell r="E687" t="e">
            <v>#DIV/0!</v>
          </cell>
        </row>
        <row r="688">
          <cell r="A688">
            <v>40132</v>
          </cell>
          <cell r="B688" t="str">
            <v>#Calc</v>
          </cell>
          <cell r="C688" t="e">
            <v>#DIV/0!</v>
          </cell>
          <cell r="D688" t="e">
            <v>#DIV/0!</v>
          </cell>
          <cell r="E688" t="e">
            <v>#DIV/0!</v>
          </cell>
        </row>
        <row r="689">
          <cell r="A689">
            <v>40133</v>
          </cell>
          <cell r="B689" t="str">
            <v>#Calc</v>
          </cell>
          <cell r="C689" t="e">
            <v>#DIV/0!</v>
          </cell>
          <cell r="D689" t="e">
            <v>#DIV/0!</v>
          </cell>
          <cell r="E689" t="e">
            <v>#DIV/0!</v>
          </cell>
        </row>
        <row r="690">
          <cell r="A690">
            <v>40134</v>
          </cell>
          <cell r="B690" t="str">
            <v>#Calc</v>
          </cell>
          <cell r="C690" t="e">
            <v>#DIV/0!</v>
          </cell>
          <cell r="D690" t="e">
            <v>#DIV/0!</v>
          </cell>
          <cell r="E690" t="e">
            <v>#DIV/0!</v>
          </cell>
        </row>
        <row r="691">
          <cell r="A691">
            <v>40135</v>
          </cell>
          <cell r="B691" t="str">
            <v>#Calc</v>
          </cell>
          <cell r="C691" t="e">
            <v>#DIV/0!</v>
          </cell>
          <cell r="D691" t="e">
            <v>#DIV/0!</v>
          </cell>
          <cell r="E691" t="e">
            <v>#DIV/0!</v>
          </cell>
        </row>
        <row r="692">
          <cell r="A692">
            <v>40136</v>
          </cell>
          <cell r="B692" t="str">
            <v>#Calc</v>
          </cell>
          <cell r="C692" t="e">
            <v>#DIV/0!</v>
          </cell>
          <cell r="D692" t="e">
            <v>#DIV/0!</v>
          </cell>
          <cell r="E692" t="e">
            <v>#DIV/0!</v>
          </cell>
        </row>
        <row r="693">
          <cell r="A693">
            <v>40137</v>
          </cell>
          <cell r="B693" t="str">
            <v>#Calc</v>
          </cell>
          <cell r="C693" t="e">
            <v>#DIV/0!</v>
          </cell>
          <cell r="D693" t="e">
            <v>#DIV/0!</v>
          </cell>
          <cell r="E693" t="e">
            <v>#DIV/0!</v>
          </cell>
        </row>
        <row r="694">
          <cell r="A694">
            <v>40138</v>
          </cell>
          <cell r="B694" t="str">
            <v>#Calc</v>
          </cell>
          <cell r="C694" t="e">
            <v>#DIV/0!</v>
          </cell>
          <cell r="D694" t="e">
            <v>#DIV/0!</v>
          </cell>
          <cell r="E694" t="e">
            <v>#DIV/0!</v>
          </cell>
        </row>
        <row r="695">
          <cell r="A695">
            <v>40139</v>
          </cell>
          <cell r="B695" t="str">
            <v>#Calc</v>
          </cell>
          <cell r="C695" t="e">
            <v>#DIV/0!</v>
          </cell>
          <cell r="D695" t="e">
            <v>#DIV/0!</v>
          </cell>
          <cell r="E695" t="e">
            <v>#DIV/0!</v>
          </cell>
        </row>
        <row r="696">
          <cell r="A696">
            <v>40140</v>
          </cell>
          <cell r="B696" t="str">
            <v>#Calc</v>
          </cell>
          <cell r="C696" t="e">
            <v>#DIV/0!</v>
          </cell>
          <cell r="D696" t="e">
            <v>#DIV/0!</v>
          </cell>
          <cell r="E696" t="e">
            <v>#DIV/0!</v>
          </cell>
        </row>
        <row r="697">
          <cell r="A697">
            <v>40141</v>
          </cell>
          <cell r="B697" t="str">
            <v>#Calc</v>
          </cell>
          <cell r="C697" t="e">
            <v>#DIV/0!</v>
          </cell>
          <cell r="D697" t="e">
            <v>#DIV/0!</v>
          </cell>
          <cell r="E697" t="e">
            <v>#DIV/0!</v>
          </cell>
        </row>
        <row r="698">
          <cell r="A698">
            <v>40142</v>
          </cell>
          <cell r="B698" t="str">
            <v>#Calc</v>
          </cell>
          <cell r="C698" t="e">
            <v>#DIV/0!</v>
          </cell>
          <cell r="D698" t="e">
            <v>#DIV/0!</v>
          </cell>
          <cell r="E698" t="e">
            <v>#DIV/0!</v>
          </cell>
        </row>
        <row r="699">
          <cell r="A699">
            <v>40143</v>
          </cell>
          <cell r="B699" t="str">
            <v>#Calc</v>
          </cell>
          <cell r="C699" t="e">
            <v>#DIV/0!</v>
          </cell>
          <cell r="D699" t="e">
            <v>#DIV/0!</v>
          </cell>
          <cell r="E699" t="e">
            <v>#DIV/0!</v>
          </cell>
        </row>
        <row r="700">
          <cell r="A700">
            <v>40144</v>
          </cell>
          <cell r="B700" t="str">
            <v>#Calc</v>
          </cell>
          <cell r="C700" t="e">
            <v>#DIV/0!</v>
          </cell>
          <cell r="D700" t="e">
            <v>#DIV/0!</v>
          </cell>
          <cell r="E700" t="e">
            <v>#DIV/0!</v>
          </cell>
        </row>
        <row r="701">
          <cell r="A701">
            <v>40145</v>
          </cell>
          <cell r="B701" t="str">
            <v>#Calc</v>
          </cell>
          <cell r="C701" t="e">
            <v>#DIV/0!</v>
          </cell>
          <cell r="D701" t="e">
            <v>#DIV/0!</v>
          </cell>
          <cell r="E701" t="e">
            <v>#DIV/0!</v>
          </cell>
        </row>
        <row r="702">
          <cell r="A702">
            <v>40146</v>
          </cell>
          <cell r="B702" t="str">
            <v>#Calc</v>
          </cell>
          <cell r="C702" t="e">
            <v>#DIV/0!</v>
          </cell>
          <cell r="D702" t="e">
            <v>#DIV/0!</v>
          </cell>
          <cell r="E702" t="e">
            <v>#DIV/0!</v>
          </cell>
        </row>
        <row r="703">
          <cell r="A703">
            <v>40147</v>
          </cell>
          <cell r="B703" t="str">
            <v>#Calc</v>
          </cell>
          <cell r="C703" t="e">
            <v>#DIV/0!</v>
          </cell>
          <cell r="D703" t="e">
            <v>#DIV/0!</v>
          </cell>
          <cell r="E703" t="e">
            <v>#DIV/0!</v>
          </cell>
        </row>
        <row r="704">
          <cell r="A704">
            <v>40148</v>
          </cell>
          <cell r="B704" t="str">
            <v>#Calc</v>
          </cell>
          <cell r="C704" t="e">
            <v>#DIV/0!</v>
          </cell>
          <cell r="D704" t="e">
            <v>#DIV/0!</v>
          </cell>
          <cell r="E704" t="e">
            <v>#DIV/0!</v>
          </cell>
        </row>
        <row r="705">
          <cell r="A705">
            <v>40149</v>
          </cell>
          <cell r="B705" t="str">
            <v>#Calc</v>
          </cell>
          <cell r="C705" t="e">
            <v>#DIV/0!</v>
          </cell>
          <cell r="D705" t="e">
            <v>#DIV/0!</v>
          </cell>
          <cell r="E705" t="e">
            <v>#DIV/0!</v>
          </cell>
        </row>
        <row r="706">
          <cell r="A706">
            <v>40150</v>
          </cell>
          <cell r="B706" t="str">
            <v>#Calc</v>
          </cell>
          <cell r="C706" t="e">
            <v>#DIV/0!</v>
          </cell>
          <cell r="D706" t="e">
            <v>#DIV/0!</v>
          </cell>
          <cell r="E706" t="e">
            <v>#DIV/0!</v>
          </cell>
        </row>
        <row r="707">
          <cell r="A707">
            <v>40151</v>
          </cell>
          <cell r="B707" t="str">
            <v>#Calc</v>
          </cell>
          <cell r="C707" t="e">
            <v>#DIV/0!</v>
          </cell>
          <cell r="D707" t="e">
            <v>#DIV/0!</v>
          </cell>
          <cell r="E707" t="e">
            <v>#DIV/0!</v>
          </cell>
        </row>
        <row r="708">
          <cell r="A708">
            <v>40152</v>
          </cell>
          <cell r="B708" t="str">
            <v>#Calc</v>
          </cell>
          <cell r="C708" t="e">
            <v>#DIV/0!</v>
          </cell>
          <cell r="D708" t="e">
            <v>#DIV/0!</v>
          </cell>
          <cell r="E708" t="e">
            <v>#DIV/0!</v>
          </cell>
        </row>
        <row r="709">
          <cell r="A709">
            <v>40153</v>
          </cell>
          <cell r="B709" t="str">
            <v>#Calc</v>
          </cell>
          <cell r="C709" t="e">
            <v>#DIV/0!</v>
          </cell>
          <cell r="D709" t="e">
            <v>#DIV/0!</v>
          </cell>
          <cell r="E709" t="e">
            <v>#DIV/0!</v>
          </cell>
        </row>
        <row r="710">
          <cell r="A710">
            <v>40154</v>
          </cell>
          <cell r="B710" t="str">
            <v>#Calc</v>
          </cell>
          <cell r="C710" t="e">
            <v>#DIV/0!</v>
          </cell>
          <cell r="D710" t="e">
            <v>#DIV/0!</v>
          </cell>
          <cell r="E710" t="e">
            <v>#DIV/0!</v>
          </cell>
        </row>
        <row r="711">
          <cell r="A711">
            <v>40155</v>
          </cell>
          <cell r="B711" t="str">
            <v>#Calc</v>
          </cell>
          <cell r="C711" t="e">
            <v>#DIV/0!</v>
          </cell>
          <cell r="D711" t="e">
            <v>#DIV/0!</v>
          </cell>
          <cell r="E711" t="e">
            <v>#DIV/0!</v>
          </cell>
        </row>
        <row r="712">
          <cell r="A712">
            <v>40156</v>
          </cell>
          <cell r="B712" t="str">
            <v>#Calc</v>
          </cell>
          <cell r="C712" t="e">
            <v>#DIV/0!</v>
          </cell>
          <cell r="D712" t="e">
            <v>#DIV/0!</v>
          </cell>
          <cell r="E712" t="e">
            <v>#DIV/0!</v>
          </cell>
        </row>
        <row r="713">
          <cell r="A713">
            <v>40157</v>
          </cell>
          <cell r="B713" t="str">
            <v>#Calc</v>
          </cell>
          <cell r="C713" t="e">
            <v>#DIV/0!</v>
          </cell>
          <cell r="D713" t="e">
            <v>#DIV/0!</v>
          </cell>
          <cell r="E713" t="e">
            <v>#DIV/0!</v>
          </cell>
        </row>
        <row r="714">
          <cell r="A714">
            <v>40158</v>
          </cell>
          <cell r="B714" t="str">
            <v>#Calc</v>
          </cell>
          <cell r="C714" t="e">
            <v>#DIV/0!</v>
          </cell>
          <cell r="D714" t="e">
            <v>#DIV/0!</v>
          </cell>
          <cell r="E714" t="e">
            <v>#DIV/0!</v>
          </cell>
        </row>
        <row r="715">
          <cell r="A715">
            <v>40159</v>
          </cell>
          <cell r="B715" t="str">
            <v>#Calc</v>
          </cell>
          <cell r="C715" t="e">
            <v>#DIV/0!</v>
          </cell>
          <cell r="D715" t="e">
            <v>#DIV/0!</v>
          </cell>
          <cell r="E715" t="e">
            <v>#DIV/0!</v>
          </cell>
        </row>
        <row r="716">
          <cell r="A716">
            <v>40160</v>
          </cell>
          <cell r="B716" t="str">
            <v>#Calc</v>
          </cell>
          <cell r="C716" t="e">
            <v>#DIV/0!</v>
          </cell>
          <cell r="D716" t="e">
            <v>#DIV/0!</v>
          </cell>
          <cell r="E716" t="e">
            <v>#DIV/0!</v>
          </cell>
        </row>
        <row r="717">
          <cell r="A717">
            <v>40161</v>
          </cell>
          <cell r="B717" t="str">
            <v>#Calc</v>
          </cell>
          <cell r="C717" t="e">
            <v>#DIV/0!</v>
          </cell>
          <cell r="D717" t="e">
            <v>#DIV/0!</v>
          </cell>
          <cell r="E717" t="e">
            <v>#DIV/0!</v>
          </cell>
        </row>
        <row r="718">
          <cell r="A718">
            <v>40162</v>
          </cell>
          <cell r="B718" t="str">
            <v>#Calc</v>
          </cell>
          <cell r="C718" t="e">
            <v>#DIV/0!</v>
          </cell>
          <cell r="D718" t="e">
            <v>#DIV/0!</v>
          </cell>
          <cell r="E718" t="e">
            <v>#DIV/0!</v>
          </cell>
        </row>
        <row r="719">
          <cell r="A719">
            <v>40163</v>
          </cell>
          <cell r="B719" t="str">
            <v>#Calc</v>
          </cell>
          <cell r="C719" t="e">
            <v>#DIV/0!</v>
          </cell>
          <cell r="D719" t="e">
            <v>#DIV/0!</v>
          </cell>
          <cell r="E719" t="e">
            <v>#DIV/0!</v>
          </cell>
        </row>
        <row r="720">
          <cell r="A720">
            <v>40164</v>
          </cell>
          <cell r="B720" t="str">
            <v>#Calc</v>
          </cell>
          <cell r="C720" t="e">
            <v>#DIV/0!</v>
          </cell>
          <cell r="D720" t="e">
            <v>#DIV/0!</v>
          </cell>
          <cell r="E720" t="e">
            <v>#DIV/0!</v>
          </cell>
        </row>
        <row r="721">
          <cell r="A721">
            <v>40165</v>
          </cell>
          <cell r="B721" t="str">
            <v>#Calc</v>
          </cell>
          <cell r="C721" t="e">
            <v>#DIV/0!</v>
          </cell>
          <cell r="D721" t="e">
            <v>#DIV/0!</v>
          </cell>
          <cell r="E721" t="e">
            <v>#DIV/0!</v>
          </cell>
        </row>
        <row r="722">
          <cell r="A722">
            <v>40166</v>
          </cell>
          <cell r="B722" t="str">
            <v>#Calc</v>
          </cell>
          <cell r="C722" t="e">
            <v>#DIV/0!</v>
          </cell>
          <cell r="D722" t="e">
            <v>#DIV/0!</v>
          </cell>
          <cell r="E722" t="e">
            <v>#DIV/0!</v>
          </cell>
        </row>
        <row r="723">
          <cell r="A723">
            <v>40167</v>
          </cell>
          <cell r="B723" t="str">
            <v>#Calc</v>
          </cell>
          <cell r="C723" t="e">
            <v>#DIV/0!</v>
          </cell>
          <cell r="D723" t="e">
            <v>#DIV/0!</v>
          </cell>
          <cell r="E723" t="e">
            <v>#DIV/0!</v>
          </cell>
        </row>
        <row r="724">
          <cell r="A724">
            <v>40168</v>
          </cell>
          <cell r="B724" t="str">
            <v>#Calc</v>
          </cell>
          <cell r="C724" t="e">
            <v>#DIV/0!</v>
          </cell>
          <cell r="D724" t="e">
            <v>#DIV/0!</v>
          </cell>
          <cell r="E724" t="e">
            <v>#DIV/0!</v>
          </cell>
        </row>
        <row r="725">
          <cell r="A725">
            <v>40169</v>
          </cell>
          <cell r="B725" t="str">
            <v>#Calc</v>
          </cell>
          <cell r="C725" t="e">
            <v>#DIV/0!</v>
          </cell>
          <cell r="D725" t="e">
            <v>#DIV/0!</v>
          </cell>
          <cell r="E725" t="e">
            <v>#DIV/0!</v>
          </cell>
        </row>
        <row r="726">
          <cell r="A726">
            <v>40170</v>
          </cell>
          <cell r="B726" t="str">
            <v>#Calc</v>
          </cell>
          <cell r="C726" t="e">
            <v>#DIV/0!</v>
          </cell>
          <cell r="D726" t="e">
            <v>#DIV/0!</v>
          </cell>
          <cell r="E726" t="e">
            <v>#DIV/0!</v>
          </cell>
        </row>
        <row r="727">
          <cell r="A727">
            <v>40171</v>
          </cell>
          <cell r="B727" t="str">
            <v>#Calc</v>
          </cell>
          <cell r="C727" t="e">
            <v>#DIV/0!</v>
          </cell>
          <cell r="D727" t="e">
            <v>#DIV/0!</v>
          </cell>
          <cell r="E727" t="e">
            <v>#DIV/0!</v>
          </cell>
        </row>
        <row r="728">
          <cell r="A728">
            <v>40172</v>
          </cell>
          <cell r="B728" t="str">
            <v>#Calc</v>
          </cell>
          <cell r="C728" t="e">
            <v>#DIV/0!</v>
          </cell>
          <cell r="D728" t="e">
            <v>#DIV/0!</v>
          </cell>
          <cell r="E728" t="e">
            <v>#DIV/0!</v>
          </cell>
        </row>
        <row r="729">
          <cell r="A729">
            <v>40173</v>
          </cell>
          <cell r="B729" t="str">
            <v>#Calc</v>
          </cell>
          <cell r="C729" t="e">
            <v>#DIV/0!</v>
          </cell>
          <cell r="D729" t="e">
            <v>#DIV/0!</v>
          </cell>
          <cell r="E729" t="e">
            <v>#DIV/0!</v>
          </cell>
        </row>
        <row r="730">
          <cell r="A730">
            <v>40174</v>
          </cell>
          <cell r="B730" t="str">
            <v>#Calc</v>
          </cell>
          <cell r="C730" t="e">
            <v>#DIV/0!</v>
          </cell>
          <cell r="D730" t="e">
            <v>#DIV/0!</v>
          </cell>
          <cell r="E730" t="e">
            <v>#DIV/0!</v>
          </cell>
        </row>
        <row r="731">
          <cell r="A731">
            <v>40175</v>
          </cell>
          <cell r="B731" t="str">
            <v>#Calc</v>
          </cell>
          <cell r="C731" t="e">
            <v>#DIV/0!</v>
          </cell>
          <cell r="D731" t="e">
            <v>#DIV/0!</v>
          </cell>
          <cell r="E731" t="e">
            <v>#DIV/0!</v>
          </cell>
        </row>
        <row r="732">
          <cell r="A732">
            <v>40176</v>
          </cell>
          <cell r="B732" t="str">
            <v>#Calc</v>
          </cell>
          <cell r="C732" t="e">
            <v>#DIV/0!</v>
          </cell>
          <cell r="D732" t="e">
            <v>#DIV/0!</v>
          </cell>
          <cell r="E732" t="e">
            <v>#DIV/0!</v>
          </cell>
        </row>
        <row r="733">
          <cell r="A733">
            <v>40177</v>
          </cell>
          <cell r="B733" t="str">
            <v>#Calc</v>
          </cell>
          <cell r="C733" t="e">
            <v>#DIV/0!</v>
          </cell>
          <cell r="D733" t="e">
            <v>#DIV/0!</v>
          </cell>
          <cell r="E733" t="e">
            <v>#DIV/0!</v>
          </cell>
        </row>
        <row r="734">
          <cell r="A734">
            <v>40178</v>
          </cell>
          <cell r="B734" t="str">
            <v>#Calc</v>
          </cell>
          <cell r="C734" t="e">
            <v>#DIV/0!</v>
          </cell>
          <cell r="D734" t="e">
            <v>#DIV/0!</v>
          </cell>
          <cell r="E734" t="e">
            <v>#DIV/0!</v>
          </cell>
        </row>
        <row r="735">
          <cell r="A735">
            <v>40179</v>
          </cell>
          <cell r="B735" t="str">
            <v>#Calc</v>
          </cell>
          <cell r="C735" t="e">
            <v>#DIV/0!</v>
          </cell>
          <cell r="D735" t="e">
            <v>#DIV/0!</v>
          </cell>
          <cell r="E735" t="e">
            <v>#DIV/0!</v>
          </cell>
        </row>
        <row r="736">
          <cell r="A736">
            <v>40180</v>
          </cell>
          <cell r="B736" t="str">
            <v>#Calc</v>
          </cell>
          <cell r="C736" t="e">
            <v>#DIV/0!</v>
          </cell>
          <cell r="D736" t="e">
            <v>#DIV/0!</v>
          </cell>
          <cell r="E736" t="e">
            <v>#DIV/0!</v>
          </cell>
        </row>
        <row r="737">
          <cell r="A737">
            <v>40181</v>
          </cell>
          <cell r="B737" t="str">
            <v>#Calc</v>
          </cell>
          <cell r="C737" t="e">
            <v>#DIV/0!</v>
          </cell>
          <cell r="D737" t="e">
            <v>#DIV/0!</v>
          </cell>
          <cell r="E737" t="e">
            <v>#DIV/0!</v>
          </cell>
        </row>
        <row r="738">
          <cell r="A738">
            <v>40182</v>
          </cell>
          <cell r="B738" t="str">
            <v>#Calc</v>
          </cell>
          <cell r="C738" t="e">
            <v>#DIV/0!</v>
          </cell>
          <cell r="D738" t="e">
            <v>#DIV/0!</v>
          </cell>
          <cell r="E738" t="e">
            <v>#DIV/0!</v>
          </cell>
        </row>
        <row r="739">
          <cell r="A739">
            <v>40183</v>
          </cell>
          <cell r="B739" t="str">
            <v>#Calc</v>
          </cell>
          <cell r="C739" t="e">
            <v>#DIV/0!</v>
          </cell>
          <cell r="D739" t="e">
            <v>#DIV/0!</v>
          </cell>
          <cell r="E739" t="e">
            <v>#DIV/0!</v>
          </cell>
        </row>
        <row r="740">
          <cell r="A740">
            <v>40184</v>
          </cell>
          <cell r="B740" t="str">
            <v>#Calc</v>
          </cell>
          <cell r="C740" t="e">
            <v>#DIV/0!</v>
          </cell>
          <cell r="D740" t="e">
            <v>#DIV/0!</v>
          </cell>
          <cell r="E740" t="e">
            <v>#DIV/0!</v>
          </cell>
        </row>
        <row r="741">
          <cell r="A741">
            <v>40185</v>
          </cell>
          <cell r="B741" t="str">
            <v>#Calc</v>
          </cell>
          <cell r="C741" t="e">
            <v>#DIV/0!</v>
          </cell>
          <cell r="D741" t="e">
            <v>#DIV/0!</v>
          </cell>
          <cell r="E741" t="e">
            <v>#DIV/0!</v>
          </cell>
        </row>
        <row r="742">
          <cell r="A742">
            <v>40186</v>
          </cell>
          <cell r="B742" t="str">
            <v>#Calc</v>
          </cell>
          <cell r="C742" t="e">
            <v>#DIV/0!</v>
          </cell>
          <cell r="D742" t="e">
            <v>#DIV/0!</v>
          </cell>
          <cell r="E742" t="e">
            <v>#DIV/0!</v>
          </cell>
        </row>
        <row r="743">
          <cell r="A743">
            <v>40187</v>
          </cell>
          <cell r="B743" t="str">
            <v>#Calc</v>
          </cell>
          <cell r="C743" t="e">
            <v>#DIV/0!</v>
          </cell>
          <cell r="D743" t="e">
            <v>#DIV/0!</v>
          </cell>
          <cell r="E743" t="e">
            <v>#DIV/0!</v>
          </cell>
        </row>
        <row r="744">
          <cell r="A744">
            <v>40188</v>
          </cell>
          <cell r="B744" t="str">
            <v>#Calc</v>
          </cell>
          <cell r="C744" t="e">
            <v>#DIV/0!</v>
          </cell>
          <cell r="D744" t="e">
            <v>#DIV/0!</v>
          </cell>
          <cell r="E744" t="e">
            <v>#DIV/0!</v>
          </cell>
        </row>
        <row r="745">
          <cell r="A745">
            <v>40189</v>
          </cell>
          <cell r="B745" t="str">
            <v>#Calc</v>
          </cell>
          <cell r="C745" t="e">
            <v>#DIV/0!</v>
          </cell>
          <cell r="D745" t="e">
            <v>#DIV/0!</v>
          </cell>
          <cell r="E745" t="e">
            <v>#DIV/0!</v>
          </cell>
        </row>
        <row r="746">
          <cell r="A746">
            <v>40190</v>
          </cell>
          <cell r="B746" t="str">
            <v>#Calc</v>
          </cell>
          <cell r="C746" t="e">
            <v>#DIV/0!</v>
          </cell>
          <cell r="D746" t="e">
            <v>#DIV/0!</v>
          </cell>
          <cell r="E746" t="e">
            <v>#DIV/0!</v>
          </cell>
        </row>
        <row r="747">
          <cell r="A747">
            <v>40191</v>
          </cell>
          <cell r="B747" t="str">
            <v>#Calc</v>
          </cell>
          <cell r="C747" t="e">
            <v>#DIV/0!</v>
          </cell>
          <cell r="D747" t="e">
            <v>#DIV/0!</v>
          </cell>
          <cell r="E747" t="e">
            <v>#DIV/0!</v>
          </cell>
        </row>
        <row r="748">
          <cell r="A748">
            <v>40192</v>
          </cell>
          <cell r="B748" t="str">
            <v>#Calc</v>
          </cell>
          <cell r="C748" t="e">
            <v>#DIV/0!</v>
          </cell>
          <cell r="D748" t="e">
            <v>#DIV/0!</v>
          </cell>
          <cell r="E748" t="e">
            <v>#DIV/0!</v>
          </cell>
        </row>
        <row r="749">
          <cell r="A749">
            <v>40193</v>
          </cell>
          <cell r="B749" t="str">
            <v>#Calc</v>
          </cell>
          <cell r="C749" t="e">
            <v>#DIV/0!</v>
          </cell>
          <cell r="D749" t="e">
            <v>#DIV/0!</v>
          </cell>
          <cell r="E749" t="e">
            <v>#DIV/0!</v>
          </cell>
        </row>
        <row r="750">
          <cell r="A750">
            <v>40194</v>
          </cell>
          <cell r="B750" t="str">
            <v>#Calc</v>
          </cell>
          <cell r="C750" t="e">
            <v>#DIV/0!</v>
          </cell>
          <cell r="D750" t="e">
            <v>#DIV/0!</v>
          </cell>
          <cell r="E750" t="e">
            <v>#DIV/0!</v>
          </cell>
        </row>
        <row r="751">
          <cell r="A751">
            <v>40195</v>
          </cell>
          <cell r="B751" t="str">
            <v>#Calc</v>
          </cell>
          <cell r="C751" t="e">
            <v>#DIV/0!</v>
          </cell>
          <cell r="D751" t="e">
            <v>#DIV/0!</v>
          </cell>
          <cell r="E751" t="e">
            <v>#DIV/0!</v>
          </cell>
        </row>
        <row r="752">
          <cell r="A752">
            <v>40196</v>
          </cell>
          <cell r="B752" t="str">
            <v>#Calc</v>
          </cell>
          <cell r="C752" t="e">
            <v>#DIV/0!</v>
          </cell>
          <cell r="D752" t="e">
            <v>#DIV/0!</v>
          </cell>
          <cell r="E752" t="e">
            <v>#DIV/0!</v>
          </cell>
        </row>
        <row r="753">
          <cell r="A753">
            <v>40197</v>
          </cell>
          <cell r="B753" t="str">
            <v>#Calc</v>
          </cell>
          <cell r="C753" t="e">
            <v>#DIV/0!</v>
          </cell>
          <cell r="D753" t="e">
            <v>#DIV/0!</v>
          </cell>
          <cell r="E753" t="e">
            <v>#DIV/0!</v>
          </cell>
        </row>
        <row r="754">
          <cell r="A754">
            <v>40198</v>
          </cell>
          <cell r="B754" t="str">
            <v>#Calc</v>
          </cell>
          <cell r="C754" t="e">
            <v>#DIV/0!</v>
          </cell>
          <cell r="D754" t="e">
            <v>#DIV/0!</v>
          </cell>
          <cell r="E754" t="e">
            <v>#DIV/0!</v>
          </cell>
        </row>
        <row r="755">
          <cell r="A755">
            <v>40199</v>
          </cell>
          <cell r="B755" t="str">
            <v>#Calc</v>
          </cell>
          <cell r="C755" t="e">
            <v>#DIV/0!</v>
          </cell>
          <cell r="D755" t="e">
            <v>#DIV/0!</v>
          </cell>
          <cell r="E755" t="e">
            <v>#DIV/0!</v>
          </cell>
        </row>
        <row r="756">
          <cell r="A756">
            <v>40200</v>
          </cell>
          <cell r="B756" t="str">
            <v>#Calc</v>
          </cell>
          <cell r="C756" t="e">
            <v>#DIV/0!</v>
          </cell>
          <cell r="D756" t="e">
            <v>#DIV/0!</v>
          </cell>
          <cell r="E756" t="e">
            <v>#DIV/0!</v>
          </cell>
        </row>
        <row r="757">
          <cell r="A757">
            <v>40201</v>
          </cell>
          <cell r="B757" t="str">
            <v>#Calc</v>
          </cell>
          <cell r="C757" t="e">
            <v>#DIV/0!</v>
          </cell>
          <cell r="D757" t="e">
            <v>#DIV/0!</v>
          </cell>
          <cell r="E757" t="e">
            <v>#DIV/0!</v>
          </cell>
        </row>
        <row r="758">
          <cell r="A758">
            <v>40202</v>
          </cell>
          <cell r="B758" t="str">
            <v>#Calc</v>
          </cell>
          <cell r="C758" t="e">
            <v>#DIV/0!</v>
          </cell>
          <cell r="D758" t="e">
            <v>#DIV/0!</v>
          </cell>
          <cell r="E758" t="e">
            <v>#DIV/0!</v>
          </cell>
        </row>
        <row r="759">
          <cell r="A759">
            <v>40203</v>
          </cell>
          <cell r="B759" t="str">
            <v>#Calc</v>
          </cell>
          <cell r="C759" t="e">
            <v>#DIV/0!</v>
          </cell>
          <cell r="D759" t="e">
            <v>#DIV/0!</v>
          </cell>
          <cell r="E759" t="e">
            <v>#DIV/0!</v>
          </cell>
        </row>
        <row r="760">
          <cell r="A760">
            <v>40204</v>
          </cell>
          <cell r="B760" t="str">
            <v>#Calc</v>
          </cell>
          <cell r="C760" t="e">
            <v>#DIV/0!</v>
          </cell>
          <cell r="D760" t="e">
            <v>#DIV/0!</v>
          </cell>
          <cell r="E760" t="e">
            <v>#DIV/0!</v>
          </cell>
        </row>
        <row r="761">
          <cell r="A761">
            <v>40205</v>
          </cell>
          <cell r="B761" t="str">
            <v>#Calc</v>
          </cell>
          <cell r="C761" t="e">
            <v>#DIV/0!</v>
          </cell>
          <cell r="D761" t="e">
            <v>#DIV/0!</v>
          </cell>
          <cell r="E761" t="e">
            <v>#DIV/0!</v>
          </cell>
        </row>
        <row r="762">
          <cell r="A762">
            <v>40206</v>
          </cell>
          <cell r="B762" t="str">
            <v>#Calc</v>
          </cell>
          <cell r="C762" t="e">
            <v>#DIV/0!</v>
          </cell>
          <cell r="D762" t="e">
            <v>#DIV/0!</v>
          </cell>
          <cell r="E762" t="e">
            <v>#DIV/0!</v>
          </cell>
        </row>
        <row r="763">
          <cell r="A763">
            <v>40207</v>
          </cell>
          <cell r="B763" t="str">
            <v>#Calc</v>
          </cell>
          <cell r="C763" t="e">
            <v>#DIV/0!</v>
          </cell>
          <cell r="D763" t="e">
            <v>#DIV/0!</v>
          </cell>
          <cell r="E763" t="e">
            <v>#DIV/0!</v>
          </cell>
        </row>
        <row r="764">
          <cell r="A764">
            <v>40208</v>
          </cell>
          <cell r="B764" t="str">
            <v>#Calc</v>
          </cell>
          <cell r="C764" t="e">
            <v>#DIV/0!</v>
          </cell>
          <cell r="D764" t="e">
            <v>#DIV/0!</v>
          </cell>
          <cell r="E764" t="e">
            <v>#DIV/0!</v>
          </cell>
        </row>
        <row r="765">
          <cell r="A765">
            <v>40209</v>
          </cell>
          <cell r="B765" t="str">
            <v>#Calc</v>
          </cell>
          <cell r="C765" t="e">
            <v>#DIV/0!</v>
          </cell>
          <cell r="D765" t="e">
            <v>#DIV/0!</v>
          </cell>
          <cell r="E765" t="e">
            <v>#DIV/0!</v>
          </cell>
        </row>
        <row r="766">
          <cell r="A766">
            <v>40210</v>
          </cell>
          <cell r="B766" t="str">
            <v>#Calc</v>
          </cell>
          <cell r="C766" t="e">
            <v>#DIV/0!</v>
          </cell>
          <cell r="D766" t="e">
            <v>#DIV/0!</v>
          </cell>
          <cell r="E766" t="e">
            <v>#DIV/0!</v>
          </cell>
        </row>
        <row r="767">
          <cell r="A767">
            <v>40211</v>
          </cell>
          <cell r="B767" t="str">
            <v>#Calc</v>
          </cell>
          <cell r="C767" t="e">
            <v>#DIV/0!</v>
          </cell>
          <cell r="D767" t="e">
            <v>#DIV/0!</v>
          </cell>
          <cell r="E767" t="e">
            <v>#DIV/0!</v>
          </cell>
        </row>
        <row r="768">
          <cell r="A768">
            <v>40212</v>
          </cell>
          <cell r="B768" t="str">
            <v>#Calc</v>
          </cell>
          <cell r="C768" t="e">
            <v>#DIV/0!</v>
          </cell>
          <cell r="D768" t="e">
            <v>#DIV/0!</v>
          </cell>
          <cell r="E768" t="e">
            <v>#DIV/0!</v>
          </cell>
        </row>
        <row r="769">
          <cell r="A769">
            <v>40213</v>
          </cell>
          <cell r="B769" t="str">
            <v>#Calc</v>
          </cell>
          <cell r="C769" t="e">
            <v>#DIV/0!</v>
          </cell>
          <cell r="D769" t="e">
            <v>#DIV/0!</v>
          </cell>
          <cell r="E769" t="e">
            <v>#DIV/0!</v>
          </cell>
        </row>
        <row r="770">
          <cell r="A770">
            <v>40214</v>
          </cell>
          <cell r="B770" t="str">
            <v>#Calc</v>
          </cell>
          <cell r="C770" t="e">
            <v>#DIV/0!</v>
          </cell>
          <cell r="D770" t="e">
            <v>#DIV/0!</v>
          </cell>
          <cell r="E770" t="e">
            <v>#DIV/0!</v>
          </cell>
        </row>
        <row r="771">
          <cell r="A771">
            <v>40215</v>
          </cell>
          <cell r="B771" t="str">
            <v>#Calc</v>
          </cell>
          <cell r="C771" t="e">
            <v>#DIV/0!</v>
          </cell>
          <cell r="D771" t="e">
            <v>#DIV/0!</v>
          </cell>
          <cell r="E771" t="e">
            <v>#DIV/0!</v>
          </cell>
        </row>
        <row r="772">
          <cell r="A772">
            <v>40216</v>
          </cell>
          <cell r="B772" t="str">
            <v>#Calc</v>
          </cell>
          <cell r="C772" t="e">
            <v>#DIV/0!</v>
          </cell>
          <cell r="D772" t="e">
            <v>#DIV/0!</v>
          </cell>
          <cell r="E772" t="e">
            <v>#DIV/0!</v>
          </cell>
        </row>
        <row r="773">
          <cell r="A773">
            <v>40217</v>
          </cell>
          <cell r="B773" t="str">
            <v>#Calc</v>
          </cell>
          <cell r="C773" t="e">
            <v>#DIV/0!</v>
          </cell>
          <cell r="D773" t="e">
            <v>#DIV/0!</v>
          </cell>
          <cell r="E773" t="e">
            <v>#DIV/0!</v>
          </cell>
        </row>
        <row r="774">
          <cell r="A774">
            <v>40218</v>
          </cell>
          <cell r="B774" t="str">
            <v>#Calc</v>
          </cell>
          <cell r="C774" t="e">
            <v>#DIV/0!</v>
          </cell>
          <cell r="D774" t="e">
            <v>#DIV/0!</v>
          </cell>
          <cell r="E774" t="e">
            <v>#DIV/0!</v>
          </cell>
        </row>
        <row r="775">
          <cell r="A775">
            <v>40219</v>
          </cell>
          <cell r="B775" t="str">
            <v>#Calc</v>
          </cell>
          <cell r="C775" t="e">
            <v>#DIV/0!</v>
          </cell>
          <cell r="D775" t="e">
            <v>#DIV/0!</v>
          </cell>
          <cell r="E775" t="e">
            <v>#DIV/0!</v>
          </cell>
        </row>
        <row r="776">
          <cell r="A776">
            <v>40220</v>
          </cell>
          <cell r="B776" t="str">
            <v>#Calc</v>
          </cell>
          <cell r="C776" t="e">
            <v>#DIV/0!</v>
          </cell>
          <cell r="D776" t="e">
            <v>#DIV/0!</v>
          </cell>
          <cell r="E776" t="e">
            <v>#DIV/0!</v>
          </cell>
        </row>
        <row r="777">
          <cell r="A777">
            <v>40221</v>
          </cell>
          <cell r="B777" t="str">
            <v>#Calc</v>
          </cell>
          <cell r="C777" t="e">
            <v>#DIV/0!</v>
          </cell>
          <cell r="D777" t="e">
            <v>#DIV/0!</v>
          </cell>
          <cell r="E777" t="e">
            <v>#DIV/0!</v>
          </cell>
        </row>
        <row r="778">
          <cell r="A778">
            <v>40222</v>
          </cell>
          <cell r="B778" t="str">
            <v>#Calc</v>
          </cell>
          <cell r="C778" t="e">
            <v>#DIV/0!</v>
          </cell>
          <cell r="D778" t="e">
            <v>#DIV/0!</v>
          </cell>
          <cell r="E778" t="e">
            <v>#DIV/0!</v>
          </cell>
        </row>
        <row r="779">
          <cell r="A779">
            <v>40223</v>
          </cell>
          <cell r="B779" t="str">
            <v>#Calc</v>
          </cell>
          <cell r="C779" t="e">
            <v>#DIV/0!</v>
          </cell>
          <cell r="D779" t="e">
            <v>#DIV/0!</v>
          </cell>
          <cell r="E779" t="e">
            <v>#DIV/0!</v>
          </cell>
        </row>
        <row r="780">
          <cell r="A780">
            <v>40224</v>
          </cell>
          <cell r="B780" t="str">
            <v>#Calc</v>
          </cell>
          <cell r="C780" t="e">
            <v>#DIV/0!</v>
          </cell>
          <cell r="D780" t="e">
            <v>#DIV/0!</v>
          </cell>
          <cell r="E780" t="e">
            <v>#DIV/0!</v>
          </cell>
        </row>
        <row r="781">
          <cell r="A781">
            <v>40225</v>
          </cell>
          <cell r="B781" t="str">
            <v>#Calc</v>
          </cell>
          <cell r="C781" t="e">
            <v>#DIV/0!</v>
          </cell>
          <cell r="D781" t="e">
            <v>#DIV/0!</v>
          </cell>
          <cell r="E781" t="e">
            <v>#DIV/0!</v>
          </cell>
        </row>
        <row r="782">
          <cell r="A782">
            <v>40226</v>
          </cell>
          <cell r="B782" t="str">
            <v>#Calc</v>
          </cell>
          <cell r="C782" t="e">
            <v>#DIV/0!</v>
          </cell>
          <cell r="D782" t="e">
            <v>#DIV/0!</v>
          </cell>
          <cell r="E782" t="e">
            <v>#DIV/0!</v>
          </cell>
        </row>
        <row r="783">
          <cell r="A783">
            <v>40227</v>
          </cell>
          <cell r="B783" t="str">
            <v>#Calc</v>
          </cell>
          <cell r="C783" t="e">
            <v>#DIV/0!</v>
          </cell>
          <cell r="D783" t="e">
            <v>#DIV/0!</v>
          </cell>
          <cell r="E783" t="e">
            <v>#DIV/0!</v>
          </cell>
        </row>
        <row r="784">
          <cell r="A784">
            <v>40228</v>
          </cell>
          <cell r="B784" t="str">
            <v>#Calc</v>
          </cell>
          <cell r="C784" t="e">
            <v>#DIV/0!</v>
          </cell>
          <cell r="D784" t="e">
            <v>#DIV/0!</v>
          </cell>
          <cell r="E784" t="e">
            <v>#DIV/0!</v>
          </cell>
        </row>
        <row r="785">
          <cell r="A785">
            <v>40229</v>
          </cell>
          <cell r="B785" t="str">
            <v>#Calc</v>
          </cell>
          <cell r="C785" t="e">
            <v>#DIV/0!</v>
          </cell>
          <cell r="D785" t="e">
            <v>#DIV/0!</v>
          </cell>
          <cell r="E785" t="e">
            <v>#DIV/0!</v>
          </cell>
        </row>
        <row r="786">
          <cell r="A786">
            <v>40230</v>
          </cell>
          <cell r="B786" t="str">
            <v>#Calc</v>
          </cell>
          <cell r="C786" t="e">
            <v>#DIV/0!</v>
          </cell>
          <cell r="D786" t="e">
            <v>#DIV/0!</v>
          </cell>
          <cell r="E786" t="e">
            <v>#DIV/0!</v>
          </cell>
        </row>
        <row r="787">
          <cell r="A787">
            <v>40231</v>
          </cell>
          <cell r="B787" t="str">
            <v>#Calc</v>
          </cell>
          <cell r="C787" t="e">
            <v>#DIV/0!</v>
          </cell>
          <cell r="D787" t="e">
            <v>#DIV/0!</v>
          </cell>
          <cell r="E787" t="e">
            <v>#DIV/0!</v>
          </cell>
        </row>
        <row r="788">
          <cell r="A788">
            <v>40232</v>
          </cell>
          <cell r="B788" t="str">
            <v>#Calc</v>
          </cell>
          <cell r="C788" t="e">
            <v>#DIV/0!</v>
          </cell>
          <cell r="D788" t="e">
            <v>#DIV/0!</v>
          </cell>
          <cell r="E788" t="e">
            <v>#DIV/0!</v>
          </cell>
        </row>
        <row r="789">
          <cell r="A789">
            <v>40233</v>
          </cell>
          <cell r="B789" t="str">
            <v>#Calc</v>
          </cell>
          <cell r="C789" t="e">
            <v>#DIV/0!</v>
          </cell>
          <cell r="D789" t="e">
            <v>#DIV/0!</v>
          </cell>
          <cell r="E789" t="e">
            <v>#DIV/0!</v>
          </cell>
        </row>
        <row r="790">
          <cell r="A790">
            <v>40234</v>
          </cell>
          <cell r="B790" t="str">
            <v>#Calc</v>
          </cell>
          <cell r="C790" t="e">
            <v>#DIV/0!</v>
          </cell>
          <cell r="D790" t="e">
            <v>#DIV/0!</v>
          </cell>
          <cell r="E790" t="e">
            <v>#DIV/0!</v>
          </cell>
        </row>
        <row r="791">
          <cell r="A791">
            <v>40235</v>
          </cell>
          <cell r="B791" t="str">
            <v>#Calc</v>
          </cell>
          <cell r="C791" t="e">
            <v>#DIV/0!</v>
          </cell>
          <cell r="D791" t="e">
            <v>#DIV/0!</v>
          </cell>
          <cell r="E791" t="e">
            <v>#DIV/0!</v>
          </cell>
        </row>
        <row r="792">
          <cell r="A792">
            <v>40236</v>
          </cell>
          <cell r="B792" t="str">
            <v>#Calc</v>
          </cell>
          <cell r="C792" t="e">
            <v>#DIV/0!</v>
          </cell>
          <cell r="D792" t="e">
            <v>#DIV/0!</v>
          </cell>
          <cell r="E792" t="e">
            <v>#DIV/0!</v>
          </cell>
        </row>
        <row r="793">
          <cell r="A793">
            <v>40237</v>
          </cell>
          <cell r="B793" t="str">
            <v>#Calc</v>
          </cell>
          <cell r="C793" t="e">
            <v>#DIV/0!</v>
          </cell>
          <cell r="D793" t="e">
            <v>#DIV/0!</v>
          </cell>
          <cell r="E793" t="e">
            <v>#DIV/0!</v>
          </cell>
        </row>
        <row r="794">
          <cell r="A794">
            <v>40238</v>
          </cell>
          <cell r="B794" t="str">
            <v>#Calc</v>
          </cell>
          <cell r="C794" t="e">
            <v>#DIV/0!</v>
          </cell>
          <cell r="D794" t="e">
            <v>#DIV/0!</v>
          </cell>
          <cell r="E794" t="e">
            <v>#DIV/0!</v>
          </cell>
        </row>
        <row r="795">
          <cell r="A795">
            <v>40239</v>
          </cell>
          <cell r="B795" t="str">
            <v>#Calc</v>
          </cell>
          <cell r="C795" t="e">
            <v>#DIV/0!</v>
          </cell>
          <cell r="D795" t="e">
            <v>#DIV/0!</v>
          </cell>
          <cell r="E795" t="e">
            <v>#DIV/0!</v>
          </cell>
        </row>
        <row r="796">
          <cell r="A796">
            <v>40240</v>
          </cell>
          <cell r="B796" t="str">
            <v>#Calc</v>
          </cell>
          <cell r="C796" t="e">
            <v>#DIV/0!</v>
          </cell>
          <cell r="D796" t="e">
            <v>#DIV/0!</v>
          </cell>
          <cell r="E796" t="e">
            <v>#DIV/0!</v>
          </cell>
        </row>
        <row r="797">
          <cell r="A797">
            <v>40241</v>
          </cell>
          <cell r="B797" t="str">
            <v>#Calc</v>
          </cell>
          <cell r="C797" t="e">
            <v>#DIV/0!</v>
          </cell>
          <cell r="D797" t="e">
            <v>#DIV/0!</v>
          </cell>
          <cell r="E797" t="e">
            <v>#DIV/0!</v>
          </cell>
        </row>
        <row r="798">
          <cell r="A798">
            <v>40242</v>
          </cell>
          <cell r="B798" t="str">
            <v>#Calc</v>
          </cell>
          <cell r="C798" t="e">
            <v>#DIV/0!</v>
          </cell>
          <cell r="D798" t="e">
            <v>#DIV/0!</v>
          </cell>
          <cell r="E798" t="e">
            <v>#DIV/0!</v>
          </cell>
        </row>
        <row r="799">
          <cell r="A799">
            <v>40243</v>
          </cell>
          <cell r="B799" t="str">
            <v>#Calc</v>
          </cell>
          <cell r="C799" t="e">
            <v>#DIV/0!</v>
          </cell>
          <cell r="D799" t="e">
            <v>#DIV/0!</v>
          </cell>
          <cell r="E799" t="e">
            <v>#DIV/0!</v>
          </cell>
        </row>
        <row r="800">
          <cell r="A800">
            <v>40244</v>
          </cell>
          <cell r="B800" t="str">
            <v>#Calc</v>
          </cell>
          <cell r="C800" t="e">
            <v>#DIV/0!</v>
          </cell>
          <cell r="D800" t="e">
            <v>#DIV/0!</v>
          </cell>
          <cell r="E800" t="e">
            <v>#DIV/0!</v>
          </cell>
        </row>
        <row r="801">
          <cell r="A801">
            <v>40245</v>
          </cell>
          <cell r="B801" t="str">
            <v>#Calc</v>
          </cell>
          <cell r="C801" t="e">
            <v>#DIV/0!</v>
          </cell>
          <cell r="D801" t="e">
            <v>#DIV/0!</v>
          </cell>
          <cell r="E801" t="e">
            <v>#DIV/0!</v>
          </cell>
        </row>
        <row r="802">
          <cell r="A802">
            <v>40246</v>
          </cell>
          <cell r="B802" t="str">
            <v>#Calc</v>
          </cell>
          <cell r="C802" t="e">
            <v>#DIV/0!</v>
          </cell>
          <cell r="D802" t="e">
            <v>#DIV/0!</v>
          </cell>
          <cell r="E802" t="e">
            <v>#DIV/0!</v>
          </cell>
        </row>
        <row r="803">
          <cell r="A803">
            <v>40247</v>
          </cell>
          <cell r="B803" t="str">
            <v>#Calc</v>
          </cell>
          <cell r="C803" t="e">
            <v>#DIV/0!</v>
          </cell>
          <cell r="D803" t="e">
            <v>#DIV/0!</v>
          </cell>
          <cell r="E803" t="e">
            <v>#DIV/0!</v>
          </cell>
        </row>
        <row r="804">
          <cell r="A804">
            <v>40248</v>
          </cell>
          <cell r="B804" t="str">
            <v>#Calc</v>
          </cell>
          <cell r="C804" t="e">
            <v>#DIV/0!</v>
          </cell>
          <cell r="D804" t="e">
            <v>#DIV/0!</v>
          </cell>
          <cell r="E804" t="e">
            <v>#DIV/0!</v>
          </cell>
        </row>
        <row r="805">
          <cell r="A805">
            <v>40249</v>
          </cell>
          <cell r="B805" t="str">
            <v>#Calc</v>
          </cell>
          <cell r="C805" t="e">
            <v>#DIV/0!</v>
          </cell>
          <cell r="D805" t="e">
            <v>#DIV/0!</v>
          </cell>
          <cell r="E805" t="e">
            <v>#DIV/0!</v>
          </cell>
        </row>
        <row r="806">
          <cell r="A806">
            <v>40250</v>
          </cell>
          <cell r="B806" t="str">
            <v>#Calc</v>
          </cell>
          <cell r="C806" t="e">
            <v>#DIV/0!</v>
          </cell>
          <cell r="D806" t="e">
            <v>#DIV/0!</v>
          </cell>
          <cell r="E806" t="e">
            <v>#DIV/0!</v>
          </cell>
        </row>
        <row r="807">
          <cell r="A807">
            <v>40251</v>
          </cell>
          <cell r="B807" t="str">
            <v>#Calc</v>
          </cell>
          <cell r="C807" t="e">
            <v>#DIV/0!</v>
          </cell>
          <cell r="D807" t="e">
            <v>#DIV/0!</v>
          </cell>
          <cell r="E807" t="e">
            <v>#DIV/0!</v>
          </cell>
        </row>
        <row r="808">
          <cell r="A808">
            <v>40252</v>
          </cell>
          <cell r="B808" t="str">
            <v>#Calc</v>
          </cell>
          <cell r="C808" t="e">
            <v>#DIV/0!</v>
          </cell>
          <cell r="D808" t="e">
            <v>#DIV/0!</v>
          </cell>
          <cell r="E808" t="e">
            <v>#DIV/0!</v>
          </cell>
        </row>
        <row r="809">
          <cell r="A809">
            <v>40253</v>
          </cell>
          <cell r="B809" t="str">
            <v>#Calc</v>
          </cell>
          <cell r="C809" t="e">
            <v>#DIV/0!</v>
          </cell>
          <cell r="D809" t="e">
            <v>#DIV/0!</v>
          </cell>
          <cell r="E809" t="e">
            <v>#DIV/0!</v>
          </cell>
        </row>
        <row r="810">
          <cell r="A810">
            <v>40254</v>
          </cell>
          <cell r="B810" t="str">
            <v>#Calc</v>
          </cell>
          <cell r="C810" t="e">
            <v>#DIV/0!</v>
          </cell>
          <cell r="D810" t="e">
            <v>#DIV/0!</v>
          </cell>
          <cell r="E810" t="e">
            <v>#DIV/0!</v>
          </cell>
        </row>
        <row r="811">
          <cell r="A811">
            <v>40255</v>
          </cell>
          <cell r="B811" t="str">
            <v>#Calc</v>
          </cell>
          <cell r="C811" t="e">
            <v>#DIV/0!</v>
          </cell>
          <cell r="D811" t="e">
            <v>#DIV/0!</v>
          </cell>
          <cell r="E811" t="e">
            <v>#DIV/0!</v>
          </cell>
        </row>
        <row r="812">
          <cell r="A812">
            <v>40256</v>
          </cell>
          <cell r="B812" t="str">
            <v>#Calc</v>
          </cell>
          <cell r="C812" t="e">
            <v>#DIV/0!</v>
          </cell>
          <cell r="D812" t="e">
            <v>#DIV/0!</v>
          </cell>
          <cell r="E812" t="e">
            <v>#DIV/0!</v>
          </cell>
        </row>
        <row r="813">
          <cell r="A813">
            <v>40257</v>
          </cell>
          <cell r="B813" t="str">
            <v>#Calc</v>
          </cell>
          <cell r="C813" t="e">
            <v>#DIV/0!</v>
          </cell>
          <cell r="D813" t="e">
            <v>#DIV/0!</v>
          </cell>
          <cell r="E813" t="e">
            <v>#DIV/0!</v>
          </cell>
        </row>
        <row r="814">
          <cell r="A814">
            <v>40258</v>
          </cell>
          <cell r="B814" t="str">
            <v>#Calc</v>
          </cell>
          <cell r="C814" t="e">
            <v>#DIV/0!</v>
          </cell>
          <cell r="D814" t="e">
            <v>#DIV/0!</v>
          </cell>
          <cell r="E814" t="e">
            <v>#DIV/0!</v>
          </cell>
        </row>
        <row r="815">
          <cell r="A815">
            <v>40259</v>
          </cell>
          <cell r="B815" t="str">
            <v>#Calc</v>
          </cell>
          <cell r="C815" t="e">
            <v>#DIV/0!</v>
          </cell>
          <cell r="D815" t="e">
            <v>#DIV/0!</v>
          </cell>
          <cell r="E815" t="e">
            <v>#DIV/0!</v>
          </cell>
        </row>
        <row r="816">
          <cell r="A816">
            <v>40260</v>
          </cell>
          <cell r="B816" t="str">
            <v>#Calc</v>
          </cell>
          <cell r="C816" t="e">
            <v>#DIV/0!</v>
          </cell>
          <cell r="D816" t="e">
            <v>#DIV/0!</v>
          </cell>
          <cell r="E816" t="e">
            <v>#DIV/0!</v>
          </cell>
        </row>
        <row r="817">
          <cell r="A817">
            <v>40261</v>
          </cell>
          <cell r="B817" t="str">
            <v>#Calc</v>
          </cell>
          <cell r="C817" t="e">
            <v>#DIV/0!</v>
          </cell>
          <cell r="D817" t="e">
            <v>#DIV/0!</v>
          </cell>
          <cell r="E817" t="e">
            <v>#DIV/0!</v>
          </cell>
        </row>
        <row r="818">
          <cell r="A818">
            <v>40262</v>
          </cell>
          <cell r="B818" t="str">
            <v>#Calc</v>
          </cell>
          <cell r="C818" t="e">
            <v>#DIV/0!</v>
          </cell>
          <cell r="D818" t="e">
            <v>#DIV/0!</v>
          </cell>
          <cell r="E818" t="e">
            <v>#DIV/0!</v>
          </cell>
        </row>
        <row r="819">
          <cell r="A819">
            <v>40263</v>
          </cell>
          <cell r="B819" t="str">
            <v>#Calc</v>
          </cell>
          <cell r="C819" t="e">
            <v>#DIV/0!</v>
          </cell>
          <cell r="D819" t="e">
            <v>#DIV/0!</v>
          </cell>
          <cell r="E819" t="e">
            <v>#DIV/0!</v>
          </cell>
        </row>
        <row r="820">
          <cell r="A820">
            <v>40264</v>
          </cell>
          <cell r="B820" t="str">
            <v>#Calc</v>
          </cell>
          <cell r="C820" t="e">
            <v>#DIV/0!</v>
          </cell>
          <cell r="D820" t="e">
            <v>#DIV/0!</v>
          </cell>
          <cell r="E820" t="e">
            <v>#DIV/0!</v>
          </cell>
        </row>
        <row r="821">
          <cell r="A821">
            <v>40265</v>
          </cell>
          <cell r="B821" t="str">
            <v>#Calc</v>
          </cell>
          <cell r="C821" t="e">
            <v>#DIV/0!</v>
          </cell>
          <cell r="D821" t="e">
            <v>#DIV/0!</v>
          </cell>
          <cell r="E821" t="e">
            <v>#DIV/0!</v>
          </cell>
        </row>
        <row r="822">
          <cell r="A822">
            <v>40266</v>
          </cell>
          <cell r="B822" t="str">
            <v>#Calc</v>
          </cell>
          <cell r="C822" t="e">
            <v>#DIV/0!</v>
          </cell>
          <cell r="D822" t="e">
            <v>#DIV/0!</v>
          </cell>
          <cell r="E822" t="e">
            <v>#DIV/0!</v>
          </cell>
        </row>
        <row r="823">
          <cell r="A823">
            <v>40267</v>
          </cell>
          <cell r="B823" t="str">
            <v>#Calc</v>
          </cell>
          <cell r="C823" t="e">
            <v>#DIV/0!</v>
          </cell>
          <cell r="D823" t="e">
            <v>#DIV/0!</v>
          </cell>
          <cell r="E823" t="e">
            <v>#DIV/0!</v>
          </cell>
        </row>
        <row r="824">
          <cell r="A824">
            <v>40268</v>
          </cell>
          <cell r="B824" t="str">
            <v>#Calc</v>
          </cell>
          <cell r="C824" t="e">
            <v>#DIV/0!</v>
          </cell>
          <cell r="D824" t="e">
            <v>#DIV/0!</v>
          </cell>
          <cell r="E824" t="e">
            <v>#DIV/0!</v>
          </cell>
        </row>
        <row r="825">
          <cell r="A825">
            <v>40269</v>
          </cell>
          <cell r="B825" t="str">
            <v>#Calc</v>
          </cell>
          <cell r="C825" t="e">
            <v>#DIV/0!</v>
          </cell>
          <cell r="D825" t="e">
            <v>#DIV/0!</v>
          </cell>
          <cell r="E825" t="e">
            <v>#DIV/0!</v>
          </cell>
        </row>
        <row r="826">
          <cell r="A826">
            <v>40270</v>
          </cell>
          <cell r="B826" t="str">
            <v>#Calc</v>
          </cell>
          <cell r="C826" t="e">
            <v>#DIV/0!</v>
          </cell>
          <cell r="D826" t="e">
            <v>#DIV/0!</v>
          </cell>
          <cell r="E826" t="e">
            <v>#DIV/0!</v>
          </cell>
        </row>
        <row r="827">
          <cell r="A827">
            <v>40271</v>
          </cell>
          <cell r="B827" t="str">
            <v>#Calc</v>
          </cell>
          <cell r="C827" t="e">
            <v>#DIV/0!</v>
          </cell>
          <cell r="D827" t="e">
            <v>#DIV/0!</v>
          </cell>
          <cell r="E827" t="e">
            <v>#DIV/0!</v>
          </cell>
        </row>
        <row r="828">
          <cell r="A828">
            <v>40272</v>
          </cell>
          <cell r="B828" t="str">
            <v>#Calc</v>
          </cell>
          <cell r="C828" t="e">
            <v>#DIV/0!</v>
          </cell>
          <cell r="D828" t="e">
            <v>#DIV/0!</v>
          </cell>
          <cell r="E828" t="e">
            <v>#DIV/0!</v>
          </cell>
        </row>
        <row r="829">
          <cell r="A829">
            <v>40273</v>
          </cell>
          <cell r="B829" t="str">
            <v>#Calc</v>
          </cell>
          <cell r="C829" t="e">
            <v>#DIV/0!</v>
          </cell>
          <cell r="D829" t="e">
            <v>#DIV/0!</v>
          </cell>
          <cell r="E829" t="e">
            <v>#DIV/0!</v>
          </cell>
        </row>
        <row r="830">
          <cell r="A830">
            <v>40274</v>
          </cell>
          <cell r="B830" t="str">
            <v>#Calc</v>
          </cell>
          <cell r="C830" t="e">
            <v>#DIV/0!</v>
          </cell>
          <cell r="D830" t="e">
            <v>#DIV/0!</v>
          </cell>
          <cell r="E830" t="e">
            <v>#DIV/0!</v>
          </cell>
        </row>
        <row r="831">
          <cell r="A831">
            <v>40275</v>
          </cell>
          <cell r="B831" t="str">
            <v>#Calc</v>
          </cell>
          <cell r="C831" t="e">
            <v>#DIV/0!</v>
          </cell>
          <cell r="D831" t="e">
            <v>#DIV/0!</v>
          </cell>
          <cell r="E831" t="e">
            <v>#DIV/0!</v>
          </cell>
        </row>
        <row r="832">
          <cell r="A832">
            <v>40276</v>
          </cell>
          <cell r="B832" t="str">
            <v>#Calc</v>
          </cell>
          <cell r="C832" t="e">
            <v>#DIV/0!</v>
          </cell>
          <cell r="D832" t="e">
            <v>#DIV/0!</v>
          </cell>
          <cell r="E832" t="e">
            <v>#DIV/0!</v>
          </cell>
        </row>
        <row r="833">
          <cell r="A833">
            <v>40277</v>
          </cell>
          <cell r="B833" t="str">
            <v>#Calc</v>
          </cell>
          <cell r="C833" t="e">
            <v>#DIV/0!</v>
          </cell>
          <cell r="D833" t="e">
            <v>#DIV/0!</v>
          </cell>
          <cell r="E833" t="e">
            <v>#DIV/0!</v>
          </cell>
        </row>
        <row r="834">
          <cell r="A834">
            <v>40278</v>
          </cell>
          <cell r="B834" t="str">
            <v>#Calc</v>
          </cell>
          <cell r="C834" t="e">
            <v>#DIV/0!</v>
          </cell>
          <cell r="D834" t="e">
            <v>#DIV/0!</v>
          </cell>
          <cell r="E834" t="e">
            <v>#DIV/0!</v>
          </cell>
        </row>
        <row r="835">
          <cell r="A835">
            <v>40279</v>
          </cell>
          <cell r="B835" t="str">
            <v>#Calc</v>
          </cell>
          <cell r="C835" t="e">
            <v>#DIV/0!</v>
          </cell>
          <cell r="D835" t="e">
            <v>#DIV/0!</v>
          </cell>
          <cell r="E835" t="e">
            <v>#DIV/0!</v>
          </cell>
        </row>
        <row r="836">
          <cell r="A836">
            <v>40280</v>
          </cell>
          <cell r="B836" t="str">
            <v>#Calc</v>
          </cell>
          <cell r="C836" t="e">
            <v>#DIV/0!</v>
          </cell>
          <cell r="D836" t="e">
            <v>#DIV/0!</v>
          </cell>
          <cell r="E836" t="e">
            <v>#DIV/0!</v>
          </cell>
        </row>
        <row r="837">
          <cell r="A837">
            <v>40281</v>
          </cell>
          <cell r="B837" t="str">
            <v>#Calc</v>
          </cell>
          <cell r="C837" t="e">
            <v>#DIV/0!</v>
          </cell>
          <cell r="D837" t="e">
            <v>#DIV/0!</v>
          </cell>
          <cell r="E837" t="e">
            <v>#DIV/0!</v>
          </cell>
        </row>
        <row r="838">
          <cell r="A838">
            <v>40282</v>
          </cell>
          <cell r="B838" t="str">
            <v>#Calc</v>
          </cell>
          <cell r="C838" t="e">
            <v>#DIV/0!</v>
          </cell>
          <cell r="D838" t="e">
            <v>#DIV/0!</v>
          </cell>
          <cell r="E838" t="e">
            <v>#DIV/0!</v>
          </cell>
        </row>
        <row r="839">
          <cell r="A839">
            <v>40283</v>
          </cell>
          <cell r="B839" t="str">
            <v>#Calc</v>
          </cell>
          <cell r="C839" t="e">
            <v>#DIV/0!</v>
          </cell>
          <cell r="D839" t="e">
            <v>#DIV/0!</v>
          </cell>
          <cell r="E839" t="e">
            <v>#DIV/0!</v>
          </cell>
        </row>
        <row r="840">
          <cell r="A840">
            <v>40284</v>
          </cell>
          <cell r="B840" t="str">
            <v>#Calc</v>
          </cell>
          <cell r="C840" t="e">
            <v>#DIV/0!</v>
          </cell>
          <cell r="D840" t="e">
            <v>#DIV/0!</v>
          </cell>
          <cell r="E840" t="e">
            <v>#DIV/0!</v>
          </cell>
        </row>
        <row r="841">
          <cell r="A841">
            <v>40285</v>
          </cell>
          <cell r="B841" t="str">
            <v>#Calc</v>
          </cell>
          <cell r="C841" t="e">
            <v>#DIV/0!</v>
          </cell>
          <cell r="D841" t="e">
            <v>#DIV/0!</v>
          </cell>
          <cell r="E841" t="e">
            <v>#DIV/0!</v>
          </cell>
        </row>
        <row r="842">
          <cell r="A842">
            <v>40286</v>
          </cell>
          <cell r="B842" t="str">
            <v>#Calc</v>
          </cell>
          <cell r="C842" t="e">
            <v>#DIV/0!</v>
          </cell>
          <cell r="D842" t="e">
            <v>#DIV/0!</v>
          </cell>
          <cell r="E842" t="e">
            <v>#DIV/0!</v>
          </cell>
        </row>
        <row r="843">
          <cell r="A843">
            <v>40287</v>
          </cell>
          <cell r="B843" t="str">
            <v>#Calc</v>
          </cell>
          <cell r="C843" t="e">
            <v>#DIV/0!</v>
          </cell>
          <cell r="D843" t="e">
            <v>#DIV/0!</v>
          </cell>
          <cell r="E843" t="e">
            <v>#DIV/0!</v>
          </cell>
        </row>
        <row r="844">
          <cell r="A844">
            <v>40288</v>
          </cell>
          <cell r="B844" t="str">
            <v>#Calc</v>
          </cell>
          <cell r="C844" t="e">
            <v>#DIV/0!</v>
          </cell>
          <cell r="D844" t="e">
            <v>#DIV/0!</v>
          </cell>
          <cell r="E844" t="e">
            <v>#DIV/0!</v>
          </cell>
        </row>
        <row r="845">
          <cell r="A845">
            <v>40289</v>
          </cell>
          <cell r="B845" t="str">
            <v>#Calc</v>
          </cell>
          <cell r="C845" t="e">
            <v>#DIV/0!</v>
          </cell>
          <cell r="D845" t="e">
            <v>#DIV/0!</v>
          </cell>
          <cell r="E845" t="e">
            <v>#DIV/0!</v>
          </cell>
        </row>
        <row r="846">
          <cell r="A846">
            <v>40290</v>
          </cell>
          <cell r="B846" t="str">
            <v>#Calc</v>
          </cell>
          <cell r="C846" t="e">
            <v>#DIV/0!</v>
          </cell>
          <cell r="D846" t="e">
            <v>#DIV/0!</v>
          </cell>
          <cell r="E846" t="e">
            <v>#DIV/0!</v>
          </cell>
        </row>
        <row r="847">
          <cell r="A847">
            <v>40291</v>
          </cell>
          <cell r="B847" t="str">
            <v>#Calc</v>
          </cell>
          <cell r="C847" t="e">
            <v>#DIV/0!</v>
          </cell>
          <cell r="D847" t="e">
            <v>#DIV/0!</v>
          </cell>
          <cell r="E847" t="e">
            <v>#DIV/0!</v>
          </cell>
        </row>
        <row r="848">
          <cell r="A848">
            <v>40292</v>
          </cell>
          <cell r="B848" t="str">
            <v>#Calc</v>
          </cell>
          <cell r="C848" t="e">
            <v>#DIV/0!</v>
          </cell>
          <cell r="D848" t="e">
            <v>#DIV/0!</v>
          </cell>
          <cell r="E848" t="e">
            <v>#DIV/0!</v>
          </cell>
        </row>
        <row r="849">
          <cell r="A849">
            <v>40293</v>
          </cell>
          <cell r="B849" t="str">
            <v>#Calc</v>
          </cell>
          <cell r="C849" t="e">
            <v>#DIV/0!</v>
          </cell>
          <cell r="D849" t="e">
            <v>#DIV/0!</v>
          </cell>
          <cell r="E849" t="e">
            <v>#DIV/0!</v>
          </cell>
        </row>
        <row r="850">
          <cell r="A850">
            <v>40294</v>
          </cell>
          <cell r="B850" t="str">
            <v>#Calc</v>
          </cell>
          <cell r="C850" t="e">
            <v>#DIV/0!</v>
          </cell>
          <cell r="D850" t="e">
            <v>#DIV/0!</v>
          </cell>
          <cell r="E850" t="e">
            <v>#DIV/0!</v>
          </cell>
        </row>
        <row r="851">
          <cell r="A851">
            <v>40295</v>
          </cell>
          <cell r="B851" t="str">
            <v>#Calc</v>
          </cell>
          <cell r="C851" t="e">
            <v>#DIV/0!</v>
          </cell>
          <cell r="D851" t="e">
            <v>#DIV/0!</v>
          </cell>
          <cell r="E851" t="e">
            <v>#DIV/0!</v>
          </cell>
        </row>
        <row r="852">
          <cell r="A852">
            <v>40296</v>
          </cell>
          <cell r="B852" t="str">
            <v>#Calc</v>
          </cell>
          <cell r="C852" t="e">
            <v>#DIV/0!</v>
          </cell>
          <cell r="D852" t="e">
            <v>#DIV/0!</v>
          </cell>
          <cell r="E852" t="e">
            <v>#DIV/0!</v>
          </cell>
        </row>
        <row r="853">
          <cell r="A853">
            <v>40297</v>
          </cell>
          <cell r="B853" t="str">
            <v>#Calc</v>
          </cell>
          <cell r="C853" t="e">
            <v>#DIV/0!</v>
          </cell>
          <cell r="D853" t="e">
            <v>#DIV/0!</v>
          </cell>
          <cell r="E853" t="e">
            <v>#DIV/0!</v>
          </cell>
        </row>
        <row r="854">
          <cell r="A854">
            <v>40298</v>
          </cell>
          <cell r="B854" t="str">
            <v>#Calc</v>
          </cell>
          <cell r="C854" t="e">
            <v>#DIV/0!</v>
          </cell>
          <cell r="D854" t="e">
            <v>#DIV/0!</v>
          </cell>
          <cell r="E854" t="e">
            <v>#DIV/0!</v>
          </cell>
        </row>
        <row r="855">
          <cell r="A855">
            <v>40299</v>
          </cell>
          <cell r="B855" t="str">
            <v>#Calc</v>
          </cell>
          <cell r="C855" t="e">
            <v>#DIV/0!</v>
          </cell>
          <cell r="D855" t="e">
            <v>#DIV/0!</v>
          </cell>
          <cell r="E855" t="e">
            <v>#DIV/0!</v>
          </cell>
        </row>
        <row r="856">
          <cell r="A856">
            <v>40300</v>
          </cell>
          <cell r="B856" t="str">
            <v>#Calc</v>
          </cell>
          <cell r="C856" t="e">
            <v>#DIV/0!</v>
          </cell>
          <cell r="D856" t="e">
            <v>#DIV/0!</v>
          </cell>
          <cell r="E856" t="e">
            <v>#DIV/0!</v>
          </cell>
        </row>
        <row r="857">
          <cell r="A857">
            <v>40301</v>
          </cell>
          <cell r="B857" t="str">
            <v>#Calc</v>
          </cell>
          <cell r="C857" t="e">
            <v>#DIV/0!</v>
          </cell>
          <cell r="D857" t="e">
            <v>#DIV/0!</v>
          </cell>
          <cell r="E857" t="e">
            <v>#DIV/0!</v>
          </cell>
        </row>
        <row r="858">
          <cell r="A858">
            <v>40302</v>
          </cell>
          <cell r="B858" t="str">
            <v>#Calc</v>
          </cell>
          <cell r="C858" t="e">
            <v>#DIV/0!</v>
          </cell>
          <cell r="D858" t="e">
            <v>#DIV/0!</v>
          </cell>
          <cell r="E858" t="e">
            <v>#DIV/0!</v>
          </cell>
        </row>
        <row r="859">
          <cell r="A859">
            <v>40303</v>
          </cell>
          <cell r="B859" t="str">
            <v>#Calc</v>
          </cell>
          <cell r="C859" t="e">
            <v>#DIV/0!</v>
          </cell>
          <cell r="D859" t="e">
            <v>#DIV/0!</v>
          </cell>
          <cell r="E859" t="e">
            <v>#DIV/0!</v>
          </cell>
        </row>
        <row r="860">
          <cell r="A860">
            <v>40304</v>
          </cell>
          <cell r="B860" t="str">
            <v>#Calc</v>
          </cell>
          <cell r="C860" t="e">
            <v>#DIV/0!</v>
          </cell>
          <cell r="D860" t="e">
            <v>#DIV/0!</v>
          </cell>
          <cell r="E860" t="e">
            <v>#DIV/0!</v>
          </cell>
        </row>
        <row r="861">
          <cell r="A861">
            <v>40305</v>
          </cell>
          <cell r="B861" t="str">
            <v>#Calc</v>
          </cell>
          <cell r="C861" t="e">
            <v>#DIV/0!</v>
          </cell>
          <cell r="D861" t="e">
            <v>#DIV/0!</v>
          </cell>
          <cell r="E861" t="e">
            <v>#DIV/0!</v>
          </cell>
        </row>
        <row r="862">
          <cell r="A862">
            <v>40306</v>
          </cell>
          <cell r="B862" t="str">
            <v>#Calc</v>
          </cell>
          <cell r="C862" t="e">
            <v>#DIV/0!</v>
          </cell>
          <cell r="D862" t="e">
            <v>#DIV/0!</v>
          </cell>
          <cell r="E862" t="e">
            <v>#DIV/0!</v>
          </cell>
        </row>
        <row r="863">
          <cell r="A863">
            <v>40307</v>
          </cell>
          <cell r="B863" t="str">
            <v>#Calc</v>
          </cell>
          <cell r="C863" t="e">
            <v>#DIV/0!</v>
          </cell>
          <cell r="D863" t="e">
            <v>#DIV/0!</v>
          </cell>
          <cell r="E863" t="e">
            <v>#DIV/0!</v>
          </cell>
        </row>
        <row r="864">
          <cell r="A864">
            <v>40308</v>
          </cell>
          <cell r="B864" t="str">
            <v>#Calc</v>
          </cell>
          <cell r="C864" t="e">
            <v>#DIV/0!</v>
          </cell>
          <cell r="D864" t="e">
            <v>#DIV/0!</v>
          </cell>
          <cell r="E864" t="e">
            <v>#DIV/0!</v>
          </cell>
        </row>
        <row r="865">
          <cell r="A865">
            <v>40309</v>
          </cell>
          <cell r="B865" t="str">
            <v>#Calc</v>
          </cell>
          <cell r="C865" t="e">
            <v>#DIV/0!</v>
          </cell>
          <cell r="D865" t="e">
            <v>#DIV/0!</v>
          </cell>
          <cell r="E865" t="e">
            <v>#DIV/0!</v>
          </cell>
        </row>
        <row r="866">
          <cell r="A866">
            <v>40310</v>
          </cell>
          <cell r="B866" t="str">
            <v>#Calc</v>
          </cell>
          <cell r="C866" t="e">
            <v>#DIV/0!</v>
          </cell>
          <cell r="D866" t="e">
            <v>#DIV/0!</v>
          </cell>
          <cell r="E866" t="e">
            <v>#DIV/0!</v>
          </cell>
        </row>
        <row r="867">
          <cell r="A867">
            <v>40311</v>
          </cell>
          <cell r="B867" t="str">
            <v>#Calc</v>
          </cell>
          <cell r="C867" t="e">
            <v>#DIV/0!</v>
          </cell>
          <cell r="D867" t="e">
            <v>#DIV/0!</v>
          </cell>
          <cell r="E867" t="e">
            <v>#DIV/0!</v>
          </cell>
        </row>
        <row r="868">
          <cell r="A868">
            <v>40312</v>
          </cell>
          <cell r="B868" t="str">
            <v>#Calc</v>
          </cell>
          <cell r="C868" t="e">
            <v>#DIV/0!</v>
          </cell>
          <cell r="D868" t="e">
            <v>#DIV/0!</v>
          </cell>
          <cell r="E868" t="e">
            <v>#DIV/0!</v>
          </cell>
        </row>
        <row r="869">
          <cell r="A869">
            <v>40313</v>
          </cell>
          <cell r="B869" t="str">
            <v>#Calc</v>
          </cell>
          <cell r="C869" t="e">
            <v>#DIV/0!</v>
          </cell>
          <cell r="D869" t="e">
            <v>#DIV/0!</v>
          </cell>
          <cell r="E869" t="e">
            <v>#DIV/0!</v>
          </cell>
        </row>
        <row r="870">
          <cell r="A870">
            <v>40314</v>
          </cell>
          <cell r="B870" t="str">
            <v>#Calc</v>
          </cell>
          <cell r="C870" t="e">
            <v>#DIV/0!</v>
          </cell>
          <cell r="D870" t="e">
            <v>#DIV/0!</v>
          </cell>
          <cell r="E870" t="e">
            <v>#DIV/0!</v>
          </cell>
        </row>
        <row r="871">
          <cell r="A871">
            <v>40315</v>
          </cell>
          <cell r="B871" t="str">
            <v>#Calc</v>
          </cell>
          <cell r="C871" t="e">
            <v>#DIV/0!</v>
          </cell>
          <cell r="D871" t="e">
            <v>#DIV/0!</v>
          </cell>
          <cell r="E871" t="e">
            <v>#DIV/0!</v>
          </cell>
        </row>
        <row r="872">
          <cell r="A872">
            <v>40316</v>
          </cell>
          <cell r="B872" t="str">
            <v>#Calc</v>
          </cell>
          <cell r="C872" t="e">
            <v>#DIV/0!</v>
          </cell>
          <cell r="D872" t="e">
            <v>#DIV/0!</v>
          </cell>
          <cell r="E872" t="e">
            <v>#DIV/0!</v>
          </cell>
        </row>
        <row r="873">
          <cell r="A873">
            <v>40317</v>
          </cell>
          <cell r="B873" t="str">
            <v>#Calc</v>
          </cell>
          <cell r="C873" t="e">
            <v>#DIV/0!</v>
          </cell>
          <cell r="D873" t="e">
            <v>#DIV/0!</v>
          </cell>
          <cell r="E873" t="e">
            <v>#DIV/0!</v>
          </cell>
        </row>
        <row r="874">
          <cell r="A874">
            <v>40318</v>
          </cell>
          <cell r="B874" t="str">
            <v>#Calc</v>
          </cell>
          <cell r="C874" t="e">
            <v>#DIV/0!</v>
          </cell>
          <cell r="D874" t="e">
            <v>#DIV/0!</v>
          </cell>
          <cell r="E874" t="e">
            <v>#DIV/0!</v>
          </cell>
        </row>
        <row r="875">
          <cell r="A875">
            <v>40319</v>
          </cell>
          <cell r="B875" t="str">
            <v>#Calc</v>
          </cell>
          <cell r="C875" t="e">
            <v>#DIV/0!</v>
          </cell>
          <cell r="D875" t="e">
            <v>#DIV/0!</v>
          </cell>
          <cell r="E875" t="e">
            <v>#DIV/0!</v>
          </cell>
        </row>
        <row r="876">
          <cell r="A876">
            <v>40320</v>
          </cell>
          <cell r="B876" t="str">
            <v>#Calc</v>
          </cell>
          <cell r="C876" t="e">
            <v>#DIV/0!</v>
          </cell>
          <cell r="D876" t="e">
            <v>#DIV/0!</v>
          </cell>
          <cell r="E876" t="e">
            <v>#DIV/0!</v>
          </cell>
        </row>
        <row r="877">
          <cell r="A877">
            <v>40321</v>
          </cell>
          <cell r="B877" t="str">
            <v>#Calc</v>
          </cell>
          <cell r="C877" t="e">
            <v>#DIV/0!</v>
          </cell>
          <cell r="D877" t="e">
            <v>#DIV/0!</v>
          </cell>
          <cell r="E877" t="e">
            <v>#DIV/0!</v>
          </cell>
        </row>
        <row r="878">
          <cell r="A878">
            <v>40322</v>
          </cell>
          <cell r="B878" t="str">
            <v>#Calc</v>
          </cell>
          <cell r="C878" t="e">
            <v>#DIV/0!</v>
          </cell>
          <cell r="D878" t="e">
            <v>#DIV/0!</v>
          </cell>
          <cell r="E878" t="e">
            <v>#DIV/0!</v>
          </cell>
        </row>
        <row r="879">
          <cell r="A879">
            <v>40323</v>
          </cell>
          <cell r="B879" t="str">
            <v>#Calc</v>
          </cell>
          <cell r="C879" t="e">
            <v>#DIV/0!</v>
          </cell>
          <cell r="D879" t="e">
            <v>#DIV/0!</v>
          </cell>
          <cell r="E879" t="e">
            <v>#DIV/0!</v>
          </cell>
        </row>
        <row r="880">
          <cell r="A880">
            <v>40324</v>
          </cell>
          <cell r="B880" t="str">
            <v>#Calc</v>
          </cell>
          <cell r="C880" t="e">
            <v>#DIV/0!</v>
          </cell>
          <cell r="D880" t="e">
            <v>#DIV/0!</v>
          </cell>
          <cell r="E880" t="e">
            <v>#DIV/0!</v>
          </cell>
        </row>
        <row r="881">
          <cell r="A881">
            <v>40325</v>
          </cell>
          <cell r="B881" t="str">
            <v>#Calc</v>
          </cell>
          <cell r="C881" t="e">
            <v>#DIV/0!</v>
          </cell>
          <cell r="D881" t="e">
            <v>#DIV/0!</v>
          </cell>
          <cell r="E881" t="e">
            <v>#DIV/0!</v>
          </cell>
        </row>
        <row r="882">
          <cell r="A882">
            <v>40326</v>
          </cell>
          <cell r="B882" t="str">
            <v>#Calc</v>
          </cell>
          <cell r="C882" t="e">
            <v>#DIV/0!</v>
          </cell>
          <cell r="D882" t="e">
            <v>#DIV/0!</v>
          </cell>
          <cell r="E882" t="e">
            <v>#DIV/0!</v>
          </cell>
        </row>
        <row r="883">
          <cell r="A883">
            <v>40327</v>
          </cell>
          <cell r="B883" t="str">
            <v>#Calc</v>
          </cell>
          <cell r="C883" t="e">
            <v>#DIV/0!</v>
          </cell>
          <cell r="D883" t="e">
            <v>#DIV/0!</v>
          </cell>
          <cell r="E883" t="e">
            <v>#DIV/0!</v>
          </cell>
        </row>
        <row r="884">
          <cell r="A884">
            <v>40328</v>
          </cell>
          <cell r="B884" t="str">
            <v>#Calc</v>
          </cell>
          <cell r="C884" t="e">
            <v>#DIV/0!</v>
          </cell>
          <cell r="D884" t="e">
            <v>#DIV/0!</v>
          </cell>
          <cell r="E884" t="e">
            <v>#DIV/0!</v>
          </cell>
        </row>
        <row r="885">
          <cell r="A885">
            <v>40329</v>
          </cell>
          <cell r="B885" t="str">
            <v>#Calc</v>
          </cell>
          <cell r="C885" t="e">
            <v>#DIV/0!</v>
          </cell>
          <cell r="D885" t="e">
            <v>#DIV/0!</v>
          </cell>
          <cell r="E885" t="e">
            <v>#DIV/0!</v>
          </cell>
        </row>
        <row r="886">
          <cell r="A886">
            <v>40330</v>
          </cell>
          <cell r="B886" t="str">
            <v>#Calc</v>
          </cell>
          <cell r="C886" t="e">
            <v>#DIV/0!</v>
          </cell>
          <cell r="D886" t="e">
            <v>#DIV/0!</v>
          </cell>
          <cell r="E886" t="e">
            <v>#DIV/0!</v>
          </cell>
        </row>
        <row r="887">
          <cell r="A887">
            <v>40331</v>
          </cell>
          <cell r="B887" t="str">
            <v>#Calc</v>
          </cell>
          <cell r="C887" t="e">
            <v>#DIV/0!</v>
          </cell>
          <cell r="D887" t="e">
            <v>#DIV/0!</v>
          </cell>
          <cell r="E887" t="e">
            <v>#DIV/0!</v>
          </cell>
        </row>
        <row r="888">
          <cell r="A888">
            <v>40332</v>
          </cell>
          <cell r="B888" t="str">
            <v>#Calc</v>
          </cell>
          <cell r="C888" t="e">
            <v>#DIV/0!</v>
          </cell>
          <cell r="D888" t="e">
            <v>#DIV/0!</v>
          </cell>
          <cell r="E888" t="e">
            <v>#DIV/0!</v>
          </cell>
        </row>
        <row r="889">
          <cell r="A889">
            <v>40333</v>
          </cell>
          <cell r="B889" t="str">
            <v>#Calc</v>
          </cell>
          <cell r="C889" t="e">
            <v>#DIV/0!</v>
          </cell>
          <cell r="D889" t="e">
            <v>#DIV/0!</v>
          </cell>
          <cell r="E889" t="e">
            <v>#DIV/0!</v>
          </cell>
        </row>
        <row r="890">
          <cell r="A890">
            <v>40334</v>
          </cell>
          <cell r="B890" t="str">
            <v>#Calc</v>
          </cell>
          <cell r="C890" t="e">
            <v>#DIV/0!</v>
          </cell>
          <cell r="D890" t="e">
            <v>#DIV/0!</v>
          </cell>
          <cell r="E890" t="e">
            <v>#DIV/0!</v>
          </cell>
        </row>
        <row r="891">
          <cell r="A891">
            <v>40335</v>
          </cell>
          <cell r="B891" t="str">
            <v>#Calc</v>
          </cell>
          <cell r="C891" t="e">
            <v>#DIV/0!</v>
          </cell>
          <cell r="D891" t="e">
            <v>#DIV/0!</v>
          </cell>
          <cell r="E891" t="e">
            <v>#DIV/0!</v>
          </cell>
        </row>
        <row r="892">
          <cell r="A892">
            <v>40336</v>
          </cell>
          <cell r="B892" t="str">
            <v>#Calc</v>
          </cell>
          <cell r="C892" t="e">
            <v>#DIV/0!</v>
          </cell>
          <cell r="D892" t="e">
            <v>#DIV/0!</v>
          </cell>
          <cell r="E892" t="e">
            <v>#DIV/0!</v>
          </cell>
        </row>
        <row r="893">
          <cell r="A893">
            <v>40337</v>
          </cell>
          <cell r="B893" t="str">
            <v>#Calc</v>
          </cell>
          <cell r="C893" t="e">
            <v>#DIV/0!</v>
          </cell>
          <cell r="D893" t="e">
            <v>#DIV/0!</v>
          </cell>
          <cell r="E893" t="e">
            <v>#DIV/0!</v>
          </cell>
        </row>
        <row r="894">
          <cell r="A894">
            <v>40338</v>
          </cell>
          <cell r="B894" t="str">
            <v>#Calc</v>
          </cell>
          <cell r="C894" t="e">
            <v>#DIV/0!</v>
          </cell>
          <cell r="D894" t="e">
            <v>#DIV/0!</v>
          </cell>
          <cell r="E894" t="e">
            <v>#DIV/0!</v>
          </cell>
        </row>
        <row r="895">
          <cell r="A895">
            <v>40339</v>
          </cell>
          <cell r="B895" t="str">
            <v>#Calc</v>
          </cell>
          <cell r="C895" t="e">
            <v>#DIV/0!</v>
          </cell>
          <cell r="D895" t="e">
            <v>#DIV/0!</v>
          </cell>
          <cell r="E895" t="e">
            <v>#DIV/0!</v>
          </cell>
        </row>
        <row r="896">
          <cell r="A896">
            <v>40340</v>
          </cell>
          <cell r="B896" t="str">
            <v>#Calc</v>
          </cell>
          <cell r="C896" t="e">
            <v>#DIV/0!</v>
          </cell>
          <cell r="D896" t="e">
            <v>#DIV/0!</v>
          </cell>
          <cell r="E896" t="e">
            <v>#DIV/0!</v>
          </cell>
        </row>
        <row r="897">
          <cell r="A897">
            <v>40341</v>
          </cell>
          <cell r="B897" t="str">
            <v>#Calc</v>
          </cell>
          <cell r="C897" t="e">
            <v>#DIV/0!</v>
          </cell>
          <cell r="D897" t="e">
            <v>#DIV/0!</v>
          </cell>
          <cell r="E897" t="e">
            <v>#DIV/0!</v>
          </cell>
        </row>
        <row r="898">
          <cell r="A898">
            <v>40342</v>
          </cell>
          <cell r="B898" t="str">
            <v>#Calc</v>
          </cell>
          <cell r="C898" t="e">
            <v>#DIV/0!</v>
          </cell>
          <cell r="D898" t="e">
            <v>#DIV/0!</v>
          </cell>
          <cell r="E898" t="e">
            <v>#DIV/0!</v>
          </cell>
        </row>
        <row r="899">
          <cell r="A899">
            <v>40343</v>
          </cell>
          <cell r="B899" t="str">
            <v>#Calc</v>
          </cell>
          <cell r="C899" t="e">
            <v>#DIV/0!</v>
          </cell>
          <cell r="D899" t="e">
            <v>#DIV/0!</v>
          </cell>
          <cell r="E899" t="e">
            <v>#DIV/0!</v>
          </cell>
        </row>
        <row r="900">
          <cell r="A900">
            <v>40344</v>
          </cell>
          <cell r="B900" t="str">
            <v>#Calc</v>
          </cell>
          <cell r="C900" t="e">
            <v>#DIV/0!</v>
          </cell>
          <cell r="D900" t="e">
            <v>#DIV/0!</v>
          </cell>
          <cell r="E900" t="e">
            <v>#DIV/0!</v>
          </cell>
        </row>
        <row r="901">
          <cell r="A901">
            <v>40345</v>
          </cell>
          <cell r="B901" t="str">
            <v>#Calc</v>
          </cell>
          <cell r="C901" t="e">
            <v>#DIV/0!</v>
          </cell>
          <cell r="D901" t="e">
            <v>#DIV/0!</v>
          </cell>
          <cell r="E901" t="e">
            <v>#DIV/0!</v>
          </cell>
        </row>
        <row r="902">
          <cell r="A902">
            <v>40346</v>
          </cell>
          <cell r="B902" t="str">
            <v>#Calc</v>
          </cell>
          <cell r="C902" t="e">
            <v>#DIV/0!</v>
          </cell>
          <cell r="D902" t="e">
            <v>#DIV/0!</v>
          </cell>
          <cell r="E902" t="e">
            <v>#DIV/0!</v>
          </cell>
        </row>
        <row r="903">
          <cell r="A903">
            <v>40347</v>
          </cell>
          <cell r="B903" t="str">
            <v>#Calc</v>
          </cell>
          <cell r="C903" t="e">
            <v>#DIV/0!</v>
          </cell>
          <cell r="D903" t="e">
            <v>#DIV/0!</v>
          </cell>
          <cell r="E903" t="e">
            <v>#DIV/0!</v>
          </cell>
        </row>
        <row r="904">
          <cell r="A904">
            <v>40348</v>
          </cell>
          <cell r="B904" t="str">
            <v>#Calc</v>
          </cell>
          <cell r="C904" t="e">
            <v>#DIV/0!</v>
          </cell>
          <cell r="D904" t="e">
            <v>#DIV/0!</v>
          </cell>
          <cell r="E904" t="e">
            <v>#DIV/0!</v>
          </cell>
        </row>
        <row r="905">
          <cell r="A905">
            <v>40349</v>
          </cell>
          <cell r="B905" t="str">
            <v>#Calc</v>
          </cell>
          <cell r="C905" t="e">
            <v>#DIV/0!</v>
          </cell>
          <cell r="D905" t="e">
            <v>#DIV/0!</v>
          </cell>
          <cell r="E905" t="e">
            <v>#DIV/0!</v>
          </cell>
        </row>
        <row r="906">
          <cell r="A906">
            <v>40350</v>
          </cell>
          <cell r="B906" t="str">
            <v>#Calc</v>
          </cell>
          <cell r="C906" t="e">
            <v>#DIV/0!</v>
          </cell>
          <cell r="D906" t="e">
            <v>#DIV/0!</v>
          </cell>
          <cell r="E906" t="e">
            <v>#DIV/0!</v>
          </cell>
        </row>
        <row r="907">
          <cell r="A907">
            <v>40351</v>
          </cell>
          <cell r="B907" t="str">
            <v>#Calc</v>
          </cell>
          <cell r="C907" t="e">
            <v>#DIV/0!</v>
          </cell>
          <cell r="D907" t="e">
            <v>#DIV/0!</v>
          </cell>
          <cell r="E907" t="e">
            <v>#DIV/0!</v>
          </cell>
        </row>
        <row r="908">
          <cell r="A908">
            <v>40352</v>
          </cell>
          <cell r="B908" t="str">
            <v>#Calc</v>
          </cell>
          <cell r="C908" t="e">
            <v>#DIV/0!</v>
          </cell>
          <cell r="D908" t="e">
            <v>#DIV/0!</v>
          </cell>
          <cell r="E908" t="e">
            <v>#DIV/0!</v>
          </cell>
        </row>
        <row r="909">
          <cell r="A909">
            <v>40353</v>
          </cell>
          <cell r="B909" t="str">
            <v>#Calc</v>
          </cell>
          <cell r="C909" t="e">
            <v>#DIV/0!</v>
          </cell>
          <cell r="D909" t="e">
            <v>#DIV/0!</v>
          </cell>
          <cell r="E909" t="e">
            <v>#DIV/0!</v>
          </cell>
        </row>
        <row r="910">
          <cell r="A910">
            <v>40354</v>
          </cell>
          <cell r="B910" t="str">
            <v>#Calc</v>
          </cell>
          <cell r="C910" t="e">
            <v>#DIV/0!</v>
          </cell>
          <cell r="D910" t="e">
            <v>#DIV/0!</v>
          </cell>
          <cell r="E910" t="e">
            <v>#DIV/0!</v>
          </cell>
        </row>
        <row r="911">
          <cell r="A911">
            <v>40355</v>
          </cell>
          <cell r="B911" t="str">
            <v>#Calc</v>
          </cell>
          <cell r="C911" t="e">
            <v>#DIV/0!</v>
          </cell>
          <cell r="D911" t="e">
            <v>#DIV/0!</v>
          </cell>
          <cell r="E911" t="e">
            <v>#DIV/0!</v>
          </cell>
        </row>
        <row r="912">
          <cell r="A912">
            <v>40356</v>
          </cell>
          <cell r="B912" t="str">
            <v>#Calc</v>
          </cell>
          <cell r="C912" t="e">
            <v>#DIV/0!</v>
          </cell>
          <cell r="D912" t="e">
            <v>#DIV/0!</v>
          </cell>
          <cell r="E912" t="e">
            <v>#DIV/0!</v>
          </cell>
        </row>
        <row r="913">
          <cell r="A913">
            <v>40357</v>
          </cell>
          <cell r="B913" t="str">
            <v>#Calc</v>
          </cell>
          <cell r="C913" t="e">
            <v>#DIV/0!</v>
          </cell>
          <cell r="D913" t="e">
            <v>#DIV/0!</v>
          </cell>
          <cell r="E913" t="e">
            <v>#DIV/0!</v>
          </cell>
        </row>
        <row r="914">
          <cell r="A914">
            <v>40358</v>
          </cell>
          <cell r="B914" t="str">
            <v>#Calc</v>
          </cell>
          <cell r="C914" t="e">
            <v>#DIV/0!</v>
          </cell>
          <cell r="D914" t="e">
            <v>#DIV/0!</v>
          </cell>
          <cell r="E914" t="e">
            <v>#DIV/0!</v>
          </cell>
        </row>
        <row r="915">
          <cell r="A915">
            <v>40359</v>
          </cell>
          <cell r="B915" t="str">
            <v>#Calc</v>
          </cell>
          <cell r="C915" t="e">
            <v>#DIV/0!</v>
          </cell>
          <cell r="D915" t="e">
            <v>#DIV/0!</v>
          </cell>
          <cell r="E915" t="e">
            <v>#DIV/0!</v>
          </cell>
        </row>
        <row r="916">
          <cell r="A916">
            <v>40360</v>
          </cell>
          <cell r="B916" t="str">
            <v>#Calc</v>
          </cell>
          <cell r="C916" t="e">
            <v>#DIV/0!</v>
          </cell>
          <cell r="D916" t="e">
            <v>#DIV/0!</v>
          </cell>
          <cell r="E916" t="e">
            <v>#DIV/0!</v>
          </cell>
        </row>
        <row r="917">
          <cell r="A917">
            <v>40361</v>
          </cell>
          <cell r="B917" t="str">
            <v>#Calc</v>
          </cell>
          <cell r="C917" t="e">
            <v>#DIV/0!</v>
          </cell>
          <cell r="D917" t="e">
            <v>#DIV/0!</v>
          </cell>
          <cell r="E917" t="e">
            <v>#DIV/0!</v>
          </cell>
        </row>
        <row r="918">
          <cell r="A918">
            <v>40362</v>
          </cell>
          <cell r="B918" t="str">
            <v>#Calc</v>
          </cell>
          <cell r="C918" t="e">
            <v>#DIV/0!</v>
          </cell>
          <cell r="D918" t="e">
            <v>#DIV/0!</v>
          </cell>
          <cell r="E918" t="e">
            <v>#DIV/0!</v>
          </cell>
        </row>
        <row r="919">
          <cell r="A919">
            <v>40363</v>
          </cell>
          <cell r="B919" t="str">
            <v>#Calc</v>
          </cell>
          <cell r="C919" t="e">
            <v>#DIV/0!</v>
          </cell>
          <cell r="D919" t="e">
            <v>#DIV/0!</v>
          </cell>
          <cell r="E919" t="e">
            <v>#DIV/0!</v>
          </cell>
        </row>
        <row r="920">
          <cell r="A920">
            <v>40364</v>
          </cell>
          <cell r="B920" t="str">
            <v>#Calc</v>
          </cell>
          <cell r="C920" t="e">
            <v>#DIV/0!</v>
          </cell>
          <cell r="D920" t="e">
            <v>#DIV/0!</v>
          </cell>
          <cell r="E920" t="e">
            <v>#DIV/0!</v>
          </cell>
        </row>
        <row r="921">
          <cell r="A921">
            <v>40365</v>
          </cell>
          <cell r="B921" t="str">
            <v>#Calc</v>
          </cell>
          <cell r="C921" t="e">
            <v>#DIV/0!</v>
          </cell>
          <cell r="D921" t="e">
            <v>#DIV/0!</v>
          </cell>
          <cell r="E921" t="e">
            <v>#DIV/0!</v>
          </cell>
        </row>
        <row r="922">
          <cell r="A922">
            <v>40366</v>
          </cell>
          <cell r="B922" t="str">
            <v>#Calc</v>
          </cell>
          <cell r="C922" t="e">
            <v>#DIV/0!</v>
          </cell>
          <cell r="D922" t="e">
            <v>#DIV/0!</v>
          </cell>
          <cell r="E922" t="e">
            <v>#DIV/0!</v>
          </cell>
        </row>
        <row r="923">
          <cell r="A923">
            <v>40367</v>
          </cell>
          <cell r="B923" t="str">
            <v>#Calc</v>
          </cell>
          <cell r="C923" t="e">
            <v>#DIV/0!</v>
          </cell>
          <cell r="D923" t="e">
            <v>#DIV/0!</v>
          </cell>
          <cell r="E923" t="e">
            <v>#DIV/0!</v>
          </cell>
        </row>
        <row r="924">
          <cell r="A924">
            <v>40368</v>
          </cell>
          <cell r="B924" t="str">
            <v>#Calc</v>
          </cell>
          <cell r="C924" t="e">
            <v>#DIV/0!</v>
          </cell>
          <cell r="D924" t="e">
            <v>#DIV/0!</v>
          </cell>
          <cell r="E924" t="e">
            <v>#DIV/0!</v>
          </cell>
        </row>
        <row r="925">
          <cell r="A925">
            <v>40369</v>
          </cell>
          <cell r="B925" t="str">
            <v>#Calc</v>
          </cell>
          <cell r="C925" t="e">
            <v>#DIV/0!</v>
          </cell>
          <cell r="D925" t="e">
            <v>#DIV/0!</v>
          </cell>
          <cell r="E925" t="e">
            <v>#DIV/0!</v>
          </cell>
        </row>
        <row r="926">
          <cell r="A926">
            <v>40370</v>
          </cell>
          <cell r="B926" t="str">
            <v>#Calc</v>
          </cell>
          <cell r="C926" t="e">
            <v>#DIV/0!</v>
          </cell>
          <cell r="D926" t="e">
            <v>#DIV/0!</v>
          </cell>
          <cell r="E926" t="e">
            <v>#DIV/0!</v>
          </cell>
        </row>
        <row r="927">
          <cell r="A927">
            <v>40371</v>
          </cell>
          <cell r="B927" t="str">
            <v>#Calc</v>
          </cell>
          <cell r="C927" t="e">
            <v>#DIV/0!</v>
          </cell>
          <cell r="D927" t="e">
            <v>#DIV/0!</v>
          </cell>
          <cell r="E927" t="e">
            <v>#DIV/0!</v>
          </cell>
        </row>
        <row r="928">
          <cell r="A928">
            <v>40372</v>
          </cell>
          <cell r="B928" t="str">
            <v>#Calc</v>
          </cell>
          <cell r="C928" t="e">
            <v>#DIV/0!</v>
          </cell>
          <cell r="D928" t="e">
            <v>#DIV/0!</v>
          </cell>
          <cell r="E928" t="e">
            <v>#DIV/0!</v>
          </cell>
        </row>
        <row r="929">
          <cell r="A929">
            <v>40373</v>
          </cell>
          <cell r="B929" t="str">
            <v>#Calc</v>
          </cell>
          <cell r="C929" t="e">
            <v>#DIV/0!</v>
          </cell>
          <cell r="D929" t="e">
            <v>#DIV/0!</v>
          </cell>
          <cell r="E929" t="e">
            <v>#DIV/0!</v>
          </cell>
        </row>
        <row r="930">
          <cell r="A930">
            <v>40374</v>
          </cell>
          <cell r="B930" t="str">
            <v>#Calc</v>
          </cell>
          <cell r="C930" t="e">
            <v>#DIV/0!</v>
          </cell>
          <cell r="D930" t="e">
            <v>#DIV/0!</v>
          </cell>
          <cell r="E930" t="e">
            <v>#DIV/0!</v>
          </cell>
        </row>
        <row r="931">
          <cell r="A931">
            <v>40375</v>
          </cell>
          <cell r="B931" t="str">
            <v>#Calc</v>
          </cell>
          <cell r="C931" t="e">
            <v>#DIV/0!</v>
          </cell>
          <cell r="D931" t="e">
            <v>#DIV/0!</v>
          </cell>
          <cell r="E931" t="e">
            <v>#DIV/0!</v>
          </cell>
        </row>
        <row r="932">
          <cell r="A932">
            <v>40376</v>
          </cell>
          <cell r="B932" t="str">
            <v>#Calc</v>
          </cell>
          <cell r="C932" t="e">
            <v>#DIV/0!</v>
          </cell>
          <cell r="D932" t="e">
            <v>#DIV/0!</v>
          </cell>
          <cell r="E932" t="e">
            <v>#DIV/0!</v>
          </cell>
        </row>
        <row r="933">
          <cell r="A933">
            <v>40377</v>
          </cell>
          <cell r="B933" t="str">
            <v>#Calc</v>
          </cell>
          <cell r="C933" t="e">
            <v>#DIV/0!</v>
          </cell>
          <cell r="D933" t="e">
            <v>#DIV/0!</v>
          </cell>
          <cell r="E933" t="e">
            <v>#DIV/0!</v>
          </cell>
        </row>
        <row r="934">
          <cell r="A934">
            <v>40378</v>
          </cell>
          <cell r="B934" t="str">
            <v>#Calc</v>
          </cell>
          <cell r="C934" t="e">
            <v>#DIV/0!</v>
          </cell>
          <cell r="D934" t="e">
            <v>#DIV/0!</v>
          </cell>
          <cell r="E934" t="e">
            <v>#DIV/0!</v>
          </cell>
        </row>
        <row r="935">
          <cell r="A935">
            <v>40379</v>
          </cell>
          <cell r="B935" t="str">
            <v>#Calc</v>
          </cell>
          <cell r="C935" t="e">
            <v>#DIV/0!</v>
          </cell>
          <cell r="D935" t="e">
            <v>#DIV/0!</v>
          </cell>
          <cell r="E935" t="e">
            <v>#DIV/0!</v>
          </cell>
        </row>
        <row r="936">
          <cell r="A936">
            <v>40380</v>
          </cell>
          <cell r="B936" t="str">
            <v>#Calc</v>
          </cell>
          <cell r="C936" t="e">
            <v>#DIV/0!</v>
          </cell>
          <cell r="D936" t="e">
            <v>#DIV/0!</v>
          </cell>
          <cell r="E936" t="e">
            <v>#DIV/0!</v>
          </cell>
        </row>
        <row r="937">
          <cell r="A937">
            <v>40381</v>
          </cell>
          <cell r="B937" t="str">
            <v>#Calc</v>
          </cell>
          <cell r="C937" t="e">
            <v>#DIV/0!</v>
          </cell>
          <cell r="D937" t="e">
            <v>#DIV/0!</v>
          </cell>
          <cell r="E937" t="e">
            <v>#DIV/0!</v>
          </cell>
        </row>
        <row r="938">
          <cell r="A938">
            <v>40382</v>
          </cell>
          <cell r="B938" t="str">
            <v>#Calc</v>
          </cell>
          <cell r="C938" t="e">
            <v>#DIV/0!</v>
          </cell>
          <cell r="D938" t="e">
            <v>#DIV/0!</v>
          </cell>
          <cell r="E938" t="e">
            <v>#DIV/0!</v>
          </cell>
        </row>
        <row r="939">
          <cell r="A939">
            <v>40383</v>
          </cell>
          <cell r="B939" t="str">
            <v>#Calc</v>
          </cell>
          <cell r="C939" t="e">
            <v>#DIV/0!</v>
          </cell>
          <cell r="D939" t="e">
            <v>#DIV/0!</v>
          </cell>
          <cell r="E939" t="e">
            <v>#DIV/0!</v>
          </cell>
        </row>
        <row r="940">
          <cell r="A940">
            <v>40384</v>
          </cell>
          <cell r="B940" t="str">
            <v>#Calc</v>
          </cell>
          <cell r="C940" t="e">
            <v>#DIV/0!</v>
          </cell>
          <cell r="D940" t="e">
            <v>#DIV/0!</v>
          </cell>
          <cell r="E940" t="e">
            <v>#DIV/0!</v>
          </cell>
        </row>
        <row r="941">
          <cell r="A941">
            <v>40385</v>
          </cell>
          <cell r="B941" t="str">
            <v>#Calc</v>
          </cell>
          <cell r="C941" t="e">
            <v>#DIV/0!</v>
          </cell>
          <cell r="D941" t="e">
            <v>#DIV/0!</v>
          </cell>
          <cell r="E941" t="e">
            <v>#DIV/0!</v>
          </cell>
        </row>
        <row r="942">
          <cell r="A942">
            <v>40386</v>
          </cell>
          <cell r="B942" t="str">
            <v>#Calc</v>
          </cell>
          <cell r="C942" t="e">
            <v>#DIV/0!</v>
          </cell>
          <cell r="D942" t="e">
            <v>#DIV/0!</v>
          </cell>
          <cell r="E942" t="e">
            <v>#DIV/0!</v>
          </cell>
        </row>
        <row r="943">
          <cell r="A943">
            <v>40387</v>
          </cell>
          <cell r="B943" t="str">
            <v>#Calc</v>
          </cell>
          <cell r="C943" t="e">
            <v>#DIV/0!</v>
          </cell>
          <cell r="D943" t="e">
            <v>#DIV/0!</v>
          </cell>
          <cell r="E943" t="e">
            <v>#DIV/0!</v>
          </cell>
        </row>
        <row r="944">
          <cell r="A944">
            <v>40388</v>
          </cell>
          <cell r="B944" t="str">
            <v>#Calc</v>
          </cell>
          <cell r="C944" t="e">
            <v>#DIV/0!</v>
          </cell>
          <cell r="D944" t="e">
            <v>#DIV/0!</v>
          </cell>
          <cell r="E944" t="e">
            <v>#DIV/0!</v>
          </cell>
        </row>
        <row r="945">
          <cell r="A945">
            <v>40389</v>
          </cell>
          <cell r="B945" t="str">
            <v>#Calc</v>
          </cell>
          <cell r="C945" t="e">
            <v>#DIV/0!</v>
          </cell>
          <cell r="D945" t="e">
            <v>#DIV/0!</v>
          </cell>
          <cell r="E945" t="e">
            <v>#DIV/0!</v>
          </cell>
        </row>
        <row r="946">
          <cell r="A946">
            <v>40390</v>
          </cell>
          <cell r="B946" t="str">
            <v>#Calc</v>
          </cell>
          <cell r="C946" t="e">
            <v>#DIV/0!</v>
          </cell>
          <cell r="D946" t="e">
            <v>#DIV/0!</v>
          </cell>
          <cell r="E946" t="e">
            <v>#DIV/0!</v>
          </cell>
        </row>
        <row r="947">
          <cell r="A947">
            <v>40391</v>
          </cell>
          <cell r="B947" t="str">
            <v>#Calc</v>
          </cell>
          <cell r="C947" t="e">
            <v>#DIV/0!</v>
          </cell>
          <cell r="D947" t="e">
            <v>#DIV/0!</v>
          </cell>
          <cell r="E947" t="e">
            <v>#DIV/0!</v>
          </cell>
        </row>
        <row r="948">
          <cell r="A948">
            <v>40392</v>
          </cell>
          <cell r="B948" t="str">
            <v>#Calc</v>
          </cell>
          <cell r="C948" t="e">
            <v>#DIV/0!</v>
          </cell>
          <cell r="D948" t="e">
            <v>#DIV/0!</v>
          </cell>
          <cell r="E948" t="e">
            <v>#DIV/0!</v>
          </cell>
        </row>
        <row r="949">
          <cell r="A949">
            <v>40393</v>
          </cell>
          <cell r="B949" t="str">
            <v>#Calc</v>
          </cell>
          <cell r="C949" t="e">
            <v>#DIV/0!</v>
          </cell>
          <cell r="D949" t="e">
            <v>#DIV/0!</v>
          </cell>
          <cell r="E949" t="e">
            <v>#DIV/0!</v>
          </cell>
        </row>
        <row r="950">
          <cell r="A950">
            <v>40394</v>
          </cell>
          <cell r="B950" t="str">
            <v>#Calc</v>
          </cell>
          <cell r="C950" t="e">
            <v>#DIV/0!</v>
          </cell>
          <cell r="D950" t="e">
            <v>#DIV/0!</v>
          </cell>
          <cell r="E950" t="e">
            <v>#DIV/0!</v>
          </cell>
        </row>
        <row r="951">
          <cell r="A951">
            <v>40395</v>
          </cell>
          <cell r="B951" t="str">
            <v>#Calc</v>
          </cell>
          <cell r="C951" t="e">
            <v>#DIV/0!</v>
          </cell>
          <cell r="D951" t="e">
            <v>#DIV/0!</v>
          </cell>
          <cell r="E951" t="e">
            <v>#DIV/0!</v>
          </cell>
        </row>
        <row r="952">
          <cell r="A952">
            <v>40396</v>
          </cell>
          <cell r="B952" t="str">
            <v>#Calc</v>
          </cell>
          <cell r="C952" t="e">
            <v>#DIV/0!</v>
          </cell>
          <cell r="D952" t="e">
            <v>#DIV/0!</v>
          </cell>
          <cell r="E952" t="e">
            <v>#DIV/0!</v>
          </cell>
        </row>
        <row r="953">
          <cell r="A953">
            <v>40397</v>
          </cell>
          <cell r="B953" t="str">
            <v>#Calc</v>
          </cell>
          <cell r="C953" t="e">
            <v>#DIV/0!</v>
          </cell>
          <cell r="D953" t="e">
            <v>#DIV/0!</v>
          </cell>
          <cell r="E953" t="e">
            <v>#DIV/0!</v>
          </cell>
        </row>
        <row r="954">
          <cell r="A954">
            <v>40398</v>
          </cell>
          <cell r="B954" t="str">
            <v>#Calc</v>
          </cell>
          <cell r="C954" t="e">
            <v>#DIV/0!</v>
          </cell>
          <cell r="D954" t="e">
            <v>#DIV/0!</v>
          </cell>
          <cell r="E954" t="e">
            <v>#DIV/0!</v>
          </cell>
        </row>
        <row r="955">
          <cell r="A955">
            <v>40399</v>
          </cell>
          <cell r="B955" t="str">
            <v>#Calc</v>
          </cell>
          <cell r="C955" t="e">
            <v>#DIV/0!</v>
          </cell>
          <cell r="D955" t="e">
            <v>#DIV/0!</v>
          </cell>
          <cell r="E955" t="e">
            <v>#DIV/0!</v>
          </cell>
        </row>
        <row r="956">
          <cell r="A956">
            <v>40400</v>
          </cell>
          <cell r="B956" t="str">
            <v>#Calc</v>
          </cell>
          <cell r="C956" t="e">
            <v>#DIV/0!</v>
          </cell>
          <cell r="D956" t="e">
            <v>#DIV/0!</v>
          </cell>
          <cell r="E956" t="e">
            <v>#DIV/0!</v>
          </cell>
        </row>
        <row r="957">
          <cell r="A957">
            <v>40401</v>
          </cell>
          <cell r="B957" t="str">
            <v>#Calc</v>
          </cell>
          <cell r="C957" t="e">
            <v>#DIV/0!</v>
          </cell>
          <cell r="D957" t="e">
            <v>#DIV/0!</v>
          </cell>
          <cell r="E957" t="e">
            <v>#DIV/0!</v>
          </cell>
        </row>
        <row r="958">
          <cell r="A958">
            <v>40402</v>
          </cell>
          <cell r="B958" t="str">
            <v>#Calc</v>
          </cell>
          <cell r="C958" t="e">
            <v>#DIV/0!</v>
          </cell>
          <cell r="D958" t="e">
            <v>#DIV/0!</v>
          </cell>
          <cell r="E958" t="e">
            <v>#DIV/0!</v>
          </cell>
        </row>
        <row r="959">
          <cell r="A959">
            <v>40403</v>
          </cell>
          <cell r="B959" t="str">
            <v>#Calc</v>
          </cell>
          <cell r="C959" t="e">
            <v>#DIV/0!</v>
          </cell>
          <cell r="D959" t="e">
            <v>#DIV/0!</v>
          </cell>
          <cell r="E959" t="e">
            <v>#DIV/0!</v>
          </cell>
        </row>
        <row r="960">
          <cell r="A960">
            <v>40404</v>
          </cell>
          <cell r="B960" t="str">
            <v>#Calc</v>
          </cell>
          <cell r="C960" t="e">
            <v>#DIV/0!</v>
          </cell>
          <cell r="D960" t="e">
            <v>#DIV/0!</v>
          </cell>
          <cell r="E960" t="e">
            <v>#DIV/0!</v>
          </cell>
        </row>
        <row r="961">
          <cell r="A961">
            <v>40405</v>
          </cell>
          <cell r="B961" t="str">
            <v>#Calc</v>
          </cell>
          <cell r="C961" t="e">
            <v>#DIV/0!</v>
          </cell>
          <cell r="D961" t="e">
            <v>#DIV/0!</v>
          </cell>
          <cell r="E961" t="e">
            <v>#DIV/0!</v>
          </cell>
        </row>
        <row r="962">
          <cell r="A962">
            <v>40406</v>
          </cell>
          <cell r="B962" t="str">
            <v>#Calc</v>
          </cell>
          <cell r="C962" t="e">
            <v>#DIV/0!</v>
          </cell>
          <cell r="D962" t="e">
            <v>#DIV/0!</v>
          </cell>
          <cell r="E962" t="e">
            <v>#DIV/0!</v>
          </cell>
        </row>
        <row r="963">
          <cell r="A963">
            <v>40407</v>
          </cell>
          <cell r="B963" t="str">
            <v>#Calc</v>
          </cell>
          <cell r="C963" t="e">
            <v>#DIV/0!</v>
          </cell>
          <cell r="D963" t="e">
            <v>#DIV/0!</v>
          </cell>
          <cell r="E963" t="e">
            <v>#DIV/0!</v>
          </cell>
        </row>
        <row r="964">
          <cell r="A964">
            <v>40408</v>
          </cell>
          <cell r="B964" t="str">
            <v>#Calc</v>
          </cell>
          <cell r="C964" t="e">
            <v>#DIV/0!</v>
          </cell>
          <cell r="D964" t="e">
            <v>#DIV/0!</v>
          </cell>
          <cell r="E964" t="e">
            <v>#DIV/0!</v>
          </cell>
        </row>
        <row r="965">
          <cell r="A965">
            <v>40409</v>
          </cell>
          <cell r="B965" t="str">
            <v>#Calc</v>
          </cell>
          <cell r="C965" t="e">
            <v>#DIV/0!</v>
          </cell>
          <cell r="D965" t="e">
            <v>#DIV/0!</v>
          </cell>
          <cell r="E965" t="e">
            <v>#DIV/0!</v>
          </cell>
        </row>
        <row r="966">
          <cell r="A966">
            <v>40410</v>
          </cell>
          <cell r="B966" t="str">
            <v>#Calc</v>
          </cell>
          <cell r="C966" t="e">
            <v>#DIV/0!</v>
          </cell>
          <cell r="D966" t="e">
            <v>#DIV/0!</v>
          </cell>
          <cell r="E966" t="e">
            <v>#DIV/0!</v>
          </cell>
        </row>
        <row r="967">
          <cell r="A967">
            <v>40411</v>
          </cell>
          <cell r="B967" t="str">
            <v>#Calc</v>
          </cell>
          <cell r="C967" t="e">
            <v>#DIV/0!</v>
          </cell>
          <cell r="D967" t="e">
            <v>#DIV/0!</v>
          </cell>
          <cell r="E967" t="e">
            <v>#DIV/0!</v>
          </cell>
        </row>
        <row r="968">
          <cell r="A968">
            <v>40412</v>
          </cell>
          <cell r="B968" t="str">
            <v>#Calc</v>
          </cell>
          <cell r="C968" t="e">
            <v>#DIV/0!</v>
          </cell>
          <cell r="D968" t="e">
            <v>#DIV/0!</v>
          </cell>
          <cell r="E968" t="e">
            <v>#DIV/0!</v>
          </cell>
        </row>
        <row r="969">
          <cell r="A969">
            <v>40413</v>
          </cell>
          <cell r="B969" t="str">
            <v>#Calc</v>
          </cell>
          <cell r="C969" t="e">
            <v>#DIV/0!</v>
          </cell>
          <cell r="D969" t="e">
            <v>#DIV/0!</v>
          </cell>
          <cell r="E969" t="e">
            <v>#DIV/0!</v>
          </cell>
        </row>
        <row r="970">
          <cell r="A970">
            <v>40414</v>
          </cell>
          <cell r="B970" t="str">
            <v>#Calc</v>
          </cell>
          <cell r="C970" t="e">
            <v>#DIV/0!</v>
          </cell>
          <cell r="D970" t="e">
            <v>#DIV/0!</v>
          </cell>
          <cell r="E970" t="e">
            <v>#DIV/0!</v>
          </cell>
        </row>
        <row r="971">
          <cell r="A971">
            <v>40415</v>
          </cell>
          <cell r="B971" t="str">
            <v>#Calc</v>
          </cell>
          <cell r="C971" t="e">
            <v>#DIV/0!</v>
          </cell>
          <cell r="D971" t="e">
            <v>#DIV/0!</v>
          </cell>
          <cell r="E971" t="e">
            <v>#DIV/0!</v>
          </cell>
        </row>
        <row r="972">
          <cell r="A972">
            <v>40416</v>
          </cell>
          <cell r="B972" t="str">
            <v>#Calc</v>
          </cell>
          <cell r="C972" t="e">
            <v>#DIV/0!</v>
          </cell>
          <cell r="D972" t="e">
            <v>#DIV/0!</v>
          </cell>
          <cell r="E972" t="e">
            <v>#DIV/0!</v>
          </cell>
        </row>
        <row r="973">
          <cell r="A973">
            <v>40417</v>
          </cell>
          <cell r="B973" t="str">
            <v>#Calc</v>
          </cell>
          <cell r="C973" t="e">
            <v>#DIV/0!</v>
          </cell>
          <cell r="D973" t="e">
            <v>#DIV/0!</v>
          </cell>
          <cell r="E973" t="e">
            <v>#DIV/0!</v>
          </cell>
        </row>
        <row r="974">
          <cell r="A974">
            <v>40418</v>
          </cell>
          <cell r="B974" t="str">
            <v>#Calc</v>
          </cell>
          <cell r="C974" t="e">
            <v>#DIV/0!</v>
          </cell>
          <cell r="D974" t="e">
            <v>#DIV/0!</v>
          </cell>
          <cell r="E974" t="e">
            <v>#DIV/0!</v>
          </cell>
        </row>
        <row r="975">
          <cell r="A975">
            <v>40419</v>
          </cell>
          <cell r="B975" t="str">
            <v>#Calc</v>
          </cell>
          <cell r="C975" t="e">
            <v>#DIV/0!</v>
          </cell>
          <cell r="D975" t="e">
            <v>#DIV/0!</v>
          </cell>
          <cell r="E975" t="e">
            <v>#DIV/0!</v>
          </cell>
        </row>
        <row r="976">
          <cell r="A976">
            <v>40420</v>
          </cell>
          <cell r="B976" t="str">
            <v>#Calc</v>
          </cell>
          <cell r="C976" t="e">
            <v>#DIV/0!</v>
          </cell>
          <cell r="D976" t="e">
            <v>#DIV/0!</v>
          </cell>
          <cell r="E976" t="e">
            <v>#DIV/0!</v>
          </cell>
        </row>
        <row r="977">
          <cell r="A977">
            <v>40421</v>
          </cell>
          <cell r="B977" t="str">
            <v>#Calc</v>
          </cell>
          <cell r="C977" t="e">
            <v>#DIV/0!</v>
          </cell>
          <cell r="D977" t="e">
            <v>#DIV/0!</v>
          </cell>
          <cell r="E977" t="e">
            <v>#DIV/0!</v>
          </cell>
        </row>
        <row r="978">
          <cell r="A978">
            <v>40422</v>
          </cell>
          <cell r="B978" t="str">
            <v>#Calc</v>
          </cell>
          <cell r="C978" t="e">
            <v>#DIV/0!</v>
          </cell>
          <cell r="D978" t="e">
            <v>#DIV/0!</v>
          </cell>
          <cell r="E978" t="e">
            <v>#DIV/0!</v>
          </cell>
        </row>
        <row r="979">
          <cell r="A979">
            <v>40423</v>
          </cell>
          <cell r="B979" t="str">
            <v>#Calc</v>
          </cell>
          <cell r="C979" t="e">
            <v>#DIV/0!</v>
          </cell>
          <cell r="D979" t="e">
            <v>#DIV/0!</v>
          </cell>
          <cell r="E979" t="e">
            <v>#DIV/0!</v>
          </cell>
        </row>
        <row r="980">
          <cell r="A980">
            <v>40424</v>
          </cell>
          <cell r="B980" t="str">
            <v>#Calc</v>
          </cell>
          <cell r="C980" t="e">
            <v>#DIV/0!</v>
          </cell>
          <cell r="D980" t="e">
            <v>#DIV/0!</v>
          </cell>
          <cell r="E980" t="e">
            <v>#DIV/0!</v>
          </cell>
        </row>
        <row r="981">
          <cell r="A981">
            <v>40425</v>
          </cell>
          <cell r="B981" t="str">
            <v>#Calc</v>
          </cell>
          <cell r="C981" t="e">
            <v>#DIV/0!</v>
          </cell>
          <cell r="D981" t="e">
            <v>#DIV/0!</v>
          </cell>
          <cell r="E981" t="e">
            <v>#DIV/0!</v>
          </cell>
        </row>
        <row r="982">
          <cell r="A982">
            <v>40426</v>
          </cell>
          <cell r="B982" t="str">
            <v>#Calc</v>
          </cell>
          <cell r="C982" t="e">
            <v>#DIV/0!</v>
          </cell>
          <cell r="D982" t="e">
            <v>#DIV/0!</v>
          </cell>
          <cell r="E982" t="e">
            <v>#DIV/0!</v>
          </cell>
        </row>
        <row r="983">
          <cell r="A983">
            <v>40427</v>
          </cell>
          <cell r="B983" t="str">
            <v>#Calc</v>
          </cell>
          <cell r="C983" t="e">
            <v>#DIV/0!</v>
          </cell>
          <cell r="D983" t="e">
            <v>#DIV/0!</v>
          </cell>
          <cell r="E983" t="e">
            <v>#DIV/0!</v>
          </cell>
        </row>
        <row r="984">
          <cell r="A984">
            <v>40428</v>
          </cell>
          <cell r="B984" t="str">
            <v>#Calc</v>
          </cell>
          <cell r="C984" t="e">
            <v>#DIV/0!</v>
          </cell>
          <cell r="D984" t="e">
            <v>#DIV/0!</v>
          </cell>
          <cell r="E984" t="e">
            <v>#DIV/0!</v>
          </cell>
        </row>
        <row r="985">
          <cell r="A985">
            <v>40429</v>
          </cell>
          <cell r="B985" t="str">
            <v>#Calc</v>
          </cell>
          <cell r="C985" t="e">
            <v>#DIV/0!</v>
          </cell>
          <cell r="D985" t="e">
            <v>#DIV/0!</v>
          </cell>
          <cell r="E985" t="e">
            <v>#DIV/0!</v>
          </cell>
        </row>
        <row r="986">
          <cell r="A986">
            <v>40430</v>
          </cell>
          <cell r="B986" t="str">
            <v>#Calc</v>
          </cell>
          <cell r="C986" t="e">
            <v>#DIV/0!</v>
          </cell>
          <cell r="D986" t="e">
            <v>#DIV/0!</v>
          </cell>
          <cell r="E986" t="e">
            <v>#DIV/0!</v>
          </cell>
        </row>
        <row r="987">
          <cell r="A987">
            <v>40431</v>
          </cell>
          <cell r="B987" t="str">
            <v>#Calc</v>
          </cell>
          <cell r="C987" t="e">
            <v>#DIV/0!</v>
          </cell>
          <cell r="D987" t="e">
            <v>#DIV/0!</v>
          </cell>
          <cell r="E987" t="e">
            <v>#DIV/0!</v>
          </cell>
        </row>
        <row r="988">
          <cell r="A988">
            <v>40432</v>
          </cell>
          <cell r="B988" t="str">
            <v>#Calc</v>
          </cell>
          <cell r="C988" t="e">
            <v>#DIV/0!</v>
          </cell>
          <cell r="D988" t="e">
            <v>#DIV/0!</v>
          </cell>
          <cell r="E988" t="e">
            <v>#DIV/0!</v>
          </cell>
        </row>
        <row r="989">
          <cell r="A989">
            <v>40433</v>
          </cell>
          <cell r="B989" t="str">
            <v>#Calc</v>
          </cell>
          <cell r="C989" t="e">
            <v>#DIV/0!</v>
          </cell>
          <cell r="D989" t="e">
            <v>#DIV/0!</v>
          </cell>
          <cell r="E989" t="e">
            <v>#DIV/0!</v>
          </cell>
        </row>
        <row r="990">
          <cell r="A990">
            <v>40434</v>
          </cell>
          <cell r="B990" t="str">
            <v>#Calc</v>
          </cell>
          <cell r="C990" t="e">
            <v>#DIV/0!</v>
          </cell>
          <cell r="D990" t="e">
            <v>#DIV/0!</v>
          </cell>
          <cell r="E990" t="e">
            <v>#DIV/0!</v>
          </cell>
        </row>
        <row r="991">
          <cell r="A991">
            <v>40435</v>
          </cell>
          <cell r="B991" t="str">
            <v>#Calc</v>
          </cell>
          <cell r="C991" t="e">
            <v>#DIV/0!</v>
          </cell>
          <cell r="D991" t="e">
            <v>#DIV/0!</v>
          </cell>
          <cell r="E991" t="e">
            <v>#DIV/0!</v>
          </cell>
        </row>
        <row r="992">
          <cell r="A992">
            <v>40436</v>
          </cell>
          <cell r="B992" t="str">
            <v>#Calc</v>
          </cell>
          <cell r="C992" t="e">
            <v>#DIV/0!</v>
          </cell>
          <cell r="D992" t="e">
            <v>#DIV/0!</v>
          </cell>
          <cell r="E992" t="e">
            <v>#DIV/0!</v>
          </cell>
        </row>
        <row r="993">
          <cell r="A993">
            <v>40437</v>
          </cell>
          <cell r="B993" t="str">
            <v>#Calc</v>
          </cell>
          <cell r="C993" t="e">
            <v>#DIV/0!</v>
          </cell>
          <cell r="D993" t="e">
            <v>#DIV/0!</v>
          </cell>
          <cell r="E993" t="e">
            <v>#DIV/0!</v>
          </cell>
        </row>
        <row r="994">
          <cell r="A994">
            <v>40438</v>
          </cell>
          <cell r="B994" t="str">
            <v>#Calc</v>
          </cell>
          <cell r="C994" t="e">
            <v>#DIV/0!</v>
          </cell>
          <cell r="D994" t="e">
            <v>#DIV/0!</v>
          </cell>
          <cell r="E994" t="e">
            <v>#DIV/0!</v>
          </cell>
        </row>
        <row r="995">
          <cell r="A995">
            <v>40439</v>
          </cell>
          <cell r="B995" t="str">
            <v>#Calc</v>
          </cell>
          <cell r="C995" t="e">
            <v>#DIV/0!</v>
          </cell>
          <cell r="D995" t="e">
            <v>#DIV/0!</v>
          </cell>
          <cell r="E995" t="e">
            <v>#DIV/0!</v>
          </cell>
        </row>
        <row r="996">
          <cell r="A996">
            <v>40440</v>
          </cell>
          <cell r="B996" t="str">
            <v>#Calc</v>
          </cell>
          <cell r="C996" t="e">
            <v>#DIV/0!</v>
          </cell>
          <cell r="D996" t="e">
            <v>#DIV/0!</v>
          </cell>
          <cell r="E996" t="e">
            <v>#DIV/0!</v>
          </cell>
        </row>
        <row r="997">
          <cell r="A997">
            <v>40441</v>
          </cell>
          <cell r="B997" t="str">
            <v>#Calc</v>
          </cell>
          <cell r="C997" t="e">
            <v>#DIV/0!</v>
          </cell>
          <cell r="D997" t="e">
            <v>#DIV/0!</v>
          </cell>
          <cell r="E997" t="e">
            <v>#DIV/0!</v>
          </cell>
        </row>
        <row r="998">
          <cell r="A998">
            <v>40442</v>
          </cell>
          <cell r="B998" t="str">
            <v>#Calc</v>
          </cell>
          <cell r="C998" t="e">
            <v>#DIV/0!</v>
          </cell>
          <cell r="D998" t="e">
            <v>#DIV/0!</v>
          </cell>
          <cell r="E998" t="e">
            <v>#DIV/0!</v>
          </cell>
        </row>
        <row r="999">
          <cell r="A999">
            <v>40443</v>
          </cell>
          <cell r="B999" t="str">
            <v>#Calc</v>
          </cell>
          <cell r="C999" t="e">
            <v>#DIV/0!</v>
          </cell>
          <cell r="D999" t="e">
            <v>#DIV/0!</v>
          </cell>
          <cell r="E999" t="e">
            <v>#DIV/0!</v>
          </cell>
        </row>
        <row r="1000">
          <cell r="A1000">
            <v>40444</v>
          </cell>
          <cell r="B1000" t="str">
            <v>#Calc</v>
          </cell>
          <cell r="C1000" t="e">
            <v>#DIV/0!</v>
          </cell>
          <cell r="D1000" t="e">
            <v>#DIV/0!</v>
          </cell>
          <cell r="E1000" t="e">
            <v>#DIV/0!</v>
          </cell>
        </row>
        <row r="1001">
          <cell r="A1001">
            <v>40445</v>
          </cell>
          <cell r="B1001" t="str">
            <v>#Calc</v>
          </cell>
          <cell r="C1001" t="e">
            <v>#DIV/0!</v>
          </cell>
          <cell r="D1001" t="e">
            <v>#DIV/0!</v>
          </cell>
          <cell r="E1001" t="e">
            <v>#DIV/0!</v>
          </cell>
        </row>
        <row r="1002">
          <cell r="A1002">
            <v>40446</v>
          </cell>
          <cell r="B1002" t="str">
            <v>#Calc</v>
          </cell>
          <cell r="C1002" t="e">
            <v>#DIV/0!</v>
          </cell>
          <cell r="D1002" t="e">
            <v>#DIV/0!</v>
          </cell>
          <cell r="E1002" t="e">
            <v>#DIV/0!</v>
          </cell>
        </row>
        <row r="1003">
          <cell r="A1003">
            <v>40447</v>
          </cell>
          <cell r="B1003" t="str">
            <v>#Calc</v>
          </cell>
          <cell r="C1003" t="e">
            <v>#DIV/0!</v>
          </cell>
          <cell r="D1003" t="e">
            <v>#DIV/0!</v>
          </cell>
          <cell r="E1003" t="e">
            <v>#DIV/0!</v>
          </cell>
        </row>
        <row r="1004">
          <cell r="A1004">
            <v>40448</v>
          </cell>
          <cell r="B1004" t="str">
            <v>#Calc</v>
          </cell>
          <cell r="C1004" t="e">
            <v>#DIV/0!</v>
          </cell>
          <cell r="D1004" t="e">
            <v>#DIV/0!</v>
          </cell>
          <cell r="E1004" t="e">
            <v>#DIV/0!</v>
          </cell>
        </row>
        <row r="1005">
          <cell r="A1005">
            <v>40449</v>
          </cell>
          <cell r="B1005" t="str">
            <v>#Calc</v>
          </cell>
          <cell r="C1005" t="e">
            <v>#DIV/0!</v>
          </cell>
          <cell r="D1005" t="e">
            <v>#DIV/0!</v>
          </cell>
          <cell r="E1005" t="e">
            <v>#DIV/0!</v>
          </cell>
        </row>
        <row r="1006">
          <cell r="A1006">
            <v>40450</v>
          </cell>
          <cell r="B1006" t="str">
            <v>#Calc</v>
          </cell>
          <cell r="C1006" t="e">
            <v>#DIV/0!</v>
          </cell>
          <cell r="D1006" t="e">
            <v>#DIV/0!</v>
          </cell>
          <cell r="E1006" t="e">
            <v>#DIV/0!</v>
          </cell>
        </row>
        <row r="1007">
          <cell r="A1007">
            <v>40451</v>
          </cell>
          <cell r="B1007" t="str">
            <v>#Calc</v>
          </cell>
          <cell r="C1007" t="e">
            <v>#DIV/0!</v>
          </cell>
          <cell r="D1007" t="e">
            <v>#DIV/0!</v>
          </cell>
          <cell r="E1007" t="e">
            <v>#DIV/0!</v>
          </cell>
        </row>
        <row r="1008">
          <cell r="A1008">
            <v>40452</v>
          </cell>
          <cell r="B1008" t="str">
            <v>#Calc</v>
          </cell>
          <cell r="C1008" t="e">
            <v>#DIV/0!</v>
          </cell>
          <cell r="D1008" t="e">
            <v>#DIV/0!</v>
          </cell>
          <cell r="E1008" t="e">
            <v>#DIV/0!</v>
          </cell>
        </row>
        <row r="1009">
          <cell r="A1009">
            <v>40453</v>
          </cell>
          <cell r="B1009" t="str">
            <v>#Calc</v>
          </cell>
          <cell r="C1009" t="e">
            <v>#DIV/0!</v>
          </cell>
          <cell r="D1009" t="e">
            <v>#DIV/0!</v>
          </cell>
          <cell r="E1009" t="e">
            <v>#DIV/0!</v>
          </cell>
        </row>
        <row r="1010">
          <cell r="A1010">
            <v>40454</v>
          </cell>
          <cell r="B1010" t="str">
            <v>#Calc</v>
          </cell>
          <cell r="C1010" t="e">
            <v>#DIV/0!</v>
          </cell>
          <cell r="D1010" t="e">
            <v>#DIV/0!</v>
          </cell>
          <cell r="E1010" t="e">
            <v>#DIV/0!</v>
          </cell>
        </row>
        <row r="1011">
          <cell r="A1011">
            <v>40455</v>
          </cell>
          <cell r="B1011" t="str">
            <v>#Calc</v>
          </cell>
          <cell r="C1011" t="e">
            <v>#DIV/0!</v>
          </cell>
          <cell r="D1011" t="e">
            <v>#DIV/0!</v>
          </cell>
          <cell r="E1011" t="e">
            <v>#DIV/0!</v>
          </cell>
        </row>
        <row r="1012">
          <cell r="A1012">
            <v>40456</v>
          </cell>
          <cell r="B1012" t="str">
            <v>#Calc</v>
          </cell>
          <cell r="C1012" t="e">
            <v>#DIV/0!</v>
          </cell>
          <cell r="D1012" t="e">
            <v>#DIV/0!</v>
          </cell>
          <cell r="E1012" t="e">
            <v>#DIV/0!</v>
          </cell>
        </row>
        <row r="1013">
          <cell r="A1013">
            <v>40457</v>
          </cell>
          <cell r="B1013" t="str">
            <v>#Calc</v>
          </cell>
          <cell r="C1013" t="e">
            <v>#DIV/0!</v>
          </cell>
          <cell r="D1013" t="e">
            <v>#DIV/0!</v>
          </cell>
          <cell r="E1013" t="e">
            <v>#DIV/0!</v>
          </cell>
        </row>
        <row r="1014">
          <cell r="A1014">
            <v>40458</v>
          </cell>
          <cell r="B1014" t="str">
            <v>#Calc</v>
          </cell>
          <cell r="C1014" t="e">
            <v>#DIV/0!</v>
          </cell>
          <cell r="D1014" t="e">
            <v>#DIV/0!</v>
          </cell>
          <cell r="E1014" t="e">
            <v>#DIV/0!</v>
          </cell>
        </row>
        <row r="1015">
          <cell r="A1015">
            <v>40459</v>
          </cell>
          <cell r="B1015" t="str">
            <v>#Calc</v>
          </cell>
          <cell r="C1015" t="e">
            <v>#DIV/0!</v>
          </cell>
          <cell r="D1015" t="e">
            <v>#DIV/0!</v>
          </cell>
          <cell r="E1015" t="e">
            <v>#DIV/0!</v>
          </cell>
        </row>
        <row r="1016">
          <cell r="A1016">
            <v>40460</v>
          </cell>
          <cell r="B1016" t="str">
            <v>#Calc</v>
          </cell>
          <cell r="C1016" t="e">
            <v>#DIV/0!</v>
          </cell>
          <cell r="D1016" t="e">
            <v>#DIV/0!</v>
          </cell>
          <cell r="E1016" t="e">
            <v>#DIV/0!</v>
          </cell>
        </row>
        <row r="1017">
          <cell r="A1017">
            <v>40461</v>
          </cell>
          <cell r="B1017" t="str">
            <v>#Calc</v>
          </cell>
          <cell r="C1017" t="e">
            <v>#DIV/0!</v>
          </cell>
          <cell r="D1017" t="e">
            <v>#DIV/0!</v>
          </cell>
          <cell r="E1017" t="e">
            <v>#DIV/0!</v>
          </cell>
        </row>
        <row r="1018">
          <cell r="A1018">
            <v>40462</v>
          </cell>
          <cell r="B1018" t="str">
            <v>#Calc</v>
          </cell>
          <cell r="C1018" t="e">
            <v>#DIV/0!</v>
          </cell>
          <cell r="D1018" t="e">
            <v>#DIV/0!</v>
          </cell>
          <cell r="E1018" t="e">
            <v>#DIV/0!</v>
          </cell>
        </row>
        <row r="1019">
          <cell r="A1019">
            <v>40463</v>
          </cell>
          <cell r="B1019" t="str">
            <v>#Calc</v>
          </cell>
          <cell r="C1019" t="e">
            <v>#DIV/0!</v>
          </cell>
          <cell r="D1019" t="e">
            <v>#DIV/0!</v>
          </cell>
          <cell r="E1019" t="e">
            <v>#DIV/0!</v>
          </cell>
        </row>
        <row r="1020">
          <cell r="A1020">
            <v>40464</v>
          </cell>
          <cell r="B1020" t="str">
            <v>#Calc</v>
          </cell>
          <cell r="C1020" t="e">
            <v>#DIV/0!</v>
          </cell>
          <cell r="D1020" t="e">
            <v>#DIV/0!</v>
          </cell>
          <cell r="E1020" t="e">
            <v>#DIV/0!</v>
          </cell>
        </row>
        <row r="1021">
          <cell r="A1021">
            <v>40465</v>
          </cell>
          <cell r="B1021" t="str">
            <v>#Calc</v>
          </cell>
          <cell r="C1021" t="e">
            <v>#DIV/0!</v>
          </cell>
          <cell r="D1021" t="e">
            <v>#DIV/0!</v>
          </cell>
          <cell r="E1021" t="e">
            <v>#DIV/0!</v>
          </cell>
        </row>
        <row r="1022">
          <cell r="A1022">
            <v>40466</v>
          </cell>
          <cell r="B1022" t="str">
            <v>#Calc</v>
          </cell>
          <cell r="C1022" t="e">
            <v>#DIV/0!</v>
          </cell>
          <cell r="D1022" t="e">
            <v>#DIV/0!</v>
          </cell>
          <cell r="E1022" t="e">
            <v>#DIV/0!</v>
          </cell>
        </row>
        <row r="1023">
          <cell r="A1023">
            <v>40467</v>
          </cell>
          <cell r="B1023" t="str">
            <v>#Calc</v>
          </cell>
          <cell r="C1023" t="e">
            <v>#DIV/0!</v>
          </cell>
          <cell r="D1023" t="e">
            <v>#DIV/0!</v>
          </cell>
          <cell r="E1023" t="e">
            <v>#DIV/0!</v>
          </cell>
        </row>
        <row r="1024">
          <cell r="A1024">
            <v>40468</v>
          </cell>
          <cell r="B1024" t="str">
            <v>#Calc</v>
          </cell>
          <cell r="C1024" t="e">
            <v>#DIV/0!</v>
          </cell>
          <cell r="D1024" t="e">
            <v>#DIV/0!</v>
          </cell>
          <cell r="E1024" t="e">
            <v>#DIV/0!</v>
          </cell>
        </row>
        <row r="1025">
          <cell r="A1025">
            <v>40469</v>
          </cell>
          <cell r="B1025" t="str">
            <v>#Calc</v>
          </cell>
          <cell r="C1025" t="e">
            <v>#DIV/0!</v>
          </cell>
          <cell r="D1025" t="e">
            <v>#DIV/0!</v>
          </cell>
          <cell r="E1025" t="e">
            <v>#DIV/0!</v>
          </cell>
        </row>
        <row r="1026">
          <cell r="A1026">
            <v>40470</v>
          </cell>
          <cell r="B1026" t="str">
            <v>#Calc</v>
          </cell>
          <cell r="C1026" t="e">
            <v>#DIV/0!</v>
          </cell>
          <cell r="D1026" t="e">
            <v>#DIV/0!</v>
          </cell>
          <cell r="E1026" t="e">
            <v>#DIV/0!</v>
          </cell>
        </row>
        <row r="1027">
          <cell r="A1027">
            <v>40471</v>
          </cell>
          <cell r="B1027" t="str">
            <v>#Calc</v>
          </cell>
          <cell r="C1027" t="e">
            <v>#DIV/0!</v>
          </cell>
          <cell r="D1027" t="e">
            <v>#DIV/0!</v>
          </cell>
          <cell r="E1027" t="e">
            <v>#DIV/0!</v>
          </cell>
        </row>
        <row r="1028">
          <cell r="A1028">
            <v>40472</v>
          </cell>
          <cell r="B1028" t="str">
            <v>#Calc</v>
          </cell>
          <cell r="C1028" t="e">
            <v>#DIV/0!</v>
          </cell>
          <cell r="D1028" t="e">
            <v>#DIV/0!</v>
          </cell>
          <cell r="E1028" t="e">
            <v>#DIV/0!</v>
          </cell>
        </row>
        <row r="1029">
          <cell r="A1029">
            <v>40473</v>
          </cell>
          <cell r="B1029" t="str">
            <v>#Calc</v>
          </cell>
          <cell r="C1029" t="e">
            <v>#DIV/0!</v>
          </cell>
          <cell r="D1029" t="e">
            <v>#DIV/0!</v>
          </cell>
          <cell r="E1029" t="e">
            <v>#DIV/0!</v>
          </cell>
        </row>
      </sheetData>
      <sheetData sheetId="3"/>
      <sheetData sheetId="4">
        <row r="2">
          <cell r="B2" t="str">
            <v>1Q11 Estimates vs. Actual</v>
          </cell>
        </row>
        <row r="3">
          <cell r="B3" t="str">
            <v>R$ MN</v>
          </cell>
          <cell r="C3" t="str">
            <v>1Q11a</v>
          </cell>
          <cell r="D3" t="str">
            <v>1Q11e</v>
          </cell>
          <cell r="E3" t="str">
            <v>4Q10a</v>
          </cell>
          <cell r="F3" t="str">
            <v>1Q10a</v>
          </cell>
          <cell r="G3" t="str">
            <v>A/E</v>
          </cell>
          <cell r="H3" t="str">
            <v>Q/Q</v>
          </cell>
          <cell r="I3" t="str">
            <v>Y/Y</v>
          </cell>
          <cell r="L3" t="str">
            <v>Conference Call</v>
          </cell>
        </row>
        <row r="4">
          <cell r="B4" t="str">
            <v>Net Revenue</v>
          </cell>
          <cell r="C4">
            <v>521.27099999999996</v>
          </cell>
          <cell r="D4">
            <v>562.76286990113567</v>
          </cell>
          <cell r="E4">
            <v>521.27099999999996</v>
          </cell>
          <cell r="F4">
            <v>492.94900000000001</v>
          </cell>
          <cell r="G4">
            <v>-7.3728868978909179E-2</v>
          </cell>
          <cell r="H4">
            <v>0</v>
          </cell>
          <cell r="I4">
            <v>5.7454219402006901E-2</v>
          </cell>
          <cell r="M4" t="str">
            <v>Time</v>
          </cell>
          <cell r="N4" t="str">
            <v>Number</v>
          </cell>
          <cell r="O4" t="str">
            <v>Code</v>
          </cell>
          <cell r="Q4">
            <v>518.6</v>
          </cell>
          <cell r="R4">
            <v>5.1504049363670923E-3</v>
          </cell>
        </row>
        <row r="5">
          <cell r="B5" t="str">
            <v xml:space="preserve">Ebitda </v>
          </cell>
          <cell r="C5">
            <v>22.228000000000002</v>
          </cell>
          <cell r="D5">
            <v>39.820279156020241</v>
          </cell>
          <cell r="E5">
            <v>22.228000000000002</v>
          </cell>
          <cell r="F5">
            <v>46.963999999999999</v>
          </cell>
          <cell r="G5">
            <v>-0.44179195949610883</v>
          </cell>
          <cell r="H5">
            <v>0</v>
          </cell>
          <cell r="I5">
            <v>-0.52670130312579844</v>
          </cell>
          <cell r="L5" t="str">
            <v>Portuguese</v>
          </cell>
          <cell r="M5" t="str">
            <v>9 AM EST</v>
          </cell>
          <cell r="N5" t="str">
            <v>+55 (11) 2188-0155</v>
          </cell>
          <cell r="O5" t="str">
            <v xml:space="preserve">Drogasil </v>
          </cell>
          <cell r="Q5">
            <v>37.075000000000003</v>
          </cell>
          <cell r="R5">
            <v>-0.40045853000674314</v>
          </cell>
        </row>
        <row r="6">
          <cell r="B6" t="str">
            <v>Ebitda margin</v>
          </cell>
          <cell r="C6">
            <v>4.2641927135789258E-2</v>
          </cell>
          <cell r="D6">
            <v>7.0758540205425671E-2</v>
          </cell>
          <cell r="E6">
            <v>4.2641927135789258E-2</v>
          </cell>
          <cell r="F6">
            <v>9.5271518960379262E-2</v>
          </cell>
          <cell r="L6" t="str">
            <v>English</v>
          </cell>
          <cell r="M6" t="str">
            <v>11 AM EST</v>
          </cell>
          <cell r="N6" t="str">
            <v>+1 (412) 317-6776</v>
          </cell>
          <cell r="O6" t="str">
            <v xml:space="preserve">Drogasil </v>
          </cell>
          <cell r="Q6">
            <v>7.1490551484766685E-2</v>
          </cell>
        </row>
        <row r="7">
          <cell r="B7" t="str">
            <v>Net Income</v>
          </cell>
          <cell r="C7">
            <v>11.587</v>
          </cell>
          <cell r="D7">
            <v>23.465601346226261</v>
          </cell>
          <cell r="E7">
            <v>11.629</v>
          </cell>
          <cell r="F7">
            <v>29.033999999999999</v>
          </cell>
          <cell r="G7">
            <v>-0.50621337893548501</v>
          </cell>
          <cell r="H7">
            <v>-3.6116605039125949E-3</v>
          </cell>
          <cell r="I7">
            <v>-0.60091616725218711</v>
          </cell>
          <cell r="L7" t="str">
            <v>Key Themes: SSS growth, margins and M&amp;A pipeline</v>
          </cell>
          <cell r="Q7">
            <v>21.875</v>
          </cell>
          <cell r="R7">
            <v>-0.47030857142857141</v>
          </cell>
        </row>
        <row r="9">
          <cell r="B9" t="str">
            <v>Source: Company Data, Morgan Stanley Research</v>
          </cell>
        </row>
        <row r="16">
          <cell r="B16" t="str">
            <v>DROG3.SA</v>
          </cell>
          <cell r="C16" t="str">
            <v>11Q1</v>
          </cell>
        </row>
        <row r="17">
          <cell r="B17" t="str">
            <v>Net Revenue</v>
          </cell>
          <cell r="C17">
            <v>533.28600000000006</v>
          </cell>
          <cell r="D17">
            <v>-2.2530124548553854E-2</v>
          </cell>
        </row>
        <row r="18">
          <cell r="B18" t="str">
            <v>Ebitda</v>
          </cell>
          <cell r="C18">
            <v>24.766999999999999</v>
          </cell>
          <cell r="D18">
            <v>-0.10251544393749734</v>
          </cell>
        </row>
        <row r="19">
          <cell r="B19" t="str">
            <v>Net Income</v>
          </cell>
          <cell r="C19">
            <v>14.25</v>
          </cell>
          <cell r="D19">
            <v>-0.1868771929824562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hange analysis"/>
      <sheetName val="short IS"/>
      <sheetName val="2015 rev change"/>
      <sheetName val="Product Mix 100%"/>
      <sheetName val="cost savings"/>
      <sheetName val="Per Pharma Traditional &amp; Biolo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roduct Mix 100%"/>
      <sheetName val="Traditional &amp; Other"/>
      <sheetName val="Per Pharma Traditional &amp; Biolog"/>
      <sheetName val="MW-Cache"/>
      <sheetName val="__FDSCACHE__"/>
      <sheetName val="2010PE"/>
      <sheetName val="2010PE_Ex BMY"/>
      <sheetName val="2012PE"/>
      <sheetName val="2012PE_Ex BMY"/>
      <sheetName val="short IS"/>
      <sheetName val="cost savings"/>
      <sheetName val="2015 top 10"/>
      <sheetName val="2010 top 10"/>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PFE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932.42080930800876</v>
          </cell>
          <cell r="E12">
            <v>1421.1035914094464</v>
          </cell>
          <cell r="F12">
            <v>1765.8870921994021</v>
          </cell>
          <cell r="G12">
            <v>1055.7675672663318</v>
          </cell>
          <cell r="H12">
            <v>577.39612356401631</v>
          </cell>
          <cell r="BA12" t="str">
            <v>.</v>
          </cell>
        </row>
        <row r="13">
          <cell r="C13" t="str">
            <v>Pipeline products launching 2010–2015</v>
          </cell>
          <cell r="D13">
            <v>488.88851560750004</v>
          </cell>
          <cell r="E13">
            <v>1032.6222136879819</v>
          </cell>
          <cell r="F13">
            <v>1194.3879881319788</v>
          </cell>
          <cell r="G13">
            <v>1586.9809373847056</v>
          </cell>
          <cell r="H13">
            <v>1912.159684759381</v>
          </cell>
          <cell r="BA13" t="str">
            <v>.</v>
          </cell>
        </row>
        <row r="14">
          <cell r="C14" t="str">
            <v>Products expiring 2010–15</v>
          </cell>
          <cell r="D14">
            <v>-3093.4238533699972</v>
          </cell>
          <cell r="E14">
            <v>-9244.3086322740019</v>
          </cell>
          <cell r="F14">
            <v>-2500.25038596167</v>
          </cell>
          <cell r="G14">
            <v>-2111.4680686893898</v>
          </cell>
          <cell r="H14">
            <v>-2273.0544201852699</v>
          </cell>
          <cell r="BA14" t="str">
            <v>.</v>
          </cell>
        </row>
        <row r="15">
          <cell r="C15" t="str">
            <v>Net YOY change</v>
          </cell>
          <cell r="D15">
            <v>-1672.1145284544909</v>
          </cell>
          <cell r="E15">
            <v>-6790.582827176564</v>
          </cell>
          <cell r="F15">
            <v>460.02469436970568</v>
          </cell>
          <cell r="G15">
            <v>531.28043596164935</v>
          </cell>
          <cell r="H15">
            <v>216.50138813813101</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ow r="1">
          <cell r="Y1" t="str">
            <v>SmartCharts</v>
          </cell>
          <cell r="BH1" t="str">
            <v>.</v>
          </cell>
        </row>
        <row r="2">
          <cell r="BH2" t="str">
            <v>.</v>
          </cell>
        </row>
        <row r="3">
          <cell r="BH3" t="str">
            <v>.</v>
          </cell>
        </row>
        <row r="6">
          <cell r="C6" t="str">
            <v>Input starting data point here:</v>
          </cell>
        </row>
        <row r="7">
          <cell r="C7" t="str">
            <v>2010E</v>
          </cell>
          <cell r="D7">
            <v>67.2</v>
          </cell>
        </row>
        <row r="8">
          <cell r="M8" t="str">
            <v>inv series</v>
          </cell>
          <cell r="P8" t="str">
            <v>clean labels</v>
          </cell>
        </row>
        <row r="9">
          <cell r="M9" t="str">
            <v>for labels</v>
          </cell>
        </row>
        <row r="10">
          <cell r="C10" t="str">
            <v>Input increments here:</v>
          </cell>
          <cell r="G10">
            <v>3</v>
          </cell>
          <cell r="H10" t="str">
            <v>Invisible</v>
          </cell>
          <cell r="I10" t="str">
            <v>Final</v>
          </cell>
          <cell r="J10" t="str">
            <v>Minus</v>
          </cell>
          <cell r="K10" t="str">
            <v>Plus</v>
          </cell>
          <cell r="L10" t="str">
            <v>Initial</v>
          </cell>
          <cell r="M10" t="str">
            <v>inside1</v>
          </cell>
          <cell r="N10" t="str">
            <v>inside2</v>
          </cell>
          <cell r="O10" t="str">
            <v>outside</v>
          </cell>
          <cell r="P10" t="str">
            <v>labfinal</v>
          </cell>
          <cell r="Q10" t="str">
            <v>labminus</v>
          </cell>
          <cell r="R10" t="str">
            <v>labplus</v>
          </cell>
          <cell r="S10" t="str">
            <v>labinitial</v>
          </cell>
          <cell r="T10" t="str">
            <v>labinside1</v>
          </cell>
          <cell r="U10" t="str">
            <v>labinside2</v>
          </cell>
        </row>
        <row r="11">
          <cell r="H11">
            <v>0</v>
          </cell>
        </row>
        <row r="12">
          <cell r="L12">
            <v>67.2</v>
          </cell>
          <cell r="M12">
            <v>0</v>
          </cell>
          <cell r="N12">
            <v>0</v>
          </cell>
          <cell r="O12">
            <v>0</v>
          </cell>
          <cell r="P12">
            <v>0</v>
          </cell>
          <cell r="Q12">
            <v>0</v>
          </cell>
          <cell r="R12">
            <v>0</v>
          </cell>
          <cell r="S12">
            <v>67.2</v>
          </cell>
          <cell r="T12" t="str">
            <v>2010E</v>
          </cell>
        </row>
        <row r="13">
          <cell r="C13" t="str">
            <v>In-Line Products</v>
          </cell>
          <cell r="D13">
            <v>5.8</v>
          </cell>
          <cell r="G13">
            <v>1</v>
          </cell>
          <cell r="H13">
            <v>67.2</v>
          </cell>
          <cell r="I13">
            <v>0</v>
          </cell>
          <cell r="J13">
            <v>0</v>
          </cell>
          <cell r="K13">
            <v>5.8</v>
          </cell>
          <cell r="M13">
            <v>0</v>
          </cell>
          <cell r="N13">
            <v>0</v>
          </cell>
          <cell r="O13">
            <v>0</v>
          </cell>
          <cell r="P13">
            <v>0</v>
          </cell>
          <cell r="Q13">
            <v>0</v>
          </cell>
          <cell r="R13">
            <v>5.8</v>
          </cell>
          <cell r="S13">
            <v>0</v>
          </cell>
          <cell r="T13">
            <v>0</v>
          </cell>
          <cell r="U13" t="str">
            <v>In-Line Products</v>
          </cell>
        </row>
        <row r="14">
          <cell r="C14" t="str">
            <v>Pipeline</v>
          </cell>
          <cell r="D14">
            <v>6.2</v>
          </cell>
          <cell r="G14">
            <v>2</v>
          </cell>
          <cell r="H14">
            <v>73</v>
          </cell>
          <cell r="I14">
            <v>0</v>
          </cell>
          <cell r="J14">
            <v>0</v>
          </cell>
          <cell r="K14">
            <v>6.2</v>
          </cell>
          <cell r="M14">
            <v>0</v>
          </cell>
          <cell r="N14">
            <v>0</v>
          </cell>
          <cell r="O14">
            <v>0</v>
          </cell>
          <cell r="P14">
            <v>0</v>
          </cell>
          <cell r="Q14">
            <v>0</v>
          </cell>
          <cell r="R14">
            <v>6.2</v>
          </cell>
          <cell r="S14">
            <v>0</v>
          </cell>
          <cell r="T14">
            <v>0</v>
          </cell>
          <cell r="U14" t="str">
            <v>Pipeline</v>
          </cell>
        </row>
        <row r="15">
          <cell r="C15" t="str">
            <v>Expirations</v>
          </cell>
          <cell r="D15">
            <v>-19.2</v>
          </cell>
          <cell r="G15">
            <v>3</v>
          </cell>
          <cell r="H15">
            <v>60</v>
          </cell>
          <cell r="I15">
            <v>0</v>
          </cell>
          <cell r="J15">
            <v>19.2</v>
          </cell>
          <cell r="K15">
            <v>0</v>
          </cell>
          <cell r="M15">
            <v>0</v>
          </cell>
          <cell r="N15">
            <v>0</v>
          </cell>
          <cell r="O15">
            <v>0</v>
          </cell>
          <cell r="P15">
            <v>0</v>
          </cell>
          <cell r="Q15">
            <v>-19.2</v>
          </cell>
          <cell r="R15">
            <v>0</v>
          </cell>
          <cell r="S15">
            <v>0</v>
          </cell>
          <cell r="T15">
            <v>0</v>
          </cell>
          <cell r="U15" t="str">
            <v>Expirations</v>
          </cell>
        </row>
        <row r="16">
          <cell r="G16">
            <v>4</v>
          </cell>
          <cell r="H16">
            <v>0</v>
          </cell>
          <cell r="I16">
            <v>60</v>
          </cell>
          <cell r="J16">
            <v>0</v>
          </cell>
          <cell r="K16">
            <v>0</v>
          </cell>
          <cell r="M16">
            <v>0</v>
          </cell>
          <cell r="N16">
            <v>0</v>
          </cell>
          <cell r="O16">
            <v>0</v>
          </cell>
          <cell r="P16">
            <v>60</v>
          </cell>
          <cell r="Q16">
            <v>0</v>
          </cell>
          <cell r="R16">
            <v>0</v>
          </cell>
          <cell r="S16">
            <v>0</v>
          </cell>
          <cell r="T16" t="str">
            <v>2015E</v>
          </cell>
          <cell r="U16">
            <v>0</v>
          </cell>
        </row>
        <row r="17">
          <cell r="G17">
            <v>5</v>
          </cell>
          <cell r="H17">
            <v>0</v>
          </cell>
          <cell r="I17">
            <v>0</v>
          </cell>
          <cell r="J17">
            <v>0</v>
          </cell>
          <cell r="K17">
            <v>0</v>
          </cell>
          <cell r="M17">
            <v>0</v>
          </cell>
          <cell r="N17">
            <v>0</v>
          </cell>
          <cell r="O17">
            <v>0</v>
          </cell>
          <cell r="P17">
            <v>0</v>
          </cell>
          <cell r="Q17">
            <v>0</v>
          </cell>
          <cell r="R17">
            <v>0</v>
          </cell>
          <cell r="S17">
            <v>0</v>
          </cell>
          <cell r="T17">
            <v>0</v>
          </cell>
          <cell r="U17">
            <v>0</v>
          </cell>
        </row>
        <row r="18">
          <cell r="G18">
            <v>6</v>
          </cell>
          <cell r="H18">
            <v>0</v>
          </cell>
          <cell r="I18">
            <v>0</v>
          </cell>
          <cell r="J18">
            <v>0</v>
          </cell>
          <cell r="K18">
            <v>0</v>
          </cell>
          <cell r="M18">
            <v>0</v>
          </cell>
          <cell r="N18">
            <v>0</v>
          </cell>
          <cell r="O18">
            <v>0</v>
          </cell>
          <cell r="P18">
            <v>0</v>
          </cell>
          <cell r="Q18">
            <v>0</v>
          </cell>
          <cell r="R18">
            <v>0</v>
          </cell>
          <cell r="S18">
            <v>0</v>
          </cell>
          <cell r="T18">
            <v>0</v>
          </cell>
          <cell r="U18">
            <v>0</v>
          </cell>
        </row>
        <row r="19">
          <cell r="G19">
            <v>7</v>
          </cell>
          <cell r="H19">
            <v>0</v>
          </cell>
          <cell r="I19">
            <v>0</v>
          </cell>
          <cell r="J19">
            <v>0</v>
          </cell>
          <cell r="K19">
            <v>0</v>
          </cell>
          <cell r="M19">
            <v>0</v>
          </cell>
          <cell r="N19">
            <v>0</v>
          </cell>
          <cell r="O19">
            <v>0</v>
          </cell>
          <cell r="P19">
            <v>0</v>
          </cell>
          <cell r="Q19">
            <v>0</v>
          </cell>
          <cell r="R19">
            <v>0</v>
          </cell>
          <cell r="S19">
            <v>0</v>
          </cell>
          <cell r="T19">
            <v>0</v>
          </cell>
          <cell r="U19">
            <v>0</v>
          </cell>
        </row>
        <row r="20">
          <cell r="G20">
            <v>8</v>
          </cell>
          <cell r="H20">
            <v>0</v>
          </cell>
          <cell r="I20">
            <v>0</v>
          </cell>
          <cell r="J20">
            <v>0</v>
          </cell>
          <cell r="K20">
            <v>0</v>
          </cell>
          <cell r="M20">
            <v>0</v>
          </cell>
          <cell r="N20">
            <v>0</v>
          </cell>
          <cell r="O20">
            <v>0</v>
          </cell>
          <cell r="P20">
            <v>0</v>
          </cell>
          <cell r="Q20">
            <v>0</v>
          </cell>
          <cell r="R20">
            <v>0</v>
          </cell>
          <cell r="S20">
            <v>0</v>
          </cell>
          <cell r="T20">
            <v>0</v>
          </cell>
          <cell r="U20">
            <v>0</v>
          </cell>
        </row>
        <row r="21">
          <cell r="G21">
            <v>9</v>
          </cell>
          <cell r="H21">
            <v>0</v>
          </cell>
          <cell r="I21">
            <v>0</v>
          </cell>
          <cell r="J21">
            <v>0</v>
          </cell>
          <cell r="K21">
            <v>0</v>
          </cell>
          <cell r="M21">
            <v>0</v>
          </cell>
          <cell r="N21">
            <v>0</v>
          </cell>
          <cell r="O21">
            <v>0</v>
          </cell>
          <cell r="P21">
            <v>0</v>
          </cell>
          <cell r="Q21">
            <v>0</v>
          </cell>
          <cell r="R21">
            <v>0</v>
          </cell>
          <cell r="S21">
            <v>0</v>
          </cell>
          <cell r="T21">
            <v>0</v>
          </cell>
          <cell r="U21">
            <v>0</v>
          </cell>
        </row>
        <row r="22">
          <cell r="G22">
            <v>10</v>
          </cell>
          <cell r="H22">
            <v>0</v>
          </cell>
          <cell r="I22">
            <v>0</v>
          </cell>
          <cell r="J22">
            <v>0</v>
          </cell>
          <cell r="K22">
            <v>0</v>
          </cell>
          <cell r="M22">
            <v>0</v>
          </cell>
          <cell r="N22">
            <v>0</v>
          </cell>
          <cell r="O22">
            <v>0</v>
          </cell>
          <cell r="P22">
            <v>0</v>
          </cell>
          <cell r="Q22">
            <v>0</v>
          </cell>
          <cell r="R22">
            <v>0</v>
          </cell>
          <cell r="S22">
            <v>0</v>
          </cell>
          <cell r="T22">
            <v>0</v>
          </cell>
          <cell r="U22">
            <v>0</v>
          </cell>
        </row>
        <row r="23">
          <cell r="G23">
            <v>11</v>
          </cell>
          <cell r="H23">
            <v>0</v>
          </cell>
          <cell r="I23">
            <v>0</v>
          </cell>
          <cell r="M23">
            <v>0</v>
          </cell>
          <cell r="N23">
            <v>0</v>
          </cell>
          <cell r="O23">
            <v>0</v>
          </cell>
          <cell r="P23">
            <v>0</v>
          </cell>
          <cell r="Q23">
            <v>0</v>
          </cell>
          <cell r="R23">
            <v>0</v>
          </cell>
          <cell r="S23">
            <v>0</v>
          </cell>
          <cell r="T23">
            <v>0</v>
          </cell>
          <cell r="U23">
            <v>0</v>
          </cell>
        </row>
        <row r="24">
          <cell r="G24">
            <v>12</v>
          </cell>
          <cell r="H24">
            <v>0</v>
          </cell>
          <cell r="I24">
            <v>0</v>
          </cell>
          <cell r="M24">
            <v>0</v>
          </cell>
          <cell r="N24">
            <v>0</v>
          </cell>
          <cell r="O24">
            <v>0</v>
          </cell>
          <cell r="P24">
            <v>0</v>
          </cell>
          <cell r="Q24">
            <v>0</v>
          </cell>
          <cell r="R24">
            <v>0</v>
          </cell>
          <cell r="S24">
            <v>0</v>
          </cell>
          <cell r="T24">
            <v>0</v>
          </cell>
          <cell r="U24">
            <v>0</v>
          </cell>
        </row>
        <row r="25">
          <cell r="H25" t="str">
            <v>net chg</v>
          </cell>
          <cell r="I25">
            <v>-7.2</v>
          </cell>
        </row>
        <row r="27">
          <cell r="C27" t="str">
            <v>Input label for end point here:</v>
          </cell>
        </row>
        <row r="28">
          <cell r="C28" t="str">
            <v>2015E</v>
          </cell>
        </row>
        <row r="30">
          <cell r="C30" t="str">
            <v xml:space="preserve">End data value 
</v>
          </cell>
          <cell r="D30">
            <v>0</v>
          </cell>
        </row>
        <row r="31">
          <cell r="C31" t="str">
            <v>is calculated</v>
          </cell>
        </row>
        <row r="32">
          <cell r="C32" t="str">
            <v>automatically</v>
          </cell>
        </row>
        <row r="1002">
          <cell r="A1002" t="str">
            <v>.</v>
          </cell>
          <cell r="B1002" t="str">
            <v>.</v>
          </cell>
          <cell r="C1002" t="str">
            <v>.</v>
          </cell>
        </row>
      </sheetData>
      <sheetData sheetId="3">
        <row r="1">
          <cell r="S1" t="str">
            <v>SmartCharts</v>
          </cell>
          <cell r="BB1" t="str">
            <v>.</v>
          </cell>
        </row>
        <row r="2">
          <cell r="BB2" t="str">
            <v>.</v>
          </cell>
        </row>
        <row r="3">
          <cell r="BB3" t="str">
            <v>.</v>
          </cell>
        </row>
        <row r="4">
          <cell r="BB4" t="str">
            <v>.</v>
          </cell>
        </row>
        <row r="5">
          <cell r="C5" t="str">
            <v>Define value axis here:</v>
          </cell>
        </row>
        <row r="6">
          <cell r="C6" t="str">
            <v>PFE/WYE Revenue Contribution per Segment</v>
          </cell>
        </row>
        <row r="10">
          <cell r="C10" t="str">
            <v>Input your data here:</v>
          </cell>
          <cell r="BB10" t="str">
            <v>.</v>
          </cell>
        </row>
        <row r="11">
          <cell r="D11" t="str">
            <v>Other</v>
          </cell>
          <cell r="E11" t="str">
            <v>Nutritionals</v>
          </cell>
          <cell r="F11" t="str">
            <v>Animal</v>
          </cell>
          <cell r="G11" t="str">
            <v>CHC</v>
          </cell>
          <cell r="H11" t="str">
            <v>Biologic</v>
          </cell>
          <cell r="I11" t="str">
            <v>Traditional</v>
          </cell>
          <cell r="BB11" t="str">
            <v>.</v>
          </cell>
        </row>
        <row r="12">
          <cell r="C12">
            <v>2010</v>
          </cell>
          <cell r="D12">
            <v>7.3922836848778701E-3</v>
          </cell>
          <cell r="E12">
            <v>3.9694505637046879E-2</v>
          </cell>
          <cell r="F12">
            <v>4.9542591862029917E-2</v>
          </cell>
          <cell r="G12">
            <v>4.5134290951814274E-2</v>
          </cell>
          <cell r="H12">
            <v>0.15079210822131184</v>
          </cell>
          <cell r="I12">
            <v>0.70744421964291904</v>
          </cell>
          <cell r="BB12" t="str">
            <v>.</v>
          </cell>
        </row>
        <row r="13">
          <cell r="C13">
            <v>2011</v>
          </cell>
          <cell r="D13">
            <v>7.8621358780429015E-3</v>
          </cell>
          <cell r="E13">
            <v>4.3501848606407156E-2</v>
          </cell>
          <cell r="F13">
            <v>5.2892461739374758E-2</v>
          </cell>
          <cell r="G13">
            <v>4.7788394858716006E-2</v>
          </cell>
          <cell r="H13">
            <v>0.16335309234331286</v>
          </cell>
          <cell r="I13">
            <v>0.68460206657414613</v>
          </cell>
          <cell r="BB13" t="str">
            <v>.</v>
          </cell>
        </row>
        <row r="14">
          <cell r="C14">
            <v>2012</v>
          </cell>
          <cell r="D14">
            <v>9.0894156599119914E-3</v>
          </cell>
          <cell r="E14">
            <v>5.1809888445371488E-2</v>
          </cell>
          <cell r="F14">
            <v>6.1361732478238944E-2</v>
          </cell>
          <cell r="G14">
            <v>5.4948172167998723E-2</v>
          </cell>
          <cell r="H14">
            <v>0.2064642573378605</v>
          </cell>
          <cell r="I14">
            <v>0.61632653391061831</v>
          </cell>
          <cell r="BB14" t="str">
            <v>.</v>
          </cell>
        </row>
        <row r="15">
          <cell r="C15">
            <v>2013</v>
          </cell>
          <cell r="D15">
            <v>9.3639207719231066E-3</v>
          </cell>
          <cell r="E15">
            <v>5.4972084194039497E-2</v>
          </cell>
          <cell r="F15">
            <v>6.3414379086380118E-2</v>
          </cell>
          <cell r="G15">
            <v>5.6314339157607203E-2</v>
          </cell>
          <cell r="H15">
            <v>0.22546494243949647</v>
          </cell>
          <cell r="I15">
            <v>0.59047033435055385</v>
          </cell>
          <cell r="BB15" t="str">
            <v>.</v>
          </cell>
        </row>
        <row r="16">
          <cell r="C16">
            <v>2014</v>
          </cell>
          <cell r="D16">
            <v>9.6393304601885728E-3</v>
          </cell>
          <cell r="E16">
            <v>5.826952701183119E-2</v>
          </cell>
          <cell r="F16">
            <v>6.5465107357308594E-2</v>
          </cell>
          <cell r="G16">
            <v>5.766814515501012E-2</v>
          </cell>
          <cell r="H16">
            <v>0.23925277361350805</v>
          </cell>
          <cell r="I16">
            <v>0.56970511640215349</v>
          </cell>
          <cell r="BB16" t="str">
            <v>.</v>
          </cell>
        </row>
        <row r="17">
          <cell r="C17">
            <v>2015</v>
          </cell>
          <cell r="D17">
            <v>9.9799761432740278E-3</v>
          </cell>
          <cell r="E17">
            <v>6.2107028447675697E-2</v>
          </cell>
          <cell r="F17">
            <v>6.7950841022483971E-2</v>
          </cell>
          <cell r="G17">
            <v>5.9392717383289405E-2</v>
          </cell>
          <cell r="H17">
            <v>0.25421323458932704</v>
          </cell>
          <cell r="I17">
            <v>0.54635620241394955</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4"/>
      <sheetData sheetId="5">
        <row r="1">
          <cell r="S1" t="str">
            <v>SmartCharts</v>
          </cell>
          <cell r="BB1" t="str">
            <v>.</v>
          </cell>
        </row>
        <row r="2">
          <cell r="BB2" t="str">
            <v>.</v>
          </cell>
        </row>
        <row r="3">
          <cell r="BB3" t="str">
            <v>.</v>
          </cell>
        </row>
        <row r="4">
          <cell r="BB4" t="str">
            <v>.</v>
          </cell>
        </row>
        <row r="5">
          <cell r="C5" t="str">
            <v>Define value axis here:</v>
          </cell>
        </row>
        <row r="6">
          <cell r="C6" t="str">
            <v>Pharmaceutical Revenue Contribution</v>
          </cell>
        </row>
        <row r="10">
          <cell r="C10" t="str">
            <v>Input your data here:</v>
          </cell>
          <cell r="BB10" t="str">
            <v>.</v>
          </cell>
        </row>
        <row r="11">
          <cell r="D11" t="str">
            <v>Traditional</v>
          </cell>
          <cell r="E11" t="str">
            <v>Biologic</v>
          </cell>
          <cell r="BB11" t="str">
            <v>.</v>
          </cell>
        </row>
        <row r="12">
          <cell r="C12">
            <v>2010</v>
          </cell>
          <cell r="D12">
            <v>0.82430001699349376</v>
          </cell>
          <cell r="E12">
            <v>0.17569998300650647</v>
          </cell>
          <cell r="BB12" t="str">
            <v>.</v>
          </cell>
        </row>
        <row r="13">
          <cell r="C13">
            <v>2011</v>
          </cell>
          <cell r="D13">
            <v>0.80735644965960518</v>
          </cell>
          <cell r="E13">
            <v>0.19264355034039463</v>
          </cell>
          <cell r="BB13" t="str">
            <v>.</v>
          </cell>
        </row>
        <row r="14">
          <cell r="C14">
            <v>2012</v>
          </cell>
          <cell r="D14">
            <v>0.74906834211819795</v>
          </cell>
          <cell r="E14">
            <v>0.25093165788180211</v>
          </cell>
          <cell r="BB14" t="str">
            <v>.</v>
          </cell>
        </row>
        <row r="15">
          <cell r="C15">
            <v>2013</v>
          </cell>
          <cell r="D15">
            <v>0.72367300587064676</v>
          </cell>
          <cell r="E15">
            <v>0.27632699412935324</v>
          </cell>
          <cell r="BB15" t="str">
            <v>.</v>
          </cell>
        </row>
        <row r="16">
          <cell r="C16">
            <v>2014</v>
          </cell>
          <cell r="D16">
            <v>0.70424570108479179</v>
          </cell>
          <cell r="E16">
            <v>0.29575429891520816</v>
          </cell>
          <cell r="BB16" t="str">
            <v>.</v>
          </cell>
        </row>
        <row r="17">
          <cell r="C17">
            <v>2015</v>
          </cell>
          <cell r="D17">
            <v>0.68245948091534925</v>
          </cell>
          <cell r="E17">
            <v>0.3175405190846507</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6"/>
      <sheetData sheetId="7"/>
      <sheetData sheetId="8"/>
      <sheetData sheetId="9"/>
      <sheetData sheetId="10"/>
      <sheetData sheetId="11"/>
      <sheetData sheetId="12">
        <row r="2">
          <cell r="B2" t="str">
            <v>($M)</v>
          </cell>
          <cell r="C2" t="str">
            <v>2009E</v>
          </cell>
          <cell r="D2" t="str">
            <v>2010E</v>
          </cell>
          <cell r="E2" t="str">
            <v>2011E</v>
          </cell>
          <cell r="F2" t="str">
            <v>2012E</v>
          </cell>
          <cell r="G2" t="str">
            <v>2013E</v>
          </cell>
          <cell r="H2" t="str">
            <v>2014E</v>
          </cell>
          <cell r="I2" t="str">
            <v>2015E</v>
          </cell>
        </row>
        <row r="3">
          <cell r="B3" t="str">
            <v>Revenue</v>
          </cell>
          <cell r="C3">
            <v>46664.590000000004</v>
          </cell>
          <cell r="D3">
            <v>59490.450000000004</v>
          </cell>
          <cell r="E3">
            <v>57134.93</v>
          </cell>
          <cell r="F3">
            <v>58779.911381268947</v>
          </cell>
          <cell r="G3">
            <v>59239.936075638652</v>
          </cell>
          <cell r="H3">
            <v>59771.216511600302</v>
          </cell>
          <cell r="I3">
            <v>59987.717899738433</v>
          </cell>
        </row>
        <row r="4">
          <cell r="B4" t="str">
            <v>Op. Income</v>
          </cell>
          <cell r="C4">
            <v>7540</v>
          </cell>
          <cell r="D4">
            <v>10000</v>
          </cell>
          <cell r="E4">
            <v>9200</v>
          </cell>
          <cell r="F4">
            <v>23420.697731424829</v>
          </cell>
          <cell r="G4">
            <v>24062.427582023694</v>
          </cell>
          <cell r="H4">
            <v>24252.934339512249</v>
          </cell>
          <cell r="I4">
            <v>24182.870845785517</v>
          </cell>
        </row>
        <row r="5">
          <cell r="B5" t="str">
            <v>Op. Margin</v>
          </cell>
          <cell r="C5">
            <v>0.15271279077999245</v>
          </cell>
          <cell r="D5">
            <v>0.14871522964147593</v>
          </cell>
          <cell r="E5">
            <v>0.14030701020421829</v>
          </cell>
          <cell r="F5">
            <v>0.39844731271384948</v>
          </cell>
          <cell r="G5">
            <v>0.40618591403104048</v>
          </cell>
          <cell r="H5">
            <v>0.40576276935580319</v>
          </cell>
          <cell r="I5">
            <v>0.40313036888991177</v>
          </cell>
        </row>
        <row r="6">
          <cell r="B6" t="str">
            <v>EPS</v>
          </cell>
          <cell r="C6">
            <v>0</v>
          </cell>
          <cell r="D6">
            <v>0</v>
          </cell>
          <cell r="E6">
            <v>0</v>
          </cell>
          <cell r="F6">
            <v>2.1029587057701495</v>
          </cell>
          <cell r="G6">
            <v>2.2372166055191349</v>
          </cell>
          <cell r="H6">
            <v>2.3276533306404867</v>
          </cell>
          <cell r="I6">
            <v>2.3911545965022829</v>
          </cell>
        </row>
      </sheetData>
      <sheetData sheetId="13">
        <row r="1">
          <cell r="B1" t="str">
            <v>Historical Planned vs. Realized Cost Savings</v>
          </cell>
        </row>
        <row r="3">
          <cell r="B3" t="str">
            <v>($B)</v>
          </cell>
          <cell r="C3" t="str">
            <v>Warner-Lambert</v>
          </cell>
          <cell r="D3" t="str">
            <v>Pharmacia</v>
          </cell>
          <cell r="E3" t="str">
            <v>Adapting to Scale (AtS)</v>
          </cell>
          <cell r="F3" t="str">
            <v>2007/2008 Plan</v>
          </cell>
        </row>
        <row r="4">
          <cell r="B4" t="str">
            <v>Original Goal</v>
          </cell>
          <cell r="C4">
            <v>1.6</v>
          </cell>
          <cell r="D4">
            <v>3.8</v>
          </cell>
          <cell r="E4">
            <v>2</v>
          </cell>
          <cell r="F4" t="str">
            <v>1.5-2.0</v>
          </cell>
        </row>
        <row r="5">
          <cell r="B5" t="str">
            <v>Actual Savings</v>
          </cell>
          <cell r="C5">
            <v>1.8</v>
          </cell>
          <cell r="D5">
            <v>4.2</v>
          </cell>
          <cell r="E5">
            <v>2.6</v>
          </cell>
          <cell r="F5">
            <v>2.8</v>
          </cell>
        </row>
        <row r="6">
          <cell r="B6" t="str">
            <v>% Upside</v>
          </cell>
          <cell r="C6">
            <v>0.12499999999999997</v>
          </cell>
          <cell r="D6">
            <v>0.10526315789473695</v>
          </cell>
          <cell r="E6">
            <v>0.30000000000000004</v>
          </cell>
          <cell r="F6" t="str">
            <v>40%-87%</v>
          </cell>
        </row>
      </sheetData>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d 12-00 (2)"/>
      <sheetName val="Good 11-36"/>
      <sheetName val="Good 11-50"/>
      <sheetName val="Sheet3 (5)"/>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d 2-32"/>
      <sheetName val="Good 12-00 (3)"/>
      <sheetName val="Good 12-43"/>
      <sheetName val="Good 12-07"/>
      <sheetName val="Good 12-00 (2)"/>
      <sheetName val="Good 12-00"/>
      <sheetName val="Good 11-50"/>
      <sheetName val="Good 11-40"/>
      <sheetName val="Good 11-36"/>
      <sheetName val="Good 11-18"/>
      <sheetName val="Good 10-48 pm (2)"/>
      <sheetName val="Samples"/>
      <sheetName val="Good 10-48 pm"/>
      <sheetName val="Good 11-04 pm"/>
      <sheetName val="Sheet3 (6)"/>
      <sheetName val="Sheet3 (5)"/>
      <sheetName val="Sheet3 (3)"/>
      <sheetName val="Sheet3 (2)"/>
      <sheetName val="Sheet1"/>
      <sheetName val="Sheet2"/>
      <sheetName val="Sheet3"/>
      <sheetName val="Sheet3 (4)"/>
      <sheetName val="Good 12-22_tbnt"/>
      <sheetName val="DCF Model"/>
      <sheetName val="SoP Model"/>
      <sheetName val="LBO Summary"/>
      <sheetName val="Sheet4"/>
      <sheetName val="ForeignStake"/>
      <sheetName val="PE_1yr_Forward"/>
      <sheetName val="Summary"/>
      <sheetName val="Quarterly"/>
      <sheetName val="Cust-Supplier"/>
      <sheetName val="Pork Poultry Egg"/>
      <sheetName val="Tourists"/>
      <sheetName val="CHINA CPI"/>
      <sheetName val="Fish"/>
      <sheetName val="Risk-Reward_View_Chart"/>
      <sheetName val="c1"/>
      <sheetName val="NOPAT"/>
      <sheetName val="ROE"/>
    </sheetNames>
    <sheetDataSet>
      <sheetData sheetId="0" refreshError="1"/>
      <sheetData sheetId="1" refreshError="1"/>
      <sheetData sheetId="2" refreshError="1"/>
      <sheetData sheetId="3" refreshError="1"/>
      <sheetData sheetId="4" refreshError="1">
        <row r="3">
          <cell r="A3" t="str">
            <v>Base</v>
          </cell>
          <cell r="B3">
            <v>40</v>
          </cell>
        </row>
        <row r="4">
          <cell r="A4" t="str">
            <v>Price Target</v>
          </cell>
          <cell r="B4">
            <v>40</v>
          </cell>
          <cell r="S4" t="str">
            <v>Bear</v>
          </cell>
          <cell r="U4" t="str">
            <v>Base</v>
          </cell>
          <cell r="X4" t="str">
            <v>Bull</v>
          </cell>
        </row>
        <row r="5">
          <cell r="R5">
            <v>-30</v>
          </cell>
          <cell r="S5">
            <v>-30</v>
          </cell>
          <cell r="U5">
            <v>40</v>
          </cell>
          <cell r="X5">
            <v>17</v>
          </cell>
          <cell r="Z5">
            <v>17</v>
          </cell>
        </row>
        <row r="6">
          <cell r="C6" t="str">
            <v>Bear</v>
          </cell>
          <cell r="S6" t="str">
            <v>-space2</v>
          </cell>
          <cell r="T6" t="str">
            <v>-bear</v>
          </cell>
          <cell r="U6" t="str">
            <v>-space1</v>
          </cell>
          <cell r="V6" t="str">
            <v>+space1</v>
          </cell>
          <cell r="W6" t="str">
            <v>+bull</v>
          </cell>
          <cell r="X6" t="str">
            <v>+space2</v>
          </cell>
        </row>
        <row r="7">
          <cell r="A7" t="str">
            <v>Binary driver one</v>
          </cell>
          <cell r="C7">
            <v>-5</v>
          </cell>
          <cell r="S7">
            <v>-23</v>
          </cell>
          <cell r="T7">
            <v>-7</v>
          </cell>
          <cell r="U7">
            <v>0</v>
          </cell>
          <cell r="V7">
            <v>0</v>
          </cell>
          <cell r="W7">
            <v>3</v>
          </cell>
          <cell r="X7">
            <v>14</v>
          </cell>
          <cell r="Y7">
            <v>17</v>
          </cell>
        </row>
        <row r="8">
          <cell r="A8" t="str">
            <v>Binary driver two</v>
          </cell>
          <cell r="C8">
            <v>-5</v>
          </cell>
          <cell r="S8">
            <v>-18</v>
          </cell>
          <cell r="T8">
            <v>-5</v>
          </cell>
          <cell r="U8">
            <v>-7</v>
          </cell>
          <cell r="V8">
            <v>3</v>
          </cell>
          <cell r="W8">
            <v>2</v>
          </cell>
          <cell r="X8">
            <v>12</v>
          </cell>
          <cell r="Y8">
            <v>17</v>
          </cell>
        </row>
        <row r="9">
          <cell r="A9" t="str">
            <v>Binary driver three</v>
          </cell>
          <cell r="C9">
            <v>-6</v>
          </cell>
          <cell r="S9">
            <v>-12</v>
          </cell>
          <cell r="T9">
            <v>-6</v>
          </cell>
          <cell r="U9">
            <v>-12</v>
          </cell>
          <cell r="V9">
            <v>5</v>
          </cell>
          <cell r="W9">
            <v>3</v>
          </cell>
          <cell r="X9">
            <v>9</v>
          </cell>
          <cell r="Y9">
            <v>17</v>
          </cell>
        </row>
        <row r="10">
          <cell r="A10" t="str">
            <v>Bull only driver one</v>
          </cell>
          <cell r="C10">
            <v>0</v>
          </cell>
          <cell r="S10">
            <v>-12</v>
          </cell>
          <cell r="U10">
            <v>-18</v>
          </cell>
          <cell r="V10">
            <v>8</v>
          </cell>
          <cell r="W10">
            <v>4</v>
          </cell>
          <cell r="X10">
            <v>5</v>
          </cell>
          <cell r="Y10">
            <v>17</v>
          </cell>
        </row>
        <row r="11">
          <cell r="A11" t="str">
            <v>Bull only driver two</v>
          </cell>
          <cell r="C11">
            <v>0</v>
          </cell>
          <cell r="S11">
            <v>-12</v>
          </cell>
          <cell r="U11">
            <v>-18</v>
          </cell>
          <cell r="V11">
            <v>12</v>
          </cell>
          <cell r="W11">
            <v>5</v>
          </cell>
          <cell r="X11">
            <v>0</v>
          </cell>
          <cell r="Y11">
            <v>17</v>
          </cell>
        </row>
        <row r="12">
          <cell r="A12" t="str">
            <v>Bear only driver one</v>
          </cell>
          <cell r="C12">
            <v>-4</v>
          </cell>
          <cell r="S12">
            <v>-8</v>
          </cell>
          <cell r="T12">
            <v>-4</v>
          </cell>
          <cell r="U12">
            <v>-18</v>
          </cell>
          <cell r="V12">
            <v>17</v>
          </cell>
          <cell r="X12">
            <v>0</v>
          </cell>
          <cell r="Y12">
            <v>17</v>
          </cell>
        </row>
        <row r="13">
          <cell r="A13" t="str">
            <v>Bear only driver two</v>
          </cell>
          <cell r="C13">
            <v>-3</v>
          </cell>
          <cell r="S13">
            <v>-5</v>
          </cell>
          <cell r="T13">
            <v>-3</v>
          </cell>
          <cell r="U13">
            <v>-22</v>
          </cell>
          <cell r="V13">
            <v>17</v>
          </cell>
          <cell r="X13">
            <v>0</v>
          </cell>
          <cell r="Y13">
            <v>17</v>
          </cell>
        </row>
        <row r="14">
          <cell r="A14" t="str">
            <v>Bear only driver three</v>
          </cell>
          <cell r="C14">
            <v>-5</v>
          </cell>
          <cell r="S14">
            <v>0</v>
          </cell>
          <cell r="T14">
            <v>-5</v>
          </cell>
          <cell r="U14">
            <v>-25</v>
          </cell>
          <cell r="V14">
            <v>17</v>
          </cell>
          <cell r="X14">
            <v>0</v>
          </cell>
          <cell r="Y14">
            <v>17</v>
          </cell>
        </row>
        <row r="15">
          <cell r="C15">
            <v>0</v>
          </cell>
        </row>
        <row r="16">
          <cell r="S16" t="str">
            <v>-space1</v>
          </cell>
          <cell r="T16" t="str">
            <v>-bear</v>
          </cell>
          <cell r="U16" t="str">
            <v>-space2</v>
          </cell>
          <cell r="V16" t="str">
            <v>+space1</v>
          </cell>
          <cell r="W16" t="str">
            <v>+bull</v>
          </cell>
          <cell r="X16" t="str">
            <v>+space2</v>
          </cell>
          <cell r="Y16" t="str">
            <v>Bear 
10.00</v>
          </cell>
          <cell r="Z16" t="str">
            <v>Base 
40.00</v>
          </cell>
          <cell r="AA16" t="str">
            <v>Bull
57.00</v>
          </cell>
          <cell r="AB16">
            <v>0</v>
          </cell>
        </row>
        <row r="18">
          <cell r="R18" t="str">
            <v>Binary driver one</v>
          </cell>
          <cell r="S18">
            <v>0</v>
          </cell>
          <cell r="T18">
            <v>-5</v>
          </cell>
          <cell r="U18">
            <v>-23</v>
          </cell>
          <cell r="V18">
            <v>0</v>
          </cell>
          <cell r="W18">
            <v>3</v>
          </cell>
          <cell r="X18">
            <v>14</v>
          </cell>
          <cell r="Y18">
            <v>-30</v>
          </cell>
          <cell r="Z18">
            <v>0</v>
          </cell>
          <cell r="AA18">
            <v>17</v>
          </cell>
          <cell r="AB18">
            <v>0</v>
          </cell>
        </row>
        <row r="19">
          <cell r="R19" t="str">
            <v>Binary driver two</v>
          </cell>
          <cell r="S19">
            <v>-7</v>
          </cell>
          <cell r="T19">
            <v>-5</v>
          </cell>
          <cell r="U19">
            <v>-18</v>
          </cell>
          <cell r="V19">
            <v>3</v>
          </cell>
          <cell r="W19">
            <v>2</v>
          </cell>
          <cell r="X19">
            <v>12</v>
          </cell>
          <cell r="Y19">
            <v>-30</v>
          </cell>
          <cell r="Z19">
            <v>0</v>
          </cell>
          <cell r="AA19">
            <v>17</v>
          </cell>
          <cell r="AB19">
            <v>0</v>
          </cell>
        </row>
        <row r="20">
          <cell r="R20" t="str">
            <v>Binary driver three</v>
          </cell>
          <cell r="S20">
            <v>-12</v>
          </cell>
          <cell r="T20">
            <v>-6</v>
          </cell>
          <cell r="U20">
            <v>-12</v>
          </cell>
          <cell r="V20">
            <v>5</v>
          </cell>
          <cell r="W20">
            <v>3</v>
          </cell>
          <cell r="X20">
            <v>9</v>
          </cell>
          <cell r="Y20">
            <v>-30</v>
          </cell>
          <cell r="Z20">
            <v>0</v>
          </cell>
          <cell r="AA20">
            <v>17</v>
          </cell>
          <cell r="AB20">
            <v>0</v>
          </cell>
        </row>
        <row r="21">
          <cell r="R21" t="str">
            <v>Bull only driver one</v>
          </cell>
          <cell r="S21">
            <v>-18</v>
          </cell>
          <cell r="T21">
            <v>0</v>
          </cell>
          <cell r="U21">
            <v>-12</v>
          </cell>
          <cell r="V21">
            <v>8</v>
          </cell>
          <cell r="W21">
            <v>4</v>
          </cell>
          <cell r="X21">
            <v>5</v>
          </cell>
          <cell r="Y21">
            <v>-30</v>
          </cell>
          <cell r="Z21">
            <v>0</v>
          </cell>
          <cell r="AA21">
            <v>17</v>
          </cell>
          <cell r="AB21">
            <v>0</v>
          </cell>
        </row>
        <row r="22">
          <cell r="R22" t="str">
            <v>Bull only driver two</v>
          </cell>
          <cell r="S22">
            <v>-18</v>
          </cell>
          <cell r="T22">
            <v>0</v>
          </cell>
          <cell r="U22">
            <v>-12</v>
          </cell>
          <cell r="V22">
            <v>12</v>
          </cell>
          <cell r="W22">
            <v>5</v>
          </cell>
          <cell r="X22">
            <v>0</v>
          </cell>
          <cell r="Y22">
            <v>-30</v>
          </cell>
          <cell r="Z22">
            <v>0</v>
          </cell>
          <cell r="AA22">
            <v>17</v>
          </cell>
          <cell r="AB22">
            <v>0</v>
          </cell>
        </row>
        <row r="23">
          <cell r="R23" t="str">
            <v>Bear only driver one</v>
          </cell>
          <cell r="S23">
            <v>-18</v>
          </cell>
          <cell r="T23">
            <v>-4</v>
          </cell>
          <cell r="U23">
            <v>-8</v>
          </cell>
          <cell r="V23">
            <v>17</v>
          </cell>
          <cell r="W23">
            <v>0</v>
          </cell>
          <cell r="X23">
            <v>0</v>
          </cell>
          <cell r="Y23">
            <v>-30</v>
          </cell>
          <cell r="Z23">
            <v>0</v>
          </cell>
          <cell r="AA23">
            <v>17</v>
          </cell>
          <cell r="AB23">
            <v>0</v>
          </cell>
        </row>
        <row r="24">
          <cell r="R24" t="str">
            <v>Bear only driver two</v>
          </cell>
          <cell r="S24">
            <v>-22</v>
          </cell>
          <cell r="T24">
            <v>-3</v>
          </cell>
          <cell r="U24">
            <v>-5</v>
          </cell>
          <cell r="V24">
            <v>17</v>
          </cell>
          <cell r="W24">
            <v>0</v>
          </cell>
          <cell r="X24">
            <v>0</v>
          </cell>
          <cell r="Y24">
            <v>-30</v>
          </cell>
          <cell r="Z24">
            <v>0</v>
          </cell>
          <cell r="AA24">
            <v>17</v>
          </cell>
          <cell r="AB24">
            <v>0</v>
          </cell>
        </row>
        <row r="25">
          <cell r="R25" t="str">
            <v>Bear only driver three</v>
          </cell>
          <cell r="S25">
            <v>-25</v>
          </cell>
          <cell r="T25">
            <v>-5</v>
          </cell>
          <cell r="U25">
            <v>0</v>
          </cell>
          <cell r="V25">
            <v>17</v>
          </cell>
          <cell r="W25">
            <v>0</v>
          </cell>
          <cell r="X25">
            <v>0</v>
          </cell>
          <cell r="Y25">
            <v>-30</v>
          </cell>
          <cell r="Z25">
            <v>0</v>
          </cell>
          <cell r="AA25">
            <v>17</v>
          </cell>
          <cell r="AB25">
            <v>0</v>
          </cell>
        </row>
        <row r="26">
          <cell r="Y26">
            <v>-30</v>
          </cell>
          <cell r="Z26">
            <v>0</v>
          </cell>
          <cell r="AA26">
            <v>17</v>
          </cell>
          <cell r="AB26">
            <v>0</v>
          </cell>
        </row>
        <row r="27">
          <cell r="Y27">
            <v>-30</v>
          </cell>
          <cell r="Z27">
            <v>0</v>
          </cell>
          <cell r="AA27">
            <v>17</v>
          </cell>
          <cell r="AB27">
            <v>0</v>
          </cell>
        </row>
        <row r="29">
          <cell r="AA29" t="str">
            <v>Note: Price Target = Base Case unless otherwise indicated.</v>
          </cell>
        </row>
        <row r="31">
          <cell r="R31" t="str">
            <v>Bear</v>
          </cell>
          <cell r="S31">
            <v>10</v>
          </cell>
        </row>
        <row r="32">
          <cell r="S32">
            <v>20</v>
          </cell>
        </row>
        <row r="33">
          <cell r="R33" t="str">
            <v>Bull</v>
          </cell>
          <cell r="S33">
            <v>57</v>
          </cell>
        </row>
      </sheetData>
      <sheetData sheetId="5" refreshError="1"/>
      <sheetData sheetId="6"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Binary driver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Binary driver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7" refreshError="1"/>
      <sheetData sheetId="8"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Driver number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Driver number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9" refreshError="1"/>
      <sheetData sheetId="10" refreshError="1"/>
      <sheetData sheetId="11" refreshError="1"/>
      <sheetData sheetId="12" refreshError="1"/>
      <sheetData sheetId="13" refreshError="1"/>
      <sheetData sheetId="14" refreshError="1"/>
      <sheetData sheetId="15" refreshError="1">
        <row r="4">
          <cell r="C4" t="str">
            <v>Bear</v>
          </cell>
          <cell r="E4" t="str">
            <v>Base</v>
          </cell>
          <cell r="H4" t="str">
            <v>Bull</v>
          </cell>
        </row>
        <row r="5">
          <cell r="B5">
            <v>-36</v>
          </cell>
          <cell r="C5">
            <v>-36</v>
          </cell>
          <cell r="E5">
            <v>40</v>
          </cell>
          <cell r="H5">
            <v>18</v>
          </cell>
          <cell r="J5">
            <v>18</v>
          </cell>
        </row>
        <row r="6">
          <cell r="A6" t="str">
            <v>check</v>
          </cell>
          <cell r="C6" t="str">
            <v>-space2</v>
          </cell>
          <cell r="D6" t="str">
            <v>-bear</v>
          </cell>
          <cell r="E6" t="str">
            <v>-space1</v>
          </cell>
          <cell r="F6" t="str">
            <v>+space1</v>
          </cell>
          <cell r="G6" t="str">
            <v>+bull</v>
          </cell>
          <cell r="H6" t="str">
            <v>+space2</v>
          </cell>
        </row>
        <row r="7">
          <cell r="A7">
            <v>-36</v>
          </cell>
          <cell r="B7" t="str">
            <v>This is long label number one</v>
          </cell>
          <cell r="C7">
            <v>-32</v>
          </cell>
          <cell r="D7">
            <v>-4</v>
          </cell>
          <cell r="E7">
            <v>0</v>
          </cell>
          <cell r="F7">
            <v>0</v>
          </cell>
          <cell r="G7">
            <v>4</v>
          </cell>
          <cell r="H7">
            <v>14</v>
          </cell>
          <cell r="I7">
            <v>18</v>
          </cell>
        </row>
        <row r="8">
          <cell r="A8">
            <v>-36</v>
          </cell>
          <cell r="B8" t="str">
            <v>This is long label number two</v>
          </cell>
          <cell r="C8">
            <v>-27</v>
          </cell>
          <cell r="D8">
            <v>-5</v>
          </cell>
          <cell r="E8">
            <v>-4</v>
          </cell>
          <cell r="F8">
            <v>4</v>
          </cell>
          <cell r="G8">
            <v>2</v>
          </cell>
          <cell r="H8">
            <v>12</v>
          </cell>
          <cell r="I8">
            <v>18</v>
          </cell>
        </row>
        <row r="9">
          <cell r="A9">
            <v>-36</v>
          </cell>
          <cell r="B9" t="str">
            <v>This is long label number three</v>
          </cell>
          <cell r="C9">
            <v>-21</v>
          </cell>
          <cell r="D9">
            <v>-6</v>
          </cell>
          <cell r="E9">
            <v>-9</v>
          </cell>
          <cell r="F9">
            <v>6</v>
          </cell>
          <cell r="G9">
            <v>3</v>
          </cell>
          <cell r="H9">
            <v>9</v>
          </cell>
          <cell r="I9">
            <v>18</v>
          </cell>
        </row>
        <row r="10">
          <cell r="A10">
            <v>-36</v>
          </cell>
          <cell r="B10" t="str">
            <v>This is long label number four</v>
          </cell>
          <cell r="C10">
            <v>-17</v>
          </cell>
          <cell r="D10">
            <v>-4</v>
          </cell>
          <cell r="E10">
            <v>-15</v>
          </cell>
          <cell r="F10">
            <v>9</v>
          </cell>
          <cell r="G10">
            <v>4</v>
          </cell>
          <cell r="H10">
            <v>5</v>
          </cell>
          <cell r="I10">
            <v>18</v>
          </cell>
        </row>
        <row r="11">
          <cell r="A11">
            <v>-36</v>
          </cell>
          <cell r="B11" t="str">
            <v>This is long label number five</v>
          </cell>
          <cell r="C11">
            <v>-12</v>
          </cell>
          <cell r="D11">
            <v>-5</v>
          </cell>
          <cell r="E11">
            <v>-19</v>
          </cell>
          <cell r="F11">
            <v>13</v>
          </cell>
          <cell r="G11">
            <v>5</v>
          </cell>
          <cell r="H11">
            <v>0</v>
          </cell>
          <cell r="I11">
            <v>18</v>
          </cell>
        </row>
        <row r="12">
          <cell r="A12">
            <v>-36</v>
          </cell>
          <cell r="B12" t="str">
            <v>This is long label number six</v>
          </cell>
          <cell r="C12">
            <v>-8</v>
          </cell>
          <cell r="D12">
            <v>-4</v>
          </cell>
          <cell r="E12">
            <v>-24</v>
          </cell>
          <cell r="F12">
            <v>18</v>
          </cell>
          <cell r="H12">
            <v>0</v>
          </cell>
          <cell r="I12">
            <v>18</v>
          </cell>
        </row>
        <row r="13">
          <cell r="A13">
            <v>-36</v>
          </cell>
          <cell r="B13" t="str">
            <v>This is long label number seven</v>
          </cell>
          <cell r="C13">
            <v>-5</v>
          </cell>
          <cell r="D13">
            <v>-3</v>
          </cell>
          <cell r="E13">
            <v>-28</v>
          </cell>
          <cell r="F13">
            <v>18</v>
          </cell>
          <cell r="H13">
            <v>0</v>
          </cell>
          <cell r="I13">
            <v>18</v>
          </cell>
        </row>
        <row r="14">
          <cell r="A14">
            <v>-36</v>
          </cell>
          <cell r="B14" t="str">
            <v>This is long label number eight</v>
          </cell>
          <cell r="C14">
            <v>0</v>
          </cell>
          <cell r="D14">
            <v>-5</v>
          </cell>
          <cell r="E14">
            <v>-31</v>
          </cell>
          <cell r="F14">
            <v>18</v>
          </cell>
          <cell r="H14">
            <v>0</v>
          </cell>
          <cell r="I14">
            <v>18</v>
          </cell>
        </row>
        <row r="16">
          <cell r="C16" t="str">
            <v>-space1</v>
          </cell>
          <cell r="D16" t="str">
            <v>-bear</v>
          </cell>
          <cell r="E16" t="str">
            <v>-space2</v>
          </cell>
          <cell r="F16" t="str">
            <v>+space1</v>
          </cell>
          <cell r="G16" t="str">
            <v>+bull</v>
          </cell>
          <cell r="H16" t="str">
            <v>+space2</v>
          </cell>
          <cell r="I16" t="str">
            <v>Bear  4.00</v>
          </cell>
          <cell r="J16" t="str">
            <v>Base  40.00</v>
          </cell>
          <cell r="K16" t="str">
            <v>Bull: 58.00</v>
          </cell>
          <cell r="L16" t="str">
            <v>PT:
42.00</v>
          </cell>
        </row>
        <row r="18">
          <cell r="B18" t="str">
            <v>Driver number one</v>
          </cell>
          <cell r="C18">
            <v>0</v>
          </cell>
          <cell r="D18">
            <v>-4</v>
          </cell>
          <cell r="E18">
            <v>-32</v>
          </cell>
          <cell r="F18">
            <v>0</v>
          </cell>
          <cell r="G18">
            <v>4</v>
          </cell>
          <cell r="H18">
            <v>14</v>
          </cell>
          <cell r="I18">
            <v>-36</v>
          </cell>
          <cell r="J18">
            <v>0</v>
          </cell>
          <cell r="K18">
            <v>18</v>
          </cell>
          <cell r="L18">
            <v>2</v>
          </cell>
        </row>
        <row r="19">
          <cell r="B19" t="str">
            <v>Driver number two</v>
          </cell>
          <cell r="C19">
            <v>-4</v>
          </cell>
          <cell r="D19">
            <v>-5</v>
          </cell>
          <cell r="E19">
            <v>-27</v>
          </cell>
          <cell r="F19">
            <v>4</v>
          </cell>
          <cell r="G19">
            <v>2</v>
          </cell>
          <cell r="H19">
            <v>12</v>
          </cell>
          <cell r="I19">
            <v>-36</v>
          </cell>
          <cell r="J19">
            <v>0</v>
          </cell>
          <cell r="K19">
            <v>18</v>
          </cell>
          <cell r="L19">
            <v>2</v>
          </cell>
        </row>
        <row r="20">
          <cell r="B20" t="str">
            <v>Driver number three</v>
          </cell>
          <cell r="C20">
            <v>-9</v>
          </cell>
          <cell r="D20">
            <v>-6</v>
          </cell>
          <cell r="E20">
            <v>-21</v>
          </cell>
          <cell r="F20">
            <v>6</v>
          </cell>
          <cell r="G20">
            <v>3</v>
          </cell>
          <cell r="H20">
            <v>9</v>
          </cell>
          <cell r="I20">
            <v>-36</v>
          </cell>
          <cell r="J20">
            <v>0</v>
          </cell>
          <cell r="K20">
            <v>18</v>
          </cell>
          <cell r="L20">
            <v>2</v>
          </cell>
        </row>
        <row r="21">
          <cell r="B21" t="str">
            <v>Driver number four</v>
          </cell>
          <cell r="C21">
            <v>-15</v>
          </cell>
          <cell r="D21">
            <v>-4</v>
          </cell>
          <cell r="E21">
            <v>-17</v>
          </cell>
          <cell r="F21">
            <v>9</v>
          </cell>
          <cell r="G21">
            <v>4</v>
          </cell>
          <cell r="H21">
            <v>5</v>
          </cell>
          <cell r="I21">
            <v>-36</v>
          </cell>
          <cell r="J21">
            <v>0</v>
          </cell>
          <cell r="K21">
            <v>18</v>
          </cell>
          <cell r="L21">
            <v>2</v>
          </cell>
        </row>
        <row r="22">
          <cell r="B22" t="str">
            <v>Driver number five</v>
          </cell>
          <cell r="C22">
            <v>-19</v>
          </cell>
          <cell r="D22">
            <v>-5</v>
          </cell>
          <cell r="E22">
            <v>-12</v>
          </cell>
          <cell r="F22">
            <v>13</v>
          </cell>
          <cell r="G22">
            <v>5</v>
          </cell>
          <cell r="H22">
            <v>0</v>
          </cell>
          <cell r="I22">
            <v>-36</v>
          </cell>
          <cell r="J22">
            <v>0</v>
          </cell>
          <cell r="K22">
            <v>18</v>
          </cell>
          <cell r="L22">
            <v>2</v>
          </cell>
        </row>
        <row r="23">
          <cell r="B23" t="str">
            <v>Driver number six</v>
          </cell>
          <cell r="C23">
            <v>-24</v>
          </cell>
          <cell r="D23">
            <v>-4</v>
          </cell>
          <cell r="E23">
            <v>-8</v>
          </cell>
          <cell r="F23">
            <v>18</v>
          </cell>
          <cell r="G23">
            <v>0</v>
          </cell>
          <cell r="H23">
            <v>0</v>
          </cell>
          <cell r="I23">
            <v>-36</v>
          </cell>
          <cell r="J23">
            <v>0</v>
          </cell>
          <cell r="K23">
            <v>18</v>
          </cell>
          <cell r="L23">
            <v>2</v>
          </cell>
        </row>
        <row r="24">
          <cell r="B24" t="str">
            <v>Driver number seven</v>
          </cell>
          <cell r="C24">
            <v>-28</v>
          </cell>
          <cell r="D24">
            <v>-3</v>
          </cell>
          <cell r="E24">
            <v>-5</v>
          </cell>
          <cell r="F24">
            <v>18</v>
          </cell>
          <cell r="G24">
            <v>0</v>
          </cell>
          <cell r="H24">
            <v>0</v>
          </cell>
          <cell r="I24">
            <v>-36</v>
          </cell>
          <cell r="J24">
            <v>0</v>
          </cell>
          <cell r="K24">
            <v>18</v>
          </cell>
          <cell r="L24">
            <v>2</v>
          </cell>
        </row>
        <row r="25">
          <cell r="B25" t="str">
            <v>Driver number eight</v>
          </cell>
          <cell r="C25">
            <v>-31</v>
          </cell>
          <cell r="D25">
            <v>-5</v>
          </cell>
          <cell r="E25">
            <v>0</v>
          </cell>
          <cell r="F25">
            <v>18</v>
          </cell>
          <cell r="G25">
            <v>0</v>
          </cell>
          <cell r="H25">
            <v>0</v>
          </cell>
          <cell r="I25">
            <v>-36</v>
          </cell>
          <cell r="J25">
            <v>0</v>
          </cell>
          <cell r="K25">
            <v>18</v>
          </cell>
          <cell r="L25">
            <v>2</v>
          </cell>
        </row>
        <row r="26">
          <cell r="I26">
            <v>-36</v>
          </cell>
          <cell r="J26">
            <v>0</v>
          </cell>
          <cell r="K26">
            <v>18</v>
          </cell>
          <cell r="L26">
            <v>2</v>
          </cell>
        </row>
        <row r="27">
          <cell r="I27">
            <v>-36</v>
          </cell>
          <cell r="J27">
            <v>0</v>
          </cell>
          <cell r="K27">
            <v>18</v>
          </cell>
          <cell r="L27">
            <v>2</v>
          </cell>
        </row>
        <row r="28">
          <cell r="B28" t="str">
            <v>Bear</v>
          </cell>
          <cell r="C28">
            <v>4</v>
          </cell>
        </row>
        <row r="29">
          <cell r="B29" t="str">
            <v>Base</v>
          </cell>
          <cell r="C29">
            <v>40</v>
          </cell>
        </row>
        <row r="30">
          <cell r="B30" t="str">
            <v>Bull</v>
          </cell>
          <cell r="C30">
            <v>58</v>
          </cell>
        </row>
        <row r="31">
          <cell r="B31" t="str">
            <v>Price Target</v>
          </cell>
          <cell r="C31">
            <v>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s Global"/>
      <sheetName val="Peers"/>
      <sheetName val="Performance"/>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Vs Global"/>
      <sheetName val="PE FY1"/>
      <sheetName val="MW-Cache"/>
      <sheetName val="EVEBITDA FY1"/>
      <sheetName val="Sheet3"/>
      <sheetName val="Peers"/>
      <sheetName val="Risk Reward"/>
    </sheetNames>
    <sheetDataSet>
      <sheetData sheetId="0" refreshError="1"/>
      <sheetData sheetId="1">
        <row r="1">
          <cell r="B1" t="str">
            <v>DASA3-BR</v>
          </cell>
          <cell r="C1" t="str">
            <v>FLRY3-BR</v>
          </cell>
          <cell r="D1" t="str">
            <v>IBOVESPA-BSP</v>
          </cell>
          <cell r="F1" t="str">
            <v>DASA</v>
          </cell>
          <cell r="G1" t="str">
            <v>FLRY</v>
          </cell>
          <cell r="H1" t="str">
            <v>IBOVESPA</v>
          </cell>
        </row>
        <row r="2">
          <cell r="A2">
            <v>40179</v>
          </cell>
          <cell r="B2">
            <v>14.2475</v>
          </cell>
          <cell r="C2">
            <v>18.39</v>
          </cell>
          <cell r="D2">
            <v>68588.41</v>
          </cell>
          <cell r="F2">
            <v>100</v>
          </cell>
          <cell r="G2">
            <v>100</v>
          </cell>
          <cell r="H2">
            <v>100</v>
          </cell>
        </row>
        <row r="3">
          <cell r="A3">
            <v>40180</v>
          </cell>
          <cell r="B3">
            <v>14.2475</v>
          </cell>
          <cell r="C3">
            <v>18.39</v>
          </cell>
          <cell r="D3">
            <v>68588.41</v>
          </cell>
          <cell r="F3">
            <v>100</v>
          </cell>
          <cell r="G3">
            <v>100</v>
          </cell>
          <cell r="H3">
            <v>100</v>
          </cell>
        </row>
        <row r="4">
          <cell r="A4">
            <v>40181</v>
          </cell>
          <cell r="B4">
            <v>14.2475</v>
          </cell>
          <cell r="C4">
            <v>18.39</v>
          </cell>
          <cell r="D4">
            <v>68588.41</v>
          </cell>
          <cell r="F4">
            <v>100</v>
          </cell>
          <cell r="G4">
            <v>100</v>
          </cell>
          <cell r="H4">
            <v>100</v>
          </cell>
        </row>
        <row r="5">
          <cell r="A5">
            <v>40182</v>
          </cell>
          <cell r="B5">
            <v>14.385</v>
          </cell>
          <cell r="C5">
            <v>18.100000000000001</v>
          </cell>
          <cell r="D5">
            <v>70045.08</v>
          </cell>
          <cell r="F5">
            <v>100.96508159326196</v>
          </cell>
          <cell r="G5">
            <v>98.423056008700385</v>
          </cell>
          <cell r="H5">
            <v>102.1237844702917</v>
          </cell>
        </row>
        <row r="6">
          <cell r="A6">
            <v>40183</v>
          </cell>
          <cell r="B6">
            <v>14.5</v>
          </cell>
          <cell r="C6">
            <v>18</v>
          </cell>
          <cell r="D6">
            <v>70239.820000000007</v>
          </cell>
          <cell r="F6">
            <v>101.77224074399017</v>
          </cell>
          <cell r="G6">
            <v>97.879282218597069</v>
          </cell>
          <cell r="H6">
            <v>102.40770999065293</v>
          </cell>
        </row>
        <row r="7">
          <cell r="A7">
            <v>40184</v>
          </cell>
          <cell r="B7">
            <v>14.1625</v>
          </cell>
          <cell r="C7">
            <v>18.649999999999999</v>
          </cell>
          <cell r="D7">
            <v>70729.34</v>
          </cell>
          <cell r="F7">
            <v>99.403404105983498</v>
          </cell>
          <cell r="G7">
            <v>101.41381185426862</v>
          </cell>
          <cell r="H7">
            <v>103.1214165775238</v>
          </cell>
        </row>
        <row r="8">
          <cell r="A8">
            <v>40185</v>
          </cell>
          <cell r="B8">
            <v>14.2225</v>
          </cell>
          <cell r="C8">
            <v>18.71</v>
          </cell>
          <cell r="D8">
            <v>70451.12</v>
          </cell>
          <cell r="F8">
            <v>99.824530619406914</v>
          </cell>
          <cell r="G8">
            <v>101.74007612833063</v>
          </cell>
          <cell r="H8">
            <v>102.715779531848</v>
          </cell>
        </row>
        <row r="9">
          <cell r="A9">
            <v>40186</v>
          </cell>
          <cell r="B9">
            <v>14.3</v>
          </cell>
          <cell r="C9">
            <v>19.09</v>
          </cell>
          <cell r="D9">
            <v>70262.7</v>
          </cell>
          <cell r="F9">
            <v>100.36848569924548</v>
          </cell>
          <cell r="G9">
            <v>103.80641653072323</v>
          </cell>
          <cell r="H9">
            <v>102.44106839624945</v>
          </cell>
        </row>
        <row r="10">
          <cell r="A10">
            <v>40187</v>
          </cell>
          <cell r="B10">
            <v>14.3</v>
          </cell>
          <cell r="C10">
            <v>19.09</v>
          </cell>
          <cell r="D10">
            <v>70262.7</v>
          </cell>
          <cell r="F10">
            <v>100.36848569924548</v>
          </cell>
          <cell r="G10">
            <v>103.80641653072323</v>
          </cell>
          <cell r="H10">
            <v>102.44106839624945</v>
          </cell>
        </row>
        <row r="11">
          <cell r="A11">
            <v>40188</v>
          </cell>
          <cell r="B11">
            <v>14.3</v>
          </cell>
          <cell r="C11">
            <v>19.09</v>
          </cell>
          <cell r="D11">
            <v>70262.7</v>
          </cell>
          <cell r="F11">
            <v>100.36848569924548</v>
          </cell>
          <cell r="G11">
            <v>103.80641653072323</v>
          </cell>
          <cell r="H11">
            <v>102.44106839624945</v>
          </cell>
        </row>
        <row r="12">
          <cell r="A12">
            <v>40189</v>
          </cell>
          <cell r="B12">
            <v>14.75</v>
          </cell>
          <cell r="C12">
            <v>19.25</v>
          </cell>
          <cell r="D12">
            <v>70433.490000000005</v>
          </cell>
          <cell r="F12">
            <v>103.52693454992104</v>
          </cell>
          <cell r="G12">
            <v>104.67645459488853</v>
          </cell>
          <cell r="H12">
            <v>102.69007548068252</v>
          </cell>
        </row>
        <row r="13">
          <cell r="A13">
            <v>40190</v>
          </cell>
          <cell r="B13">
            <v>14.512499999999999</v>
          </cell>
          <cell r="C13">
            <v>19.600000000000001</v>
          </cell>
          <cell r="D13">
            <v>70075.78</v>
          </cell>
          <cell r="F13">
            <v>101.85997543428671</v>
          </cell>
          <cell r="G13">
            <v>106.57966286025014</v>
          </cell>
          <cell r="H13">
            <v>102.16854421905974</v>
          </cell>
        </row>
        <row r="14">
          <cell r="A14">
            <v>40191</v>
          </cell>
          <cell r="B14">
            <v>14.5625</v>
          </cell>
          <cell r="C14">
            <v>19.649999999999999</v>
          </cell>
          <cell r="D14">
            <v>70385.47</v>
          </cell>
          <cell r="F14">
            <v>102.21091419547288</v>
          </cell>
          <cell r="G14">
            <v>106.85154975530178</v>
          </cell>
          <cell r="H14">
            <v>102.62006365215348</v>
          </cell>
        </row>
        <row r="15">
          <cell r="A15">
            <v>40192</v>
          </cell>
          <cell r="B15">
            <v>14.4375</v>
          </cell>
          <cell r="C15">
            <v>20</v>
          </cell>
          <cell r="D15">
            <v>69801.42</v>
          </cell>
          <cell r="F15">
            <v>101.33356729250747</v>
          </cell>
          <cell r="G15">
            <v>108.75475802066342</v>
          </cell>
          <cell r="H15">
            <v>101.7685349463561</v>
          </cell>
        </row>
        <row r="16">
          <cell r="A16">
            <v>40193</v>
          </cell>
          <cell r="B16">
            <v>14.25</v>
          </cell>
          <cell r="C16">
            <v>19.71</v>
          </cell>
          <cell r="D16">
            <v>68978.3</v>
          </cell>
          <cell r="F16">
            <v>100.01754693805931</v>
          </cell>
          <cell r="G16">
            <v>107.17781402936379</v>
          </cell>
          <cell r="H16">
            <v>100.56844880935422</v>
          </cell>
        </row>
        <row r="17">
          <cell r="A17">
            <v>40194</v>
          </cell>
          <cell r="B17">
            <v>14.25</v>
          </cell>
          <cell r="C17">
            <v>19.71</v>
          </cell>
          <cell r="D17">
            <v>68978.3</v>
          </cell>
          <cell r="F17">
            <v>100.01754693805931</v>
          </cell>
          <cell r="G17">
            <v>107.17781402936379</v>
          </cell>
          <cell r="H17">
            <v>100.56844880935422</v>
          </cell>
        </row>
        <row r="18">
          <cell r="A18">
            <v>40195</v>
          </cell>
          <cell r="B18">
            <v>14.25</v>
          </cell>
          <cell r="C18">
            <v>19.71</v>
          </cell>
          <cell r="D18">
            <v>68978.3</v>
          </cell>
          <cell r="F18">
            <v>100.01754693805931</v>
          </cell>
          <cell r="G18">
            <v>107.17781402936379</v>
          </cell>
          <cell r="H18">
            <v>100.56844880935422</v>
          </cell>
        </row>
        <row r="19">
          <cell r="A19">
            <v>40196</v>
          </cell>
          <cell r="B19">
            <v>14.25</v>
          </cell>
          <cell r="C19">
            <v>19.71</v>
          </cell>
          <cell r="D19">
            <v>68978.3</v>
          </cell>
          <cell r="F19">
            <v>100.01754693805931</v>
          </cell>
          <cell r="G19">
            <v>107.17781402936379</v>
          </cell>
          <cell r="H19">
            <v>100.56844880935422</v>
          </cell>
        </row>
        <row r="20">
          <cell r="A20">
            <v>40197</v>
          </cell>
          <cell r="B20">
            <v>14.5</v>
          </cell>
          <cell r="C20">
            <v>20.010000000000002</v>
          </cell>
          <cell r="D20">
            <v>69908.59</v>
          </cell>
          <cell r="F20">
            <v>101.77224074399017</v>
          </cell>
          <cell r="G20">
            <v>108.80913539967374</v>
          </cell>
          <cell r="H20">
            <v>101.92478583480793</v>
          </cell>
        </row>
        <row r="21">
          <cell r="A21">
            <v>40198</v>
          </cell>
          <cell r="B21">
            <v>14.725</v>
          </cell>
          <cell r="C21">
            <v>19.75</v>
          </cell>
          <cell r="D21">
            <v>68200.070000000007</v>
          </cell>
          <cell r="F21">
            <v>103.35146516932794</v>
          </cell>
          <cell r="G21">
            <v>107.39532354540511</v>
          </cell>
          <cell r="H21">
            <v>99.433811047668257</v>
          </cell>
        </row>
        <row r="22">
          <cell r="A22">
            <v>40199</v>
          </cell>
          <cell r="B22">
            <v>14.637499999999999</v>
          </cell>
          <cell r="C22">
            <v>19.62</v>
          </cell>
          <cell r="D22">
            <v>66270.14</v>
          </cell>
          <cell r="F22">
            <v>102.73732233725215</v>
          </cell>
          <cell r="G22">
            <v>106.68841761827079</v>
          </cell>
          <cell r="H22">
            <v>96.62002661965775</v>
          </cell>
        </row>
        <row r="23">
          <cell r="A23">
            <v>40200</v>
          </cell>
          <cell r="B23">
            <v>14.4</v>
          </cell>
          <cell r="C23">
            <v>19.5</v>
          </cell>
          <cell r="D23">
            <v>66220.039999999994</v>
          </cell>
          <cell r="F23">
            <v>101.07036322161782</v>
          </cell>
          <cell r="G23">
            <v>106.03588907014681</v>
          </cell>
          <cell r="H23">
            <v>96.546982208801737</v>
          </cell>
        </row>
        <row r="24">
          <cell r="A24">
            <v>40201</v>
          </cell>
          <cell r="B24">
            <v>14.4</v>
          </cell>
          <cell r="C24">
            <v>19.5</v>
          </cell>
          <cell r="D24">
            <v>66220.039999999994</v>
          </cell>
          <cell r="F24">
            <v>101.07036322161782</v>
          </cell>
          <cell r="G24">
            <v>106.03588907014681</v>
          </cell>
          <cell r="H24">
            <v>96.546982208801737</v>
          </cell>
        </row>
        <row r="25">
          <cell r="A25">
            <v>40202</v>
          </cell>
          <cell r="B25">
            <v>14.4</v>
          </cell>
          <cell r="C25">
            <v>19.5</v>
          </cell>
          <cell r="D25">
            <v>66220.039999999994</v>
          </cell>
          <cell r="F25">
            <v>101.07036322161782</v>
          </cell>
          <cell r="G25">
            <v>106.03588907014681</v>
          </cell>
          <cell r="H25">
            <v>96.546982208801737</v>
          </cell>
        </row>
        <row r="26">
          <cell r="A26">
            <v>40203</v>
          </cell>
          <cell r="B26">
            <v>14.4</v>
          </cell>
          <cell r="C26">
            <v>19.5</v>
          </cell>
          <cell r="D26">
            <v>66220.039999999994</v>
          </cell>
          <cell r="F26">
            <v>101.07036322161782</v>
          </cell>
          <cell r="G26">
            <v>106.03588907014681</v>
          </cell>
          <cell r="H26">
            <v>96.546982208801737</v>
          </cell>
        </row>
        <row r="27">
          <cell r="A27">
            <v>40204</v>
          </cell>
          <cell r="B27">
            <v>14.5</v>
          </cell>
          <cell r="C27">
            <v>19.39</v>
          </cell>
          <cell r="D27">
            <v>65523.73</v>
          </cell>
          <cell r="F27">
            <v>101.77224074399017</v>
          </cell>
          <cell r="G27">
            <v>105.43773790103317</v>
          </cell>
          <cell r="H27">
            <v>95.531781535685113</v>
          </cell>
        </row>
        <row r="28">
          <cell r="A28">
            <v>40205</v>
          </cell>
          <cell r="B28">
            <v>14.475</v>
          </cell>
          <cell r="C28">
            <v>19.38</v>
          </cell>
          <cell r="D28">
            <v>65069.79</v>
          </cell>
          <cell r="F28">
            <v>101.59677136339708</v>
          </cell>
          <cell r="G28">
            <v>105.38336052202284</v>
          </cell>
          <cell r="H28">
            <v>94.869949602272456</v>
          </cell>
        </row>
        <row r="29">
          <cell r="A29">
            <v>40206</v>
          </cell>
          <cell r="B29">
            <v>14.25</v>
          </cell>
          <cell r="C29">
            <v>19.5</v>
          </cell>
          <cell r="D29">
            <v>65587.81</v>
          </cell>
          <cell r="F29">
            <v>100.01754693805931</v>
          </cell>
          <cell r="G29">
            <v>106.03588907014681</v>
          </cell>
          <cell r="H29">
            <v>95.625208398911695</v>
          </cell>
        </row>
        <row r="30">
          <cell r="A30">
            <v>40207</v>
          </cell>
          <cell r="B30">
            <v>14.455</v>
          </cell>
          <cell r="C30">
            <v>19.489999999999998</v>
          </cell>
          <cell r="D30">
            <v>65401.77</v>
          </cell>
          <cell r="F30">
            <v>101.4563958589226</v>
          </cell>
          <cell r="G30">
            <v>105.98151169113648</v>
          </cell>
          <cell r="H30">
            <v>95.353967237321868</v>
          </cell>
        </row>
        <row r="31">
          <cell r="A31">
            <v>40208</v>
          </cell>
          <cell r="B31">
            <v>14.455</v>
          </cell>
          <cell r="C31">
            <v>19.489999999999998</v>
          </cell>
          <cell r="D31">
            <v>65401.77</v>
          </cell>
          <cell r="F31">
            <v>101.4563958589226</v>
          </cell>
          <cell r="G31">
            <v>105.98151169113648</v>
          </cell>
          <cell r="H31">
            <v>95.353967237321868</v>
          </cell>
        </row>
        <row r="32">
          <cell r="A32">
            <v>40209</v>
          </cell>
          <cell r="B32">
            <v>14.455</v>
          </cell>
          <cell r="C32">
            <v>19.489999999999998</v>
          </cell>
          <cell r="D32">
            <v>65401.77</v>
          </cell>
          <cell r="F32">
            <v>101.4563958589226</v>
          </cell>
          <cell r="G32">
            <v>105.98151169113648</v>
          </cell>
          <cell r="H32">
            <v>95.353967237321868</v>
          </cell>
        </row>
        <row r="33">
          <cell r="A33">
            <v>40210</v>
          </cell>
          <cell r="B33">
            <v>14.6625</v>
          </cell>
          <cell r="C33">
            <v>19.190000000000001</v>
          </cell>
          <cell r="D33">
            <v>66571.740000000005</v>
          </cell>
          <cell r="F33">
            <v>102.91279171784522</v>
          </cell>
          <cell r="G33">
            <v>104.35019032082653</v>
          </cell>
          <cell r="H33">
            <v>97.05975105706635</v>
          </cell>
        </row>
        <row r="34">
          <cell r="A34">
            <v>40211</v>
          </cell>
          <cell r="B34">
            <v>15.25</v>
          </cell>
          <cell r="C34">
            <v>18.899999999999999</v>
          </cell>
          <cell r="D34">
            <v>67163.210000000006</v>
          </cell>
          <cell r="F34">
            <v>107.03632216178276</v>
          </cell>
          <cell r="G34">
            <v>102.77324632952691</v>
          </cell>
          <cell r="H34">
            <v>97.922097917126237</v>
          </cell>
        </row>
        <row r="35">
          <cell r="A35">
            <v>40212</v>
          </cell>
          <cell r="B35">
            <v>15.4</v>
          </cell>
          <cell r="C35">
            <v>18.89</v>
          </cell>
          <cell r="D35">
            <v>67108.56</v>
          </cell>
          <cell r="F35">
            <v>108.08913844534129</v>
          </cell>
          <cell r="G35">
            <v>102.71886895051658</v>
          </cell>
          <cell r="H35">
            <v>97.842419732430002</v>
          </cell>
        </row>
        <row r="36">
          <cell r="A36">
            <v>40213</v>
          </cell>
          <cell r="B36">
            <v>14.6</v>
          </cell>
          <cell r="C36">
            <v>17.93</v>
          </cell>
          <cell r="D36">
            <v>63934.01</v>
          </cell>
          <cell r="F36">
            <v>102.47411826636252</v>
          </cell>
          <cell r="G36">
            <v>97.498640565524738</v>
          </cell>
          <cell r="H36">
            <v>93.214013854527309</v>
          </cell>
        </row>
        <row r="37">
          <cell r="A37">
            <v>40214</v>
          </cell>
          <cell r="B37">
            <v>14.41</v>
          </cell>
          <cell r="C37">
            <v>17.690000000000001</v>
          </cell>
          <cell r="D37">
            <v>62762.7</v>
          </cell>
          <cell r="F37">
            <v>101.14055097385506</v>
          </cell>
          <cell r="G37">
            <v>96.193583469276788</v>
          </cell>
          <cell r="H37">
            <v>91.506276351937586</v>
          </cell>
        </row>
        <row r="38">
          <cell r="A38">
            <v>40215</v>
          </cell>
          <cell r="B38">
            <v>14.41</v>
          </cell>
          <cell r="C38">
            <v>17.690000000000001</v>
          </cell>
          <cell r="D38">
            <v>62762.7</v>
          </cell>
          <cell r="F38">
            <v>101.14055097385506</v>
          </cell>
          <cell r="G38">
            <v>96.193583469276788</v>
          </cell>
          <cell r="H38">
            <v>91.506276351937586</v>
          </cell>
        </row>
        <row r="39">
          <cell r="A39">
            <v>40216</v>
          </cell>
          <cell r="B39">
            <v>14.41</v>
          </cell>
          <cell r="C39">
            <v>17.690000000000001</v>
          </cell>
          <cell r="D39">
            <v>62762.7</v>
          </cell>
          <cell r="F39">
            <v>101.14055097385506</v>
          </cell>
          <cell r="G39">
            <v>96.193583469276788</v>
          </cell>
          <cell r="H39">
            <v>91.506276351937586</v>
          </cell>
        </row>
        <row r="40">
          <cell r="A40">
            <v>40217</v>
          </cell>
          <cell r="B40">
            <v>14.75</v>
          </cell>
          <cell r="C40">
            <v>17.88</v>
          </cell>
          <cell r="D40">
            <v>63153.09</v>
          </cell>
          <cell r="F40">
            <v>103.52693454992104</v>
          </cell>
          <cell r="G40">
            <v>97.226753670473073</v>
          </cell>
          <cell r="H40">
            <v>92.075454147428104</v>
          </cell>
        </row>
        <row r="41">
          <cell r="A41">
            <v>40218</v>
          </cell>
          <cell r="B41">
            <v>14.85</v>
          </cell>
          <cell r="C41">
            <v>18.5</v>
          </cell>
          <cell r="D41">
            <v>64718.17</v>
          </cell>
          <cell r="F41">
            <v>104.22881207229338</v>
          </cell>
          <cell r="G41">
            <v>100.59815116911363</v>
          </cell>
          <cell r="H41">
            <v>94.357297391789658</v>
          </cell>
        </row>
        <row r="42">
          <cell r="A42">
            <v>40219</v>
          </cell>
          <cell r="B42">
            <v>15.44</v>
          </cell>
          <cell r="C42">
            <v>18.940000000000001</v>
          </cell>
          <cell r="D42">
            <v>65051.42</v>
          </cell>
          <cell r="F42">
            <v>108.36988945429023</v>
          </cell>
          <cell r="G42">
            <v>102.99075584556824</v>
          </cell>
          <cell r="H42">
            <v>94.843166651625239</v>
          </cell>
        </row>
        <row r="43">
          <cell r="A43">
            <v>40220</v>
          </cell>
          <cell r="B43">
            <v>15.32</v>
          </cell>
          <cell r="C43">
            <v>18.77</v>
          </cell>
          <cell r="D43">
            <v>66128.94</v>
          </cell>
          <cell r="F43">
            <v>107.52763642744341</v>
          </cell>
          <cell r="G43">
            <v>102.0663404023926</v>
          </cell>
          <cell r="H43">
            <v>96.41416093477018</v>
          </cell>
        </row>
        <row r="44">
          <cell r="A44">
            <v>40221</v>
          </cell>
          <cell r="B44">
            <v>15.39</v>
          </cell>
          <cell r="C44">
            <v>18.5</v>
          </cell>
          <cell r="D44">
            <v>65854.97</v>
          </cell>
          <cell r="F44">
            <v>108.01895069310406</v>
          </cell>
          <cell r="G44">
            <v>100.59815116911363</v>
          </cell>
          <cell r="H44">
            <v>96.014720271252813</v>
          </cell>
        </row>
        <row r="45">
          <cell r="A45">
            <v>40222</v>
          </cell>
          <cell r="B45">
            <v>15.39</v>
          </cell>
          <cell r="C45">
            <v>18.5</v>
          </cell>
          <cell r="D45">
            <v>65854.97</v>
          </cell>
          <cell r="F45">
            <v>108.01895069310406</v>
          </cell>
          <cell r="G45">
            <v>100.59815116911363</v>
          </cell>
          <cell r="H45">
            <v>96.014720271252813</v>
          </cell>
        </row>
        <row r="46">
          <cell r="A46">
            <v>40223</v>
          </cell>
          <cell r="B46">
            <v>15.39</v>
          </cell>
          <cell r="C46">
            <v>18.5</v>
          </cell>
          <cell r="D46">
            <v>65854.97</v>
          </cell>
          <cell r="F46">
            <v>108.01895069310406</v>
          </cell>
          <cell r="G46">
            <v>100.59815116911363</v>
          </cell>
          <cell r="H46">
            <v>96.014720271252813</v>
          </cell>
        </row>
        <row r="47">
          <cell r="A47">
            <v>40224</v>
          </cell>
          <cell r="B47">
            <v>15.39</v>
          </cell>
          <cell r="C47">
            <v>18.5</v>
          </cell>
          <cell r="D47">
            <v>65854.97</v>
          </cell>
          <cell r="F47">
            <v>108.01895069310406</v>
          </cell>
          <cell r="G47">
            <v>100.59815116911363</v>
          </cell>
          <cell r="H47">
            <v>96.014720271252813</v>
          </cell>
        </row>
        <row r="48">
          <cell r="A48">
            <v>40225</v>
          </cell>
          <cell r="B48">
            <v>15.39</v>
          </cell>
          <cell r="C48">
            <v>18.5</v>
          </cell>
          <cell r="D48">
            <v>65854.97</v>
          </cell>
          <cell r="F48">
            <v>108.01895069310406</v>
          </cell>
          <cell r="G48">
            <v>100.59815116911363</v>
          </cell>
          <cell r="H48">
            <v>96.014720271252813</v>
          </cell>
        </row>
        <row r="49">
          <cell r="A49">
            <v>40226</v>
          </cell>
          <cell r="B49">
            <v>15.6</v>
          </cell>
          <cell r="C49">
            <v>19</v>
          </cell>
          <cell r="D49">
            <v>67284.570000000007</v>
          </cell>
          <cell r="F49">
            <v>109.49289349008598</v>
          </cell>
          <cell r="G49">
            <v>103.31702011963021</v>
          </cell>
          <cell r="H49">
            <v>98.099037432125925</v>
          </cell>
        </row>
        <row r="50">
          <cell r="A50">
            <v>40227</v>
          </cell>
          <cell r="B50">
            <v>15.84</v>
          </cell>
          <cell r="C50">
            <v>19.899999999999999</v>
          </cell>
          <cell r="D50">
            <v>67836.08</v>
          </cell>
          <cell r="F50">
            <v>111.17739954377961</v>
          </cell>
          <cell r="G50">
            <v>108.21098423056009</v>
          </cell>
          <cell r="H50">
            <v>98.90312372017371</v>
          </cell>
        </row>
        <row r="51">
          <cell r="A51">
            <v>40228</v>
          </cell>
          <cell r="B51">
            <v>16</v>
          </cell>
          <cell r="C51">
            <v>19.920000000000002</v>
          </cell>
          <cell r="D51">
            <v>67597.429999999993</v>
          </cell>
          <cell r="F51">
            <v>112.30040357957536</v>
          </cell>
          <cell r="G51">
            <v>108.31973898858077</v>
          </cell>
          <cell r="H51">
            <v>98.555178637323692</v>
          </cell>
        </row>
        <row r="52">
          <cell r="A52">
            <v>40229</v>
          </cell>
          <cell r="B52">
            <v>16</v>
          </cell>
          <cell r="C52">
            <v>19.920000000000002</v>
          </cell>
          <cell r="D52">
            <v>67597.429999999993</v>
          </cell>
          <cell r="F52">
            <v>112.30040357957536</v>
          </cell>
          <cell r="G52">
            <v>108.31973898858077</v>
          </cell>
          <cell r="H52">
            <v>98.555178637323692</v>
          </cell>
        </row>
        <row r="53">
          <cell r="A53">
            <v>40230</v>
          </cell>
          <cell r="B53">
            <v>16</v>
          </cell>
          <cell r="C53">
            <v>19.920000000000002</v>
          </cell>
          <cell r="D53">
            <v>67597.429999999993</v>
          </cell>
          <cell r="F53">
            <v>112.30040357957536</v>
          </cell>
          <cell r="G53">
            <v>108.31973898858077</v>
          </cell>
          <cell r="H53">
            <v>98.555178637323692</v>
          </cell>
        </row>
        <row r="54">
          <cell r="A54">
            <v>40231</v>
          </cell>
          <cell r="B54">
            <v>15.55</v>
          </cell>
          <cell r="C54">
            <v>19.739999999999998</v>
          </cell>
          <cell r="D54">
            <v>67184.160000000003</v>
          </cell>
          <cell r="F54">
            <v>109.1419547288998</v>
          </cell>
          <cell r="G54">
            <v>107.34094616639476</v>
          </cell>
          <cell r="H54">
            <v>97.952642436236687</v>
          </cell>
        </row>
        <row r="55">
          <cell r="A55">
            <v>40232</v>
          </cell>
          <cell r="B55">
            <v>15.2</v>
          </cell>
          <cell r="C55">
            <v>19.3</v>
          </cell>
          <cell r="D55">
            <v>66108.33</v>
          </cell>
          <cell r="F55">
            <v>106.68538340059659</v>
          </cell>
          <cell r="G55">
            <v>104.94834148994019</v>
          </cell>
          <cell r="H55">
            <v>96.384112126232395</v>
          </cell>
        </row>
        <row r="56">
          <cell r="A56">
            <v>40233</v>
          </cell>
          <cell r="B56">
            <v>15.2</v>
          </cell>
          <cell r="C56">
            <v>19.649999999999999</v>
          </cell>
          <cell r="D56">
            <v>65794.77</v>
          </cell>
          <cell r="F56">
            <v>106.68538340059659</v>
          </cell>
          <cell r="G56">
            <v>106.85154975530178</v>
          </cell>
          <cell r="H56">
            <v>95.926950340443824</v>
          </cell>
        </row>
        <row r="57">
          <cell r="A57">
            <v>40234</v>
          </cell>
          <cell r="B57">
            <v>14.8</v>
          </cell>
          <cell r="C57">
            <v>19.25</v>
          </cell>
          <cell r="D57">
            <v>66121.039999999994</v>
          </cell>
          <cell r="F57">
            <v>103.87787331110721</v>
          </cell>
          <cell r="G57">
            <v>104.67645459488853</v>
          </cell>
          <cell r="H57">
            <v>96.402642953816823</v>
          </cell>
        </row>
        <row r="58">
          <cell r="A58">
            <v>40235</v>
          </cell>
          <cell r="B58">
            <v>14.8</v>
          </cell>
          <cell r="C58">
            <v>19.989999999999998</v>
          </cell>
          <cell r="D58">
            <v>66503.27</v>
          </cell>
          <cell r="F58">
            <v>103.87787331110721</v>
          </cell>
          <cell r="G58">
            <v>108.70038064165306</v>
          </cell>
          <cell r="H58">
            <v>96.959923695563148</v>
          </cell>
        </row>
        <row r="59">
          <cell r="A59">
            <v>40236</v>
          </cell>
          <cell r="B59">
            <v>14.8</v>
          </cell>
          <cell r="C59">
            <v>19.989999999999998</v>
          </cell>
          <cell r="D59">
            <v>66503.27</v>
          </cell>
          <cell r="F59">
            <v>103.87787331110721</v>
          </cell>
          <cell r="G59">
            <v>108.70038064165306</v>
          </cell>
          <cell r="H59">
            <v>96.959923695563148</v>
          </cell>
        </row>
        <row r="60">
          <cell r="A60">
            <v>40237</v>
          </cell>
          <cell r="B60">
            <v>14.8</v>
          </cell>
          <cell r="C60">
            <v>19.989999999999998</v>
          </cell>
          <cell r="D60">
            <v>66503.27</v>
          </cell>
          <cell r="F60">
            <v>103.87787331110721</v>
          </cell>
          <cell r="G60">
            <v>108.70038064165306</v>
          </cell>
          <cell r="H60">
            <v>96.959923695563148</v>
          </cell>
        </row>
        <row r="61">
          <cell r="A61">
            <v>40238</v>
          </cell>
          <cell r="B61">
            <v>15.19</v>
          </cell>
          <cell r="C61">
            <v>19.23</v>
          </cell>
          <cell r="D61">
            <v>67227.929999999993</v>
          </cell>
          <cell r="F61">
            <v>106.61519564835935</v>
          </cell>
          <cell r="G61">
            <v>104.56769983686786</v>
          </cell>
          <cell r="H61">
            <v>98.01645788260727</v>
          </cell>
        </row>
        <row r="62">
          <cell r="A62">
            <v>40239</v>
          </cell>
          <cell r="B62">
            <v>15.35</v>
          </cell>
          <cell r="C62">
            <v>18.95</v>
          </cell>
          <cell r="D62">
            <v>67779.16</v>
          </cell>
          <cell r="F62">
            <v>107.73819968415511</v>
          </cell>
          <cell r="G62">
            <v>103.04513322457858</v>
          </cell>
          <cell r="H62">
            <v>98.820135938418758</v>
          </cell>
        </row>
        <row r="63">
          <cell r="A63">
            <v>40240</v>
          </cell>
          <cell r="B63">
            <v>15.14</v>
          </cell>
          <cell r="C63">
            <v>19</v>
          </cell>
          <cell r="D63">
            <v>67641.34</v>
          </cell>
          <cell r="F63">
            <v>106.26425688717318</v>
          </cell>
          <cell r="G63">
            <v>103.31702011963021</v>
          </cell>
          <cell r="H63">
            <v>98.619198199812459</v>
          </cell>
        </row>
        <row r="64">
          <cell r="A64">
            <v>40241</v>
          </cell>
          <cell r="B64">
            <v>15.04</v>
          </cell>
          <cell r="C64">
            <v>19</v>
          </cell>
          <cell r="D64">
            <v>67814.710000000006</v>
          </cell>
          <cell r="F64">
            <v>105.56237936480085</v>
          </cell>
          <cell r="G64">
            <v>103.31702011963021</v>
          </cell>
          <cell r="H64">
            <v>98.871966852708795</v>
          </cell>
        </row>
        <row r="65">
          <cell r="A65">
            <v>40242</v>
          </cell>
          <cell r="B65">
            <v>15.25</v>
          </cell>
          <cell r="C65">
            <v>19.25</v>
          </cell>
          <cell r="D65">
            <v>68846.5</v>
          </cell>
          <cell r="F65">
            <v>107.03632216178276</v>
          </cell>
          <cell r="G65">
            <v>104.67645459488853</v>
          </cell>
          <cell r="H65">
            <v>100.37628806382885</v>
          </cell>
        </row>
        <row r="66">
          <cell r="A66">
            <v>40243</v>
          </cell>
          <cell r="B66">
            <v>15.25</v>
          </cell>
          <cell r="C66">
            <v>19.25</v>
          </cell>
          <cell r="D66">
            <v>68846.5</v>
          </cell>
          <cell r="F66">
            <v>107.03632216178276</v>
          </cell>
          <cell r="G66">
            <v>104.67645459488853</v>
          </cell>
          <cell r="H66">
            <v>100.37628806382885</v>
          </cell>
        </row>
        <row r="67">
          <cell r="A67">
            <v>40244</v>
          </cell>
          <cell r="B67">
            <v>15.25</v>
          </cell>
          <cell r="C67">
            <v>19.25</v>
          </cell>
          <cell r="D67">
            <v>68846.5</v>
          </cell>
          <cell r="F67">
            <v>107.03632216178276</v>
          </cell>
          <cell r="G67">
            <v>104.67645459488853</v>
          </cell>
          <cell r="H67">
            <v>100.37628806382885</v>
          </cell>
        </row>
        <row r="68">
          <cell r="A68">
            <v>40245</v>
          </cell>
          <cell r="B68">
            <v>14.9</v>
          </cell>
          <cell r="C68">
            <v>19.2</v>
          </cell>
          <cell r="D68">
            <v>68575.47</v>
          </cell>
          <cell r="F68">
            <v>104.57975083347955</v>
          </cell>
          <cell r="G68">
            <v>104.40456769983686</v>
          </cell>
          <cell r="H68">
            <v>99.981133838792886</v>
          </cell>
        </row>
        <row r="69">
          <cell r="A69">
            <v>40246</v>
          </cell>
          <cell r="B69">
            <v>14.99</v>
          </cell>
          <cell r="C69">
            <v>19.05</v>
          </cell>
          <cell r="D69">
            <v>69576.38</v>
          </cell>
          <cell r="F69">
            <v>105.21144060361468</v>
          </cell>
          <cell r="G69">
            <v>103.58890701468188</v>
          </cell>
          <cell r="H69">
            <v>101.44043286613584</v>
          </cell>
        </row>
        <row r="70">
          <cell r="A70">
            <v>40247</v>
          </cell>
          <cell r="B70">
            <v>14.85</v>
          </cell>
          <cell r="C70">
            <v>18.95</v>
          </cell>
          <cell r="D70">
            <v>69979.28</v>
          </cell>
          <cell r="F70">
            <v>104.22881207229338</v>
          </cell>
          <cell r="G70">
            <v>103.04513322457858</v>
          </cell>
          <cell r="H70">
            <v>102.02784989475626</v>
          </cell>
        </row>
        <row r="71">
          <cell r="A71">
            <v>40248</v>
          </cell>
          <cell r="B71">
            <v>15.25</v>
          </cell>
          <cell r="C71">
            <v>19</v>
          </cell>
          <cell r="D71">
            <v>69884.61</v>
          </cell>
          <cell r="F71">
            <v>107.03632216178276</v>
          </cell>
          <cell r="G71">
            <v>103.31702011963021</v>
          </cell>
          <cell r="H71">
            <v>101.8898236597116</v>
          </cell>
        </row>
        <row r="72">
          <cell r="A72">
            <v>40249</v>
          </cell>
          <cell r="B72">
            <v>15.25</v>
          </cell>
          <cell r="C72">
            <v>19</v>
          </cell>
          <cell r="D72">
            <v>69341.38</v>
          </cell>
          <cell r="F72">
            <v>107.03632216178276</v>
          </cell>
          <cell r="G72">
            <v>103.31702011963021</v>
          </cell>
          <cell r="H72">
            <v>101.09780938208073</v>
          </cell>
        </row>
        <row r="73">
          <cell r="A73">
            <v>40250</v>
          </cell>
          <cell r="B73">
            <v>15.25</v>
          </cell>
          <cell r="C73">
            <v>19</v>
          </cell>
          <cell r="D73">
            <v>69341.38</v>
          </cell>
          <cell r="F73">
            <v>107.03632216178276</v>
          </cell>
          <cell r="G73">
            <v>103.31702011963021</v>
          </cell>
          <cell r="H73">
            <v>101.09780938208073</v>
          </cell>
        </row>
        <row r="74">
          <cell r="A74">
            <v>40251</v>
          </cell>
          <cell r="B74">
            <v>15.25</v>
          </cell>
          <cell r="C74">
            <v>19</v>
          </cell>
          <cell r="D74">
            <v>69341.38</v>
          </cell>
          <cell r="F74">
            <v>107.03632216178276</v>
          </cell>
          <cell r="G74">
            <v>103.31702011963021</v>
          </cell>
          <cell r="H74">
            <v>101.09780938208073</v>
          </cell>
        </row>
        <row r="75">
          <cell r="A75">
            <v>40252</v>
          </cell>
          <cell r="B75">
            <v>15.1</v>
          </cell>
          <cell r="C75">
            <v>19.2</v>
          </cell>
          <cell r="D75">
            <v>69023.75</v>
          </cell>
          <cell r="F75">
            <v>105.98350587822425</v>
          </cell>
          <cell r="G75">
            <v>104.40456769983686</v>
          </cell>
          <cell r="H75">
            <v>100.63471364914275</v>
          </cell>
        </row>
        <row r="76">
          <cell r="A76">
            <v>40253</v>
          </cell>
          <cell r="B76">
            <v>15.25</v>
          </cell>
          <cell r="C76">
            <v>19.100000000000001</v>
          </cell>
          <cell r="D76">
            <v>69942.210000000006</v>
          </cell>
          <cell r="F76">
            <v>107.03632216178276</v>
          </cell>
          <cell r="G76">
            <v>103.86079390973354</v>
          </cell>
          <cell r="H76">
            <v>101.97380286261193</v>
          </cell>
        </row>
        <row r="77">
          <cell r="A77">
            <v>40254</v>
          </cell>
          <cell r="B77">
            <v>15.05</v>
          </cell>
          <cell r="C77">
            <v>19.53</v>
          </cell>
          <cell r="D77">
            <v>69723.240000000005</v>
          </cell>
          <cell r="F77">
            <v>105.63256711703808</v>
          </cell>
          <cell r="G77">
            <v>106.19902120717781</v>
          </cell>
          <cell r="H77">
            <v>101.6545506740862</v>
          </cell>
        </row>
        <row r="78">
          <cell r="A78">
            <v>40255</v>
          </cell>
          <cell r="B78">
            <v>15</v>
          </cell>
          <cell r="C78">
            <v>19.8</v>
          </cell>
          <cell r="D78">
            <v>69697.33</v>
          </cell>
          <cell r="F78">
            <v>105.28162835585191</v>
          </cell>
          <cell r="G78">
            <v>107.66721044045677</v>
          </cell>
          <cell r="H78">
            <v>101.61677461250378</v>
          </cell>
        </row>
        <row r="79">
          <cell r="A79">
            <v>40256</v>
          </cell>
          <cell r="B79">
            <v>15.3</v>
          </cell>
          <cell r="C79">
            <v>19.649999999999999</v>
          </cell>
          <cell r="D79">
            <v>68828.98</v>
          </cell>
          <cell r="F79">
            <v>107.38726092296895</v>
          </cell>
          <cell r="G79">
            <v>106.85154975530178</v>
          </cell>
          <cell r="H79">
            <v>100.35074438961334</v>
          </cell>
        </row>
        <row r="80">
          <cell r="A80">
            <v>40257</v>
          </cell>
          <cell r="B80">
            <v>15.3</v>
          </cell>
          <cell r="C80">
            <v>19.649999999999999</v>
          </cell>
          <cell r="D80">
            <v>68828.98</v>
          </cell>
          <cell r="F80">
            <v>107.38726092296895</v>
          </cell>
          <cell r="G80">
            <v>106.85154975530178</v>
          </cell>
          <cell r="H80">
            <v>100.35074438961334</v>
          </cell>
        </row>
        <row r="81">
          <cell r="A81">
            <v>40258</v>
          </cell>
          <cell r="B81">
            <v>15.3</v>
          </cell>
          <cell r="C81">
            <v>19.649999999999999</v>
          </cell>
          <cell r="D81">
            <v>68828.98</v>
          </cell>
          <cell r="F81">
            <v>107.38726092296895</v>
          </cell>
          <cell r="G81">
            <v>106.85154975530178</v>
          </cell>
          <cell r="H81">
            <v>100.35074438961334</v>
          </cell>
        </row>
        <row r="82">
          <cell r="A82">
            <v>40259</v>
          </cell>
          <cell r="B82">
            <v>15.25</v>
          </cell>
          <cell r="C82">
            <v>19.7</v>
          </cell>
          <cell r="D82">
            <v>69041.73</v>
          </cell>
          <cell r="F82">
            <v>107.03632216178276</v>
          </cell>
          <cell r="G82">
            <v>107.12343665035344</v>
          </cell>
          <cell r="H82">
            <v>100.66092799060364</v>
          </cell>
        </row>
        <row r="83">
          <cell r="A83">
            <v>40260</v>
          </cell>
          <cell r="B83">
            <v>15.3</v>
          </cell>
          <cell r="C83">
            <v>19.75</v>
          </cell>
          <cell r="D83">
            <v>69386.720000000001</v>
          </cell>
          <cell r="F83">
            <v>107.38726092296895</v>
          </cell>
          <cell r="G83">
            <v>107.39532354540511</v>
          </cell>
          <cell r="H83">
            <v>101.16391384491928</v>
          </cell>
        </row>
        <row r="84">
          <cell r="A84">
            <v>40261</v>
          </cell>
          <cell r="B84">
            <v>15.2</v>
          </cell>
          <cell r="C84">
            <v>19.32</v>
          </cell>
          <cell r="D84">
            <v>68913.399999999994</v>
          </cell>
          <cell r="F84">
            <v>106.68538340059659</v>
          </cell>
          <cell r="G84">
            <v>105.05709624796084</v>
          </cell>
          <cell r="H84">
            <v>100.47382640886411</v>
          </cell>
        </row>
        <row r="85">
          <cell r="A85">
            <v>40262</v>
          </cell>
          <cell r="B85">
            <v>15.2</v>
          </cell>
          <cell r="C85">
            <v>19.55</v>
          </cell>
          <cell r="D85">
            <v>68441.66</v>
          </cell>
          <cell r="F85">
            <v>106.68538340059659</v>
          </cell>
          <cell r="G85">
            <v>106.30777596519847</v>
          </cell>
          <cell r="H85">
            <v>99.786042568999633</v>
          </cell>
        </row>
        <row r="86">
          <cell r="A86">
            <v>40263</v>
          </cell>
          <cell r="B86">
            <v>15.29</v>
          </cell>
          <cell r="C86">
            <v>19.46</v>
          </cell>
          <cell r="D86">
            <v>68682.66</v>
          </cell>
          <cell r="F86">
            <v>107.31707317073169</v>
          </cell>
          <cell r="G86">
            <v>105.81837955410549</v>
          </cell>
          <cell r="H86">
            <v>100.1374138866902</v>
          </cell>
        </row>
        <row r="87">
          <cell r="A87">
            <v>40264</v>
          </cell>
          <cell r="B87">
            <v>15.29</v>
          </cell>
          <cell r="C87">
            <v>19.46</v>
          </cell>
          <cell r="D87">
            <v>68682.66</v>
          </cell>
          <cell r="F87">
            <v>107.31707317073169</v>
          </cell>
          <cell r="G87">
            <v>105.81837955410549</v>
          </cell>
          <cell r="H87">
            <v>100.1374138866902</v>
          </cell>
        </row>
        <row r="88">
          <cell r="A88">
            <v>40265</v>
          </cell>
          <cell r="B88">
            <v>15.29</v>
          </cell>
          <cell r="C88">
            <v>19.46</v>
          </cell>
          <cell r="D88">
            <v>68682.66</v>
          </cell>
          <cell r="F88">
            <v>107.31707317073169</v>
          </cell>
          <cell r="G88">
            <v>105.81837955410549</v>
          </cell>
          <cell r="H88">
            <v>100.1374138866902</v>
          </cell>
        </row>
        <row r="89">
          <cell r="A89">
            <v>40266</v>
          </cell>
          <cell r="B89">
            <v>15.45</v>
          </cell>
          <cell r="C89">
            <v>19.3</v>
          </cell>
          <cell r="D89">
            <v>69939.12</v>
          </cell>
          <cell r="F89">
            <v>108.44007720652746</v>
          </cell>
          <cell r="G89">
            <v>104.94834148994019</v>
          </cell>
          <cell r="H89">
            <v>101.96929772828965</v>
          </cell>
        </row>
        <row r="90">
          <cell r="A90">
            <v>40267</v>
          </cell>
          <cell r="B90">
            <v>15.54</v>
          </cell>
          <cell r="C90">
            <v>19.41</v>
          </cell>
          <cell r="D90">
            <v>69959.58</v>
          </cell>
          <cell r="F90">
            <v>109.07176697666256</v>
          </cell>
          <cell r="G90">
            <v>105.54649265905383</v>
          </cell>
          <cell r="H90">
            <v>101.99912784098655</v>
          </cell>
        </row>
        <row r="91">
          <cell r="A91">
            <v>40268</v>
          </cell>
          <cell r="B91">
            <v>15.6</v>
          </cell>
          <cell r="C91">
            <v>19</v>
          </cell>
          <cell r="D91">
            <v>70371.539999999994</v>
          </cell>
          <cell r="F91">
            <v>109.49289349008598</v>
          </cell>
          <cell r="G91">
            <v>103.31702011963021</v>
          </cell>
          <cell r="H91">
            <v>102.5997540983965</v>
          </cell>
        </row>
        <row r="92">
          <cell r="A92">
            <v>40269</v>
          </cell>
          <cell r="B92">
            <v>15.15</v>
          </cell>
          <cell r="C92">
            <v>18.309999999999999</v>
          </cell>
          <cell r="D92">
            <v>71136.34</v>
          </cell>
          <cell r="F92">
            <v>106.33444463941042</v>
          </cell>
          <cell r="G92">
            <v>99.564980967917336</v>
          </cell>
          <cell r="H92">
            <v>103.71481129246179</v>
          </cell>
        </row>
        <row r="93">
          <cell r="A93">
            <v>40270</v>
          </cell>
          <cell r="B93">
            <v>15.15</v>
          </cell>
          <cell r="C93">
            <v>18.309999999999999</v>
          </cell>
          <cell r="D93">
            <v>71136.34</v>
          </cell>
          <cell r="F93">
            <v>106.33444463941042</v>
          </cell>
          <cell r="G93">
            <v>99.564980967917336</v>
          </cell>
          <cell r="H93">
            <v>103.71481129246179</v>
          </cell>
        </row>
        <row r="94">
          <cell r="A94">
            <v>40271</v>
          </cell>
          <cell r="B94">
            <v>15.15</v>
          </cell>
          <cell r="C94">
            <v>18.309999999999999</v>
          </cell>
          <cell r="D94">
            <v>71136.34</v>
          </cell>
          <cell r="F94">
            <v>106.33444463941042</v>
          </cell>
          <cell r="G94">
            <v>99.564980967917336</v>
          </cell>
          <cell r="H94">
            <v>103.71481129246179</v>
          </cell>
        </row>
        <row r="95">
          <cell r="A95">
            <v>40272</v>
          </cell>
          <cell r="B95">
            <v>15.15</v>
          </cell>
          <cell r="C95">
            <v>18.309999999999999</v>
          </cell>
          <cell r="D95">
            <v>71136.34</v>
          </cell>
          <cell r="F95">
            <v>106.33444463941042</v>
          </cell>
          <cell r="G95">
            <v>99.564980967917336</v>
          </cell>
          <cell r="H95">
            <v>103.71481129246179</v>
          </cell>
        </row>
        <row r="96">
          <cell r="A96">
            <v>40273</v>
          </cell>
          <cell r="B96">
            <v>14.83</v>
          </cell>
          <cell r="C96">
            <v>17.8</v>
          </cell>
          <cell r="D96">
            <v>71289.679999999993</v>
          </cell>
          <cell r="F96">
            <v>104.08843656781892</v>
          </cell>
          <cell r="G96">
            <v>96.791734638390423</v>
          </cell>
          <cell r="H96">
            <v>103.93837676073842</v>
          </cell>
        </row>
        <row r="97">
          <cell r="A97">
            <v>40274</v>
          </cell>
          <cell r="B97">
            <v>14.4</v>
          </cell>
          <cell r="C97">
            <v>17.399999999999999</v>
          </cell>
          <cell r="D97">
            <v>71095.649999999994</v>
          </cell>
          <cell r="F97">
            <v>101.07036322161782</v>
          </cell>
          <cell r="G97">
            <v>94.616639477977145</v>
          </cell>
          <cell r="H97">
            <v>103.65548640069071</v>
          </cell>
        </row>
        <row r="98">
          <cell r="A98">
            <v>40275</v>
          </cell>
          <cell r="B98">
            <v>14.8</v>
          </cell>
          <cell r="C98">
            <v>17.100000000000001</v>
          </cell>
          <cell r="D98">
            <v>70792.94</v>
          </cell>
          <cell r="F98">
            <v>103.87787331110721</v>
          </cell>
          <cell r="G98">
            <v>92.985318107667212</v>
          </cell>
          <cell r="H98">
            <v>103.21414361405958</v>
          </cell>
        </row>
        <row r="99">
          <cell r="A99">
            <v>40276</v>
          </cell>
          <cell r="B99">
            <v>15.15</v>
          </cell>
          <cell r="C99">
            <v>17.62</v>
          </cell>
          <cell r="D99">
            <v>71784.78</v>
          </cell>
          <cell r="F99">
            <v>106.33444463941042</v>
          </cell>
          <cell r="G99">
            <v>95.812941816204471</v>
          </cell>
          <cell r="H99">
            <v>104.66021883289028</v>
          </cell>
        </row>
        <row r="100">
          <cell r="A100">
            <v>40277</v>
          </cell>
          <cell r="B100">
            <v>15.25</v>
          </cell>
          <cell r="C100">
            <v>17.899999999999999</v>
          </cell>
          <cell r="D100">
            <v>71417.27</v>
          </cell>
          <cell r="F100">
            <v>107.03632216178276</v>
          </cell>
          <cell r="G100">
            <v>97.335508428493739</v>
          </cell>
          <cell r="H100">
            <v>104.12439944299628</v>
          </cell>
        </row>
        <row r="101">
          <cell r="A101">
            <v>40278</v>
          </cell>
          <cell r="B101">
            <v>15.25</v>
          </cell>
          <cell r="C101">
            <v>17.899999999999999</v>
          </cell>
          <cell r="D101">
            <v>71417.27</v>
          </cell>
          <cell r="F101">
            <v>107.03632216178276</v>
          </cell>
          <cell r="G101">
            <v>97.335508428493739</v>
          </cell>
          <cell r="H101">
            <v>104.12439944299628</v>
          </cell>
        </row>
        <row r="102">
          <cell r="A102">
            <v>40279</v>
          </cell>
          <cell r="B102">
            <v>15.25</v>
          </cell>
          <cell r="C102">
            <v>17.899999999999999</v>
          </cell>
          <cell r="D102">
            <v>71417.27</v>
          </cell>
          <cell r="F102">
            <v>107.03632216178276</v>
          </cell>
          <cell r="G102">
            <v>97.335508428493739</v>
          </cell>
          <cell r="H102">
            <v>104.12439944299628</v>
          </cell>
        </row>
        <row r="103">
          <cell r="A103">
            <v>40280</v>
          </cell>
          <cell r="B103">
            <v>15.11</v>
          </cell>
          <cell r="C103">
            <v>17.989999999999998</v>
          </cell>
          <cell r="D103">
            <v>70614.36</v>
          </cell>
          <cell r="F103">
            <v>106.05369363046148</v>
          </cell>
          <cell r="G103">
            <v>97.824904839586722</v>
          </cell>
          <cell r="H103">
            <v>102.95377892562314</v>
          </cell>
        </row>
        <row r="104">
          <cell r="A104">
            <v>40281</v>
          </cell>
          <cell r="B104">
            <v>14.8</v>
          </cell>
          <cell r="C104">
            <v>18.02</v>
          </cell>
          <cell r="D104">
            <v>70792.399999999994</v>
          </cell>
          <cell r="F104">
            <v>103.87787331110721</v>
          </cell>
          <cell r="G104">
            <v>97.988036976617721</v>
          </cell>
          <cell r="H104">
            <v>103.21335630903236</v>
          </cell>
        </row>
        <row r="105">
          <cell r="A105">
            <v>40282</v>
          </cell>
          <cell r="B105">
            <v>15.1</v>
          </cell>
          <cell r="C105">
            <v>18</v>
          </cell>
          <cell r="D105">
            <v>71034.850000000006</v>
          </cell>
          <cell r="F105">
            <v>105.98350587822425</v>
          </cell>
          <cell r="G105">
            <v>97.879282218597069</v>
          </cell>
          <cell r="H105">
            <v>103.56684168651817</v>
          </cell>
        </row>
        <row r="106">
          <cell r="A106">
            <v>40283</v>
          </cell>
          <cell r="B106">
            <v>15.33</v>
          </cell>
          <cell r="C106">
            <v>17.8</v>
          </cell>
          <cell r="D106">
            <v>70524.350000000006</v>
          </cell>
          <cell r="F106">
            <v>107.59782417968064</v>
          </cell>
          <cell r="G106">
            <v>96.791734638390423</v>
          </cell>
          <cell r="H106">
            <v>102.82254684136869</v>
          </cell>
        </row>
        <row r="107">
          <cell r="A107">
            <v>40284</v>
          </cell>
          <cell r="B107">
            <v>15.3</v>
          </cell>
          <cell r="C107">
            <v>17.8</v>
          </cell>
          <cell r="D107">
            <v>69421.350000000006</v>
          </cell>
          <cell r="F107">
            <v>107.38726092296895</v>
          </cell>
          <cell r="G107">
            <v>96.791734638390423</v>
          </cell>
          <cell r="H107">
            <v>101.21440342471854</v>
          </cell>
        </row>
        <row r="108">
          <cell r="A108">
            <v>40285</v>
          </cell>
          <cell r="B108">
            <v>15.3</v>
          </cell>
          <cell r="C108">
            <v>17.8</v>
          </cell>
          <cell r="D108">
            <v>69421.350000000006</v>
          </cell>
          <cell r="F108">
            <v>107.38726092296895</v>
          </cell>
          <cell r="G108">
            <v>96.791734638390423</v>
          </cell>
          <cell r="H108">
            <v>101.21440342471854</v>
          </cell>
        </row>
        <row r="109">
          <cell r="A109">
            <v>40286</v>
          </cell>
          <cell r="B109">
            <v>15.3</v>
          </cell>
          <cell r="C109">
            <v>17.8</v>
          </cell>
          <cell r="D109">
            <v>69421.350000000006</v>
          </cell>
          <cell r="F109">
            <v>107.38726092296895</v>
          </cell>
          <cell r="G109">
            <v>96.791734638390423</v>
          </cell>
          <cell r="H109">
            <v>101.21440342471854</v>
          </cell>
        </row>
        <row r="110">
          <cell r="A110">
            <v>40287</v>
          </cell>
          <cell r="B110">
            <v>15.2</v>
          </cell>
          <cell r="C110">
            <v>17.7</v>
          </cell>
          <cell r="D110">
            <v>69097.58</v>
          </cell>
          <cell r="F110">
            <v>106.68538340059659</v>
          </cell>
          <cell r="G110">
            <v>96.247960848287107</v>
          </cell>
          <cell r="H110">
            <v>100.74235574202697</v>
          </cell>
        </row>
        <row r="111">
          <cell r="A111">
            <v>40288</v>
          </cell>
          <cell r="B111">
            <v>15.2</v>
          </cell>
          <cell r="C111">
            <v>18</v>
          </cell>
          <cell r="D111">
            <v>69318.44</v>
          </cell>
          <cell r="F111">
            <v>106.68538340059659</v>
          </cell>
          <cell r="G111">
            <v>97.879282218597069</v>
          </cell>
          <cell r="H111">
            <v>101.06436349814787</v>
          </cell>
        </row>
        <row r="112">
          <cell r="A112">
            <v>40289</v>
          </cell>
          <cell r="B112">
            <v>15.2</v>
          </cell>
          <cell r="C112">
            <v>18</v>
          </cell>
          <cell r="D112">
            <v>69318.44</v>
          </cell>
          <cell r="F112">
            <v>106.68538340059659</v>
          </cell>
          <cell r="G112">
            <v>97.879282218597069</v>
          </cell>
          <cell r="H112">
            <v>101.06436349814787</v>
          </cell>
        </row>
        <row r="113">
          <cell r="A113">
            <v>40290</v>
          </cell>
          <cell r="B113">
            <v>15.05</v>
          </cell>
          <cell r="C113">
            <v>17.899999999999999</v>
          </cell>
          <cell r="D113">
            <v>69386.41</v>
          </cell>
          <cell r="F113">
            <v>105.63256711703808</v>
          </cell>
          <cell r="G113">
            <v>97.335508428493739</v>
          </cell>
          <cell r="H113">
            <v>101.16346187351479</v>
          </cell>
        </row>
        <row r="114">
          <cell r="A114">
            <v>40291</v>
          </cell>
          <cell r="B114">
            <v>15.15</v>
          </cell>
          <cell r="C114">
            <v>18</v>
          </cell>
          <cell r="D114">
            <v>69509.490000000005</v>
          </cell>
          <cell r="F114">
            <v>106.33444463941042</v>
          </cell>
          <cell r="G114">
            <v>97.879282218597069</v>
          </cell>
          <cell r="H114">
            <v>101.34290910082331</v>
          </cell>
        </row>
        <row r="115">
          <cell r="A115">
            <v>40292</v>
          </cell>
          <cell r="B115">
            <v>15.15</v>
          </cell>
          <cell r="C115">
            <v>18</v>
          </cell>
          <cell r="D115">
            <v>69509.490000000005</v>
          </cell>
          <cell r="F115">
            <v>106.33444463941042</v>
          </cell>
          <cell r="G115">
            <v>97.879282218597069</v>
          </cell>
          <cell r="H115">
            <v>101.34290910082331</v>
          </cell>
        </row>
        <row r="116">
          <cell r="A116">
            <v>40293</v>
          </cell>
          <cell r="B116">
            <v>15.15</v>
          </cell>
          <cell r="C116">
            <v>18</v>
          </cell>
          <cell r="D116">
            <v>69509.490000000005</v>
          </cell>
          <cell r="F116">
            <v>106.33444463941042</v>
          </cell>
          <cell r="G116">
            <v>97.879282218597069</v>
          </cell>
          <cell r="H116">
            <v>101.34290910082331</v>
          </cell>
        </row>
        <row r="117">
          <cell r="A117">
            <v>40294</v>
          </cell>
          <cell r="B117">
            <v>14.9</v>
          </cell>
          <cell r="C117">
            <v>18.010000000000002</v>
          </cell>
          <cell r="D117">
            <v>68871.94</v>
          </cell>
          <cell r="F117">
            <v>104.57975083347955</v>
          </cell>
          <cell r="G117">
            <v>97.933659597607402</v>
          </cell>
          <cell r="H117">
            <v>100.41337887844317</v>
          </cell>
        </row>
        <row r="118">
          <cell r="A118">
            <v>40295</v>
          </cell>
          <cell r="B118">
            <v>14.9</v>
          </cell>
          <cell r="C118">
            <v>17.5</v>
          </cell>
          <cell r="D118">
            <v>66511.100000000006</v>
          </cell>
          <cell r="F118">
            <v>104.57975083347955</v>
          </cell>
          <cell r="G118">
            <v>95.160413268080475</v>
          </cell>
          <cell r="H118">
            <v>96.971339618457407</v>
          </cell>
        </row>
        <row r="119">
          <cell r="A119">
            <v>40296</v>
          </cell>
          <cell r="B119">
            <v>14.9</v>
          </cell>
          <cell r="C119">
            <v>17.5</v>
          </cell>
          <cell r="D119">
            <v>66655.710000000006</v>
          </cell>
          <cell r="F119">
            <v>104.57975083347955</v>
          </cell>
          <cell r="G119">
            <v>95.160413268080475</v>
          </cell>
          <cell r="H119">
            <v>97.182176988794467</v>
          </cell>
        </row>
        <row r="120">
          <cell r="A120">
            <v>40297</v>
          </cell>
          <cell r="B120">
            <v>15.02</v>
          </cell>
          <cell r="C120">
            <v>17.7</v>
          </cell>
          <cell r="D120">
            <v>67978.05</v>
          </cell>
          <cell r="F120">
            <v>105.42200386032636</v>
          </cell>
          <cell r="G120">
            <v>96.247960848287107</v>
          </cell>
          <cell r="H120">
            <v>99.110112043711169</v>
          </cell>
        </row>
        <row r="121">
          <cell r="A121">
            <v>40298</v>
          </cell>
          <cell r="B121">
            <v>15.1</v>
          </cell>
          <cell r="C121">
            <v>17.73</v>
          </cell>
          <cell r="D121">
            <v>67529.73</v>
          </cell>
          <cell r="F121">
            <v>105.98350587822425</v>
          </cell>
          <cell r="G121">
            <v>96.411092985318106</v>
          </cell>
          <cell r="H121">
            <v>98.456473914470379</v>
          </cell>
        </row>
        <row r="122">
          <cell r="A122">
            <v>40299</v>
          </cell>
          <cell r="B122">
            <v>15.1</v>
          </cell>
          <cell r="C122">
            <v>17.73</v>
          </cell>
          <cell r="D122">
            <v>67529.73</v>
          </cell>
          <cell r="F122">
            <v>105.98350587822425</v>
          </cell>
          <cell r="G122">
            <v>96.411092985318106</v>
          </cell>
          <cell r="H122">
            <v>98.456473914470379</v>
          </cell>
        </row>
        <row r="123">
          <cell r="A123">
            <v>40300</v>
          </cell>
          <cell r="B123">
            <v>15.1</v>
          </cell>
          <cell r="C123">
            <v>17.73</v>
          </cell>
          <cell r="D123">
            <v>67529.73</v>
          </cell>
          <cell r="F123">
            <v>105.98350587822425</v>
          </cell>
          <cell r="G123">
            <v>96.411092985318106</v>
          </cell>
          <cell r="H123">
            <v>98.456473914470379</v>
          </cell>
        </row>
        <row r="124">
          <cell r="A124">
            <v>40301</v>
          </cell>
          <cell r="B124">
            <v>15.35</v>
          </cell>
          <cell r="C124">
            <v>18.170000000000002</v>
          </cell>
          <cell r="D124">
            <v>67119.41</v>
          </cell>
          <cell r="F124">
            <v>107.73819968415511</v>
          </cell>
          <cell r="G124">
            <v>98.803697661772702</v>
          </cell>
          <cell r="H124">
            <v>97.858238731587448</v>
          </cell>
        </row>
        <row r="125">
          <cell r="A125">
            <v>40302</v>
          </cell>
          <cell r="B125">
            <v>15.2</v>
          </cell>
          <cell r="C125">
            <v>17.8</v>
          </cell>
          <cell r="D125">
            <v>64869.32</v>
          </cell>
          <cell r="F125">
            <v>106.68538340059659</v>
          </cell>
          <cell r="G125">
            <v>96.791734638390423</v>
          </cell>
          <cell r="H125">
            <v>94.577669900789346</v>
          </cell>
        </row>
        <row r="126">
          <cell r="A126">
            <v>40303</v>
          </cell>
          <cell r="B126">
            <v>15.19</v>
          </cell>
          <cell r="C126">
            <v>17.600000000000001</v>
          </cell>
          <cell r="D126">
            <v>64914.17</v>
          </cell>
          <cell r="F126">
            <v>106.61519564835935</v>
          </cell>
          <cell r="G126">
            <v>95.704187058183805</v>
          </cell>
          <cell r="H126">
            <v>94.643059957214334</v>
          </cell>
        </row>
        <row r="127">
          <cell r="A127">
            <v>40304</v>
          </cell>
          <cell r="B127">
            <v>15</v>
          </cell>
          <cell r="C127">
            <v>17.2</v>
          </cell>
          <cell r="D127">
            <v>63414.22</v>
          </cell>
          <cell r="F127">
            <v>105.28162835585191</v>
          </cell>
          <cell r="G127">
            <v>93.529091897770527</v>
          </cell>
          <cell r="H127">
            <v>92.456174446965605</v>
          </cell>
        </row>
        <row r="128">
          <cell r="A128">
            <v>40305</v>
          </cell>
          <cell r="B128">
            <v>14.72</v>
          </cell>
          <cell r="C128">
            <v>16.96</v>
          </cell>
          <cell r="D128">
            <v>62870.879999999997</v>
          </cell>
          <cell r="F128">
            <v>103.31637129320934</v>
          </cell>
          <cell r="G128">
            <v>92.224034801522563</v>
          </cell>
          <cell r="H128">
            <v>91.663999792384743</v>
          </cell>
        </row>
        <row r="129">
          <cell r="A129">
            <v>40306</v>
          </cell>
          <cell r="B129">
            <v>14.72</v>
          </cell>
          <cell r="C129">
            <v>16.96</v>
          </cell>
          <cell r="D129">
            <v>62870.879999999997</v>
          </cell>
          <cell r="F129">
            <v>103.31637129320934</v>
          </cell>
          <cell r="G129">
            <v>92.224034801522563</v>
          </cell>
          <cell r="H129">
            <v>91.663999792384743</v>
          </cell>
        </row>
        <row r="130">
          <cell r="A130">
            <v>40307</v>
          </cell>
          <cell r="B130">
            <v>14.72</v>
          </cell>
          <cell r="C130">
            <v>16.96</v>
          </cell>
          <cell r="D130">
            <v>62870.879999999997</v>
          </cell>
          <cell r="F130">
            <v>103.31637129320934</v>
          </cell>
          <cell r="G130">
            <v>92.224034801522563</v>
          </cell>
          <cell r="H130">
            <v>91.663999792384743</v>
          </cell>
        </row>
        <row r="131">
          <cell r="A131">
            <v>40308</v>
          </cell>
          <cell r="B131">
            <v>15.28</v>
          </cell>
          <cell r="C131">
            <v>16.86</v>
          </cell>
          <cell r="D131">
            <v>65452.68</v>
          </cell>
          <cell r="F131">
            <v>107.24688541849447</v>
          </cell>
          <cell r="G131">
            <v>91.680261011419233</v>
          </cell>
          <cell r="H131">
            <v>95.42819260571865</v>
          </cell>
        </row>
        <row r="132">
          <cell r="A132">
            <v>40309</v>
          </cell>
          <cell r="B132">
            <v>15.29</v>
          </cell>
          <cell r="C132">
            <v>16.95</v>
          </cell>
          <cell r="D132">
            <v>64424.89</v>
          </cell>
          <cell r="F132">
            <v>107.31707317073169</v>
          </cell>
          <cell r="G132">
            <v>92.16965742251223</v>
          </cell>
          <cell r="H132">
            <v>93.92970328368888</v>
          </cell>
        </row>
        <row r="133">
          <cell r="A133">
            <v>40310</v>
          </cell>
          <cell r="B133">
            <v>15.3</v>
          </cell>
          <cell r="C133">
            <v>17.16</v>
          </cell>
          <cell r="D133">
            <v>65223.63</v>
          </cell>
          <cell r="F133">
            <v>107.38726092296895</v>
          </cell>
          <cell r="G133">
            <v>93.311582381729195</v>
          </cell>
          <cell r="H133">
            <v>95.094244056685369</v>
          </cell>
        </row>
        <row r="134">
          <cell r="A134">
            <v>40311</v>
          </cell>
          <cell r="B134">
            <v>15.33</v>
          </cell>
          <cell r="C134">
            <v>17.7</v>
          </cell>
          <cell r="D134">
            <v>64788.22</v>
          </cell>
          <cell r="F134">
            <v>107.59782417968064</v>
          </cell>
          <cell r="G134">
            <v>96.247960848287107</v>
          </cell>
          <cell r="H134">
            <v>94.459428349483531</v>
          </cell>
        </row>
        <row r="135">
          <cell r="A135">
            <v>40312</v>
          </cell>
          <cell r="B135">
            <v>15.2</v>
          </cell>
          <cell r="C135">
            <v>17.5</v>
          </cell>
          <cell r="D135">
            <v>63412.47</v>
          </cell>
          <cell r="F135">
            <v>106.68538340059659</v>
          </cell>
          <cell r="G135">
            <v>95.160413268080475</v>
          </cell>
          <cell r="H135">
            <v>92.453622995488587</v>
          </cell>
        </row>
        <row r="136">
          <cell r="A136">
            <v>40313</v>
          </cell>
          <cell r="B136">
            <v>15.2</v>
          </cell>
          <cell r="C136">
            <v>17.5</v>
          </cell>
          <cell r="D136">
            <v>63412.47</v>
          </cell>
          <cell r="F136">
            <v>106.68538340059659</v>
          </cell>
          <cell r="G136">
            <v>95.160413268080475</v>
          </cell>
          <cell r="H136">
            <v>92.453622995488587</v>
          </cell>
        </row>
        <row r="137">
          <cell r="A137">
            <v>40314</v>
          </cell>
          <cell r="B137">
            <v>15.2</v>
          </cell>
          <cell r="C137">
            <v>17.5</v>
          </cell>
          <cell r="D137">
            <v>63412.47</v>
          </cell>
          <cell r="F137">
            <v>106.68538340059659</v>
          </cell>
          <cell r="G137">
            <v>95.160413268080475</v>
          </cell>
          <cell r="H137">
            <v>92.453622995488587</v>
          </cell>
        </row>
        <row r="138">
          <cell r="A138">
            <v>40315</v>
          </cell>
          <cell r="B138">
            <v>15.29</v>
          </cell>
          <cell r="C138">
            <v>17.25</v>
          </cell>
          <cell r="D138">
            <v>62866.26</v>
          </cell>
          <cell r="F138">
            <v>107.31707317073169</v>
          </cell>
          <cell r="G138">
            <v>93.800978792822193</v>
          </cell>
          <cell r="H138">
            <v>91.657263960485452</v>
          </cell>
        </row>
        <row r="139">
          <cell r="A139">
            <v>40316</v>
          </cell>
          <cell r="B139">
            <v>15.39</v>
          </cell>
          <cell r="C139">
            <v>17.100000000000001</v>
          </cell>
          <cell r="D139">
            <v>60841.08</v>
          </cell>
          <cell r="F139">
            <v>108.01895069310406</v>
          </cell>
          <cell r="G139">
            <v>92.985318107667212</v>
          </cell>
          <cell r="H139">
            <v>88.704607673512186</v>
          </cell>
        </row>
        <row r="140">
          <cell r="A140">
            <v>40317</v>
          </cell>
          <cell r="B140">
            <v>14.8</v>
          </cell>
          <cell r="C140">
            <v>17</v>
          </cell>
          <cell r="D140">
            <v>59689.32</v>
          </cell>
          <cell r="F140">
            <v>103.87787331110721</v>
          </cell>
          <cell r="G140">
            <v>92.441544317563896</v>
          </cell>
          <cell r="H140">
            <v>87.025373528851304</v>
          </cell>
        </row>
        <row r="141">
          <cell r="A141">
            <v>40318</v>
          </cell>
          <cell r="B141">
            <v>14</v>
          </cell>
          <cell r="C141">
            <v>16.7</v>
          </cell>
          <cell r="D141">
            <v>58192.08</v>
          </cell>
          <cell r="F141">
            <v>98.262853132128441</v>
          </cell>
          <cell r="G141">
            <v>90.810222947253934</v>
          </cell>
          <cell r="H141">
            <v>84.842439123461233</v>
          </cell>
        </row>
        <row r="142">
          <cell r="A142">
            <v>40319</v>
          </cell>
          <cell r="B142">
            <v>14.95</v>
          </cell>
          <cell r="C142">
            <v>16.600000000000001</v>
          </cell>
          <cell r="D142">
            <v>60259.33</v>
          </cell>
          <cell r="F142">
            <v>104.93068959466572</v>
          </cell>
          <cell r="G142">
            <v>90.266449157150632</v>
          </cell>
          <cell r="H142">
            <v>87.856432303941716</v>
          </cell>
        </row>
        <row r="143">
          <cell r="A143">
            <v>40320</v>
          </cell>
          <cell r="B143">
            <v>14.95</v>
          </cell>
          <cell r="C143">
            <v>16.600000000000001</v>
          </cell>
          <cell r="D143">
            <v>60259.33</v>
          </cell>
          <cell r="F143">
            <v>104.93068959466572</v>
          </cell>
          <cell r="G143">
            <v>90.266449157150632</v>
          </cell>
          <cell r="H143">
            <v>87.856432303941716</v>
          </cell>
        </row>
        <row r="144">
          <cell r="A144">
            <v>40321</v>
          </cell>
          <cell r="B144">
            <v>14.95</v>
          </cell>
          <cell r="C144">
            <v>16.600000000000001</v>
          </cell>
          <cell r="D144">
            <v>60259.33</v>
          </cell>
          <cell r="F144">
            <v>104.93068959466572</v>
          </cell>
          <cell r="G144">
            <v>90.266449157150632</v>
          </cell>
          <cell r="H144">
            <v>87.856432303941716</v>
          </cell>
        </row>
        <row r="145">
          <cell r="A145">
            <v>40322</v>
          </cell>
          <cell r="B145">
            <v>15.1</v>
          </cell>
          <cell r="C145">
            <v>16.52</v>
          </cell>
          <cell r="D145">
            <v>59915.14</v>
          </cell>
          <cell r="F145">
            <v>105.98350587822425</v>
          </cell>
          <cell r="G145">
            <v>89.831430125067968</v>
          </cell>
          <cell r="H145">
            <v>87.354612827444171</v>
          </cell>
        </row>
        <row r="146">
          <cell r="A146">
            <v>40323</v>
          </cell>
          <cell r="B146">
            <v>14.89</v>
          </cell>
          <cell r="C146">
            <v>16.5</v>
          </cell>
          <cell r="D146">
            <v>59184.08</v>
          </cell>
          <cell r="F146">
            <v>104.50956308124233</v>
          </cell>
          <cell r="G146">
            <v>89.722675367047316</v>
          </cell>
          <cell r="H146">
            <v>86.288747617855549</v>
          </cell>
        </row>
        <row r="147">
          <cell r="A147">
            <v>40324</v>
          </cell>
          <cell r="B147">
            <v>14.86</v>
          </cell>
          <cell r="C147">
            <v>17</v>
          </cell>
          <cell r="D147">
            <v>60190.36</v>
          </cell>
          <cell r="F147">
            <v>104.29899982453061</v>
          </cell>
          <cell r="G147">
            <v>92.441544317563896</v>
          </cell>
          <cell r="H147">
            <v>87.755875956302233</v>
          </cell>
        </row>
        <row r="148">
          <cell r="A148">
            <v>40325</v>
          </cell>
          <cell r="B148">
            <v>15.1</v>
          </cell>
          <cell r="C148">
            <v>17.149999999999999</v>
          </cell>
          <cell r="D148">
            <v>62091.77</v>
          </cell>
          <cell r="F148">
            <v>105.98350587822425</v>
          </cell>
          <cell r="G148">
            <v>93.257205002718862</v>
          </cell>
          <cell r="H148">
            <v>90.528079015098896</v>
          </cell>
        </row>
        <row r="149">
          <cell r="A149">
            <v>40326</v>
          </cell>
          <cell r="B149">
            <v>14.97</v>
          </cell>
          <cell r="C149">
            <v>17.829999999999998</v>
          </cell>
          <cell r="D149">
            <v>61946.99</v>
          </cell>
          <cell r="F149">
            <v>105.0710650991402</v>
          </cell>
          <cell r="G149">
            <v>96.954866775421408</v>
          </cell>
          <cell r="H149">
            <v>90.316993789475504</v>
          </cell>
        </row>
        <row r="150">
          <cell r="A150">
            <v>40327</v>
          </cell>
          <cell r="B150">
            <v>14.97</v>
          </cell>
          <cell r="C150">
            <v>17.829999999999998</v>
          </cell>
          <cell r="D150">
            <v>61946.99</v>
          </cell>
          <cell r="F150">
            <v>105.0710650991402</v>
          </cell>
          <cell r="G150">
            <v>96.954866775421408</v>
          </cell>
          <cell r="H150">
            <v>90.316993789475504</v>
          </cell>
        </row>
        <row r="151">
          <cell r="A151">
            <v>40328</v>
          </cell>
          <cell r="B151">
            <v>14.97</v>
          </cell>
          <cell r="C151">
            <v>17.829999999999998</v>
          </cell>
          <cell r="D151">
            <v>61946.99</v>
          </cell>
          <cell r="F151">
            <v>105.0710650991402</v>
          </cell>
          <cell r="G151">
            <v>96.954866775421408</v>
          </cell>
          <cell r="H151">
            <v>90.316993789475504</v>
          </cell>
        </row>
        <row r="152">
          <cell r="A152">
            <v>40329</v>
          </cell>
          <cell r="B152">
            <v>14.97</v>
          </cell>
          <cell r="C152">
            <v>17.829999999999998</v>
          </cell>
          <cell r="D152">
            <v>61946.99</v>
          </cell>
          <cell r="F152">
            <v>105.0710650991402</v>
          </cell>
          <cell r="G152">
            <v>96.954866775421408</v>
          </cell>
          <cell r="H152">
            <v>90.316993789475504</v>
          </cell>
        </row>
        <row r="153">
          <cell r="A153">
            <v>40330</v>
          </cell>
          <cell r="B153">
            <v>14.8</v>
          </cell>
          <cell r="C153">
            <v>17.510000000000002</v>
          </cell>
          <cell r="D153">
            <v>61840.99</v>
          </cell>
          <cell r="F153">
            <v>103.87787331110721</v>
          </cell>
          <cell r="G153">
            <v>95.214790647090823</v>
          </cell>
          <cell r="H153">
            <v>90.162448728582561</v>
          </cell>
        </row>
        <row r="154">
          <cell r="A154">
            <v>40331</v>
          </cell>
          <cell r="B154">
            <v>15.35</v>
          </cell>
          <cell r="C154">
            <v>17.600000000000001</v>
          </cell>
          <cell r="D154">
            <v>62942.91</v>
          </cell>
          <cell r="F154">
            <v>107.73819968415511</v>
          </cell>
          <cell r="G154">
            <v>95.704187058183805</v>
          </cell>
          <cell r="H154">
            <v>91.769017535178321</v>
          </cell>
        </row>
        <row r="155">
          <cell r="A155">
            <v>40332</v>
          </cell>
          <cell r="B155">
            <v>15.35</v>
          </cell>
          <cell r="C155">
            <v>17.600000000000001</v>
          </cell>
          <cell r="D155">
            <v>62942.91</v>
          </cell>
          <cell r="F155">
            <v>107.73819968415511</v>
          </cell>
          <cell r="G155">
            <v>95.704187058183805</v>
          </cell>
          <cell r="H155">
            <v>91.769017535178321</v>
          </cell>
        </row>
        <row r="156">
          <cell r="A156">
            <v>40333</v>
          </cell>
          <cell r="B156">
            <v>15.4</v>
          </cell>
          <cell r="C156">
            <v>17.95</v>
          </cell>
          <cell r="D156">
            <v>61675.75</v>
          </cell>
          <cell r="F156">
            <v>108.08913844534129</v>
          </cell>
          <cell r="G156">
            <v>97.607395323545404</v>
          </cell>
          <cell r="H156">
            <v>89.921533390262283</v>
          </cell>
        </row>
        <row r="157">
          <cell r="A157">
            <v>40334</v>
          </cell>
          <cell r="B157">
            <v>15.4</v>
          </cell>
          <cell r="C157">
            <v>17.95</v>
          </cell>
          <cell r="D157">
            <v>61675.75</v>
          </cell>
          <cell r="F157">
            <v>108.08913844534129</v>
          </cell>
          <cell r="G157">
            <v>97.607395323545404</v>
          </cell>
          <cell r="H157">
            <v>89.921533390262283</v>
          </cell>
        </row>
        <row r="158">
          <cell r="A158">
            <v>40335</v>
          </cell>
          <cell r="B158">
            <v>15.4</v>
          </cell>
          <cell r="C158">
            <v>17.95</v>
          </cell>
          <cell r="D158">
            <v>61675.75</v>
          </cell>
          <cell r="F158">
            <v>108.08913844534129</v>
          </cell>
          <cell r="G158">
            <v>97.607395323545404</v>
          </cell>
          <cell r="H158">
            <v>89.921533390262283</v>
          </cell>
        </row>
        <row r="159">
          <cell r="A159">
            <v>40336</v>
          </cell>
          <cell r="B159">
            <v>15</v>
          </cell>
          <cell r="C159">
            <v>18.399999999999999</v>
          </cell>
          <cell r="D159">
            <v>61182.92</v>
          </cell>
          <cell r="F159">
            <v>105.28162835585191</v>
          </cell>
          <cell r="G159">
            <v>100.05437737901033</v>
          </cell>
          <cell r="H159">
            <v>89.203000915169184</v>
          </cell>
        </row>
        <row r="160">
          <cell r="A160">
            <v>40337</v>
          </cell>
          <cell r="B160">
            <v>14.56</v>
          </cell>
          <cell r="C160">
            <v>19</v>
          </cell>
          <cell r="D160">
            <v>61793</v>
          </cell>
          <cell r="F160">
            <v>102.1933672574136</v>
          </cell>
          <cell r="G160">
            <v>103.31702011963021</v>
          </cell>
          <cell r="H160">
            <v>90.092480639221691</v>
          </cell>
        </row>
        <row r="161">
          <cell r="A161">
            <v>40338</v>
          </cell>
          <cell r="B161">
            <v>14.48</v>
          </cell>
          <cell r="C161">
            <v>18.25</v>
          </cell>
          <cell r="D161">
            <v>61478.61</v>
          </cell>
          <cell r="F161">
            <v>101.6318652395157</v>
          </cell>
          <cell r="G161">
            <v>99.238716693855352</v>
          </cell>
          <cell r="H161">
            <v>89.634108736446876</v>
          </cell>
        </row>
        <row r="162">
          <cell r="A162">
            <v>40339</v>
          </cell>
          <cell r="B162">
            <v>14.36</v>
          </cell>
          <cell r="C162">
            <v>18.649999999999999</v>
          </cell>
          <cell r="D162">
            <v>63048.800000000003</v>
          </cell>
          <cell r="F162">
            <v>100.78961221266889</v>
          </cell>
          <cell r="G162">
            <v>101.41381185426862</v>
          </cell>
          <cell r="H162">
            <v>91.923402219121272</v>
          </cell>
        </row>
        <row r="163">
          <cell r="A163">
            <v>40340</v>
          </cell>
          <cell r="B163">
            <v>14.6</v>
          </cell>
          <cell r="C163">
            <v>18.5</v>
          </cell>
          <cell r="D163">
            <v>63605.38</v>
          </cell>
          <cell r="F163">
            <v>102.47411826636252</v>
          </cell>
          <cell r="G163">
            <v>100.59815116911363</v>
          </cell>
          <cell r="H163">
            <v>92.734880426591019</v>
          </cell>
        </row>
        <row r="164">
          <cell r="A164">
            <v>40341</v>
          </cell>
          <cell r="B164">
            <v>14.6</v>
          </cell>
          <cell r="C164">
            <v>18.5</v>
          </cell>
          <cell r="D164">
            <v>63605.38</v>
          </cell>
          <cell r="F164">
            <v>102.47411826636252</v>
          </cell>
          <cell r="G164">
            <v>100.59815116911363</v>
          </cell>
          <cell r="H164">
            <v>92.734880426591019</v>
          </cell>
        </row>
        <row r="165">
          <cell r="A165">
            <v>40342</v>
          </cell>
          <cell r="B165">
            <v>14.6</v>
          </cell>
          <cell r="C165">
            <v>18.5</v>
          </cell>
          <cell r="D165">
            <v>63605.38</v>
          </cell>
          <cell r="F165">
            <v>102.47411826636252</v>
          </cell>
          <cell r="G165">
            <v>100.59815116911363</v>
          </cell>
          <cell r="H165">
            <v>92.734880426591019</v>
          </cell>
        </row>
        <row r="166">
          <cell r="A166">
            <v>40343</v>
          </cell>
          <cell r="B166">
            <v>14.7</v>
          </cell>
          <cell r="C166">
            <v>18.2</v>
          </cell>
          <cell r="D166">
            <v>63532.85</v>
          </cell>
          <cell r="F166">
            <v>103.17599578873487</v>
          </cell>
          <cell r="G166">
            <v>98.966829798803687</v>
          </cell>
          <cell r="H166">
            <v>92.62913369766116</v>
          </cell>
        </row>
        <row r="167">
          <cell r="A167">
            <v>40344</v>
          </cell>
          <cell r="B167">
            <v>14.95</v>
          </cell>
          <cell r="C167">
            <v>18.27</v>
          </cell>
          <cell r="D167">
            <v>64442.27</v>
          </cell>
          <cell r="F167">
            <v>104.93068959466572</v>
          </cell>
          <cell r="G167">
            <v>99.347471451876018</v>
          </cell>
          <cell r="H167">
            <v>93.955042841786224</v>
          </cell>
        </row>
        <row r="168">
          <cell r="A168">
            <v>40345</v>
          </cell>
          <cell r="B168">
            <v>15.2</v>
          </cell>
          <cell r="C168">
            <v>18.100000000000001</v>
          </cell>
          <cell r="D168">
            <v>64750.71</v>
          </cell>
          <cell r="F168">
            <v>106.68538340059659</v>
          </cell>
          <cell r="G168">
            <v>98.423056008700385</v>
          </cell>
          <cell r="H168">
            <v>94.404739809539237</v>
          </cell>
        </row>
        <row r="169">
          <cell r="A169">
            <v>40346</v>
          </cell>
          <cell r="B169">
            <v>15.36</v>
          </cell>
          <cell r="C169">
            <v>18.3</v>
          </cell>
          <cell r="D169">
            <v>64540.91</v>
          </cell>
          <cell r="F169">
            <v>107.80838743639234</v>
          </cell>
          <cell r="G169">
            <v>99.510603588907017</v>
          </cell>
          <cell r="H169">
            <v>94.098857226753026</v>
          </cell>
        </row>
        <row r="170">
          <cell r="A170">
            <v>40347</v>
          </cell>
          <cell r="B170">
            <v>15.6</v>
          </cell>
          <cell r="C170">
            <v>18.36</v>
          </cell>
          <cell r="D170">
            <v>64437.58</v>
          </cell>
          <cell r="F170">
            <v>109.49289349008598</v>
          </cell>
          <cell r="G170">
            <v>99.836867862969001</v>
          </cell>
          <cell r="H170">
            <v>93.948204951827861</v>
          </cell>
        </row>
        <row r="171">
          <cell r="A171">
            <v>40348</v>
          </cell>
          <cell r="B171">
            <v>15.6</v>
          </cell>
          <cell r="C171">
            <v>18.36</v>
          </cell>
          <cell r="D171">
            <v>64437.58</v>
          </cell>
          <cell r="F171">
            <v>109.49289349008598</v>
          </cell>
          <cell r="G171">
            <v>99.836867862969001</v>
          </cell>
          <cell r="H171">
            <v>93.948204951827861</v>
          </cell>
        </row>
        <row r="172">
          <cell r="A172">
            <v>40349</v>
          </cell>
          <cell r="B172">
            <v>15.6</v>
          </cell>
          <cell r="C172">
            <v>18.36</v>
          </cell>
          <cell r="D172">
            <v>64437.58</v>
          </cell>
          <cell r="F172">
            <v>109.49289349008598</v>
          </cell>
          <cell r="G172">
            <v>99.836867862969001</v>
          </cell>
          <cell r="H172">
            <v>93.948204951827861</v>
          </cell>
        </row>
        <row r="173">
          <cell r="A173">
            <v>40350</v>
          </cell>
          <cell r="B173">
            <v>15.55</v>
          </cell>
          <cell r="C173">
            <v>18.5</v>
          </cell>
          <cell r="D173">
            <v>64829.03</v>
          </cell>
          <cell r="F173">
            <v>109.1419547288998</v>
          </cell>
          <cell r="G173">
            <v>100.59815116911363</v>
          </cell>
          <cell r="H173">
            <v>94.518928197927309</v>
          </cell>
        </row>
        <row r="174">
          <cell r="A174">
            <v>40351</v>
          </cell>
          <cell r="B174">
            <v>16.04</v>
          </cell>
          <cell r="C174">
            <v>18.8</v>
          </cell>
          <cell r="D174">
            <v>64810.62</v>
          </cell>
          <cell r="F174">
            <v>112.58115458852429</v>
          </cell>
          <cell r="G174">
            <v>102.22947253942361</v>
          </cell>
          <cell r="H174">
            <v>94.492086928389213</v>
          </cell>
        </row>
        <row r="175">
          <cell r="A175">
            <v>40352</v>
          </cell>
          <cell r="B175">
            <v>15.64</v>
          </cell>
          <cell r="C175">
            <v>19.010000000000002</v>
          </cell>
          <cell r="D175">
            <v>65160.33</v>
          </cell>
          <cell r="F175">
            <v>109.77364449903493</v>
          </cell>
          <cell r="G175">
            <v>103.37139749864058</v>
          </cell>
          <cell r="H175">
            <v>95.001954411831377</v>
          </cell>
        </row>
        <row r="176">
          <cell r="A176">
            <v>40353</v>
          </cell>
          <cell r="B176">
            <v>15.9</v>
          </cell>
          <cell r="C176">
            <v>19</v>
          </cell>
          <cell r="D176">
            <v>63936.7</v>
          </cell>
          <cell r="F176">
            <v>111.59852605720302</v>
          </cell>
          <cell r="G176">
            <v>103.31702011963021</v>
          </cell>
          <cell r="H176">
            <v>93.217935799940534</v>
          </cell>
        </row>
        <row r="177">
          <cell r="A177">
            <v>40354</v>
          </cell>
          <cell r="B177">
            <v>16.25</v>
          </cell>
          <cell r="C177">
            <v>19.2</v>
          </cell>
          <cell r="D177">
            <v>64823.83</v>
          </cell>
          <cell r="F177">
            <v>114.05509738550623</v>
          </cell>
          <cell r="G177">
            <v>104.40456769983686</v>
          </cell>
          <cell r="H177">
            <v>94.511346742109922</v>
          </cell>
        </row>
        <row r="178">
          <cell r="A178">
            <v>40355</v>
          </cell>
          <cell r="B178">
            <v>16.25</v>
          </cell>
          <cell r="C178">
            <v>19.2</v>
          </cell>
          <cell r="D178">
            <v>64823.83</v>
          </cell>
          <cell r="F178">
            <v>114.05509738550623</v>
          </cell>
          <cell r="G178">
            <v>104.40456769983686</v>
          </cell>
          <cell r="H178">
            <v>94.511346742109922</v>
          </cell>
        </row>
        <row r="179">
          <cell r="A179">
            <v>40356</v>
          </cell>
          <cell r="B179">
            <v>16.25</v>
          </cell>
          <cell r="C179">
            <v>19.2</v>
          </cell>
          <cell r="D179">
            <v>64823.83</v>
          </cell>
          <cell r="F179">
            <v>114.05509738550623</v>
          </cell>
          <cell r="G179">
            <v>104.40456769983686</v>
          </cell>
          <cell r="H179">
            <v>94.511346742109922</v>
          </cell>
        </row>
        <row r="180">
          <cell r="A180">
            <v>40357</v>
          </cell>
          <cell r="B180">
            <v>17</v>
          </cell>
          <cell r="C180">
            <v>19.5</v>
          </cell>
          <cell r="D180">
            <v>64225.22</v>
          </cell>
          <cell r="F180">
            <v>119.31917880329883</v>
          </cell>
          <cell r="G180">
            <v>106.03588907014681</v>
          </cell>
          <cell r="H180">
            <v>93.63858996002385</v>
          </cell>
        </row>
        <row r="181">
          <cell r="A181">
            <v>40358</v>
          </cell>
          <cell r="B181">
            <v>16.600000000000001</v>
          </cell>
          <cell r="C181">
            <v>19.5</v>
          </cell>
          <cell r="D181">
            <v>61977.91</v>
          </cell>
          <cell r="F181">
            <v>116.51166871380944</v>
          </cell>
          <cell r="G181">
            <v>106.03588907014681</v>
          </cell>
          <cell r="H181">
            <v>90.362074292143518</v>
          </cell>
        </row>
        <row r="182">
          <cell r="A182">
            <v>40359</v>
          </cell>
          <cell r="B182">
            <v>16.989999999999998</v>
          </cell>
          <cell r="C182">
            <v>19.989999999999998</v>
          </cell>
          <cell r="D182">
            <v>60935.9</v>
          </cell>
          <cell r="F182">
            <v>119.24899105106157</v>
          </cell>
          <cell r="G182">
            <v>108.70038064165306</v>
          </cell>
          <cell r="H182">
            <v>88.842852604397734</v>
          </cell>
        </row>
        <row r="183">
          <cell r="A183">
            <v>40360</v>
          </cell>
          <cell r="B183">
            <v>16.850000000000001</v>
          </cell>
          <cell r="C183">
            <v>19.940000000000001</v>
          </cell>
          <cell r="D183">
            <v>61236.2</v>
          </cell>
          <cell r="F183">
            <v>118.26636251974033</v>
          </cell>
          <cell r="G183">
            <v>108.42849374660142</v>
          </cell>
          <cell r="H183">
            <v>89.280681677851987</v>
          </cell>
        </row>
        <row r="184">
          <cell r="A184">
            <v>40361</v>
          </cell>
          <cell r="B184">
            <v>17.21</v>
          </cell>
          <cell r="C184">
            <v>19.920000000000002</v>
          </cell>
          <cell r="D184">
            <v>61429.79</v>
          </cell>
          <cell r="F184">
            <v>120.79312160028076</v>
          </cell>
          <cell r="G184">
            <v>108.31973898858077</v>
          </cell>
          <cell r="H184">
            <v>89.562930530099763</v>
          </cell>
        </row>
        <row r="185">
          <cell r="A185">
            <v>40362</v>
          </cell>
          <cell r="B185">
            <v>17.21</v>
          </cell>
          <cell r="C185">
            <v>19.920000000000002</v>
          </cell>
          <cell r="D185">
            <v>61429.79</v>
          </cell>
          <cell r="F185">
            <v>120.79312160028076</v>
          </cell>
          <cell r="G185">
            <v>108.31973898858077</v>
          </cell>
          <cell r="H185">
            <v>89.562930530099763</v>
          </cell>
        </row>
        <row r="186">
          <cell r="A186">
            <v>40363</v>
          </cell>
          <cell r="B186">
            <v>17.21</v>
          </cell>
          <cell r="C186">
            <v>19.920000000000002</v>
          </cell>
          <cell r="D186">
            <v>61429.79</v>
          </cell>
          <cell r="F186">
            <v>120.79312160028076</v>
          </cell>
          <cell r="G186">
            <v>108.31973898858077</v>
          </cell>
          <cell r="H186">
            <v>89.562930530099763</v>
          </cell>
        </row>
        <row r="187">
          <cell r="A187">
            <v>40364</v>
          </cell>
          <cell r="B187">
            <v>17.21</v>
          </cell>
          <cell r="C187">
            <v>19.920000000000002</v>
          </cell>
          <cell r="D187">
            <v>61429.79</v>
          </cell>
          <cell r="F187">
            <v>120.79312160028076</v>
          </cell>
          <cell r="G187">
            <v>108.31973898858077</v>
          </cell>
          <cell r="H187">
            <v>89.562930530099763</v>
          </cell>
        </row>
        <row r="188">
          <cell r="A188">
            <v>40365</v>
          </cell>
          <cell r="B188">
            <v>17.899999999999999</v>
          </cell>
          <cell r="C188">
            <v>20.2</v>
          </cell>
          <cell r="D188">
            <v>62064.75</v>
          </cell>
          <cell r="F188">
            <v>125.63607650464992</v>
          </cell>
          <cell r="G188">
            <v>109.84230560087002</v>
          </cell>
          <cell r="H188">
            <v>90.488684604293923</v>
          </cell>
        </row>
        <row r="189">
          <cell r="A189">
            <v>40366</v>
          </cell>
          <cell r="B189">
            <v>17.2</v>
          </cell>
          <cell r="C189">
            <v>20.82</v>
          </cell>
          <cell r="D189">
            <v>63283.8</v>
          </cell>
          <cell r="F189">
            <v>120.72293384804351</v>
          </cell>
          <cell r="G189">
            <v>113.2137030995106</v>
          </cell>
          <cell r="H189">
            <v>92.266025703176382</v>
          </cell>
        </row>
        <row r="190">
          <cell r="A190">
            <v>40367</v>
          </cell>
          <cell r="B190">
            <v>17</v>
          </cell>
          <cell r="C190">
            <v>21.4</v>
          </cell>
          <cell r="D190">
            <v>63476.32</v>
          </cell>
          <cell r="F190">
            <v>119.31917880329883</v>
          </cell>
          <cell r="G190">
            <v>116.36759108210984</v>
          </cell>
          <cell r="H190">
            <v>92.546714525092497</v>
          </cell>
        </row>
        <row r="191">
          <cell r="A191">
            <v>40368</v>
          </cell>
          <cell r="B191">
            <v>17</v>
          </cell>
          <cell r="C191">
            <v>21.4</v>
          </cell>
          <cell r="D191">
            <v>63476.32</v>
          </cell>
          <cell r="F191">
            <v>119.31917880329883</v>
          </cell>
          <cell r="G191">
            <v>116.36759108210984</v>
          </cell>
          <cell r="H191">
            <v>92.546714525092497</v>
          </cell>
        </row>
        <row r="192">
          <cell r="A192">
            <v>40369</v>
          </cell>
          <cell r="B192">
            <v>17</v>
          </cell>
          <cell r="C192">
            <v>21.4</v>
          </cell>
          <cell r="D192">
            <v>63476.32</v>
          </cell>
          <cell r="F192">
            <v>119.31917880329883</v>
          </cell>
          <cell r="G192">
            <v>116.36759108210984</v>
          </cell>
          <cell r="H192">
            <v>92.546714525092497</v>
          </cell>
        </row>
        <row r="193">
          <cell r="A193">
            <v>40370</v>
          </cell>
          <cell r="B193">
            <v>17</v>
          </cell>
          <cell r="C193">
            <v>21.4</v>
          </cell>
          <cell r="D193">
            <v>63476.32</v>
          </cell>
          <cell r="F193">
            <v>119.31917880329883</v>
          </cell>
          <cell r="G193">
            <v>116.36759108210984</v>
          </cell>
          <cell r="H193">
            <v>92.546714525092497</v>
          </cell>
        </row>
        <row r="194">
          <cell r="A194">
            <v>40371</v>
          </cell>
          <cell r="B194">
            <v>16.8</v>
          </cell>
          <cell r="C194">
            <v>20.2</v>
          </cell>
          <cell r="D194">
            <v>62960.1</v>
          </cell>
          <cell r="F194">
            <v>117.91542375855413</v>
          </cell>
          <cell r="G194">
            <v>109.84230560087002</v>
          </cell>
          <cell r="H194">
            <v>91.794080078543871</v>
          </cell>
        </row>
        <row r="195">
          <cell r="A195">
            <v>40372</v>
          </cell>
          <cell r="B195">
            <v>16.8</v>
          </cell>
          <cell r="C195">
            <v>20.5</v>
          </cell>
          <cell r="D195">
            <v>63685.56</v>
          </cell>
          <cell r="F195">
            <v>117.91542375855413</v>
          </cell>
          <cell r="G195">
            <v>111.47362697118</v>
          </cell>
          <cell r="H195">
            <v>92.851780643406073</v>
          </cell>
        </row>
        <row r="196">
          <cell r="A196">
            <v>40373</v>
          </cell>
          <cell r="B196">
            <v>16.95</v>
          </cell>
          <cell r="C196">
            <v>20</v>
          </cell>
          <cell r="D196">
            <v>63479.46</v>
          </cell>
          <cell r="F196">
            <v>118.96824004211264</v>
          </cell>
          <cell r="G196">
            <v>108.75475802066342</v>
          </cell>
          <cell r="H196">
            <v>92.551292558028393</v>
          </cell>
        </row>
        <row r="197">
          <cell r="A197">
            <v>40374</v>
          </cell>
          <cell r="B197">
            <v>17.010000000000002</v>
          </cell>
          <cell r="C197">
            <v>20</v>
          </cell>
          <cell r="D197">
            <v>63489.37</v>
          </cell>
          <cell r="F197">
            <v>119.38936655553607</v>
          </cell>
          <cell r="G197">
            <v>108.75475802066342</v>
          </cell>
          <cell r="H197">
            <v>92.565741063249604</v>
          </cell>
        </row>
        <row r="198">
          <cell r="A198">
            <v>40375</v>
          </cell>
          <cell r="B198">
            <v>16.899999999999999</v>
          </cell>
          <cell r="C198">
            <v>20</v>
          </cell>
          <cell r="D198">
            <v>62339.27</v>
          </cell>
          <cell r="F198">
            <v>118.61730128092647</v>
          </cell>
          <cell r="G198">
            <v>108.75475802066342</v>
          </cell>
          <cell r="H198">
            <v>90.888927152561195</v>
          </cell>
        </row>
        <row r="199">
          <cell r="A199">
            <v>40376</v>
          </cell>
          <cell r="B199">
            <v>16.899999999999999</v>
          </cell>
          <cell r="C199">
            <v>20</v>
          </cell>
          <cell r="D199">
            <v>62339.27</v>
          </cell>
          <cell r="F199">
            <v>118.61730128092647</v>
          </cell>
          <cell r="G199">
            <v>108.75475802066342</v>
          </cell>
          <cell r="H199">
            <v>90.888927152561195</v>
          </cell>
        </row>
        <row r="200">
          <cell r="A200">
            <v>40377</v>
          </cell>
          <cell r="B200">
            <v>16.899999999999999</v>
          </cell>
          <cell r="C200">
            <v>20</v>
          </cell>
          <cell r="D200">
            <v>62339.27</v>
          </cell>
          <cell r="F200">
            <v>118.61730128092647</v>
          </cell>
          <cell r="G200">
            <v>108.75475802066342</v>
          </cell>
          <cell r="H200">
            <v>90.888927152561195</v>
          </cell>
        </row>
        <row r="201">
          <cell r="A201">
            <v>40378</v>
          </cell>
          <cell r="B201">
            <v>16.850000000000001</v>
          </cell>
          <cell r="C201">
            <v>20.010000000000002</v>
          </cell>
          <cell r="D201">
            <v>63297.04</v>
          </cell>
          <cell r="F201">
            <v>118.26636251974033</v>
          </cell>
          <cell r="G201">
            <v>108.80913539967374</v>
          </cell>
          <cell r="H201">
            <v>92.285329256065268</v>
          </cell>
        </row>
        <row r="202">
          <cell r="A202">
            <v>40379</v>
          </cell>
          <cell r="B202">
            <v>16.899999999999999</v>
          </cell>
          <cell r="C202">
            <v>20</v>
          </cell>
          <cell r="D202">
            <v>64462.5</v>
          </cell>
          <cell r="F202">
            <v>118.61730128092647</v>
          </cell>
          <cell r="G202">
            <v>108.75475802066342</v>
          </cell>
          <cell r="H202">
            <v>93.984537620860436</v>
          </cell>
        </row>
        <row r="203">
          <cell r="A203">
            <v>40380</v>
          </cell>
          <cell r="B203">
            <v>16.95</v>
          </cell>
          <cell r="C203">
            <v>19.82</v>
          </cell>
          <cell r="D203">
            <v>64476.84</v>
          </cell>
          <cell r="F203">
            <v>118.96824004211264</v>
          </cell>
          <cell r="G203">
            <v>107.77596519847744</v>
          </cell>
          <cell r="H203">
            <v>94.005444943249145</v>
          </cell>
        </row>
        <row r="204">
          <cell r="A204">
            <v>40381</v>
          </cell>
          <cell r="B204">
            <v>17.100000000000001</v>
          </cell>
          <cell r="C204">
            <v>20.190000000000001</v>
          </cell>
          <cell r="D204">
            <v>65748.100000000006</v>
          </cell>
          <cell r="F204">
            <v>120.02105632567117</v>
          </cell>
          <cell r="G204">
            <v>109.78792822185972</v>
          </cell>
          <cell r="H204">
            <v>95.858906774482747</v>
          </cell>
        </row>
        <row r="205">
          <cell r="A205">
            <v>40382</v>
          </cell>
          <cell r="B205">
            <v>16.95</v>
          </cell>
          <cell r="C205">
            <v>20.02</v>
          </cell>
          <cell r="D205">
            <v>66322.990000000005</v>
          </cell>
          <cell r="F205">
            <v>118.96824004211264</v>
          </cell>
          <cell r="G205">
            <v>108.86351277868407</v>
          </cell>
          <cell r="H205">
            <v>96.697080454263343</v>
          </cell>
        </row>
        <row r="206">
          <cell r="A206">
            <v>40383</v>
          </cell>
          <cell r="B206">
            <v>16.95</v>
          </cell>
          <cell r="C206">
            <v>20.02</v>
          </cell>
          <cell r="D206">
            <v>66322.990000000005</v>
          </cell>
          <cell r="F206">
            <v>118.96824004211264</v>
          </cell>
          <cell r="G206">
            <v>108.86351277868407</v>
          </cell>
          <cell r="H206">
            <v>96.697080454263343</v>
          </cell>
        </row>
        <row r="207">
          <cell r="A207">
            <v>40384</v>
          </cell>
          <cell r="B207">
            <v>16.95</v>
          </cell>
          <cell r="C207">
            <v>20.02</v>
          </cell>
          <cell r="D207">
            <v>66322.990000000005</v>
          </cell>
          <cell r="F207">
            <v>118.96824004211264</v>
          </cell>
          <cell r="G207">
            <v>108.86351277868407</v>
          </cell>
          <cell r="H207">
            <v>96.697080454263343</v>
          </cell>
        </row>
        <row r="208">
          <cell r="A208">
            <v>40385</v>
          </cell>
          <cell r="B208">
            <v>16.75</v>
          </cell>
          <cell r="C208">
            <v>20.05</v>
          </cell>
          <cell r="D208">
            <v>66443.259999999995</v>
          </cell>
          <cell r="F208">
            <v>117.56448499736796</v>
          </cell>
          <cell r="G208">
            <v>109.02664491571505</v>
          </cell>
          <cell r="H208">
            <v>96.87243077948591</v>
          </cell>
        </row>
        <row r="209">
          <cell r="A209">
            <v>40386</v>
          </cell>
          <cell r="B209">
            <v>16.8</v>
          </cell>
          <cell r="C209">
            <v>20.14</v>
          </cell>
          <cell r="D209">
            <v>66674.44</v>
          </cell>
          <cell r="F209">
            <v>117.91542375855413</v>
          </cell>
          <cell r="G209">
            <v>109.51604132680805</v>
          </cell>
          <cell r="H209">
            <v>97.209484809459795</v>
          </cell>
        </row>
        <row r="210">
          <cell r="A210">
            <v>40387</v>
          </cell>
          <cell r="B210">
            <v>16.45</v>
          </cell>
          <cell r="C210">
            <v>19.850000000000001</v>
          </cell>
          <cell r="D210">
            <v>66808.25</v>
          </cell>
          <cell r="F210">
            <v>115.45885243025091</v>
          </cell>
          <cell r="G210">
            <v>107.93909733550844</v>
          </cell>
          <cell r="H210">
            <v>97.404576079253033</v>
          </cell>
        </row>
        <row r="211">
          <cell r="A211">
            <v>40388</v>
          </cell>
          <cell r="B211">
            <v>16.45</v>
          </cell>
          <cell r="C211">
            <v>20.04</v>
          </cell>
          <cell r="D211">
            <v>66953.83</v>
          </cell>
          <cell r="F211">
            <v>115.45885243025091</v>
          </cell>
          <cell r="G211">
            <v>108.97226753670472</v>
          </cell>
          <cell r="H211">
            <v>97.616827682694492</v>
          </cell>
        </row>
        <row r="212">
          <cell r="A212">
            <v>40389</v>
          </cell>
          <cell r="B212">
            <v>16.91</v>
          </cell>
          <cell r="C212">
            <v>20.399999999999999</v>
          </cell>
          <cell r="D212">
            <v>67515.399999999994</v>
          </cell>
          <cell r="F212">
            <v>118.6874890331637</v>
          </cell>
          <cell r="G212">
            <v>110.92985318107667</v>
          </cell>
          <cell r="H212">
            <v>98.435581171804373</v>
          </cell>
        </row>
        <row r="213">
          <cell r="A213">
            <v>40390</v>
          </cell>
          <cell r="B213">
            <v>16.91</v>
          </cell>
          <cell r="C213">
            <v>20.399999999999999</v>
          </cell>
          <cell r="D213">
            <v>67515.399999999994</v>
          </cell>
          <cell r="F213">
            <v>118.6874890331637</v>
          </cell>
          <cell r="G213">
            <v>110.92985318107667</v>
          </cell>
          <cell r="H213">
            <v>98.435581171804373</v>
          </cell>
        </row>
        <row r="214">
          <cell r="A214">
            <v>40391</v>
          </cell>
          <cell r="B214">
            <v>16.91</v>
          </cell>
          <cell r="C214">
            <v>20.399999999999999</v>
          </cell>
          <cell r="D214">
            <v>67515.399999999994</v>
          </cell>
          <cell r="F214">
            <v>118.6874890331637</v>
          </cell>
          <cell r="G214">
            <v>110.92985318107667</v>
          </cell>
          <cell r="H214">
            <v>98.435581171804373</v>
          </cell>
        </row>
        <row r="215">
          <cell r="A215">
            <v>40392</v>
          </cell>
          <cell r="B215">
            <v>16.95</v>
          </cell>
          <cell r="C215">
            <v>20.149999999999999</v>
          </cell>
          <cell r="D215">
            <v>68517.460000000006</v>
          </cell>
          <cell r="F215">
            <v>118.96824004211264</v>
          </cell>
          <cell r="G215">
            <v>109.57041870581835</v>
          </cell>
          <cell r="H215">
            <v>99.896556867260813</v>
          </cell>
        </row>
        <row r="216">
          <cell r="A216">
            <v>40393</v>
          </cell>
          <cell r="B216">
            <v>16.8</v>
          </cell>
          <cell r="C216">
            <v>20.2</v>
          </cell>
          <cell r="D216">
            <v>67997.36</v>
          </cell>
          <cell r="F216">
            <v>117.91542375855413</v>
          </cell>
          <cell r="G216">
            <v>109.84230560087002</v>
          </cell>
          <cell r="H216">
            <v>99.138265488294593</v>
          </cell>
        </row>
        <row r="217">
          <cell r="A217">
            <v>40394</v>
          </cell>
          <cell r="B217">
            <v>17.079999999999998</v>
          </cell>
          <cell r="C217">
            <v>19.899999999999999</v>
          </cell>
          <cell r="D217">
            <v>68272</v>
          </cell>
          <cell r="F217">
            <v>119.88068082119669</v>
          </cell>
          <cell r="G217">
            <v>108.21098423056009</v>
          </cell>
          <cell r="H217">
            <v>99.538682993234559</v>
          </cell>
        </row>
        <row r="218">
          <cell r="A218">
            <v>40395</v>
          </cell>
          <cell r="B218">
            <v>16.95</v>
          </cell>
          <cell r="C218">
            <v>20.25</v>
          </cell>
          <cell r="D218">
            <v>68411.72</v>
          </cell>
          <cell r="F218">
            <v>118.96824004211264</v>
          </cell>
          <cell r="G218">
            <v>110.11419249592169</v>
          </cell>
          <cell r="H218">
            <v>99.742390879158734</v>
          </cell>
        </row>
        <row r="219">
          <cell r="A219">
            <v>40396</v>
          </cell>
          <cell r="B219">
            <v>16.78</v>
          </cell>
          <cell r="C219">
            <v>20.02</v>
          </cell>
          <cell r="D219">
            <v>68094.759999999995</v>
          </cell>
          <cell r="F219">
            <v>117.77504825407968</v>
          </cell>
          <cell r="G219">
            <v>108.86351277868407</v>
          </cell>
          <cell r="H219">
            <v>99.280271987643374</v>
          </cell>
        </row>
        <row r="220">
          <cell r="A220">
            <v>40397</v>
          </cell>
          <cell r="B220">
            <v>16.78</v>
          </cell>
          <cell r="C220">
            <v>20.02</v>
          </cell>
          <cell r="D220">
            <v>68094.759999999995</v>
          </cell>
          <cell r="F220">
            <v>117.77504825407968</v>
          </cell>
          <cell r="G220">
            <v>108.86351277868407</v>
          </cell>
          <cell r="H220">
            <v>99.280271987643374</v>
          </cell>
        </row>
        <row r="221">
          <cell r="A221">
            <v>40398</v>
          </cell>
          <cell r="B221">
            <v>16.78</v>
          </cell>
          <cell r="C221">
            <v>20.02</v>
          </cell>
          <cell r="D221">
            <v>68094.759999999995</v>
          </cell>
          <cell r="F221">
            <v>117.77504825407968</v>
          </cell>
          <cell r="G221">
            <v>108.86351277868407</v>
          </cell>
          <cell r="H221">
            <v>99.280271987643374</v>
          </cell>
        </row>
        <row r="222">
          <cell r="A222">
            <v>40399</v>
          </cell>
          <cell r="B222">
            <v>16.52</v>
          </cell>
          <cell r="C222">
            <v>20.399999999999999</v>
          </cell>
          <cell r="D222">
            <v>67862.28</v>
          </cell>
          <cell r="F222">
            <v>115.95016669591156</v>
          </cell>
          <cell r="G222">
            <v>110.92985318107667</v>
          </cell>
          <cell r="H222">
            <v>98.941322593715171</v>
          </cell>
        </row>
        <row r="223">
          <cell r="A223">
            <v>40400</v>
          </cell>
          <cell r="B223">
            <v>16.5</v>
          </cell>
          <cell r="C223">
            <v>20.22</v>
          </cell>
          <cell r="D223">
            <v>67223.23</v>
          </cell>
          <cell r="F223">
            <v>115.80979119143709</v>
          </cell>
          <cell r="G223">
            <v>109.95106035889069</v>
          </cell>
          <cell r="H223">
            <v>98.009605412926177</v>
          </cell>
        </row>
        <row r="224">
          <cell r="A224">
            <v>40401</v>
          </cell>
          <cell r="B224">
            <v>16</v>
          </cell>
          <cell r="C224">
            <v>20.13</v>
          </cell>
          <cell r="D224">
            <v>65790.289999999994</v>
          </cell>
          <cell r="F224">
            <v>112.30040357957536</v>
          </cell>
          <cell r="G224">
            <v>109.4616639477977</v>
          </cell>
          <cell r="H224">
            <v>95.920418624662659</v>
          </cell>
        </row>
        <row r="225">
          <cell r="A225">
            <v>40402</v>
          </cell>
          <cell r="B225">
            <v>16.34</v>
          </cell>
          <cell r="C225">
            <v>20.39</v>
          </cell>
          <cell r="D225">
            <v>65966.17</v>
          </cell>
          <cell r="F225">
            <v>114.68678715564134</v>
          </cell>
          <cell r="G225">
            <v>110.87547580206633</v>
          </cell>
          <cell r="H225">
            <v>96.176846787963143</v>
          </cell>
        </row>
        <row r="226">
          <cell r="A226">
            <v>40403</v>
          </cell>
          <cell r="B226">
            <v>15.8</v>
          </cell>
          <cell r="C226">
            <v>20.45</v>
          </cell>
          <cell r="D226">
            <v>66264.429999999993</v>
          </cell>
          <cell r="F226">
            <v>110.89664853483067</v>
          </cell>
          <cell r="G226">
            <v>111.20174007612833</v>
          </cell>
          <cell r="H226">
            <v>96.611701597981337</v>
          </cell>
        </row>
        <row r="227">
          <cell r="A227">
            <v>40404</v>
          </cell>
          <cell r="B227">
            <v>15.8</v>
          </cell>
          <cell r="C227">
            <v>20.45</v>
          </cell>
          <cell r="D227">
            <v>66264.429999999993</v>
          </cell>
          <cell r="F227">
            <v>110.89664853483067</v>
          </cell>
          <cell r="G227">
            <v>111.20174007612833</v>
          </cell>
          <cell r="H227">
            <v>96.611701597981337</v>
          </cell>
        </row>
        <row r="228">
          <cell r="A228">
            <v>40405</v>
          </cell>
          <cell r="B228">
            <v>15.8</v>
          </cell>
          <cell r="C228">
            <v>20.45</v>
          </cell>
          <cell r="D228">
            <v>66264.429999999993</v>
          </cell>
          <cell r="F228">
            <v>110.89664853483067</v>
          </cell>
          <cell r="G228">
            <v>111.20174007612833</v>
          </cell>
          <cell r="H228">
            <v>96.611701597981337</v>
          </cell>
        </row>
        <row r="229">
          <cell r="A229">
            <v>40406</v>
          </cell>
          <cell r="B229">
            <v>15.77</v>
          </cell>
          <cell r="C229">
            <v>20.11</v>
          </cell>
          <cell r="D229">
            <v>66701.89</v>
          </cell>
          <cell r="F229">
            <v>110.68608527811897</v>
          </cell>
          <cell r="G229">
            <v>109.35290918977705</v>
          </cell>
          <cell r="H229">
            <v>97.249506148341965</v>
          </cell>
        </row>
        <row r="230">
          <cell r="A230">
            <v>40407</v>
          </cell>
          <cell r="B230">
            <v>16.3</v>
          </cell>
          <cell r="C230">
            <v>20.350000000000001</v>
          </cell>
          <cell r="D230">
            <v>67583.77</v>
          </cell>
          <cell r="F230">
            <v>114.4060361466924</v>
          </cell>
          <cell r="G230">
            <v>110.65796628602502</v>
          </cell>
          <cell r="H230">
            <v>98.535262736080341</v>
          </cell>
        </row>
        <row r="231">
          <cell r="A231">
            <v>40408</v>
          </cell>
          <cell r="B231">
            <v>16.8</v>
          </cell>
          <cell r="C231">
            <v>21.08</v>
          </cell>
          <cell r="D231">
            <v>67638.38</v>
          </cell>
          <cell r="F231">
            <v>117.91542375855413</v>
          </cell>
          <cell r="G231">
            <v>114.62751495377921</v>
          </cell>
          <cell r="H231">
            <v>98.614882601885654</v>
          </cell>
        </row>
        <row r="232">
          <cell r="A232">
            <v>40409</v>
          </cell>
          <cell r="B232">
            <v>17.899999999999999</v>
          </cell>
          <cell r="C232">
            <v>23.17</v>
          </cell>
          <cell r="D232">
            <v>66887.13</v>
          </cell>
          <cell r="F232">
            <v>125.63607650464992</v>
          </cell>
          <cell r="G232">
            <v>125.99238716693857</v>
          </cell>
          <cell r="H232">
            <v>97.51958093211374</v>
          </cell>
        </row>
        <row r="233">
          <cell r="A233">
            <v>40410</v>
          </cell>
          <cell r="B233">
            <v>18.350000000000001</v>
          </cell>
          <cell r="C233">
            <v>22.3</v>
          </cell>
          <cell r="D233">
            <v>66677.16</v>
          </cell>
          <cell r="F233">
            <v>128.7945253553255</v>
          </cell>
          <cell r="G233">
            <v>121.2615551930397</v>
          </cell>
          <cell r="H233">
            <v>97.213450494041197</v>
          </cell>
        </row>
        <row r="234">
          <cell r="A234">
            <v>40411</v>
          </cell>
          <cell r="B234">
            <v>18.350000000000001</v>
          </cell>
          <cell r="C234">
            <v>22.3</v>
          </cell>
          <cell r="D234">
            <v>66677.16</v>
          </cell>
          <cell r="F234">
            <v>128.7945253553255</v>
          </cell>
          <cell r="G234">
            <v>121.2615551930397</v>
          </cell>
          <cell r="H234">
            <v>97.213450494041197</v>
          </cell>
        </row>
        <row r="235">
          <cell r="A235">
            <v>40412</v>
          </cell>
          <cell r="B235">
            <v>18.350000000000001</v>
          </cell>
          <cell r="C235">
            <v>22.3</v>
          </cell>
          <cell r="D235">
            <v>66677.16</v>
          </cell>
          <cell r="F235">
            <v>128.7945253553255</v>
          </cell>
          <cell r="G235">
            <v>121.2615551930397</v>
          </cell>
          <cell r="H235">
            <v>97.213450494041197</v>
          </cell>
        </row>
        <row r="236">
          <cell r="A236">
            <v>40413</v>
          </cell>
          <cell r="B236">
            <v>18.399999999999999</v>
          </cell>
          <cell r="C236">
            <v>21.8</v>
          </cell>
          <cell r="D236">
            <v>65981.86</v>
          </cell>
          <cell r="F236">
            <v>129.14546411651165</v>
          </cell>
          <cell r="G236">
            <v>118.5426862425231</v>
          </cell>
          <cell r="H236">
            <v>96.199722372919851</v>
          </cell>
        </row>
        <row r="237">
          <cell r="A237">
            <v>40414</v>
          </cell>
          <cell r="B237">
            <v>18.25</v>
          </cell>
          <cell r="C237">
            <v>20.75</v>
          </cell>
          <cell r="D237">
            <v>65156.36</v>
          </cell>
          <cell r="F237">
            <v>128.09264783295316</v>
          </cell>
          <cell r="G237">
            <v>112.83306144643828</v>
          </cell>
          <cell r="H237">
            <v>94.996166261909266</v>
          </cell>
        </row>
        <row r="238">
          <cell r="A238">
            <v>40415</v>
          </cell>
          <cell r="B238">
            <v>18.45</v>
          </cell>
          <cell r="C238">
            <v>21.6</v>
          </cell>
          <cell r="D238">
            <v>64803.43</v>
          </cell>
          <cell r="F238">
            <v>129.49640287769785</v>
          </cell>
          <cell r="G238">
            <v>117.45513866231647</v>
          </cell>
          <cell r="H238">
            <v>94.481604107749391</v>
          </cell>
        </row>
        <row r="239">
          <cell r="A239">
            <v>40416</v>
          </cell>
          <cell r="B239">
            <v>18.21</v>
          </cell>
          <cell r="C239">
            <v>21.7</v>
          </cell>
          <cell r="D239">
            <v>63867.48</v>
          </cell>
          <cell r="F239">
            <v>127.81189682400422</v>
          </cell>
          <cell r="G239">
            <v>117.99891245241977</v>
          </cell>
          <cell r="H239">
            <v>93.117014959232918</v>
          </cell>
        </row>
        <row r="240">
          <cell r="A240">
            <v>40417</v>
          </cell>
          <cell r="B240">
            <v>18</v>
          </cell>
          <cell r="C240">
            <v>21.7</v>
          </cell>
          <cell r="D240">
            <v>65585.14</v>
          </cell>
          <cell r="F240">
            <v>126.33795402702228</v>
          </cell>
          <cell r="G240">
            <v>117.99891245241977</v>
          </cell>
          <cell r="H240">
            <v>95.621315612943931</v>
          </cell>
        </row>
        <row r="241">
          <cell r="A241">
            <v>40418</v>
          </cell>
          <cell r="B241">
            <v>18</v>
          </cell>
          <cell r="C241">
            <v>21.7</v>
          </cell>
          <cell r="D241">
            <v>65585.14</v>
          </cell>
          <cell r="F241">
            <v>126.33795402702228</v>
          </cell>
          <cell r="G241">
            <v>117.99891245241977</v>
          </cell>
          <cell r="H241">
            <v>95.621315612943931</v>
          </cell>
        </row>
        <row r="242">
          <cell r="A242">
            <v>40419</v>
          </cell>
          <cell r="B242">
            <v>18</v>
          </cell>
          <cell r="C242">
            <v>21.7</v>
          </cell>
          <cell r="D242">
            <v>65585.14</v>
          </cell>
          <cell r="F242">
            <v>126.33795402702228</v>
          </cell>
          <cell r="G242">
            <v>117.99891245241977</v>
          </cell>
          <cell r="H242">
            <v>95.621315612943931</v>
          </cell>
        </row>
        <row r="243">
          <cell r="A243">
            <v>40420</v>
          </cell>
          <cell r="B243">
            <v>19.2</v>
          </cell>
          <cell r="C243">
            <v>21.1</v>
          </cell>
          <cell r="D243">
            <v>64260.79</v>
          </cell>
          <cell r="F243">
            <v>134.76048429549044</v>
          </cell>
          <cell r="G243">
            <v>114.73626971179989</v>
          </cell>
          <cell r="H243">
            <v>93.690450033759348</v>
          </cell>
        </row>
        <row r="244">
          <cell r="A244">
            <v>40421</v>
          </cell>
          <cell r="B244">
            <v>18.399999999999999</v>
          </cell>
          <cell r="C244">
            <v>21.6</v>
          </cell>
          <cell r="D244">
            <v>65145.45</v>
          </cell>
          <cell r="F244">
            <v>129.14546411651165</v>
          </cell>
          <cell r="G244">
            <v>117.45513866231647</v>
          </cell>
          <cell r="H244">
            <v>94.980259784415466</v>
          </cell>
        </row>
        <row r="245">
          <cell r="A245">
            <v>40422</v>
          </cell>
          <cell r="B245">
            <v>18</v>
          </cell>
          <cell r="C245">
            <v>21.65</v>
          </cell>
          <cell r="D245">
            <v>67072.53</v>
          </cell>
          <cell r="F245">
            <v>126.33795402702228</v>
          </cell>
          <cell r="G245">
            <v>117.72702555736811</v>
          </cell>
          <cell r="H245">
            <v>97.789888991449132</v>
          </cell>
        </row>
        <row r="246">
          <cell r="A246">
            <v>40423</v>
          </cell>
          <cell r="B246">
            <v>18.399999999999999</v>
          </cell>
          <cell r="C246">
            <v>22</v>
          </cell>
          <cell r="D246">
            <v>66808.08</v>
          </cell>
          <cell r="F246">
            <v>129.14546411651165</v>
          </cell>
          <cell r="G246">
            <v>119.63023382272975</v>
          </cell>
          <cell r="H246">
            <v>97.404328223966701</v>
          </cell>
        </row>
        <row r="247">
          <cell r="A247">
            <v>40424</v>
          </cell>
          <cell r="B247">
            <v>19.2</v>
          </cell>
          <cell r="C247">
            <v>21.4</v>
          </cell>
          <cell r="D247">
            <v>66678.62</v>
          </cell>
          <cell r="F247">
            <v>134.76048429549044</v>
          </cell>
          <cell r="G247">
            <v>116.36759108210984</v>
          </cell>
          <cell r="H247">
            <v>97.215579133559132</v>
          </cell>
        </row>
        <row r="248">
          <cell r="A248">
            <v>40425</v>
          </cell>
          <cell r="B248">
            <v>19.2</v>
          </cell>
          <cell r="C248">
            <v>21.4</v>
          </cell>
          <cell r="D248">
            <v>66678.62</v>
          </cell>
          <cell r="F248">
            <v>134.76048429549044</v>
          </cell>
          <cell r="G248">
            <v>116.36759108210984</v>
          </cell>
          <cell r="H248">
            <v>97.215579133559132</v>
          </cell>
        </row>
        <row r="249">
          <cell r="A249">
            <v>40426</v>
          </cell>
          <cell r="B249">
            <v>19.2</v>
          </cell>
          <cell r="C249">
            <v>21.4</v>
          </cell>
          <cell r="D249">
            <v>66678.62</v>
          </cell>
          <cell r="F249">
            <v>134.76048429549044</v>
          </cell>
          <cell r="G249">
            <v>116.36759108210984</v>
          </cell>
          <cell r="H249">
            <v>97.215579133559132</v>
          </cell>
        </row>
        <row r="250">
          <cell r="A250">
            <v>40427</v>
          </cell>
          <cell r="B250">
            <v>19.2</v>
          </cell>
          <cell r="C250">
            <v>21.4</v>
          </cell>
          <cell r="D250">
            <v>66678.62</v>
          </cell>
          <cell r="F250">
            <v>134.76048429549044</v>
          </cell>
          <cell r="G250">
            <v>116.36759108210984</v>
          </cell>
          <cell r="H250">
            <v>97.215579133559132</v>
          </cell>
        </row>
        <row r="251">
          <cell r="A251">
            <v>40428</v>
          </cell>
          <cell r="B251">
            <v>19.2</v>
          </cell>
          <cell r="C251">
            <v>21.9</v>
          </cell>
          <cell r="D251">
            <v>66747.3</v>
          </cell>
          <cell r="F251">
            <v>134.76048429549044</v>
          </cell>
          <cell r="G251">
            <v>119.08646003262642</v>
          </cell>
          <cell r="H251">
            <v>97.315712669239602</v>
          </cell>
        </row>
        <row r="252">
          <cell r="A252">
            <v>40429</v>
          </cell>
          <cell r="B252">
            <v>19.79</v>
          </cell>
          <cell r="C252">
            <v>21.85</v>
          </cell>
          <cell r="D252">
            <v>66407.28</v>
          </cell>
          <cell r="F252">
            <v>138.90156167748725</v>
          </cell>
          <cell r="G252">
            <v>118.81457313757477</v>
          </cell>
          <cell r="H252">
            <v>96.819972937118663</v>
          </cell>
        </row>
        <row r="253">
          <cell r="A253">
            <v>40430</v>
          </cell>
          <cell r="B253">
            <v>20.149999999999999</v>
          </cell>
          <cell r="C253">
            <v>21.8</v>
          </cell>
          <cell r="D253">
            <v>66624.100000000006</v>
          </cell>
          <cell r="F253">
            <v>141.42832075802772</v>
          </cell>
          <cell r="G253">
            <v>118.5426862425231</v>
          </cell>
          <cell r="H253">
            <v>97.136090485258379</v>
          </cell>
        </row>
        <row r="254">
          <cell r="A254">
            <v>40431</v>
          </cell>
          <cell r="B254">
            <v>20.3</v>
          </cell>
          <cell r="C254">
            <v>21.79</v>
          </cell>
          <cell r="D254">
            <v>66806.789999999994</v>
          </cell>
          <cell r="F254">
            <v>142.48113704158624</v>
          </cell>
          <cell r="G254">
            <v>118.48830886351278</v>
          </cell>
          <cell r="H254">
            <v>97.402447439735056</v>
          </cell>
        </row>
        <row r="255">
          <cell r="A255">
            <v>40432</v>
          </cell>
          <cell r="B255">
            <v>20.3</v>
          </cell>
          <cell r="C255">
            <v>21.79</v>
          </cell>
          <cell r="D255">
            <v>66806.789999999994</v>
          </cell>
          <cell r="F255">
            <v>142.48113704158624</v>
          </cell>
          <cell r="G255">
            <v>118.48830886351278</v>
          </cell>
          <cell r="H255">
            <v>97.402447439735056</v>
          </cell>
        </row>
        <row r="256">
          <cell r="A256">
            <v>40433</v>
          </cell>
          <cell r="B256">
            <v>20.3</v>
          </cell>
          <cell r="C256">
            <v>21.79</v>
          </cell>
          <cell r="D256">
            <v>66806.789999999994</v>
          </cell>
          <cell r="F256">
            <v>142.48113704158624</v>
          </cell>
          <cell r="G256">
            <v>118.48830886351278</v>
          </cell>
          <cell r="H256">
            <v>97.402447439735056</v>
          </cell>
        </row>
        <row r="257">
          <cell r="A257">
            <v>40434</v>
          </cell>
          <cell r="B257">
            <v>20.48</v>
          </cell>
          <cell r="C257">
            <v>21.82</v>
          </cell>
          <cell r="D257">
            <v>68030.58</v>
          </cell>
          <cell r="F257">
            <v>143.74451658185649</v>
          </cell>
          <cell r="G257">
            <v>118.65144100054377</v>
          </cell>
          <cell r="H257">
            <v>99.18669932718953</v>
          </cell>
        </row>
        <row r="258">
          <cell r="A258">
            <v>40435</v>
          </cell>
          <cell r="B258">
            <v>20.3</v>
          </cell>
          <cell r="C258">
            <v>21.81</v>
          </cell>
          <cell r="D258">
            <v>67691.850000000006</v>
          </cell>
          <cell r="F258">
            <v>142.48113704158624</v>
          </cell>
          <cell r="G258">
            <v>118.59706362153344</v>
          </cell>
          <cell r="H258">
            <v>98.692840379300236</v>
          </cell>
        </row>
        <row r="259">
          <cell r="A259">
            <v>40436</v>
          </cell>
          <cell r="B259">
            <v>20.5</v>
          </cell>
          <cell r="C259">
            <v>21.95</v>
          </cell>
          <cell r="D259">
            <v>68106.850000000006</v>
          </cell>
          <cell r="F259">
            <v>143.88489208633092</v>
          </cell>
          <cell r="G259">
            <v>119.35834692767808</v>
          </cell>
          <cell r="H259">
            <v>99.297898872418827</v>
          </cell>
        </row>
        <row r="260">
          <cell r="A260">
            <v>40437</v>
          </cell>
          <cell r="B260">
            <v>20.7</v>
          </cell>
          <cell r="C260">
            <v>22</v>
          </cell>
          <cell r="D260">
            <v>67662.990000000005</v>
          </cell>
          <cell r="F260">
            <v>145.28864713107561</v>
          </cell>
          <cell r="G260">
            <v>119.63023382272975</v>
          </cell>
          <cell r="H260">
            <v>98.650763299513727</v>
          </cell>
        </row>
        <row r="261">
          <cell r="A261">
            <v>40438</v>
          </cell>
          <cell r="B261">
            <v>20.96</v>
          </cell>
          <cell r="C261">
            <v>22.4</v>
          </cell>
          <cell r="D261">
            <v>67089.119999999995</v>
          </cell>
          <cell r="F261">
            <v>147.11352868924371</v>
          </cell>
          <cell r="G261">
            <v>121.805328983143</v>
          </cell>
          <cell r="H261">
            <v>97.81407675145114</v>
          </cell>
        </row>
        <row r="262">
          <cell r="A262">
            <v>40439</v>
          </cell>
          <cell r="B262">
            <v>20.96</v>
          </cell>
          <cell r="C262">
            <v>22.4</v>
          </cell>
          <cell r="D262">
            <v>67089.119999999995</v>
          </cell>
          <cell r="F262">
            <v>147.11352868924371</v>
          </cell>
          <cell r="G262">
            <v>121.805328983143</v>
          </cell>
          <cell r="H262">
            <v>97.81407675145114</v>
          </cell>
        </row>
        <row r="263">
          <cell r="A263">
            <v>40440</v>
          </cell>
          <cell r="B263">
            <v>20.96</v>
          </cell>
          <cell r="C263">
            <v>22.4</v>
          </cell>
          <cell r="D263">
            <v>67089.119999999995</v>
          </cell>
          <cell r="F263">
            <v>147.11352868924371</v>
          </cell>
          <cell r="G263">
            <v>121.805328983143</v>
          </cell>
          <cell r="H263">
            <v>97.81407675145114</v>
          </cell>
        </row>
        <row r="264">
          <cell r="A264">
            <v>40441</v>
          </cell>
          <cell r="B264">
            <v>20.87</v>
          </cell>
          <cell r="C264">
            <v>22.69</v>
          </cell>
          <cell r="D264">
            <v>68190.460000000006</v>
          </cell>
          <cell r="F264">
            <v>146.48183891910861</v>
          </cell>
          <cell r="G264">
            <v>123.38227297444264</v>
          </cell>
          <cell r="H264">
            <v>99.419799934128818</v>
          </cell>
        </row>
        <row r="265">
          <cell r="A265">
            <v>40442</v>
          </cell>
          <cell r="B265">
            <v>20.2</v>
          </cell>
          <cell r="C265">
            <v>22.05</v>
          </cell>
          <cell r="D265">
            <v>67719.13</v>
          </cell>
          <cell r="F265">
            <v>141.77925951921389</v>
          </cell>
          <cell r="G265">
            <v>119.90212071778141</v>
          </cell>
          <cell r="H265">
            <v>98.732613862896073</v>
          </cell>
        </row>
        <row r="266">
          <cell r="A266">
            <v>40443</v>
          </cell>
          <cell r="B266">
            <v>19.7</v>
          </cell>
          <cell r="C266">
            <v>21.8</v>
          </cell>
          <cell r="D266">
            <v>68325.179999999993</v>
          </cell>
          <cell r="F266">
            <v>138.26987190735215</v>
          </cell>
          <cell r="G266">
            <v>118.5426862425231</v>
          </cell>
          <cell r="H266">
            <v>99.616217958690086</v>
          </cell>
        </row>
        <row r="267">
          <cell r="A267">
            <v>40444</v>
          </cell>
          <cell r="B267">
            <v>19.7</v>
          </cell>
          <cell r="C267">
            <v>21.77</v>
          </cell>
          <cell r="D267">
            <v>68794.320000000007</v>
          </cell>
          <cell r="F267">
            <v>138.26987190735215</v>
          </cell>
          <cell r="G267">
            <v>118.3795541054921</v>
          </cell>
          <cell r="H267">
            <v>100.3002110706459</v>
          </cell>
        </row>
        <row r="268">
          <cell r="A268">
            <v>40445</v>
          </cell>
          <cell r="B268">
            <v>19.5</v>
          </cell>
          <cell r="C268">
            <v>21.2</v>
          </cell>
          <cell r="D268">
            <v>68196.479999999996</v>
          </cell>
          <cell r="F268">
            <v>136.86611686260747</v>
          </cell>
          <cell r="G268">
            <v>115.28004350190319</v>
          </cell>
          <cell r="H268">
            <v>99.428576927209704</v>
          </cell>
        </row>
        <row r="269">
          <cell r="A269">
            <v>40446</v>
          </cell>
          <cell r="B269">
            <v>19.5</v>
          </cell>
          <cell r="C269">
            <v>21.2</v>
          </cell>
          <cell r="D269">
            <v>68196.479999999996</v>
          </cell>
          <cell r="F269">
            <v>136.86611686260747</v>
          </cell>
          <cell r="G269">
            <v>115.28004350190319</v>
          </cell>
          <cell r="H269">
            <v>99.428576927209704</v>
          </cell>
        </row>
        <row r="270">
          <cell r="A270">
            <v>40447</v>
          </cell>
          <cell r="B270">
            <v>19.5</v>
          </cell>
          <cell r="C270">
            <v>21.2</v>
          </cell>
          <cell r="D270">
            <v>68196.479999999996</v>
          </cell>
          <cell r="F270">
            <v>136.86611686260747</v>
          </cell>
          <cell r="G270">
            <v>115.28004350190319</v>
          </cell>
          <cell r="H270">
            <v>99.428576927209704</v>
          </cell>
        </row>
        <row r="271">
          <cell r="A271">
            <v>40448</v>
          </cell>
          <cell r="B271">
            <v>20.29</v>
          </cell>
          <cell r="C271">
            <v>21.35</v>
          </cell>
          <cell r="D271">
            <v>68815.97</v>
          </cell>
          <cell r="F271">
            <v>142.41094928934899</v>
          </cell>
          <cell r="G271">
            <v>116.09570418705819</v>
          </cell>
          <cell r="H271">
            <v>100.33177617034714</v>
          </cell>
        </row>
        <row r="272">
          <cell r="A272">
            <v>40449</v>
          </cell>
          <cell r="B272">
            <v>20.3</v>
          </cell>
          <cell r="C272">
            <v>21.14</v>
          </cell>
          <cell r="D272">
            <v>69227.63</v>
          </cell>
          <cell r="F272">
            <v>142.48113704158624</v>
          </cell>
          <cell r="G272">
            <v>114.95377922784122</v>
          </cell>
          <cell r="H272">
            <v>100.93196503607533</v>
          </cell>
        </row>
        <row r="273">
          <cell r="A273">
            <v>40450</v>
          </cell>
          <cell r="B273">
            <v>20.399999999999999</v>
          </cell>
          <cell r="C273">
            <v>21.3</v>
          </cell>
          <cell r="D273">
            <v>69228.240000000005</v>
          </cell>
          <cell r="F273">
            <v>143.18301456395858</v>
          </cell>
          <cell r="G273">
            <v>115.82381729200652</v>
          </cell>
          <cell r="H273">
            <v>100.93285439916161</v>
          </cell>
        </row>
        <row r="274">
          <cell r="A274">
            <v>40451</v>
          </cell>
          <cell r="B274">
            <v>20.399999999999999</v>
          </cell>
          <cell r="C274">
            <v>21</v>
          </cell>
          <cell r="D274">
            <v>69429.78</v>
          </cell>
          <cell r="F274">
            <v>143.18301456395858</v>
          </cell>
          <cell r="G274">
            <v>114.19249592169658</v>
          </cell>
          <cell r="H274">
            <v>101.22669413097636</v>
          </cell>
        </row>
        <row r="275">
          <cell r="A275">
            <v>40452</v>
          </cell>
          <cell r="B275">
            <v>20.6</v>
          </cell>
          <cell r="C275">
            <v>21.15</v>
          </cell>
          <cell r="D275">
            <v>70229.350000000006</v>
          </cell>
          <cell r="F275">
            <v>144.58676960870329</v>
          </cell>
          <cell r="G275">
            <v>115.00815660685153</v>
          </cell>
          <cell r="H275">
            <v>102.39244502095907</v>
          </cell>
        </row>
        <row r="276">
          <cell r="A276">
            <v>40453</v>
          </cell>
          <cell r="B276">
            <v>20.6</v>
          </cell>
          <cell r="C276">
            <v>21.15</v>
          </cell>
          <cell r="D276">
            <v>70229.350000000006</v>
          </cell>
          <cell r="F276">
            <v>144.58676960870329</v>
          </cell>
          <cell r="G276">
            <v>115.00815660685153</v>
          </cell>
          <cell r="H276">
            <v>102.39244502095907</v>
          </cell>
        </row>
        <row r="277">
          <cell r="A277">
            <v>40454</v>
          </cell>
          <cell r="B277">
            <v>20.6</v>
          </cell>
          <cell r="C277">
            <v>21.15</v>
          </cell>
          <cell r="D277">
            <v>70229.350000000006</v>
          </cell>
          <cell r="F277">
            <v>144.58676960870329</v>
          </cell>
          <cell r="G277">
            <v>115.00815660685153</v>
          </cell>
          <cell r="H277">
            <v>102.39244502095907</v>
          </cell>
        </row>
        <row r="278">
          <cell r="A278">
            <v>40455</v>
          </cell>
          <cell r="B278">
            <v>20.14</v>
          </cell>
          <cell r="C278">
            <v>21.1</v>
          </cell>
          <cell r="D278">
            <v>70384.92</v>
          </cell>
          <cell r="F278">
            <v>141.35813300579051</v>
          </cell>
          <cell r="G278">
            <v>114.73626971179989</v>
          </cell>
          <cell r="H278">
            <v>102.61926176740354</v>
          </cell>
        </row>
        <row r="279">
          <cell r="A279">
            <v>40456</v>
          </cell>
          <cell r="B279">
            <v>19.8</v>
          </cell>
          <cell r="C279">
            <v>21</v>
          </cell>
          <cell r="D279">
            <v>71283.11</v>
          </cell>
          <cell r="F279">
            <v>138.97174942972453</v>
          </cell>
          <cell r="G279">
            <v>114.19249592169658</v>
          </cell>
          <cell r="H279">
            <v>103.9287978829076</v>
          </cell>
        </row>
        <row r="280">
          <cell r="A280">
            <v>40457</v>
          </cell>
          <cell r="B280">
            <v>19.579999999999998</v>
          </cell>
          <cell r="C280">
            <v>21</v>
          </cell>
          <cell r="D280">
            <v>70541.37</v>
          </cell>
          <cell r="F280">
            <v>137.42761888050535</v>
          </cell>
          <cell r="G280">
            <v>114.19249592169658</v>
          </cell>
          <cell r="H280">
            <v>102.84736152944789</v>
          </cell>
        </row>
        <row r="281">
          <cell r="A281">
            <v>40458</v>
          </cell>
          <cell r="B281">
            <v>19.75</v>
          </cell>
          <cell r="C281">
            <v>21</v>
          </cell>
          <cell r="D281">
            <v>69918.399999999994</v>
          </cell>
          <cell r="F281">
            <v>138.62081066853833</v>
          </cell>
          <cell r="G281">
            <v>114.19249592169658</v>
          </cell>
          <cell r="H281">
            <v>101.9390885428019</v>
          </cell>
        </row>
        <row r="282">
          <cell r="A282">
            <v>40459</v>
          </cell>
          <cell r="B282">
            <v>20.46</v>
          </cell>
          <cell r="C282">
            <v>21.01</v>
          </cell>
          <cell r="D282">
            <v>70808.800000000003</v>
          </cell>
          <cell r="F282">
            <v>143.604141077382</v>
          </cell>
          <cell r="G282">
            <v>114.24687330070691</v>
          </cell>
          <cell r="H282">
            <v>103.23726705430261</v>
          </cell>
        </row>
        <row r="283">
          <cell r="A283">
            <v>40460</v>
          </cell>
          <cell r="B283">
            <v>20.46</v>
          </cell>
          <cell r="C283">
            <v>21.01</v>
          </cell>
          <cell r="D283">
            <v>70808.800000000003</v>
          </cell>
          <cell r="F283">
            <v>143.604141077382</v>
          </cell>
          <cell r="G283">
            <v>114.24687330070691</v>
          </cell>
          <cell r="H283">
            <v>103.23726705430261</v>
          </cell>
        </row>
        <row r="284">
          <cell r="A284">
            <v>40461</v>
          </cell>
          <cell r="B284">
            <v>20.46</v>
          </cell>
          <cell r="C284">
            <v>21.01</v>
          </cell>
          <cell r="D284">
            <v>70808.800000000003</v>
          </cell>
          <cell r="F284">
            <v>143.604141077382</v>
          </cell>
          <cell r="G284">
            <v>114.24687330070691</v>
          </cell>
          <cell r="H284">
            <v>103.23726705430261</v>
          </cell>
        </row>
        <row r="285">
          <cell r="A285">
            <v>40462</v>
          </cell>
          <cell r="B285">
            <v>20.49</v>
          </cell>
          <cell r="C285">
            <v>21.53</v>
          </cell>
          <cell r="D285">
            <v>70946.490000000005</v>
          </cell>
          <cell r="F285">
            <v>143.81470433409368</v>
          </cell>
          <cell r="G285">
            <v>117.07449700924415</v>
          </cell>
          <cell r="H285">
            <v>103.43801525651347</v>
          </cell>
        </row>
        <row r="286">
          <cell r="A286">
            <v>40463</v>
          </cell>
          <cell r="B286">
            <v>20.49</v>
          </cell>
          <cell r="C286">
            <v>21.53</v>
          </cell>
          <cell r="D286">
            <v>70946.490000000005</v>
          </cell>
          <cell r="F286">
            <v>143.81470433409368</v>
          </cell>
          <cell r="G286">
            <v>117.07449700924415</v>
          </cell>
          <cell r="H286">
            <v>103.43801525651347</v>
          </cell>
        </row>
        <row r="287">
          <cell r="A287">
            <v>40464</v>
          </cell>
          <cell r="B287">
            <v>20.6</v>
          </cell>
          <cell r="C287">
            <v>21.25</v>
          </cell>
          <cell r="D287">
            <v>71674.899999999994</v>
          </cell>
          <cell r="F287">
            <v>144.58676960870329</v>
          </cell>
          <cell r="G287">
            <v>115.55193039695486</v>
          </cell>
          <cell r="H287">
            <v>104.50001683957973</v>
          </cell>
        </row>
        <row r="288">
          <cell r="A288">
            <v>40465</v>
          </cell>
          <cell r="B288">
            <v>20.079999999999998</v>
          </cell>
          <cell r="C288">
            <v>21</v>
          </cell>
          <cell r="D288">
            <v>71692.289999999994</v>
          </cell>
          <cell r="F288">
            <v>140.93700649236706</v>
          </cell>
          <cell r="G288">
            <v>114.19249592169658</v>
          </cell>
          <cell r="H288">
            <v>104.5253709773998</v>
          </cell>
        </row>
        <row r="289">
          <cell r="A289">
            <v>40466</v>
          </cell>
          <cell r="B289">
            <v>20.350000000000001</v>
          </cell>
          <cell r="C289">
            <v>21</v>
          </cell>
          <cell r="D289">
            <v>71830.179999999993</v>
          </cell>
          <cell r="F289">
            <v>142.83207580277241</v>
          </cell>
          <cell r="G289">
            <v>114.19249592169658</v>
          </cell>
          <cell r="H289">
            <v>104.72641077406517</v>
          </cell>
        </row>
        <row r="290">
          <cell r="A290">
            <v>40467</v>
          </cell>
          <cell r="B290">
            <v>20.350000000000001</v>
          </cell>
          <cell r="C290">
            <v>21</v>
          </cell>
          <cell r="D290">
            <v>71830.179999999993</v>
          </cell>
          <cell r="F290">
            <v>142.83207580277241</v>
          </cell>
          <cell r="G290">
            <v>114.19249592169658</v>
          </cell>
          <cell r="H290">
            <v>104.72641077406517</v>
          </cell>
        </row>
        <row r="291">
          <cell r="A291">
            <v>40468</v>
          </cell>
          <cell r="B291">
            <v>20.350000000000001</v>
          </cell>
          <cell r="C291">
            <v>21</v>
          </cell>
          <cell r="D291">
            <v>71830.179999999993</v>
          </cell>
          <cell r="F291">
            <v>142.83207580277241</v>
          </cell>
          <cell r="G291">
            <v>114.19249592169658</v>
          </cell>
          <cell r="H291">
            <v>104.72641077406517</v>
          </cell>
        </row>
        <row r="292">
          <cell r="A292">
            <v>40469</v>
          </cell>
          <cell r="B292">
            <v>19.87</v>
          </cell>
          <cell r="C292">
            <v>20.99</v>
          </cell>
          <cell r="D292">
            <v>71735.53</v>
          </cell>
          <cell r="F292">
            <v>139.46306369538516</v>
          </cell>
          <cell r="G292">
            <v>114.13811854268623</v>
          </cell>
          <cell r="H292">
            <v>104.58841369846597</v>
          </cell>
        </row>
        <row r="293">
          <cell r="A293">
            <v>40470</v>
          </cell>
          <cell r="B293">
            <v>19.899999999999999</v>
          </cell>
          <cell r="C293">
            <v>21</v>
          </cell>
          <cell r="D293">
            <v>69863.58</v>
          </cell>
          <cell r="F293">
            <v>139.67362695209684</v>
          </cell>
          <cell r="G293">
            <v>114.19249592169658</v>
          </cell>
          <cell r="H293">
            <v>101.85916250281934</v>
          </cell>
        </row>
        <row r="294">
          <cell r="A294">
            <v>40471</v>
          </cell>
          <cell r="B294">
            <v>20.03</v>
          </cell>
          <cell r="C294">
            <v>20.92</v>
          </cell>
          <cell r="D294">
            <v>70404.679999999993</v>
          </cell>
          <cell r="F294">
            <v>140.58606773118092</v>
          </cell>
          <cell r="G294">
            <v>113.75747688961393</v>
          </cell>
          <cell r="H294">
            <v>102.64807129950964</v>
          </cell>
          <cell r="I294">
            <v>0.3695928813019258</v>
          </cell>
          <cell r="J294">
            <v>0.10822809868184402</v>
          </cell>
        </row>
        <row r="295">
          <cell r="I295">
            <v>0.23584024167132744</v>
          </cell>
        </row>
      </sheetData>
      <sheetData sheetId="2">
        <row r="2">
          <cell r="B2" t="str">
            <v>SHL-AU</v>
          </cell>
          <cell r="C2" t="str">
            <v>DGX-US</v>
          </cell>
          <cell r="D2">
            <v>6869</v>
          </cell>
          <cell r="E2">
            <v>4544</v>
          </cell>
          <cell r="F2" t="str">
            <v>LH-US</v>
          </cell>
          <cell r="G2" t="str">
            <v>R01-SG</v>
          </cell>
          <cell r="H2" t="str">
            <v>BRLI-US</v>
          </cell>
          <cell r="I2" t="str">
            <v>GXDX-US</v>
          </cell>
          <cell r="J2" t="str">
            <v>RMD-US</v>
          </cell>
          <cell r="K2" t="str">
            <v>HSP-AU</v>
          </cell>
          <cell r="L2" t="str">
            <v>RDNT-US</v>
          </cell>
          <cell r="M2" t="str">
            <v>HWAY-US</v>
          </cell>
          <cell r="N2" t="str">
            <v>DASA3-BR</v>
          </cell>
          <cell r="O2" t="str">
            <v>FLRY3-BR</v>
          </cell>
          <cell r="Q2" t="str">
            <v>SHL-AU</v>
          </cell>
          <cell r="R2" t="str">
            <v>DGX-US</v>
          </cell>
          <cell r="S2">
            <v>6869</v>
          </cell>
          <cell r="T2">
            <v>4544</v>
          </cell>
          <cell r="U2" t="str">
            <v>LH-US</v>
          </cell>
          <cell r="V2" t="str">
            <v>R01-SG</v>
          </cell>
          <cell r="W2" t="str">
            <v>BRLI-US</v>
          </cell>
          <cell r="X2" t="str">
            <v>GXDX-US</v>
          </cell>
          <cell r="Y2" t="str">
            <v>RMD-US</v>
          </cell>
          <cell r="Z2" t="str">
            <v>HSP-AU</v>
          </cell>
          <cell r="AA2" t="str">
            <v>RDNT-US</v>
          </cell>
          <cell r="AB2" t="str">
            <v>HWAY-US</v>
          </cell>
          <cell r="AC2" t="str">
            <v>DASA3-BR</v>
          </cell>
          <cell r="AD2" t="str">
            <v>FLRY3-BR</v>
          </cell>
          <cell r="AF2" t="str">
            <v xml:space="preserve">Global </v>
          </cell>
          <cell r="AG2" t="str">
            <v xml:space="preserve">Brazilian </v>
          </cell>
        </row>
        <row r="3">
          <cell r="A3">
            <v>40179</v>
          </cell>
          <cell r="B3">
            <v>13.8230095</v>
          </cell>
          <cell r="C3">
            <v>60.38</v>
          </cell>
          <cell r="D3">
            <v>52.097320000000003</v>
          </cell>
          <cell r="E3">
            <v>27.337665999999999</v>
          </cell>
          <cell r="F3">
            <v>74.84</v>
          </cell>
          <cell r="G3">
            <v>1.0328004</v>
          </cell>
          <cell r="H3">
            <v>19.559999999999999</v>
          </cell>
          <cell r="I3">
            <v>35.53</v>
          </cell>
          <cell r="J3">
            <v>26.135000000000002</v>
          </cell>
          <cell r="K3">
            <v>4.5597050000000001</v>
          </cell>
          <cell r="L3">
            <v>2.04</v>
          </cell>
          <cell r="M3">
            <v>18.34</v>
          </cell>
          <cell r="N3">
            <v>8.1731870000000004</v>
          </cell>
          <cell r="O3">
            <v>10.549562999999999</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F3">
            <v>100</v>
          </cell>
          <cell r="AG3">
            <v>100</v>
          </cell>
        </row>
        <row r="4">
          <cell r="A4">
            <v>40180</v>
          </cell>
          <cell r="B4">
            <v>13.8230095</v>
          </cell>
          <cell r="C4">
            <v>60.38</v>
          </cell>
          <cell r="D4">
            <v>52.097320000000003</v>
          </cell>
          <cell r="E4">
            <v>27.337665999999999</v>
          </cell>
          <cell r="F4">
            <v>74.84</v>
          </cell>
          <cell r="G4">
            <v>1.0328004</v>
          </cell>
          <cell r="H4">
            <v>19.559999999999999</v>
          </cell>
          <cell r="I4">
            <v>35.53</v>
          </cell>
          <cell r="J4">
            <v>26.135000000000002</v>
          </cell>
          <cell r="K4">
            <v>4.5597050000000001</v>
          </cell>
          <cell r="L4">
            <v>2.04</v>
          </cell>
          <cell r="M4">
            <v>18.34</v>
          </cell>
          <cell r="N4">
            <v>8.1731870000000004</v>
          </cell>
          <cell r="O4">
            <v>10.549562999999999</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F4">
            <v>100</v>
          </cell>
          <cell r="AG4">
            <v>100</v>
          </cell>
        </row>
        <row r="5">
          <cell r="A5">
            <v>40181</v>
          </cell>
          <cell r="B5">
            <v>13.8230095</v>
          </cell>
          <cell r="C5">
            <v>60.38</v>
          </cell>
          <cell r="D5">
            <v>52.097320000000003</v>
          </cell>
          <cell r="E5">
            <v>27.337665999999999</v>
          </cell>
          <cell r="F5">
            <v>74.84</v>
          </cell>
          <cell r="G5">
            <v>1.0328004</v>
          </cell>
          <cell r="H5">
            <v>19.559999999999999</v>
          </cell>
          <cell r="I5">
            <v>35.53</v>
          </cell>
          <cell r="J5">
            <v>26.135000000000002</v>
          </cell>
          <cell r="K5">
            <v>4.5597050000000001</v>
          </cell>
          <cell r="L5">
            <v>2.04</v>
          </cell>
          <cell r="M5">
            <v>18.34</v>
          </cell>
          <cell r="N5">
            <v>8.1731870000000004</v>
          </cell>
          <cell r="O5">
            <v>10.549562999999999</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F5">
            <v>100</v>
          </cell>
          <cell r="AG5">
            <v>100</v>
          </cell>
        </row>
        <row r="6">
          <cell r="A6">
            <v>40182</v>
          </cell>
          <cell r="B6">
            <v>13.895096000000001</v>
          </cell>
          <cell r="C6">
            <v>61.16</v>
          </cell>
          <cell r="D6">
            <v>52.680019999999999</v>
          </cell>
          <cell r="E6">
            <v>27.937194999999999</v>
          </cell>
          <cell r="F6">
            <v>76.37</v>
          </cell>
          <cell r="G6">
            <v>1.0373072999999999</v>
          </cell>
          <cell r="H6">
            <v>19.885000000000002</v>
          </cell>
          <cell r="I6">
            <v>35.74</v>
          </cell>
          <cell r="J6">
            <v>26.395</v>
          </cell>
          <cell r="K6">
            <v>4.6773759999999998</v>
          </cell>
          <cell r="L6">
            <v>2.12</v>
          </cell>
          <cell r="M6">
            <v>18.899999999999999</v>
          </cell>
          <cell r="N6">
            <v>8.3463879999999993</v>
          </cell>
          <cell r="O6">
            <v>10.501886000000001</v>
          </cell>
          <cell r="Q6">
            <v>100.52149642232395</v>
          </cell>
          <cell r="R6">
            <v>101.29181848294135</v>
          </cell>
          <cell r="S6">
            <v>101.11848363792993</v>
          </cell>
          <cell r="T6">
            <v>102.19305115513519</v>
          </cell>
          <cell r="U6">
            <v>102.04436130411545</v>
          </cell>
          <cell r="V6">
            <v>100.43637667065195</v>
          </cell>
          <cell r="W6">
            <v>101.66155419222906</v>
          </cell>
          <cell r="X6">
            <v>100.59104981705602</v>
          </cell>
          <cell r="Y6">
            <v>100.99483451310502</v>
          </cell>
          <cell r="Z6">
            <v>102.58067133729045</v>
          </cell>
          <cell r="AA6">
            <v>103.92156862745099</v>
          </cell>
          <cell r="AB6">
            <v>103.0534351145038</v>
          </cell>
          <cell r="AC6">
            <v>102.11913663543974</v>
          </cell>
          <cell r="AD6">
            <v>99.548066588161049</v>
          </cell>
          <cell r="AF6">
            <v>101.70072510622778</v>
          </cell>
          <cell r="AG6">
            <v>100.83360161180039</v>
          </cell>
        </row>
        <row r="7">
          <cell r="A7">
            <v>40183</v>
          </cell>
          <cell r="B7">
            <v>13.945361999999999</v>
          </cell>
          <cell r="C7">
            <v>59.79</v>
          </cell>
          <cell r="D7">
            <v>52.545333999999997</v>
          </cell>
          <cell r="E7">
            <v>28.097006</v>
          </cell>
          <cell r="F7">
            <v>75.44</v>
          </cell>
          <cell r="G7">
            <v>1.0318513</v>
          </cell>
          <cell r="H7">
            <v>19.975000000000001</v>
          </cell>
          <cell r="I7">
            <v>35.58</v>
          </cell>
          <cell r="J7">
            <v>25.274999999999999</v>
          </cell>
          <cell r="K7">
            <v>4.5905389999999997</v>
          </cell>
          <cell r="L7">
            <v>2.1</v>
          </cell>
          <cell r="M7">
            <v>18.27</v>
          </cell>
          <cell r="N7">
            <v>8.4140890000000006</v>
          </cell>
          <cell r="O7">
            <v>10.445077</v>
          </cell>
          <cell r="Q7">
            <v>100.88513648203742</v>
          </cell>
          <cell r="R7">
            <v>99.022855250082813</v>
          </cell>
          <cell r="S7">
            <v>100.85995594399095</v>
          </cell>
          <cell r="T7">
            <v>102.77763288204633</v>
          </cell>
          <cell r="U7">
            <v>100.80171031533938</v>
          </cell>
          <cell r="V7">
            <v>99.908104218394968</v>
          </cell>
          <cell r="W7">
            <v>102.12167689161555</v>
          </cell>
          <cell r="X7">
            <v>100.1407261469181</v>
          </cell>
          <cell r="Y7">
            <v>96.70939353357565</v>
          </cell>
          <cell r="Z7">
            <v>100.67622795772971</v>
          </cell>
          <cell r="AA7">
            <v>102.94117647058825</v>
          </cell>
          <cell r="AB7">
            <v>99.618320610687022</v>
          </cell>
          <cell r="AC7">
            <v>102.94746712634864</v>
          </cell>
          <cell r="AD7">
            <v>99.009570349027726</v>
          </cell>
          <cell r="AF7">
            <v>100.53857639191718</v>
          </cell>
          <cell r="AG7">
            <v>100.97851873768818</v>
          </cell>
        </row>
        <row r="8">
          <cell r="A8">
            <v>40184</v>
          </cell>
          <cell r="B8">
            <v>13.78792</v>
          </cell>
          <cell r="C8">
            <v>58.87</v>
          </cell>
          <cell r="D8">
            <v>51.481299999999997</v>
          </cell>
          <cell r="E8">
            <v>27.553830000000001</v>
          </cell>
          <cell r="F8">
            <v>74.19</v>
          </cell>
          <cell r="G8">
            <v>1.0319992</v>
          </cell>
          <cell r="H8">
            <v>19.600000000000001</v>
          </cell>
          <cell r="I8">
            <v>34.86</v>
          </cell>
          <cell r="J8">
            <v>26.085000000000001</v>
          </cell>
          <cell r="K8">
            <v>4.6204200000000002</v>
          </cell>
          <cell r="L8">
            <v>2.04</v>
          </cell>
          <cell r="M8">
            <v>18.260000000000002</v>
          </cell>
          <cell r="N8">
            <v>8.1852330000000002</v>
          </cell>
          <cell r="O8">
            <v>10.778789</v>
          </cell>
          <cell r="Q8">
            <v>99.746151516426295</v>
          </cell>
          <cell r="R8">
            <v>97.499171911228871</v>
          </cell>
          <cell r="S8">
            <v>98.817559137398987</v>
          </cell>
          <cell r="T8">
            <v>100.79071856390374</v>
          </cell>
          <cell r="U8">
            <v>99.131480491715649</v>
          </cell>
          <cell r="V8">
            <v>99.922424507194236</v>
          </cell>
          <cell r="W8">
            <v>100.20449897750512</v>
          </cell>
          <cell r="X8">
            <v>98.114269631297489</v>
          </cell>
          <cell r="Y8">
            <v>99.808685670556713</v>
          </cell>
          <cell r="Z8">
            <v>101.33155544053838</v>
          </cell>
          <cell r="AA8">
            <v>100</v>
          </cell>
          <cell r="AB8">
            <v>99.56379498364231</v>
          </cell>
          <cell r="AC8">
            <v>100.14738436793382</v>
          </cell>
          <cell r="AD8">
            <v>102.17284829712851</v>
          </cell>
          <cell r="AF8">
            <v>99.577525902617325</v>
          </cell>
          <cell r="AG8">
            <v>101.16011633253117</v>
          </cell>
        </row>
        <row r="9">
          <cell r="A9">
            <v>40185</v>
          </cell>
          <cell r="B9">
            <v>13.644923</v>
          </cell>
          <cell r="C9">
            <v>59.44</v>
          </cell>
          <cell r="D9">
            <v>51.183002000000002</v>
          </cell>
          <cell r="E9">
            <v>27.297602000000001</v>
          </cell>
          <cell r="F9">
            <v>74.17</v>
          </cell>
          <cell r="G9">
            <v>1.0238419999999999</v>
          </cell>
          <cell r="H9">
            <v>19.36</v>
          </cell>
          <cell r="I9">
            <v>34.92</v>
          </cell>
          <cell r="J9">
            <v>26.13</v>
          </cell>
          <cell r="K9">
            <v>4.5483073999999997</v>
          </cell>
          <cell r="L9">
            <v>2.08</v>
          </cell>
          <cell r="M9">
            <v>18.309999999999999</v>
          </cell>
          <cell r="N9">
            <v>8.1931550000000009</v>
          </cell>
          <cell r="O9">
            <v>10.778269999999999</v>
          </cell>
          <cell r="Q9">
            <v>98.711666225795483</v>
          </cell>
          <cell r="R9">
            <v>98.443193110301422</v>
          </cell>
          <cell r="S9">
            <v>98.244980739892185</v>
          </cell>
          <cell r="T9">
            <v>99.853447620583268</v>
          </cell>
          <cell r="U9">
            <v>99.10475681453768</v>
          </cell>
          <cell r="V9">
            <v>99.132610715487715</v>
          </cell>
          <cell r="W9">
            <v>98.977505112474446</v>
          </cell>
          <cell r="X9">
            <v>98.283141007599212</v>
          </cell>
          <cell r="Y9">
            <v>99.980868567055666</v>
          </cell>
          <cell r="Z9">
            <v>99.750036460692073</v>
          </cell>
          <cell r="AA9">
            <v>101.96078431372548</v>
          </cell>
          <cell r="AB9">
            <v>99.836423118865852</v>
          </cell>
          <cell r="AC9">
            <v>100.24431106250231</v>
          </cell>
          <cell r="AD9">
            <v>102.16792866206875</v>
          </cell>
          <cell r="AF9">
            <v>99.356617817250864</v>
          </cell>
          <cell r="AG9">
            <v>101.20611986228553</v>
          </cell>
        </row>
        <row r="10">
          <cell r="A10">
            <v>40186</v>
          </cell>
          <cell r="B10">
            <v>13.581754</v>
          </cell>
          <cell r="C10">
            <v>59.44</v>
          </cell>
          <cell r="D10">
            <v>52.286180000000002</v>
          </cell>
          <cell r="E10">
            <v>27.380312</v>
          </cell>
          <cell r="F10">
            <v>74.06</v>
          </cell>
          <cell r="G10">
            <v>1.0245021999999999</v>
          </cell>
          <cell r="H10">
            <v>19.614999999999998</v>
          </cell>
          <cell r="I10">
            <v>34.19</v>
          </cell>
          <cell r="J10">
            <v>26.114999999999998</v>
          </cell>
          <cell r="K10">
            <v>4.6161409999999998</v>
          </cell>
          <cell r="L10">
            <v>2.11</v>
          </cell>
          <cell r="M10">
            <v>18.18</v>
          </cell>
          <cell r="N10">
            <v>8.2349549999999994</v>
          </cell>
          <cell r="O10">
            <v>10.993378</v>
          </cell>
          <cell r="Q10">
            <v>98.254681804277141</v>
          </cell>
          <cell r="R10">
            <v>98.443193110301422</v>
          </cell>
          <cell r="S10">
            <v>100.3625138490809</v>
          </cell>
          <cell r="T10">
            <v>100.15599722375714</v>
          </cell>
          <cell r="U10">
            <v>98.957776590058785</v>
          </cell>
          <cell r="V10">
            <v>99.196534005989918</v>
          </cell>
          <cell r="W10">
            <v>100.28118609406953</v>
          </cell>
          <cell r="X10">
            <v>96.228539262594978</v>
          </cell>
          <cell r="Y10">
            <v>99.923474268222677</v>
          </cell>
          <cell r="Z10">
            <v>101.23771165020543</v>
          </cell>
          <cell r="AA10">
            <v>103.4313725490196</v>
          </cell>
          <cell r="AB10">
            <v>99.127589967284621</v>
          </cell>
          <cell r="AC10">
            <v>100.75573946858182</v>
          </cell>
          <cell r="AD10">
            <v>104.20695151069293</v>
          </cell>
          <cell r="AF10">
            <v>99.633380864571848</v>
          </cell>
          <cell r="AG10">
            <v>102.48134548963738</v>
          </cell>
        </row>
        <row r="11">
          <cell r="A11">
            <v>40187</v>
          </cell>
          <cell r="B11">
            <v>13.581754</v>
          </cell>
          <cell r="C11">
            <v>59.44</v>
          </cell>
          <cell r="D11">
            <v>52.286180000000002</v>
          </cell>
          <cell r="E11">
            <v>27.380312</v>
          </cell>
          <cell r="F11">
            <v>74.06</v>
          </cell>
          <cell r="G11">
            <v>1.0245021999999999</v>
          </cell>
          <cell r="H11">
            <v>19.614999999999998</v>
          </cell>
          <cell r="I11">
            <v>34.19</v>
          </cell>
          <cell r="J11">
            <v>26.114999999999998</v>
          </cell>
          <cell r="K11">
            <v>4.6161409999999998</v>
          </cell>
          <cell r="L11">
            <v>2.11</v>
          </cell>
          <cell r="M11">
            <v>18.18</v>
          </cell>
          <cell r="N11">
            <v>8.2349549999999994</v>
          </cell>
          <cell r="O11">
            <v>10.993378</v>
          </cell>
          <cell r="Q11">
            <v>98.254681804277141</v>
          </cell>
          <cell r="R11">
            <v>98.443193110301422</v>
          </cell>
          <cell r="S11">
            <v>100.3625138490809</v>
          </cell>
          <cell r="T11">
            <v>100.15599722375714</v>
          </cell>
          <cell r="U11">
            <v>98.957776590058785</v>
          </cell>
          <cell r="V11">
            <v>99.196534005989918</v>
          </cell>
          <cell r="W11">
            <v>100.28118609406953</v>
          </cell>
          <cell r="X11">
            <v>96.228539262594978</v>
          </cell>
          <cell r="Y11">
            <v>99.923474268222677</v>
          </cell>
          <cell r="Z11">
            <v>101.23771165020543</v>
          </cell>
          <cell r="AA11">
            <v>103.4313725490196</v>
          </cell>
          <cell r="AB11">
            <v>99.127589967284621</v>
          </cell>
          <cell r="AC11">
            <v>100.75573946858182</v>
          </cell>
          <cell r="AD11">
            <v>104.20695151069293</v>
          </cell>
          <cell r="AF11">
            <v>99.633380864571848</v>
          </cell>
          <cell r="AG11">
            <v>102.48134548963738</v>
          </cell>
        </row>
        <row r="12">
          <cell r="A12">
            <v>40188</v>
          </cell>
          <cell r="B12">
            <v>13.581754</v>
          </cell>
          <cell r="C12">
            <v>59.44</v>
          </cell>
          <cell r="D12">
            <v>52.286180000000002</v>
          </cell>
          <cell r="E12">
            <v>27.380312</v>
          </cell>
          <cell r="F12">
            <v>74.06</v>
          </cell>
          <cell r="G12">
            <v>1.0245021999999999</v>
          </cell>
          <cell r="H12">
            <v>19.614999999999998</v>
          </cell>
          <cell r="I12">
            <v>34.19</v>
          </cell>
          <cell r="J12">
            <v>26.114999999999998</v>
          </cell>
          <cell r="K12">
            <v>4.6161409999999998</v>
          </cell>
          <cell r="L12">
            <v>2.11</v>
          </cell>
          <cell r="M12">
            <v>18.18</v>
          </cell>
          <cell r="N12">
            <v>8.2349549999999994</v>
          </cell>
          <cell r="O12">
            <v>10.993378</v>
          </cell>
          <cell r="Q12">
            <v>98.254681804277141</v>
          </cell>
          <cell r="R12">
            <v>98.443193110301422</v>
          </cell>
          <cell r="S12">
            <v>100.3625138490809</v>
          </cell>
          <cell r="T12">
            <v>100.15599722375714</v>
          </cell>
          <cell r="U12">
            <v>98.957776590058785</v>
          </cell>
          <cell r="V12">
            <v>99.196534005989918</v>
          </cell>
          <cell r="W12">
            <v>100.28118609406953</v>
          </cell>
          <cell r="X12">
            <v>96.228539262594978</v>
          </cell>
          <cell r="Y12">
            <v>99.923474268222677</v>
          </cell>
          <cell r="Z12">
            <v>101.23771165020543</v>
          </cell>
          <cell r="AA12">
            <v>103.4313725490196</v>
          </cell>
          <cell r="AB12">
            <v>99.127589967284621</v>
          </cell>
          <cell r="AC12">
            <v>100.75573946858182</v>
          </cell>
          <cell r="AD12">
            <v>104.20695151069293</v>
          </cell>
          <cell r="AF12">
            <v>99.633380864571848</v>
          </cell>
          <cell r="AG12">
            <v>102.48134548963738</v>
          </cell>
        </row>
        <row r="13">
          <cell r="A13">
            <v>40189</v>
          </cell>
          <cell r="B13">
            <v>14.038726</v>
          </cell>
          <cell r="C13">
            <v>59.59</v>
          </cell>
          <cell r="D13">
            <v>52.866314000000003</v>
          </cell>
          <cell r="E13">
            <v>27.684108999999999</v>
          </cell>
          <cell r="F13">
            <v>74.89</v>
          </cell>
          <cell r="G13">
            <v>1.038025</v>
          </cell>
          <cell r="H13">
            <v>19.68</v>
          </cell>
          <cell r="I13">
            <v>34.369999999999997</v>
          </cell>
          <cell r="J13">
            <v>26.42</v>
          </cell>
          <cell r="K13">
            <v>4.7199169999999997</v>
          </cell>
          <cell r="L13">
            <v>2.11</v>
          </cell>
          <cell r="M13">
            <v>17.97</v>
          </cell>
          <cell r="N13">
            <v>8.5223169999999993</v>
          </cell>
          <cell r="O13">
            <v>11.122346</v>
          </cell>
          <cell r="Q13">
            <v>101.56056103412214</v>
          </cell>
          <cell r="R13">
            <v>98.691619741636302</v>
          </cell>
          <cell r="S13">
            <v>101.47607208969673</v>
          </cell>
          <cell r="T13">
            <v>101.26727351193772</v>
          </cell>
          <cell r="U13">
            <v>100.06680919294494</v>
          </cell>
          <cell r="V13">
            <v>100.50586734861837</v>
          </cell>
          <cell r="W13">
            <v>100.61349693251533</v>
          </cell>
          <cell r="X13">
            <v>96.735153391500134</v>
          </cell>
          <cell r="Y13">
            <v>101.09049167782666</v>
          </cell>
          <cell r="Z13">
            <v>103.51364836102334</v>
          </cell>
          <cell r="AA13">
            <v>103.4313725490196</v>
          </cell>
          <cell r="AB13">
            <v>97.982551799345686</v>
          </cell>
          <cell r="AC13">
            <v>104.27165070369733</v>
          </cell>
          <cell r="AD13">
            <v>105.42944764631483</v>
          </cell>
          <cell r="AF13">
            <v>100.57790980251558</v>
          </cell>
          <cell r="AG13">
            <v>104.85054917500608</v>
          </cell>
        </row>
        <row r="14">
          <cell r="A14">
            <v>40190</v>
          </cell>
          <cell r="B14">
            <v>13.587075</v>
          </cell>
          <cell r="C14">
            <v>59.21</v>
          </cell>
          <cell r="D14">
            <v>56.197074999999998</v>
          </cell>
          <cell r="E14">
            <v>28.417463000000001</v>
          </cell>
          <cell r="F14">
            <v>73.81</v>
          </cell>
          <cell r="G14">
            <v>1.030111</v>
          </cell>
          <cell r="H14">
            <v>19.535</v>
          </cell>
          <cell r="I14">
            <v>34.79</v>
          </cell>
          <cell r="J14">
            <v>25.72</v>
          </cell>
          <cell r="K14">
            <v>4.6370060000000004</v>
          </cell>
          <cell r="L14">
            <v>2.06</v>
          </cell>
          <cell r="M14">
            <v>18.079999999999998</v>
          </cell>
          <cell r="N14">
            <v>8.3573269999999997</v>
          </cell>
          <cell r="O14">
            <v>11.287070999999999</v>
          </cell>
          <cell r="Q14">
            <v>98.293175592478619</v>
          </cell>
          <cell r="R14">
            <v>98.062272275587929</v>
          </cell>
          <cell r="S14">
            <v>107.86941631546496</v>
          </cell>
          <cell r="T14">
            <v>103.94985072975874</v>
          </cell>
          <cell r="U14">
            <v>98.623730625334048</v>
          </cell>
          <cell r="V14">
            <v>99.739601185282268</v>
          </cell>
          <cell r="W14">
            <v>99.872188139059318</v>
          </cell>
          <cell r="X14">
            <v>97.917253025612155</v>
          </cell>
          <cell r="Y14">
            <v>98.4120910656208</v>
          </cell>
          <cell r="Z14">
            <v>101.69530704288985</v>
          </cell>
          <cell r="AA14">
            <v>100.98039215686273</v>
          </cell>
          <cell r="AB14">
            <v>98.582333696837509</v>
          </cell>
          <cell r="AC14">
            <v>102.25297671520302</v>
          </cell>
          <cell r="AD14">
            <v>106.99088673151675</v>
          </cell>
          <cell r="AF14">
            <v>100.33313432089908</v>
          </cell>
          <cell r="AG14">
            <v>104.62193172335989</v>
          </cell>
        </row>
        <row r="15">
          <cell r="A15">
            <v>40191</v>
          </cell>
          <cell r="B15">
            <v>13.675155999999999</v>
          </cell>
          <cell r="C15">
            <v>59.94</v>
          </cell>
          <cell r="D15">
            <v>56.109589999999997</v>
          </cell>
          <cell r="E15">
            <v>28.120547999999999</v>
          </cell>
          <cell r="F15">
            <v>75.36</v>
          </cell>
          <cell r="G15">
            <v>1.0223549999999999</v>
          </cell>
          <cell r="H15">
            <v>19.87</v>
          </cell>
          <cell r="I15">
            <v>35.799999999999997</v>
          </cell>
          <cell r="J15">
            <v>26.1</v>
          </cell>
          <cell r="K15">
            <v>4.6045227000000004</v>
          </cell>
          <cell r="L15">
            <v>2.06</v>
          </cell>
          <cell r="M15">
            <v>18.07</v>
          </cell>
          <cell r="N15">
            <v>8.3335720000000002</v>
          </cell>
          <cell r="O15">
            <v>11.244956999999999</v>
          </cell>
          <cell r="Q15">
            <v>98.930381260318171</v>
          </cell>
          <cell r="R15">
            <v>99.271281881417679</v>
          </cell>
          <cell r="S15">
            <v>107.70149021101277</v>
          </cell>
          <cell r="T15">
            <v>102.86374849996338</v>
          </cell>
          <cell r="U15">
            <v>100.69481560662747</v>
          </cell>
          <cell r="V15">
            <v>98.988633234456529</v>
          </cell>
          <cell r="W15">
            <v>101.58486707566463</v>
          </cell>
          <cell r="X15">
            <v>100.7599211933577</v>
          </cell>
          <cell r="Y15">
            <v>99.866079969389716</v>
          </cell>
          <cell r="Z15">
            <v>100.9829078854882</v>
          </cell>
          <cell r="AA15">
            <v>100.98039215686273</v>
          </cell>
          <cell r="AB15">
            <v>98.527808069792812</v>
          </cell>
          <cell r="AC15">
            <v>101.96233121792024</v>
          </cell>
          <cell r="AD15">
            <v>106.59168536175385</v>
          </cell>
          <cell r="AF15">
            <v>100.92936058702934</v>
          </cell>
          <cell r="AG15">
            <v>104.27700828983704</v>
          </cell>
        </row>
        <row r="16">
          <cell r="A16">
            <v>40192</v>
          </cell>
          <cell r="B16">
            <v>13.681035</v>
          </cell>
          <cell r="C16">
            <v>60.9</v>
          </cell>
          <cell r="D16">
            <v>58.390957</v>
          </cell>
          <cell r="E16">
            <v>27.87839</v>
          </cell>
          <cell r="F16">
            <v>76.92</v>
          </cell>
          <cell r="G16">
            <v>1.0079193</v>
          </cell>
          <cell r="H16">
            <v>19.905000000000001</v>
          </cell>
          <cell r="I16">
            <v>35.72</v>
          </cell>
          <cell r="J16">
            <v>26.28</v>
          </cell>
          <cell r="K16">
            <v>4.5851459999999999</v>
          </cell>
          <cell r="L16">
            <v>2.04</v>
          </cell>
          <cell r="M16">
            <v>17.96</v>
          </cell>
          <cell r="N16">
            <v>8.159084</v>
          </cell>
          <cell r="O16">
            <v>11.302628</v>
          </cell>
          <cell r="Q16">
            <v>98.972911796088979</v>
          </cell>
          <cell r="R16">
            <v>100.86121232196091</v>
          </cell>
          <cell r="S16">
            <v>112.080538883766</v>
          </cell>
          <cell r="T16">
            <v>101.9779450081803</v>
          </cell>
          <cell r="U16">
            <v>102.77926242650987</v>
          </cell>
          <cell r="V16">
            <v>97.590909143722243</v>
          </cell>
          <cell r="W16">
            <v>101.76380368098161</v>
          </cell>
          <cell r="X16">
            <v>100.53475935828877</v>
          </cell>
          <cell r="Y16">
            <v>100.5548115553855</v>
          </cell>
          <cell r="Z16">
            <v>100.55795276229493</v>
          </cell>
          <cell r="AA16">
            <v>100</v>
          </cell>
          <cell r="AB16">
            <v>97.928026172300989</v>
          </cell>
          <cell r="AC16">
            <v>99.827447971030153</v>
          </cell>
          <cell r="AD16">
            <v>107.13835255545658</v>
          </cell>
          <cell r="AF16">
            <v>101.30017775912336</v>
          </cell>
          <cell r="AG16">
            <v>103.48290026324337</v>
          </cell>
        </row>
        <row r="17">
          <cell r="A17">
            <v>40193</v>
          </cell>
          <cell r="B17">
            <v>13.836277000000001</v>
          </cell>
          <cell r="C17">
            <v>60.25</v>
          </cell>
          <cell r="D17">
            <v>57.891260000000003</v>
          </cell>
          <cell r="E17">
            <v>28.516397000000001</v>
          </cell>
          <cell r="F17">
            <v>75.75</v>
          </cell>
          <cell r="G17">
            <v>1.0062169000000001</v>
          </cell>
          <cell r="H17">
            <v>19.850000000000001</v>
          </cell>
          <cell r="I17">
            <v>35.25</v>
          </cell>
          <cell r="J17">
            <v>26.08</v>
          </cell>
          <cell r="K17">
            <v>4.5813040000000003</v>
          </cell>
          <cell r="L17">
            <v>2.0499999999999998</v>
          </cell>
          <cell r="M17">
            <v>17.98</v>
          </cell>
          <cell r="N17">
            <v>8.0583589999999994</v>
          </cell>
          <cell r="O17">
            <v>11.145982999999999</v>
          </cell>
          <cell r="Q17">
            <v>100.09598126949129</v>
          </cell>
          <cell r="R17">
            <v>99.78469691950977</v>
          </cell>
          <cell r="S17">
            <v>111.12137822060713</v>
          </cell>
          <cell r="T17">
            <v>104.3117470233194</v>
          </cell>
          <cell r="U17">
            <v>101.21592731159808</v>
          </cell>
          <cell r="V17">
            <v>97.426075745129467</v>
          </cell>
          <cell r="W17">
            <v>101.48261758691208</v>
          </cell>
          <cell r="X17">
            <v>99.211933577258648</v>
          </cell>
          <cell r="Y17">
            <v>99.789554237612393</v>
          </cell>
          <cell r="Z17">
            <v>100.47369292530985</v>
          </cell>
          <cell r="AA17">
            <v>100.49019607843137</v>
          </cell>
          <cell r="AB17">
            <v>98.037077426390411</v>
          </cell>
          <cell r="AC17">
            <v>98.595064569059758</v>
          </cell>
          <cell r="AD17">
            <v>105.65350432051073</v>
          </cell>
          <cell r="AF17">
            <v>101.12007319346414</v>
          </cell>
          <cell r="AG17">
            <v>102.12428444478525</v>
          </cell>
        </row>
        <row r="18">
          <cell r="A18">
            <v>40194</v>
          </cell>
          <cell r="B18">
            <v>13.836277000000001</v>
          </cell>
          <cell r="C18">
            <v>60.25</v>
          </cell>
          <cell r="D18">
            <v>57.891260000000003</v>
          </cell>
          <cell r="E18">
            <v>28.516397000000001</v>
          </cell>
          <cell r="F18">
            <v>75.75</v>
          </cell>
          <cell r="G18">
            <v>1.0062169000000001</v>
          </cell>
          <cell r="H18">
            <v>19.850000000000001</v>
          </cell>
          <cell r="I18">
            <v>35.25</v>
          </cell>
          <cell r="J18">
            <v>26.08</v>
          </cell>
          <cell r="K18">
            <v>4.5813040000000003</v>
          </cell>
          <cell r="L18">
            <v>2.0499999999999998</v>
          </cell>
          <cell r="M18">
            <v>17.98</v>
          </cell>
          <cell r="N18">
            <v>8.0583589999999994</v>
          </cell>
          <cell r="O18">
            <v>11.145982999999999</v>
          </cell>
          <cell r="Q18">
            <v>100.09598126949129</v>
          </cell>
          <cell r="R18">
            <v>99.78469691950977</v>
          </cell>
          <cell r="S18">
            <v>111.12137822060713</v>
          </cell>
          <cell r="T18">
            <v>104.3117470233194</v>
          </cell>
          <cell r="U18">
            <v>101.21592731159808</v>
          </cell>
          <cell r="V18">
            <v>97.426075745129467</v>
          </cell>
          <cell r="W18">
            <v>101.48261758691208</v>
          </cell>
          <cell r="X18">
            <v>99.211933577258648</v>
          </cell>
          <cell r="Y18">
            <v>99.789554237612393</v>
          </cell>
          <cell r="Z18">
            <v>100.47369292530985</v>
          </cell>
          <cell r="AA18">
            <v>100.49019607843137</v>
          </cell>
          <cell r="AB18">
            <v>98.037077426390411</v>
          </cell>
          <cell r="AC18">
            <v>98.595064569059758</v>
          </cell>
          <cell r="AD18">
            <v>105.65350432051073</v>
          </cell>
          <cell r="AF18">
            <v>101.12007319346414</v>
          </cell>
          <cell r="AG18">
            <v>102.12428444478525</v>
          </cell>
        </row>
        <row r="19">
          <cell r="A19">
            <v>40195</v>
          </cell>
          <cell r="B19">
            <v>13.836277000000001</v>
          </cell>
          <cell r="C19">
            <v>60.25</v>
          </cell>
          <cell r="D19">
            <v>57.891260000000003</v>
          </cell>
          <cell r="E19">
            <v>28.516397000000001</v>
          </cell>
          <cell r="F19">
            <v>75.75</v>
          </cell>
          <cell r="G19">
            <v>1.0062169000000001</v>
          </cell>
          <cell r="H19">
            <v>19.850000000000001</v>
          </cell>
          <cell r="I19">
            <v>35.25</v>
          </cell>
          <cell r="J19">
            <v>26.08</v>
          </cell>
          <cell r="K19">
            <v>4.5813040000000003</v>
          </cell>
          <cell r="L19">
            <v>2.0499999999999998</v>
          </cell>
          <cell r="M19">
            <v>17.98</v>
          </cell>
          <cell r="N19">
            <v>8.0583589999999994</v>
          </cell>
          <cell r="O19">
            <v>11.145982999999999</v>
          </cell>
          <cell r="Q19">
            <v>100.09598126949129</v>
          </cell>
          <cell r="R19">
            <v>99.78469691950977</v>
          </cell>
          <cell r="S19">
            <v>111.12137822060713</v>
          </cell>
          <cell r="T19">
            <v>104.3117470233194</v>
          </cell>
          <cell r="U19">
            <v>101.21592731159808</v>
          </cell>
          <cell r="V19">
            <v>97.426075745129467</v>
          </cell>
          <cell r="W19">
            <v>101.48261758691208</v>
          </cell>
          <cell r="X19">
            <v>99.211933577258648</v>
          </cell>
          <cell r="Y19">
            <v>99.789554237612393</v>
          </cell>
          <cell r="Z19">
            <v>100.47369292530985</v>
          </cell>
          <cell r="AA19">
            <v>100.49019607843137</v>
          </cell>
          <cell r="AB19">
            <v>98.037077426390411</v>
          </cell>
          <cell r="AC19">
            <v>98.595064569059758</v>
          </cell>
          <cell r="AD19">
            <v>105.65350432051073</v>
          </cell>
          <cell r="AF19">
            <v>101.12007319346414</v>
          </cell>
          <cell r="AG19">
            <v>102.12428444478525</v>
          </cell>
        </row>
        <row r="20">
          <cell r="A20">
            <v>40196</v>
          </cell>
          <cell r="B20">
            <v>13.836277000000001</v>
          </cell>
          <cell r="C20">
            <v>60.25</v>
          </cell>
          <cell r="D20">
            <v>57.891260000000003</v>
          </cell>
          <cell r="E20">
            <v>28.516397000000001</v>
          </cell>
          <cell r="F20">
            <v>75.75</v>
          </cell>
          <cell r="G20">
            <v>1.0062169000000001</v>
          </cell>
          <cell r="H20">
            <v>19.850000000000001</v>
          </cell>
          <cell r="I20">
            <v>35.25</v>
          </cell>
          <cell r="J20">
            <v>26.08</v>
          </cell>
          <cell r="K20">
            <v>4.5813040000000003</v>
          </cell>
          <cell r="L20">
            <v>2.0499999999999998</v>
          </cell>
          <cell r="M20">
            <v>17.98</v>
          </cell>
          <cell r="N20">
            <v>8.0583589999999994</v>
          </cell>
          <cell r="O20">
            <v>11.145982999999999</v>
          </cell>
          <cell r="Q20">
            <v>100.09598126949129</v>
          </cell>
          <cell r="R20">
            <v>99.78469691950977</v>
          </cell>
          <cell r="S20">
            <v>111.12137822060713</v>
          </cell>
          <cell r="T20">
            <v>104.3117470233194</v>
          </cell>
          <cell r="U20">
            <v>101.21592731159808</v>
          </cell>
          <cell r="V20">
            <v>97.426075745129467</v>
          </cell>
          <cell r="W20">
            <v>101.48261758691208</v>
          </cell>
          <cell r="X20">
            <v>99.211933577258648</v>
          </cell>
          <cell r="Y20">
            <v>99.789554237612393</v>
          </cell>
          <cell r="Z20">
            <v>100.47369292530985</v>
          </cell>
          <cell r="AA20">
            <v>100.49019607843137</v>
          </cell>
          <cell r="AB20">
            <v>98.037077426390411</v>
          </cell>
          <cell r="AC20">
            <v>98.595064569059758</v>
          </cell>
          <cell r="AD20">
            <v>105.65350432051073</v>
          </cell>
          <cell r="AF20">
            <v>101.12007319346414</v>
          </cell>
          <cell r="AG20">
            <v>102.12428444478525</v>
          </cell>
        </row>
        <row r="21">
          <cell r="A21">
            <v>40197</v>
          </cell>
          <cell r="B21">
            <v>13.106593</v>
          </cell>
          <cell r="C21">
            <v>61.61</v>
          </cell>
          <cell r="D21">
            <v>56.256169999999997</v>
          </cell>
          <cell r="E21">
            <v>29.718170000000001</v>
          </cell>
          <cell r="F21">
            <v>76.569999999999993</v>
          </cell>
          <cell r="G21">
            <v>0.97799515999999997</v>
          </cell>
          <cell r="H21">
            <v>20.2</v>
          </cell>
          <cell r="I21">
            <v>35.06</v>
          </cell>
          <cell r="J21">
            <v>26.46</v>
          </cell>
          <cell r="K21">
            <v>4.5166482999999999</v>
          </cell>
          <cell r="L21">
            <v>2.2000000000000002</v>
          </cell>
          <cell r="M21">
            <v>18.440000000000001</v>
          </cell>
          <cell r="N21">
            <v>8.1828439999999993</v>
          </cell>
          <cell r="O21">
            <v>11.292325</v>
          </cell>
          <cell r="Q21">
            <v>94.817217625438232</v>
          </cell>
          <cell r="R21">
            <v>102.03709837694601</v>
          </cell>
          <cell r="S21">
            <v>107.98284825399847</v>
          </cell>
          <cell r="T21">
            <v>108.70778068617857</v>
          </cell>
          <cell r="U21">
            <v>102.31159807589523</v>
          </cell>
          <cell r="V21">
            <v>94.693530327834878</v>
          </cell>
          <cell r="W21">
            <v>103.27198364008181</v>
          </cell>
          <cell r="X21">
            <v>98.677174218969881</v>
          </cell>
          <cell r="Y21">
            <v>101.24354314138128</v>
          </cell>
          <cell r="Z21">
            <v>99.055713034066898</v>
          </cell>
          <cell r="AA21">
            <v>107.84313725490198</v>
          </cell>
          <cell r="AB21">
            <v>100.54525627044713</v>
          </cell>
          <cell r="AC21">
            <v>100.11815464395957</v>
          </cell>
          <cell r="AD21">
            <v>107.04068974231444</v>
          </cell>
          <cell r="AF21">
            <v>101.76557340884501</v>
          </cell>
          <cell r="AG21">
            <v>103.57942219313701</v>
          </cell>
        </row>
        <row r="22">
          <cell r="A22">
            <v>40198</v>
          </cell>
          <cell r="B22">
            <v>12.931940000000001</v>
          </cell>
          <cell r="C22">
            <v>60.64</v>
          </cell>
          <cell r="D22">
            <v>56.463107999999998</v>
          </cell>
          <cell r="E22">
            <v>30.259840000000001</v>
          </cell>
          <cell r="F22">
            <v>75.78</v>
          </cell>
          <cell r="G22">
            <v>0.97892106000000001</v>
          </cell>
          <cell r="H22">
            <v>19.96</v>
          </cell>
          <cell r="I22">
            <v>34.9</v>
          </cell>
          <cell r="J22">
            <v>26.465</v>
          </cell>
          <cell r="K22">
            <v>4.4533230000000001</v>
          </cell>
          <cell r="L22">
            <v>2.25</v>
          </cell>
          <cell r="M22">
            <v>19.12</v>
          </cell>
          <cell r="N22">
            <v>8.2244189999999993</v>
          </cell>
          <cell r="O22">
            <v>11.0310545</v>
          </cell>
          <cell r="Q22">
            <v>93.553722870551454</v>
          </cell>
          <cell r="R22">
            <v>100.43060616098045</v>
          </cell>
          <cell r="S22">
            <v>108.38006254448405</v>
          </cell>
          <cell r="T22">
            <v>110.68918612144871</v>
          </cell>
          <cell r="U22">
            <v>101.25601282736505</v>
          </cell>
          <cell r="V22">
            <v>94.783179789628278</v>
          </cell>
          <cell r="W22">
            <v>102.04498977505114</v>
          </cell>
          <cell r="X22">
            <v>98.226850548831962</v>
          </cell>
          <cell r="Y22">
            <v>101.2626745743256</v>
          </cell>
          <cell r="Z22">
            <v>97.666910468988675</v>
          </cell>
          <cell r="AA22">
            <v>110.29411764705883</v>
          </cell>
          <cell r="AB22">
            <v>104.25299890948747</v>
          </cell>
          <cell r="AC22">
            <v>100.62683014593938</v>
          </cell>
          <cell r="AD22">
            <v>104.56408952674154</v>
          </cell>
          <cell r="AF22">
            <v>101.90344268651681</v>
          </cell>
          <cell r="AG22">
            <v>102.59545983634047</v>
          </cell>
        </row>
        <row r="23">
          <cell r="A23">
            <v>40199</v>
          </cell>
          <cell r="B23">
            <v>13.159095000000001</v>
          </cell>
          <cell r="C23">
            <v>59.77</v>
          </cell>
          <cell r="D23">
            <v>55.592106000000001</v>
          </cell>
          <cell r="E23">
            <v>31.524121999999998</v>
          </cell>
          <cell r="F23">
            <v>74.599999999999994</v>
          </cell>
          <cell r="G23">
            <v>0.97606159999999997</v>
          </cell>
          <cell r="H23">
            <v>19.68</v>
          </cell>
          <cell r="I23">
            <v>34.159999999999997</v>
          </cell>
          <cell r="J23">
            <v>25.97</v>
          </cell>
          <cell r="K23">
            <v>4.3924025999999996</v>
          </cell>
          <cell r="L23">
            <v>2.14</v>
          </cell>
          <cell r="M23">
            <v>18.07</v>
          </cell>
          <cell r="N23">
            <v>8.1387269999999994</v>
          </cell>
          <cell r="O23">
            <v>10.909091999999999</v>
          </cell>
          <cell r="Q23">
            <v>95.197033612687605</v>
          </cell>
          <cell r="R23">
            <v>98.989731699238163</v>
          </cell>
          <cell r="S23">
            <v>106.7081876764486</v>
          </cell>
          <cell r="T23">
            <v>115.31387500308183</v>
          </cell>
          <cell r="U23">
            <v>99.679315873864226</v>
          </cell>
          <cell r="V23">
            <v>94.506315063394624</v>
          </cell>
          <cell r="W23">
            <v>100.61349693251533</v>
          </cell>
          <cell r="X23">
            <v>96.144103574444117</v>
          </cell>
          <cell r="Y23">
            <v>99.368662712837192</v>
          </cell>
          <cell r="Z23">
            <v>96.33085035106437</v>
          </cell>
          <cell r="AA23">
            <v>104.90196078431373</v>
          </cell>
          <cell r="AB23">
            <v>98.527808069792812</v>
          </cell>
          <cell r="AC23">
            <v>99.578377443217676</v>
          </cell>
          <cell r="AD23">
            <v>103.40799898536082</v>
          </cell>
          <cell r="AF23">
            <v>100.52344511280688</v>
          </cell>
          <cell r="AG23">
            <v>101.49318821428925</v>
          </cell>
        </row>
        <row r="24">
          <cell r="A24">
            <v>40200</v>
          </cell>
          <cell r="B24">
            <v>12.869811</v>
          </cell>
          <cell r="C24">
            <v>58.8</v>
          </cell>
          <cell r="D24">
            <v>55.614142999999999</v>
          </cell>
          <cell r="E24">
            <v>31.281569000000001</v>
          </cell>
          <cell r="F24">
            <v>72.27</v>
          </cell>
          <cell r="G24">
            <v>0.95502819999999999</v>
          </cell>
          <cell r="H24">
            <v>19.585000000000001</v>
          </cell>
          <cell r="I24">
            <v>33.56</v>
          </cell>
          <cell r="J24">
            <v>25.984999999999999</v>
          </cell>
          <cell r="K24">
            <v>4.3623409999999998</v>
          </cell>
          <cell r="L24">
            <v>2.14</v>
          </cell>
          <cell r="M24">
            <v>17.53</v>
          </cell>
          <cell r="N24">
            <v>7.9255877000000003</v>
          </cell>
          <cell r="O24">
            <v>10.732567</v>
          </cell>
          <cell r="Q24">
            <v>93.104262136259123</v>
          </cell>
          <cell r="R24">
            <v>97.383239483272604</v>
          </cell>
          <cell r="S24">
            <v>106.75048735712316</v>
          </cell>
          <cell r="T24">
            <v>114.42662661838068</v>
          </cell>
          <cell r="U24">
            <v>96.566007482629601</v>
          </cell>
          <cell r="V24">
            <v>92.469774411396429</v>
          </cell>
          <cell r="W24">
            <v>100.12781186094071</v>
          </cell>
          <cell r="X24">
            <v>94.455389811426969</v>
          </cell>
          <cell r="Y24">
            <v>99.426057011670167</v>
          </cell>
          <cell r="Z24">
            <v>95.671562085705091</v>
          </cell>
          <cell r="AA24">
            <v>104.90196078431373</v>
          </cell>
          <cell r="AB24">
            <v>95.583424209378421</v>
          </cell>
          <cell r="AC24">
            <v>96.970590541975852</v>
          </cell>
          <cell r="AD24">
            <v>101.73470692577504</v>
          </cell>
          <cell r="AF24">
            <v>99.23888360437472</v>
          </cell>
          <cell r="AG24">
            <v>99.352648733875441</v>
          </cell>
        </row>
        <row r="25">
          <cell r="A25">
            <v>40201</v>
          </cell>
          <cell r="B25">
            <v>12.869811</v>
          </cell>
          <cell r="C25">
            <v>58.8</v>
          </cell>
          <cell r="D25">
            <v>55.614142999999999</v>
          </cell>
          <cell r="E25">
            <v>31.281569000000001</v>
          </cell>
          <cell r="F25">
            <v>72.27</v>
          </cell>
          <cell r="G25">
            <v>0.95502819999999999</v>
          </cell>
          <cell r="H25">
            <v>19.585000000000001</v>
          </cell>
          <cell r="I25">
            <v>33.56</v>
          </cell>
          <cell r="J25">
            <v>25.984999999999999</v>
          </cell>
          <cell r="K25">
            <v>4.3623409999999998</v>
          </cell>
          <cell r="L25">
            <v>2.14</v>
          </cell>
          <cell r="M25">
            <v>17.53</v>
          </cell>
          <cell r="N25">
            <v>7.9255877000000003</v>
          </cell>
          <cell r="O25">
            <v>10.732567</v>
          </cell>
          <cell r="Q25">
            <v>93.104262136259123</v>
          </cell>
          <cell r="R25">
            <v>97.383239483272604</v>
          </cell>
          <cell r="S25">
            <v>106.75048735712316</v>
          </cell>
          <cell r="T25">
            <v>114.42662661838068</v>
          </cell>
          <cell r="U25">
            <v>96.566007482629601</v>
          </cell>
          <cell r="V25">
            <v>92.469774411396429</v>
          </cell>
          <cell r="W25">
            <v>100.12781186094071</v>
          </cell>
          <cell r="X25">
            <v>94.455389811426969</v>
          </cell>
          <cell r="Y25">
            <v>99.426057011670167</v>
          </cell>
          <cell r="Z25">
            <v>95.671562085705091</v>
          </cell>
          <cell r="AA25">
            <v>104.90196078431373</v>
          </cell>
          <cell r="AB25">
            <v>95.583424209378421</v>
          </cell>
          <cell r="AC25">
            <v>96.970590541975852</v>
          </cell>
          <cell r="AD25">
            <v>101.73470692577504</v>
          </cell>
          <cell r="AF25">
            <v>99.23888360437472</v>
          </cell>
          <cell r="AG25">
            <v>99.352648733875441</v>
          </cell>
        </row>
        <row r="26">
          <cell r="A26">
            <v>40202</v>
          </cell>
          <cell r="B26">
            <v>12.869811</v>
          </cell>
          <cell r="C26">
            <v>58.8</v>
          </cell>
          <cell r="D26">
            <v>55.614142999999999</v>
          </cell>
          <cell r="E26">
            <v>31.281569000000001</v>
          </cell>
          <cell r="F26">
            <v>72.27</v>
          </cell>
          <cell r="G26">
            <v>0.95502819999999999</v>
          </cell>
          <cell r="H26">
            <v>19.585000000000001</v>
          </cell>
          <cell r="I26">
            <v>33.56</v>
          </cell>
          <cell r="J26">
            <v>25.984999999999999</v>
          </cell>
          <cell r="K26">
            <v>4.3623409999999998</v>
          </cell>
          <cell r="L26">
            <v>2.14</v>
          </cell>
          <cell r="M26">
            <v>17.53</v>
          </cell>
          <cell r="N26">
            <v>7.9255877000000003</v>
          </cell>
          <cell r="O26">
            <v>10.732567</v>
          </cell>
          <cell r="Q26">
            <v>93.104262136259123</v>
          </cell>
          <cell r="R26">
            <v>97.383239483272604</v>
          </cell>
          <cell r="S26">
            <v>106.75048735712316</v>
          </cell>
          <cell r="T26">
            <v>114.42662661838068</v>
          </cell>
          <cell r="U26">
            <v>96.566007482629601</v>
          </cell>
          <cell r="V26">
            <v>92.469774411396429</v>
          </cell>
          <cell r="W26">
            <v>100.12781186094071</v>
          </cell>
          <cell r="X26">
            <v>94.455389811426969</v>
          </cell>
          <cell r="Y26">
            <v>99.426057011670167</v>
          </cell>
          <cell r="Z26">
            <v>95.671562085705091</v>
          </cell>
          <cell r="AA26">
            <v>104.90196078431373</v>
          </cell>
          <cell r="AB26">
            <v>95.583424209378421</v>
          </cell>
          <cell r="AC26">
            <v>96.970590541975852</v>
          </cell>
          <cell r="AD26">
            <v>101.73470692577504</v>
          </cell>
          <cell r="AF26">
            <v>99.23888360437472</v>
          </cell>
          <cell r="AG26">
            <v>99.352648733875441</v>
          </cell>
        </row>
        <row r="27">
          <cell r="A27">
            <v>40203</v>
          </cell>
          <cell r="B27">
            <v>13.01112</v>
          </cell>
          <cell r="C27">
            <v>57.44</v>
          </cell>
          <cell r="D27">
            <v>54.812762999999997</v>
          </cell>
          <cell r="E27">
            <v>30.34674</v>
          </cell>
          <cell r="F27">
            <v>73.05</v>
          </cell>
          <cell r="G27">
            <v>0.95724547000000004</v>
          </cell>
          <cell r="H27">
            <v>19.094999999999999</v>
          </cell>
          <cell r="I27">
            <v>32.6</v>
          </cell>
          <cell r="J27">
            <v>26.515000000000001</v>
          </cell>
          <cell r="K27">
            <v>4.3008986</v>
          </cell>
          <cell r="L27">
            <v>2.2200000000000002</v>
          </cell>
          <cell r="M27">
            <v>17.39</v>
          </cell>
          <cell r="N27">
            <v>7.8947370000000001</v>
          </cell>
          <cell r="O27">
            <v>10.690789000000001</v>
          </cell>
          <cell r="Q27">
            <v>94.126535903776968</v>
          </cell>
          <cell r="R27">
            <v>95.130838025836368</v>
          </cell>
          <cell r="S27">
            <v>105.21225084131005</v>
          </cell>
          <cell r="T27">
            <v>111.00706256342441</v>
          </cell>
          <cell r="U27">
            <v>97.608230892570816</v>
          </cell>
          <cell r="V27">
            <v>92.684459649705801</v>
          </cell>
          <cell r="W27">
            <v>97.622699386503058</v>
          </cell>
          <cell r="X27">
            <v>91.753447790599495</v>
          </cell>
          <cell r="Y27">
            <v>101.45398890376889</v>
          </cell>
          <cell r="Z27">
            <v>94.324053858747433</v>
          </cell>
          <cell r="AA27">
            <v>108.82352941176472</v>
          </cell>
          <cell r="AB27">
            <v>94.82006543075245</v>
          </cell>
          <cell r="AC27">
            <v>96.593128237491683</v>
          </cell>
          <cell r="AD27">
            <v>101.33869052206239</v>
          </cell>
          <cell r="AF27">
            <v>98.713930221563373</v>
          </cell>
          <cell r="AG27">
            <v>98.965909379777031</v>
          </cell>
        </row>
        <row r="28">
          <cell r="A28">
            <v>40204</v>
          </cell>
          <cell r="B28">
            <v>12.941998999999999</v>
          </cell>
          <cell r="C28">
            <v>57.52</v>
          </cell>
          <cell r="D28">
            <v>54.354506999999998</v>
          </cell>
          <cell r="E28">
            <v>31.070892000000001</v>
          </cell>
          <cell r="F28">
            <v>73.180000000000007</v>
          </cell>
          <cell r="G28">
            <v>0.96184676999999996</v>
          </cell>
          <cell r="H28">
            <v>18.91</v>
          </cell>
          <cell r="I28">
            <v>30.41</v>
          </cell>
          <cell r="J28">
            <v>26.734999999999999</v>
          </cell>
          <cell r="K28">
            <v>4.2780503999999997</v>
          </cell>
          <cell r="L28">
            <v>2.2200000000000002</v>
          </cell>
          <cell r="M28">
            <v>16.98</v>
          </cell>
          <cell r="N28">
            <v>7.8652595999999999</v>
          </cell>
          <cell r="O28">
            <v>10.517751000000001</v>
          </cell>
          <cell r="Q28">
            <v>93.626492841519067</v>
          </cell>
          <cell r="R28">
            <v>95.263332229214967</v>
          </cell>
          <cell r="S28">
            <v>104.33263553672241</v>
          </cell>
          <cell r="T28">
            <v>113.65597926318949</v>
          </cell>
          <cell r="U28">
            <v>97.781934794227681</v>
          </cell>
          <cell r="V28">
            <v>93.129976518212047</v>
          </cell>
          <cell r="W28">
            <v>96.676891615541933</v>
          </cell>
          <cell r="X28">
            <v>85.589642555586835</v>
          </cell>
          <cell r="Y28">
            <v>102.29577195331929</v>
          </cell>
          <cell r="Z28">
            <v>93.822964424233575</v>
          </cell>
          <cell r="AA28">
            <v>108.82352941176472</v>
          </cell>
          <cell r="AB28">
            <v>92.584514721919305</v>
          </cell>
          <cell r="AC28">
            <v>96.23246843611922</v>
          </cell>
          <cell r="AD28">
            <v>99.698451964313605</v>
          </cell>
          <cell r="AF28">
            <v>98.131972155454278</v>
          </cell>
          <cell r="AG28">
            <v>97.965460200216413</v>
          </cell>
        </row>
        <row r="29">
          <cell r="A29">
            <v>40205</v>
          </cell>
          <cell r="B29">
            <v>12.993907</v>
          </cell>
          <cell r="C29">
            <v>56.63</v>
          </cell>
          <cell r="D29">
            <v>53.840992</v>
          </cell>
          <cell r="E29">
            <v>31.029855999999999</v>
          </cell>
          <cell r="F29">
            <v>72.19</v>
          </cell>
          <cell r="G29">
            <v>0.97529719999999998</v>
          </cell>
          <cell r="H29">
            <v>19.18</v>
          </cell>
          <cell r="I29">
            <v>30.175000000000001</v>
          </cell>
          <cell r="J29">
            <v>26.335000000000001</v>
          </cell>
          <cell r="K29">
            <v>4.1788550000000004</v>
          </cell>
          <cell r="L29">
            <v>2.2200000000000002</v>
          </cell>
          <cell r="M29">
            <v>16.809999999999999</v>
          </cell>
          <cell r="N29">
            <v>7.7734813999999997</v>
          </cell>
          <cell r="O29">
            <v>10.407603</v>
          </cell>
          <cell r="Q29">
            <v>94.002011645872045</v>
          </cell>
          <cell r="R29">
            <v>93.789334216628021</v>
          </cell>
          <cell r="S29">
            <v>103.34695143627349</v>
          </cell>
          <cell r="T29">
            <v>113.50587134980725</v>
          </cell>
          <cell r="U29">
            <v>96.459112773917681</v>
          </cell>
          <cell r="V29">
            <v>94.432302698565962</v>
          </cell>
          <cell r="W29">
            <v>98.057259713701441</v>
          </cell>
          <cell r="X29">
            <v>84.928229665071768</v>
          </cell>
          <cell r="Y29">
            <v>100.76525731777311</v>
          </cell>
          <cell r="Z29">
            <v>91.647485966745663</v>
          </cell>
          <cell r="AA29">
            <v>108.82352941176472</v>
          </cell>
          <cell r="AB29">
            <v>91.657579062159215</v>
          </cell>
          <cell r="AC29">
            <v>95.109550289256802</v>
          </cell>
          <cell r="AD29">
            <v>98.654351843768325</v>
          </cell>
          <cell r="AF29">
            <v>97.617910438190009</v>
          </cell>
          <cell r="AG29">
            <v>96.881951066512556</v>
          </cell>
        </row>
        <row r="30">
          <cell r="A30">
            <v>40206</v>
          </cell>
          <cell r="B30">
            <v>12.947317999999999</v>
          </cell>
          <cell r="C30">
            <v>56.05</v>
          </cell>
          <cell r="D30">
            <v>56.154784999999997</v>
          </cell>
          <cell r="E30">
            <v>31.135325999999999</v>
          </cell>
          <cell r="F30">
            <v>71.040000000000006</v>
          </cell>
          <cell r="G30">
            <v>0.99048703999999999</v>
          </cell>
          <cell r="H30">
            <v>18.57</v>
          </cell>
          <cell r="I30">
            <v>30.95</v>
          </cell>
          <cell r="J30">
            <v>26.05</v>
          </cell>
          <cell r="K30">
            <v>4.2798824</v>
          </cell>
          <cell r="L30">
            <v>2.21</v>
          </cell>
          <cell r="M30">
            <v>16.7</v>
          </cell>
          <cell r="N30">
            <v>7.6540889999999999</v>
          </cell>
          <cell r="O30">
            <v>10.474016000000001</v>
          </cell>
          <cell r="Q30">
            <v>93.664972161091256</v>
          </cell>
          <cell r="R30">
            <v>92.828751242133151</v>
          </cell>
          <cell r="S30">
            <v>107.78824131452443</v>
          </cell>
          <cell r="T30">
            <v>113.89167604871608</v>
          </cell>
          <cell r="U30">
            <v>94.922501336183856</v>
          </cell>
          <cell r="V30">
            <v>95.90304573855704</v>
          </cell>
          <cell r="W30">
            <v>94.938650306748471</v>
          </cell>
          <cell r="X30">
            <v>87.109484942302274</v>
          </cell>
          <cell r="Y30">
            <v>99.674765639946429</v>
          </cell>
          <cell r="Z30">
            <v>93.863142462067174</v>
          </cell>
          <cell r="AA30">
            <v>108.33333333333333</v>
          </cell>
          <cell r="AB30">
            <v>91.057797164667392</v>
          </cell>
          <cell r="AC30">
            <v>93.648768833993387</v>
          </cell>
          <cell r="AD30">
            <v>99.283885029171373</v>
          </cell>
          <cell r="AF30">
            <v>97.831363474189232</v>
          </cell>
          <cell r="AG30">
            <v>96.466326931582387</v>
          </cell>
        </row>
        <row r="31">
          <cell r="A31">
            <v>40207</v>
          </cell>
          <cell r="B31">
            <v>12.612781</v>
          </cell>
          <cell r="C31">
            <v>55.67</v>
          </cell>
          <cell r="D31">
            <v>55.816006000000002</v>
          </cell>
          <cell r="E31">
            <v>29.893553000000001</v>
          </cell>
          <cell r="F31">
            <v>71.099999999999994</v>
          </cell>
          <cell r="G31">
            <v>0.98308110000000004</v>
          </cell>
          <cell r="H31">
            <v>18.899999999999999</v>
          </cell>
          <cell r="I31">
            <v>32.56</v>
          </cell>
          <cell r="J31">
            <v>25.57</v>
          </cell>
          <cell r="K31">
            <v>4.1598176999999996</v>
          </cell>
          <cell r="L31">
            <v>2.2000000000000002</v>
          </cell>
          <cell r="M31">
            <v>17.059999999999999</v>
          </cell>
          <cell r="N31">
            <v>7.7241635000000004</v>
          </cell>
          <cell r="O31">
            <v>10.414662</v>
          </cell>
          <cell r="Q31">
            <v>91.244826244241537</v>
          </cell>
          <cell r="R31">
            <v>92.199403776084793</v>
          </cell>
          <cell r="S31">
            <v>107.13796026359897</v>
          </cell>
          <cell r="T31">
            <v>109.3493241156725</v>
          </cell>
          <cell r="U31">
            <v>95.002672367717793</v>
          </cell>
          <cell r="V31">
            <v>95.185972042613471</v>
          </cell>
          <cell r="W31">
            <v>96.625766871165638</v>
          </cell>
          <cell r="X31">
            <v>91.640866873065022</v>
          </cell>
          <cell r="Y31">
            <v>97.838148077290981</v>
          </cell>
          <cell r="Z31">
            <v>91.229974307548389</v>
          </cell>
          <cell r="AA31">
            <v>107.84313725490198</v>
          </cell>
          <cell r="AB31">
            <v>93.020719738276981</v>
          </cell>
          <cell r="AC31">
            <v>94.506139404371879</v>
          </cell>
          <cell r="AD31">
            <v>98.721264568020501</v>
          </cell>
          <cell r="AF31">
            <v>97.359897661014827</v>
          </cell>
          <cell r="AG31">
            <v>96.61370198619619</v>
          </cell>
        </row>
        <row r="32">
          <cell r="A32">
            <v>40208</v>
          </cell>
          <cell r="B32">
            <v>12.612781</v>
          </cell>
          <cell r="C32">
            <v>55.67</v>
          </cell>
          <cell r="D32">
            <v>55.816006000000002</v>
          </cell>
          <cell r="E32">
            <v>29.893553000000001</v>
          </cell>
          <cell r="F32">
            <v>71.099999999999994</v>
          </cell>
          <cell r="G32">
            <v>0.98308110000000004</v>
          </cell>
          <cell r="H32">
            <v>18.899999999999999</v>
          </cell>
          <cell r="I32">
            <v>32.56</v>
          </cell>
          <cell r="J32">
            <v>25.57</v>
          </cell>
          <cell r="K32">
            <v>4.1598176999999996</v>
          </cell>
          <cell r="L32">
            <v>2.2000000000000002</v>
          </cell>
          <cell r="M32">
            <v>17.059999999999999</v>
          </cell>
          <cell r="N32">
            <v>7.7241635000000004</v>
          </cell>
          <cell r="O32">
            <v>10.414662</v>
          </cell>
          <cell r="Q32">
            <v>91.244826244241537</v>
          </cell>
          <cell r="R32">
            <v>92.199403776084793</v>
          </cell>
          <cell r="S32">
            <v>107.13796026359897</v>
          </cell>
          <cell r="T32">
            <v>109.3493241156725</v>
          </cell>
          <cell r="U32">
            <v>95.002672367717793</v>
          </cell>
          <cell r="V32">
            <v>95.185972042613471</v>
          </cell>
          <cell r="W32">
            <v>96.625766871165638</v>
          </cell>
          <cell r="X32">
            <v>91.640866873065022</v>
          </cell>
          <cell r="Y32">
            <v>97.838148077290981</v>
          </cell>
          <cell r="Z32">
            <v>91.229974307548389</v>
          </cell>
          <cell r="AA32">
            <v>107.84313725490198</v>
          </cell>
          <cell r="AB32">
            <v>93.020719738276981</v>
          </cell>
          <cell r="AC32">
            <v>94.506139404371879</v>
          </cell>
          <cell r="AD32">
            <v>98.721264568020501</v>
          </cell>
          <cell r="AF32">
            <v>97.359897661014827</v>
          </cell>
          <cell r="AG32">
            <v>96.61370198619619</v>
          </cell>
        </row>
        <row r="33">
          <cell r="A33">
            <v>40209</v>
          </cell>
          <cell r="B33">
            <v>12.612781</v>
          </cell>
          <cell r="C33">
            <v>55.67</v>
          </cell>
          <cell r="D33">
            <v>55.816006000000002</v>
          </cell>
          <cell r="E33">
            <v>29.893553000000001</v>
          </cell>
          <cell r="F33">
            <v>71.099999999999994</v>
          </cell>
          <cell r="G33">
            <v>0.98308110000000004</v>
          </cell>
          <cell r="H33">
            <v>18.899999999999999</v>
          </cell>
          <cell r="I33">
            <v>32.56</v>
          </cell>
          <cell r="J33">
            <v>25.57</v>
          </cell>
          <cell r="K33">
            <v>4.1598176999999996</v>
          </cell>
          <cell r="L33">
            <v>2.2000000000000002</v>
          </cell>
          <cell r="M33">
            <v>17.059999999999999</v>
          </cell>
          <cell r="N33">
            <v>7.7241635000000004</v>
          </cell>
          <cell r="O33">
            <v>10.414662</v>
          </cell>
          <cell r="Q33">
            <v>91.244826244241537</v>
          </cell>
          <cell r="R33">
            <v>92.199403776084793</v>
          </cell>
          <cell r="S33">
            <v>107.13796026359897</v>
          </cell>
          <cell r="T33">
            <v>109.3493241156725</v>
          </cell>
          <cell r="U33">
            <v>95.002672367717793</v>
          </cell>
          <cell r="V33">
            <v>95.185972042613471</v>
          </cell>
          <cell r="W33">
            <v>96.625766871165638</v>
          </cell>
          <cell r="X33">
            <v>91.640866873065022</v>
          </cell>
          <cell r="Y33">
            <v>97.838148077290981</v>
          </cell>
          <cell r="Z33">
            <v>91.229974307548389</v>
          </cell>
          <cell r="AA33">
            <v>107.84313725490198</v>
          </cell>
          <cell r="AB33">
            <v>93.020719738276981</v>
          </cell>
          <cell r="AC33">
            <v>94.506139404371879</v>
          </cell>
          <cell r="AD33">
            <v>98.721264568020501</v>
          </cell>
          <cell r="AF33">
            <v>97.359897661014827</v>
          </cell>
          <cell r="AG33">
            <v>96.61370198619619</v>
          </cell>
        </row>
        <row r="34">
          <cell r="A34">
            <v>40210</v>
          </cell>
          <cell r="B34">
            <v>12.746661</v>
          </cell>
          <cell r="C34">
            <v>56.44</v>
          </cell>
          <cell r="D34">
            <v>55.962542999999997</v>
          </cell>
          <cell r="E34">
            <v>30.492977</v>
          </cell>
          <cell r="F34">
            <v>71.599999999999994</v>
          </cell>
          <cell r="G34">
            <v>0.98379225000000003</v>
          </cell>
          <cell r="H34">
            <v>18.809999999999999</v>
          </cell>
          <cell r="I34">
            <v>31.67</v>
          </cell>
          <cell r="J34">
            <v>25.734999999999999</v>
          </cell>
          <cell r="K34">
            <v>4.2518399999999996</v>
          </cell>
          <cell r="L34">
            <v>2.27</v>
          </cell>
          <cell r="M34">
            <v>17.13</v>
          </cell>
          <cell r="N34">
            <v>7.8474139999999997</v>
          </cell>
          <cell r="O34">
            <v>10.270545</v>
          </cell>
          <cell r="Q34">
            <v>92.213356288295984</v>
          </cell>
          <cell r="R34">
            <v>93.474660483603827</v>
          </cell>
          <cell r="S34">
            <v>107.4192357687497</v>
          </cell>
          <cell r="T34">
            <v>111.54199118534845</v>
          </cell>
          <cell r="U34">
            <v>95.670764297167281</v>
          </cell>
          <cell r="V34">
            <v>95.254828522529621</v>
          </cell>
          <cell r="W34">
            <v>96.165644171779135</v>
          </cell>
          <cell r="X34">
            <v>89.135941457922883</v>
          </cell>
          <cell r="Y34">
            <v>98.469485364453789</v>
          </cell>
          <cell r="Z34">
            <v>93.248137763298274</v>
          </cell>
          <cell r="AA34">
            <v>111.27450980392157</v>
          </cell>
          <cell r="AB34">
            <v>93.402399127589959</v>
          </cell>
          <cell r="AC34">
            <v>96.014125212111253</v>
          </cell>
          <cell r="AD34">
            <v>97.35517006723407</v>
          </cell>
          <cell r="AF34">
            <v>98.105912852888366</v>
          </cell>
          <cell r="AG34">
            <v>96.684647639672662</v>
          </cell>
        </row>
        <row r="35">
          <cell r="A35">
            <v>40211</v>
          </cell>
          <cell r="B35">
            <v>12.6595955</v>
          </cell>
          <cell r="C35">
            <v>57</v>
          </cell>
          <cell r="D35">
            <v>57.221912000000003</v>
          </cell>
          <cell r="E35">
            <v>30.160485999999999</v>
          </cell>
          <cell r="F35">
            <v>72.599999999999994</v>
          </cell>
          <cell r="G35">
            <v>0.99318949999999995</v>
          </cell>
          <cell r="H35">
            <v>19.024999999999999</v>
          </cell>
          <cell r="I35">
            <v>31.42</v>
          </cell>
          <cell r="J35">
            <v>26.105</v>
          </cell>
          <cell r="K35">
            <v>4.1550349999999998</v>
          </cell>
          <cell r="L35">
            <v>2.5</v>
          </cell>
          <cell r="M35">
            <v>17.149999999999999</v>
          </cell>
          <cell r="N35">
            <v>8.2925500000000003</v>
          </cell>
          <cell r="O35">
            <v>10.277324</v>
          </cell>
          <cell r="Q35">
            <v>91.583497066973734</v>
          </cell>
          <cell r="R35">
            <v>94.402119907254061</v>
          </cell>
          <cell r="S35">
            <v>109.83657508677989</v>
          </cell>
          <cell r="T35">
            <v>110.32575348605107</v>
          </cell>
          <cell r="U35">
            <v>97.006948156066258</v>
          </cell>
          <cell r="V35">
            <v>96.164709076410119</v>
          </cell>
          <cell r="W35">
            <v>97.264826175869118</v>
          </cell>
          <cell r="X35">
            <v>88.432310723332392</v>
          </cell>
          <cell r="Y35">
            <v>99.885211402334022</v>
          </cell>
          <cell r="Z35">
            <v>91.12508374993557</v>
          </cell>
          <cell r="AA35">
            <v>122.54901960784315</v>
          </cell>
          <cell r="AB35">
            <v>93.511450381679381</v>
          </cell>
          <cell r="AC35">
            <v>101.46042174246104</v>
          </cell>
          <cell r="AD35">
            <v>97.419428653111041</v>
          </cell>
          <cell r="AF35">
            <v>99.340625401710724</v>
          </cell>
          <cell r="AG35">
            <v>99.439925197786039</v>
          </cell>
        </row>
        <row r="36">
          <cell r="A36">
            <v>40212</v>
          </cell>
          <cell r="B36">
            <v>12.736465000000001</v>
          </cell>
          <cell r="C36">
            <v>56.48</v>
          </cell>
          <cell r="D36">
            <v>56.831924000000001</v>
          </cell>
          <cell r="E36">
            <v>30.570518</v>
          </cell>
          <cell r="F36">
            <v>71.8</v>
          </cell>
          <cell r="G36">
            <v>0.99164180000000002</v>
          </cell>
          <cell r="H36">
            <v>19.18</v>
          </cell>
          <cell r="I36">
            <v>31.05</v>
          </cell>
          <cell r="J36">
            <v>26.08</v>
          </cell>
          <cell r="K36">
            <v>4.1159452999999999</v>
          </cell>
          <cell r="L36">
            <v>2.46</v>
          </cell>
          <cell r="M36">
            <v>17.059999999999999</v>
          </cell>
          <cell r="N36">
            <v>8.3428135000000001</v>
          </cell>
          <cell r="O36">
            <v>10.23349</v>
          </cell>
          <cell r="Q36">
            <v>92.139595216222631</v>
          </cell>
          <cell r="R36">
            <v>93.540907585293127</v>
          </cell>
          <cell r="S36">
            <v>109.08799915235564</v>
          </cell>
          <cell r="T36">
            <v>111.82563281005775</v>
          </cell>
          <cell r="U36">
            <v>95.938001068947074</v>
          </cell>
          <cell r="V36">
            <v>96.014854370699325</v>
          </cell>
          <cell r="W36">
            <v>98.057259713701441</v>
          </cell>
          <cell r="X36">
            <v>87.390937236138484</v>
          </cell>
          <cell r="Y36">
            <v>99.789554237612393</v>
          </cell>
          <cell r="Z36">
            <v>90.267798026407405</v>
          </cell>
          <cell r="AA36">
            <v>120.58823529411764</v>
          </cell>
          <cell r="AB36">
            <v>93.020719738276981</v>
          </cell>
          <cell r="AC36">
            <v>102.07540216564234</v>
          </cell>
          <cell r="AD36">
            <v>97.003923290471846</v>
          </cell>
          <cell r="AF36">
            <v>98.971791204152495</v>
          </cell>
          <cell r="AG36">
            <v>99.539662728057095</v>
          </cell>
        </row>
        <row r="37">
          <cell r="A37">
            <v>40213</v>
          </cell>
          <cell r="B37">
            <v>12.443592000000001</v>
          </cell>
          <cell r="C37">
            <v>55.43</v>
          </cell>
          <cell r="D37">
            <v>60.780518000000001</v>
          </cell>
          <cell r="E37">
            <v>30.877388</v>
          </cell>
          <cell r="F37">
            <v>70.540000000000006</v>
          </cell>
          <cell r="G37">
            <v>0.97306440000000005</v>
          </cell>
          <cell r="H37">
            <v>18.920000000000002</v>
          </cell>
          <cell r="I37">
            <v>32.6</v>
          </cell>
          <cell r="J37">
            <v>25.465</v>
          </cell>
          <cell r="K37">
            <v>4.0868659999999997</v>
          </cell>
          <cell r="L37">
            <v>2.19</v>
          </cell>
          <cell r="M37">
            <v>16.149999999999999</v>
          </cell>
          <cell r="N37">
            <v>7.7420726000000002</v>
          </cell>
          <cell r="O37">
            <v>9.5079010000000004</v>
          </cell>
          <cell r="Q37">
            <v>90.020859784549828</v>
          </cell>
          <cell r="R37">
            <v>91.801921165948983</v>
          </cell>
          <cell r="S37">
            <v>116.6672642661849</v>
          </cell>
          <cell r="T37">
            <v>112.94814999934523</v>
          </cell>
          <cell r="U37">
            <v>94.254409406734368</v>
          </cell>
          <cell r="V37">
            <v>94.216113781520619</v>
          </cell>
          <cell r="W37">
            <v>96.728016359918215</v>
          </cell>
          <cell r="X37">
            <v>91.753447790599495</v>
          </cell>
          <cell r="Y37">
            <v>97.436387985460101</v>
          </cell>
          <cell r="Z37">
            <v>89.630052821399616</v>
          </cell>
          <cell r="AA37">
            <v>107.35294117647058</v>
          </cell>
          <cell r="AB37">
            <v>88.05888767720829</v>
          </cell>
          <cell r="AC37">
            <v>94.725259559092436</v>
          </cell>
          <cell r="AD37">
            <v>90.126017542148446</v>
          </cell>
          <cell r="AF37">
            <v>97.572371017945031</v>
          </cell>
          <cell r="AG37">
            <v>92.425638550620448</v>
          </cell>
        </row>
        <row r="38">
          <cell r="A38">
            <v>40214</v>
          </cell>
          <cell r="B38">
            <v>12.478343000000001</v>
          </cell>
          <cell r="C38">
            <v>55.6</v>
          </cell>
          <cell r="D38">
            <v>61.548789999999997</v>
          </cell>
          <cell r="E38">
            <v>30.528199999999998</v>
          </cell>
          <cell r="F38">
            <v>70.64</v>
          </cell>
          <cell r="G38">
            <v>0.93549979999999999</v>
          </cell>
          <cell r="H38">
            <v>19</v>
          </cell>
          <cell r="I38">
            <v>32.39</v>
          </cell>
          <cell r="J38">
            <v>27.45</v>
          </cell>
          <cell r="K38">
            <v>4.0037929999999999</v>
          </cell>
          <cell r="L38">
            <v>2.2000000000000002</v>
          </cell>
          <cell r="M38">
            <v>15.93</v>
          </cell>
          <cell r="N38">
            <v>7.6853337000000002</v>
          </cell>
          <cell r="O38">
            <v>9.4346680000000003</v>
          </cell>
          <cell r="Q38">
            <v>90.27225945261776</v>
          </cell>
          <cell r="R38">
            <v>92.083471348128526</v>
          </cell>
          <cell r="S38">
            <v>118.14195048804812</v>
          </cell>
          <cell r="T38">
            <v>111.6708353961161</v>
          </cell>
          <cell r="U38">
            <v>94.388027792624257</v>
          </cell>
          <cell r="V38">
            <v>90.578954074766045</v>
          </cell>
          <cell r="W38">
            <v>97.137014314928422</v>
          </cell>
          <cell r="X38">
            <v>91.162397973543492</v>
          </cell>
          <cell r="Y38">
            <v>105.03156686435813</v>
          </cell>
          <cell r="Z38">
            <v>87.808158641841956</v>
          </cell>
          <cell r="AA38">
            <v>107.84313725490198</v>
          </cell>
          <cell r="AB38">
            <v>86.859323882224643</v>
          </cell>
          <cell r="AC38">
            <v>94.031051779434378</v>
          </cell>
          <cell r="AD38">
            <v>89.431837129177779</v>
          </cell>
          <cell r="AF38">
            <v>97.748091457008272</v>
          </cell>
          <cell r="AG38">
            <v>91.731444454306086</v>
          </cell>
        </row>
        <row r="39">
          <cell r="A39">
            <v>40215</v>
          </cell>
          <cell r="B39">
            <v>12.478343000000001</v>
          </cell>
          <cell r="C39">
            <v>55.6</v>
          </cell>
          <cell r="D39">
            <v>61.548789999999997</v>
          </cell>
          <cell r="E39">
            <v>30.528199999999998</v>
          </cell>
          <cell r="F39">
            <v>70.64</v>
          </cell>
          <cell r="G39">
            <v>0.93549979999999999</v>
          </cell>
          <cell r="H39">
            <v>19</v>
          </cell>
          <cell r="I39">
            <v>32.39</v>
          </cell>
          <cell r="J39">
            <v>27.45</v>
          </cell>
          <cell r="K39">
            <v>4.0037929999999999</v>
          </cell>
          <cell r="L39">
            <v>2.2000000000000002</v>
          </cell>
          <cell r="M39">
            <v>15.93</v>
          </cell>
          <cell r="N39">
            <v>7.6853337000000002</v>
          </cell>
          <cell r="O39">
            <v>9.4346680000000003</v>
          </cell>
          <cell r="Q39">
            <v>90.27225945261776</v>
          </cell>
          <cell r="R39">
            <v>92.083471348128526</v>
          </cell>
          <cell r="S39">
            <v>118.14195048804812</v>
          </cell>
          <cell r="T39">
            <v>111.6708353961161</v>
          </cell>
          <cell r="U39">
            <v>94.388027792624257</v>
          </cell>
          <cell r="V39">
            <v>90.578954074766045</v>
          </cell>
          <cell r="W39">
            <v>97.137014314928422</v>
          </cell>
          <cell r="X39">
            <v>91.162397973543492</v>
          </cell>
          <cell r="Y39">
            <v>105.03156686435813</v>
          </cell>
          <cell r="Z39">
            <v>87.808158641841956</v>
          </cell>
          <cell r="AA39">
            <v>107.84313725490198</v>
          </cell>
          <cell r="AB39">
            <v>86.859323882224643</v>
          </cell>
          <cell r="AC39">
            <v>94.031051779434378</v>
          </cell>
          <cell r="AD39">
            <v>89.431837129177779</v>
          </cell>
          <cell r="AF39">
            <v>97.748091457008272</v>
          </cell>
          <cell r="AG39">
            <v>91.731444454306086</v>
          </cell>
        </row>
        <row r="40">
          <cell r="A40">
            <v>40216</v>
          </cell>
          <cell r="B40">
            <v>12.478343000000001</v>
          </cell>
          <cell r="C40">
            <v>55.6</v>
          </cell>
          <cell r="D40">
            <v>61.548789999999997</v>
          </cell>
          <cell r="E40">
            <v>30.528199999999998</v>
          </cell>
          <cell r="F40">
            <v>70.64</v>
          </cell>
          <cell r="G40">
            <v>0.93549979999999999</v>
          </cell>
          <cell r="H40">
            <v>19</v>
          </cell>
          <cell r="I40">
            <v>32.39</v>
          </cell>
          <cell r="J40">
            <v>27.45</v>
          </cell>
          <cell r="K40">
            <v>4.0037929999999999</v>
          </cell>
          <cell r="L40">
            <v>2.2000000000000002</v>
          </cell>
          <cell r="M40">
            <v>15.93</v>
          </cell>
          <cell r="N40">
            <v>7.6853337000000002</v>
          </cell>
          <cell r="O40">
            <v>9.4346680000000003</v>
          </cell>
          <cell r="Q40">
            <v>90.27225945261776</v>
          </cell>
          <cell r="R40">
            <v>92.083471348128526</v>
          </cell>
          <cell r="S40">
            <v>118.14195048804812</v>
          </cell>
          <cell r="T40">
            <v>111.6708353961161</v>
          </cell>
          <cell r="U40">
            <v>94.388027792624257</v>
          </cell>
          <cell r="V40">
            <v>90.578954074766045</v>
          </cell>
          <cell r="W40">
            <v>97.137014314928422</v>
          </cell>
          <cell r="X40">
            <v>91.162397973543492</v>
          </cell>
          <cell r="Y40">
            <v>105.03156686435813</v>
          </cell>
          <cell r="Z40">
            <v>87.808158641841956</v>
          </cell>
          <cell r="AA40">
            <v>107.84313725490198</v>
          </cell>
          <cell r="AB40">
            <v>86.859323882224643</v>
          </cell>
          <cell r="AC40">
            <v>94.031051779434378</v>
          </cell>
          <cell r="AD40">
            <v>89.431837129177779</v>
          </cell>
          <cell r="AF40">
            <v>97.748091457008272</v>
          </cell>
          <cell r="AG40">
            <v>91.731444454306086</v>
          </cell>
        </row>
        <row r="41">
          <cell r="A41">
            <v>40217</v>
          </cell>
          <cell r="B41">
            <v>12.69403</v>
          </cell>
          <cell r="C41">
            <v>55</v>
          </cell>
          <cell r="D41">
            <v>60.395539999999997</v>
          </cell>
          <cell r="E41">
            <v>29.077256999999999</v>
          </cell>
          <cell r="F41">
            <v>70.14</v>
          </cell>
          <cell r="G41">
            <v>0.94916690000000004</v>
          </cell>
          <cell r="H41">
            <v>18.975000000000001</v>
          </cell>
          <cell r="I41">
            <v>31.25</v>
          </cell>
          <cell r="J41">
            <v>27.42</v>
          </cell>
          <cell r="K41">
            <v>4.071834</v>
          </cell>
          <cell r="L41">
            <v>2.25</v>
          </cell>
          <cell r="M41">
            <v>15.52</v>
          </cell>
          <cell r="N41">
            <v>7.9067273</v>
          </cell>
          <cell r="O41">
            <v>9.5845610000000008</v>
          </cell>
          <cell r="Q41">
            <v>91.832607074457997</v>
          </cell>
          <cell r="R41">
            <v>91.089764822788993</v>
          </cell>
          <cell r="S41">
            <v>115.92830494927568</v>
          </cell>
          <cell r="T41">
            <v>106.36334864871053</v>
          </cell>
          <cell r="U41">
            <v>93.719935863174769</v>
          </cell>
          <cell r="V41">
            <v>91.902259139326446</v>
          </cell>
          <cell r="W41">
            <v>97.00920245398774</v>
          </cell>
          <cell r="X41">
            <v>87.953841823810862</v>
          </cell>
          <cell r="Y41">
            <v>104.91677826669216</v>
          </cell>
          <cell r="Z41">
            <v>89.300382371227954</v>
          </cell>
          <cell r="AA41">
            <v>110.29411764705883</v>
          </cell>
          <cell r="AB41">
            <v>84.623773173391498</v>
          </cell>
          <cell r="AC41">
            <v>96.739831108721717</v>
          </cell>
          <cell r="AD41">
            <v>90.852682713018552</v>
          </cell>
          <cell r="AF41">
            <v>97.077859686158618</v>
          </cell>
          <cell r="AG41">
            <v>93.796256910870142</v>
          </cell>
        </row>
        <row r="42">
          <cell r="A42">
            <v>40218</v>
          </cell>
          <cell r="B42">
            <v>12.830894000000001</v>
          </cell>
          <cell r="C42">
            <v>55.68</v>
          </cell>
          <cell r="D42">
            <v>60.409443000000003</v>
          </cell>
          <cell r="E42">
            <v>28.783981000000001</v>
          </cell>
          <cell r="F42">
            <v>70.150000000000006</v>
          </cell>
          <cell r="G42">
            <v>0.95191084999999998</v>
          </cell>
          <cell r="H42">
            <v>19.175000000000001</v>
          </cell>
          <cell r="I42">
            <v>31.34</v>
          </cell>
          <cell r="J42">
            <v>27.135000000000002</v>
          </cell>
          <cell r="K42">
            <v>4.0412955000000004</v>
          </cell>
          <cell r="L42">
            <v>2.35</v>
          </cell>
          <cell r="M42">
            <v>15.97</v>
          </cell>
          <cell r="N42">
            <v>8.0086300000000001</v>
          </cell>
          <cell r="O42">
            <v>9.9770800000000008</v>
          </cell>
          <cell r="Q42">
            <v>92.822724313399334</v>
          </cell>
          <cell r="R42">
            <v>92.215965551507111</v>
          </cell>
          <cell r="S42">
            <v>115.95499154275115</v>
          </cell>
          <cell r="T42">
            <v>105.29055772354525</v>
          </cell>
          <cell r="U42">
            <v>93.73329770176376</v>
          </cell>
          <cell r="V42">
            <v>92.167939710325442</v>
          </cell>
          <cell r="W42">
            <v>98.031697341513308</v>
          </cell>
          <cell r="X42">
            <v>88.207148888263433</v>
          </cell>
          <cell r="Y42">
            <v>103.8262865888655</v>
          </cell>
          <cell r="Z42">
            <v>88.630635095910819</v>
          </cell>
          <cell r="AA42">
            <v>115.19607843137256</v>
          </cell>
          <cell r="AB42">
            <v>87.077426390403488</v>
          </cell>
          <cell r="AC42">
            <v>97.986623822506445</v>
          </cell>
          <cell r="AD42">
            <v>94.573396073372919</v>
          </cell>
          <cell r="AF42">
            <v>97.762895773301764</v>
          </cell>
          <cell r="AG42">
            <v>96.280009947939675</v>
          </cell>
        </row>
        <row r="43">
          <cell r="A43">
            <v>40219</v>
          </cell>
          <cell r="B43">
            <v>12.854134</v>
          </cell>
          <cell r="C43">
            <v>55.76</v>
          </cell>
          <cell r="D43">
            <v>60.218170000000001</v>
          </cell>
          <cell r="E43">
            <v>28.495104000000001</v>
          </cell>
          <cell r="F43">
            <v>70.97</v>
          </cell>
          <cell r="G43">
            <v>0.95862406</v>
          </cell>
          <cell r="H43">
            <v>19.350000000000001</v>
          </cell>
          <cell r="I43">
            <v>31.29</v>
          </cell>
          <cell r="J43">
            <v>27.14</v>
          </cell>
          <cell r="K43">
            <v>4.0403694999999997</v>
          </cell>
          <cell r="L43">
            <v>2.39</v>
          </cell>
          <cell r="M43">
            <v>15.74</v>
          </cell>
          <cell r="N43">
            <v>8.3191900000000008</v>
          </cell>
          <cell r="O43">
            <v>10.205017</v>
          </cell>
          <cell r="Q43">
            <v>92.990849785641842</v>
          </cell>
          <cell r="R43">
            <v>92.34845975488571</v>
          </cell>
          <cell r="S43">
            <v>115.58784597748981</v>
          </cell>
          <cell r="T43">
            <v>104.23385815014348</v>
          </cell>
          <cell r="U43">
            <v>94.828968466060928</v>
          </cell>
          <cell r="V43">
            <v>92.817940426824009</v>
          </cell>
          <cell r="W43">
            <v>98.926380368098179</v>
          </cell>
          <cell r="X43">
            <v>88.066422741345335</v>
          </cell>
          <cell r="Y43">
            <v>103.84541802180982</v>
          </cell>
          <cell r="Z43">
            <v>88.610326764560426</v>
          </cell>
          <cell r="AA43">
            <v>117.15686274509804</v>
          </cell>
          <cell r="AB43">
            <v>85.823336968375145</v>
          </cell>
          <cell r="AC43">
            <v>101.78636558786678</v>
          </cell>
          <cell r="AD43">
            <v>96.734025854909817</v>
          </cell>
          <cell r="AF43">
            <v>97.936389180861056</v>
          </cell>
          <cell r="AG43">
            <v>99.2601957213883</v>
          </cell>
        </row>
        <row r="44">
          <cell r="A44">
            <v>40220</v>
          </cell>
          <cell r="B44">
            <v>13.052269000000001</v>
          </cell>
          <cell r="C44">
            <v>55.9</v>
          </cell>
          <cell r="D44">
            <v>60.258409999999998</v>
          </cell>
          <cell r="E44">
            <v>28.514147000000001</v>
          </cell>
          <cell r="F44">
            <v>71.56</v>
          </cell>
          <cell r="G44">
            <v>0.94039459999999997</v>
          </cell>
          <cell r="H44">
            <v>19.71</v>
          </cell>
          <cell r="I44">
            <v>31.41</v>
          </cell>
          <cell r="J44">
            <v>27.75</v>
          </cell>
          <cell r="K44">
            <v>4.0943092999999999</v>
          </cell>
          <cell r="L44">
            <v>2.31</v>
          </cell>
          <cell r="M44">
            <v>16.07</v>
          </cell>
          <cell r="N44">
            <v>8.2261659999999992</v>
          </cell>
          <cell r="O44">
            <v>10.078665000000001</v>
          </cell>
          <cell r="Q44">
            <v>94.424220716914078</v>
          </cell>
          <cell r="R44">
            <v>92.580324610798272</v>
          </cell>
          <cell r="S44">
            <v>115.66508603513577</v>
          </cell>
          <cell r="T44">
            <v>104.30351662062154</v>
          </cell>
          <cell r="U44">
            <v>95.617316942811328</v>
          </cell>
          <cell r="V44">
            <v>91.052888825372264</v>
          </cell>
          <cell r="W44">
            <v>100.76687116564418</v>
          </cell>
          <cell r="X44">
            <v>88.404165493948767</v>
          </cell>
          <cell r="Y44">
            <v>106.17945284101779</v>
          </cell>
          <cell r="Z44">
            <v>89.793293645093257</v>
          </cell>
          <cell r="AA44">
            <v>113.23529411764706</v>
          </cell>
          <cell r="AB44">
            <v>87.6226826608506</v>
          </cell>
          <cell r="AC44">
            <v>100.64820491688246</v>
          </cell>
          <cell r="AD44">
            <v>95.536326954964878</v>
          </cell>
          <cell r="AF44">
            <v>98.303759472987906</v>
          </cell>
          <cell r="AG44">
            <v>98.092265935923677</v>
          </cell>
        </row>
        <row r="45">
          <cell r="A45">
            <v>40221</v>
          </cell>
          <cell r="B45">
            <v>13.139564500000001</v>
          </cell>
          <cell r="C45">
            <v>56.07</v>
          </cell>
          <cell r="D45">
            <v>60.222225000000002</v>
          </cell>
          <cell r="E45">
            <v>29.477779999999999</v>
          </cell>
          <cell r="F45">
            <v>71.760000000000005</v>
          </cell>
          <cell r="G45">
            <v>0.99002889999999999</v>
          </cell>
          <cell r="H45">
            <v>19.715</v>
          </cell>
          <cell r="I45">
            <v>31.69</v>
          </cell>
          <cell r="J45">
            <v>27.99</v>
          </cell>
          <cell r="K45">
            <v>4.0829659999999999</v>
          </cell>
          <cell r="L45">
            <v>2.2999999999999998</v>
          </cell>
          <cell r="M45">
            <v>16.29</v>
          </cell>
          <cell r="N45">
            <v>8.2613129999999995</v>
          </cell>
          <cell r="O45">
            <v>9.9307529999999993</v>
          </cell>
          <cell r="Q45">
            <v>95.055743830603618</v>
          </cell>
          <cell r="R45">
            <v>92.861874792977801</v>
          </cell>
          <cell r="S45">
            <v>115.59562948727498</v>
          </cell>
          <cell r="T45">
            <v>107.82844446193761</v>
          </cell>
          <cell r="U45">
            <v>95.884553714591121</v>
          </cell>
          <cell r="V45">
            <v>95.858686731724745</v>
          </cell>
          <cell r="W45">
            <v>100.79243353783231</v>
          </cell>
          <cell r="X45">
            <v>89.192231916690119</v>
          </cell>
          <cell r="Y45">
            <v>107.0977616223455</v>
          </cell>
          <cell r="Z45">
            <v>89.544520972299736</v>
          </cell>
          <cell r="AA45">
            <v>112.74509803921569</v>
          </cell>
          <cell r="AB45">
            <v>88.822246455834247</v>
          </cell>
          <cell r="AC45">
            <v>101.07823300751591</v>
          </cell>
          <cell r="AD45">
            <v>94.134259400128713</v>
          </cell>
          <cell r="AF45">
            <v>99.273268796943952</v>
          </cell>
          <cell r="AG45">
            <v>97.606246203822309</v>
          </cell>
        </row>
        <row r="46">
          <cell r="A46">
            <v>40222</v>
          </cell>
          <cell r="B46">
            <v>13.139564500000001</v>
          </cell>
          <cell r="C46">
            <v>56.07</v>
          </cell>
          <cell r="D46">
            <v>60.222225000000002</v>
          </cell>
          <cell r="E46">
            <v>29.477779999999999</v>
          </cell>
          <cell r="F46">
            <v>71.760000000000005</v>
          </cell>
          <cell r="G46">
            <v>0.99002889999999999</v>
          </cell>
          <cell r="H46">
            <v>19.715</v>
          </cell>
          <cell r="I46">
            <v>31.69</v>
          </cell>
          <cell r="J46">
            <v>27.99</v>
          </cell>
          <cell r="K46">
            <v>4.0829659999999999</v>
          </cell>
          <cell r="L46">
            <v>2.2999999999999998</v>
          </cell>
          <cell r="M46">
            <v>16.29</v>
          </cell>
          <cell r="N46">
            <v>8.2613129999999995</v>
          </cell>
          <cell r="O46">
            <v>9.9307529999999993</v>
          </cell>
          <cell r="Q46">
            <v>95.055743830603618</v>
          </cell>
          <cell r="R46">
            <v>92.861874792977801</v>
          </cell>
          <cell r="S46">
            <v>115.59562948727498</v>
          </cell>
          <cell r="T46">
            <v>107.82844446193761</v>
          </cell>
          <cell r="U46">
            <v>95.884553714591121</v>
          </cell>
          <cell r="V46">
            <v>95.858686731724745</v>
          </cell>
          <cell r="W46">
            <v>100.79243353783231</v>
          </cell>
          <cell r="X46">
            <v>89.192231916690119</v>
          </cell>
          <cell r="Y46">
            <v>107.0977616223455</v>
          </cell>
          <cell r="Z46">
            <v>89.544520972299736</v>
          </cell>
          <cell r="AA46">
            <v>112.74509803921569</v>
          </cell>
          <cell r="AB46">
            <v>88.822246455834247</v>
          </cell>
          <cell r="AC46">
            <v>101.07823300751591</v>
          </cell>
          <cell r="AD46">
            <v>94.134259400128713</v>
          </cell>
          <cell r="AF46">
            <v>99.273268796943952</v>
          </cell>
          <cell r="AG46">
            <v>97.606246203822309</v>
          </cell>
        </row>
        <row r="47">
          <cell r="A47">
            <v>40223</v>
          </cell>
          <cell r="B47">
            <v>13.139564500000001</v>
          </cell>
          <cell r="C47">
            <v>56.07</v>
          </cell>
          <cell r="D47">
            <v>60.222225000000002</v>
          </cell>
          <cell r="E47">
            <v>29.477779999999999</v>
          </cell>
          <cell r="F47">
            <v>71.760000000000005</v>
          </cell>
          <cell r="G47">
            <v>0.99002889999999999</v>
          </cell>
          <cell r="H47">
            <v>19.715</v>
          </cell>
          <cell r="I47">
            <v>31.69</v>
          </cell>
          <cell r="J47">
            <v>27.99</v>
          </cell>
          <cell r="K47">
            <v>4.0829659999999999</v>
          </cell>
          <cell r="L47">
            <v>2.2999999999999998</v>
          </cell>
          <cell r="M47">
            <v>16.29</v>
          </cell>
          <cell r="N47">
            <v>8.2613129999999995</v>
          </cell>
          <cell r="O47">
            <v>9.9307529999999993</v>
          </cell>
          <cell r="Q47">
            <v>95.055743830603618</v>
          </cell>
          <cell r="R47">
            <v>92.861874792977801</v>
          </cell>
          <cell r="S47">
            <v>115.59562948727498</v>
          </cell>
          <cell r="T47">
            <v>107.82844446193761</v>
          </cell>
          <cell r="U47">
            <v>95.884553714591121</v>
          </cell>
          <cell r="V47">
            <v>95.858686731724745</v>
          </cell>
          <cell r="W47">
            <v>100.79243353783231</v>
          </cell>
          <cell r="X47">
            <v>89.192231916690119</v>
          </cell>
          <cell r="Y47">
            <v>107.0977616223455</v>
          </cell>
          <cell r="Z47">
            <v>89.544520972299736</v>
          </cell>
          <cell r="AA47">
            <v>112.74509803921569</v>
          </cell>
          <cell r="AB47">
            <v>88.822246455834247</v>
          </cell>
          <cell r="AC47">
            <v>101.07823300751591</v>
          </cell>
          <cell r="AD47">
            <v>94.134259400128713</v>
          </cell>
          <cell r="AF47">
            <v>99.273268796943952</v>
          </cell>
          <cell r="AG47">
            <v>97.606246203822309</v>
          </cell>
        </row>
        <row r="48">
          <cell r="A48">
            <v>40224</v>
          </cell>
          <cell r="B48">
            <v>13.139564500000001</v>
          </cell>
          <cell r="C48">
            <v>56.07</v>
          </cell>
          <cell r="D48">
            <v>60.222225000000002</v>
          </cell>
          <cell r="E48">
            <v>29.477779999999999</v>
          </cell>
          <cell r="F48">
            <v>71.760000000000005</v>
          </cell>
          <cell r="G48">
            <v>0.99002889999999999</v>
          </cell>
          <cell r="H48">
            <v>19.715</v>
          </cell>
          <cell r="I48">
            <v>31.69</v>
          </cell>
          <cell r="J48">
            <v>27.99</v>
          </cell>
          <cell r="K48">
            <v>4.0829659999999999</v>
          </cell>
          <cell r="L48">
            <v>2.2999999999999998</v>
          </cell>
          <cell r="M48">
            <v>16.29</v>
          </cell>
          <cell r="N48">
            <v>8.2613129999999995</v>
          </cell>
          <cell r="O48">
            <v>9.9307529999999993</v>
          </cell>
          <cell r="Q48">
            <v>95.055743830603618</v>
          </cell>
          <cell r="R48">
            <v>92.861874792977801</v>
          </cell>
          <cell r="S48">
            <v>115.59562948727498</v>
          </cell>
          <cell r="T48">
            <v>107.82844446193761</v>
          </cell>
          <cell r="U48">
            <v>95.884553714591121</v>
          </cell>
          <cell r="V48">
            <v>95.858686731724745</v>
          </cell>
          <cell r="W48">
            <v>100.79243353783231</v>
          </cell>
          <cell r="X48">
            <v>89.192231916690119</v>
          </cell>
          <cell r="Y48">
            <v>107.0977616223455</v>
          </cell>
          <cell r="Z48">
            <v>89.544520972299736</v>
          </cell>
          <cell r="AA48">
            <v>112.74509803921569</v>
          </cell>
          <cell r="AB48">
            <v>88.822246455834247</v>
          </cell>
          <cell r="AC48">
            <v>101.07823300751591</v>
          </cell>
          <cell r="AD48">
            <v>94.134259400128713</v>
          </cell>
          <cell r="AF48">
            <v>99.273268796943952</v>
          </cell>
          <cell r="AG48">
            <v>97.606246203822309</v>
          </cell>
        </row>
        <row r="49">
          <cell r="A49">
            <v>40225</v>
          </cell>
          <cell r="B49">
            <v>12.910726</v>
          </cell>
          <cell r="C49">
            <v>56.69</v>
          </cell>
          <cell r="D49">
            <v>58.390120000000003</v>
          </cell>
          <cell r="E49">
            <v>28.962387</v>
          </cell>
          <cell r="F49">
            <v>72.430000000000007</v>
          </cell>
          <cell r="G49">
            <v>0.99587420000000004</v>
          </cell>
          <cell r="H49">
            <v>19.79</v>
          </cell>
          <cell r="I49">
            <v>32.17</v>
          </cell>
          <cell r="J49">
            <v>27.725000000000001</v>
          </cell>
          <cell r="K49">
            <v>3.8543503000000001</v>
          </cell>
          <cell r="L49">
            <v>2.25</v>
          </cell>
          <cell r="M49">
            <v>16.079999999999998</v>
          </cell>
          <cell r="N49">
            <v>8.3437249999999992</v>
          </cell>
          <cell r="O49">
            <v>10.029819</v>
          </cell>
          <cell r="Q49">
            <v>93.400254119770381</v>
          </cell>
          <cell r="R49">
            <v>93.88870486916197</v>
          </cell>
          <cell r="S49">
            <v>112.07893227521109</v>
          </cell>
          <cell r="T49">
            <v>105.94315915630837</v>
          </cell>
          <cell r="U49">
            <v>96.779796900053455</v>
          </cell>
          <cell r="V49">
            <v>96.424652817717742</v>
          </cell>
          <cell r="W49">
            <v>101.1758691206544</v>
          </cell>
          <cell r="X49">
            <v>90.543202927103863</v>
          </cell>
          <cell r="Y49">
            <v>106.08379567629615</v>
          </cell>
          <cell r="Z49">
            <v>84.530694419924103</v>
          </cell>
          <cell r="AA49">
            <v>110.29411764705883</v>
          </cell>
          <cell r="AB49">
            <v>87.677208287895297</v>
          </cell>
          <cell r="AC49">
            <v>102.0865544860285</v>
          </cell>
          <cell r="AD49">
            <v>95.073312515409413</v>
          </cell>
          <cell r="AF49">
            <v>98.235032351429638</v>
          </cell>
          <cell r="AG49">
            <v>98.579933500718965</v>
          </cell>
        </row>
        <row r="50">
          <cell r="A50">
            <v>40226</v>
          </cell>
          <cell r="B50">
            <v>12.764614</v>
          </cell>
          <cell r="C50">
            <v>57.39</v>
          </cell>
          <cell r="D50">
            <v>58.111378000000002</v>
          </cell>
          <cell r="E50">
            <v>28.923618000000001</v>
          </cell>
          <cell r="F50">
            <v>73.150000000000006</v>
          </cell>
          <cell r="G50">
            <v>0.96745510000000001</v>
          </cell>
          <cell r="H50">
            <v>19.899999999999999</v>
          </cell>
          <cell r="I50">
            <v>32.6</v>
          </cell>
          <cell r="J50">
            <v>27.895</v>
          </cell>
          <cell r="K50">
            <v>3.9220383000000001</v>
          </cell>
          <cell r="L50">
            <v>2.2400000000000002</v>
          </cell>
          <cell r="M50">
            <v>15.92</v>
          </cell>
          <cell r="N50">
            <v>8.4937249999999995</v>
          </cell>
          <cell r="O50">
            <v>10.344920999999999</v>
          </cell>
          <cell r="Q50">
            <v>92.343233939034775</v>
          </cell>
          <cell r="R50">
            <v>95.048029148724737</v>
          </cell>
          <cell r="S50">
            <v>111.54389131725009</v>
          </cell>
          <cell r="T50">
            <v>105.80134383088887</v>
          </cell>
          <cell r="U50">
            <v>97.74184927846072</v>
          </cell>
          <cell r="V50">
            <v>93.672998190163369</v>
          </cell>
          <cell r="W50">
            <v>101.73824130879345</v>
          </cell>
          <cell r="X50">
            <v>91.753447790599495</v>
          </cell>
          <cell r="Y50">
            <v>106.73426439640328</v>
          </cell>
          <cell r="Z50">
            <v>86.015176420404387</v>
          </cell>
          <cell r="AA50">
            <v>109.80392156862746</v>
          </cell>
          <cell r="AB50">
            <v>86.804798255179932</v>
          </cell>
          <cell r="AC50">
            <v>103.92182388583547</v>
          </cell>
          <cell r="AD50">
            <v>98.060185052214962</v>
          </cell>
          <cell r="AF50">
            <v>98.250099620377554</v>
          </cell>
          <cell r="AG50">
            <v>100.99100446902521</v>
          </cell>
        </row>
        <row r="51">
          <cell r="A51">
            <v>40227</v>
          </cell>
          <cell r="B51">
            <v>12.779724999999999</v>
          </cell>
          <cell r="C51">
            <v>57.7</v>
          </cell>
          <cell r="D51">
            <v>57.827618000000001</v>
          </cell>
          <cell r="E51">
            <v>29.133686000000001</v>
          </cell>
          <cell r="F51">
            <v>73.12</v>
          </cell>
          <cell r="G51">
            <v>0.95268565000000005</v>
          </cell>
          <cell r="H51">
            <v>19.899999999999999</v>
          </cell>
          <cell r="I51">
            <v>32.799999999999997</v>
          </cell>
          <cell r="J51">
            <v>28.715</v>
          </cell>
          <cell r="K51">
            <v>3.9655</v>
          </cell>
          <cell r="L51">
            <v>2.2000000000000002</v>
          </cell>
          <cell r="M51">
            <v>16.13</v>
          </cell>
          <cell r="N51">
            <v>8.6987559999999995</v>
          </cell>
          <cell r="O51">
            <v>10.928361000000001</v>
          </cell>
          <cell r="Q51">
            <v>92.452551667565587</v>
          </cell>
          <cell r="R51">
            <v>95.561444186816829</v>
          </cell>
          <cell r="S51">
            <v>110.99921838589776</v>
          </cell>
          <cell r="T51">
            <v>106.56976349041649</v>
          </cell>
          <cell r="U51">
            <v>97.701763762693744</v>
          </cell>
          <cell r="V51">
            <v>92.242959046104176</v>
          </cell>
          <cell r="W51">
            <v>101.73824130879345</v>
          </cell>
          <cell r="X51">
            <v>92.316352378271873</v>
          </cell>
          <cell r="Y51">
            <v>109.87181939927299</v>
          </cell>
          <cell r="Z51">
            <v>86.968345539897868</v>
          </cell>
          <cell r="AA51">
            <v>107.84313725490198</v>
          </cell>
          <cell r="AB51">
            <v>87.949836423118867</v>
          </cell>
          <cell r="AC51">
            <v>106.43040468791428</v>
          </cell>
          <cell r="AD51">
            <v>103.59065110090344</v>
          </cell>
          <cell r="AF51">
            <v>98.517952736979296</v>
          </cell>
          <cell r="AG51">
            <v>105.01052789440885</v>
          </cell>
        </row>
        <row r="52">
          <cell r="A52">
            <v>40228</v>
          </cell>
          <cell r="B52">
            <v>12.799215999999999</v>
          </cell>
          <cell r="C52">
            <v>57.5</v>
          </cell>
          <cell r="D52">
            <v>56.639670000000002</v>
          </cell>
          <cell r="E52">
            <v>28.591618</v>
          </cell>
          <cell r="F52">
            <v>73.98</v>
          </cell>
          <cell r="G52">
            <v>0.94803499999999996</v>
          </cell>
          <cell r="H52">
            <v>19.91</v>
          </cell>
          <cell r="I52">
            <v>32.53</v>
          </cell>
          <cell r="J52">
            <v>28.734999999999999</v>
          </cell>
          <cell r="K52">
            <v>3.8344019999999999</v>
          </cell>
          <cell r="L52">
            <v>2.15</v>
          </cell>
          <cell r="M52">
            <v>16.38</v>
          </cell>
          <cell r="N52">
            <v>8.8241790000000009</v>
          </cell>
          <cell r="O52">
            <v>10.986102000000001</v>
          </cell>
          <cell r="Q52">
            <v>92.59355569422128</v>
          </cell>
          <cell r="R52">
            <v>95.230208678370317</v>
          </cell>
          <cell r="S52">
            <v>108.71897057276649</v>
          </cell>
          <cell r="T52">
            <v>104.586902188358</v>
          </cell>
          <cell r="U52">
            <v>98.850881881346879</v>
          </cell>
          <cell r="V52">
            <v>91.792663906791674</v>
          </cell>
          <cell r="W52">
            <v>101.78936605316974</v>
          </cell>
          <cell r="X52">
            <v>91.55643118491416</v>
          </cell>
          <cell r="Y52">
            <v>109.94834513105032</v>
          </cell>
          <cell r="Z52">
            <v>84.093203398026844</v>
          </cell>
          <cell r="AA52">
            <v>105.3921568627451</v>
          </cell>
          <cell r="AB52">
            <v>89.312977099236633</v>
          </cell>
          <cell r="AC52">
            <v>107.96497131412752</v>
          </cell>
          <cell r="AD52">
            <v>104.13798182919996</v>
          </cell>
          <cell r="AF52">
            <v>97.822138554249776</v>
          </cell>
          <cell r="AG52">
            <v>106.05147657166374</v>
          </cell>
        </row>
        <row r="53">
          <cell r="A53">
            <v>40229</v>
          </cell>
          <cell r="B53">
            <v>12.799215999999999</v>
          </cell>
          <cell r="C53">
            <v>57.5</v>
          </cell>
          <cell r="D53">
            <v>56.639670000000002</v>
          </cell>
          <cell r="E53">
            <v>28.591618</v>
          </cell>
          <cell r="F53">
            <v>73.98</v>
          </cell>
          <cell r="G53">
            <v>0.94803499999999996</v>
          </cell>
          <cell r="H53">
            <v>19.91</v>
          </cell>
          <cell r="I53">
            <v>32.53</v>
          </cell>
          <cell r="J53">
            <v>28.734999999999999</v>
          </cell>
          <cell r="K53">
            <v>3.8344019999999999</v>
          </cell>
          <cell r="L53">
            <v>2.15</v>
          </cell>
          <cell r="M53">
            <v>16.38</v>
          </cell>
          <cell r="N53">
            <v>8.8241790000000009</v>
          </cell>
          <cell r="O53">
            <v>10.986102000000001</v>
          </cell>
          <cell r="Q53">
            <v>92.59355569422128</v>
          </cell>
          <cell r="R53">
            <v>95.230208678370317</v>
          </cell>
          <cell r="S53">
            <v>108.71897057276649</v>
          </cell>
          <cell r="T53">
            <v>104.586902188358</v>
          </cell>
          <cell r="U53">
            <v>98.850881881346879</v>
          </cell>
          <cell r="V53">
            <v>91.792663906791674</v>
          </cell>
          <cell r="W53">
            <v>101.78936605316974</v>
          </cell>
          <cell r="X53">
            <v>91.55643118491416</v>
          </cell>
          <cell r="Y53">
            <v>109.94834513105032</v>
          </cell>
          <cell r="Z53">
            <v>84.093203398026844</v>
          </cell>
          <cell r="AA53">
            <v>105.3921568627451</v>
          </cell>
          <cell r="AB53">
            <v>89.312977099236633</v>
          </cell>
          <cell r="AC53">
            <v>107.96497131412752</v>
          </cell>
          <cell r="AD53">
            <v>104.13798182919996</v>
          </cell>
          <cell r="AF53">
            <v>97.822138554249776</v>
          </cell>
          <cell r="AG53">
            <v>106.05147657166374</v>
          </cell>
        </row>
        <row r="54">
          <cell r="A54">
            <v>40230</v>
          </cell>
          <cell r="B54">
            <v>12.799215999999999</v>
          </cell>
          <cell r="C54">
            <v>57.5</v>
          </cell>
          <cell r="D54">
            <v>56.639670000000002</v>
          </cell>
          <cell r="E54">
            <v>28.591618</v>
          </cell>
          <cell r="F54">
            <v>73.98</v>
          </cell>
          <cell r="G54">
            <v>0.94803499999999996</v>
          </cell>
          <cell r="H54">
            <v>19.91</v>
          </cell>
          <cell r="I54">
            <v>32.53</v>
          </cell>
          <cell r="J54">
            <v>28.734999999999999</v>
          </cell>
          <cell r="K54">
            <v>3.8344019999999999</v>
          </cell>
          <cell r="L54">
            <v>2.15</v>
          </cell>
          <cell r="M54">
            <v>16.38</v>
          </cell>
          <cell r="N54">
            <v>8.8241790000000009</v>
          </cell>
          <cell r="O54">
            <v>10.986102000000001</v>
          </cell>
          <cell r="Q54">
            <v>92.59355569422128</v>
          </cell>
          <cell r="R54">
            <v>95.230208678370317</v>
          </cell>
          <cell r="S54">
            <v>108.71897057276649</v>
          </cell>
          <cell r="T54">
            <v>104.586902188358</v>
          </cell>
          <cell r="U54">
            <v>98.850881881346879</v>
          </cell>
          <cell r="V54">
            <v>91.792663906791674</v>
          </cell>
          <cell r="W54">
            <v>101.78936605316974</v>
          </cell>
          <cell r="X54">
            <v>91.55643118491416</v>
          </cell>
          <cell r="Y54">
            <v>109.94834513105032</v>
          </cell>
          <cell r="Z54">
            <v>84.093203398026844</v>
          </cell>
          <cell r="AA54">
            <v>105.3921568627451</v>
          </cell>
          <cell r="AB54">
            <v>89.312977099236633</v>
          </cell>
          <cell r="AC54">
            <v>107.96497131412752</v>
          </cell>
          <cell r="AD54">
            <v>104.13798182919996</v>
          </cell>
          <cell r="AF54">
            <v>97.822138554249776</v>
          </cell>
          <cell r="AG54">
            <v>106.05147657166374</v>
          </cell>
        </row>
        <row r="55">
          <cell r="A55">
            <v>40231</v>
          </cell>
          <cell r="B55">
            <v>13.033754</v>
          </cell>
          <cell r="C55">
            <v>57.37</v>
          </cell>
          <cell r="D55">
            <v>58.026653000000003</v>
          </cell>
          <cell r="E55">
            <v>29.024296</v>
          </cell>
          <cell r="F55">
            <v>73.97</v>
          </cell>
          <cell r="G55">
            <v>0.95829629999999999</v>
          </cell>
          <cell r="H55">
            <v>19.72</v>
          </cell>
          <cell r="I55">
            <v>32.479999999999997</v>
          </cell>
          <cell r="J55">
            <v>28.975000000000001</v>
          </cell>
          <cell r="K55">
            <v>3.8678499999999998</v>
          </cell>
          <cell r="L55">
            <v>2.21</v>
          </cell>
          <cell r="M55">
            <v>16.170000000000002</v>
          </cell>
          <cell r="N55">
            <v>8.5864159999999998</v>
          </cell>
          <cell r="O55">
            <v>10.900055</v>
          </cell>
          <cell r="Q55">
            <v>94.29027738134738</v>
          </cell>
          <cell r="R55">
            <v>95.014905597880087</v>
          </cell>
          <cell r="S55">
            <v>111.38126299011158</v>
          </cell>
          <cell r="T55">
            <v>106.16961960102959</v>
          </cell>
          <cell r="U55">
            <v>98.837520042757873</v>
          </cell>
          <cell r="V55">
            <v>92.786205350036667</v>
          </cell>
          <cell r="W55">
            <v>100.81799591002046</v>
          </cell>
          <cell r="X55">
            <v>91.415705037996048</v>
          </cell>
          <cell r="Y55">
            <v>110.86665391237804</v>
          </cell>
          <cell r="Z55">
            <v>84.826759625896841</v>
          </cell>
          <cell r="AA55">
            <v>108.33333333333333</v>
          </cell>
          <cell r="AB55">
            <v>88.167938931297712</v>
          </cell>
          <cell r="AC55">
            <v>105.05591025875218</v>
          </cell>
          <cell r="AD55">
            <v>103.32233666930091</v>
          </cell>
          <cell r="AF55">
            <v>98.575681476173784</v>
          </cell>
          <cell r="AG55">
            <v>104.18912346402655</v>
          </cell>
        </row>
        <row r="56">
          <cell r="A56">
            <v>40232</v>
          </cell>
          <cell r="B56">
            <v>12.725329</v>
          </cell>
          <cell r="C56">
            <v>56.7</v>
          </cell>
          <cell r="D56">
            <v>58.869183</v>
          </cell>
          <cell r="E56">
            <v>29.212862000000001</v>
          </cell>
          <cell r="F56">
            <v>73.400000000000006</v>
          </cell>
          <cell r="G56">
            <v>0.97820306000000001</v>
          </cell>
          <cell r="H56">
            <v>20.13</v>
          </cell>
          <cell r="I56">
            <v>31.91</v>
          </cell>
          <cell r="J56">
            <v>28.47</v>
          </cell>
          <cell r="K56">
            <v>3.7996756999999999</v>
          </cell>
          <cell r="L56">
            <v>2.19</v>
          </cell>
          <cell r="M56">
            <v>15.7</v>
          </cell>
          <cell r="N56">
            <v>8.3424809999999994</v>
          </cell>
          <cell r="O56">
            <v>10.592755</v>
          </cell>
          <cell r="Q56">
            <v>92.059033888387333</v>
          </cell>
          <cell r="R56">
            <v>93.905266644584302</v>
          </cell>
          <cell r="S56">
            <v>112.99848629449652</v>
          </cell>
          <cell r="T56">
            <v>106.85938587441956</v>
          </cell>
          <cell r="U56">
            <v>98.075895243185457</v>
          </cell>
          <cell r="V56">
            <v>94.713660064422911</v>
          </cell>
          <cell r="W56">
            <v>102.91411042944785</v>
          </cell>
          <cell r="X56">
            <v>89.811426963129747</v>
          </cell>
          <cell r="Y56">
            <v>108.93437918500095</v>
          </cell>
          <cell r="Z56">
            <v>83.331612461771101</v>
          </cell>
          <cell r="AA56">
            <v>107.35294117647058</v>
          </cell>
          <cell r="AB56">
            <v>85.605234460196286</v>
          </cell>
          <cell r="AC56">
            <v>102.07133398513943</v>
          </cell>
          <cell r="AD56">
            <v>100.40941980250746</v>
          </cell>
          <cell r="AF56">
            <v>98.046786057126042</v>
          </cell>
          <cell r="AG56">
            <v>101.24037689382345</v>
          </cell>
        </row>
        <row r="57">
          <cell r="A57">
            <v>40233</v>
          </cell>
          <cell r="B57">
            <v>12.342031</v>
          </cell>
          <cell r="C57">
            <v>56.82</v>
          </cell>
          <cell r="D57">
            <v>58.594616000000002</v>
          </cell>
          <cell r="E57">
            <v>29.097173999999999</v>
          </cell>
          <cell r="F57">
            <v>73.5</v>
          </cell>
          <cell r="G57">
            <v>0.96563476000000004</v>
          </cell>
          <cell r="H57">
            <v>20.395</v>
          </cell>
          <cell r="I57">
            <v>32.479999999999997</v>
          </cell>
          <cell r="J57">
            <v>28.76</v>
          </cell>
          <cell r="K57">
            <v>3.8099314999999998</v>
          </cell>
          <cell r="L57">
            <v>2.2000000000000002</v>
          </cell>
          <cell r="M57">
            <v>15.44</v>
          </cell>
          <cell r="N57">
            <v>8.3537130000000008</v>
          </cell>
          <cell r="O57">
            <v>10.799372999999999</v>
          </cell>
          <cell r="Q57">
            <v>89.286135555357902</v>
          </cell>
          <cell r="R57">
            <v>94.1040079496522</v>
          </cell>
          <cell r="S57">
            <v>112.47145918446478</v>
          </cell>
          <cell r="T57">
            <v>106.43620417339213</v>
          </cell>
          <cell r="U57">
            <v>98.209513629075346</v>
          </cell>
          <cell r="V57">
            <v>93.49674535370049</v>
          </cell>
          <cell r="W57">
            <v>104.26891615541922</v>
          </cell>
          <cell r="X57">
            <v>91.415705037996048</v>
          </cell>
          <cell r="Y57">
            <v>110.04400229577196</v>
          </cell>
          <cell r="Z57">
            <v>83.556534907411759</v>
          </cell>
          <cell r="AA57">
            <v>107.84313725490198</v>
          </cell>
          <cell r="AB57">
            <v>84.187568157033795</v>
          </cell>
          <cell r="AC57">
            <v>102.208758957797</v>
          </cell>
          <cell r="AD57">
            <v>102.36796538396899</v>
          </cell>
          <cell r="AF57">
            <v>97.943327471181476</v>
          </cell>
          <cell r="AG57">
            <v>102.288362170883</v>
          </cell>
        </row>
        <row r="58">
          <cell r="A58">
            <v>40234</v>
          </cell>
          <cell r="B58">
            <v>11.932708999999999</v>
          </cell>
          <cell r="C58">
            <v>56.69</v>
          </cell>
          <cell r="D58">
            <v>59.041836000000004</v>
          </cell>
          <cell r="E58">
            <v>30.083221000000002</v>
          </cell>
          <cell r="F58">
            <v>73.13</v>
          </cell>
          <cell r="G58">
            <v>0.97841120000000004</v>
          </cell>
          <cell r="H58">
            <v>20.225000000000001</v>
          </cell>
          <cell r="I58">
            <v>32.18</v>
          </cell>
          <cell r="J58">
            <v>28.77</v>
          </cell>
          <cell r="K58">
            <v>3.7008177999999998</v>
          </cell>
          <cell r="L58">
            <v>2.1</v>
          </cell>
          <cell r="M58">
            <v>15.07</v>
          </cell>
          <cell r="N58">
            <v>8.0636379999999992</v>
          </cell>
          <cell r="O58">
            <v>10.488177</v>
          </cell>
          <cell r="Q58">
            <v>86.324971418127134</v>
          </cell>
          <cell r="R58">
            <v>93.88870486916197</v>
          </cell>
          <cell r="S58">
            <v>113.32989105773579</v>
          </cell>
          <cell r="T58">
            <v>110.04312145740607</v>
          </cell>
          <cell r="U58">
            <v>97.715125601282722</v>
          </cell>
          <cell r="V58">
            <v>94.733813038802083</v>
          </cell>
          <cell r="W58">
            <v>103.39979550102252</v>
          </cell>
          <cell r="X58">
            <v>90.571348156487474</v>
          </cell>
          <cell r="Y58">
            <v>110.0822651616606</v>
          </cell>
          <cell r="Z58">
            <v>81.163535798916811</v>
          </cell>
          <cell r="AA58">
            <v>102.94117647058825</v>
          </cell>
          <cell r="AB58">
            <v>82.170119956379509</v>
          </cell>
          <cell r="AC58">
            <v>98.65965381680364</v>
          </cell>
          <cell r="AD58">
            <v>99.418118077497624</v>
          </cell>
          <cell r="AF58">
            <v>97.19698904063091</v>
          </cell>
          <cell r="AG58">
            <v>99.038885947150632</v>
          </cell>
        </row>
        <row r="59">
          <cell r="A59">
            <v>40235</v>
          </cell>
          <cell r="B59">
            <v>12.134026</v>
          </cell>
          <cell r="C59">
            <v>56.75</v>
          </cell>
          <cell r="D59">
            <v>59.415970000000002</v>
          </cell>
          <cell r="E59">
            <v>30.270636</v>
          </cell>
          <cell r="F59">
            <v>73.31</v>
          </cell>
          <cell r="G59">
            <v>0.96748953999999998</v>
          </cell>
          <cell r="H59">
            <v>19.805</v>
          </cell>
          <cell r="I59">
            <v>32.549999999999997</v>
          </cell>
          <cell r="J59">
            <v>28.54</v>
          </cell>
          <cell r="K59">
            <v>3.8148303000000001</v>
          </cell>
          <cell r="L59">
            <v>2.13</v>
          </cell>
          <cell r="M59">
            <v>15.02</v>
          </cell>
          <cell r="N59">
            <v>8.1813149999999997</v>
          </cell>
          <cell r="O59">
            <v>11.050303</v>
          </cell>
          <cell r="Q59">
            <v>87.781361938585093</v>
          </cell>
          <cell r="R59">
            <v>93.988075521695919</v>
          </cell>
          <cell r="S59">
            <v>114.04803548435889</v>
          </cell>
          <cell r="T59">
            <v>110.72867742257148</v>
          </cell>
          <cell r="U59">
            <v>97.955638695884545</v>
          </cell>
          <cell r="V59">
            <v>93.676332813194108</v>
          </cell>
          <cell r="W59">
            <v>101.25255623721883</v>
          </cell>
          <cell r="X59">
            <v>91.612721643681382</v>
          </cell>
          <cell r="Y59">
            <v>109.20221924622153</v>
          </cell>
          <cell r="Z59">
            <v>83.663971682378573</v>
          </cell>
          <cell r="AA59">
            <v>104.41176470588233</v>
          </cell>
          <cell r="AB59">
            <v>81.897491821155938</v>
          </cell>
          <cell r="AC59">
            <v>100.09944713121087</v>
          </cell>
          <cell r="AD59">
            <v>104.74654732143883</v>
          </cell>
          <cell r="AF59">
            <v>97.518237267735728</v>
          </cell>
          <cell r="AG59">
            <v>102.42299722632484</v>
          </cell>
        </row>
        <row r="60">
          <cell r="A60">
            <v>40236</v>
          </cell>
          <cell r="B60">
            <v>12.134026</v>
          </cell>
          <cell r="C60">
            <v>56.75</v>
          </cell>
          <cell r="D60">
            <v>59.415970000000002</v>
          </cell>
          <cell r="E60">
            <v>30.270636</v>
          </cell>
          <cell r="F60">
            <v>73.31</v>
          </cell>
          <cell r="G60">
            <v>0.96748953999999998</v>
          </cell>
          <cell r="H60">
            <v>19.805</v>
          </cell>
          <cell r="I60">
            <v>32.549999999999997</v>
          </cell>
          <cell r="J60">
            <v>28.54</v>
          </cell>
          <cell r="K60">
            <v>3.8148303000000001</v>
          </cell>
          <cell r="L60">
            <v>2.13</v>
          </cell>
          <cell r="M60">
            <v>15.02</v>
          </cell>
          <cell r="N60">
            <v>8.1813149999999997</v>
          </cell>
          <cell r="O60">
            <v>11.050303</v>
          </cell>
          <cell r="Q60">
            <v>87.781361938585093</v>
          </cell>
          <cell r="R60">
            <v>93.988075521695919</v>
          </cell>
          <cell r="S60">
            <v>114.04803548435889</v>
          </cell>
          <cell r="T60">
            <v>110.72867742257148</v>
          </cell>
          <cell r="U60">
            <v>97.955638695884545</v>
          </cell>
          <cell r="V60">
            <v>93.676332813194108</v>
          </cell>
          <cell r="W60">
            <v>101.25255623721883</v>
          </cell>
          <cell r="X60">
            <v>91.612721643681382</v>
          </cell>
          <cell r="Y60">
            <v>109.20221924622153</v>
          </cell>
          <cell r="Z60">
            <v>83.663971682378573</v>
          </cell>
          <cell r="AA60">
            <v>104.41176470588233</v>
          </cell>
          <cell r="AB60">
            <v>81.897491821155938</v>
          </cell>
          <cell r="AC60">
            <v>100.09944713121087</v>
          </cell>
          <cell r="AD60">
            <v>104.74654732143883</v>
          </cell>
          <cell r="AF60">
            <v>97.518237267735728</v>
          </cell>
          <cell r="AG60">
            <v>102.42299722632484</v>
          </cell>
        </row>
        <row r="61">
          <cell r="A61">
            <v>40237</v>
          </cell>
          <cell r="B61">
            <v>12.134026</v>
          </cell>
          <cell r="C61">
            <v>56.75</v>
          </cell>
          <cell r="D61">
            <v>59.415970000000002</v>
          </cell>
          <cell r="E61">
            <v>30.270636</v>
          </cell>
          <cell r="F61">
            <v>73.31</v>
          </cell>
          <cell r="G61">
            <v>0.96748953999999998</v>
          </cell>
          <cell r="H61">
            <v>19.805</v>
          </cell>
          <cell r="I61">
            <v>32.549999999999997</v>
          </cell>
          <cell r="J61">
            <v>28.54</v>
          </cell>
          <cell r="K61">
            <v>3.8148303000000001</v>
          </cell>
          <cell r="L61">
            <v>2.13</v>
          </cell>
          <cell r="M61">
            <v>15.02</v>
          </cell>
          <cell r="N61">
            <v>8.1813149999999997</v>
          </cell>
          <cell r="O61">
            <v>11.050303</v>
          </cell>
          <cell r="Q61">
            <v>87.781361938585093</v>
          </cell>
          <cell r="R61">
            <v>93.988075521695919</v>
          </cell>
          <cell r="S61">
            <v>114.04803548435889</v>
          </cell>
          <cell r="T61">
            <v>110.72867742257148</v>
          </cell>
          <cell r="U61">
            <v>97.955638695884545</v>
          </cell>
          <cell r="V61">
            <v>93.676332813194108</v>
          </cell>
          <cell r="W61">
            <v>101.25255623721883</v>
          </cell>
          <cell r="X61">
            <v>91.612721643681382</v>
          </cell>
          <cell r="Y61">
            <v>109.20221924622153</v>
          </cell>
          <cell r="Z61">
            <v>83.663971682378573</v>
          </cell>
          <cell r="AA61">
            <v>104.41176470588233</v>
          </cell>
          <cell r="AB61">
            <v>81.897491821155938</v>
          </cell>
          <cell r="AC61">
            <v>100.09944713121087</v>
          </cell>
          <cell r="AD61">
            <v>104.74654732143883</v>
          </cell>
          <cell r="AF61">
            <v>97.518237267735728</v>
          </cell>
          <cell r="AG61">
            <v>102.42299722632484</v>
          </cell>
        </row>
        <row r="62">
          <cell r="A62">
            <v>40238</v>
          </cell>
          <cell r="B62">
            <v>12.315616</v>
          </cell>
          <cell r="C62">
            <v>56.84</v>
          </cell>
          <cell r="D62">
            <v>58.955143</v>
          </cell>
          <cell r="E62">
            <v>29.734870000000001</v>
          </cell>
          <cell r="F62">
            <v>74.19</v>
          </cell>
          <cell r="G62">
            <v>0.99541396000000004</v>
          </cell>
          <cell r="H62">
            <v>20.645</v>
          </cell>
          <cell r="I62">
            <v>31.5</v>
          </cell>
          <cell r="J62">
            <v>29.085000000000001</v>
          </cell>
          <cell r="K62">
            <v>3.8654853999999998</v>
          </cell>
          <cell r="L62">
            <v>2.11</v>
          </cell>
          <cell r="M62">
            <v>15.1</v>
          </cell>
          <cell r="N62">
            <v>8.4384200000000007</v>
          </cell>
          <cell r="O62">
            <v>10.682740000000001</v>
          </cell>
          <cell r="Q62">
            <v>89.095041134132188</v>
          </cell>
          <cell r="R62">
            <v>94.137131500496849</v>
          </cell>
          <cell r="S62">
            <v>113.16348518503445</v>
          </cell>
          <cell r="T62">
            <v>108.76886856398056</v>
          </cell>
          <cell r="U62">
            <v>99.131480491715649</v>
          </cell>
          <cell r="V62">
            <v>96.380090480212829</v>
          </cell>
          <cell r="W62">
            <v>105.54703476482618</v>
          </cell>
          <cell r="X62">
            <v>88.657472558401352</v>
          </cell>
          <cell r="Y62">
            <v>111.28754543715324</v>
          </cell>
          <cell r="Z62">
            <v>84.774901007850275</v>
          </cell>
          <cell r="AA62">
            <v>103.4313725490196</v>
          </cell>
          <cell r="AB62">
            <v>82.333696837513628</v>
          </cell>
          <cell r="AC62">
            <v>103.24516005812666</v>
          </cell>
          <cell r="AD62">
            <v>101.26239352284072</v>
          </cell>
          <cell r="AF62">
            <v>98.059010042528072</v>
          </cell>
          <cell r="AG62">
            <v>102.2537767904837</v>
          </cell>
        </row>
        <row r="63">
          <cell r="A63">
            <v>40239</v>
          </cell>
          <cell r="B63">
            <v>12.193873999999999</v>
          </cell>
          <cell r="C63">
            <v>56.65</v>
          </cell>
          <cell r="D63">
            <v>59.305855000000001</v>
          </cell>
          <cell r="E63">
            <v>29.686624999999999</v>
          </cell>
          <cell r="F63">
            <v>74.650000000000006</v>
          </cell>
          <cell r="G63">
            <v>1.018591</v>
          </cell>
          <cell r="H63">
            <v>20.984999999999999</v>
          </cell>
          <cell r="I63">
            <v>32.4</v>
          </cell>
          <cell r="J63">
            <v>29.45</v>
          </cell>
          <cell r="K63">
            <v>3.8749422999999998</v>
          </cell>
          <cell r="L63">
            <v>2.16</v>
          </cell>
          <cell r="M63">
            <v>15.35</v>
          </cell>
          <cell r="N63">
            <v>8.6136759999999999</v>
          </cell>
          <cell r="O63">
            <v>10.6338215</v>
          </cell>
          <cell r="Q63">
            <v>88.214321201182713</v>
          </cell>
          <cell r="R63">
            <v>93.82245776747267</v>
          </cell>
          <cell r="S63">
            <v>113.8366714449035</v>
          </cell>
          <cell r="T63">
            <v>108.59239044035436</v>
          </cell>
          <cell r="U63">
            <v>99.746125066809199</v>
          </cell>
          <cell r="V63">
            <v>98.62418720984229</v>
          </cell>
          <cell r="W63">
            <v>107.28527607361964</v>
          </cell>
          <cell r="X63">
            <v>91.190543202927103</v>
          </cell>
          <cell r="Y63">
            <v>112.68414004208915</v>
          </cell>
          <cell r="Z63">
            <v>84.982302583171503</v>
          </cell>
          <cell r="AA63">
            <v>105.88235294117648</v>
          </cell>
          <cell r="AB63">
            <v>83.696837513631408</v>
          </cell>
          <cell r="AC63">
            <v>105.38943988434377</v>
          </cell>
          <cell r="AD63">
            <v>100.79869185102739</v>
          </cell>
          <cell r="AF63">
            <v>99.046467123931677</v>
          </cell>
          <cell r="AG63">
            <v>103.09406586768557</v>
          </cell>
        </row>
        <row r="64">
          <cell r="A64">
            <v>40240</v>
          </cell>
          <cell r="B64">
            <v>11.95722</v>
          </cell>
          <cell r="C64">
            <v>55.83</v>
          </cell>
          <cell r="D64">
            <v>61.109229999999997</v>
          </cell>
          <cell r="E64">
            <v>30.046312</v>
          </cell>
          <cell r="F64">
            <v>73.28</v>
          </cell>
          <cell r="G64">
            <v>1.0214650999999999</v>
          </cell>
          <cell r="H64">
            <v>20.605</v>
          </cell>
          <cell r="I64">
            <v>31.63</v>
          </cell>
          <cell r="J64">
            <v>29.63</v>
          </cell>
          <cell r="K64">
            <v>3.7683360000000001</v>
          </cell>
          <cell r="L64">
            <v>2.1800000000000002</v>
          </cell>
          <cell r="M64">
            <v>15.98</v>
          </cell>
          <cell r="N64">
            <v>8.5127930000000003</v>
          </cell>
          <cell r="O64">
            <v>10.683161</v>
          </cell>
          <cell r="Q64">
            <v>86.502291704277567</v>
          </cell>
          <cell r="R64">
            <v>92.464392182841991</v>
          </cell>
          <cell r="S64">
            <v>117.29822186630712</v>
          </cell>
          <cell r="T64">
            <v>109.90810993155013</v>
          </cell>
          <cell r="U64">
            <v>97.91555318011757</v>
          </cell>
          <cell r="V64">
            <v>98.902469441336379</v>
          </cell>
          <cell r="W64">
            <v>105.34253578732107</v>
          </cell>
          <cell r="X64">
            <v>89.023360540388396</v>
          </cell>
          <cell r="Y64">
            <v>113.37287162808494</v>
          </cell>
          <cell r="Z64">
            <v>82.644293874274766</v>
          </cell>
          <cell r="AA64">
            <v>106.86274509803921</v>
          </cell>
          <cell r="AB64">
            <v>87.131952017448199</v>
          </cell>
          <cell r="AC64">
            <v>104.15512333193892</v>
          </cell>
          <cell r="AD64">
            <v>101.26638420946917</v>
          </cell>
          <cell r="AF64">
            <v>98.947399770998928</v>
          </cell>
          <cell r="AG64">
            <v>102.71075377070404</v>
          </cell>
        </row>
        <row r="65">
          <cell r="A65">
            <v>40241</v>
          </cell>
          <cell r="B65">
            <v>11.825533999999999</v>
          </cell>
          <cell r="C65">
            <v>55.95</v>
          </cell>
          <cell r="D65">
            <v>61.375900000000001</v>
          </cell>
          <cell r="E65">
            <v>30.058454999999999</v>
          </cell>
          <cell r="F65">
            <v>72.59</v>
          </cell>
          <cell r="G65">
            <v>1.0358254</v>
          </cell>
          <cell r="H65">
            <v>21.484999999999999</v>
          </cell>
          <cell r="I65">
            <v>32.07</v>
          </cell>
          <cell r="J65">
            <v>29.545000000000002</v>
          </cell>
          <cell r="K65">
            <v>3.7286906000000002</v>
          </cell>
          <cell r="L65">
            <v>2.21</v>
          </cell>
          <cell r="M65">
            <v>16.3</v>
          </cell>
          <cell r="N65">
            <v>8.4001239999999999</v>
          </cell>
          <cell r="O65">
            <v>10.611857000000001</v>
          </cell>
          <cell r="Q65">
            <v>85.549633746544117</v>
          </cell>
          <cell r="R65">
            <v>92.663133487909903</v>
          </cell>
          <cell r="S65">
            <v>117.81009080697433</v>
          </cell>
          <cell r="T65">
            <v>109.95252850042137</v>
          </cell>
          <cell r="U65">
            <v>96.993586317477281</v>
          </cell>
          <cell r="V65">
            <v>100.29289299268281</v>
          </cell>
          <cell r="W65">
            <v>109.84151329243355</v>
          </cell>
          <cell r="X65">
            <v>90.261750633267653</v>
          </cell>
          <cell r="Y65">
            <v>113.04763726803138</v>
          </cell>
          <cell r="Z65">
            <v>81.774820958812029</v>
          </cell>
          <cell r="AA65">
            <v>108.33333333333333</v>
          </cell>
          <cell r="AB65">
            <v>88.876772082878958</v>
          </cell>
          <cell r="AC65">
            <v>102.77660354522659</v>
          </cell>
          <cell r="AD65">
            <v>100.59048891409057</v>
          </cell>
          <cell r="AF65">
            <v>99.616474451730554</v>
          </cell>
          <cell r="AG65">
            <v>101.68354622965859</v>
          </cell>
        </row>
        <row r="66">
          <cell r="A66">
            <v>40242</v>
          </cell>
          <cell r="B66">
            <v>12.127140000000001</v>
          </cell>
          <cell r="C66">
            <v>56.19</v>
          </cell>
          <cell r="D66">
            <v>60.843640000000001</v>
          </cell>
          <cell r="E66">
            <v>29.781359999999999</v>
          </cell>
          <cell r="F66">
            <v>72.45</v>
          </cell>
          <cell r="G66">
            <v>1.0294907</v>
          </cell>
          <cell r="H66">
            <v>21.945</v>
          </cell>
          <cell r="I66">
            <v>32.880000000000003</v>
          </cell>
          <cell r="J66">
            <v>29.75</v>
          </cell>
          <cell r="K66">
            <v>3.8243640000000001</v>
          </cell>
          <cell r="L66">
            <v>2.29</v>
          </cell>
          <cell r="M66">
            <v>16.440000000000001</v>
          </cell>
          <cell r="N66">
            <v>8.5772940000000002</v>
          </cell>
          <cell r="O66">
            <v>10.827076</v>
          </cell>
          <cell r="Q66">
            <v>87.731546447971411</v>
          </cell>
          <cell r="R66">
            <v>93.060616098045699</v>
          </cell>
          <cell r="S66">
            <v>116.78842596893659</v>
          </cell>
          <cell r="T66">
            <v>108.93892697350242</v>
          </cell>
          <cell r="U66">
            <v>96.806520577231424</v>
          </cell>
          <cell r="V66">
            <v>99.679541177559585</v>
          </cell>
          <cell r="W66">
            <v>112.19325153374233</v>
          </cell>
          <cell r="X66">
            <v>92.541514213340847</v>
          </cell>
          <cell r="Y66">
            <v>113.83202601874881</v>
          </cell>
          <cell r="Z66">
            <v>83.873057577189741</v>
          </cell>
          <cell r="AA66">
            <v>112.25490196078431</v>
          </cell>
          <cell r="AB66">
            <v>89.640130861504915</v>
          </cell>
          <cell r="AC66">
            <v>104.94430140898525</v>
          </cell>
          <cell r="AD66">
            <v>102.63056393899919</v>
          </cell>
          <cell r="AF66">
            <v>100.61170495071319</v>
          </cell>
          <cell r="AG66">
            <v>103.78743267399221</v>
          </cell>
        </row>
        <row r="67">
          <cell r="A67">
            <v>40243</v>
          </cell>
          <cell r="B67">
            <v>12.127140000000001</v>
          </cell>
          <cell r="C67">
            <v>56.19</v>
          </cell>
          <cell r="D67">
            <v>60.843640000000001</v>
          </cell>
          <cell r="E67">
            <v>29.781359999999999</v>
          </cell>
          <cell r="F67">
            <v>72.45</v>
          </cell>
          <cell r="G67">
            <v>1.0294907</v>
          </cell>
          <cell r="H67">
            <v>21.945</v>
          </cell>
          <cell r="I67">
            <v>32.880000000000003</v>
          </cell>
          <cell r="J67">
            <v>29.75</v>
          </cell>
          <cell r="K67">
            <v>3.8243640000000001</v>
          </cell>
          <cell r="L67">
            <v>2.29</v>
          </cell>
          <cell r="M67">
            <v>16.440000000000001</v>
          </cell>
          <cell r="N67">
            <v>8.5772940000000002</v>
          </cell>
          <cell r="O67">
            <v>10.827076</v>
          </cell>
          <cell r="Q67">
            <v>87.731546447971411</v>
          </cell>
          <cell r="R67">
            <v>93.060616098045699</v>
          </cell>
          <cell r="S67">
            <v>116.78842596893659</v>
          </cell>
          <cell r="T67">
            <v>108.93892697350242</v>
          </cell>
          <cell r="U67">
            <v>96.806520577231424</v>
          </cell>
          <cell r="V67">
            <v>99.679541177559585</v>
          </cell>
          <cell r="W67">
            <v>112.19325153374233</v>
          </cell>
          <cell r="X67">
            <v>92.541514213340847</v>
          </cell>
          <cell r="Y67">
            <v>113.83202601874881</v>
          </cell>
          <cell r="Z67">
            <v>83.873057577189741</v>
          </cell>
          <cell r="AA67">
            <v>112.25490196078431</v>
          </cell>
          <cell r="AB67">
            <v>89.640130861504915</v>
          </cell>
          <cell r="AC67">
            <v>104.94430140898525</v>
          </cell>
          <cell r="AD67">
            <v>102.63056393899919</v>
          </cell>
          <cell r="AF67">
            <v>100.61170495071319</v>
          </cell>
          <cell r="AG67">
            <v>103.78743267399221</v>
          </cell>
        </row>
        <row r="68">
          <cell r="A68">
            <v>40244</v>
          </cell>
          <cell r="B68">
            <v>12.127140000000001</v>
          </cell>
          <cell r="C68">
            <v>56.19</v>
          </cell>
          <cell r="D68">
            <v>60.843640000000001</v>
          </cell>
          <cell r="E68">
            <v>29.781359999999999</v>
          </cell>
          <cell r="F68">
            <v>72.45</v>
          </cell>
          <cell r="G68">
            <v>1.0294907</v>
          </cell>
          <cell r="H68">
            <v>21.945</v>
          </cell>
          <cell r="I68">
            <v>32.880000000000003</v>
          </cell>
          <cell r="J68">
            <v>29.75</v>
          </cell>
          <cell r="K68">
            <v>3.8243640000000001</v>
          </cell>
          <cell r="L68">
            <v>2.29</v>
          </cell>
          <cell r="M68">
            <v>16.440000000000001</v>
          </cell>
          <cell r="N68">
            <v>8.5772940000000002</v>
          </cell>
          <cell r="O68">
            <v>10.827076</v>
          </cell>
          <cell r="Q68">
            <v>87.731546447971411</v>
          </cell>
          <cell r="R68">
            <v>93.060616098045699</v>
          </cell>
          <cell r="S68">
            <v>116.78842596893659</v>
          </cell>
          <cell r="T68">
            <v>108.93892697350242</v>
          </cell>
          <cell r="U68">
            <v>96.806520577231424</v>
          </cell>
          <cell r="V68">
            <v>99.679541177559585</v>
          </cell>
          <cell r="W68">
            <v>112.19325153374233</v>
          </cell>
          <cell r="X68">
            <v>92.541514213340847</v>
          </cell>
          <cell r="Y68">
            <v>113.83202601874881</v>
          </cell>
          <cell r="Z68">
            <v>83.873057577189741</v>
          </cell>
          <cell r="AA68">
            <v>112.25490196078431</v>
          </cell>
          <cell r="AB68">
            <v>89.640130861504915</v>
          </cell>
          <cell r="AC68">
            <v>104.94430140898525</v>
          </cell>
          <cell r="AD68">
            <v>102.63056393899919</v>
          </cell>
          <cell r="AF68">
            <v>100.61170495071319</v>
          </cell>
          <cell r="AG68">
            <v>103.78743267399221</v>
          </cell>
        </row>
        <row r="69">
          <cell r="A69">
            <v>40245</v>
          </cell>
          <cell r="B69">
            <v>12.044743</v>
          </cell>
          <cell r="C69">
            <v>55.93</v>
          </cell>
          <cell r="D69">
            <v>62.175020000000004</v>
          </cell>
          <cell r="E69">
            <v>29.538665999999999</v>
          </cell>
          <cell r="F69">
            <v>72.040000000000006</v>
          </cell>
          <cell r="G69">
            <v>1.0077906999999999</v>
          </cell>
          <cell r="H69">
            <v>21.684999999999999</v>
          </cell>
          <cell r="I69">
            <v>33.15</v>
          </cell>
          <cell r="J69">
            <v>29.59</v>
          </cell>
          <cell r="K69">
            <v>3.8357313</v>
          </cell>
          <cell r="L69">
            <v>2.3199999999999998</v>
          </cell>
          <cell r="M69">
            <v>16.28</v>
          </cell>
          <cell r="N69">
            <v>8.3335670000000004</v>
          </cell>
          <cell r="O69">
            <v>10.738556000000001</v>
          </cell>
          <cell r="Q69">
            <v>87.13546062454779</v>
          </cell>
          <cell r="R69">
            <v>92.630009937065253</v>
          </cell>
          <cell r="S69">
            <v>119.3439892877407</v>
          </cell>
          <cell r="T69">
            <v>108.05116281689887</v>
          </cell>
          <cell r="U69">
            <v>96.258685195082847</v>
          </cell>
          <cell r="V69">
            <v>97.578457560628365</v>
          </cell>
          <cell r="W69">
            <v>110.8640081799591</v>
          </cell>
          <cell r="X69">
            <v>93.301435406698559</v>
          </cell>
          <cell r="Y69">
            <v>113.21982016453032</v>
          </cell>
          <cell r="Z69">
            <v>84.122356599823888</v>
          </cell>
          <cell r="AA69">
            <v>113.72549019607843</v>
          </cell>
          <cell r="AB69">
            <v>88.76772082878955</v>
          </cell>
          <cell r="AC69">
            <v>101.96227004227359</v>
          </cell>
          <cell r="AD69">
            <v>101.79147704980767</v>
          </cell>
          <cell r="AF69">
            <v>100.41654973315364</v>
          </cell>
          <cell r="AG69">
            <v>101.87687354604063</v>
          </cell>
        </row>
        <row r="70">
          <cell r="A70">
            <v>40246</v>
          </cell>
          <cell r="B70">
            <v>12.301174</v>
          </cell>
          <cell r="C70">
            <v>55.72</v>
          </cell>
          <cell r="D70">
            <v>60.04233</v>
          </cell>
          <cell r="E70">
            <v>30.143702000000001</v>
          </cell>
          <cell r="F70">
            <v>71.89</v>
          </cell>
          <cell r="G70">
            <v>1.001001</v>
          </cell>
          <cell r="H70">
            <v>21.625</v>
          </cell>
          <cell r="I70">
            <v>34.19</v>
          </cell>
          <cell r="J70">
            <v>29.68</v>
          </cell>
          <cell r="K70">
            <v>3.8783376000000001</v>
          </cell>
          <cell r="L70">
            <v>2.36</v>
          </cell>
          <cell r="M70">
            <v>16.27</v>
          </cell>
          <cell r="N70">
            <v>8.3612219999999997</v>
          </cell>
          <cell r="O70">
            <v>10.625836</v>
          </cell>
          <cell r="Q70">
            <v>88.990563162095782</v>
          </cell>
          <cell r="R70">
            <v>92.28221265319641</v>
          </cell>
          <cell r="S70">
            <v>115.25032381704088</v>
          </cell>
          <cell r="T70">
            <v>110.26435833988168</v>
          </cell>
          <cell r="U70">
            <v>96.058257616247985</v>
          </cell>
          <cell r="V70">
            <v>96.921050766440459</v>
          </cell>
          <cell r="W70">
            <v>110.55725971370143</v>
          </cell>
          <cell r="X70">
            <v>96.228539262594978</v>
          </cell>
          <cell r="Y70">
            <v>113.56418595752822</v>
          </cell>
          <cell r="Z70">
            <v>85.056765733748136</v>
          </cell>
          <cell r="AA70">
            <v>115.68627450980391</v>
          </cell>
          <cell r="AB70">
            <v>88.713195201744824</v>
          </cell>
          <cell r="AC70">
            <v>102.30063254395132</v>
          </cell>
          <cell r="AD70">
            <v>100.72299677247294</v>
          </cell>
          <cell r="AF70">
            <v>100.79774889450208</v>
          </cell>
          <cell r="AG70">
            <v>101.51181465821213</v>
          </cell>
        </row>
        <row r="71">
          <cell r="A71">
            <v>40247</v>
          </cell>
          <cell r="B71">
            <v>12.509969999999999</v>
          </cell>
          <cell r="C71">
            <v>55.75</v>
          </cell>
          <cell r="D71">
            <v>60.131293999999997</v>
          </cell>
          <cell r="E71">
            <v>31.168973999999999</v>
          </cell>
          <cell r="F71">
            <v>72.319999999999993</v>
          </cell>
          <cell r="G71">
            <v>1.0300798</v>
          </cell>
          <cell r="H71">
            <v>22.004999999999999</v>
          </cell>
          <cell r="I71">
            <v>33.83</v>
          </cell>
          <cell r="J71">
            <v>30.09</v>
          </cell>
          <cell r="K71">
            <v>3.9311802</v>
          </cell>
          <cell r="L71">
            <v>2.4</v>
          </cell>
          <cell r="M71">
            <v>16.39</v>
          </cell>
          <cell r="N71">
            <v>8.4016970000000004</v>
          </cell>
          <cell r="O71">
            <v>10.721358</v>
          </cell>
          <cell r="Q71">
            <v>90.501059121749137</v>
          </cell>
          <cell r="R71">
            <v>92.331897979463392</v>
          </cell>
          <cell r="S71">
            <v>115.42108883911877</v>
          </cell>
          <cell r="T71">
            <v>114.01475897759524</v>
          </cell>
          <cell r="U71">
            <v>96.632816675574546</v>
          </cell>
          <cell r="V71">
            <v>99.736580272432121</v>
          </cell>
          <cell r="W71">
            <v>112.5</v>
          </cell>
          <cell r="X71">
            <v>95.215311004784681</v>
          </cell>
          <cell r="Y71">
            <v>115.13296345896306</v>
          </cell>
          <cell r="Z71">
            <v>86.215669654067526</v>
          </cell>
          <cell r="AA71">
            <v>117.64705882352942</v>
          </cell>
          <cell r="AB71">
            <v>89.367502726281359</v>
          </cell>
          <cell r="AC71">
            <v>102.79584940366591</v>
          </cell>
          <cell r="AD71">
            <v>101.62845607917599</v>
          </cell>
          <cell r="AF71">
            <v>102.0597256277966</v>
          </cell>
          <cell r="AG71">
            <v>102.21215274142095</v>
          </cell>
        </row>
        <row r="72">
          <cell r="A72">
            <v>40248</v>
          </cell>
          <cell r="B72">
            <v>12.511044</v>
          </cell>
          <cell r="C72">
            <v>55.93</v>
          </cell>
          <cell r="D72">
            <v>60.318165</v>
          </cell>
          <cell r="E72">
            <v>30.711447</v>
          </cell>
          <cell r="F72">
            <v>73.78</v>
          </cell>
          <cell r="G72">
            <v>1.0373815</v>
          </cell>
          <cell r="H72">
            <v>22.725000000000001</v>
          </cell>
          <cell r="I72">
            <v>34.159999999999997</v>
          </cell>
          <cell r="J72">
            <v>30.32</v>
          </cell>
          <cell r="K72">
            <v>3.8868372</v>
          </cell>
          <cell r="L72">
            <v>2.46</v>
          </cell>
          <cell r="M72">
            <v>16.329999999999998</v>
          </cell>
          <cell r="N72">
            <v>8.6197149999999993</v>
          </cell>
          <cell r="O72">
            <v>10.739317</v>
          </cell>
          <cell r="Q72">
            <v>90.50882877567291</v>
          </cell>
          <cell r="R72">
            <v>92.630009937065253</v>
          </cell>
          <cell r="S72">
            <v>115.77978483346168</v>
          </cell>
          <cell r="T72">
            <v>112.34114499752832</v>
          </cell>
          <cell r="U72">
            <v>98.583645109567072</v>
          </cell>
          <cell r="V72">
            <v>100.44356102108402</v>
          </cell>
          <cell r="W72">
            <v>116.18098159509205</v>
          </cell>
          <cell r="X72">
            <v>96.144103574444117</v>
          </cell>
          <cell r="Y72">
            <v>116.01300937440213</v>
          </cell>
          <cell r="Z72">
            <v>85.243172529801811</v>
          </cell>
          <cell r="AA72">
            <v>120.58823529411764</v>
          </cell>
          <cell r="AB72">
            <v>89.040348964013077</v>
          </cell>
          <cell r="AC72">
            <v>105.46332783038</v>
          </cell>
          <cell r="AD72">
            <v>101.79869061874886</v>
          </cell>
          <cell r="AF72">
            <v>102.79140216718748</v>
          </cell>
          <cell r="AG72">
            <v>103.63100922456442</v>
          </cell>
        </row>
        <row r="73">
          <cell r="A73">
            <v>40249</v>
          </cell>
          <cell r="B73">
            <v>12.534300999999999</v>
          </cell>
          <cell r="C73">
            <v>55.97</v>
          </cell>
          <cell r="D73">
            <v>59.847900000000003</v>
          </cell>
          <cell r="E73">
            <v>30.805686999999999</v>
          </cell>
          <cell r="F73">
            <v>73.7</v>
          </cell>
          <cell r="G73">
            <v>1.0614645</v>
          </cell>
          <cell r="H73">
            <v>22.51</v>
          </cell>
          <cell r="I73">
            <v>34.75</v>
          </cell>
          <cell r="J73">
            <v>30.344999999999999</v>
          </cell>
          <cell r="K73">
            <v>3.8757377000000002</v>
          </cell>
          <cell r="L73">
            <v>2.75</v>
          </cell>
          <cell r="M73">
            <v>16.36</v>
          </cell>
          <cell r="N73">
            <v>8.6348450000000003</v>
          </cell>
          <cell r="O73">
            <v>10.758167</v>
          </cell>
          <cell r="Q73">
            <v>90.677077231264292</v>
          </cell>
          <cell r="R73">
            <v>92.696257038754553</v>
          </cell>
          <cell r="S73">
            <v>114.87711843910589</v>
          </cell>
          <cell r="T73">
            <v>112.68587084208286</v>
          </cell>
          <cell r="U73">
            <v>98.476750400855167</v>
          </cell>
          <cell r="V73">
            <v>102.77537653935845</v>
          </cell>
          <cell r="W73">
            <v>115.08179959100207</v>
          </cell>
          <cell r="X73">
            <v>97.804672108077668</v>
          </cell>
          <cell r="Y73">
            <v>116.10866653912377</v>
          </cell>
          <cell r="Z73">
            <v>84.999746694139205</v>
          </cell>
          <cell r="AA73">
            <v>134.80392156862743</v>
          </cell>
          <cell r="AB73">
            <v>89.203925845147211</v>
          </cell>
          <cell r="AC73">
            <v>105.64844533717385</v>
          </cell>
          <cell r="AD73">
            <v>101.97737100579427</v>
          </cell>
          <cell r="AF73">
            <v>104.18259856979489</v>
          </cell>
          <cell r="AG73">
            <v>103.81290817148405</v>
          </cell>
        </row>
        <row r="74">
          <cell r="A74">
            <v>40250</v>
          </cell>
          <cell r="B74">
            <v>12.534300999999999</v>
          </cell>
          <cell r="C74">
            <v>55.97</v>
          </cell>
          <cell r="D74">
            <v>59.847900000000003</v>
          </cell>
          <cell r="E74">
            <v>30.805686999999999</v>
          </cell>
          <cell r="F74">
            <v>73.7</v>
          </cell>
          <cell r="G74">
            <v>1.0614645</v>
          </cell>
          <cell r="H74">
            <v>22.51</v>
          </cell>
          <cell r="I74">
            <v>34.75</v>
          </cell>
          <cell r="J74">
            <v>30.344999999999999</v>
          </cell>
          <cell r="K74">
            <v>3.8757377000000002</v>
          </cell>
          <cell r="L74">
            <v>2.75</v>
          </cell>
          <cell r="M74">
            <v>16.36</v>
          </cell>
          <cell r="N74">
            <v>8.6348450000000003</v>
          </cell>
          <cell r="O74">
            <v>10.758167</v>
          </cell>
          <cell r="Q74">
            <v>90.677077231264292</v>
          </cell>
          <cell r="R74">
            <v>92.696257038754553</v>
          </cell>
          <cell r="S74">
            <v>114.87711843910589</v>
          </cell>
          <cell r="T74">
            <v>112.68587084208286</v>
          </cell>
          <cell r="U74">
            <v>98.476750400855167</v>
          </cell>
          <cell r="V74">
            <v>102.77537653935845</v>
          </cell>
          <cell r="W74">
            <v>115.08179959100207</v>
          </cell>
          <cell r="X74">
            <v>97.804672108077668</v>
          </cell>
          <cell r="Y74">
            <v>116.10866653912377</v>
          </cell>
          <cell r="Z74">
            <v>84.999746694139205</v>
          </cell>
          <cell r="AA74">
            <v>134.80392156862743</v>
          </cell>
          <cell r="AB74">
            <v>89.203925845147211</v>
          </cell>
          <cell r="AC74">
            <v>105.64844533717385</v>
          </cell>
          <cell r="AD74">
            <v>101.97737100579427</v>
          </cell>
          <cell r="AF74">
            <v>104.18259856979489</v>
          </cell>
          <cell r="AG74">
            <v>103.81290817148405</v>
          </cell>
        </row>
        <row r="75">
          <cell r="A75">
            <v>40251</v>
          </cell>
          <cell r="B75">
            <v>12.534300999999999</v>
          </cell>
          <cell r="C75">
            <v>55.97</v>
          </cell>
          <cell r="D75">
            <v>59.847900000000003</v>
          </cell>
          <cell r="E75">
            <v>30.805686999999999</v>
          </cell>
          <cell r="F75">
            <v>73.7</v>
          </cell>
          <cell r="G75">
            <v>1.0614645</v>
          </cell>
          <cell r="H75">
            <v>22.51</v>
          </cell>
          <cell r="I75">
            <v>34.75</v>
          </cell>
          <cell r="J75">
            <v>30.344999999999999</v>
          </cell>
          <cell r="K75">
            <v>3.8757377000000002</v>
          </cell>
          <cell r="L75">
            <v>2.75</v>
          </cell>
          <cell r="M75">
            <v>16.36</v>
          </cell>
          <cell r="N75">
            <v>8.6348450000000003</v>
          </cell>
          <cell r="O75">
            <v>10.758167</v>
          </cell>
          <cell r="Q75">
            <v>90.677077231264292</v>
          </cell>
          <cell r="R75">
            <v>92.696257038754553</v>
          </cell>
          <cell r="S75">
            <v>114.87711843910589</v>
          </cell>
          <cell r="T75">
            <v>112.68587084208286</v>
          </cell>
          <cell r="U75">
            <v>98.476750400855167</v>
          </cell>
          <cell r="V75">
            <v>102.77537653935845</v>
          </cell>
          <cell r="W75">
            <v>115.08179959100207</v>
          </cell>
          <cell r="X75">
            <v>97.804672108077668</v>
          </cell>
          <cell r="Y75">
            <v>116.10866653912377</v>
          </cell>
          <cell r="Z75">
            <v>84.999746694139205</v>
          </cell>
          <cell r="AA75">
            <v>134.80392156862743</v>
          </cell>
          <cell r="AB75">
            <v>89.203925845147211</v>
          </cell>
          <cell r="AC75">
            <v>105.64844533717385</v>
          </cell>
          <cell r="AD75">
            <v>101.97737100579427</v>
          </cell>
          <cell r="AF75">
            <v>104.18259856979489</v>
          </cell>
          <cell r="AG75">
            <v>103.81290817148405</v>
          </cell>
        </row>
        <row r="76">
          <cell r="A76">
            <v>40252</v>
          </cell>
          <cell r="B76">
            <v>12.488234500000001</v>
          </cell>
          <cell r="C76">
            <v>56.32</v>
          </cell>
          <cell r="D76">
            <v>59.028354999999998</v>
          </cell>
          <cell r="E76">
            <v>30.785387</v>
          </cell>
          <cell r="F76">
            <v>74.67</v>
          </cell>
          <cell r="G76">
            <v>1.0729613</v>
          </cell>
          <cell r="H76">
            <v>22.184999999999999</v>
          </cell>
          <cell r="I76">
            <v>35.799999999999997</v>
          </cell>
          <cell r="J76">
            <v>30.315000000000001</v>
          </cell>
          <cell r="K76">
            <v>3.8467406999999998</v>
          </cell>
          <cell r="L76">
            <v>3</v>
          </cell>
          <cell r="M76">
            <v>16.61</v>
          </cell>
          <cell r="N76">
            <v>8.5455579999999998</v>
          </cell>
          <cell r="O76">
            <v>10.865875000000001</v>
          </cell>
          <cell r="Q76">
            <v>90.343817675883116</v>
          </cell>
          <cell r="R76">
            <v>93.275919178535943</v>
          </cell>
          <cell r="S76">
            <v>113.30401448673366</v>
          </cell>
          <cell r="T76">
            <v>112.61161431996427</v>
          </cell>
          <cell r="U76">
            <v>99.772848743987169</v>
          </cell>
          <cell r="V76">
            <v>103.88854419498676</v>
          </cell>
          <cell r="W76">
            <v>113.42024539877301</v>
          </cell>
          <cell r="X76">
            <v>100.7599211933577</v>
          </cell>
          <cell r="Y76">
            <v>115.99387794145781</v>
          </cell>
          <cell r="Z76">
            <v>84.36380643045986</v>
          </cell>
          <cell r="AA76">
            <v>147.05882352941174</v>
          </cell>
          <cell r="AB76">
            <v>90.567066521264991</v>
          </cell>
          <cell r="AC76">
            <v>104.55600734450343</v>
          </cell>
          <cell r="AD76">
            <v>102.99834220621274</v>
          </cell>
          <cell r="AF76">
            <v>105.44670830123466</v>
          </cell>
          <cell r="AG76">
            <v>103.77717477535808</v>
          </cell>
        </row>
        <row r="77">
          <cell r="A77">
            <v>40253</v>
          </cell>
          <cell r="B77">
            <v>12.704489000000001</v>
          </cell>
          <cell r="C77">
            <v>56.95</v>
          </cell>
          <cell r="D77">
            <v>59.493533999999997</v>
          </cell>
          <cell r="E77">
            <v>30.609311999999999</v>
          </cell>
          <cell r="F77">
            <v>75</v>
          </cell>
          <cell r="G77">
            <v>1.1398257000000001</v>
          </cell>
          <cell r="H77">
            <v>22.035</v>
          </cell>
          <cell r="I77">
            <v>35.799999999999997</v>
          </cell>
          <cell r="J77">
            <v>30.5</v>
          </cell>
          <cell r="K77">
            <v>3.9421412999999998</v>
          </cell>
          <cell r="L77">
            <v>3</v>
          </cell>
          <cell r="M77">
            <v>16.84</v>
          </cell>
          <cell r="N77">
            <v>8.6542010000000005</v>
          </cell>
          <cell r="O77">
            <v>10.839031</v>
          </cell>
          <cell r="Q77">
            <v>91.908270771281764</v>
          </cell>
          <cell r="R77">
            <v>94.31931103014243</v>
          </cell>
          <cell r="S77">
            <v>114.19691838274981</v>
          </cell>
          <cell r="T77">
            <v>111.96753958439612</v>
          </cell>
          <cell r="U77">
            <v>100.21378941742383</v>
          </cell>
          <cell r="V77">
            <v>110.36263154042156</v>
          </cell>
          <cell r="W77">
            <v>112.65337423312884</v>
          </cell>
          <cell r="X77">
            <v>100.7599211933577</v>
          </cell>
          <cell r="Y77">
            <v>116.70174096039794</v>
          </cell>
          <cell r="Z77">
            <v>86.456060205649266</v>
          </cell>
          <cell r="AA77">
            <v>147.05882352941174</v>
          </cell>
          <cell r="AB77">
            <v>91.821155943293348</v>
          </cell>
          <cell r="AC77">
            <v>105.88526850052496</v>
          </cell>
          <cell r="AD77">
            <v>102.74388616855505</v>
          </cell>
          <cell r="AF77">
            <v>106.53496139930455</v>
          </cell>
          <cell r="AG77">
            <v>104.31457733454</v>
          </cell>
        </row>
        <row r="78">
          <cell r="A78">
            <v>40254</v>
          </cell>
          <cell r="B78">
            <v>12.886627000000001</v>
          </cell>
          <cell r="C78">
            <v>57.49</v>
          </cell>
          <cell r="D78">
            <v>59.711395000000003</v>
          </cell>
          <cell r="E78">
            <v>31.237905999999999</v>
          </cell>
          <cell r="F78">
            <v>75.709999999999994</v>
          </cell>
          <cell r="G78">
            <v>1.1197242999999999</v>
          </cell>
          <cell r="H78">
            <v>22.035</v>
          </cell>
          <cell r="I78">
            <v>36</v>
          </cell>
          <cell r="J78">
            <v>30.9</v>
          </cell>
          <cell r="K78">
            <v>4.1049023</v>
          </cell>
          <cell r="L78">
            <v>3.01</v>
          </cell>
          <cell r="M78">
            <v>16.829999999999998</v>
          </cell>
          <cell r="N78">
            <v>8.5237730000000003</v>
          </cell>
          <cell r="O78">
            <v>11.061082000000001</v>
          </cell>
          <cell r="Q78">
            <v>93.22591437125179</v>
          </cell>
          <cell r="R78">
            <v>95.213646902947985</v>
          </cell>
          <cell r="S78">
            <v>114.61509920279968</v>
          </cell>
          <cell r="T78">
            <v>114.26690925260408</v>
          </cell>
          <cell r="U78">
            <v>101.1624799572421</v>
          </cell>
          <cell r="V78">
            <v>108.41633097740859</v>
          </cell>
          <cell r="W78">
            <v>112.65337423312884</v>
          </cell>
          <cell r="X78">
            <v>101.32282578103012</v>
          </cell>
          <cell r="Y78">
            <v>118.23225559594412</v>
          </cell>
          <cell r="Z78">
            <v>90.025611305994573</v>
          </cell>
          <cell r="AA78">
            <v>147.54901960784312</v>
          </cell>
          <cell r="AB78">
            <v>91.766630316248637</v>
          </cell>
          <cell r="AC78">
            <v>104.2894650520048</v>
          </cell>
          <cell r="AD78">
            <v>104.8487221698188</v>
          </cell>
          <cell r="AF78">
            <v>107.37084145870364</v>
          </cell>
          <cell r="AG78">
            <v>104.56909361091181</v>
          </cell>
        </row>
        <row r="79">
          <cell r="A79">
            <v>40255</v>
          </cell>
          <cell r="B79">
            <v>12.686109999999999</v>
          </cell>
          <cell r="C79">
            <v>57.69</v>
          </cell>
          <cell r="D79">
            <v>59.135624</v>
          </cell>
          <cell r="E79">
            <v>31.612690000000001</v>
          </cell>
          <cell r="F79">
            <v>76.17</v>
          </cell>
          <cell r="G79">
            <v>1.1173584000000001</v>
          </cell>
          <cell r="H79">
            <v>22.08</v>
          </cell>
          <cell r="I79">
            <v>36.03</v>
          </cell>
          <cell r="J79">
            <v>31.35</v>
          </cell>
          <cell r="K79">
            <v>3.9741840000000002</v>
          </cell>
          <cell r="L79">
            <v>2.83</v>
          </cell>
          <cell r="M79">
            <v>17.14</v>
          </cell>
          <cell r="N79">
            <v>8.3810599999999997</v>
          </cell>
          <cell r="O79">
            <v>11.062998</v>
          </cell>
          <cell r="Q79">
            <v>91.775311302506154</v>
          </cell>
          <cell r="R79">
            <v>95.544882411394497</v>
          </cell>
          <cell r="S79">
            <v>113.50991567320546</v>
          </cell>
          <cell r="T79">
            <v>115.63785291692423</v>
          </cell>
          <cell r="U79">
            <v>101.77712453233565</v>
          </cell>
          <cell r="V79">
            <v>108.18725476868522</v>
          </cell>
          <cell r="W79">
            <v>112.88343558282207</v>
          </cell>
          <cell r="X79">
            <v>101.40726146918098</v>
          </cell>
          <cell r="Y79">
            <v>119.95408456093361</v>
          </cell>
          <cell r="Z79">
            <v>87.158796457226956</v>
          </cell>
          <cell r="AA79">
            <v>138.72549019607843</v>
          </cell>
          <cell r="AB79">
            <v>93.456924754634684</v>
          </cell>
          <cell r="AC79">
            <v>102.54335303964046</v>
          </cell>
          <cell r="AD79">
            <v>104.86688405955773</v>
          </cell>
          <cell r="AF79">
            <v>106.66819455216067</v>
          </cell>
          <cell r="AG79">
            <v>103.70511854959909</v>
          </cell>
        </row>
        <row r="80">
          <cell r="A80">
            <v>40256</v>
          </cell>
          <cell r="B80">
            <v>12.662576</v>
          </cell>
          <cell r="C80">
            <v>57.3</v>
          </cell>
          <cell r="D80">
            <v>58.55706</v>
          </cell>
          <cell r="E80">
            <v>31.300407</v>
          </cell>
          <cell r="F80">
            <v>75.510000000000005</v>
          </cell>
          <cell r="G80">
            <v>1.1087663000000001</v>
          </cell>
          <cell r="H80">
            <v>21.925000000000001</v>
          </cell>
          <cell r="I80">
            <v>35.86</v>
          </cell>
          <cell r="J80">
            <v>31.09</v>
          </cell>
          <cell r="K80">
            <v>4.0131755</v>
          </cell>
          <cell r="L80">
            <v>2.8</v>
          </cell>
          <cell r="M80">
            <v>17.41</v>
          </cell>
          <cell r="N80">
            <v>8.5077979999999993</v>
          </cell>
          <cell r="O80">
            <v>10.926682</v>
          </cell>
          <cell r="Q80">
            <v>91.605058941759381</v>
          </cell>
          <cell r="R80">
            <v>94.898973169923806</v>
          </cell>
          <cell r="S80">
            <v>112.39937102330791</v>
          </cell>
          <cell r="T80">
            <v>114.49553520772402</v>
          </cell>
          <cell r="U80">
            <v>100.89524318546232</v>
          </cell>
          <cell r="V80">
            <v>107.35533216292326</v>
          </cell>
          <cell r="W80">
            <v>112.09100204498978</v>
          </cell>
          <cell r="X80">
            <v>100.92879256965944</v>
          </cell>
          <cell r="Y80">
            <v>118.95925004782856</v>
          </cell>
          <cell r="Z80">
            <v>88.01392853265726</v>
          </cell>
          <cell r="AA80">
            <v>137.25490196078428</v>
          </cell>
          <cell r="AB80">
            <v>94.929116684841873</v>
          </cell>
          <cell r="AC80">
            <v>104.09400886092534</v>
          </cell>
          <cell r="AD80">
            <v>103.57473574971779</v>
          </cell>
          <cell r="AF80">
            <v>106.15220879432182</v>
          </cell>
          <cell r="AG80">
            <v>103.83437230532157</v>
          </cell>
        </row>
        <row r="81">
          <cell r="A81">
            <v>40257</v>
          </cell>
          <cell r="B81">
            <v>12.662576</v>
          </cell>
          <cell r="C81">
            <v>57.3</v>
          </cell>
          <cell r="D81">
            <v>58.55706</v>
          </cell>
          <cell r="E81">
            <v>31.300407</v>
          </cell>
          <cell r="F81">
            <v>75.510000000000005</v>
          </cell>
          <cell r="G81">
            <v>1.1087663000000001</v>
          </cell>
          <cell r="H81">
            <v>21.925000000000001</v>
          </cell>
          <cell r="I81">
            <v>35.86</v>
          </cell>
          <cell r="J81">
            <v>31.09</v>
          </cell>
          <cell r="K81">
            <v>4.0131755</v>
          </cell>
          <cell r="L81">
            <v>2.8</v>
          </cell>
          <cell r="M81">
            <v>17.41</v>
          </cell>
          <cell r="N81">
            <v>8.5077979999999993</v>
          </cell>
          <cell r="O81">
            <v>10.926682</v>
          </cell>
          <cell r="Q81">
            <v>91.605058941759381</v>
          </cell>
          <cell r="R81">
            <v>94.898973169923806</v>
          </cell>
          <cell r="S81">
            <v>112.39937102330791</v>
          </cell>
          <cell r="T81">
            <v>114.49553520772402</v>
          </cell>
          <cell r="U81">
            <v>100.89524318546232</v>
          </cell>
          <cell r="V81">
            <v>107.35533216292326</v>
          </cell>
          <cell r="W81">
            <v>112.09100204498978</v>
          </cell>
          <cell r="X81">
            <v>100.92879256965944</v>
          </cell>
          <cell r="Y81">
            <v>118.95925004782856</v>
          </cell>
          <cell r="Z81">
            <v>88.01392853265726</v>
          </cell>
          <cell r="AA81">
            <v>137.25490196078428</v>
          </cell>
          <cell r="AB81">
            <v>94.929116684841873</v>
          </cell>
          <cell r="AC81">
            <v>104.09400886092534</v>
          </cell>
          <cell r="AD81">
            <v>103.57473574971779</v>
          </cell>
          <cell r="AF81">
            <v>106.15220879432182</v>
          </cell>
          <cell r="AG81">
            <v>103.83437230532157</v>
          </cell>
        </row>
        <row r="82">
          <cell r="A82">
            <v>40258</v>
          </cell>
          <cell r="B82">
            <v>12.662576</v>
          </cell>
          <cell r="C82">
            <v>57.3</v>
          </cell>
          <cell r="D82">
            <v>58.55706</v>
          </cell>
          <cell r="E82">
            <v>31.300407</v>
          </cell>
          <cell r="F82">
            <v>75.510000000000005</v>
          </cell>
          <cell r="G82">
            <v>1.1087663000000001</v>
          </cell>
          <cell r="H82">
            <v>21.925000000000001</v>
          </cell>
          <cell r="I82">
            <v>35.86</v>
          </cell>
          <cell r="J82">
            <v>31.09</v>
          </cell>
          <cell r="K82">
            <v>4.0131755</v>
          </cell>
          <cell r="L82">
            <v>2.8</v>
          </cell>
          <cell r="M82">
            <v>17.41</v>
          </cell>
          <cell r="N82">
            <v>8.5077979999999993</v>
          </cell>
          <cell r="O82">
            <v>10.926682</v>
          </cell>
          <cell r="Q82">
            <v>91.605058941759381</v>
          </cell>
          <cell r="R82">
            <v>94.898973169923806</v>
          </cell>
          <cell r="S82">
            <v>112.39937102330791</v>
          </cell>
          <cell r="T82">
            <v>114.49553520772402</v>
          </cell>
          <cell r="U82">
            <v>100.89524318546232</v>
          </cell>
          <cell r="V82">
            <v>107.35533216292326</v>
          </cell>
          <cell r="W82">
            <v>112.09100204498978</v>
          </cell>
          <cell r="X82">
            <v>100.92879256965944</v>
          </cell>
          <cell r="Y82">
            <v>118.95925004782856</v>
          </cell>
          <cell r="Z82">
            <v>88.01392853265726</v>
          </cell>
          <cell r="AA82">
            <v>137.25490196078428</v>
          </cell>
          <cell r="AB82">
            <v>94.929116684841873</v>
          </cell>
          <cell r="AC82">
            <v>104.09400886092534</v>
          </cell>
          <cell r="AD82">
            <v>103.57473574971779</v>
          </cell>
          <cell r="AF82">
            <v>106.15220879432182</v>
          </cell>
          <cell r="AG82">
            <v>103.83437230532157</v>
          </cell>
        </row>
        <row r="83">
          <cell r="A83">
            <v>40259</v>
          </cell>
          <cell r="B83">
            <v>12.557231</v>
          </cell>
          <cell r="C83">
            <v>57.95</v>
          </cell>
          <cell r="D83">
            <v>58.865993000000003</v>
          </cell>
          <cell r="E83">
            <v>31.465537999999999</v>
          </cell>
          <cell r="F83">
            <v>76.260000000000005</v>
          </cell>
          <cell r="G83">
            <v>1.1265596</v>
          </cell>
          <cell r="H83">
            <v>22.184999999999999</v>
          </cell>
          <cell r="I83">
            <v>35.979999999999997</v>
          </cell>
          <cell r="J83">
            <v>31.215</v>
          </cell>
          <cell r="K83">
            <v>3.9813377999999999</v>
          </cell>
          <cell r="L83">
            <v>2.93</v>
          </cell>
          <cell r="M83">
            <v>17.829999999999998</v>
          </cell>
          <cell r="N83">
            <v>8.4595330000000004</v>
          </cell>
          <cell r="O83">
            <v>10.928051999999999</v>
          </cell>
          <cell r="Q83">
            <v>90.842960065968271</v>
          </cell>
          <cell r="R83">
            <v>95.975488572374957</v>
          </cell>
          <cell r="S83">
            <v>112.99236313883326</v>
          </cell>
          <cell r="T83">
            <v>115.0995772645697</v>
          </cell>
          <cell r="U83">
            <v>101.89738107963655</v>
          </cell>
          <cell r="V83">
            <v>109.07815295191598</v>
          </cell>
          <cell r="W83">
            <v>113.42024539877301</v>
          </cell>
          <cell r="X83">
            <v>101.26653532226287</v>
          </cell>
          <cell r="Y83">
            <v>119.43753587143678</v>
          </cell>
          <cell r="Z83">
            <v>87.31568818596817</v>
          </cell>
          <cell r="AA83">
            <v>143.62745098039215</v>
          </cell>
          <cell r="AB83">
            <v>97.219193020719729</v>
          </cell>
          <cell r="AC83">
            <v>103.50348034371414</v>
          </cell>
          <cell r="AD83">
            <v>103.58772206962506</v>
          </cell>
          <cell r="AF83">
            <v>107.34771432107094</v>
          </cell>
          <cell r="AG83">
            <v>103.5456012066696</v>
          </cell>
        </row>
        <row r="84">
          <cell r="A84">
            <v>40260</v>
          </cell>
          <cell r="B84">
            <v>12.720532</v>
          </cell>
          <cell r="C84">
            <v>57.28</v>
          </cell>
          <cell r="D84">
            <v>58.947369999999999</v>
          </cell>
          <cell r="E84">
            <v>31.612188</v>
          </cell>
          <cell r="F84">
            <v>74.33</v>
          </cell>
          <cell r="G84">
            <v>1.1352277</v>
          </cell>
          <cell r="H84">
            <v>22.085000000000001</v>
          </cell>
          <cell r="I84">
            <v>35.630000000000003</v>
          </cell>
          <cell r="J84">
            <v>31.414999999999999</v>
          </cell>
          <cell r="K84">
            <v>4.0228109999999999</v>
          </cell>
          <cell r="L84">
            <v>2.9</v>
          </cell>
          <cell r="M84">
            <v>17.78</v>
          </cell>
          <cell r="N84">
            <v>8.5812840000000001</v>
          </cell>
          <cell r="O84">
            <v>11.077147500000001</v>
          </cell>
          <cell r="Q84">
            <v>92.024330881057409</v>
          </cell>
          <cell r="R84">
            <v>94.865849619079171</v>
          </cell>
          <cell r="S84">
            <v>113.1485650317521</v>
          </cell>
          <cell r="T84">
            <v>115.63601662263341</v>
          </cell>
          <cell r="U84">
            <v>99.31854623196152</v>
          </cell>
          <cell r="V84">
            <v>109.91743419154369</v>
          </cell>
          <cell r="W84">
            <v>112.90899795501024</v>
          </cell>
          <cell r="X84">
            <v>100.28145229383621</v>
          </cell>
          <cell r="Y84">
            <v>120.20279318920986</v>
          </cell>
          <cell r="Z84">
            <v>88.225247028042375</v>
          </cell>
          <cell r="AA84">
            <v>142.15686274509801</v>
          </cell>
          <cell r="AB84">
            <v>96.946564885496187</v>
          </cell>
          <cell r="AC84">
            <v>104.99311957502012</v>
          </cell>
          <cell r="AD84">
            <v>105.00100809862931</v>
          </cell>
          <cell r="AF84">
            <v>107.13605505622668</v>
          </cell>
          <cell r="AG84">
            <v>104.99706383682471</v>
          </cell>
        </row>
        <row r="85">
          <cell r="A85">
            <v>40261</v>
          </cell>
          <cell r="B85">
            <v>12.87144</v>
          </cell>
          <cell r="C85">
            <v>57.45</v>
          </cell>
          <cell r="D85">
            <v>58.221786000000002</v>
          </cell>
          <cell r="E85">
            <v>31.058873999999999</v>
          </cell>
          <cell r="F85">
            <v>73.98</v>
          </cell>
          <cell r="G85">
            <v>1.1384255000000001</v>
          </cell>
          <cell r="H85">
            <v>21.64</v>
          </cell>
          <cell r="I85">
            <v>35.880000000000003</v>
          </cell>
          <cell r="J85">
            <v>31.704999999999998</v>
          </cell>
          <cell r="K85">
            <v>4.0541400000000003</v>
          </cell>
          <cell r="L85">
            <v>2.97</v>
          </cell>
          <cell r="M85">
            <v>17.28</v>
          </cell>
          <cell r="N85">
            <v>8.4982670000000002</v>
          </cell>
          <cell r="O85">
            <v>10.801743999999999</v>
          </cell>
          <cell r="Q85">
            <v>93.116046834808301</v>
          </cell>
          <cell r="R85">
            <v>95.147399801258686</v>
          </cell>
          <cell r="S85">
            <v>111.75581776567394</v>
          </cell>
          <cell r="T85">
            <v>113.61201793891256</v>
          </cell>
          <cell r="U85">
            <v>98.850881881346879</v>
          </cell>
          <cell r="V85">
            <v>110.22705839385812</v>
          </cell>
          <cell r="W85">
            <v>110.63394683026586</v>
          </cell>
          <cell r="X85">
            <v>100.98508302842669</v>
          </cell>
          <cell r="Y85">
            <v>121.31241629998087</v>
          </cell>
          <cell r="Z85">
            <v>88.912330951234793</v>
          </cell>
          <cell r="AA85">
            <v>145.58823529411765</v>
          </cell>
          <cell r="AB85">
            <v>94.220283533260641</v>
          </cell>
          <cell r="AC85">
            <v>103.97739584326162</v>
          </cell>
          <cell r="AD85">
            <v>102.39044024856764</v>
          </cell>
          <cell r="AF85">
            <v>107.0301265460954</v>
          </cell>
          <cell r="AG85">
            <v>103.18391804591462</v>
          </cell>
        </row>
        <row r="86">
          <cell r="A86">
            <v>40262</v>
          </cell>
          <cell r="B86">
            <v>12.729426</v>
          </cell>
          <cell r="C86">
            <v>57.95</v>
          </cell>
          <cell r="D86">
            <v>57.719279999999998</v>
          </cell>
          <cell r="E86">
            <v>30.553457000000002</v>
          </cell>
          <cell r="F86">
            <v>74.900000000000006</v>
          </cell>
          <cell r="G86">
            <v>1.1737925</v>
          </cell>
          <cell r="H86">
            <v>21.33</v>
          </cell>
          <cell r="I86">
            <v>36.03</v>
          </cell>
          <cell r="J86">
            <v>31.594999999999999</v>
          </cell>
          <cell r="K86">
            <v>4.0759696999999999</v>
          </cell>
          <cell r="L86">
            <v>2.8</v>
          </cell>
          <cell r="M86">
            <v>16.899999999999999</v>
          </cell>
          <cell r="N86">
            <v>8.4224530000000009</v>
          </cell>
          <cell r="O86">
            <v>10.832826000000001</v>
          </cell>
          <cell r="Q86">
            <v>92.088672875468973</v>
          </cell>
          <cell r="R86">
            <v>95.975488572374957</v>
          </cell>
          <cell r="S86">
            <v>110.79126527045919</v>
          </cell>
          <cell r="T86">
            <v>111.76322440986735</v>
          </cell>
          <cell r="U86">
            <v>100.08017103153395</v>
          </cell>
          <cell r="V86">
            <v>113.65143739293673</v>
          </cell>
          <cell r="W86">
            <v>109.04907975460122</v>
          </cell>
          <cell r="X86">
            <v>101.40726146918098</v>
          </cell>
          <cell r="Y86">
            <v>120.89152477520567</v>
          </cell>
          <cell r="Z86">
            <v>89.391083414387552</v>
          </cell>
          <cell r="AA86">
            <v>137.25490196078428</v>
          </cell>
          <cell r="AB86">
            <v>92.148309705561601</v>
          </cell>
          <cell r="AC86">
            <v>103.04980174808188</v>
          </cell>
          <cell r="AD86">
            <v>102.68506856634727</v>
          </cell>
          <cell r="AF86">
            <v>106.20770171936353</v>
          </cell>
          <cell r="AG86">
            <v>102.86743515721457</v>
          </cell>
        </row>
        <row r="87">
          <cell r="A87">
            <v>40263</v>
          </cell>
          <cell r="B87">
            <v>12.983594</v>
          </cell>
          <cell r="C87">
            <v>57.89</v>
          </cell>
          <cell r="D87">
            <v>58.661479999999997</v>
          </cell>
          <cell r="E87">
            <v>30.886402</v>
          </cell>
          <cell r="F87">
            <v>75.58</v>
          </cell>
          <cell r="G87">
            <v>1.1968369999999999</v>
          </cell>
          <cell r="H87">
            <v>21.74</v>
          </cell>
          <cell r="I87">
            <v>35.97</v>
          </cell>
          <cell r="J87">
            <v>31.48</v>
          </cell>
          <cell r="K87">
            <v>4.0144260000000003</v>
          </cell>
          <cell r="L87">
            <v>2.85</v>
          </cell>
          <cell r="M87">
            <v>16.739999999999998</v>
          </cell>
          <cell r="N87">
            <v>8.3960240000000006</v>
          </cell>
          <cell r="O87">
            <v>10.685848</v>
          </cell>
          <cell r="Q87">
            <v>93.92740415898578</v>
          </cell>
          <cell r="R87">
            <v>95.876117919841008</v>
          </cell>
          <cell r="S87">
            <v>112.59980359834248</v>
          </cell>
          <cell r="T87">
            <v>112.9811228215313</v>
          </cell>
          <cell r="U87">
            <v>100.98877605558525</v>
          </cell>
          <cell r="V87">
            <v>115.88270105240083</v>
          </cell>
          <cell r="W87">
            <v>111.14519427402863</v>
          </cell>
          <cell r="X87">
            <v>101.23839009287924</v>
          </cell>
          <cell r="Y87">
            <v>120.45150181748612</v>
          </cell>
          <cell r="Z87">
            <v>88.041353552477631</v>
          </cell>
          <cell r="AA87">
            <v>139.70588235294116</v>
          </cell>
          <cell r="AB87">
            <v>91.275899672846222</v>
          </cell>
          <cell r="AC87">
            <v>102.72643951496521</v>
          </cell>
          <cell r="AD87">
            <v>101.29185445880555</v>
          </cell>
          <cell r="AF87">
            <v>107.00951228077882</v>
          </cell>
          <cell r="AG87">
            <v>102.00914698688538</v>
          </cell>
        </row>
        <row r="88">
          <cell r="A88">
            <v>40264</v>
          </cell>
          <cell r="B88">
            <v>12.983594</v>
          </cell>
          <cell r="C88">
            <v>57.89</v>
          </cell>
          <cell r="D88">
            <v>58.661479999999997</v>
          </cell>
          <cell r="E88">
            <v>30.886402</v>
          </cell>
          <cell r="F88">
            <v>75.58</v>
          </cell>
          <cell r="G88">
            <v>1.1968369999999999</v>
          </cell>
          <cell r="H88">
            <v>21.74</v>
          </cell>
          <cell r="I88">
            <v>35.97</v>
          </cell>
          <cell r="J88">
            <v>31.48</v>
          </cell>
          <cell r="K88">
            <v>4.0144260000000003</v>
          </cell>
          <cell r="L88">
            <v>2.85</v>
          </cell>
          <cell r="M88">
            <v>16.739999999999998</v>
          </cell>
          <cell r="N88">
            <v>8.3960240000000006</v>
          </cell>
          <cell r="O88">
            <v>10.685848</v>
          </cell>
          <cell r="Q88">
            <v>93.92740415898578</v>
          </cell>
          <cell r="R88">
            <v>95.876117919841008</v>
          </cell>
          <cell r="S88">
            <v>112.59980359834248</v>
          </cell>
          <cell r="T88">
            <v>112.9811228215313</v>
          </cell>
          <cell r="U88">
            <v>100.98877605558525</v>
          </cell>
          <cell r="V88">
            <v>115.88270105240083</v>
          </cell>
          <cell r="W88">
            <v>111.14519427402863</v>
          </cell>
          <cell r="X88">
            <v>101.23839009287924</v>
          </cell>
          <cell r="Y88">
            <v>120.45150181748612</v>
          </cell>
          <cell r="Z88">
            <v>88.041353552477631</v>
          </cell>
          <cell r="AA88">
            <v>139.70588235294116</v>
          </cell>
          <cell r="AB88">
            <v>91.275899672846222</v>
          </cell>
          <cell r="AC88">
            <v>102.72643951496521</v>
          </cell>
          <cell r="AD88">
            <v>101.29185445880555</v>
          </cell>
          <cell r="AF88">
            <v>107.00951228077882</v>
          </cell>
          <cell r="AG88">
            <v>102.00914698688538</v>
          </cell>
        </row>
        <row r="89">
          <cell r="A89">
            <v>40265</v>
          </cell>
          <cell r="B89">
            <v>12.983594</v>
          </cell>
          <cell r="C89">
            <v>57.89</v>
          </cell>
          <cell r="D89">
            <v>58.661479999999997</v>
          </cell>
          <cell r="E89">
            <v>30.886402</v>
          </cell>
          <cell r="F89">
            <v>75.58</v>
          </cell>
          <cell r="G89">
            <v>1.1968369999999999</v>
          </cell>
          <cell r="H89">
            <v>21.74</v>
          </cell>
          <cell r="I89">
            <v>35.97</v>
          </cell>
          <cell r="J89">
            <v>31.48</v>
          </cell>
          <cell r="K89">
            <v>4.0144260000000003</v>
          </cell>
          <cell r="L89">
            <v>2.85</v>
          </cell>
          <cell r="M89">
            <v>16.739999999999998</v>
          </cell>
          <cell r="N89">
            <v>8.3960240000000006</v>
          </cell>
          <cell r="O89">
            <v>10.685848</v>
          </cell>
          <cell r="Q89">
            <v>93.92740415898578</v>
          </cell>
          <cell r="R89">
            <v>95.876117919841008</v>
          </cell>
          <cell r="S89">
            <v>112.59980359834248</v>
          </cell>
          <cell r="T89">
            <v>112.9811228215313</v>
          </cell>
          <cell r="U89">
            <v>100.98877605558525</v>
          </cell>
          <cell r="V89">
            <v>115.88270105240083</v>
          </cell>
          <cell r="W89">
            <v>111.14519427402863</v>
          </cell>
          <cell r="X89">
            <v>101.23839009287924</v>
          </cell>
          <cell r="Y89">
            <v>120.45150181748612</v>
          </cell>
          <cell r="Z89">
            <v>88.041353552477631</v>
          </cell>
          <cell r="AA89">
            <v>139.70588235294116</v>
          </cell>
          <cell r="AB89">
            <v>91.275899672846222</v>
          </cell>
          <cell r="AC89">
            <v>102.72643951496521</v>
          </cell>
          <cell r="AD89">
            <v>101.29185445880555</v>
          </cell>
          <cell r="AF89">
            <v>107.00951228077882</v>
          </cell>
          <cell r="AG89">
            <v>102.00914698688538</v>
          </cell>
        </row>
        <row r="90">
          <cell r="A90">
            <v>40266</v>
          </cell>
          <cell r="B90">
            <v>13.1451435</v>
          </cell>
          <cell r="C90">
            <v>58.49</v>
          </cell>
          <cell r="D90">
            <v>57.836525000000002</v>
          </cell>
          <cell r="E90">
            <v>30.601564</v>
          </cell>
          <cell r="F90">
            <v>75.81</v>
          </cell>
          <cell r="G90">
            <v>1.2082648</v>
          </cell>
          <cell r="H90">
            <v>21.965</v>
          </cell>
          <cell r="I90">
            <v>35.770000000000003</v>
          </cell>
          <cell r="J90">
            <v>31.745000000000001</v>
          </cell>
          <cell r="K90">
            <v>4.1193</v>
          </cell>
          <cell r="L90">
            <v>3.17</v>
          </cell>
          <cell r="M90">
            <v>16.98</v>
          </cell>
          <cell r="N90">
            <v>8.5370910000000002</v>
          </cell>
          <cell r="O90">
            <v>10.664455999999999</v>
          </cell>
          <cell r="Q90">
            <v>95.096104071982296</v>
          </cell>
          <cell r="R90">
            <v>96.869824445180512</v>
          </cell>
          <cell r="S90">
            <v>111.01631523464161</v>
          </cell>
          <cell r="T90">
            <v>111.93919773546139</v>
          </cell>
          <cell r="U90">
            <v>101.29609834313203</v>
          </cell>
          <cell r="V90">
            <v>116.9891878430721</v>
          </cell>
          <cell r="W90">
            <v>112.2955010224949</v>
          </cell>
          <cell r="X90">
            <v>100.67548550520686</v>
          </cell>
          <cell r="Y90">
            <v>121.46546776353549</v>
          </cell>
          <cell r="Z90">
            <v>90.341370768503666</v>
          </cell>
          <cell r="AA90">
            <v>155.39215686274511</v>
          </cell>
          <cell r="AB90">
            <v>92.584514721919305</v>
          </cell>
          <cell r="AC90">
            <v>104.45241250444899</v>
          </cell>
          <cell r="AD90">
            <v>101.08907828693947</v>
          </cell>
          <cell r="AF90">
            <v>108.83010202648961</v>
          </cell>
          <cell r="AG90">
            <v>102.77074539569423</v>
          </cell>
        </row>
        <row r="91">
          <cell r="A91">
            <v>40267</v>
          </cell>
          <cell r="B91">
            <v>13.164254</v>
          </cell>
          <cell r="C91">
            <v>58.64</v>
          </cell>
          <cell r="D91">
            <v>57.849460000000001</v>
          </cell>
          <cell r="E91">
            <v>30.892472999999999</v>
          </cell>
          <cell r="F91">
            <v>75.95</v>
          </cell>
          <cell r="G91">
            <v>1.214329</v>
          </cell>
          <cell r="H91">
            <v>22.08</v>
          </cell>
          <cell r="I91">
            <v>36.130000000000003</v>
          </cell>
          <cell r="J91">
            <v>31.934999999999999</v>
          </cell>
          <cell r="K91">
            <v>4.0788060000000002</v>
          </cell>
          <cell r="L91">
            <v>3.12</v>
          </cell>
          <cell r="M91">
            <v>16.84</v>
          </cell>
          <cell r="N91">
            <v>8.6576229999999992</v>
          </cell>
          <cell r="O91">
            <v>10.813672</v>
          </cell>
          <cell r="Q91">
            <v>95.234355441917344</v>
          </cell>
          <cell r="R91">
            <v>97.118251076515392</v>
          </cell>
          <cell r="S91">
            <v>111.0411437670882</v>
          </cell>
          <cell r="T91">
            <v>113.00333027698855</v>
          </cell>
          <cell r="U91">
            <v>101.48316408337787</v>
          </cell>
          <cell r="V91">
            <v>117.57634873108105</v>
          </cell>
          <cell r="W91">
            <v>112.88343558282207</v>
          </cell>
          <cell r="X91">
            <v>101.68871376301718</v>
          </cell>
          <cell r="Y91">
            <v>122.19246221541992</v>
          </cell>
          <cell r="Z91">
            <v>89.453286999926533</v>
          </cell>
          <cell r="AA91">
            <v>152.94117647058826</v>
          </cell>
          <cell r="AB91">
            <v>91.821155943293348</v>
          </cell>
          <cell r="AC91">
            <v>105.92713711309921</v>
          </cell>
          <cell r="AD91">
            <v>102.50350654335161</v>
          </cell>
          <cell r="AF91">
            <v>108.86973536266966</v>
          </cell>
          <cell r="AG91">
            <v>104.2153218282254</v>
          </cell>
        </row>
        <row r="92">
          <cell r="A92">
            <v>40268</v>
          </cell>
          <cell r="B92">
            <v>13.189503999999999</v>
          </cell>
          <cell r="C92">
            <v>58.29</v>
          </cell>
          <cell r="D92">
            <v>58.647263000000002</v>
          </cell>
          <cell r="E92">
            <v>30.500855999999999</v>
          </cell>
          <cell r="F92">
            <v>75.709999999999994</v>
          </cell>
          <cell r="G92">
            <v>1.1444513000000001</v>
          </cell>
          <cell r="H92">
            <v>21.984999999999999</v>
          </cell>
          <cell r="I92">
            <v>35.49</v>
          </cell>
          <cell r="J92">
            <v>31.824999999999999</v>
          </cell>
          <cell r="K92">
            <v>4.0568967000000002</v>
          </cell>
          <cell r="L92">
            <v>3.18</v>
          </cell>
          <cell r="M92">
            <v>16.07</v>
          </cell>
          <cell r="N92">
            <v>8.7409649999999992</v>
          </cell>
          <cell r="O92">
            <v>10.646046999999999</v>
          </cell>
          <cell r="Q92">
            <v>95.417021886586994</v>
          </cell>
          <cell r="R92">
            <v>96.538588936734016</v>
          </cell>
          <cell r="S92">
            <v>112.57251428672339</v>
          </cell>
          <cell r="T92">
            <v>111.57081222661802</v>
          </cell>
          <cell r="U92">
            <v>101.1624799572421</v>
          </cell>
          <cell r="V92">
            <v>110.81050123528226</v>
          </cell>
          <cell r="W92">
            <v>112.39775051124745</v>
          </cell>
          <cell r="X92">
            <v>99.887419082465527</v>
          </cell>
          <cell r="Y92">
            <v>121.77157069064472</v>
          </cell>
          <cell r="Z92">
            <v>88.972788809802395</v>
          </cell>
          <cell r="AA92">
            <v>155.88235294117646</v>
          </cell>
          <cell r="AB92">
            <v>87.6226826608506</v>
          </cell>
          <cell r="AC92">
            <v>106.94683726189061</v>
          </cell>
          <cell r="AD92">
            <v>100.914578167835</v>
          </cell>
          <cell r="AF92">
            <v>107.88387360211449</v>
          </cell>
          <cell r="AG92">
            <v>103.93070771486281</v>
          </cell>
        </row>
        <row r="93">
          <cell r="A93">
            <v>40269</v>
          </cell>
          <cell r="B93">
            <v>13.26024</v>
          </cell>
          <cell r="C93">
            <v>59.07</v>
          </cell>
          <cell r="D93">
            <v>58.529316000000001</v>
          </cell>
          <cell r="E93">
            <v>30.360754</v>
          </cell>
          <cell r="F93">
            <v>77.17</v>
          </cell>
          <cell r="G93">
            <v>1.1736921</v>
          </cell>
          <cell r="H93">
            <v>21.875</v>
          </cell>
          <cell r="I93">
            <v>35.75</v>
          </cell>
          <cell r="J93">
            <v>31.864999999999998</v>
          </cell>
          <cell r="K93">
            <v>4.0056972999999996</v>
          </cell>
          <cell r="L93">
            <v>3.3</v>
          </cell>
          <cell r="M93">
            <v>16.04</v>
          </cell>
          <cell r="N93">
            <v>8.5639179999999993</v>
          </cell>
          <cell r="O93">
            <v>10.350187</v>
          </cell>
          <cell r="Q93">
            <v>95.928748366989112</v>
          </cell>
          <cell r="R93">
            <v>97.830407419675382</v>
          </cell>
          <cell r="S93">
            <v>112.34611684439813</v>
          </cell>
          <cell r="T93">
            <v>111.05832516938352</v>
          </cell>
          <cell r="U93">
            <v>103.11330839123463</v>
          </cell>
          <cell r="V93">
            <v>113.64171625030355</v>
          </cell>
          <cell r="W93">
            <v>111.83537832310839</v>
          </cell>
          <cell r="X93">
            <v>100.61919504643964</v>
          </cell>
          <cell r="Y93">
            <v>121.92462215419934</v>
          </cell>
          <cell r="Z93">
            <v>87.849922308570399</v>
          </cell>
          <cell r="AA93">
            <v>161.76470588235293</v>
          </cell>
          <cell r="AB93">
            <v>87.459105779716467</v>
          </cell>
          <cell r="AC93">
            <v>104.78064431903979</v>
          </cell>
          <cell r="AD93">
            <v>98.110101811800178</v>
          </cell>
          <cell r="AF93">
            <v>108.7809626613643</v>
          </cell>
          <cell r="AG93">
            <v>101.44537306541999</v>
          </cell>
        </row>
        <row r="94">
          <cell r="A94">
            <v>40270</v>
          </cell>
          <cell r="B94">
            <v>13.26024</v>
          </cell>
          <cell r="C94">
            <v>59.07</v>
          </cell>
          <cell r="D94">
            <v>58.529316000000001</v>
          </cell>
          <cell r="E94">
            <v>30.360754</v>
          </cell>
          <cell r="F94">
            <v>77.17</v>
          </cell>
          <cell r="G94">
            <v>1.1736921</v>
          </cell>
          <cell r="H94">
            <v>21.875</v>
          </cell>
          <cell r="I94">
            <v>35.75</v>
          </cell>
          <cell r="J94">
            <v>31.864999999999998</v>
          </cell>
          <cell r="K94">
            <v>4.0056972999999996</v>
          </cell>
          <cell r="L94">
            <v>3.3</v>
          </cell>
          <cell r="M94">
            <v>16.04</v>
          </cell>
          <cell r="N94">
            <v>8.5639179999999993</v>
          </cell>
          <cell r="O94">
            <v>10.350187</v>
          </cell>
          <cell r="Q94">
            <v>95.928748366989112</v>
          </cell>
          <cell r="R94">
            <v>97.830407419675382</v>
          </cell>
          <cell r="S94">
            <v>112.34611684439813</v>
          </cell>
          <cell r="T94">
            <v>111.05832516938352</v>
          </cell>
          <cell r="U94">
            <v>103.11330839123463</v>
          </cell>
          <cell r="V94">
            <v>113.64171625030355</v>
          </cell>
          <cell r="W94">
            <v>111.83537832310839</v>
          </cell>
          <cell r="X94">
            <v>100.61919504643964</v>
          </cell>
          <cell r="Y94">
            <v>121.92462215419934</v>
          </cell>
          <cell r="Z94">
            <v>87.849922308570399</v>
          </cell>
          <cell r="AA94">
            <v>161.76470588235293</v>
          </cell>
          <cell r="AB94">
            <v>87.459105779716467</v>
          </cell>
          <cell r="AC94">
            <v>104.78064431903979</v>
          </cell>
          <cell r="AD94">
            <v>98.110101811800178</v>
          </cell>
          <cell r="AF94">
            <v>108.7809626613643</v>
          </cell>
          <cell r="AG94">
            <v>101.44537306541999</v>
          </cell>
        </row>
        <row r="95">
          <cell r="A95">
            <v>40271</v>
          </cell>
          <cell r="B95">
            <v>13.26024</v>
          </cell>
          <cell r="C95">
            <v>59.07</v>
          </cell>
          <cell r="D95">
            <v>58.529316000000001</v>
          </cell>
          <cell r="E95">
            <v>30.360754</v>
          </cell>
          <cell r="F95">
            <v>77.17</v>
          </cell>
          <cell r="G95">
            <v>1.1736921</v>
          </cell>
          <cell r="H95">
            <v>21.875</v>
          </cell>
          <cell r="I95">
            <v>35.75</v>
          </cell>
          <cell r="J95">
            <v>31.864999999999998</v>
          </cell>
          <cell r="K95">
            <v>4.0056972999999996</v>
          </cell>
          <cell r="L95">
            <v>3.3</v>
          </cell>
          <cell r="M95">
            <v>16.04</v>
          </cell>
          <cell r="N95">
            <v>8.5639179999999993</v>
          </cell>
          <cell r="O95">
            <v>10.350187</v>
          </cell>
          <cell r="Q95">
            <v>95.928748366989112</v>
          </cell>
          <cell r="R95">
            <v>97.830407419675382</v>
          </cell>
          <cell r="S95">
            <v>112.34611684439813</v>
          </cell>
          <cell r="T95">
            <v>111.05832516938352</v>
          </cell>
          <cell r="U95">
            <v>103.11330839123463</v>
          </cell>
          <cell r="V95">
            <v>113.64171625030355</v>
          </cell>
          <cell r="W95">
            <v>111.83537832310839</v>
          </cell>
          <cell r="X95">
            <v>100.61919504643964</v>
          </cell>
          <cell r="Y95">
            <v>121.92462215419934</v>
          </cell>
          <cell r="Z95">
            <v>87.849922308570399</v>
          </cell>
          <cell r="AA95">
            <v>161.76470588235293</v>
          </cell>
          <cell r="AB95">
            <v>87.459105779716467</v>
          </cell>
          <cell r="AC95">
            <v>104.78064431903979</v>
          </cell>
          <cell r="AD95">
            <v>98.110101811800178</v>
          </cell>
          <cell r="AF95">
            <v>108.7809626613643</v>
          </cell>
          <cell r="AG95">
            <v>101.44537306541999</v>
          </cell>
        </row>
        <row r="96">
          <cell r="A96">
            <v>40272</v>
          </cell>
          <cell r="B96">
            <v>13.26024</v>
          </cell>
          <cell r="C96">
            <v>59.07</v>
          </cell>
          <cell r="D96">
            <v>58.529316000000001</v>
          </cell>
          <cell r="E96">
            <v>30.360754</v>
          </cell>
          <cell r="F96">
            <v>77.17</v>
          </cell>
          <cell r="G96">
            <v>1.1736921</v>
          </cell>
          <cell r="H96">
            <v>21.875</v>
          </cell>
          <cell r="I96">
            <v>35.75</v>
          </cell>
          <cell r="J96">
            <v>31.864999999999998</v>
          </cell>
          <cell r="K96">
            <v>4.0056972999999996</v>
          </cell>
          <cell r="L96">
            <v>3.3</v>
          </cell>
          <cell r="M96">
            <v>16.04</v>
          </cell>
          <cell r="N96">
            <v>8.5639179999999993</v>
          </cell>
          <cell r="O96">
            <v>10.350187</v>
          </cell>
          <cell r="Q96">
            <v>95.928748366989112</v>
          </cell>
          <cell r="R96">
            <v>97.830407419675382</v>
          </cell>
          <cell r="S96">
            <v>112.34611684439813</v>
          </cell>
          <cell r="T96">
            <v>111.05832516938352</v>
          </cell>
          <cell r="U96">
            <v>103.11330839123463</v>
          </cell>
          <cell r="V96">
            <v>113.64171625030355</v>
          </cell>
          <cell r="W96">
            <v>111.83537832310839</v>
          </cell>
          <cell r="X96">
            <v>100.61919504643964</v>
          </cell>
          <cell r="Y96">
            <v>121.92462215419934</v>
          </cell>
          <cell r="Z96">
            <v>87.849922308570399</v>
          </cell>
          <cell r="AA96">
            <v>161.76470588235293</v>
          </cell>
          <cell r="AB96">
            <v>87.459105779716467</v>
          </cell>
          <cell r="AC96">
            <v>104.78064431903979</v>
          </cell>
          <cell r="AD96">
            <v>98.110101811800178</v>
          </cell>
          <cell r="AF96">
            <v>108.7809626613643</v>
          </cell>
          <cell r="AG96">
            <v>101.44537306541999</v>
          </cell>
        </row>
        <row r="97">
          <cell r="A97">
            <v>40273</v>
          </cell>
          <cell r="B97">
            <v>13.252319</v>
          </cell>
          <cell r="C97">
            <v>58.9</v>
          </cell>
          <cell r="D97">
            <v>59.374504000000002</v>
          </cell>
          <cell r="E97">
            <v>30.269354</v>
          </cell>
          <cell r="F97">
            <v>76.89</v>
          </cell>
          <cell r="G97">
            <v>1.202663</v>
          </cell>
          <cell r="H97">
            <v>21.93</v>
          </cell>
          <cell r="I97">
            <v>36.450000000000003</v>
          </cell>
          <cell r="J97">
            <v>31.785</v>
          </cell>
          <cell r="K97">
            <v>4.0033050000000001</v>
          </cell>
          <cell r="L97">
            <v>3.37</v>
          </cell>
          <cell r="M97">
            <v>15.81</v>
          </cell>
          <cell r="N97">
            <v>8.4297284999999995</v>
          </cell>
          <cell r="O97">
            <v>10.117948</v>
          </cell>
          <cell r="Q97">
            <v>95.871445360722646</v>
          </cell>
          <cell r="R97">
            <v>97.548857237495852</v>
          </cell>
          <cell r="S97">
            <v>113.96844213867429</v>
          </cell>
          <cell r="T97">
            <v>110.72398792201209</v>
          </cell>
          <cell r="U97">
            <v>102.73917691074293</v>
          </cell>
          <cell r="V97">
            <v>116.44679843268845</v>
          </cell>
          <cell r="W97">
            <v>112.11656441717793</v>
          </cell>
          <cell r="X97">
            <v>102.589361103293</v>
          </cell>
          <cell r="Y97">
            <v>121.6185192270901</v>
          </cell>
          <cell r="Z97">
            <v>87.797456195082802</v>
          </cell>
          <cell r="AA97">
            <v>165.19607843137257</v>
          </cell>
          <cell r="AB97">
            <v>86.205016357688109</v>
          </cell>
          <cell r="AC97">
            <v>103.13881843153716</v>
          </cell>
          <cell r="AD97">
            <v>95.908693089941266</v>
          </cell>
          <cell r="AF97">
            <v>109.40180864450339</v>
          </cell>
          <cell r="AG97">
            <v>99.52375576073922</v>
          </cell>
        </row>
        <row r="98">
          <cell r="A98">
            <v>40274</v>
          </cell>
          <cell r="B98">
            <v>13.276539</v>
          </cell>
          <cell r="C98">
            <v>58.4</v>
          </cell>
          <cell r="D98">
            <v>60.122369999999997</v>
          </cell>
          <cell r="E98">
            <v>30.508113999999999</v>
          </cell>
          <cell r="F98">
            <v>77.150000000000006</v>
          </cell>
          <cell r="G98">
            <v>1.209562</v>
          </cell>
          <cell r="H98">
            <v>21.89</v>
          </cell>
          <cell r="I98">
            <v>36.42</v>
          </cell>
          <cell r="J98">
            <v>31.605</v>
          </cell>
          <cell r="K98">
            <v>4.1050024000000001</v>
          </cell>
          <cell r="L98">
            <v>3.35</v>
          </cell>
          <cell r="M98">
            <v>16.079999999999998</v>
          </cell>
          <cell r="N98">
            <v>8.1799579999999992</v>
          </cell>
          <cell r="O98">
            <v>9.8841169999999998</v>
          </cell>
          <cell r="Q98">
            <v>96.046660461312712</v>
          </cell>
          <cell r="R98">
            <v>96.720768466379596</v>
          </cell>
          <cell r="S98">
            <v>115.40395935913786</v>
          </cell>
          <cell r="T98">
            <v>111.59736167674299</v>
          </cell>
          <cell r="U98">
            <v>103.08658471405666</v>
          </cell>
          <cell r="V98">
            <v>117.11478810426487</v>
          </cell>
          <cell r="W98">
            <v>111.9120654396728</v>
          </cell>
          <cell r="X98">
            <v>102.50492541514214</v>
          </cell>
          <cell r="Y98">
            <v>120.92978764109432</v>
          </cell>
          <cell r="Z98">
            <v>90.027806623454808</v>
          </cell>
          <cell r="AA98">
            <v>164.21568627450981</v>
          </cell>
          <cell r="AB98">
            <v>87.677208287895297</v>
          </cell>
          <cell r="AC98">
            <v>100.08284406070726</v>
          </cell>
          <cell r="AD98">
            <v>93.692193695606164</v>
          </cell>
          <cell r="AF98">
            <v>109.76980020530533</v>
          </cell>
          <cell r="AG98">
            <v>96.887518878156712</v>
          </cell>
        </row>
        <row r="99">
          <cell r="A99">
            <v>40275</v>
          </cell>
          <cell r="B99">
            <v>13.331614999999999</v>
          </cell>
          <cell r="C99">
            <v>58.21</v>
          </cell>
          <cell r="D99">
            <v>59.900700000000001</v>
          </cell>
          <cell r="E99">
            <v>31.018098999999999</v>
          </cell>
          <cell r="F99">
            <v>76.459999999999994</v>
          </cell>
          <cell r="G99">
            <v>1.2181578</v>
          </cell>
          <cell r="H99">
            <v>22.05</v>
          </cell>
          <cell r="I99">
            <v>36.97</v>
          </cell>
          <cell r="J99">
            <v>31.32</v>
          </cell>
          <cell r="K99">
            <v>4.1134377000000004</v>
          </cell>
          <cell r="L99">
            <v>3.38</v>
          </cell>
          <cell r="M99">
            <v>16.37</v>
          </cell>
          <cell r="N99">
            <v>8.3912119999999994</v>
          </cell>
          <cell r="O99">
            <v>9.695252</v>
          </cell>
          <cell r="Q99">
            <v>96.445097574446436</v>
          </cell>
          <cell r="R99">
            <v>96.406094733355417</v>
          </cell>
          <cell r="S99">
            <v>114.97846722249821</v>
          </cell>
          <cell r="T99">
            <v>113.46286475224329</v>
          </cell>
          <cell r="U99">
            <v>102.16461785141635</v>
          </cell>
          <cell r="V99">
            <v>117.94706895930713</v>
          </cell>
          <cell r="W99">
            <v>112.73006134969326</v>
          </cell>
          <cell r="X99">
            <v>104.0529130312412</v>
          </cell>
          <cell r="Y99">
            <v>119.83929596326763</v>
          </cell>
          <cell r="Z99">
            <v>90.212803240560518</v>
          </cell>
          <cell r="AA99">
            <v>165.68627450980392</v>
          </cell>
          <cell r="AB99">
            <v>89.258451472191936</v>
          </cell>
          <cell r="AC99">
            <v>102.66756407261938</v>
          </cell>
          <cell r="AD99">
            <v>91.901929966198608</v>
          </cell>
          <cell r="AF99">
            <v>110.26533422166877</v>
          </cell>
          <cell r="AG99">
            <v>97.284747019408996</v>
          </cell>
        </row>
        <row r="100">
          <cell r="A100">
            <v>40276</v>
          </cell>
          <cell r="B100">
            <v>13.359408</v>
          </cell>
          <cell r="C100">
            <v>58.01</v>
          </cell>
          <cell r="D100">
            <v>59.155082999999998</v>
          </cell>
          <cell r="E100">
            <v>31.144988999999999</v>
          </cell>
          <cell r="F100">
            <v>76.13</v>
          </cell>
          <cell r="G100">
            <v>1.2194685000000001</v>
          </cell>
          <cell r="H100">
            <v>22.66</v>
          </cell>
          <cell r="I100">
            <v>36.74</v>
          </cell>
          <cell r="J100">
            <v>30.69</v>
          </cell>
          <cell r="K100">
            <v>4.1690250000000004</v>
          </cell>
          <cell r="L100">
            <v>3.43</v>
          </cell>
          <cell r="M100">
            <v>16.11</v>
          </cell>
          <cell r="N100">
            <v>8.4923909999999996</v>
          </cell>
          <cell r="O100">
            <v>9.8769589999999994</v>
          </cell>
          <cell r="Q100">
            <v>96.646160881246601</v>
          </cell>
          <cell r="R100">
            <v>96.074859224908906</v>
          </cell>
          <cell r="S100">
            <v>113.54726692275148</v>
          </cell>
          <cell r="T100">
            <v>113.92702288483589</v>
          </cell>
          <cell r="U100">
            <v>101.72367717797968</v>
          </cell>
          <cell r="V100">
            <v>118.07397634625238</v>
          </cell>
          <cell r="W100">
            <v>115.84867075664621</v>
          </cell>
          <cell r="X100">
            <v>103.40557275541795</v>
          </cell>
          <cell r="Y100">
            <v>117.42873541228238</v>
          </cell>
          <cell r="Z100">
            <v>91.431901844527232</v>
          </cell>
          <cell r="AA100">
            <v>168.13725490196077</v>
          </cell>
          <cell r="AB100">
            <v>87.840785169029445</v>
          </cell>
          <cell r="AC100">
            <v>103.90550222330653</v>
          </cell>
          <cell r="AD100">
            <v>93.624342543857026</v>
          </cell>
          <cell r="AF100">
            <v>110.34049035648657</v>
          </cell>
          <cell r="AG100">
            <v>98.764922383581776</v>
          </cell>
        </row>
        <row r="101">
          <cell r="A101">
            <v>40277</v>
          </cell>
          <cell r="B101">
            <v>13.485948</v>
          </cell>
          <cell r="C101">
            <v>58.15</v>
          </cell>
          <cell r="D101">
            <v>58.867603000000003</v>
          </cell>
          <cell r="E101">
            <v>31.456707000000002</v>
          </cell>
          <cell r="F101">
            <v>76.16</v>
          </cell>
          <cell r="G101">
            <v>1.2517084999999999</v>
          </cell>
          <cell r="H101">
            <v>22.795000000000002</v>
          </cell>
          <cell r="I101">
            <v>36.96</v>
          </cell>
          <cell r="J101">
            <v>30.79</v>
          </cell>
          <cell r="K101">
            <v>4.2190149999999997</v>
          </cell>
          <cell r="L101">
            <v>3.5</v>
          </cell>
          <cell r="M101">
            <v>15.77</v>
          </cell>
          <cell r="N101">
            <v>8.5954239999999995</v>
          </cell>
          <cell r="O101">
            <v>10.089054000000001</v>
          </cell>
          <cell r="Q101">
            <v>97.561591055840637</v>
          </cell>
          <cell r="R101">
            <v>96.306724080821454</v>
          </cell>
          <cell r="S101">
            <v>112.9954535089329</v>
          </cell>
          <cell r="T101">
            <v>115.06727384846972</v>
          </cell>
          <cell r="U101">
            <v>101.76376269374666</v>
          </cell>
          <cell r="V101">
            <v>121.19558629140732</v>
          </cell>
          <cell r="W101">
            <v>116.53885480572599</v>
          </cell>
          <cell r="X101">
            <v>104.02476780185759</v>
          </cell>
          <cell r="Y101">
            <v>117.81136407116892</v>
          </cell>
          <cell r="Z101">
            <v>92.528244700040901</v>
          </cell>
          <cell r="AA101">
            <v>171.56862745098039</v>
          </cell>
          <cell r="AB101">
            <v>85.986913849509278</v>
          </cell>
          <cell r="AC101">
            <v>105.16612430377525</v>
          </cell>
          <cell r="AD101">
            <v>95.63480496775081</v>
          </cell>
          <cell r="AF101">
            <v>111.11243034654179</v>
          </cell>
          <cell r="AG101">
            <v>100.40046463576303</v>
          </cell>
        </row>
        <row r="102">
          <cell r="A102">
            <v>40278</v>
          </cell>
          <cell r="B102">
            <v>13.485948</v>
          </cell>
          <cell r="C102">
            <v>58.15</v>
          </cell>
          <cell r="D102">
            <v>58.867603000000003</v>
          </cell>
          <cell r="E102">
            <v>31.456707000000002</v>
          </cell>
          <cell r="F102">
            <v>76.16</v>
          </cell>
          <cell r="G102">
            <v>1.2517084999999999</v>
          </cell>
          <cell r="H102">
            <v>22.795000000000002</v>
          </cell>
          <cell r="I102">
            <v>36.96</v>
          </cell>
          <cell r="J102">
            <v>30.79</v>
          </cell>
          <cell r="K102">
            <v>4.2190149999999997</v>
          </cell>
          <cell r="L102">
            <v>3.5</v>
          </cell>
          <cell r="M102">
            <v>15.77</v>
          </cell>
          <cell r="N102">
            <v>8.5954239999999995</v>
          </cell>
          <cell r="O102">
            <v>10.089054000000001</v>
          </cell>
          <cell r="Q102">
            <v>97.561591055840637</v>
          </cell>
          <cell r="R102">
            <v>96.306724080821454</v>
          </cell>
          <cell r="S102">
            <v>112.9954535089329</v>
          </cell>
          <cell r="T102">
            <v>115.06727384846972</v>
          </cell>
          <cell r="U102">
            <v>101.76376269374666</v>
          </cell>
          <cell r="V102">
            <v>121.19558629140732</v>
          </cell>
          <cell r="W102">
            <v>116.53885480572599</v>
          </cell>
          <cell r="X102">
            <v>104.02476780185759</v>
          </cell>
          <cell r="Y102">
            <v>117.81136407116892</v>
          </cell>
          <cell r="Z102">
            <v>92.528244700040901</v>
          </cell>
          <cell r="AA102">
            <v>171.56862745098039</v>
          </cell>
          <cell r="AB102">
            <v>85.986913849509278</v>
          </cell>
          <cell r="AC102">
            <v>105.16612430377525</v>
          </cell>
          <cell r="AD102">
            <v>95.63480496775081</v>
          </cell>
          <cell r="AF102">
            <v>111.11243034654179</v>
          </cell>
          <cell r="AG102">
            <v>100.40046463576303</v>
          </cell>
        </row>
        <row r="103">
          <cell r="A103">
            <v>40279</v>
          </cell>
          <cell r="B103">
            <v>13.485948</v>
          </cell>
          <cell r="C103">
            <v>58.15</v>
          </cell>
          <cell r="D103">
            <v>58.867603000000003</v>
          </cell>
          <cell r="E103">
            <v>31.456707000000002</v>
          </cell>
          <cell r="F103">
            <v>76.16</v>
          </cell>
          <cell r="G103">
            <v>1.2517084999999999</v>
          </cell>
          <cell r="H103">
            <v>22.795000000000002</v>
          </cell>
          <cell r="I103">
            <v>36.96</v>
          </cell>
          <cell r="J103">
            <v>30.79</v>
          </cell>
          <cell r="K103">
            <v>4.2190149999999997</v>
          </cell>
          <cell r="L103">
            <v>3.5</v>
          </cell>
          <cell r="M103">
            <v>15.77</v>
          </cell>
          <cell r="N103">
            <v>8.5954239999999995</v>
          </cell>
          <cell r="O103">
            <v>10.089054000000001</v>
          </cell>
          <cell r="Q103">
            <v>97.561591055840637</v>
          </cell>
          <cell r="R103">
            <v>96.306724080821454</v>
          </cell>
          <cell r="S103">
            <v>112.9954535089329</v>
          </cell>
          <cell r="T103">
            <v>115.06727384846972</v>
          </cell>
          <cell r="U103">
            <v>101.76376269374666</v>
          </cell>
          <cell r="V103">
            <v>121.19558629140732</v>
          </cell>
          <cell r="W103">
            <v>116.53885480572599</v>
          </cell>
          <cell r="X103">
            <v>104.02476780185759</v>
          </cell>
          <cell r="Y103">
            <v>117.81136407116892</v>
          </cell>
          <cell r="Z103">
            <v>92.528244700040901</v>
          </cell>
          <cell r="AA103">
            <v>171.56862745098039</v>
          </cell>
          <cell r="AB103">
            <v>85.986913849509278</v>
          </cell>
          <cell r="AC103">
            <v>105.16612430377525</v>
          </cell>
          <cell r="AD103">
            <v>95.63480496775081</v>
          </cell>
          <cell r="AF103">
            <v>111.11243034654179</v>
          </cell>
          <cell r="AG103">
            <v>100.40046463576303</v>
          </cell>
        </row>
        <row r="104">
          <cell r="A104">
            <v>40280</v>
          </cell>
          <cell r="B104">
            <v>13.248253999999999</v>
          </cell>
          <cell r="C104">
            <v>58.1</v>
          </cell>
          <cell r="D104">
            <v>58.517764999999997</v>
          </cell>
          <cell r="E104">
            <v>31.788221</v>
          </cell>
          <cell r="F104">
            <v>76.67</v>
          </cell>
          <cell r="G104">
            <v>1.2513934</v>
          </cell>
          <cell r="H104">
            <v>22.87</v>
          </cell>
          <cell r="I104">
            <v>37.31</v>
          </cell>
          <cell r="J104">
            <v>30.8</v>
          </cell>
          <cell r="K104">
            <v>4.208596</v>
          </cell>
          <cell r="L104">
            <v>3.45</v>
          </cell>
          <cell r="M104">
            <v>16.09</v>
          </cell>
          <cell r="N104">
            <v>8.591329</v>
          </cell>
          <cell r="O104">
            <v>10.228854999999999</v>
          </cell>
          <cell r="Q104">
            <v>95.842037871709479</v>
          </cell>
          <cell r="R104">
            <v>96.223915203709836</v>
          </cell>
          <cell r="S104">
            <v>112.32394487854653</v>
          </cell>
          <cell r="T104">
            <v>116.27993772401786</v>
          </cell>
          <cell r="U104">
            <v>102.44521646178515</v>
          </cell>
          <cell r="V104">
            <v>121.16507700810342</v>
          </cell>
          <cell r="W104">
            <v>116.92229038854806</v>
          </cell>
          <cell r="X104">
            <v>105.00985083028426</v>
          </cell>
          <cell r="Y104">
            <v>117.84962693705758</v>
          </cell>
          <cell r="Z104">
            <v>92.299743075484059</v>
          </cell>
          <cell r="AA104">
            <v>169.11764705882354</v>
          </cell>
          <cell r="AB104">
            <v>87.731733914940023</v>
          </cell>
          <cell r="AC104">
            <v>105.11602144916053</v>
          </cell>
          <cell r="AD104">
            <v>96.959987821296494</v>
          </cell>
          <cell r="AF104">
            <v>111.10091844608412</v>
          </cell>
          <cell r="AG104">
            <v>101.0380046352285</v>
          </cell>
        </row>
        <row r="105">
          <cell r="A105">
            <v>40281</v>
          </cell>
          <cell r="B105">
            <v>13.388206500000001</v>
          </cell>
          <cell r="C105">
            <v>58.25</v>
          </cell>
          <cell r="D105">
            <v>59.054057999999998</v>
          </cell>
          <cell r="E105">
            <v>31.910665999999999</v>
          </cell>
          <cell r="F105">
            <v>76.44</v>
          </cell>
          <cell r="G105">
            <v>1.2278309000000001</v>
          </cell>
          <cell r="H105">
            <v>23.18</v>
          </cell>
          <cell r="I105">
            <v>37.42</v>
          </cell>
          <cell r="J105">
            <v>30.95</v>
          </cell>
          <cell r="K105">
            <v>4.1514534999999997</v>
          </cell>
          <cell r="L105">
            <v>3.43</v>
          </cell>
          <cell r="M105">
            <v>16</v>
          </cell>
          <cell r="N105">
            <v>8.3809959999999997</v>
          </cell>
          <cell r="O105">
            <v>10.204428999999999</v>
          </cell>
          <cell r="Q105">
            <v>96.85449829141767</v>
          </cell>
          <cell r="R105">
            <v>96.472341835044716</v>
          </cell>
          <cell r="S105">
            <v>113.35335099770967</v>
          </cell>
          <cell r="T105">
            <v>116.7278362388362</v>
          </cell>
          <cell r="U105">
            <v>102.13789417423837</v>
          </cell>
          <cell r="V105">
            <v>118.88365844939644</v>
          </cell>
          <cell r="W105">
            <v>118.50715746421268</v>
          </cell>
          <cell r="X105">
            <v>105.31944835350409</v>
          </cell>
          <cell r="Y105">
            <v>118.42356992538741</v>
          </cell>
          <cell r="Z105">
            <v>91.046537001845508</v>
          </cell>
          <cell r="AA105">
            <v>168.13725490196077</v>
          </cell>
          <cell r="AB105">
            <v>87.241003271537622</v>
          </cell>
          <cell r="AC105">
            <v>102.54256999136322</v>
          </cell>
          <cell r="AD105">
            <v>96.72845216432188</v>
          </cell>
          <cell r="AF105">
            <v>111.0920459087576</v>
          </cell>
          <cell r="AG105">
            <v>99.635511077842551</v>
          </cell>
        </row>
        <row r="106">
          <cell r="A106">
            <v>40282</v>
          </cell>
          <cell r="B106">
            <v>13.468306999999999</v>
          </cell>
          <cell r="C106">
            <v>58.19</v>
          </cell>
          <cell r="D106">
            <v>59.305250000000001</v>
          </cell>
          <cell r="E106">
            <v>31.954181999999999</v>
          </cell>
          <cell r="F106">
            <v>76.260000000000005</v>
          </cell>
          <cell r="G106">
            <v>1.2503636</v>
          </cell>
          <cell r="H106">
            <v>23.295000000000002</v>
          </cell>
          <cell r="I106">
            <v>37.590000000000003</v>
          </cell>
          <cell r="J106">
            <v>31.074999999999999</v>
          </cell>
          <cell r="K106">
            <v>4.2526580000000003</v>
          </cell>
          <cell r="L106">
            <v>3.45</v>
          </cell>
          <cell r="M106">
            <v>16.34</v>
          </cell>
          <cell r="N106">
            <v>8.6644670000000001</v>
          </cell>
          <cell r="O106">
            <v>10.328504000000001</v>
          </cell>
          <cell r="Q106">
            <v>97.433970511269635</v>
          </cell>
          <cell r="R106">
            <v>96.372971182510753</v>
          </cell>
          <cell r="S106">
            <v>113.83551015676045</v>
          </cell>
          <cell r="T106">
            <v>116.88701588496984</v>
          </cell>
          <cell r="U106">
            <v>101.89738107963655</v>
          </cell>
          <cell r="V106">
            <v>121.06536751922251</v>
          </cell>
          <cell r="W106">
            <v>119.09509202453989</v>
          </cell>
          <cell r="X106">
            <v>105.7979172530256</v>
          </cell>
          <cell r="Y106">
            <v>118.90185574899559</v>
          </cell>
          <cell r="Z106">
            <v>93.266077520365911</v>
          </cell>
          <cell r="AA106">
            <v>169.11764705882354</v>
          </cell>
          <cell r="AB106">
            <v>89.094874591057788</v>
          </cell>
          <cell r="AC106">
            <v>106.01087433824775</v>
          </cell>
          <cell r="AD106">
            <v>97.904567231837021</v>
          </cell>
          <cell r="AF106">
            <v>111.89714004426484</v>
          </cell>
          <cell r="AG106">
            <v>101.95772078504238</v>
          </cell>
        </row>
        <row r="107">
          <cell r="A107">
            <v>40283</v>
          </cell>
          <cell r="B107">
            <v>13.286550500000001</v>
          </cell>
          <cell r="C107">
            <v>59.25</v>
          </cell>
          <cell r="D107">
            <v>60.137455000000003</v>
          </cell>
          <cell r="E107">
            <v>31.604379999999999</v>
          </cell>
          <cell r="F107">
            <v>77.75</v>
          </cell>
          <cell r="G107">
            <v>1.2367234</v>
          </cell>
          <cell r="H107">
            <v>23.355</v>
          </cell>
          <cell r="I107">
            <v>37.549999999999997</v>
          </cell>
          <cell r="J107">
            <v>30.97</v>
          </cell>
          <cell r="K107">
            <v>4.2389979999999996</v>
          </cell>
          <cell r="L107">
            <v>3.51</v>
          </cell>
          <cell r="M107">
            <v>16.3</v>
          </cell>
          <cell r="N107">
            <v>8.8103449999999999</v>
          </cell>
          <cell r="O107">
            <v>10.229884</v>
          </cell>
          <cell r="Q107">
            <v>96.119086802334905</v>
          </cell>
          <cell r="R107">
            <v>98.128519377277229</v>
          </cell>
          <cell r="S107">
            <v>115.43291478333242</v>
          </cell>
          <cell r="T107">
            <v>115.6074552962934</v>
          </cell>
          <cell r="U107">
            <v>103.88829502939605</v>
          </cell>
          <cell r="V107">
            <v>119.74466702375406</v>
          </cell>
          <cell r="W107">
            <v>119.40184049079757</v>
          </cell>
          <cell r="X107">
            <v>105.68533633549113</v>
          </cell>
          <cell r="Y107">
            <v>118.50009565716471</v>
          </cell>
          <cell r="Z107">
            <v>92.966496736082689</v>
          </cell>
          <cell r="AA107">
            <v>172.05882352941174</v>
          </cell>
          <cell r="AB107">
            <v>88.876772082878958</v>
          </cell>
          <cell r="AC107">
            <v>107.79571053494799</v>
          </cell>
          <cell r="AD107">
            <v>96.969741779825398</v>
          </cell>
          <cell r="AF107">
            <v>112.20085859535122</v>
          </cell>
          <cell r="AG107">
            <v>102.38272615738668</v>
          </cell>
        </row>
        <row r="108">
          <cell r="A108">
            <v>40284</v>
          </cell>
          <cell r="B108">
            <v>13.403097000000001</v>
          </cell>
          <cell r="C108">
            <v>58.26</v>
          </cell>
          <cell r="D108">
            <v>60.382669999999997</v>
          </cell>
          <cell r="E108">
            <v>32.196865000000003</v>
          </cell>
          <cell r="F108">
            <v>76.98</v>
          </cell>
          <cell r="G108">
            <v>1.2311951999999999</v>
          </cell>
          <cell r="H108">
            <v>23.38</v>
          </cell>
          <cell r="I108">
            <v>38.31</v>
          </cell>
          <cell r="J108">
            <v>30.81</v>
          </cell>
          <cell r="K108">
            <v>4.2481790000000004</v>
          </cell>
          <cell r="L108">
            <v>3.65</v>
          </cell>
          <cell r="M108">
            <v>16.47</v>
          </cell>
          <cell r="N108">
            <v>8.7338740000000001</v>
          </cell>
          <cell r="O108">
            <v>10.160977000000001</v>
          </cell>
          <cell r="Q108">
            <v>96.962220853570287</v>
          </cell>
          <cell r="R108">
            <v>96.488903610467034</v>
          </cell>
          <cell r="S108">
            <v>115.90360118332381</v>
          </cell>
          <cell r="T108">
            <v>117.77473980404913</v>
          </cell>
          <cell r="U108">
            <v>102.85943345804382</v>
          </cell>
          <cell r="V108">
            <v>119.20940386932462</v>
          </cell>
          <cell r="W108">
            <v>119.52965235173825</v>
          </cell>
          <cell r="X108">
            <v>107.82437376864623</v>
          </cell>
          <cell r="Y108">
            <v>117.88788980294622</v>
          </cell>
          <cell r="Z108">
            <v>93.167847481361193</v>
          </cell>
          <cell r="AA108">
            <v>178.92156862745097</v>
          </cell>
          <cell r="AB108">
            <v>89.803707742639034</v>
          </cell>
          <cell r="AC108">
            <v>106.86007795979708</v>
          </cell>
          <cell r="AD108">
            <v>96.316567804751742</v>
          </cell>
          <cell r="AF108">
            <v>113.02777854613005</v>
          </cell>
          <cell r="AG108">
            <v>101.58832288227441</v>
          </cell>
        </row>
        <row r="109">
          <cell r="A109">
            <v>40285</v>
          </cell>
          <cell r="B109">
            <v>13.403097000000001</v>
          </cell>
          <cell r="C109">
            <v>58.26</v>
          </cell>
          <cell r="D109">
            <v>60.382669999999997</v>
          </cell>
          <cell r="E109">
            <v>32.196865000000003</v>
          </cell>
          <cell r="F109">
            <v>76.98</v>
          </cell>
          <cell r="G109">
            <v>1.2311951999999999</v>
          </cell>
          <cell r="H109">
            <v>23.38</v>
          </cell>
          <cell r="I109">
            <v>38.31</v>
          </cell>
          <cell r="J109">
            <v>30.81</v>
          </cell>
          <cell r="K109">
            <v>4.2481790000000004</v>
          </cell>
          <cell r="L109">
            <v>3.65</v>
          </cell>
          <cell r="M109">
            <v>16.47</v>
          </cell>
          <cell r="N109">
            <v>8.7338740000000001</v>
          </cell>
          <cell r="O109">
            <v>10.160977000000001</v>
          </cell>
          <cell r="Q109">
            <v>96.962220853570287</v>
          </cell>
          <cell r="R109">
            <v>96.488903610467034</v>
          </cell>
          <cell r="S109">
            <v>115.90360118332381</v>
          </cell>
          <cell r="T109">
            <v>117.77473980404913</v>
          </cell>
          <cell r="U109">
            <v>102.85943345804382</v>
          </cell>
          <cell r="V109">
            <v>119.20940386932462</v>
          </cell>
          <cell r="W109">
            <v>119.52965235173825</v>
          </cell>
          <cell r="X109">
            <v>107.82437376864623</v>
          </cell>
          <cell r="Y109">
            <v>117.88788980294622</v>
          </cell>
          <cell r="Z109">
            <v>93.167847481361193</v>
          </cell>
          <cell r="AA109">
            <v>178.92156862745097</v>
          </cell>
          <cell r="AB109">
            <v>89.803707742639034</v>
          </cell>
          <cell r="AC109">
            <v>106.86007795979708</v>
          </cell>
          <cell r="AD109">
            <v>96.316567804751742</v>
          </cell>
          <cell r="AF109">
            <v>113.02777854613005</v>
          </cell>
          <cell r="AG109">
            <v>101.58832288227441</v>
          </cell>
        </row>
        <row r="110">
          <cell r="A110">
            <v>40286</v>
          </cell>
          <cell r="B110">
            <v>13.403097000000001</v>
          </cell>
          <cell r="C110">
            <v>58.26</v>
          </cell>
          <cell r="D110">
            <v>60.382669999999997</v>
          </cell>
          <cell r="E110">
            <v>32.196865000000003</v>
          </cell>
          <cell r="F110">
            <v>76.98</v>
          </cell>
          <cell r="G110">
            <v>1.2311951999999999</v>
          </cell>
          <cell r="H110">
            <v>23.38</v>
          </cell>
          <cell r="I110">
            <v>38.31</v>
          </cell>
          <cell r="J110">
            <v>30.81</v>
          </cell>
          <cell r="K110">
            <v>4.2481790000000004</v>
          </cell>
          <cell r="L110">
            <v>3.65</v>
          </cell>
          <cell r="M110">
            <v>16.47</v>
          </cell>
          <cell r="N110">
            <v>8.7338740000000001</v>
          </cell>
          <cell r="O110">
            <v>10.160977000000001</v>
          </cell>
          <cell r="Q110">
            <v>96.962220853570287</v>
          </cell>
          <cell r="R110">
            <v>96.488903610467034</v>
          </cell>
          <cell r="S110">
            <v>115.90360118332381</v>
          </cell>
          <cell r="T110">
            <v>117.77473980404913</v>
          </cell>
          <cell r="U110">
            <v>102.85943345804382</v>
          </cell>
          <cell r="V110">
            <v>119.20940386932462</v>
          </cell>
          <cell r="W110">
            <v>119.52965235173825</v>
          </cell>
          <cell r="X110">
            <v>107.82437376864623</v>
          </cell>
          <cell r="Y110">
            <v>117.88788980294622</v>
          </cell>
          <cell r="Z110">
            <v>93.167847481361193</v>
          </cell>
          <cell r="AA110">
            <v>178.92156862745097</v>
          </cell>
          <cell r="AB110">
            <v>89.803707742639034</v>
          </cell>
          <cell r="AC110">
            <v>106.86007795979708</v>
          </cell>
          <cell r="AD110">
            <v>96.316567804751742</v>
          </cell>
          <cell r="AF110">
            <v>113.02777854613005</v>
          </cell>
          <cell r="AG110">
            <v>101.58832288227441</v>
          </cell>
        </row>
        <row r="111">
          <cell r="A111">
            <v>40287</v>
          </cell>
          <cell r="B111">
            <v>13.155284999999999</v>
          </cell>
          <cell r="C111">
            <v>59.86</v>
          </cell>
          <cell r="D111">
            <v>60.169125000000001</v>
          </cell>
          <cell r="E111">
            <v>31.613184</v>
          </cell>
          <cell r="F111">
            <v>79.33</v>
          </cell>
          <cell r="G111">
            <v>1.2177884999999999</v>
          </cell>
          <cell r="H111">
            <v>23.64</v>
          </cell>
          <cell r="I111">
            <v>38.28</v>
          </cell>
          <cell r="J111">
            <v>30.934999999999999</v>
          </cell>
          <cell r="K111">
            <v>4.2041716999999998</v>
          </cell>
          <cell r="L111">
            <v>3.4</v>
          </cell>
          <cell r="M111">
            <v>16.559999999999999</v>
          </cell>
          <cell r="N111">
            <v>8.6484020000000008</v>
          </cell>
          <cell r="O111">
            <v>10.070836999999999</v>
          </cell>
          <cell r="Q111">
            <v>95.169470873907741</v>
          </cell>
          <cell r="R111">
            <v>99.13878767803908</v>
          </cell>
          <cell r="S111">
            <v>115.49370485852246</v>
          </cell>
          <cell r="T111">
            <v>115.639659947561</v>
          </cell>
          <cell r="U111">
            <v>105.99946552645643</v>
          </cell>
          <cell r="V111">
            <v>117.91131180816738</v>
          </cell>
          <cell r="W111">
            <v>120.85889570552149</v>
          </cell>
          <cell r="X111">
            <v>107.73993808049536</v>
          </cell>
          <cell r="Y111">
            <v>118.36617562655442</v>
          </cell>
          <cell r="Z111">
            <v>92.202712675491057</v>
          </cell>
          <cell r="AA111">
            <v>166.66666666666666</v>
          </cell>
          <cell r="AB111">
            <v>90.294438386041435</v>
          </cell>
          <cell r="AC111">
            <v>105.81431698552841</v>
          </cell>
          <cell r="AD111">
            <v>95.462124829246491</v>
          </cell>
          <cell r="AF111">
            <v>112.1234356527854</v>
          </cell>
          <cell r="AG111">
            <v>100.63822090738745</v>
          </cell>
        </row>
        <row r="112">
          <cell r="A112">
            <v>40288</v>
          </cell>
          <cell r="B112">
            <v>13.236033000000001</v>
          </cell>
          <cell r="C112">
            <v>59.6</v>
          </cell>
          <cell r="D112">
            <v>60.755684000000002</v>
          </cell>
          <cell r="E112">
            <v>31.902101999999999</v>
          </cell>
          <cell r="F112">
            <v>80.239999999999995</v>
          </cell>
          <cell r="G112">
            <v>1.2358693000000001</v>
          </cell>
          <cell r="H112">
            <v>23.89</v>
          </cell>
          <cell r="I112">
            <v>38.729999999999997</v>
          </cell>
          <cell r="J112">
            <v>31.77</v>
          </cell>
          <cell r="K112">
            <v>4.2693887000000004</v>
          </cell>
          <cell r="L112">
            <v>3.4</v>
          </cell>
          <cell r="M112">
            <v>16.64</v>
          </cell>
          <cell r="N112">
            <v>8.6802589999999995</v>
          </cell>
          <cell r="O112">
            <v>10.279254</v>
          </cell>
          <cell r="Q112">
            <v>95.753627312489371</v>
          </cell>
          <cell r="R112">
            <v>98.70818151705862</v>
          </cell>
          <cell r="S112">
            <v>116.61959578726891</v>
          </cell>
          <cell r="T112">
            <v>116.69650949718971</v>
          </cell>
          <cell r="U112">
            <v>107.2153928380545</v>
          </cell>
          <cell r="V112">
            <v>119.6619695344812</v>
          </cell>
          <cell r="W112">
            <v>122.13701431492842</v>
          </cell>
          <cell r="X112">
            <v>109.00647340275822</v>
          </cell>
          <cell r="Y112">
            <v>121.56112492825713</v>
          </cell>
          <cell r="Z112">
            <v>93.633002573631416</v>
          </cell>
          <cell r="AA112">
            <v>166.66666666666666</v>
          </cell>
          <cell r="AB112">
            <v>90.730643402399139</v>
          </cell>
          <cell r="AC112">
            <v>106.20409150065939</v>
          </cell>
          <cell r="AD112">
            <v>97.437723249768737</v>
          </cell>
          <cell r="AF112">
            <v>113.19918348126528</v>
          </cell>
          <cell r="AG112">
            <v>101.82090737521406</v>
          </cell>
        </row>
        <row r="113">
          <cell r="A113">
            <v>40289</v>
          </cell>
          <cell r="B113">
            <v>13.356863000000001</v>
          </cell>
          <cell r="C113">
            <v>58.03</v>
          </cell>
          <cell r="D113">
            <v>62.104469999999999</v>
          </cell>
          <cell r="E113">
            <v>31.760159999999999</v>
          </cell>
          <cell r="F113">
            <v>81</v>
          </cell>
          <cell r="G113">
            <v>1.2392025</v>
          </cell>
          <cell r="H113">
            <v>23.99</v>
          </cell>
          <cell r="I113">
            <v>38.4</v>
          </cell>
          <cell r="J113">
            <v>31.67</v>
          </cell>
          <cell r="K113">
            <v>4.3284406999999998</v>
          </cell>
          <cell r="L113">
            <v>3.44</v>
          </cell>
          <cell r="M113">
            <v>16.62</v>
          </cell>
          <cell r="N113">
            <v>8.6802589999999995</v>
          </cell>
          <cell r="O113">
            <v>10.279254</v>
          </cell>
          <cell r="Q113">
            <v>96.627749550486826</v>
          </cell>
          <cell r="R113">
            <v>96.107982775753555</v>
          </cell>
          <cell r="S113">
            <v>119.20856965387085</v>
          </cell>
          <cell r="T113">
            <v>116.17729179952671</v>
          </cell>
          <cell r="U113">
            <v>108.23089257081774</v>
          </cell>
          <cell r="V113">
            <v>119.98470372397223</v>
          </cell>
          <cell r="W113">
            <v>122.64826175869121</v>
          </cell>
          <cell r="X113">
            <v>108.07768083309878</v>
          </cell>
          <cell r="Y113">
            <v>121.17849626937058</v>
          </cell>
          <cell r="Z113">
            <v>94.928086356463851</v>
          </cell>
          <cell r="AA113">
            <v>168.62745098039215</v>
          </cell>
          <cell r="AB113">
            <v>90.621592148309716</v>
          </cell>
          <cell r="AC113">
            <v>106.20409150065939</v>
          </cell>
          <cell r="AD113">
            <v>97.437723249768737</v>
          </cell>
          <cell r="AF113">
            <v>113.53489653506284</v>
          </cell>
          <cell r="AG113">
            <v>101.82090737521406</v>
          </cell>
        </row>
        <row r="114">
          <cell r="A114">
            <v>40290</v>
          </cell>
          <cell r="B114">
            <v>12.983221</v>
          </cell>
          <cell r="C114">
            <v>58.02</v>
          </cell>
          <cell r="D114">
            <v>62.097121999999999</v>
          </cell>
          <cell r="E114">
            <v>31.843575999999999</v>
          </cell>
          <cell r="F114">
            <v>80.69</v>
          </cell>
          <cell r="G114">
            <v>1.201398</v>
          </cell>
          <cell r="H114">
            <v>24.63</v>
          </cell>
          <cell r="I114">
            <v>38.08</v>
          </cell>
          <cell r="J114">
            <v>31.875</v>
          </cell>
          <cell r="K114">
            <v>4.185746</v>
          </cell>
          <cell r="L114">
            <v>3.62</v>
          </cell>
          <cell r="M114">
            <v>16.690000000000001</v>
          </cell>
          <cell r="N114">
            <v>8.5208779999999997</v>
          </cell>
          <cell r="O114">
            <v>10.134466</v>
          </cell>
          <cell r="Q114">
            <v>93.924705759624928</v>
          </cell>
          <cell r="R114">
            <v>96.091421000331238</v>
          </cell>
          <cell r="S114">
            <v>119.19446528151542</v>
          </cell>
          <cell r="T114">
            <v>116.48242392016934</v>
          </cell>
          <cell r="U114">
            <v>107.81667557455906</v>
          </cell>
          <cell r="V114">
            <v>116.32431590847563</v>
          </cell>
          <cell r="W114">
            <v>125.92024539877301</v>
          </cell>
          <cell r="X114">
            <v>107.17703349282294</v>
          </cell>
          <cell r="Y114">
            <v>121.96288502008801</v>
          </cell>
          <cell r="Z114">
            <v>91.798614164732143</v>
          </cell>
          <cell r="AA114">
            <v>177.45098039215685</v>
          </cell>
          <cell r="AB114">
            <v>91.00327153762268</v>
          </cell>
          <cell r="AC114">
            <v>104.25404435258852</v>
          </cell>
          <cell r="AD114">
            <v>96.065268295947419</v>
          </cell>
          <cell r="AF114">
            <v>113.76225312090594</v>
          </cell>
          <cell r="AG114">
            <v>100.15965632426797</v>
          </cell>
        </row>
        <row r="115">
          <cell r="A115">
            <v>40291</v>
          </cell>
          <cell r="B115">
            <v>12.710933000000001</v>
          </cell>
          <cell r="C115">
            <v>57.83</v>
          </cell>
          <cell r="D115">
            <v>60.258853999999999</v>
          </cell>
          <cell r="E115">
            <v>31.116060000000001</v>
          </cell>
          <cell r="F115">
            <v>79.989999999999995</v>
          </cell>
          <cell r="G115">
            <v>1.2179114</v>
          </cell>
          <cell r="H115">
            <v>24.11</v>
          </cell>
          <cell r="I115">
            <v>38.32</v>
          </cell>
          <cell r="J115">
            <v>31.805</v>
          </cell>
          <cell r="K115">
            <v>4.0925703000000002</v>
          </cell>
          <cell r="L115">
            <v>3.88</v>
          </cell>
          <cell r="M115">
            <v>17.260000000000002</v>
          </cell>
          <cell r="N115">
            <v>8.5967199999999995</v>
          </cell>
          <cell r="O115">
            <v>10.213924</v>
          </cell>
          <cell r="Q115">
            <v>91.95488869482439</v>
          </cell>
          <cell r="R115">
            <v>95.776747267307044</v>
          </cell>
          <cell r="S115">
            <v>115.66593828626885</v>
          </cell>
          <cell r="T115">
            <v>113.82120185388176</v>
          </cell>
          <cell r="U115">
            <v>106.88134687332975</v>
          </cell>
          <cell r="V115">
            <v>117.92321149372134</v>
          </cell>
          <cell r="W115">
            <v>123.26175869120655</v>
          </cell>
          <cell r="X115">
            <v>107.85251899802984</v>
          </cell>
          <cell r="Y115">
            <v>121.6950449588674</v>
          </cell>
          <cell r="Z115">
            <v>89.755155212892063</v>
          </cell>
          <cell r="AA115">
            <v>190.19607843137254</v>
          </cell>
          <cell r="AB115">
            <v>94.111232279171219</v>
          </cell>
          <cell r="AC115">
            <v>105.18198103138958</v>
          </cell>
          <cell r="AD115">
            <v>96.818455892438408</v>
          </cell>
          <cell r="AF115">
            <v>114.0745935867394</v>
          </cell>
          <cell r="AG115">
            <v>101.00021846191399</v>
          </cell>
        </row>
        <row r="116">
          <cell r="A116">
            <v>40292</v>
          </cell>
          <cell r="B116">
            <v>12.710933000000001</v>
          </cell>
          <cell r="C116">
            <v>57.83</v>
          </cell>
          <cell r="D116">
            <v>60.258853999999999</v>
          </cell>
          <cell r="E116">
            <v>31.116060000000001</v>
          </cell>
          <cell r="F116">
            <v>79.989999999999995</v>
          </cell>
          <cell r="G116">
            <v>1.2179114</v>
          </cell>
          <cell r="H116">
            <v>24.11</v>
          </cell>
          <cell r="I116">
            <v>38.32</v>
          </cell>
          <cell r="J116">
            <v>31.805</v>
          </cell>
          <cell r="K116">
            <v>4.0925703000000002</v>
          </cell>
          <cell r="L116">
            <v>3.88</v>
          </cell>
          <cell r="M116">
            <v>17.260000000000002</v>
          </cell>
          <cell r="N116">
            <v>8.5967199999999995</v>
          </cell>
          <cell r="O116">
            <v>10.213924</v>
          </cell>
          <cell r="Q116">
            <v>91.95488869482439</v>
          </cell>
          <cell r="R116">
            <v>95.776747267307044</v>
          </cell>
          <cell r="S116">
            <v>115.66593828626885</v>
          </cell>
          <cell r="T116">
            <v>113.82120185388176</v>
          </cell>
          <cell r="U116">
            <v>106.88134687332975</v>
          </cell>
          <cell r="V116">
            <v>117.92321149372134</v>
          </cell>
          <cell r="W116">
            <v>123.26175869120655</v>
          </cell>
          <cell r="X116">
            <v>107.85251899802984</v>
          </cell>
          <cell r="Y116">
            <v>121.6950449588674</v>
          </cell>
          <cell r="Z116">
            <v>89.755155212892063</v>
          </cell>
          <cell r="AA116">
            <v>190.19607843137254</v>
          </cell>
          <cell r="AB116">
            <v>94.111232279171219</v>
          </cell>
          <cell r="AC116">
            <v>105.18198103138958</v>
          </cell>
          <cell r="AD116">
            <v>96.818455892438408</v>
          </cell>
          <cell r="AF116">
            <v>114.0745935867394</v>
          </cell>
          <cell r="AG116">
            <v>101.00021846191399</v>
          </cell>
        </row>
        <row r="117">
          <cell r="A117">
            <v>40293</v>
          </cell>
          <cell r="B117">
            <v>12.710933000000001</v>
          </cell>
          <cell r="C117">
            <v>57.83</v>
          </cell>
          <cell r="D117">
            <v>60.258853999999999</v>
          </cell>
          <cell r="E117">
            <v>31.116060000000001</v>
          </cell>
          <cell r="F117">
            <v>79.989999999999995</v>
          </cell>
          <cell r="G117">
            <v>1.2179114</v>
          </cell>
          <cell r="H117">
            <v>24.11</v>
          </cell>
          <cell r="I117">
            <v>38.32</v>
          </cell>
          <cell r="J117">
            <v>31.805</v>
          </cell>
          <cell r="K117">
            <v>4.0925703000000002</v>
          </cell>
          <cell r="L117">
            <v>3.88</v>
          </cell>
          <cell r="M117">
            <v>17.260000000000002</v>
          </cell>
          <cell r="N117">
            <v>8.5967199999999995</v>
          </cell>
          <cell r="O117">
            <v>10.213924</v>
          </cell>
          <cell r="Q117">
            <v>91.95488869482439</v>
          </cell>
          <cell r="R117">
            <v>95.776747267307044</v>
          </cell>
          <cell r="S117">
            <v>115.66593828626885</v>
          </cell>
          <cell r="T117">
            <v>113.82120185388176</v>
          </cell>
          <cell r="U117">
            <v>106.88134687332975</v>
          </cell>
          <cell r="V117">
            <v>117.92321149372134</v>
          </cell>
          <cell r="W117">
            <v>123.26175869120655</v>
          </cell>
          <cell r="X117">
            <v>107.85251899802984</v>
          </cell>
          <cell r="Y117">
            <v>121.6950449588674</v>
          </cell>
          <cell r="Z117">
            <v>89.755155212892063</v>
          </cell>
          <cell r="AA117">
            <v>190.19607843137254</v>
          </cell>
          <cell r="AB117">
            <v>94.111232279171219</v>
          </cell>
          <cell r="AC117">
            <v>105.18198103138958</v>
          </cell>
          <cell r="AD117">
            <v>96.818455892438408</v>
          </cell>
          <cell r="AF117">
            <v>114.0745935867394</v>
          </cell>
          <cell r="AG117">
            <v>101.00021846191399</v>
          </cell>
        </row>
        <row r="118">
          <cell r="A118">
            <v>40294</v>
          </cell>
          <cell r="B118">
            <v>12.785398000000001</v>
          </cell>
          <cell r="C118">
            <v>57.4</v>
          </cell>
          <cell r="D118">
            <v>61.201720000000002</v>
          </cell>
          <cell r="E118">
            <v>31.812145000000001</v>
          </cell>
          <cell r="F118">
            <v>78.91</v>
          </cell>
          <cell r="G118">
            <v>1.2496803000000001</v>
          </cell>
          <cell r="H118">
            <v>23.63</v>
          </cell>
          <cell r="I118">
            <v>38.07</v>
          </cell>
          <cell r="J118">
            <v>31.605</v>
          </cell>
          <cell r="K118">
            <v>4.1165456999999996</v>
          </cell>
          <cell r="L118">
            <v>4.04</v>
          </cell>
          <cell r="M118">
            <v>16.510000000000002</v>
          </cell>
          <cell r="N118">
            <v>8.5423530000000003</v>
          </cell>
          <cell r="O118">
            <v>10.325355</v>
          </cell>
          <cell r="Q118">
            <v>92.493591934520495</v>
          </cell>
          <cell r="R118">
            <v>95.064590924147069</v>
          </cell>
          <cell r="S118">
            <v>117.47575499085173</v>
          </cell>
          <cell r="T118">
            <v>116.36745068141516</v>
          </cell>
          <cell r="U118">
            <v>105.43826830571885</v>
          </cell>
          <cell r="V118">
            <v>120.99920759132164</v>
          </cell>
          <cell r="W118">
            <v>120.8077709611452</v>
          </cell>
          <cell r="X118">
            <v>107.14888826343933</v>
          </cell>
          <cell r="Y118">
            <v>120.92978764109432</v>
          </cell>
          <cell r="Z118">
            <v>90.280965544920107</v>
          </cell>
          <cell r="AA118">
            <v>198.03921568627453</v>
          </cell>
          <cell r="AB118">
            <v>90.021810250817893</v>
          </cell>
          <cell r="AC118">
            <v>104.51679375499423</v>
          </cell>
          <cell r="AD118">
            <v>97.874717654181509</v>
          </cell>
          <cell r="AF118">
            <v>114.58894189797219</v>
          </cell>
          <cell r="AG118">
            <v>101.19575570458787</v>
          </cell>
        </row>
        <row r="119">
          <cell r="A119">
            <v>40295</v>
          </cell>
          <cell r="B119">
            <v>12.708812</v>
          </cell>
          <cell r="C119">
            <v>56.35</v>
          </cell>
          <cell r="D119">
            <v>61.390377000000001</v>
          </cell>
          <cell r="E119">
            <v>31.315508000000001</v>
          </cell>
          <cell r="F119">
            <v>77.42</v>
          </cell>
          <cell r="G119">
            <v>1.2562538000000001</v>
          </cell>
          <cell r="H119">
            <v>23.25</v>
          </cell>
          <cell r="I119">
            <v>38.049999999999997</v>
          </cell>
          <cell r="J119">
            <v>30.47</v>
          </cell>
          <cell r="K119">
            <v>4.0975279999999996</v>
          </cell>
          <cell r="L119">
            <v>3.83</v>
          </cell>
          <cell r="M119">
            <v>16.11</v>
          </cell>
          <cell r="N119">
            <v>8.5069929999999996</v>
          </cell>
          <cell r="O119">
            <v>9.9914360000000002</v>
          </cell>
          <cell r="Q119">
            <v>91.939544713472131</v>
          </cell>
          <cell r="R119">
            <v>93.325604504802911</v>
          </cell>
          <cell r="S119">
            <v>117.83787918457224</v>
          </cell>
          <cell r="T119">
            <v>114.55077401267542</v>
          </cell>
          <cell r="U119">
            <v>103.44735435595938</v>
          </cell>
          <cell r="V119">
            <v>121.63568100864408</v>
          </cell>
          <cell r="W119">
            <v>118.86503067484664</v>
          </cell>
          <cell r="X119">
            <v>107.09259780467211</v>
          </cell>
          <cell r="Y119">
            <v>116.58695236273195</v>
          </cell>
          <cell r="Z119">
            <v>89.863883738092696</v>
          </cell>
          <cell r="AA119">
            <v>187.74509803921569</v>
          </cell>
          <cell r="AB119">
            <v>87.840785169029445</v>
          </cell>
          <cell r="AC119">
            <v>104.08415958181305</v>
          </cell>
          <cell r="AD119">
            <v>94.709477539496206</v>
          </cell>
          <cell r="AF119">
            <v>112.56093213072621</v>
          </cell>
          <cell r="AG119">
            <v>99.396818560654623</v>
          </cell>
        </row>
        <row r="120">
          <cell r="A120">
            <v>40296</v>
          </cell>
          <cell r="B120">
            <v>12.706268</v>
          </cell>
          <cell r="C120">
            <v>56.69</v>
          </cell>
          <cell r="D120">
            <v>59.642780000000002</v>
          </cell>
          <cell r="E120">
            <v>31.044014000000001</v>
          </cell>
          <cell r="F120">
            <v>78.13</v>
          </cell>
          <cell r="G120">
            <v>1.2520473000000001</v>
          </cell>
          <cell r="H120">
            <v>23.77</v>
          </cell>
          <cell r="I120">
            <v>37.700000000000003</v>
          </cell>
          <cell r="J120">
            <v>30.99</v>
          </cell>
          <cell r="K120">
            <v>4.0416454999999996</v>
          </cell>
          <cell r="L120">
            <v>3.91</v>
          </cell>
          <cell r="M120">
            <v>15.92</v>
          </cell>
          <cell r="N120">
            <v>8.4772280000000002</v>
          </cell>
          <cell r="O120">
            <v>9.9564760000000003</v>
          </cell>
          <cell r="Q120">
            <v>91.921140617026992</v>
          </cell>
          <cell r="R120">
            <v>93.88870486916197</v>
          </cell>
          <cell r="S120">
            <v>114.48339377150303</v>
          </cell>
          <cell r="T120">
            <v>113.55766070153905</v>
          </cell>
          <cell r="U120">
            <v>104.39604489577765</v>
          </cell>
          <cell r="V120">
            <v>121.22839030658781</v>
          </cell>
          <cell r="W120">
            <v>121.52351738241309</v>
          </cell>
          <cell r="X120">
            <v>106.10751477624542</v>
          </cell>
          <cell r="Y120">
            <v>118.57662138894203</v>
          </cell>
          <cell r="Z120">
            <v>88.638311031086431</v>
          </cell>
          <cell r="AA120">
            <v>191.66666666666669</v>
          </cell>
          <cell r="AB120">
            <v>86.804798255179932</v>
          </cell>
          <cell r="AC120">
            <v>103.7199809572447</v>
          </cell>
          <cell r="AD120">
            <v>94.378089405219924</v>
          </cell>
          <cell r="AF120">
            <v>112.73273038851084</v>
          </cell>
          <cell r="AG120">
            <v>99.049035181232313</v>
          </cell>
        </row>
        <row r="121">
          <cell r="A121">
            <v>40297</v>
          </cell>
          <cell r="B121">
            <v>12.943505999999999</v>
          </cell>
          <cell r="C121">
            <v>57.25</v>
          </cell>
          <cell r="D121">
            <v>59.544662000000002</v>
          </cell>
          <cell r="E121">
            <v>30.992943</v>
          </cell>
          <cell r="F121">
            <v>78.83</v>
          </cell>
          <cell r="G121">
            <v>1.2421</v>
          </cell>
          <cell r="H121">
            <v>24.19</v>
          </cell>
          <cell r="I121">
            <v>38.659999999999997</v>
          </cell>
          <cell r="J121">
            <v>30.844999999999999</v>
          </cell>
          <cell r="K121">
            <v>4.0825399999999998</v>
          </cell>
          <cell r="L121">
            <v>3.93</v>
          </cell>
          <cell r="M121">
            <v>16.260000000000002</v>
          </cell>
          <cell r="N121">
            <v>8.6775669999999998</v>
          </cell>
          <cell r="O121">
            <v>10.225894</v>
          </cell>
          <cell r="Q121">
            <v>93.637394953682119</v>
          </cell>
          <cell r="R121">
            <v>94.816164292812189</v>
          </cell>
          <cell r="S121">
            <v>114.29505778800137</v>
          </cell>
          <cell r="T121">
            <v>113.37084519212431</v>
          </cell>
          <cell r="U121">
            <v>105.33137359700694</v>
          </cell>
          <cell r="V121">
            <v>120.26525164010393</v>
          </cell>
          <cell r="W121">
            <v>123.67075664621679</v>
          </cell>
          <cell r="X121">
            <v>108.80945679707288</v>
          </cell>
          <cell r="Y121">
            <v>118.02180983355652</v>
          </cell>
          <cell r="Z121">
            <v>89.535178262628818</v>
          </cell>
          <cell r="AA121">
            <v>192.64705882352942</v>
          </cell>
          <cell r="AB121">
            <v>88.658669574700127</v>
          </cell>
          <cell r="AC121">
            <v>106.17115453249752</v>
          </cell>
          <cell r="AD121">
            <v>96.931920307978643</v>
          </cell>
          <cell r="AF121">
            <v>113.58825145011961</v>
          </cell>
          <cell r="AG121">
            <v>101.55153742023808</v>
          </cell>
        </row>
        <row r="122">
          <cell r="A122">
            <v>40298</v>
          </cell>
          <cell r="B122">
            <v>12.845731000000001</v>
          </cell>
          <cell r="C122">
            <v>57.16</v>
          </cell>
          <cell r="D122">
            <v>60.099986999999999</v>
          </cell>
          <cell r="E122">
            <v>32.12424</v>
          </cell>
          <cell r="F122">
            <v>78.569999999999993</v>
          </cell>
          <cell r="G122">
            <v>1.2550622</v>
          </cell>
          <cell r="H122">
            <v>23.4</v>
          </cell>
          <cell r="I122">
            <v>38.79</v>
          </cell>
          <cell r="J122">
            <v>34.215000000000003</v>
          </cell>
          <cell r="K122">
            <v>4.0678143999999996</v>
          </cell>
          <cell r="L122">
            <v>3.68</v>
          </cell>
          <cell r="M122">
            <v>16.29</v>
          </cell>
          <cell r="N122">
            <v>8.7245419999999996</v>
          </cell>
          <cell r="O122">
            <v>10.244113</v>
          </cell>
          <cell r="Q122">
            <v>92.930059839718709</v>
          </cell>
          <cell r="R122">
            <v>94.667108314011244</v>
          </cell>
          <cell r="S122">
            <v>115.36099553681456</v>
          </cell>
          <cell r="T122">
            <v>117.50908069474548</v>
          </cell>
          <cell r="U122">
            <v>104.9839657936932</v>
          </cell>
          <cell r="V122">
            <v>121.52030537555952</v>
          </cell>
          <cell r="W122">
            <v>119.6319018404908</v>
          </cell>
          <cell r="X122">
            <v>109.17534477905994</v>
          </cell>
          <cell r="Y122">
            <v>130.91639563803329</v>
          </cell>
          <cell r="Z122">
            <v>89.212227545422337</v>
          </cell>
          <cell r="AA122">
            <v>180.39215686274511</v>
          </cell>
          <cell r="AB122">
            <v>88.822246455834247</v>
          </cell>
          <cell r="AC122">
            <v>106.74589973287041</v>
          </cell>
          <cell r="AD122">
            <v>97.104619404614212</v>
          </cell>
          <cell r="AF122">
            <v>113.76014905634405</v>
          </cell>
          <cell r="AG122">
            <v>101.92525956874232</v>
          </cell>
        </row>
        <row r="123">
          <cell r="A123">
            <v>40299</v>
          </cell>
          <cell r="B123">
            <v>12.845731000000001</v>
          </cell>
          <cell r="C123">
            <v>57.16</v>
          </cell>
          <cell r="D123">
            <v>60.099986999999999</v>
          </cell>
          <cell r="E123">
            <v>32.12424</v>
          </cell>
          <cell r="F123">
            <v>78.569999999999993</v>
          </cell>
          <cell r="G123">
            <v>1.2550622</v>
          </cell>
          <cell r="H123">
            <v>23.4</v>
          </cell>
          <cell r="I123">
            <v>38.79</v>
          </cell>
          <cell r="J123">
            <v>34.215000000000003</v>
          </cell>
          <cell r="K123">
            <v>4.0678143999999996</v>
          </cell>
          <cell r="L123">
            <v>3.68</v>
          </cell>
          <cell r="M123">
            <v>16.29</v>
          </cell>
          <cell r="N123">
            <v>8.7245419999999996</v>
          </cell>
          <cell r="O123">
            <v>10.244113</v>
          </cell>
          <cell r="Q123">
            <v>92.930059839718709</v>
          </cell>
          <cell r="R123">
            <v>94.667108314011244</v>
          </cell>
          <cell r="S123">
            <v>115.36099553681456</v>
          </cell>
          <cell r="T123">
            <v>117.50908069474548</v>
          </cell>
          <cell r="U123">
            <v>104.9839657936932</v>
          </cell>
          <cell r="V123">
            <v>121.52030537555952</v>
          </cell>
          <cell r="W123">
            <v>119.6319018404908</v>
          </cell>
          <cell r="X123">
            <v>109.17534477905994</v>
          </cell>
          <cell r="Y123">
            <v>130.91639563803329</v>
          </cell>
          <cell r="Z123">
            <v>89.212227545422337</v>
          </cell>
          <cell r="AA123">
            <v>180.39215686274511</v>
          </cell>
          <cell r="AB123">
            <v>88.822246455834247</v>
          </cell>
          <cell r="AC123">
            <v>106.74589973287041</v>
          </cell>
          <cell r="AD123">
            <v>97.104619404614212</v>
          </cell>
          <cell r="AF123">
            <v>113.76014905634405</v>
          </cell>
          <cell r="AG123">
            <v>101.92525956874232</v>
          </cell>
        </row>
        <row r="124">
          <cell r="A124">
            <v>40300</v>
          </cell>
          <cell r="B124">
            <v>12.845731000000001</v>
          </cell>
          <cell r="C124">
            <v>57.16</v>
          </cell>
          <cell r="D124">
            <v>60.099986999999999</v>
          </cell>
          <cell r="E124">
            <v>32.12424</v>
          </cell>
          <cell r="F124">
            <v>78.569999999999993</v>
          </cell>
          <cell r="G124">
            <v>1.2550622</v>
          </cell>
          <cell r="H124">
            <v>23.4</v>
          </cell>
          <cell r="I124">
            <v>38.79</v>
          </cell>
          <cell r="J124">
            <v>34.215000000000003</v>
          </cell>
          <cell r="K124">
            <v>4.0678143999999996</v>
          </cell>
          <cell r="L124">
            <v>3.68</v>
          </cell>
          <cell r="M124">
            <v>16.29</v>
          </cell>
          <cell r="N124">
            <v>8.7245419999999996</v>
          </cell>
          <cell r="O124">
            <v>10.244113</v>
          </cell>
          <cell r="Q124">
            <v>92.930059839718709</v>
          </cell>
          <cell r="R124">
            <v>94.667108314011244</v>
          </cell>
          <cell r="S124">
            <v>115.36099553681456</v>
          </cell>
          <cell r="T124">
            <v>117.50908069474548</v>
          </cell>
          <cell r="U124">
            <v>104.9839657936932</v>
          </cell>
          <cell r="V124">
            <v>121.52030537555952</v>
          </cell>
          <cell r="W124">
            <v>119.6319018404908</v>
          </cell>
          <cell r="X124">
            <v>109.17534477905994</v>
          </cell>
          <cell r="Y124">
            <v>130.91639563803329</v>
          </cell>
          <cell r="Z124">
            <v>89.212227545422337</v>
          </cell>
          <cell r="AA124">
            <v>180.39215686274511</v>
          </cell>
          <cell r="AB124">
            <v>88.822246455834247</v>
          </cell>
          <cell r="AC124">
            <v>106.74589973287041</v>
          </cell>
          <cell r="AD124">
            <v>97.104619404614212</v>
          </cell>
          <cell r="AF124">
            <v>113.76014905634405</v>
          </cell>
          <cell r="AG124">
            <v>101.92525956874232</v>
          </cell>
        </row>
        <row r="125">
          <cell r="A125">
            <v>40301</v>
          </cell>
          <cell r="B125">
            <v>12.835749</v>
          </cell>
          <cell r="C125">
            <v>56.74</v>
          </cell>
          <cell r="D125">
            <v>59.782032000000001</v>
          </cell>
          <cell r="E125">
            <v>31.95429</v>
          </cell>
          <cell r="F125">
            <v>78.56</v>
          </cell>
          <cell r="G125">
            <v>1.2311053999999999</v>
          </cell>
          <cell r="H125">
            <v>23.61</v>
          </cell>
          <cell r="I125">
            <v>38.119999999999997</v>
          </cell>
          <cell r="J125">
            <v>34.340000000000003</v>
          </cell>
          <cell r="K125">
            <v>4.0660400000000001</v>
          </cell>
          <cell r="L125">
            <v>3.62</v>
          </cell>
          <cell r="M125">
            <v>16.64</v>
          </cell>
          <cell r="N125">
            <v>8.8498125000000005</v>
          </cell>
          <cell r="O125">
            <v>10.47564</v>
          </cell>
          <cell r="Q125">
            <v>92.857846910978395</v>
          </cell>
          <cell r="R125">
            <v>93.971513746273601</v>
          </cell>
          <cell r="S125">
            <v>114.75068583182397</v>
          </cell>
          <cell r="T125">
            <v>116.88741094429935</v>
          </cell>
          <cell r="U125">
            <v>104.97060395510422</v>
          </cell>
          <cell r="V125">
            <v>119.20070906246745</v>
          </cell>
          <cell r="W125">
            <v>120.70552147239265</v>
          </cell>
          <cell r="X125">
            <v>107.28961441035743</v>
          </cell>
          <cell r="Y125">
            <v>131.39468146164148</v>
          </cell>
          <cell r="Z125">
            <v>89.173312747206239</v>
          </cell>
          <cell r="AA125">
            <v>177.45098039215685</v>
          </cell>
          <cell r="AB125">
            <v>90.730643402399139</v>
          </cell>
          <cell r="AC125">
            <v>108.27860050186054</v>
          </cell>
          <cell r="AD125">
            <v>99.299279031747574</v>
          </cell>
          <cell r="AF125">
            <v>113.28196036142508</v>
          </cell>
          <cell r="AG125">
            <v>103.78893976680405</v>
          </cell>
        </row>
        <row r="126">
          <cell r="A126">
            <v>40302</v>
          </cell>
          <cell r="B126">
            <v>12.521437000000001</v>
          </cell>
          <cell r="C126">
            <v>55.98</v>
          </cell>
          <cell r="D126">
            <v>59.778869999999998</v>
          </cell>
          <cell r="E126">
            <v>31.9526</v>
          </cell>
          <cell r="F126">
            <v>77.83</v>
          </cell>
          <cell r="G126">
            <v>1.2260593</v>
          </cell>
          <cell r="H126">
            <v>23</v>
          </cell>
          <cell r="I126">
            <v>37.950000000000003</v>
          </cell>
          <cell r="J126">
            <v>33.854999999999997</v>
          </cell>
          <cell r="K126">
            <v>4.0614986000000002</v>
          </cell>
          <cell r="L126">
            <v>3.44</v>
          </cell>
          <cell r="M126">
            <v>15.96</v>
          </cell>
          <cell r="N126">
            <v>8.6585029999999996</v>
          </cell>
          <cell r="O126">
            <v>10.139562</v>
          </cell>
          <cell r="Q126">
            <v>90.584015007730414</v>
          </cell>
          <cell r="R126">
            <v>92.71281881417687</v>
          </cell>
          <cell r="S126">
            <v>114.74461642172764</v>
          </cell>
          <cell r="T126">
            <v>116.88122899738404</v>
          </cell>
          <cell r="U126">
            <v>103.99518973810795</v>
          </cell>
          <cell r="V126">
            <v>118.71212482102061</v>
          </cell>
          <cell r="W126">
            <v>117.58691206543968</v>
          </cell>
          <cell r="X126">
            <v>106.81114551083593</v>
          </cell>
          <cell r="Y126">
            <v>129.5389324660417</v>
          </cell>
          <cell r="Z126">
            <v>89.073714198615917</v>
          </cell>
          <cell r="AA126">
            <v>168.62745098039215</v>
          </cell>
          <cell r="AB126">
            <v>87.022900763358777</v>
          </cell>
          <cell r="AC126">
            <v>105.93790402691141</v>
          </cell>
          <cell r="AD126">
            <v>96.113573614376264</v>
          </cell>
          <cell r="AF126">
            <v>111.35758748206933</v>
          </cell>
          <cell r="AG126">
            <v>101.02573882064384</v>
          </cell>
        </row>
        <row r="127">
          <cell r="A127">
            <v>40303</v>
          </cell>
          <cell r="B127">
            <v>12.428639</v>
          </cell>
          <cell r="C127">
            <v>56.59</v>
          </cell>
          <cell r="D127">
            <v>59.867550000000001</v>
          </cell>
          <cell r="E127">
            <v>32</v>
          </cell>
          <cell r="F127">
            <v>77.67</v>
          </cell>
          <cell r="G127">
            <v>1.1920577000000001</v>
          </cell>
          <cell r="H127">
            <v>23</v>
          </cell>
          <cell r="I127">
            <v>37.25</v>
          </cell>
          <cell r="J127">
            <v>33.795000000000002</v>
          </cell>
          <cell r="K127">
            <v>3.9191039999999999</v>
          </cell>
          <cell r="L127">
            <v>3.59</v>
          </cell>
          <cell r="M127">
            <v>15.99</v>
          </cell>
          <cell r="N127">
            <v>8.4962389999999992</v>
          </cell>
          <cell r="O127">
            <v>9.8442270000000001</v>
          </cell>
          <cell r="Q127">
            <v>89.912685077732178</v>
          </cell>
          <cell r="R127">
            <v>93.723087114938721</v>
          </cell>
          <cell r="S127">
            <v>114.9148363101979</v>
          </cell>
          <cell r="T127">
            <v>117.05461614755262</v>
          </cell>
          <cell r="U127">
            <v>103.78140032068413</v>
          </cell>
          <cell r="V127">
            <v>115.41994948878798</v>
          </cell>
          <cell r="W127">
            <v>117.58691206543968</v>
          </cell>
          <cell r="X127">
            <v>104.84097945398254</v>
          </cell>
          <cell r="Y127">
            <v>129.30935527070977</v>
          </cell>
          <cell r="Z127">
            <v>85.950823573016237</v>
          </cell>
          <cell r="AA127">
            <v>175.98039215686273</v>
          </cell>
          <cell r="AB127">
            <v>87.186477644492911</v>
          </cell>
          <cell r="AC127">
            <v>103.95258300097623</v>
          </cell>
          <cell r="AD127">
            <v>93.314073767794937</v>
          </cell>
          <cell r="AF127">
            <v>111.30512621869978</v>
          </cell>
          <cell r="AG127">
            <v>98.633328384385578</v>
          </cell>
        </row>
        <row r="128">
          <cell r="A128">
            <v>40304</v>
          </cell>
          <cell r="B128">
            <v>12.142575000000001</v>
          </cell>
          <cell r="C128">
            <v>55.07</v>
          </cell>
          <cell r="D128">
            <v>59.882164000000003</v>
          </cell>
          <cell r="E128">
            <v>31.933584</v>
          </cell>
          <cell r="F128">
            <v>76.260000000000005</v>
          </cell>
          <cell r="G128">
            <v>1.153543</v>
          </cell>
          <cell r="H128">
            <v>22.16</v>
          </cell>
          <cell r="I128">
            <v>36.26</v>
          </cell>
          <cell r="J128">
            <v>32.844999999999999</v>
          </cell>
          <cell r="K128">
            <v>3.9305964000000002</v>
          </cell>
          <cell r="L128">
            <v>3.31</v>
          </cell>
          <cell r="M128">
            <v>15.91</v>
          </cell>
          <cell r="N128">
            <v>8.2943960000000008</v>
          </cell>
          <cell r="O128">
            <v>9.5109080000000006</v>
          </cell>
          <cell r="Q128">
            <v>87.843208094445728</v>
          </cell>
          <cell r="R128">
            <v>91.205697250745274</v>
          </cell>
          <cell r="S128">
            <v>114.942887657177</v>
          </cell>
          <cell r="T128">
            <v>116.81166929173837</v>
          </cell>
          <cell r="U128">
            <v>101.89738107963655</v>
          </cell>
          <cell r="V128">
            <v>111.69079717629855</v>
          </cell>
          <cell r="W128">
            <v>113.29243353783231</v>
          </cell>
          <cell r="X128">
            <v>102.05460174500421</v>
          </cell>
          <cell r="Y128">
            <v>125.67438301128753</v>
          </cell>
          <cell r="Z128">
            <v>86.202866194194584</v>
          </cell>
          <cell r="AA128">
            <v>162.25490196078431</v>
          </cell>
          <cell r="AB128">
            <v>86.750272628135221</v>
          </cell>
          <cell r="AC128">
            <v>101.483007791208</v>
          </cell>
          <cell r="AD128">
            <v>90.154521092485069</v>
          </cell>
          <cell r="AF128">
            <v>108.38509163560663</v>
          </cell>
          <cell r="AG128">
            <v>95.818764441846525</v>
          </cell>
        </row>
        <row r="129">
          <cell r="A129">
            <v>40305</v>
          </cell>
          <cell r="B129">
            <v>11.498613000000001</v>
          </cell>
          <cell r="C129">
            <v>54.5</v>
          </cell>
          <cell r="D129">
            <v>58.555343999999998</v>
          </cell>
          <cell r="E129">
            <v>31.299092999999999</v>
          </cell>
          <cell r="F129">
            <v>75.23</v>
          </cell>
          <cell r="G129">
            <v>1.1237161</v>
          </cell>
          <cell r="H129">
            <v>20.79</v>
          </cell>
          <cell r="I129">
            <v>27.89</v>
          </cell>
          <cell r="J129">
            <v>31.815000000000001</v>
          </cell>
          <cell r="K129">
            <v>3.8505340000000001</v>
          </cell>
          <cell r="L129">
            <v>3.32</v>
          </cell>
          <cell r="M129">
            <v>15.38</v>
          </cell>
          <cell r="N129">
            <v>7.9578322999999997</v>
          </cell>
          <cell r="O129">
            <v>9.168806</v>
          </cell>
          <cell r="Q129">
            <v>83.184584369995562</v>
          </cell>
          <cell r="R129">
            <v>90.261676051672737</v>
          </cell>
          <cell r="S129">
            <v>112.39607718784765</v>
          </cell>
          <cell r="T129">
            <v>114.49072865254848</v>
          </cell>
          <cell r="U129">
            <v>100.52111170497059</v>
          </cell>
          <cell r="V129">
            <v>108.80283353879415</v>
          </cell>
          <cell r="W129">
            <v>106.28834355828221</v>
          </cell>
          <cell r="X129">
            <v>78.497044750914725</v>
          </cell>
          <cell r="Y129">
            <v>121.73330782475607</v>
          </cell>
          <cell r="Z129">
            <v>84.446998215893359</v>
          </cell>
          <cell r="AA129">
            <v>162.74509803921569</v>
          </cell>
          <cell r="AB129">
            <v>83.860414394765542</v>
          </cell>
          <cell r="AC129">
            <v>97.365107393235945</v>
          </cell>
          <cell r="AD129">
            <v>86.911713783784222</v>
          </cell>
          <cell r="AF129">
            <v>103.9356848574714</v>
          </cell>
          <cell r="AG129">
            <v>92.138410588510084</v>
          </cell>
        </row>
        <row r="130">
          <cell r="A130">
            <v>40306</v>
          </cell>
          <cell r="B130">
            <v>11.498613000000001</v>
          </cell>
          <cell r="C130">
            <v>54.5</v>
          </cell>
          <cell r="D130">
            <v>58.555343999999998</v>
          </cell>
          <cell r="E130">
            <v>31.299092999999999</v>
          </cell>
          <cell r="F130">
            <v>75.23</v>
          </cell>
          <cell r="G130">
            <v>1.1237161</v>
          </cell>
          <cell r="H130">
            <v>20.79</v>
          </cell>
          <cell r="I130">
            <v>27.89</v>
          </cell>
          <cell r="J130">
            <v>31.815000000000001</v>
          </cell>
          <cell r="K130">
            <v>3.8505340000000001</v>
          </cell>
          <cell r="L130">
            <v>3.32</v>
          </cell>
          <cell r="M130">
            <v>15.38</v>
          </cell>
          <cell r="N130">
            <v>7.9578322999999997</v>
          </cell>
          <cell r="O130">
            <v>9.168806</v>
          </cell>
          <cell r="Q130">
            <v>83.184584369995562</v>
          </cell>
          <cell r="R130">
            <v>90.261676051672737</v>
          </cell>
          <cell r="S130">
            <v>112.39607718784765</v>
          </cell>
          <cell r="T130">
            <v>114.49072865254848</v>
          </cell>
          <cell r="U130">
            <v>100.52111170497059</v>
          </cell>
          <cell r="V130">
            <v>108.80283353879415</v>
          </cell>
          <cell r="W130">
            <v>106.28834355828221</v>
          </cell>
          <cell r="X130">
            <v>78.497044750914725</v>
          </cell>
          <cell r="Y130">
            <v>121.73330782475607</v>
          </cell>
          <cell r="Z130">
            <v>84.446998215893359</v>
          </cell>
          <cell r="AA130">
            <v>162.74509803921569</v>
          </cell>
          <cell r="AB130">
            <v>83.860414394765542</v>
          </cell>
          <cell r="AC130">
            <v>97.365107393235945</v>
          </cell>
          <cell r="AD130">
            <v>86.911713783784222</v>
          </cell>
          <cell r="AF130">
            <v>103.9356848574714</v>
          </cell>
          <cell r="AG130">
            <v>92.138410588510084</v>
          </cell>
        </row>
        <row r="131">
          <cell r="A131">
            <v>40307</v>
          </cell>
          <cell r="B131">
            <v>11.498613000000001</v>
          </cell>
          <cell r="C131">
            <v>54.5</v>
          </cell>
          <cell r="D131">
            <v>58.555343999999998</v>
          </cell>
          <cell r="E131">
            <v>31.299092999999999</v>
          </cell>
          <cell r="F131">
            <v>75.23</v>
          </cell>
          <cell r="G131">
            <v>1.1237161</v>
          </cell>
          <cell r="H131">
            <v>20.79</v>
          </cell>
          <cell r="I131">
            <v>27.89</v>
          </cell>
          <cell r="J131">
            <v>31.815000000000001</v>
          </cell>
          <cell r="K131">
            <v>3.8505340000000001</v>
          </cell>
          <cell r="L131">
            <v>3.32</v>
          </cell>
          <cell r="M131">
            <v>15.38</v>
          </cell>
          <cell r="N131">
            <v>7.9578322999999997</v>
          </cell>
          <cell r="O131">
            <v>9.168806</v>
          </cell>
          <cell r="Q131">
            <v>83.184584369995562</v>
          </cell>
          <cell r="R131">
            <v>90.261676051672737</v>
          </cell>
          <cell r="S131">
            <v>112.39607718784765</v>
          </cell>
          <cell r="T131">
            <v>114.49072865254848</v>
          </cell>
          <cell r="U131">
            <v>100.52111170497059</v>
          </cell>
          <cell r="V131">
            <v>108.80283353879415</v>
          </cell>
          <cell r="W131">
            <v>106.28834355828221</v>
          </cell>
          <cell r="X131">
            <v>78.497044750914725</v>
          </cell>
          <cell r="Y131">
            <v>121.73330782475607</v>
          </cell>
          <cell r="Z131">
            <v>84.446998215893359</v>
          </cell>
          <cell r="AA131">
            <v>162.74509803921569</v>
          </cell>
          <cell r="AB131">
            <v>83.860414394765542</v>
          </cell>
          <cell r="AC131">
            <v>97.365107393235945</v>
          </cell>
          <cell r="AD131">
            <v>86.911713783784222</v>
          </cell>
          <cell r="AF131">
            <v>103.9356848574714</v>
          </cell>
          <cell r="AG131">
            <v>92.138410588510084</v>
          </cell>
        </row>
        <row r="132">
          <cell r="A132">
            <v>40308</v>
          </cell>
          <cell r="B132">
            <v>11.678756</v>
          </cell>
          <cell r="C132">
            <v>54.93</v>
          </cell>
          <cell r="D132">
            <v>56.499595999999997</v>
          </cell>
          <cell r="E132">
            <v>31.08014</v>
          </cell>
          <cell r="F132">
            <v>76.86</v>
          </cell>
          <cell r="G132">
            <v>1.1583711000000001</v>
          </cell>
          <cell r="H132">
            <v>21.96</v>
          </cell>
          <cell r="I132">
            <v>29.8</v>
          </cell>
          <cell r="J132">
            <v>33.21</v>
          </cell>
          <cell r="K132">
            <v>3.9229105</v>
          </cell>
          <cell r="L132">
            <v>3.23</v>
          </cell>
          <cell r="M132">
            <v>15.97</v>
          </cell>
          <cell r="N132">
            <v>8.5477729999999994</v>
          </cell>
          <cell r="O132">
            <v>9.4316410000000008</v>
          </cell>
          <cell r="Q132">
            <v>84.487795512258018</v>
          </cell>
          <cell r="R132">
            <v>90.973832394832726</v>
          </cell>
          <cell r="S132">
            <v>108.45010069615864</v>
          </cell>
          <cell r="T132">
            <v>113.68980804725612</v>
          </cell>
          <cell r="U132">
            <v>102.69909139497595</v>
          </cell>
          <cell r="V132">
            <v>112.15827375744627</v>
          </cell>
          <cell r="W132">
            <v>112.26993865030677</v>
          </cell>
          <cell r="X132">
            <v>83.872783563186033</v>
          </cell>
          <cell r="Y132">
            <v>127.07097761622346</v>
          </cell>
          <cell r="Z132">
            <v>86.034304850862071</v>
          </cell>
          <cell r="AA132">
            <v>158.33333333333331</v>
          </cell>
          <cell r="AB132">
            <v>87.077426390403488</v>
          </cell>
          <cell r="AC132">
            <v>104.58310815597392</v>
          </cell>
          <cell r="AD132">
            <v>89.40314399752863</v>
          </cell>
          <cell r="AF132">
            <v>105.59313885060357</v>
          </cell>
          <cell r="AG132">
            <v>96.993126076751281</v>
          </cell>
        </row>
        <row r="133">
          <cell r="A133">
            <v>40309</v>
          </cell>
          <cell r="B133">
            <v>11.536025</v>
          </cell>
          <cell r="C133">
            <v>54.89</v>
          </cell>
          <cell r="D133">
            <v>55.345776000000001</v>
          </cell>
          <cell r="E133">
            <v>29.970870999999999</v>
          </cell>
          <cell r="F133">
            <v>76.94</v>
          </cell>
          <cell r="G133">
            <v>1.1859135999999999</v>
          </cell>
          <cell r="H133">
            <v>22.45</v>
          </cell>
          <cell r="I133">
            <v>29.65</v>
          </cell>
          <cell r="J133">
            <v>33.784999999999997</v>
          </cell>
          <cell r="K133">
            <v>3.8811955</v>
          </cell>
          <cell r="L133">
            <v>3.23</v>
          </cell>
          <cell r="M133">
            <v>15.95</v>
          </cell>
          <cell r="N133">
            <v>8.5761559999999992</v>
          </cell>
          <cell r="O133">
            <v>9.5072500000000009</v>
          </cell>
          <cell r="Q133">
            <v>83.45523454932156</v>
          </cell>
          <cell r="R133">
            <v>90.907585293143427</v>
          </cell>
          <cell r="S133">
            <v>106.23536105120186</v>
          </cell>
          <cell r="T133">
            <v>109.63215001602551</v>
          </cell>
          <cell r="U133">
            <v>102.80598610368786</v>
          </cell>
          <cell r="V133">
            <v>114.82505235280698</v>
          </cell>
          <cell r="W133">
            <v>114.77505112474438</v>
          </cell>
          <cell r="X133">
            <v>83.450605122431739</v>
          </cell>
          <cell r="Y133">
            <v>129.2710924048211</v>
          </cell>
          <cell r="Z133">
            <v>85.119443034143643</v>
          </cell>
          <cell r="AA133">
            <v>158.33333333333331</v>
          </cell>
          <cell r="AB133">
            <v>86.968375136314066</v>
          </cell>
          <cell r="AC133">
            <v>104.93037783180537</v>
          </cell>
          <cell r="AD133">
            <v>90.119846670426085</v>
          </cell>
          <cell r="AF133">
            <v>105.48160579349796</v>
          </cell>
          <cell r="AG133">
            <v>97.525112251115729</v>
          </cell>
        </row>
        <row r="134">
          <cell r="A134">
            <v>40310</v>
          </cell>
          <cell r="B134">
            <v>11.647041</v>
          </cell>
          <cell r="C134">
            <v>55.39</v>
          </cell>
          <cell r="D134">
            <v>56.7254</v>
          </cell>
          <cell r="E134">
            <v>29.447786000000001</v>
          </cell>
          <cell r="F134">
            <v>77.19</v>
          </cell>
          <cell r="G134">
            <v>1.2251704000000001</v>
          </cell>
          <cell r="H134">
            <v>23.11</v>
          </cell>
          <cell r="I134">
            <v>29.98</v>
          </cell>
          <cell r="J134">
            <v>34.384999999999998</v>
          </cell>
          <cell r="K134">
            <v>3.9539110000000002</v>
          </cell>
          <cell r="L134">
            <v>3.43</v>
          </cell>
          <cell r="M134">
            <v>16.14</v>
          </cell>
          <cell r="N134">
            <v>8.6365049999999997</v>
          </cell>
          <cell r="O134">
            <v>9.6864329999999992</v>
          </cell>
          <cell r="Q134">
            <v>84.258359223438291</v>
          </cell>
          <cell r="R134">
            <v>91.735674064259683</v>
          </cell>
          <cell r="S134">
            <v>108.88352798186163</v>
          </cell>
          <cell r="T134">
            <v>107.7187277070398</v>
          </cell>
          <cell r="U134">
            <v>103.14003206841261</v>
          </cell>
          <cell r="V134">
            <v>118.62605785203029</v>
          </cell>
          <cell r="W134">
            <v>118.14928425357874</v>
          </cell>
          <cell r="X134">
            <v>84.379397692091189</v>
          </cell>
          <cell r="Y134">
            <v>131.56686435814041</v>
          </cell>
          <cell r="Z134">
            <v>86.714184360611043</v>
          </cell>
          <cell r="AA134">
            <v>168.13725490196077</v>
          </cell>
          <cell r="AB134">
            <v>88.004362050163579</v>
          </cell>
          <cell r="AC134">
            <v>105.66875565186504</v>
          </cell>
          <cell r="AD134">
            <v>91.818334086445091</v>
          </cell>
          <cell r="AF134">
            <v>107.60947720946564</v>
          </cell>
          <cell r="AG134">
            <v>98.743544869155073</v>
          </cell>
        </row>
        <row r="135">
          <cell r="A135">
            <v>40311</v>
          </cell>
          <cell r="B135">
            <v>11.691549999999999</v>
          </cell>
          <cell r="C135">
            <v>55.25</v>
          </cell>
          <cell r="D135">
            <v>57.229239999999997</v>
          </cell>
          <cell r="E135">
            <v>29.132923000000002</v>
          </cell>
          <cell r="F135">
            <v>77.8</v>
          </cell>
          <cell r="G135">
            <v>1.208656</v>
          </cell>
          <cell r="H135">
            <v>24.26</v>
          </cell>
          <cell r="I135">
            <v>30.09</v>
          </cell>
          <cell r="J135">
            <v>34.409999999999997</v>
          </cell>
          <cell r="K135">
            <v>4.0470750000000004</v>
          </cell>
          <cell r="L135">
            <v>3.27</v>
          </cell>
          <cell r="M135">
            <v>16.22</v>
          </cell>
          <cell r="N135">
            <v>8.6500210000000006</v>
          </cell>
          <cell r="O135">
            <v>9.9873049999999992</v>
          </cell>
          <cell r="Q135">
            <v>84.580351333767084</v>
          </cell>
          <cell r="R135">
            <v>91.503809208347135</v>
          </cell>
          <cell r="S135">
            <v>109.85064106944465</v>
          </cell>
          <cell r="T135">
            <v>106.56697246941273</v>
          </cell>
          <cell r="U135">
            <v>103.95510422234098</v>
          </cell>
          <cell r="V135">
            <v>117.02706544265476</v>
          </cell>
          <cell r="W135">
            <v>124.02862985685073</v>
          </cell>
          <cell r="X135">
            <v>84.688995215310996</v>
          </cell>
          <cell r="Y135">
            <v>131.66252152286205</v>
          </cell>
          <cell r="Z135">
            <v>88.757386716903838</v>
          </cell>
          <cell r="AA135">
            <v>160.29411764705884</v>
          </cell>
          <cell r="AB135">
            <v>88.440567066521254</v>
          </cell>
          <cell r="AC135">
            <v>105.83412565991699</v>
          </cell>
          <cell r="AD135">
            <v>94.670319519396202</v>
          </cell>
          <cell r="AF135">
            <v>107.61301348095624</v>
          </cell>
          <cell r="AG135">
            <v>100.2522225896566</v>
          </cell>
        </row>
        <row r="136">
          <cell r="A136">
            <v>40312</v>
          </cell>
          <cell r="B136">
            <v>11.715992999999999</v>
          </cell>
          <cell r="C136">
            <v>54.97</v>
          </cell>
          <cell r="D136">
            <v>56.739131999999998</v>
          </cell>
          <cell r="E136">
            <v>29.467392</v>
          </cell>
          <cell r="F136">
            <v>77.47</v>
          </cell>
          <cell r="G136">
            <v>1.2119025999999999</v>
          </cell>
          <cell r="H136">
            <v>24.02</v>
          </cell>
          <cell r="I136">
            <v>29.51</v>
          </cell>
          <cell r="J136">
            <v>34.145000000000003</v>
          </cell>
          <cell r="K136">
            <v>4.7042165000000002</v>
          </cell>
          <cell r="L136">
            <v>3.25</v>
          </cell>
          <cell r="M136">
            <v>15.97</v>
          </cell>
          <cell r="N136">
            <v>8.4698539999999998</v>
          </cell>
          <cell r="O136">
            <v>9.7514769999999995</v>
          </cell>
          <cell r="Q136">
            <v>84.757179686521951</v>
          </cell>
          <cell r="R136">
            <v>91.040079496522026</v>
          </cell>
          <cell r="S136">
            <v>108.90988634348176</v>
          </cell>
          <cell r="T136">
            <v>107.79044560717071</v>
          </cell>
          <cell r="U136">
            <v>103.51416354890432</v>
          </cell>
          <cell r="V136">
            <v>117.34141466250401</v>
          </cell>
          <cell r="W136">
            <v>122.80163599182006</v>
          </cell>
          <cell r="X136">
            <v>83.05657191106107</v>
          </cell>
          <cell r="Y136">
            <v>130.6485555768127</v>
          </cell>
          <cell r="Z136">
            <v>103.16931687466624</v>
          </cell>
          <cell r="AA136">
            <v>159.31372549019608</v>
          </cell>
          <cell r="AB136">
            <v>87.077426390403488</v>
          </cell>
          <cell r="AC136">
            <v>103.62975911355019</v>
          </cell>
          <cell r="AD136">
            <v>92.43489043100648</v>
          </cell>
          <cell r="AF136">
            <v>108.28503346500536</v>
          </cell>
          <cell r="AG136">
            <v>98.032324772278344</v>
          </cell>
        </row>
        <row r="137">
          <cell r="A137">
            <v>40313</v>
          </cell>
          <cell r="B137">
            <v>11.715992999999999</v>
          </cell>
          <cell r="C137">
            <v>54.97</v>
          </cell>
          <cell r="D137">
            <v>56.739131999999998</v>
          </cell>
          <cell r="E137">
            <v>29.467392</v>
          </cell>
          <cell r="F137">
            <v>77.47</v>
          </cell>
          <cell r="G137">
            <v>1.2119025999999999</v>
          </cell>
          <cell r="H137">
            <v>24.02</v>
          </cell>
          <cell r="I137">
            <v>29.51</v>
          </cell>
          <cell r="J137">
            <v>34.145000000000003</v>
          </cell>
          <cell r="K137">
            <v>4.7042165000000002</v>
          </cell>
          <cell r="L137">
            <v>3.25</v>
          </cell>
          <cell r="M137">
            <v>15.97</v>
          </cell>
          <cell r="N137">
            <v>8.4698539999999998</v>
          </cell>
          <cell r="O137">
            <v>9.7514769999999995</v>
          </cell>
          <cell r="Q137">
            <v>84.757179686521951</v>
          </cell>
          <cell r="R137">
            <v>91.040079496522026</v>
          </cell>
          <cell r="S137">
            <v>108.90988634348176</v>
          </cell>
          <cell r="T137">
            <v>107.79044560717071</v>
          </cell>
          <cell r="U137">
            <v>103.51416354890432</v>
          </cell>
          <cell r="V137">
            <v>117.34141466250401</v>
          </cell>
          <cell r="W137">
            <v>122.80163599182006</v>
          </cell>
          <cell r="X137">
            <v>83.05657191106107</v>
          </cell>
          <cell r="Y137">
            <v>130.6485555768127</v>
          </cell>
          <cell r="Z137">
            <v>103.16931687466624</v>
          </cell>
          <cell r="AA137">
            <v>159.31372549019608</v>
          </cell>
          <cell r="AB137">
            <v>87.077426390403488</v>
          </cell>
          <cell r="AC137">
            <v>103.62975911355019</v>
          </cell>
          <cell r="AD137">
            <v>92.43489043100648</v>
          </cell>
          <cell r="AF137">
            <v>108.28503346500536</v>
          </cell>
          <cell r="AG137">
            <v>98.032324772278344</v>
          </cell>
        </row>
        <row r="138">
          <cell r="A138">
            <v>40314</v>
          </cell>
          <cell r="B138">
            <v>11.715992999999999</v>
          </cell>
          <cell r="C138">
            <v>54.97</v>
          </cell>
          <cell r="D138">
            <v>56.739131999999998</v>
          </cell>
          <cell r="E138">
            <v>29.467392</v>
          </cell>
          <cell r="F138">
            <v>77.47</v>
          </cell>
          <cell r="G138">
            <v>1.2119025999999999</v>
          </cell>
          <cell r="H138">
            <v>24.02</v>
          </cell>
          <cell r="I138">
            <v>29.51</v>
          </cell>
          <cell r="J138">
            <v>34.145000000000003</v>
          </cell>
          <cell r="K138">
            <v>4.7042165000000002</v>
          </cell>
          <cell r="L138">
            <v>3.25</v>
          </cell>
          <cell r="M138">
            <v>15.97</v>
          </cell>
          <cell r="N138">
            <v>8.4698539999999998</v>
          </cell>
          <cell r="O138">
            <v>9.7514769999999995</v>
          </cell>
          <cell r="Q138">
            <v>84.757179686521951</v>
          </cell>
          <cell r="R138">
            <v>91.040079496522026</v>
          </cell>
          <cell r="S138">
            <v>108.90988634348176</v>
          </cell>
          <cell r="T138">
            <v>107.79044560717071</v>
          </cell>
          <cell r="U138">
            <v>103.51416354890432</v>
          </cell>
          <cell r="V138">
            <v>117.34141466250401</v>
          </cell>
          <cell r="W138">
            <v>122.80163599182006</v>
          </cell>
          <cell r="X138">
            <v>83.05657191106107</v>
          </cell>
          <cell r="Y138">
            <v>130.6485555768127</v>
          </cell>
          <cell r="Z138">
            <v>103.16931687466624</v>
          </cell>
          <cell r="AA138">
            <v>159.31372549019608</v>
          </cell>
          <cell r="AB138">
            <v>87.077426390403488</v>
          </cell>
          <cell r="AC138">
            <v>103.62975911355019</v>
          </cell>
          <cell r="AD138">
            <v>92.43489043100648</v>
          </cell>
          <cell r="AF138">
            <v>108.28503346500536</v>
          </cell>
          <cell r="AG138">
            <v>98.032324772278344</v>
          </cell>
        </row>
        <row r="139">
          <cell r="A139">
            <v>40315</v>
          </cell>
          <cell r="B139">
            <v>11.339745000000001</v>
          </cell>
          <cell r="C139">
            <v>54.66</v>
          </cell>
          <cell r="D139">
            <v>56.114173999999998</v>
          </cell>
          <cell r="E139">
            <v>29.019354</v>
          </cell>
          <cell r="F139">
            <v>77.52</v>
          </cell>
          <cell r="G139">
            <v>1.1861969000000001</v>
          </cell>
          <cell r="H139">
            <v>24.04</v>
          </cell>
          <cell r="I139">
            <v>29.03</v>
          </cell>
          <cell r="J139">
            <v>34.36</v>
          </cell>
          <cell r="K139">
            <v>4.5710597000000002</v>
          </cell>
          <cell r="L139">
            <v>3.46</v>
          </cell>
          <cell r="M139">
            <v>16.29</v>
          </cell>
          <cell r="N139">
            <v>8.4596649999999993</v>
          </cell>
          <cell r="O139">
            <v>9.5440959999999997</v>
          </cell>
          <cell r="Q139">
            <v>82.035283271707229</v>
          </cell>
          <cell r="R139">
            <v>90.526664458429934</v>
          </cell>
          <cell r="S139">
            <v>107.71028912811637</v>
          </cell>
          <cell r="T139">
            <v>106.1515419787483</v>
          </cell>
          <cell r="U139">
            <v>103.58097274184928</v>
          </cell>
          <cell r="V139">
            <v>114.85248262878289</v>
          </cell>
          <cell r="W139">
            <v>122.90388548057261</v>
          </cell>
          <cell r="X139">
            <v>81.70560090064734</v>
          </cell>
          <cell r="Y139">
            <v>131.47120719341879</v>
          </cell>
          <cell r="Z139">
            <v>100.24902268896783</v>
          </cell>
          <cell r="AA139">
            <v>169.60784313725489</v>
          </cell>
          <cell r="AB139">
            <v>88.822246455834247</v>
          </cell>
          <cell r="AC139">
            <v>103.50509538078596</v>
          </cell>
          <cell r="AD139">
            <v>90.469112322472512</v>
          </cell>
          <cell r="AF139">
            <v>108.3014200053608</v>
          </cell>
          <cell r="AG139">
            <v>96.987103851629229</v>
          </cell>
        </row>
        <row r="140">
          <cell r="A140">
            <v>40316</v>
          </cell>
          <cell r="B140">
            <v>11.316675999999999</v>
          </cell>
          <cell r="C140">
            <v>54.3</v>
          </cell>
          <cell r="D140">
            <v>57.587383000000003</v>
          </cell>
          <cell r="E140">
            <v>29.744475999999999</v>
          </cell>
          <cell r="F140">
            <v>76.930000000000007</v>
          </cell>
          <cell r="G140">
            <v>1.2172285</v>
          </cell>
          <cell r="H140">
            <v>22.9</v>
          </cell>
          <cell r="I140">
            <v>29.15</v>
          </cell>
          <cell r="J140">
            <v>33.22</v>
          </cell>
          <cell r="K140">
            <v>4.5389147000000003</v>
          </cell>
          <cell r="L140">
            <v>3.47</v>
          </cell>
          <cell r="M140">
            <v>15.77</v>
          </cell>
          <cell r="N140">
            <v>8.5654660000000007</v>
          </cell>
          <cell r="O140">
            <v>9.5171840000000003</v>
          </cell>
          <cell r="Q140">
            <v>81.868394867268222</v>
          </cell>
          <cell r="R140">
            <v>89.930440543226226</v>
          </cell>
          <cell r="S140">
            <v>110.53809101888544</v>
          </cell>
          <cell r="T140">
            <v>108.80400689656535</v>
          </cell>
          <cell r="U140">
            <v>102.79262426509888</v>
          </cell>
          <cell r="V140">
            <v>117.8570902954724</v>
          </cell>
          <cell r="W140">
            <v>117.07566462167689</v>
          </cell>
          <cell r="X140">
            <v>82.043343653250773</v>
          </cell>
          <cell r="Y140">
            <v>127.1092404821121</v>
          </cell>
          <cell r="Z140">
            <v>99.54404287119452</v>
          </cell>
          <cell r="AA140">
            <v>170.0980392156863</v>
          </cell>
          <cell r="AB140">
            <v>85.986913849509278</v>
          </cell>
          <cell r="AC140">
            <v>104.79958429924581</v>
          </cell>
          <cell r="AD140">
            <v>90.214011708352288</v>
          </cell>
          <cell r="AF140">
            <v>107.80399104832888</v>
          </cell>
          <cell r="AG140">
            <v>97.506798003799048</v>
          </cell>
        </row>
        <row r="141">
          <cell r="A141">
            <v>40317</v>
          </cell>
          <cell r="B141">
            <v>10.703092</v>
          </cell>
          <cell r="C141">
            <v>54.29</v>
          </cell>
          <cell r="D141">
            <v>58.562747999999999</v>
          </cell>
          <cell r="E141">
            <v>30.080456000000002</v>
          </cell>
          <cell r="F141">
            <v>77.709999999999994</v>
          </cell>
          <cell r="G141">
            <v>1.1926867999999999</v>
          </cell>
          <cell r="H141">
            <v>22.87</v>
          </cell>
          <cell r="I141">
            <v>28.54</v>
          </cell>
          <cell r="J141">
            <v>32.354999999999997</v>
          </cell>
          <cell r="K141">
            <v>4.3620780000000003</v>
          </cell>
          <cell r="L141">
            <v>3.26</v>
          </cell>
          <cell r="M141">
            <v>15.62</v>
          </cell>
          <cell r="N141">
            <v>8.0537650000000003</v>
          </cell>
          <cell r="O141">
            <v>9.2509460000000008</v>
          </cell>
          <cell r="Q141">
            <v>77.429535152963609</v>
          </cell>
          <cell r="R141">
            <v>89.913878767803908</v>
          </cell>
          <cell r="S141">
            <v>112.41028905133699</v>
          </cell>
          <cell r="T141">
            <v>110.03300720697958</v>
          </cell>
          <cell r="U141">
            <v>103.83484767504008</v>
          </cell>
          <cell r="V141">
            <v>115.480861548853</v>
          </cell>
          <cell r="W141">
            <v>116.92229038854806</v>
          </cell>
          <cell r="X141">
            <v>80.326484660849985</v>
          </cell>
          <cell r="Y141">
            <v>123.79950258274344</v>
          </cell>
          <cell r="Z141">
            <v>95.665794168701709</v>
          </cell>
          <cell r="AA141">
            <v>159.80392156862743</v>
          </cell>
          <cell r="AB141">
            <v>85.169029443838596</v>
          </cell>
          <cell r="AC141">
            <v>98.538856384908357</v>
          </cell>
          <cell r="AD141">
            <v>87.690324234283466</v>
          </cell>
          <cell r="AF141">
            <v>105.89912018469052</v>
          </cell>
          <cell r="AG141">
            <v>93.114590309595911</v>
          </cell>
        </row>
        <row r="142">
          <cell r="A142">
            <v>40318</v>
          </cell>
          <cell r="B142">
            <v>10.340197</v>
          </cell>
          <cell r="C142">
            <v>52.21</v>
          </cell>
          <cell r="D142">
            <v>58.176537000000003</v>
          </cell>
          <cell r="E142">
            <v>31.075873999999999</v>
          </cell>
          <cell r="F142">
            <v>75.98</v>
          </cell>
          <cell r="G142">
            <v>1.1674802</v>
          </cell>
          <cell r="H142">
            <v>21.85</v>
          </cell>
          <cell r="I142">
            <v>27.6</v>
          </cell>
          <cell r="J142">
            <v>31.28</v>
          </cell>
          <cell r="K142">
            <v>4.3671354999999998</v>
          </cell>
          <cell r="L142">
            <v>2.96</v>
          </cell>
          <cell r="M142">
            <v>14.42</v>
          </cell>
          <cell r="N142">
            <v>7.4215429999999998</v>
          </cell>
          <cell r="O142">
            <v>8.8528409999999997</v>
          </cell>
          <cell r="Q142">
            <v>74.804238541541906</v>
          </cell>
          <cell r="R142">
            <v>86.469029479960241</v>
          </cell>
          <cell r="S142">
            <v>111.66896300999744</v>
          </cell>
          <cell r="T142">
            <v>113.67420320374096</v>
          </cell>
          <cell r="U142">
            <v>101.52324959914485</v>
          </cell>
          <cell r="V142">
            <v>113.04025443832128</v>
          </cell>
          <cell r="W142">
            <v>111.7075664621677</v>
          </cell>
          <cell r="X142">
            <v>77.680833098789762</v>
          </cell>
          <cell r="Y142">
            <v>119.68624449971304</v>
          </cell>
          <cell r="Z142">
            <v>95.776711431989554</v>
          </cell>
          <cell r="AA142">
            <v>145.09803921568627</v>
          </cell>
          <cell r="AB142">
            <v>78.625954198473281</v>
          </cell>
          <cell r="AC142">
            <v>90.803538448343332</v>
          </cell>
          <cell r="AD142">
            <v>83.91666081334364</v>
          </cell>
          <cell r="AF142">
            <v>102.47960726496051</v>
          </cell>
          <cell r="AG142">
            <v>87.360099630843479</v>
          </cell>
        </row>
        <row r="143">
          <cell r="A143">
            <v>40319</v>
          </cell>
          <cell r="B143">
            <v>8.3153030000000001</v>
          </cell>
          <cell r="C143">
            <v>52.25</v>
          </cell>
          <cell r="D143">
            <v>57.737231999999999</v>
          </cell>
          <cell r="E143">
            <v>30.414950999999999</v>
          </cell>
          <cell r="F143">
            <v>76</v>
          </cell>
          <cell r="G143">
            <v>1.1488955000000001</v>
          </cell>
          <cell r="H143">
            <v>22.09</v>
          </cell>
          <cell r="I143">
            <v>27.14</v>
          </cell>
          <cell r="J143">
            <v>30.565000000000001</v>
          </cell>
          <cell r="K143">
            <v>4.3269299999999999</v>
          </cell>
          <cell r="L143">
            <v>3.03</v>
          </cell>
          <cell r="M143">
            <v>14.26</v>
          </cell>
          <cell r="N143">
            <v>7.9827000000000004</v>
          </cell>
          <cell r="O143">
            <v>8.8637339999999991</v>
          </cell>
          <cell r="Q143">
            <v>60.155518232118702</v>
          </cell>
          <cell r="R143">
            <v>86.535276581649541</v>
          </cell>
          <cell r="S143">
            <v>110.8257238568126</v>
          </cell>
          <cell r="T143">
            <v>111.25657545161316</v>
          </cell>
          <cell r="U143">
            <v>101.54997327632283</v>
          </cell>
          <cell r="V143">
            <v>111.24080703299497</v>
          </cell>
          <cell r="W143">
            <v>112.93456032719837</v>
          </cell>
          <cell r="X143">
            <v>76.386152547143254</v>
          </cell>
          <cell r="Y143">
            <v>116.9504495886742</v>
          </cell>
          <cell r="Z143">
            <v>94.894954827121495</v>
          </cell>
          <cell r="AA143">
            <v>148.52941176470586</v>
          </cell>
          <cell r="AB143">
            <v>77.753544165757901</v>
          </cell>
          <cell r="AC143">
            <v>97.669366918926485</v>
          </cell>
          <cell r="AD143">
            <v>84.019916275204949</v>
          </cell>
          <cell r="AF143">
            <v>100.75107897100941</v>
          </cell>
          <cell r="AG143">
            <v>90.844641597065717</v>
          </cell>
        </row>
        <row r="144">
          <cell r="A144">
            <v>40320</v>
          </cell>
          <cell r="B144">
            <v>8.3153030000000001</v>
          </cell>
          <cell r="C144">
            <v>52.25</v>
          </cell>
          <cell r="D144">
            <v>57.737231999999999</v>
          </cell>
          <cell r="E144">
            <v>30.414950999999999</v>
          </cell>
          <cell r="F144">
            <v>76</v>
          </cell>
          <cell r="G144">
            <v>1.1488955000000001</v>
          </cell>
          <cell r="H144">
            <v>22.09</v>
          </cell>
          <cell r="I144">
            <v>27.14</v>
          </cell>
          <cell r="J144">
            <v>30.565000000000001</v>
          </cell>
          <cell r="K144">
            <v>4.3269299999999999</v>
          </cell>
          <cell r="L144">
            <v>3.03</v>
          </cell>
          <cell r="M144">
            <v>14.26</v>
          </cell>
          <cell r="N144">
            <v>7.9827000000000004</v>
          </cell>
          <cell r="O144">
            <v>8.8637339999999991</v>
          </cell>
          <cell r="Q144">
            <v>60.155518232118702</v>
          </cell>
          <cell r="R144">
            <v>86.535276581649541</v>
          </cell>
          <cell r="S144">
            <v>110.8257238568126</v>
          </cell>
          <cell r="T144">
            <v>111.25657545161316</v>
          </cell>
          <cell r="U144">
            <v>101.54997327632283</v>
          </cell>
          <cell r="V144">
            <v>111.24080703299497</v>
          </cell>
          <cell r="W144">
            <v>112.93456032719837</v>
          </cell>
          <cell r="X144">
            <v>76.386152547143254</v>
          </cell>
          <cell r="Y144">
            <v>116.9504495886742</v>
          </cell>
          <cell r="Z144">
            <v>94.894954827121495</v>
          </cell>
          <cell r="AA144">
            <v>148.52941176470586</v>
          </cell>
          <cell r="AB144">
            <v>77.753544165757901</v>
          </cell>
          <cell r="AC144">
            <v>97.669366918926485</v>
          </cell>
          <cell r="AD144">
            <v>84.019916275204949</v>
          </cell>
          <cell r="AF144">
            <v>100.75107897100941</v>
          </cell>
          <cell r="AG144">
            <v>90.844641597065717</v>
          </cell>
        </row>
        <row r="145">
          <cell r="A145">
            <v>40321</v>
          </cell>
          <cell r="B145">
            <v>8.3153030000000001</v>
          </cell>
          <cell r="C145">
            <v>52.25</v>
          </cell>
          <cell r="D145">
            <v>57.737231999999999</v>
          </cell>
          <cell r="E145">
            <v>30.414950999999999</v>
          </cell>
          <cell r="F145">
            <v>76</v>
          </cell>
          <cell r="G145">
            <v>1.1488955000000001</v>
          </cell>
          <cell r="H145">
            <v>22.09</v>
          </cell>
          <cell r="I145">
            <v>27.14</v>
          </cell>
          <cell r="J145">
            <v>30.565000000000001</v>
          </cell>
          <cell r="K145">
            <v>4.3269299999999999</v>
          </cell>
          <cell r="L145">
            <v>3.03</v>
          </cell>
          <cell r="M145">
            <v>14.26</v>
          </cell>
          <cell r="N145">
            <v>7.9827000000000004</v>
          </cell>
          <cell r="O145">
            <v>8.8637339999999991</v>
          </cell>
          <cell r="Q145">
            <v>60.155518232118702</v>
          </cell>
          <cell r="R145">
            <v>86.535276581649541</v>
          </cell>
          <cell r="S145">
            <v>110.8257238568126</v>
          </cell>
          <cell r="T145">
            <v>111.25657545161316</v>
          </cell>
          <cell r="U145">
            <v>101.54997327632283</v>
          </cell>
          <cell r="V145">
            <v>111.24080703299497</v>
          </cell>
          <cell r="W145">
            <v>112.93456032719837</v>
          </cell>
          <cell r="X145">
            <v>76.386152547143254</v>
          </cell>
          <cell r="Y145">
            <v>116.9504495886742</v>
          </cell>
          <cell r="Z145">
            <v>94.894954827121495</v>
          </cell>
          <cell r="AA145">
            <v>148.52941176470586</v>
          </cell>
          <cell r="AB145">
            <v>77.753544165757901</v>
          </cell>
          <cell r="AC145">
            <v>97.669366918926485</v>
          </cell>
          <cell r="AD145">
            <v>84.019916275204949</v>
          </cell>
          <cell r="AF145">
            <v>100.75107897100941</v>
          </cell>
          <cell r="AG145">
            <v>90.844641597065717</v>
          </cell>
        </row>
        <row r="146">
          <cell r="A146">
            <v>40322</v>
          </cell>
          <cell r="B146">
            <v>8.5390820000000005</v>
          </cell>
          <cell r="C146">
            <v>51.84</v>
          </cell>
          <cell r="D146">
            <v>57.133384999999997</v>
          </cell>
          <cell r="E146">
            <v>30.544813000000001</v>
          </cell>
          <cell r="F146">
            <v>75.400000000000006</v>
          </cell>
          <cell r="G146">
            <v>1.1375755000000001</v>
          </cell>
          <cell r="H146">
            <v>22.14</v>
          </cell>
          <cell r="I146">
            <v>26.36</v>
          </cell>
          <cell r="J146">
            <v>31.05</v>
          </cell>
          <cell r="K146">
            <v>4.3609122999999999</v>
          </cell>
          <cell r="L146">
            <v>2.94</v>
          </cell>
          <cell r="M146">
            <v>14.01</v>
          </cell>
          <cell r="N146">
            <v>8.1687849999999997</v>
          </cell>
          <cell r="O146">
            <v>8.9369755000000008</v>
          </cell>
          <cell r="Q146">
            <v>61.774405928028919</v>
          </cell>
          <cell r="R146">
            <v>85.856243789334215</v>
          </cell>
          <cell r="S146">
            <v>109.6666488794433</v>
          </cell>
          <cell r="T146">
            <v>111.73160503168047</v>
          </cell>
          <cell r="U146">
            <v>100.74826296098342</v>
          </cell>
          <cell r="V146">
            <v>110.1447578835175</v>
          </cell>
          <cell r="W146">
            <v>113.19018404907976</v>
          </cell>
          <cell r="X146">
            <v>74.190824655220936</v>
          </cell>
          <cell r="Y146">
            <v>118.80619858427394</v>
          </cell>
          <cell r="Z146">
            <v>95.640228918318172</v>
          </cell>
          <cell r="AA146">
            <v>144.11764705882354</v>
          </cell>
          <cell r="AB146">
            <v>76.390403489640136</v>
          </cell>
          <cell r="AC146">
            <v>99.946140960680324</v>
          </cell>
          <cell r="AD146">
            <v>84.714177260233441</v>
          </cell>
          <cell r="AF146">
            <v>100.18811760236203</v>
          </cell>
          <cell r="AG146">
            <v>92.33015911045689</v>
          </cell>
        </row>
        <row r="147">
          <cell r="A147">
            <v>40323</v>
          </cell>
          <cell r="B147">
            <v>8.2763360000000006</v>
          </cell>
          <cell r="C147">
            <v>51.48</v>
          </cell>
          <cell r="D147">
            <v>55.468834000000001</v>
          </cell>
          <cell r="E147">
            <v>29.902998</v>
          </cell>
          <cell r="F147">
            <v>75.459999999999994</v>
          </cell>
          <cell r="G147">
            <v>1.1265225000000001</v>
          </cell>
          <cell r="H147">
            <v>22.58</v>
          </cell>
          <cell r="I147">
            <v>25.46</v>
          </cell>
          <cell r="J147">
            <v>31.004999999999999</v>
          </cell>
          <cell r="K147">
            <v>4.1951900000000002</v>
          </cell>
          <cell r="L147">
            <v>2.77</v>
          </cell>
          <cell r="M147">
            <v>13.88</v>
          </cell>
          <cell r="N147">
            <v>7.8925046999999999</v>
          </cell>
          <cell r="O147">
            <v>8.7458919999999996</v>
          </cell>
          <cell r="Q147">
            <v>59.873618693526907</v>
          </cell>
          <cell r="R147">
            <v>85.260019874130506</v>
          </cell>
          <cell r="S147">
            <v>106.47156897898012</v>
          </cell>
          <cell r="T147">
            <v>109.38387351721981</v>
          </cell>
          <cell r="U147">
            <v>100.82843399251735</v>
          </cell>
          <cell r="V147">
            <v>109.07456077669994</v>
          </cell>
          <cell r="W147">
            <v>115.43967280163598</v>
          </cell>
          <cell r="X147">
            <v>71.657754010695186</v>
          </cell>
          <cell r="Y147">
            <v>118.634015687775</v>
          </cell>
          <cell r="Z147">
            <v>92.005732827014029</v>
          </cell>
          <cell r="AA147">
            <v>135.78431372549019</v>
          </cell>
          <cell r="AB147">
            <v>75.68157033805889</v>
          </cell>
          <cell r="AC147">
            <v>96.565815758283762</v>
          </cell>
          <cell r="AD147">
            <v>82.902884223735157</v>
          </cell>
          <cell r="AF147">
            <v>98.341261268645326</v>
          </cell>
          <cell r="AG147">
            <v>89.734349991009452</v>
          </cell>
        </row>
        <row r="148">
          <cell r="A148">
            <v>40324</v>
          </cell>
          <cell r="B148">
            <v>8.4072399999999998</v>
          </cell>
          <cell r="C148">
            <v>51.74</v>
          </cell>
          <cell r="D148">
            <v>54.548470000000002</v>
          </cell>
          <cell r="E148">
            <v>29.324638</v>
          </cell>
          <cell r="F148">
            <v>74.989999999999995</v>
          </cell>
          <cell r="G148">
            <v>1.1013215999999999</v>
          </cell>
          <cell r="H148">
            <v>22.3</v>
          </cell>
          <cell r="I148">
            <v>25.98</v>
          </cell>
          <cell r="J148">
            <v>30.57</v>
          </cell>
          <cell r="K148">
            <v>4.2951836999999999</v>
          </cell>
          <cell r="L148">
            <v>2.8</v>
          </cell>
          <cell r="M148">
            <v>13.88</v>
          </cell>
          <cell r="N148">
            <v>8.0725765000000003</v>
          </cell>
          <cell r="O148">
            <v>9.2351150000000004</v>
          </cell>
          <cell r="Q148">
            <v>60.820619417211574</v>
          </cell>
          <cell r="R148">
            <v>85.690626035110967</v>
          </cell>
          <cell r="S148">
            <v>104.70494451538006</v>
          </cell>
          <cell r="T148">
            <v>107.26825764862298</v>
          </cell>
          <cell r="U148">
            <v>100.20042757883483</v>
          </cell>
          <cell r="V148">
            <v>106.63450556370815</v>
          </cell>
          <cell r="W148">
            <v>114.00817995910022</v>
          </cell>
          <cell r="X148">
            <v>73.121305938643403</v>
          </cell>
          <cell r="Y148">
            <v>116.96958102161852</v>
          </cell>
          <cell r="Z148">
            <v>94.198718996075399</v>
          </cell>
          <cell r="AA148">
            <v>137.25490196078428</v>
          </cell>
          <cell r="AB148">
            <v>75.68157033805889</v>
          </cell>
          <cell r="AC148">
            <v>98.769017520338139</v>
          </cell>
          <cell r="AD148">
            <v>87.540261146362184</v>
          </cell>
          <cell r="AF148">
            <v>98.046136581095766</v>
          </cell>
          <cell r="AG148">
            <v>93.154639333350161</v>
          </cell>
        </row>
        <row r="149">
          <cell r="A149">
            <v>40325</v>
          </cell>
          <cell r="B149">
            <v>8.3933230000000005</v>
          </cell>
          <cell r="C149">
            <v>52.87</v>
          </cell>
          <cell r="D149">
            <v>54.906930000000003</v>
          </cell>
          <cell r="E149">
            <v>29.39751</v>
          </cell>
          <cell r="F149">
            <v>76.41</v>
          </cell>
          <cell r="G149">
            <v>1.1736255</v>
          </cell>
          <cell r="H149">
            <v>22.96</v>
          </cell>
          <cell r="I149">
            <v>26.75</v>
          </cell>
          <cell r="J149">
            <v>31.864999999999998</v>
          </cell>
          <cell r="K149">
            <v>4.3864599999999996</v>
          </cell>
          <cell r="L149">
            <v>3.05</v>
          </cell>
          <cell r="M149">
            <v>14.26</v>
          </cell>
          <cell r="N149">
            <v>8.2428080000000001</v>
          </cell>
          <cell r="O149">
            <v>9.3618649999999999</v>
          </cell>
          <cell r="Q149">
            <v>60.719939460361374</v>
          </cell>
          <cell r="R149">
            <v>87.562106657833709</v>
          </cell>
          <cell r="S149">
            <v>105.39300294141809</v>
          </cell>
          <cell r="T149">
            <v>107.53482027324499</v>
          </cell>
          <cell r="U149">
            <v>102.09780865847139</v>
          </cell>
          <cell r="V149">
            <v>113.63526776325803</v>
          </cell>
          <cell r="W149">
            <v>117.38241308793458</v>
          </cell>
          <cell r="X149">
            <v>75.288488601182095</v>
          </cell>
          <cell r="Y149">
            <v>121.92462215419934</v>
          </cell>
          <cell r="Z149">
            <v>96.200521744279499</v>
          </cell>
          <cell r="AA149">
            <v>149.50980392156862</v>
          </cell>
          <cell r="AB149">
            <v>77.753544165757901</v>
          </cell>
          <cell r="AC149">
            <v>100.8518219392264</v>
          </cell>
          <cell r="AD149">
            <v>88.741732714426192</v>
          </cell>
          <cell r="AF149">
            <v>101.25019495245913</v>
          </cell>
          <cell r="AG149">
            <v>94.796777326826287</v>
          </cell>
        </row>
        <row r="150">
          <cell r="A150">
            <v>40326</v>
          </cell>
          <cell r="B150">
            <v>8.5193849999999998</v>
          </cell>
          <cell r="C150">
            <v>52.75</v>
          </cell>
          <cell r="D150">
            <v>56.740704000000001</v>
          </cell>
          <cell r="E150">
            <v>29.436990000000002</v>
          </cell>
          <cell r="F150">
            <v>75.61</v>
          </cell>
          <cell r="G150">
            <v>1.1759675000000001</v>
          </cell>
          <cell r="H150">
            <v>22.87</v>
          </cell>
          <cell r="I150">
            <v>26.66</v>
          </cell>
          <cell r="J150">
            <v>31.445</v>
          </cell>
          <cell r="K150">
            <v>4.4334709999999999</v>
          </cell>
          <cell r="L150">
            <v>2.96</v>
          </cell>
          <cell r="M150">
            <v>14.18</v>
          </cell>
          <cell r="N150">
            <v>8.2049885000000007</v>
          </cell>
          <cell r="O150">
            <v>9.7725410000000004</v>
          </cell>
          <cell r="Q150">
            <v>61.631911632557291</v>
          </cell>
          <cell r="R150">
            <v>87.363365352765811</v>
          </cell>
          <cell r="S150">
            <v>108.91290377316913</v>
          </cell>
          <cell r="T150">
            <v>107.67923640591704</v>
          </cell>
          <cell r="U150">
            <v>101.02886157135219</v>
          </cell>
          <cell r="V150">
            <v>113.86202987527892</v>
          </cell>
          <cell r="W150">
            <v>116.92229038854806</v>
          </cell>
          <cell r="X150">
            <v>75.035181536729525</v>
          </cell>
          <cell r="Y150">
            <v>120.31758178687583</v>
          </cell>
          <cell r="Z150">
            <v>97.231531425826887</v>
          </cell>
          <cell r="AA150">
            <v>145.09803921568627</v>
          </cell>
          <cell r="AB150">
            <v>77.317339149400226</v>
          </cell>
          <cell r="AC150">
            <v>100.38909546545307</v>
          </cell>
          <cell r="AD150">
            <v>92.634557469347328</v>
          </cell>
          <cell r="AF150">
            <v>101.03335600950892</v>
          </cell>
          <cell r="AG150">
            <v>96.511826467400198</v>
          </cell>
        </row>
        <row r="151">
          <cell r="A151">
            <v>40327</v>
          </cell>
          <cell r="B151">
            <v>8.5193849999999998</v>
          </cell>
          <cell r="C151">
            <v>52.75</v>
          </cell>
          <cell r="D151">
            <v>56.740704000000001</v>
          </cell>
          <cell r="E151">
            <v>29.436990000000002</v>
          </cell>
          <cell r="F151">
            <v>75.61</v>
          </cell>
          <cell r="G151">
            <v>1.1759675000000001</v>
          </cell>
          <cell r="H151">
            <v>22.87</v>
          </cell>
          <cell r="I151">
            <v>26.66</v>
          </cell>
          <cell r="J151">
            <v>31.445</v>
          </cell>
          <cell r="K151">
            <v>4.4334709999999999</v>
          </cell>
          <cell r="L151">
            <v>2.96</v>
          </cell>
          <cell r="M151">
            <v>14.18</v>
          </cell>
          <cell r="N151">
            <v>8.2049885000000007</v>
          </cell>
          <cell r="O151">
            <v>9.7725410000000004</v>
          </cell>
          <cell r="Q151">
            <v>61.631911632557291</v>
          </cell>
          <cell r="R151">
            <v>87.363365352765811</v>
          </cell>
          <cell r="S151">
            <v>108.91290377316913</v>
          </cell>
          <cell r="T151">
            <v>107.67923640591704</v>
          </cell>
          <cell r="U151">
            <v>101.02886157135219</v>
          </cell>
          <cell r="V151">
            <v>113.86202987527892</v>
          </cell>
          <cell r="W151">
            <v>116.92229038854806</v>
          </cell>
          <cell r="X151">
            <v>75.035181536729525</v>
          </cell>
          <cell r="Y151">
            <v>120.31758178687583</v>
          </cell>
          <cell r="Z151">
            <v>97.231531425826887</v>
          </cell>
          <cell r="AA151">
            <v>145.09803921568627</v>
          </cell>
          <cell r="AB151">
            <v>77.317339149400226</v>
          </cell>
          <cell r="AC151">
            <v>100.38909546545307</v>
          </cell>
          <cell r="AD151">
            <v>92.634557469347328</v>
          </cell>
          <cell r="AF151">
            <v>101.03335600950892</v>
          </cell>
          <cell r="AG151">
            <v>96.511826467400198</v>
          </cell>
        </row>
        <row r="152">
          <cell r="A152">
            <v>40328</v>
          </cell>
          <cell r="B152">
            <v>8.5193849999999998</v>
          </cell>
          <cell r="C152">
            <v>52.75</v>
          </cell>
          <cell r="D152">
            <v>56.740704000000001</v>
          </cell>
          <cell r="E152">
            <v>29.436990000000002</v>
          </cell>
          <cell r="F152">
            <v>75.61</v>
          </cell>
          <cell r="G152">
            <v>1.1759675000000001</v>
          </cell>
          <cell r="H152">
            <v>22.87</v>
          </cell>
          <cell r="I152">
            <v>26.66</v>
          </cell>
          <cell r="J152">
            <v>31.445</v>
          </cell>
          <cell r="K152">
            <v>4.4334709999999999</v>
          </cell>
          <cell r="L152">
            <v>2.96</v>
          </cell>
          <cell r="M152">
            <v>14.18</v>
          </cell>
          <cell r="N152">
            <v>8.2049885000000007</v>
          </cell>
          <cell r="O152">
            <v>9.7725410000000004</v>
          </cell>
          <cell r="Q152">
            <v>61.631911632557291</v>
          </cell>
          <cell r="R152">
            <v>87.363365352765811</v>
          </cell>
          <cell r="S152">
            <v>108.91290377316913</v>
          </cell>
          <cell r="T152">
            <v>107.67923640591704</v>
          </cell>
          <cell r="U152">
            <v>101.02886157135219</v>
          </cell>
          <cell r="V152">
            <v>113.86202987527892</v>
          </cell>
          <cell r="W152">
            <v>116.92229038854806</v>
          </cell>
          <cell r="X152">
            <v>75.035181536729525</v>
          </cell>
          <cell r="Y152">
            <v>120.31758178687583</v>
          </cell>
          <cell r="Z152">
            <v>97.231531425826887</v>
          </cell>
          <cell r="AA152">
            <v>145.09803921568627</v>
          </cell>
          <cell r="AB152">
            <v>77.317339149400226</v>
          </cell>
          <cell r="AC152">
            <v>100.38909546545307</v>
          </cell>
          <cell r="AD152">
            <v>92.634557469347328</v>
          </cell>
          <cell r="AF152">
            <v>101.03335600950892</v>
          </cell>
          <cell r="AG152">
            <v>96.511826467400198</v>
          </cell>
        </row>
        <row r="153">
          <cell r="A153">
            <v>40329</v>
          </cell>
          <cell r="B153">
            <v>8.5193849999999998</v>
          </cell>
          <cell r="C153">
            <v>52.75</v>
          </cell>
          <cell r="D153">
            <v>56.740704000000001</v>
          </cell>
          <cell r="E153">
            <v>29.436990000000002</v>
          </cell>
          <cell r="F153">
            <v>75.61</v>
          </cell>
          <cell r="G153">
            <v>1.1759675000000001</v>
          </cell>
          <cell r="H153">
            <v>22.87</v>
          </cell>
          <cell r="I153">
            <v>26.66</v>
          </cell>
          <cell r="J153">
            <v>31.445</v>
          </cell>
          <cell r="K153">
            <v>4.4334709999999999</v>
          </cell>
          <cell r="L153">
            <v>2.96</v>
          </cell>
          <cell r="M153">
            <v>14.18</v>
          </cell>
          <cell r="N153">
            <v>8.2049885000000007</v>
          </cell>
          <cell r="O153">
            <v>9.7725410000000004</v>
          </cell>
          <cell r="Q153">
            <v>61.631911632557291</v>
          </cell>
          <cell r="R153">
            <v>87.363365352765811</v>
          </cell>
          <cell r="S153">
            <v>108.91290377316913</v>
          </cell>
          <cell r="T153">
            <v>107.67923640591704</v>
          </cell>
          <cell r="U153">
            <v>101.02886157135219</v>
          </cell>
          <cell r="V153">
            <v>113.86202987527892</v>
          </cell>
          <cell r="W153">
            <v>116.92229038854806</v>
          </cell>
          <cell r="X153">
            <v>75.035181536729525</v>
          </cell>
          <cell r="Y153">
            <v>120.31758178687583</v>
          </cell>
          <cell r="Z153">
            <v>97.231531425826887</v>
          </cell>
          <cell r="AA153">
            <v>145.09803921568627</v>
          </cell>
          <cell r="AB153">
            <v>77.317339149400226</v>
          </cell>
          <cell r="AC153">
            <v>100.38909546545307</v>
          </cell>
          <cell r="AD153">
            <v>92.634557469347328</v>
          </cell>
          <cell r="AF153">
            <v>101.03335600950892</v>
          </cell>
          <cell r="AG153">
            <v>96.511826467400198</v>
          </cell>
        </row>
        <row r="154">
          <cell r="A154">
            <v>40330</v>
          </cell>
          <cell r="B154">
            <v>8.5397020000000001</v>
          </cell>
          <cell r="C154">
            <v>51.54</v>
          </cell>
          <cell r="D154">
            <v>57.070872999999999</v>
          </cell>
          <cell r="E154">
            <v>29.433674</v>
          </cell>
          <cell r="F154">
            <v>75</v>
          </cell>
          <cell r="G154">
            <v>1.1992620000000001</v>
          </cell>
          <cell r="H154">
            <v>22.5</v>
          </cell>
          <cell r="I154">
            <v>25.17</v>
          </cell>
          <cell r="J154">
            <v>31.65</v>
          </cell>
          <cell r="K154">
            <v>4.6863200000000003</v>
          </cell>
          <cell r="L154">
            <v>2.78</v>
          </cell>
          <cell r="M154">
            <v>13.6</v>
          </cell>
          <cell r="N154">
            <v>8.1300810000000006</v>
          </cell>
          <cell r="O154">
            <v>9.6187649999999998</v>
          </cell>
          <cell r="Q154">
            <v>61.778891203105957</v>
          </cell>
          <cell r="R154">
            <v>85.359390526664455</v>
          </cell>
          <cell r="S154">
            <v>109.54665806225732</v>
          </cell>
          <cell r="T154">
            <v>107.66710662131874</v>
          </cell>
          <cell r="U154">
            <v>100.21378941742383</v>
          </cell>
          <cell r="V154">
            <v>116.11749956719615</v>
          </cell>
          <cell r="W154">
            <v>115.03067484662577</v>
          </cell>
          <cell r="X154">
            <v>70.841542358570223</v>
          </cell>
          <cell r="Y154">
            <v>121.10197053759326</v>
          </cell>
          <cell r="Z154">
            <v>102.77682437789286</v>
          </cell>
          <cell r="AA154">
            <v>136.27450980392155</v>
          </cell>
          <cell r="AB154">
            <v>74.154852780806976</v>
          </cell>
          <cell r="AC154">
            <v>99.472592515012821</v>
          </cell>
          <cell r="AD154">
            <v>91.176904673681747</v>
          </cell>
          <cell r="AF154">
            <v>100.07197584194809</v>
          </cell>
          <cell r="AG154">
            <v>95.324748594347284</v>
          </cell>
        </row>
        <row r="155">
          <cell r="A155">
            <v>40331</v>
          </cell>
          <cell r="B155">
            <v>8.6382100000000008</v>
          </cell>
          <cell r="C155">
            <v>52.54</v>
          </cell>
          <cell r="D155">
            <v>56.241875</v>
          </cell>
          <cell r="E155">
            <v>28.727785000000001</v>
          </cell>
          <cell r="F155">
            <v>76.58</v>
          </cell>
          <cell r="G155">
            <v>1.2260808000000001</v>
          </cell>
          <cell r="H155">
            <v>23.09</v>
          </cell>
          <cell r="I155">
            <v>25.78</v>
          </cell>
          <cell r="J155">
            <v>32.49</v>
          </cell>
          <cell r="K155">
            <v>4.6231502999999998</v>
          </cell>
          <cell r="L155">
            <v>3.05</v>
          </cell>
          <cell r="M155">
            <v>14.21</v>
          </cell>
          <cell r="N155">
            <v>8.3712820000000008</v>
          </cell>
          <cell r="O155">
            <v>9.5983420000000006</v>
          </cell>
          <cell r="Q155">
            <v>62.491529069700782</v>
          </cell>
          <cell r="R155">
            <v>87.015568068896982</v>
          </cell>
          <cell r="S155">
            <v>107.95540922258573</v>
          </cell>
          <cell r="T155">
            <v>105.08499518576313</v>
          </cell>
          <cell r="U155">
            <v>102.32495991448423</v>
          </cell>
          <cell r="V155">
            <v>118.71420653981157</v>
          </cell>
          <cell r="W155">
            <v>118.04703476482618</v>
          </cell>
          <cell r="X155">
            <v>72.55840135097101</v>
          </cell>
          <cell r="Y155">
            <v>124.31605127224029</v>
          </cell>
          <cell r="Z155">
            <v>101.39143431428128</v>
          </cell>
          <cell r="AA155">
            <v>149.50980392156862</v>
          </cell>
          <cell r="AB155">
            <v>77.48091603053436</v>
          </cell>
          <cell r="AC155">
            <v>102.42371794503174</v>
          </cell>
          <cell r="AD155">
            <v>90.983313716407039</v>
          </cell>
          <cell r="AF155">
            <v>102.24085913797201</v>
          </cell>
          <cell r="AG155">
            <v>96.703515830719397</v>
          </cell>
        </row>
        <row r="156">
          <cell r="A156">
            <v>40332</v>
          </cell>
          <cell r="B156">
            <v>8.8525100000000005</v>
          </cell>
          <cell r="C156">
            <v>52.93</v>
          </cell>
          <cell r="D156">
            <v>57.028460000000003</v>
          </cell>
          <cell r="E156">
            <v>29.055298000000001</v>
          </cell>
          <cell r="F156">
            <v>76.87</v>
          </cell>
          <cell r="G156">
            <v>1.2603247</v>
          </cell>
          <cell r="H156">
            <v>23.39</v>
          </cell>
          <cell r="I156">
            <v>26.09</v>
          </cell>
          <cell r="J156">
            <v>32.76</v>
          </cell>
          <cell r="K156">
            <v>4.7258395999999996</v>
          </cell>
          <cell r="L156">
            <v>2.95</v>
          </cell>
          <cell r="M156">
            <v>14.61</v>
          </cell>
          <cell r="N156">
            <v>8.4377750000000002</v>
          </cell>
          <cell r="O156">
            <v>9.6745824999999996</v>
          </cell>
          <cell r="Q156">
            <v>64.041842697134811</v>
          </cell>
          <cell r="R156">
            <v>87.661477310367658</v>
          </cell>
          <cell r="S156">
            <v>109.46524696471911</v>
          </cell>
          <cell r="T156">
            <v>106.28302357633603</v>
          </cell>
          <cell r="U156">
            <v>102.71245323356494</v>
          </cell>
          <cell r="V156">
            <v>122.02984235869778</v>
          </cell>
          <cell r="W156">
            <v>119.58077709611452</v>
          </cell>
          <cell r="X156">
            <v>73.43090346186321</v>
          </cell>
          <cell r="Y156">
            <v>125.34914865123396</v>
          </cell>
          <cell r="Z156">
            <v>103.64353834294104</v>
          </cell>
          <cell r="AA156">
            <v>144.60784313725489</v>
          </cell>
          <cell r="AB156">
            <v>79.661941112322793</v>
          </cell>
          <cell r="AC156">
            <v>103.23726839970749</v>
          </cell>
          <cell r="AD156">
            <v>91.706002419247142</v>
          </cell>
          <cell r="AF156">
            <v>103.20566982854591</v>
          </cell>
          <cell r="AG156">
            <v>97.471635409477315</v>
          </cell>
        </row>
        <row r="157">
          <cell r="A157">
            <v>40333</v>
          </cell>
          <cell r="B157">
            <v>8.7902299999999993</v>
          </cell>
          <cell r="C157">
            <v>51.53</v>
          </cell>
          <cell r="D157">
            <v>57.553173000000001</v>
          </cell>
          <cell r="E157">
            <v>29.037699</v>
          </cell>
          <cell r="F157">
            <v>75.05</v>
          </cell>
          <cell r="G157">
            <v>1.2545184</v>
          </cell>
          <cell r="H157">
            <v>22.36</v>
          </cell>
          <cell r="I157">
            <v>25.35</v>
          </cell>
          <cell r="J157">
            <v>32.215000000000003</v>
          </cell>
          <cell r="K157">
            <v>4.5984769999999999</v>
          </cell>
          <cell r="L157">
            <v>2.8</v>
          </cell>
          <cell r="M157">
            <v>13.685</v>
          </cell>
          <cell r="N157">
            <v>8.3707019999999996</v>
          </cell>
          <cell r="O157">
            <v>9.7567609999999991</v>
          </cell>
          <cell r="Q157">
            <v>63.591289581331765</v>
          </cell>
          <cell r="R157">
            <v>85.342828751242124</v>
          </cell>
          <cell r="S157">
            <v>110.47242545297915</v>
          </cell>
          <cell r="T157">
            <v>106.21864719541163</v>
          </cell>
          <cell r="U157">
            <v>100.28059861036877</v>
          </cell>
          <cell r="V157">
            <v>121.46765241376747</v>
          </cell>
          <cell r="W157">
            <v>114.31492842535789</v>
          </cell>
          <cell r="X157">
            <v>71.348156487475379</v>
          </cell>
          <cell r="Y157">
            <v>123.26382246030228</v>
          </cell>
          <cell r="Z157">
            <v>100.85031816751302</v>
          </cell>
          <cell r="AA157">
            <v>137.25490196078428</v>
          </cell>
          <cell r="AB157">
            <v>74.618320610687022</v>
          </cell>
          <cell r="AC157">
            <v>102.41662157001912</v>
          </cell>
          <cell r="AD157">
            <v>92.484977813772957</v>
          </cell>
          <cell r="AF157">
            <v>100.75199084310174</v>
          </cell>
          <cell r="AG157">
            <v>97.450799691896037</v>
          </cell>
        </row>
        <row r="158">
          <cell r="A158">
            <v>40334</v>
          </cell>
          <cell r="B158">
            <v>8.7902299999999993</v>
          </cell>
          <cell r="C158">
            <v>51.53</v>
          </cell>
          <cell r="D158">
            <v>57.553173000000001</v>
          </cell>
          <cell r="E158">
            <v>29.037699</v>
          </cell>
          <cell r="F158">
            <v>75.05</v>
          </cell>
          <cell r="G158">
            <v>1.2545184</v>
          </cell>
          <cell r="H158">
            <v>22.36</v>
          </cell>
          <cell r="I158">
            <v>25.35</v>
          </cell>
          <cell r="J158">
            <v>32.215000000000003</v>
          </cell>
          <cell r="K158">
            <v>4.5984769999999999</v>
          </cell>
          <cell r="L158">
            <v>2.8</v>
          </cell>
          <cell r="M158">
            <v>13.685</v>
          </cell>
          <cell r="N158">
            <v>8.3707019999999996</v>
          </cell>
          <cell r="O158">
            <v>9.7567609999999991</v>
          </cell>
          <cell r="Q158">
            <v>63.591289581331765</v>
          </cell>
          <cell r="R158">
            <v>85.342828751242124</v>
          </cell>
          <cell r="S158">
            <v>110.47242545297915</v>
          </cell>
          <cell r="T158">
            <v>106.21864719541163</v>
          </cell>
          <cell r="U158">
            <v>100.28059861036877</v>
          </cell>
          <cell r="V158">
            <v>121.46765241376747</v>
          </cell>
          <cell r="W158">
            <v>114.31492842535789</v>
          </cell>
          <cell r="X158">
            <v>71.348156487475379</v>
          </cell>
          <cell r="Y158">
            <v>123.26382246030228</v>
          </cell>
          <cell r="Z158">
            <v>100.85031816751302</v>
          </cell>
          <cell r="AA158">
            <v>137.25490196078428</v>
          </cell>
          <cell r="AB158">
            <v>74.618320610687022</v>
          </cell>
          <cell r="AC158">
            <v>102.41662157001912</v>
          </cell>
          <cell r="AD158">
            <v>92.484977813772957</v>
          </cell>
          <cell r="AF158">
            <v>100.75199084310174</v>
          </cell>
          <cell r="AG158">
            <v>97.450799691896037</v>
          </cell>
        </row>
        <row r="159">
          <cell r="A159">
            <v>40335</v>
          </cell>
          <cell r="B159">
            <v>8.7902299999999993</v>
          </cell>
          <cell r="C159">
            <v>51.53</v>
          </cell>
          <cell r="D159">
            <v>57.553173000000001</v>
          </cell>
          <cell r="E159">
            <v>29.037699</v>
          </cell>
          <cell r="F159">
            <v>75.05</v>
          </cell>
          <cell r="G159">
            <v>1.2545184</v>
          </cell>
          <cell r="H159">
            <v>22.36</v>
          </cell>
          <cell r="I159">
            <v>25.35</v>
          </cell>
          <cell r="J159">
            <v>32.215000000000003</v>
          </cell>
          <cell r="K159">
            <v>4.5984769999999999</v>
          </cell>
          <cell r="L159">
            <v>2.8</v>
          </cell>
          <cell r="M159">
            <v>13.685</v>
          </cell>
          <cell r="N159">
            <v>8.3707019999999996</v>
          </cell>
          <cell r="O159">
            <v>9.7567609999999991</v>
          </cell>
          <cell r="Q159">
            <v>63.591289581331765</v>
          </cell>
          <cell r="R159">
            <v>85.342828751242124</v>
          </cell>
          <cell r="S159">
            <v>110.47242545297915</v>
          </cell>
          <cell r="T159">
            <v>106.21864719541163</v>
          </cell>
          <cell r="U159">
            <v>100.28059861036877</v>
          </cell>
          <cell r="V159">
            <v>121.46765241376747</v>
          </cell>
          <cell r="W159">
            <v>114.31492842535789</v>
          </cell>
          <cell r="X159">
            <v>71.348156487475379</v>
          </cell>
          <cell r="Y159">
            <v>123.26382246030228</v>
          </cell>
          <cell r="Z159">
            <v>100.85031816751302</v>
          </cell>
          <cell r="AA159">
            <v>137.25490196078428</v>
          </cell>
          <cell r="AB159">
            <v>74.618320610687022</v>
          </cell>
          <cell r="AC159">
            <v>102.41662157001912</v>
          </cell>
          <cell r="AD159">
            <v>92.484977813772957</v>
          </cell>
          <cell r="AF159">
            <v>100.75199084310174</v>
          </cell>
          <cell r="AG159">
            <v>97.450799691896037</v>
          </cell>
        </row>
        <row r="160">
          <cell r="A160">
            <v>40336</v>
          </cell>
          <cell r="B160">
            <v>8.4184330000000003</v>
          </cell>
          <cell r="C160">
            <v>51.81</v>
          </cell>
          <cell r="D160">
            <v>56.706657</v>
          </cell>
          <cell r="E160">
            <v>28.604144999999999</v>
          </cell>
          <cell r="F160">
            <v>75</v>
          </cell>
          <cell r="G160">
            <v>1.2626082999999999</v>
          </cell>
          <cell r="H160">
            <v>22.3</v>
          </cell>
          <cell r="I160">
            <v>24.89</v>
          </cell>
          <cell r="J160">
            <v>31.47</v>
          </cell>
          <cell r="K160">
            <v>4.4740753</v>
          </cell>
          <cell r="L160">
            <v>2.8</v>
          </cell>
          <cell r="M160">
            <v>13.11</v>
          </cell>
          <cell r="N160">
            <v>8.0209609999999998</v>
          </cell>
          <cell r="O160">
            <v>9.8390459999999997</v>
          </cell>
          <cell r="Q160">
            <v>60.90159310098138</v>
          </cell>
          <cell r="R160">
            <v>85.806558463067233</v>
          </cell>
          <cell r="S160">
            <v>108.84755108324188</v>
          </cell>
          <cell r="T160">
            <v>104.632725412623</v>
          </cell>
          <cell r="U160">
            <v>100.21378941742383</v>
          </cell>
          <cell r="V160">
            <v>122.25094994153758</v>
          </cell>
          <cell r="W160">
            <v>114.00817995910022</v>
          </cell>
          <cell r="X160">
            <v>70.053475935828885</v>
          </cell>
          <cell r="Y160">
            <v>120.41323895159746</v>
          </cell>
          <cell r="Z160">
            <v>98.122034210546516</v>
          </cell>
          <cell r="AA160">
            <v>137.25490196078428</v>
          </cell>
          <cell r="AB160">
            <v>71.483097055616142</v>
          </cell>
          <cell r="AC160">
            <v>98.137495202299903</v>
          </cell>
          <cell r="AD160">
            <v>93.264962728787921</v>
          </cell>
          <cell r="AF160">
            <v>99.499007957695696</v>
          </cell>
          <cell r="AG160">
            <v>95.701228965543919</v>
          </cell>
        </row>
        <row r="161">
          <cell r="A161">
            <v>40337</v>
          </cell>
          <cell r="B161">
            <v>8.54392</v>
          </cell>
          <cell r="C161">
            <v>51.82</v>
          </cell>
          <cell r="D161">
            <v>56.813186999999999</v>
          </cell>
          <cell r="E161">
            <v>29.263736999999999</v>
          </cell>
          <cell r="F161">
            <v>75.459999999999994</v>
          </cell>
          <cell r="G161">
            <v>1.3047925</v>
          </cell>
          <cell r="H161">
            <v>22.61</v>
          </cell>
          <cell r="I161">
            <v>22.635000000000002</v>
          </cell>
          <cell r="J161">
            <v>31.414999999999999</v>
          </cell>
          <cell r="K161">
            <v>4.4477440000000001</v>
          </cell>
          <cell r="L161">
            <v>2.7</v>
          </cell>
          <cell r="M161">
            <v>12.94</v>
          </cell>
          <cell r="N161">
            <v>7.7715509999999997</v>
          </cell>
          <cell r="O161">
            <v>10.141446999999999</v>
          </cell>
          <cell r="Q161">
            <v>61.809405542259086</v>
          </cell>
          <cell r="R161">
            <v>85.823120238489565</v>
          </cell>
          <cell r="S161">
            <v>109.05203377064309</v>
          </cell>
          <cell r="T161">
            <v>107.04548442431042</v>
          </cell>
          <cell r="U161">
            <v>100.82843399251735</v>
          </cell>
          <cell r="V161">
            <v>126.33539839837398</v>
          </cell>
          <cell r="W161">
            <v>115.59304703476482</v>
          </cell>
          <cell r="X161">
            <v>63.706726709822689</v>
          </cell>
          <cell r="Y161">
            <v>120.20279318920986</v>
          </cell>
          <cell r="Z161">
            <v>97.544556062289118</v>
          </cell>
          <cell r="AA161">
            <v>132.35294117647058</v>
          </cell>
          <cell r="AB161">
            <v>70.556161395856051</v>
          </cell>
          <cell r="AC161">
            <v>95.085931595594218</v>
          </cell>
          <cell r="AD161">
            <v>96.131441653080799</v>
          </cell>
          <cell r="AF161">
            <v>99.237508494583878</v>
          </cell>
          <cell r="AG161">
            <v>95.608686624337508</v>
          </cell>
        </row>
        <row r="162">
          <cell r="A162">
            <v>40338</v>
          </cell>
          <cell r="B162">
            <v>9.0155399999999997</v>
          </cell>
          <cell r="C162">
            <v>51.83</v>
          </cell>
          <cell r="D162">
            <v>55.537334000000001</v>
          </cell>
          <cell r="E162">
            <v>28.402756</v>
          </cell>
          <cell r="F162">
            <v>75.569999999999993</v>
          </cell>
          <cell r="G162">
            <v>1.3095954999999999</v>
          </cell>
          <cell r="H162">
            <v>22.5</v>
          </cell>
          <cell r="I162">
            <v>21.95</v>
          </cell>
          <cell r="J162">
            <v>31.344999999999999</v>
          </cell>
          <cell r="K162">
            <v>4.4869199999999996</v>
          </cell>
          <cell r="L162">
            <v>2.7</v>
          </cell>
          <cell r="M162">
            <v>12.46</v>
          </cell>
          <cell r="N162">
            <v>7.8642225000000003</v>
          </cell>
          <cell r="O162">
            <v>9.9117449999999998</v>
          </cell>
          <cell r="Q162">
            <v>65.22125301295641</v>
          </cell>
          <cell r="R162">
            <v>85.839682013911883</v>
          </cell>
          <cell r="S162">
            <v>106.60305366955536</v>
          </cell>
          <cell r="T162">
            <v>103.89605315976867</v>
          </cell>
          <cell r="U162">
            <v>100.97541421699626</v>
          </cell>
          <cell r="V162">
            <v>126.8004446938634</v>
          </cell>
          <cell r="W162">
            <v>115.03067484662577</v>
          </cell>
          <cell r="X162">
            <v>61.778778497044748</v>
          </cell>
          <cell r="Y162">
            <v>119.93495312798927</v>
          </cell>
          <cell r="Z162">
            <v>98.403734452119153</v>
          </cell>
          <cell r="AA162">
            <v>132.35294117647058</v>
          </cell>
          <cell r="AB162">
            <v>67.938931297709928</v>
          </cell>
          <cell r="AC162">
            <v>96.219779383488955</v>
          </cell>
          <cell r="AD162">
            <v>93.954081320714437</v>
          </cell>
          <cell r="AF162">
            <v>98.731326180417611</v>
          </cell>
          <cell r="AG162">
            <v>95.086930352101689</v>
          </cell>
        </row>
        <row r="163">
          <cell r="A163">
            <v>40339</v>
          </cell>
          <cell r="B163">
            <v>9.1940760000000008</v>
          </cell>
          <cell r="C163">
            <v>52.58</v>
          </cell>
          <cell r="D163">
            <v>56.642017000000003</v>
          </cell>
          <cell r="E163">
            <v>28.846890999999999</v>
          </cell>
          <cell r="F163">
            <v>77.47</v>
          </cell>
          <cell r="G163">
            <v>1.3106346</v>
          </cell>
          <cell r="H163">
            <v>23</v>
          </cell>
          <cell r="I163">
            <v>22.984999999999999</v>
          </cell>
          <cell r="J163">
            <v>31.83</v>
          </cell>
          <cell r="K163">
            <v>4.5462417999999998</v>
          </cell>
          <cell r="L163">
            <v>2.7</v>
          </cell>
          <cell r="M163">
            <v>13.295</v>
          </cell>
          <cell r="N163">
            <v>7.8890257000000004</v>
          </cell>
          <cell r="O163">
            <v>10.245844999999999</v>
          </cell>
          <cell r="Q163">
            <v>66.512838611591789</v>
          </cell>
          <cell r="R163">
            <v>87.081815170586282</v>
          </cell>
          <cell r="S163">
            <v>108.72347560296767</v>
          </cell>
          <cell r="T163">
            <v>105.52067978297781</v>
          </cell>
          <cell r="U163">
            <v>103.51416354890432</v>
          </cell>
          <cell r="V163">
            <v>126.90105464715158</v>
          </cell>
          <cell r="W163">
            <v>117.58691206543968</v>
          </cell>
          <cell r="X163">
            <v>64.691809738249361</v>
          </cell>
          <cell r="Y163">
            <v>121.79070212358904</v>
          </cell>
          <cell r="Z163">
            <v>99.704735284409836</v>
          </cell>
          <cell r="AA163">
            <v>132.35294117647058</v>
          </cell>
          <cell r="AB163">
            <v>72.491821155943299</v>
          </cell>
          <cell r="AC163">
            <v>96.523249743337573</v>
          </cell>
          <cell r="AD163">
            <v>97.121037146277999</v>
          </cell>
          <cell r="AF163">
            <v>100.57274574235679</v>
          </cell>
          <cell r="AG163">
            <v>96.822143444807779</v>
          </cell>
        </row>
        <row r="164">
          <cell r="A164">
            <v>40340</v>
          </cell>
          <cell r="B164">
            <v>9.1708210000000001</v>
          </cell>
          <cell r="C164">
            <v>52.77</v>
          </cell>
          <cell r="D164">
            <v>57.379730000000002</v>
          </cell>
          <cell r="E164">
            <v>29.180755999999999</v>
          </cell>
          <cell r="F164">
            <v>78.239999999999995</v>
          </cell>
          <cell r="G164">
            <v>1.3186971000000001</v>
          </cell>
          <cell r="H164">
            <v>23.19</v>
          </cell>
          <cell r="I164">
            <v>22.06</v>
          </cell>
          <cell r="J164">
            <v>32.19</v>
          </cell>
          <cell r="K164">
            <v>4.5344614999999999</v>
          </cell>
          <cell r="L164">
            <v>2.61</v>
          </cell>
          <cell r="M164">
            <v>13.4</v>
          </cell>
          <cell r="N164">
            <v>8.0756680000000003</v>
          </cell>
          <cell r="O164">
            <v>10.232867000000001</v>
          </cell>
          <cell r="Q164">
            <v>66.344604624629682</v>
          </cell>
          <cell r="R164">
            <v>87.396488903610475</v>
          </cell>
          <cell r="S164">
            <v>110.13950429695807</v>
          </cell>
          <cell r="T164">
            <v>106.74194351485602</v>
          </cell>
          <cell r="U164">
            <v>104.54302512025653</v>
          </cell>
          <cell r="V164">
            <v>127.68169919376484</v>
          </cell>
          <cell r="W164">
            <v>118.55828220858898</v>
          </cell>
          <cell r="X164">
            <v>62.088376020264555</v>
          </cell>
          <cell r="Y164">
            <v>123.16816529558064</v>
          </cell>
          <cell r="Z164">
            <v>99.446378658268458</v>
          </cell>
          <cell r="AA164">
            <v>127.94117647058823</v>
          </cell>
          <cell r="AB164">
            <v>73.064340239912767</v>
          </cell>
          <cell r="AC164">
            <v>98.806842422668169</v>
          </cell>
          <cell r="AD164">
            <v>96.99801783258701</v>
          </cell>
          <cell r="AF164">
            <v>100.5928320456066</v>
          </cell>
          <cell r="AG164">
            <v>97.902430127627582</v>
          </cell>
        </row>
        <row r="165">
          <cell r="A165">
            <v>40341</v>
          </cell>
          <cell r="B165">
            <v>9.1708210000000001</v>
          </cell>
          <cell r="C165">
            <v>52.77</v>
          </cell>
          <cell r="D165">
            <v>57.379730000000002</v>
          </cell>
          <cell r="E165">
            <v>29.180755999999999</v>
          </cell>
          <cell r="F165">
            <v>78.239999999999995</v>
          </cell>
          <cell r="G165">
            <v>1.3186971000000001</v>
          </cell>
          <cell r="H165">
            <v>23.19</v>
          </cell>
          <cell r="I165">
            <v>22.06</v>
          </cell>
          <cell r="J165">
            <v>32.19</v>
          </cell>
          <cell r="K165">
            <v>4.5344614999999999</v>
          </cell>
          <cell r="L165">
            <v>2.61</v>
          </cell>
          <cell r="M165">
            <v>13.4</v>
          </cell>
          <cell r="N165">
            <v>8.0756680000000003</v>
          </cell>
          <cell r="O165">
            <v>10.232867000000001</v>
          </cell>
          <cell r="Q165">
            <v>66.344604624629682</v>
          </cell>
          <cell r="R165">
            <v>87.396488903610475</v>
          </cell>
          <cell r="S165">
            <v>110.13950429695807</v>
          </cell>
          <cell r="T165">
            <v>106.74194351485602</v>
          </cell>
          <cell r="U165">
            <v>104.54302512025653</v>
          </cell>
          <cell r="V165">
            <v>127.68169919376484</v>
          </cell>
          <cell r="W165">
            <v>118.55828220858898</v>
          </cell>
          <cell r="X165">
            <v>62.088376020264555</v>
          </cell>
          <cell r="Y165">
            <v>123.16816529558064</v>
          </cell>
          <cell r="Z165">
            <v>99.446378658268458</v>
          </cell>
          <cell r="AA165">
            <v>127.94117647058823</v>
          </cell>
          <cell r="AB165">
            <v>73.064340239912767</v>
          </cell>
          <cell r="AC165">
            <v>98.806842422668169</v>
          </cell>
          <cell r="AD165">
            <v>96.99801783258701</v>
          </cell>
          <cell r="AF165">
            <v>100.5928320456066</v>
          </cell>
          <cell r="AG165">
            <v>97.902430127627582</v>
          </cell>
        </row>
        <row r="166">
          <cell r="A166">
            <v>40342</v>
          </cell>
          <cell r="B166">
            <v>9.1708210000000001</v>
          </cell>
          <cell r="C166">
            <v>52.77</v>
          </cell>
          <cell r="D166">
            <v>57.379730000000002</v>
          </cell>
          <cell r="E166">
            <v>29.180755999999999</v>
          </cell>
          <cell r="F166">
            <v>78.239999999999995</v>
          </cell>
          <cell r="G166">
            <v>1.3186971000000001</v>
          </cell>
          <cell r="H166">
            <v>23.19</v>
          </cell>
          <cell r="I166">
            <v>22.06</v>
          </cell>
          <cell r="J166">
            <v>32.19</v>
          </cell>
          <cell r="K166">
            <v>4.5344614999999999</v>
          </cell>
          <cell r="L166">
            <v>2.61</v>
          </cell>
          <cell r="M166">
            <v>13.4</v>
          </cell>
          <cell r="N166">
            <v>8.0756680000000003</v>
          </cell>
          <cell r="O166">
            <v>10.232867000000001</v>
          </cell>
          <cell r="Q166">
            <v>66.344604624629682</v>
          </cell>
          <cell r="R166">
            <v>87.396488903610475</v>
          </cell>
          <cell r="S166">
            <v>110.13950429695807</v>
          </cell>
          <cell r="T166">
            <v>106.74194351485602</v>
          </cell>
          <cell r="U166">
            <v>104.54302512025653</v>
          </cell>
          <cell r="V166">
            <v>127.68169919376484</v>
          </cell>
          <cell r="W166">
            <v>118.55828220858898</v>
          </cell>
          <cell r="X166">
            <v>62.088376020264555</v>
          </cell>
          <cell r="Y166">
            <v>123.16816529558064</v>
          </cell>
          <cell r="Z166">
            <v>99.446378658268458</v>
          </cell>
          <cell r="AA166">
            <v>127.94117647058823</v>
          </cell>
          <cell r="AB166">
            <v>73.064340239912767</v>
          </cell>
          <cell r="AC166">
            <v>98.806842422668169</v>
          </cell>
          <cell r="AD166">
            <v>96.99801783258701</v>
          </cell>
          <cell r="AF166">
            <v>100.5928320456066</v>
          </cell>
          <cell r="AG166">
            <v>97.902430127627582</v>
          </cell>
        </row>
        <row r="167">
          <cell r="A167">
            <v>40343</v>
          </cell>
          <cell r="B167">
            <v>9.3403799999999997</v>
          </cell>
          <cell r="C167">
            <v>52.91</v>
          </cell>
          <cell r="D167">
            <v>60.041409999999999</v>
          </cell>
          <cell r="E167">
            <v>28.756675999999999</v>
          </cell>
          <cell r="F167">
            <v>78.81</v>
          </cell>
          <cell r="G167">
            <v>1.426779</v>
          </cell>
          <cell r="H167">
            <v>23.32</v>
          </cell>
          <cell r="I167">
            <v>22.06</v>
          </cell>
          <cell r="J167">
            <v>32.56</v>
          </cell>
          <cell r="K167">
            <v>4.6182990000000004</v>
          </cell>
          <cell r="L167">
            <v>2.63</v>
          </cell>
          <cell r="M167">
            <v>13.22</v>
          </cell>
          <cell r="N167">
            <v>8.1616789999999995</v>
          </cell>
          <cell r="O167">
            <v>10.104937</v>
          </cell>
          <cell r="Q167">
            <v>67.571247780738346</v>
          </cell>
          <cell r="R167">
            <v>87.628353759523009</v>
          </cell>
          <cell r="S167">
            <v>115.24855789126964</v>
          </cell>
          <cell r="T167">
            <v>105.19067721436058</v>
          </cell>
          <cell r="U167">
            <v>105.30464991982898</v>
          </cell>
          <cell r="V167">
            <v>138.14663510974628</v>
          </cell>
          <cell r="W167">
            <v>119.22290388548058</v>
          </cell>
          <cell r="X167">
            <v>62.088376020264555</v>
          </cell>
          <cell r="Y167">
            <v>124.58389133346088</v>
          </cell>
          <cell r="Z167">
            <v>101.28503927337404</v>
          </cell>
          <cell r="AA167">
            <v>128.92156862745097</v>
          </cell>
          <cell r="AB167">
            <v>72.082878953107965</v>
          </cell>
          <cell r="AC167">
            <v>99.859198131646792</v>
          </cell>
          <cell r="AD167">
            <v>95.785360967084614</v>
          </cell>
          <cell r="AF167">
            <v>102.27289831405049</v>
          </cell>
          <cell r="AG167">
            <v>97.822279549365703</v>
          </cell>
        </row>
        <row r="168">
          <cell r="A168">
            <v>40344</v>
          </cell>
          <cell r="B168">
            <v>9.3816299999999995</v>
          </cell>
          <cell r="C168">
            <v>53.69</v>
          </cell>
          <cell r="D168">
            <v>60.735626000000003</v>
          </cell>
          <cell r="E168">
            <v>28.372526000000001</v>
          </cell>
          <cell r="F168">
            <v>79.599999999999994</v>
          </cell>
          <cell r="G168">
            <v>1.3969982999999999</v>
          </cell>
          <cell r="H168">
            <v>23.57</v>
          </cell>
          <cell r="I168">
            <v>22.88</v>
          </cell>
          <cell r="J168">
            <v>33.045000000000002</v>
          </cell>
          <cell r="K168">
            <v>4.6219587000000004</v>
          </cell>
          <cell r="L168">
            <v>2.76</v>
          </cell>
          <cell r="M168">
            <v>13.63</v>
          </cell>
          <cell r="N168">
            <v>8.3331009999999992</v>
          </cell>
          <cell r="O168">
            <v>10.183662999999999</v>
          </cell>
          <cell r="Q168">
            <v>67.869663259654118</v>
          </cell>
          <cell r="R168">
            <v>88.920172242464375</v>
          </cell>
          <cell r="S168">
            <v>116.58109476648704</v>
          </cell>
          <cell r="T168">
            <v>103.78547312707678</v>
          </cell>
          <cell r="U168">
            <v>106.36023516835915</v>
          </cell>
          <cell r="V168">
            <v>135.26314474703923</v>
          </cell>
          <cell r="W168">
            <v>120.50102249488755</v>
          </cell>
          <cell r="X168">
            <v>64.396284829721367</v>
          </cell>
          <cell r="Y168">
            <v>126.43964032906065</v>
          </cell>
          <cell r="Z168">
            <v>101.36530104469479</v>
          </cell>
          <cell r="AA168">
            <v>135.29411764705881</v>
          </cell>
          <cell r="AB168">
            <v>74.318429661941124</v>
          </cell>
          <cell r="AC168">
            <v>101.95656847200485</v>
          </cell>
          <cell r="AD168">
            <v>96.531609887537513</v>
          </cell>
          <cell r="AF168">
            <v>103.4245482765371</v>
          </cell>
          <cell r="AG168">
            <v>99.24408917977118</v>
          </cell>
        </row>
        <row r="169">
          <cell r="A169">
            <v>40345</v>
          </cell>
          <cell r="B169">
            <v>9.3781979999999994</v>
          </cell>
          <cell r="C169">
            <v>53.65</v>
          </cell>
          <cell r="D169">
            <v>60.29766</v>
          </cell>
          <cell r="E169">
            <v>27.817903999999999</v>
          </cell>
          <cell r="F169">
            <v>80.39</v>
          </cell>
          <cell r="G169">
            <v>1.3775786000000001</v>
          </cell>
          <cell r="H169">
            <v>23.18</v>
          </cell>
          <cell r="I169">
            <v>17.190000000000001</v>
          </cell>
          <cell r="J169">
            <v>32.729999999999997</v>
          </cell>
          <cell r="K169">
            <v>4.6674899999999999</v>
          </cell>
          <cell r="L169">
            <v>2.69</v>
          </cell>
          <cell r="M169">
            <v>13.35</v>
          </cell>
          <cell r="N169">
            <v>8.48996</v>
          </cell>
          <cell r="O169">
            <v>10.1097555</v>
          </cell>
          <cell r="Q169">
            <v>67.844835091808335</v>
          </cell>
          <cell r="R169">
            <v>88.853925140775075</v>
          </cell>
          <cell r="S169">
            <v>115.74042580309312</v>
          </cell>
          <cell r="T169">
            <v>101.75668983592088</v>
          </cell>
          <cell r="U169">
            <v>107.41582041688935</v>
          </cell>
          <cell r="V169">
            <v>133.38284919331946</v>
          </cell>
          <cell r="W169">
            <v>118.50715746421268</v>
          </cell>
          <cell r="X169">
            <v>48.38164931044188</v>
          </cell>
          <cell r="Y169">
            <v>125.23436005356798</v>
          </cell>
          <cell r="Z169">
            <v>102.36385906544392</v>
          </cell>
          <cell r="AA169">
            <v>131.86274509803923</v>
          </cell>
          <cell r="AB169">
            <v>72.791712104689196</v>
          </cell>
          <cell r="AC169">
            <v>103.87575862390031</v>
          </cell>
          <cell r="AD169">
            <v>95.831035844802301</v>
          </cell>
          <cell r="AF169">
            <v>101.17800238151675</v>
          </cell>
          <cell r="AG169">
            <v>99.853397234351306</v>
          </cell>
        </row>
        <row r="170">
          <cell r="A170">
            <v>40346</v>
          </cell>
          <cell r="B170">
            <v>9.4028849999999995</v>
          </cell>
          <cell r="C170">
            <v>53.42</v>
          </cell>
          <cell r="D170">
            <v>61.340232999999998</v>
          </cell>
          <cell r="E170">
            <v>28.500633000000001</v>
          </cell>
          <cell r="F170">
            <v>80.400000000000006</v>
          </cell>
          <cell r="G170">
            <v>1.3278782</v>
          </cell>
          <cell r="H170">
            <v>23.21</v>
          </cell>
          <cell r="I170">
            <v>16.78</v>
          </cell>
          <cell r="J170">
            <v>32.35</v>
          </cell>
          <cell r="K170">
            <v>4.6496835000000001</v>
          </cell>
          <cell r="L170">
            <v>2.79</v>
          </cell>
          <cell r="M170">
            <v>13.34</v>
          </cell>
          <cell r="N170">
            <v>8.6113140000000001</v>
          </cell>
          <cell r="O170">
            <v>10.259573</v>
          </cell>
          <cell r="Q170">
            <v>68.023428617335469</v>
          </cell>
          <cell r="R170">
            <v>88.473004306061611</v>
          </cell>
          <cell r="S170">
            <v>117.74162855210209</v>
          </cell>
          <cell r="T170">
            <v>104.2540829930397</v>
          </cell>
          <cell r="U170">
            <v>107.42918225547835</v>
          </cell>
          <cell r="V170">
            <v>128.57065121198636</v>
          </cell>
          <cell r="W170">
            <v>118.66053169734153</v>
          </cell>
          <cell r="X170">
            <v>47.227694905713484</v>
          </cell>
          <cell r="Y170">
            <v>123.78037114979912</v>
          </cell>
          <cell r="Z170">
            <v>101.97334038057286</v>
          </cell>
          <cell r="AA170">
            <v>136.76470588235296</v>
          </cell>
          <cell r="AB170">
            <v>72.737186477644485</v>
          </cell>
          <cell r="AC170">
            <v>105.36054050886148</v>
          </cell>
          <cell r="AD170">
            <v>97.251165759188325</v>
          </cell>
          <cell r="AF170">
            <v>101.30298403578566</v>
          </cell>
          <cell r="AG170">
            <v>101.3058531340249</v>
          </cell>
        </row>
        <row r="171">
          <cell r="A171">
            <v>40347</v>
          </cell>
          <cell r="B171">
            <v>9.5237619999999996</v>
          </cell>
          <cell r="C171">
            <v>53.09</v>
          </cell>
          <cell r="D171">
            <v>60.996426</v>
          </cell>
          <cell r="E171">
            <v>27.184146999999999</v>
          </cell>
          <cell r="F171">
            <v>80.25</v>
          </cell>
          <cell r="G171">
            <v>1.3298639999999999</v>
          </cell>
          <cell r="H171">
            <v>23.34</v>
          </cell>
          <cell r="I171">
            <v>16.670000000000002</v>
          </cell>
          <cell r="J171">
            <v>31.684999999999999</v>
          </cell>
          <cell r="K171">
            <v>4.6879520000000001</v>
          </cell>
          <cell r="L171">
            <v>2.89</v>
          </cell>
          <cell r="M171">
            <v>13.6</v>
          </cell>
          <cell r="N171">
            <v>8.7976539999999996</v>
          </cell>
          <cell r="O171">
            <v>10.354162000000001</v>
          </cell>
          <cell r="Q171">
            <v>68.89789086812101</v>
          </cell>
          <cell r="R171">
            <v>87.926465717124884</v>
          </cell>
          <cell r="S171">
            <v>117.08169633293997</v>
          </cell>
          <cell r="T171">
            <v>99.438434136988874</v>
          </cell>
          <cell r="U171">
            <v>107.2287546766435</v>
          </cell>
          <cell r="V171">
            <v>128.76292456896803</v>
          </cell>
          <cell r="W171">
            <v>119.32515337423312</v>
          </cell>
          <cell r="X171">
            <v>46.91809738249367</v>
          </cell>
          <cell r="Y171">
            <v>121.23589056820354</v>
          </cell>
          <cell r="Z171">
            <v>102.81261616705466</v>
          </cell>
          <cell r="AA171">
            <v>141.66666666666669</v>
          </cell>
          <cell r="AB171">
            <v>74.154852780806976</v>
          </cell>
          <cell r="AC171">
            <v>107.64043450859499</v>
          </cell>
          <cell r="AD171">
            <v>98.147781097662545</v>
          </cell>
          <cell r="AF171">
            <v>101.28745360335375</v>
          </cell>
          <cell r="AG171">
            <v>102.89410780312878</v>
          </cell>
        </row>
        <row r="172">
          <cell r="A172">
            <v>40348</v>
          </cell>
          <cell r="B172">
            <v>9.5237619999999996</v>
          </cell>
          <cell r="C172">
            <v>53.09</v>
          </cell>
          <cell r="D172">
            <v>60.996426</v>
          </cell>
          <cell r="E172">
            <v>27.184146999999999</v>
          </cell>
          <cell r="F172">
            <v>80.25</v>
          </cell>
          <cell r="G172">
            <v>1.3298639999999999</v>
          </cell>
          <cell r="H172">
            <v>23.34</v>
          </cell>
          <cell r="I172">
            <v>16.670000000000002</v>
          </cell>
          <cell r="J172">
            <v>31.684999999999999</v>
          </cell>
          <cell r="K172">
            <v>4.6879520000000001</v>
          </cell>
          <cell r="L172">
            <v>2.89</v>
          </cell>
          <cell r="M172">
            <v>13.6</v>
          </cell>
          <cell r="N172">
            <v>8.7976539999999996</v>
          </cell>
          <cell r="O172">
            <v>10.354162000000001</v>
          </cell>
          <cell r="Q172">
            <v>68.89789086812101</v>
          </cell>
          <cell r="R172">
            <v>87.926465717124884</v>
          </cell>
          <cell r="S172">
            <v>117.08169633293997</v>
          </cell>
          <cell r="T172">
            <v>99.438434136988874</v>
          </cell>
          <cell r="U172">
            <v>107.2287546766435</v>
          </cell>
          <cell r="V172">
            <v>128.76292456896803</v>
          </cell>
          <cell r="W172">
            <v>119.32515337423312</v>
          </cell>
          <cell r="X172">
            <v>46.91809738249367</v>
          </cell>
          <cell r="Y172">
            <v>121.23589056820354</v>
          </cell>
          <cell r="Z172">
            <v>102.81261616705466</v>
          </cell>
          <cell r="AA172">
            <v>141.66666666666669</v>
          </cell>
          <cell r="AB172">
            <v>74.154852780806976</v>
          </cell>
          <cell r="AC172">
            <v>107.64043450859499</v>
          </cell>
          <cell r="AD172">
            <v>98.147781097662545</v>
          </cell>
          <cell r="AF172">
            <v>101.28745360335375</v>
          </cell>
          <cell r="AG172">
            <v>102.89410780312878</v>
          </cell>
        </row>
        <row r="173">
          <cell r="A173">
            <v>40349</v>
          </cell>
          <cell r="B173">
            <v>9.5237619999999996</v>
          </cell>
          <cell r="C173">
            <v>53.09</v>
          </cell>
          <cell r="D173">
            <v>60.996426</v>
          </cell>
          <cell r="E173">
            <v>27.184146999999999</v>
          </cell>
          <cell r="F173">
            <v>80.25</v>
          </cell>
          <cell r="G173">
            <v>1.3298639999999999</v>
          </cell>
          <cell r="H173">
            <v>23.34</v>
          </cell>
          <cell r="I173">
            <v>16.670000000000002</v>
          </cell>
          <cell r="J173">
            <v>31.684999999999999</v>
          </cell>
          <cell r="K173">
            <v>4.6879520000000001</v>
          </cell>
          <cell r="L173">
            <v>2.89</v>
          </cell>
          <cell r="M173">
            <v>13.6</v>
          </cell>
          <cell r="N173">
            <v>8.7976539999999996</v>
          </cell>
          <cell r="O173">
            <v>10.354162000000001</v>
          </cell>
          <cell r="Q173">
            <v>68.89789086812101</v>
          </cell>
          <cell r="R173">
            <v>87.926465717124884</v>
          </cell>
          <cell r="S173">
            <v>117.08169633293997</v>
          </cell>
          <cell r="T173">
            <v>99.438434136988874</v>
          </cell>
          <cell r="U173">
            <v>107.2287546766435</v>
          </cell>
          <cell r="V173">
            <v>128.76292456896803</v>
          </cell>
          <cell r="W173">
            <v>119.32515337423312</v>
          </cell>
          <cell r="X173">
            <v>46.91809738249367</v>
          </cell>
          <cell r="Y173">
            <v>121.23589056820354</v>
          </cell>
          <cell r="Z173">
            <v>102.81261616705466</v>
          </cell>
          <cell r="AA173">
            <v>141.66666666666669</v>
          </cell>
          <cell r="AB173">
            <v>74.154852780806976</v>
          </cell>
          <cell r="AC173">
            <v>107.64043450859499</v>
          </cell>
          <cell r="AD173">
            <v>98.147781097662545</v>
          </cell>
          <cell r="AF173">
            <v>101.28745360335375</v>
          </cell>
          <cell r="AG173">
            <v>102.89410780312878</v>
          </cell>
        </row>
        <row r="174">
          <cell r="A174">
            <v>40350</v>
          </cell>
          <cell r="B174">
            <v>9.6507830000000006</v>
          </cell>
          <cell r="C174">
            <v>53.09</v>
          </cell>
          <cell r="D174">
            <v>61.543526</v>
          </cell>
          <cell r="E174">
            <v>27.414843000000001</v>
          </cell>
          <cell r="F174">
            <v>80.22</v>
          </cell>
          <cell r="G174">
            <v>1.3457482999999999</v>
          </cell>
          <cell r="H174">
            <v>22.93</v>
          </cell>
          <cell r="I174">
            <v>16.29</v>
          </cell>
          <cell r="J174">
            <v>31.824999999999999</v>
          </cell>
          <cell r="K174">
            <v>4.6711549999999997</v>
          </cell>
          <cell r="L174">
            <v>2.91</v>
          </cell>
          <cell r="M174">
            <v>13.34</v>
          </cell>
          <cell r="N174">
            <v>8.8166919999999998</v>
          </cell>
          <cell r="O174">
            <v>10.489312</v>
          </cell>
          <cell r="Q174">
            <v>69.816800748057076</v>
          </cell>
          <cell r="R174">
            <v>87.926465717124884</v>
          </cell>
          <cell r="S174">
            <v>118.13184632146144</v>
          </cell>
          <cell r="T174">
            <v>100.28231012845062</v>
          </cell>
          <cell r="U174">
            <v>107.18866916087653</v>
          </cell>
          <cell r="V174">
            <v>130.30090809414867</v>
          </cell>
          <cell r="W174">
            <v>117.22903885480574</v>
          </cell>
          <cell r="X174">
            <v>45.848578665916122</v>
          </cell>
          <cell r="Y174">
            <v>121.77157069064472</v>
          </cell>
          <cell r="Z174">
            <v>102.44423707235445</v>
          </cell>
          <cell r="AA174">
            <v>142.64705882352942</v>
          </cell>
          <cell r="AB174">
            <v>72.737186477644485</v>
          </cell>
          <cell r="AC174">
            <v>107.87336690081848</v>
          </cell>
          <cell r="AD174">
            <v>99.428876816982864</v>
          </cell>
          <cell r="AF174">
            <v>101.3603892295845</v>
          </cell>
          <cell r="AG174">
            <v>103.65112185890067</v>
          </cell>
        </row>
        <row r="175">
          <cell r="A175">
            <v>40351</v>
          </cell>
          <cell r="B175">
            <v>9.533353</v>
          </cell>
          <cell r="C175">
            <v>52.14</v>
          </cell>
          <cell r="D175">
            <v>60.679609999999997</v>
          </cell>
          <cell r="E175">
            <v>28.144307999999999</v>
          </cell>
          <cell r="F175">
            <v>78.95</v>
          </cell>
          <cell r="G175">
            <v>1.3084654</v>
          </cell>
          <cell r="H175">
            <v>22.8</v>
          </cell>
          <cell r="I175">
            <v>16.22</v>
          </cell>
          <cell r="J175">
            <v>31.64</v>
          </cell>
          <cell r="K175">
            <v>4.6568449999999997</v>
          </cell>
          <cell r="L175">
            <v>2.59</v>
          </cell>
          <cell r="M175">
            <v>12.72</v>
          </cell>
          <cell r="N175">
            <v>9.0921979999999998</v>
          </cell>
          <cell r="O175">
            <v>10.656689999999999</v>
          </cell>
          <cell r="Q175">
            <v>68.967275179836932</v>
          </cell>
          <cell r="R175">
            <v>86.353097052003974</v>
          </cell>
          <cell r="S175">
            <v>116.47357292083353</v>
          </cell>
          <cell r="T175">
            <v>102.95066155245294</v>
          </cell>
          <cell r="U175">
            <v>105.49171566007483</v>
          </cell>
          <cell r="V175">
            <v>126.6910237447623</v>
          </cell>
          <cell r="W175">
            <v>116.56441717791412</v>
          </cell>
          <cell r="X175">
            <v>45.651562060230788</v>
          </cell>
          <cell r="Y175">
            <v>121.06370767170461</v>
          </cell>
          <cell r="Z175">
            <v>102.13040097988795</v>
          </cell>
          <cell r="AA175">
            <v>126.96078431372548</v>
          </cell>
          <cell r="AB175">
            <v>69.356597600872419</v>
          </cell>
          <cell r="AC175">
            <v>111.24421844257324</v>
          </cell>
          <cell r="AD175">
            <v>101.01546386328988</v>
          </cell>
          <cell r="AF175">
            <v>99.054567992858324</v>
          </cell>
          <cell r="AG175">
            <v>106.12984115293156</v>
          </cell>
        </row>
        <row r="176">
          <cell r="A176">
            <v>40352</v>
          </cell>
          <cell r="B176">
            <v>9.1895579999999999</v>
          </cell>
          <cell r="C176">
            <v>51.59</v>
          </cell>
          <cell r="D176">
            <v>59.597136999999996</v>
          </cell>
          <cell r="E176">
            <v>27.91188</v>
          </cell>
          <cell r="F176">
            <v>78.41</v>
          </cell>
          <cell r="G176">
            <v>1.2708212999999999</v>
          </cell>
          <cell r="H176">
            <v>23.01</v>
          </cell>
          <cell r="I176">
            <v>15.89</v>
          </cell>
          <cell r="J176">
            <v>30.975000000000001</v>
          </cell>
          <cell r="K176">
            <v>4.6078204999999999</v>
          </cell>
          <cell r="L176">
            <v>2.52</v>
          </cell>
          <cell r="M176">
            <v>12.55</v>
          </cell>
          <cell r="N176">
            <v>8.7041219999999999</v>
          </cell>
          <cell r="O176">
            <v>10.579625999999999</v>
          </cell>
          <cell r="Q176">
            <v>66.48015397804653</v>
          </cell>
          <cell r="R176">
            <v>85.442199403776087</v>
          </cell>
          <cell r="S176">
            <v>114.39578273892015</v>
          </cell>
          <cell r="T176">
            <v>102.10044997989223</v>
          </cell>
          <cell r="U176">
            <v>104.77017637626938</v>
          </cell>
          <cell r="V176">
            <v>123.04616651968763</v>
          </cell>
          <cell r="W176">
            <v>117.63803680981597</v>
          </cell>
          <cell r="X176">
            <v>44.722769490571345</v>
          </cell>
          <cell r="Y176">
            <v>118.51922709010904</v>
          </cell>
          <cell r="Z176">
            <v>101.05523273983732</v>
          </cell>
          <cell r="AA176">
            <v>123.52941176470588</v>
          </cell>
          <cell r="AB176">
            <v>68.429661941112329</v>
          </cell>
          <cell r="AC176">
            <v>106.49605839191003</v>
          </cell>
          <cell r="AD176">
            <v>100.28496914990697</v>
          </cell>
          <cell r="AF176">
            <v>97.510772402728648</v>
          </cell>
          <cell r="AG176">
            <v>103.3905137709085</v>
          </cell>
        </row>
        <row r="177">
          <cell r="A177">
            <v>40353</v>
          </cell>
          <cell r="B177">
            <v>9.1378819999999994</v>
          </cell>
          <cell r="C177">
            <v>50.58</v>
          </cell>
          <cell r="D177">
            <v>59.669750000000001</v>
          </cell>
          <cell r="E177">
            <v>27.7302</v>
          </cell>
          <cell r="F177">
            <v>77.05</v>
          </cell>
          <cell r="G177">
            <v>1.247938</v>
          </cell>
          <cell r="H177">
            <v>23</v>
          </cell>
          <cell r="I177">
            <v>15.61</v>
          </cell>
          <cell r="J177">
            <v>30.695</v>
          </cell>
          <cell r="K177">
            <v>4.633902</v>
          </cell>
          <cell r="L177">
            <v>2.4500000000000002</v>
          </cell>
          <cell r="M177">
            <v>12.49</v>
          </cell>
          <cell r="N177">
            <v>8.8707879999999992</v>
          </cell>
          <cell r="O177">
            <v>10.600312000000001</v>
          </cell>
          <cell r="Q177">
            <v>66.106313534690102</v>
          </cell>
          <cell r="R177">
            <v>83.769460086121228</v>
          </cell>
          <cell r="S177">
            <v>114.53516226938352</v>
          </cell>
          <cell r="T177">
            <v>101.43587239671447</v>
          </cell>
          <cell r="U177">
            <v>102.95296632816675</v>
          </cell>
          <cell r="V177">
            <v>120.8305109099493</v>
          </cell>
          <cell r="W177">
            <v>117.58691206543968</v>
          </cell>
          <cell r="X177">
            <v>43.93470306783</v>
          </cell>
          <cell r="Y177">
            <v>117.4478668452267</v>
          </cell>
          <cell r="Z177">
            <v>101.62723246350367</v>
          </cell>
          <cell r="AA177">
            <v>120.0980392156863</v>
          </cell>
          <cell r="AB177">
            <v>68.102508178844062</v>
          </cell>
          <cell r="AC177">
            <v>108.53523845716487</v>
          </cell>
          <cell r="AD177">
            <v>100.48105310144129</v>
          </cell>
          <cell r="AF177">
            <v>96.535628946796336</v>
          </cell>
          <cell r="AG177">
            <v>104.50814577930308</v>
          </cell>
        </row>
        <row r="178">
          <cell r="A178">
            <v>40354</v>
          </cell>
          <cell r="B178">
            <v>9.1194199999999999</v>
          </cell>
          <cell r="C178">
            <v>50.74</v>
          </cell>
          <cell r="D178">
            <v>59.248469999999998</v>
          </cell>
          <cell r="E178">
            <v>28.112223</v>
          </cell>
          <cell r="F178">
            <v>77.19</v>
          </cell>
          <cell r="G178">
            <v>1.2431287</v>
          </cell>
          <cell r="H178">
            <v>22.74</v>
          </cell>
          <cell r="I178">
            <v>15.8</v>
          </cell>
          <cell r="J178">
            <v>30.844999999999999</v>
          </cell>
          <cell r="K178">
            <v>4.5035242999999996</v>
          </cell>
          <cell r="L178">
            <v>2.7</v>
          </cell>
          <cell r="M178">
            <v>12.71</v>
          </cell>
          <cell r="N178">
            <v>9.0944699999999994</v>
          </cell>
          <cell r="O178">
            <v>10.745467</v>
          </cell>
          <cell r="Q178">
            <v>65.972753617799356</v>
          </cell>
          <cell r="R178">
            <v>84.03444849287844</v>
          </cell>
          <cell r="S178">
            <v>113.72652182492304</v>
          </cell>
          <cell r="T178">
            <v>102.83329600998125</v>
          </cell>
          <cell r="U178">
            <v>103.14003206841261</v>
          </cell>
          <cell r="V178">
            <v>120.36485462244207</v>
          </cell>
          <cell r="W178">
            <v>116.25766871165644</v>
          </cell>
          <cell r="X178">
            <v>44.469462426118774</v>
          </cell>
          <cell r="Y178">
            <v>118.02180983355652</v>
          </cell>
          <cell r="Z178">
            <v>98.767887396224083</v>
          </cell>
          <cell r="AA178">
            <v>132.35294117647058</v>
          </cell>
          <cell r="AB178">
            <v>69.302071973827708</v>
          </cell>
          <cell r="AC178">
            <v>111.27201665641566</v>
          </cell>
          <cell r="AD178">
            <v>101.85698687234724</v>
          </cell>
          <cell r="AF178">
            <v>97.436979012857549</v>
          </cell>
          <cell r="AG178">
            <v>106.56450176438145</v>
          </cell>
        </row>
        <row r="179">
          <cell r="A179">
            <v>40355</v>
          </cell>
          <cell r="B179">
            <v>9.1194199999999999</v>
          </cell>
          <cell r="C179">
            <v>50.74</v>
          </cell>
          <cell r="D179">
            <v>59.248469999999998</v>
          </cell>
          <cell r="E179">
            <v>28.112223</v>
          </cell>
          <cell r="F179">
            <v>77.19</v>
          </cell>
          <cell r="G179">
            <v>1.2431287</v>
          </cell>
          <cell r="H179">
            <v>22.74</v>
          </cell>
          <cell r="I179">
            <v>15.8</v>
          </cell>
          <cell r="J179">
            <v>30.844999999999999</v>
          </cell>
          <cell r="K179">
            <v>4.5035242999999996</v>
          </cell>
          <cell r="L179">
            <v>2.7</v>
          </cell>
          <cell r="M179">
            <v>12.71</v>
          </cell>
          <cell r="N179">
            <v>9.0944699999999994</v>
          </cell>
          <cell r="O179">
            <v>10.745467</v>
          </cell>
          <cell r="Q179">
            <v>65.972753617799356</v>
          </cell>
          <cell r="R179">
            <v>84.03444849287844</v>
          </cell>
          <cell r="S179">
            <v>113.72652182492304</v>
          </cell>
          <cell r="T179">
            <v>102.83329600998125</v>
          </cell>
          <cell r="U179">
            <v>103.14003206841261</v>
          </cell>
          <cell r="V179">
            <v>120.36485462244207</v>
          </cell>
          <cell r="W179">
            <v>116.25766871165644</v>
          </cell>
          <cell r="X179">
            <v>44.469462426118774</v>
          </cell>
          <cell r="Y179">
            <v>118.02180983355652</v>
          </cell>
          <cell r="Z179">
            <v>98.767887396224083</v>
          </cell>
          <cell r="AA179">
            <v>132.35294117647058</v>
          </cell>
          <cell r="AB179">
            <v>69.302071973827708</v>
          </cell>
          <cell r="AC179">
            <v>111.27201665641566</v>
          </cell>
          <cell r="AD179">
            <v>101.85698687234724</v>
          </cell>
          <cell r="AF179">
            <v>97.436979012857549</v>
          </cell>
          <cell r="AG179">
            <v>106.56450176438145</v>
          </cell>
        </row>
        <row r="180">
          <cell r="A180">
            <v>40356</v>
          </cell>
          <cell r="B180">
            <v>9.1194199999999999</v>
          </cell>
          <cell r="C180">
            <v>50.74</v>
          </cell>
          <cell r="D180">
            <v>59.248469999999998</v>
          </cell>
          <cell r="E180">
            <v>28.112223</v>
          </cell>
          <cell r="F180">
            <v>77.19</v>
          </cell>
          <cell r="G180">
            <v>1.2431287</v>
          </cell>
          <cell r="H180">
            <v>22.74</v>
          </cell>
          <cell r="I180">
            <v>15.8</v>
          </cell>
          <cell r="J180">
            <v>30.844999999999999</v>
          </cell>
          <cell r="K180">
            <v>4.5035242999999996</v>
          </cell>
          <cell r="L180">
            <v>2.7</v>
          </cell>
          <cell r="M180">
            <v>12.71</v>
          </cell>
          <cell r="N180">
            <v>9.0944699999999994</v>
          </cell>
          <cell r="O180">
            <v>10.745467</v>
          </cell>
          <cell r="Q180">
            <v>65.972753617799356</v>
          </cell>
          <cell r="R180">
            <v>84.03444849287844</v>
          </cell>
          <cell r="S180">
            <v>113.72652182492304</v>
          </cell>
          <cell r="T180">
            <v>102.83329600998125</v>
          </cell>
          <cell r="U180">
            <v>103.14003206841261</v>
          </cell>
          <cell r="V180">
            <v>120.36485462244207</v>
          </cell>
          <cell r="W180">
            <v>116.25766871165644</v>
          </cell>
          <cell r="X180">
            <v>44.469462426118774</v>
          </cell>
          <cell r="Y180">
            <v>118.02180983355652</v>
          </cell>
          <cell r="Z180">
            <v>98.767887396224083</v>
          </cell>
          <cell r="AA180">
            <v>132.35294117647058</v>
          </cell>
          <cell r="AB180">
            <v>69.302071973827708</v>
          </cell>
          <cell r="AC180">
            <v>111.27201665641566</v>
          </cell>
          <cell r="AD180">
            <v>101.85698687234724</v>
          </cell>
          <cell r="AF180">
            <v>97.436979012857549</v>
          </cell>
          <cell r="AG180">
            <v>106.56450176438145</v>
          </cell>
        </row>
        <row r="181">
          <cell r="A181">
            <v>40357</v>
          </cell>
          <cell r="B181">
            <v>9.1270299999999995</v>
          </cell>
          <cell r="C181">
            <v>51.08</v>
          </cell>
          <cell r="D181">
            <v>58.381892999999998</v>
          </cell>
          <cell r="E181">
            <v>28.305693000000002</v>
          </cell>
          <cell r="F181">
            <v>78</v>
          </cell>
          <cell r="G181">
            <v>1.2610794999999999</v>
          </cell>
          <cell r="H181">
            <v>22.74</v>
          </cell>
          <cell r="I181">
            <v>16.32</v>
          </cell>
          <cell r="J181">
            <v>30.82</v>
          </cell>
          <cell r="K181">
            <v>4.5154779999999999</v>
          </cell>
          <cell r="L181">
            <v>2.4900000000000002</v>
          </cell>
          <cell r="M181">
            <v>12.63</v>
          </cell>
          <cell r="N181">
            <v>9.55593</v>
          </cell>
          <cell r="O181">
            <v>10.961214</v>
          </cell>
          <cell r="Q181">
            <v>66.027806752212683</v>
          </cell>
          <cell r="R181">
            <v>84.597548857237499</v>
          </cell>
          <cell r="S181">
            <v>112.06314067595031</v>
          </cell>
          <cell r="T181">
            <v>103.54100090329585</v>
          </cell>
          <cell r="U181">
            <v>104.22234099412077</v>
          </cell>
          <cell r="V181">
            <v>122.10292521188025</v>
          </cell>
          <cell r="W181">
            <v>116.25766871165644</v>
          </cell>
          <cell r="X181">
            <v>45.933014354066984</v>
          </cell>
          <cell r="Y181">
            <v>117.92615266883489</v>
          </cell>
          <cell r="Z181">
            <v>99.030046899963921</v>
          </cell>
          <cell r="AA181">
            <v>122.05882352941177</v>
          </cell>
          <cell r="AB181">
            <v>68.865866957470018</v>
          </cell>
          <cell r="AC181">
            <v>116.91803943798178</v>
          </cell>
          <cell r="AD181">
            <v>103.90206684390624</v>
          </cell>
          <cell r="AF181">
            <v>96.885528043008435</v>
          </cell>
          <cell r="AG181">
            <v>110.410053140944</v>
          </cell>
        </row>
        <row r="182">
          <cell r="A182">
            <v>40358</v>
          </cell>
          <cell r="B182">
            <v>9.0460410000000007</v>
          </cell>
          <cell r="C182">
            <v>50.05</v>
          </cell>
          <cell r="D182">
            <v>58.002147999999998</v>
          </cell>
          <cell r="E182">
            <v>28.92193</v>
          </cell>
          <cell r="F182">
            <v>76.52</v>
          </cell>
          <cell r="G182">
            <v>1.2406858999999999</v>
          </cell>
          <cell r="H182">
            <v>22.13</v>
          </cell>
          <cell r="I182">
            <v>16.37</v>
          </cell>
          <cell r="J182">
            <v>30.265000000000001</v>
          </cell>
          <cell r="K182">
            <v>4.4888839999999997</v>
          </cell>
          <cell r="L182">
            <v>2.4</v>
          </cell>
          <cell r="M182">
            <v>12.14</v>
          </cell>
          <cell r="N182">
            <v>9.2104540000000004</v>
          </cell>
          <cell r="O182">
            <v>10.819509</v>
          </cell>
          <cell r="Q182">
            <v>65.441906843802727</v>
          </cell>
          <cell r="R182">
            <v>82.89168598873799</v>
          </cell>
          <cell r="S182">
            <v>111.33422602160725</v>
          </cell>
          <cell r="T182">
            <v>105.79516919988707</v>
          </cell>
          <cell r="U182">
            <v>102.24478888295027</v>
          </cell>
          <cell r="V182">
            <v>120.12833263813607</v>
          </cell>
          <cell r="W182">
            <v>113.13905930470347</v>
          </cell>
          <cell r="X182">
            <v>46.073740500985082</v>
          </cell>
          <cell r="Y182">
            <v>115.80256361201452</v>
          </cell>
          <cell r="Z182">
            <v>98.446807414076119</v>
          </cell>
          <cell r="AA182">
            <v>117.64705882352942</v>
          </cell>
          <cell r="AB182">
            <v>66.19411123227917</v>
          </cell>
          <cell r="AC182">
            <v>112.69109589686373</v>
          </cell>
          <cell r="AD182">
            <v>102.55883584940912</v>
          </cell>
          <cell r="AF182">
            <v>95.428287538559104</v>
          </cell>
          <cell r="AG182">
            <v>107.62496587313643</v>
          </cell>
        </row>
        <row r="183">
          <cell r="A183">
            <v>40359</v>
          </cell>
          <cell r="B183">
            <v>8.8096999999999994</v>
          </cell>
          <cell r="C183">
            <v>49.77</v>
          </cell>
          <cell r="D183">
            <v>57.181601999999998</v>
          </cell>
          <cell r="E183">
            <v>30.1616</v>
          </cell>
          <cell r="F183">
            <v>75.349999999999994</v>
          </cell>
          <cell r="G183">
            <v>1.2248406000000001</v>
          </cell>
          <cell r="H183">
            <v>22.17</v>
          </cell>
          <cell r="I183">
            <v>17.2</v>
          </cell>
          <cell r="J183">
            <v>30.405000000000001</v>
          </cell>
          <cell r="K183">
            <v>4.3837336999999996</v>
          </cell>
          <cell r="L183">
            <v>2.37</v>
          </cell>
          <cell r="M183">
            <v>11.92</v>
          </cell>
          <cell r="N183">
            <v>9.4257969999999993</v>
          </cell>
          <cell r="O183">
            <v>11.090153000000001</v>
          </cell>
          <cell r="Q183">
            <v>63.732141687380015</v>
          </cell>
          <cell r="R183">
            <v>82.42795627691288</v>
          </cell>
          <cell r="S183">
            <v>109.75920066521654</v>
          </cell>
          <cell r="T183">
            <v>110.32982844987571</v>
          </cell>
          <cell r="U183">
            <v>100.68145376803848</v>
          </cell>
          <cell r="V183">
            <v>118.59412525401811</v>
          </cell>
          <cell r="W183">
            <v>113.34355828220862</v>
          </cell>
          <cell r="X183">
            <v>48.409794539825498</v>
          </cell>
          <cell r="Y183">
            <v>116.33824373445572</v>
          </cell>
          <cell r="Z183">
            <v>96.140730595510007</v>
          </cell>
          <cell r="AA183">
            <v>116.1764705882353</v>
          </cell>
          <cell r="AB183">
            <v>64.994547437295523</v>
          </cell>
          <cell r="AC183">
            <v>115.32584535261459</v>
          </cell>
          <cell r="AD183">
            <v>105.12428808662501</v>
          </cell>
          <cell r="AF183">
            <v>95.077337606581025</v>
          </cell>
          <cell r="AG183">
            <v>110.2250667196198</v>
          </cell>
        </row>
        <row r="184">
          <cell r="A184">
            <v>40360</v>
          </cell>
          <cell r="B184">
            <v>8.6154349999999997</v>
          </cell>
          <cell r="C184">
            <v>49.31</v>
          </cell>
          <cell r="D184">
            <v>58.120840000000001</v>
          </cell>
          <cell r="E184">
            <v>30.611073999999999</v>
          </cell>
          <cell r="F184">
            <v>75.42</v>
          </cell>
          <cell r="G184">
            <v>1.2951235999999999</v>
          </cell>
          <cell r="H184">
            <v>20.86</v>
          </cell>
          <cell r="I184">
            <v>17.22</v>
          </cell>
          <cell r="J184">
            <v>29.805</v>
          </cell>
          <cell r="K184">
            <v>4.3160819999999998</v>
          </cell>
          <cell r="L184">
            <v>2.25</v>
          </cell>
          <cell r="M184">
            <v>11.68</v>
          </cell>
          <cell r="N184">
            <v>9.3346630000000008</v>
          </cell>
          <cell r="O184">
            <v>11.046480000000001</v>
          </cell>
          <cell r="Q184">
            <v>62.326767553766061</v>
          </cell>
          <cell r="R184">
            <v>81.666114607485923</v>
          </cell>
          <cell r="S184">
            <v>111.56205347991029</v>
          </cell>
          <cell r="T184">
            <v>111.97398490419775</v>
          </cell>
          <cell r="U184">
            <v>100.77498663816141</v>
          </cell>
          <cell r="V184">
            <v>125.39921556962992</v>
          </cell>
          <cell r="W184">
            <v>106.64621676891616</v>
          </cell>
          <cell r="X184">
            <v>48.466084998592734</v>
          </cell>
          <cell r="Y184">
            <v>114.0424717811364</v>
          </cell>
          <cell r="Z184">
            <v>94.657044699163635</v>
          </cell>
          <cell r="AA184">
            <v>110.29411764705883</v>
          </cell>
          <cell r="AB184">
            <v>63.685932388222469</v>
          </cell>
          <cell r="AC184">
            <v>114.21080907606789</v>
          </cell>
          <cell r="AD184">
            <v>104.71030885355157</v>
          </cell>
          <cell r="AF184">
            <v>94.291249253020126</v>
          </cell>
          <cell r="AG184">
            <v>109.46055896480974</v>
          </cell>
        </row>
        <row r="185">
          <cell r="A185">
            <v>40361</v>
          </cell>
          <cell r="B185">
            <v>8.7291720000000002</v>
          </cell>
          <cell r="C185">
            <v>49.2</v>
          </cell>
          <cell r="D185">
            <v>57.471916</v>
          </cell>
          <cell r="E185">
            <v>30.389417999999999</v>
          </cell>
          <cell r="F185">
            <v>74.5</v>
          </cell>
          <cell r="G185">
            <v>1.2928712</v>
          </cell>
          <cell r="H185">
            <v>20.86</v>
          </cell>
          <cell r="I185">
            <v>17.170000000000002</v>
          </cell>
          <cell r="J185">
            <v>30.585000000000001</v>
          </cell>
          <cell r="K185">
            <v>4.4153365999999998</v>
          </cell>
          <cell r="L185">
            <v>2.1800000000000002</v>
          </cell>
          <cell r="M185">
            <v>11.68</v>
          </cell>
          <cell r="N185">
            <v>9.7143820000000005</v>
          </cell>
          <cell r="O185">
            <v>11.244073999999999</v>
          </cell>
          <cell r="Q185">
            <v>63.149576798019282</v>
          </cell>
          <cell r="R185">
            <v>81.483935077840343</v>
          </cell>
          <cell r="S185">
            <v>110.31645389820434</v>
          </cell>
          <cell r="T185">
            <v>111.16317684179768</v>
          </cell>
          <cell r="U185">
            <v>99.545697487974337</v>
          </cell>
          <cell r="V185">
            <v>125.18112889964024</v>
          </cell>
          <cell r="W185">
            <v>106.64621676891616</v>
          </cell>
          <cell r="X185">
            <v>48.325358851674643</v>
          </cell>
          <cell r="Y185">
            <v>117.0269753204515</v>
          </cell>
          <cell r="Z185">
            <v>96.833821486258415</v>
          </cell>
          <cell r="AA185">
            <v>106.86274509803921</v>
          </cell>
          <cell r="AB185">
            <v>63.685932388222469</v>
          </cell>
          <cell r="AC185">
            <v>118.85672015090319</v>
          </cell>
          <cell r="AD185">
            <v>106.58331534680632</v>
          </cell>
          <cell r="AF185">
            <v>94.185084909753201</v>
          </cell>
          <cell r="AG185">
            <v>112.72001774885476</v>
          </cell>
        </row>
        <row r="186">
          <cell r="A186">
            <v>40362</v>
          </cell>
          <cell r="B186">
            <v>8.7291720000000002</v>
          </cell>
          <cell r="C186">
            <v>49.2</v>
          </cell>
          <cell r="D186">
            <v>57.471916</v>
          </cell>
          <cell r="E186">
            <v>30.389417999999999</v>
          </cell>
          <cell r="F186">
            <v>74.5</v>
          </cell>
          <cell r="G186">
            <v>1.2928712</v>
          </cell>
          <cell r="H186">
            <v>20.86</v>
          </cell>
          <cell r="I186">
            <v>17.170000000000002</v>
          </cell>
          <cell r="J186">
            <v>30.585000000000001</v>
          </cell>
          <cell r="K186">
            <v>4.4153365999999998</v>
          </cell>
          <cell r="L186">
            <v>2.1800000000000002</v>
          </cell>
          <cell r="M186">
            <v>11.68</v>
          </cell>
          <cell r="N186">
            <v>9.7143820000000005</v>
          </cell>
          <cell r="O186">
            <v>11.244073999999999</v>
          </cell>
          <cell r="Q186">
            <v>63.149576798019282</v>
          </cell>
          <cell r="R186">
            <v>81.483935077840343</v>
          </cell>
          <cell r="S186">
            <v>110.31645389820434</v>
          </cell>
          <cell r="T186">
            <v>111.16317684179768</v>
          </cell>
          <cell r="U186">
            <v>99.545697487974337</v>
          </cell>
          <cell r="V186">
            <v>125.18112889964024</v>
          </cell>
          <cell r="W186">
            <v>106.64621676891616</v>
          </cell>
          <cell r="X186">
            <v>48.325358851674643</v>
          </cell>
          <cell r="Y186">
            <v>117.0269753204515</v>
          </cell>
          <cell r="Z186">
            <v>96.833821486258415</v>
          </cell>
          <cell r="AA186">
            <v>106.86274509803921</v>
          </cell>
          <cell r="AB186">
            <v>63.685932388222469</v>
          </cell>
          <cell r="AC186">
            <v>118.85672015090319</v>
          </cell>
          <cell r="AD186">
            <v>106.58331534680632</v>
          </cell>
          <cell r="AF186">
            <v>94.185084909753201</v>
          </cell>
          <cell r="AG186">
            <v>112.72001774885476</v>
          </cell>
        </row>
        <row r="187">
          <cell r="A187">
            <v>40363</v>
          </cell>
          <cell r="B187">
            <v>8.7291720000000002</v>
          </cell>
          <cell r="C187">
            <v>49.2</v>
          </cell>
          <cell r="D187">
            <v>57.471916</v>
          </cell>
          <cell r="E187">
            <v>30.389417999999999</v>
          </cell>
          <cell r="F187">
            <v>74.5</v>
          </cell>
          <cell r="G187">
            <v>1.2928712</v>
          </cell>
          <cell r="H187">
            <v>20.86</v>
          </cell>
          <cell r="I187">
            <v>17.170000000000002</v>
          </cell>
          <cell r="J187">
            <v>30.585000000000001</v>
          </cell>
          <cell r="K187">
            <v>4.4153365999999998</v>
          </cell>
          <cell r="L187">
            <v>2.1800000000000002</v>
          </cell>
          <cell r="M187">
            <v>11.68</v>
          </cell>
          <cell r="N187">
            <v>9.7143820000000005</v>
          </cell>
          <cell r="O187">
            <v>11.244073999999999</v>
          </cell>
          <cell r="Q187">
            <v>63.149576798019282</v>
          </cell>
          <cell r="R187">
            <v>81.483935077840343</v>
          </cell>
          <cell r="S187">
            <v>110.31645389820434</v>
          </cell>
          <cell r="T187">
            <v>111.16317684179768</v>
          </cell>
          <cell r="U187">
            <v>99.545697487974337</v>
          </cell>
          <cell r="V187">
            <v>125.18112889964024</v>
          </cell>
          <cell r="W187">
            <v>106.64621676891616</v>
          </cell>
          <cell r="X187">
            <v>48.325358851674643</v>
          </cell>
          <cell r="Y187">
            <v>117.0269753204515</v>
          </cell>
          <cell r="Z187">
            <v>96.833821486258415</v>
          </cell>
          <cell r="AA187">
            <v>106.86274509803921</v>
          </cell>
          <cell r="AB187">
            <v>63.685932388222469</v>
          </cell>
          <cell r="AC187">
            <v>118.85672015090319</v>
          </cell>
          <cell r="AD187">
            <v>106.58331534680632</v>
          </cell>
          <cell r="AF187">
            <v>94.185084909753201</v>
          </cell>
          <cell r="AG187">
            <v>112.72001774885476</v>
          </cell>
        </row>
        <row r="188">
          <cell r="A188">
            <v>40364</v>
          </cell>
          <cell r="B188">
            <v>8.7291720000000002</v>
          </cell>
          <cell r="C188">
            <v>49.2</v>
          </cell>
          <cell r="D188">
            <v>57.471916</v>
          </cell>
          <cell r="E188">
            <v>30.389417999999999</v>
          </cell>
          <cell r="F188">
            <v>74.5</v>
          </cell>
          <cell r="G188">
            <v>1.2928712</v>
          </cell>
          <cell r="H188">
            <v>20.86</v>
          </cell>
          <cell r="I188">
            <v>17.170000000000002</v>
          </cell>
          <cell r="J188">
            <v>30.585000000000001</v>
          </cell>
          <cell r="K188">
            <v>4.4153365999999998</v>
          </cell>
          <cell r="L188">
            <v>2.1800000000000002</v>
          </cell>
          <cell r="M188">
            <v>11.68</v>
          </cell>
          <cell r="N188">
            <v>9.7143820000000005</v>
          </cell>
          <cell r="O188">
            <v>11.244073999999999</v>
          </cell>
          <cell r="Q188">
            <v>63.149576798019282</v>
          </cell>
          <cell r="R188">
            <v>81.483935077840343</v>
          </cell>
          <cell r="S188">
            <v>110.31645389820434</v>
          </cell>
          <cell r="T188">
            <v>111.16317684179768</v>
          </cell>
          <cell r="U188">
            <v>99.545697487974337</v>
          </cell>
          <cell r="V188">
            <v>125.18112889964024</v>
          </cell>
          <cell r="W188">
            <v>106.64621676891616</v>
          </cell>
          <cell r="X188">
            <v>48.325358851674643</v>
          </cell>
          <cell r="Y188">
            <v>117.0269753204515</v>
          </cell>
          <cell r="Z188">
            <v>96.833821486258415</v>
          </cell>
          <cell r="AA188">
            <v>106.86274509803921</v>
          </cell>
          <cell r="AB188">
            <v>63.685932388222469</v>
          </cell>
          <cell r="AC188">
            <v>118.85672015090319</v>
          </cell>
          <cell r="AD188">
            <v>106.58331534680632</v>
          </cell>
          <cell r="AF188">
            <v>94.185084909753201</v>
          </cell>
          <cell r="AG188">
            <v>112.72001774885476</v>
          </cell>
        </row>
        <row r="189">
          <cell r="A189">
            <v>40365</v>
          </cell>
          <cell r="B189">
            <v>8.7475194999999992</v>
          </cell>
          <cell r="C189">
            <v>48.91</v>
          </cell>
          <cell r="D189">
            <v>57.649410000000003</v>
          </cell>
          <cell r="E189">
            <v>30.826422000000001</v>
          </cell>
          <cell r="F189">
            <v>74.2</v>
          </cell>
          <cell r="G189">
            <v>1.3350171</v>
          </cell>
          <cell r="H189">
            <v>20.69</v>
          </cell>
          <cell r="I189">
            <v>17.07</v>
          </cell>
          <cell r="J189">
            <v>30.975000000000001</v>
          </cell>
          <cell r="K189">
            <v>4.4420999999999999</v>
          </cell>
          <cell r="L189">
            <v>2.17</v>
          </cell>
          <cell r="M189">
            <v>11.82</v>
          </cell>
          <cell r="N189">
            <v>10.143654</v>
          </cell>
          <cell r="O189">
            <v>11.447029000000001</v>
          </cell>
          <cell r="Q189">
            <v>63.282308385883688</v>
          </cell>
          <cell r="R189">
            <v>81.003643590592901</v>
          </cell>
          <cell r="S189">
            <v>110.65715088607244</v>
          </cell>
          <cell r="T189">
            <v>112.76171857538972</v>
          </cell>
          <cell r="U189">
            <v>99.144842330304655</v>
          </cell>
          <cell r="V189">
            <v>129.26186899230481</v>
          </cell>
          <cell r="W189">
            <v>105.77709611451944</v>
          </cell>
          <cell r="X189">
            <v>48.043906557838447</v>
          </cell>
          <cell r="Y189">
            <v>118.51922709010904</v>
          </cell>
          <cell r="Z189">
            <v>97.420776124771223</v>
          </cell>
          <cell r="AA189">
            <v>106.37254901960785</v>
          </cell>
          <cell r="AB189">
            <v>64.449291166848425</v>
          </cell>
          <cell r="AC189">
            <v>124.1089185895294</v>
          </cell>
          <cell r="AD189">
            <v>108.50713911088073</v>
          </cell>
          <cell r="AF189">
            <v>94.724531569520238</v>
          </cell>
          <cell r="AG189">
            <v>116.30802885020506</v>
          </cell>
        </row>
        <row r="190">
          <cell r="A190">
            <v>40366</v>
          </cell>
          <cell r="B190">
            <v>8.8324210000000001</v>
          </cell>
          <cell r="C190">
            <v>49.77</v>
          </cell>
          <cell r="D190">
            <v>56.599452999999997</v>
          </cell>
          <cell r="E190">
            <v>30.648489000000001</v>
          </cell>
          <cell r="F190">
            <v>74.989999999999995</v>
          </cell>
          <cell r="G190">
            <v>1.3063875</v>
          </cell>
          <cell r="H190">
            <v>20.81</v>
          </cell>
          <cell r="I190">
            <v>17.28</v>
          </cell>
          <cell r="J190">
            <v>32.01</v>
          </cell>
          <cell r="K190">
            <v>4.4548363999999996</v>
          </cell>
          <cell r="L190">
            <v>2.12</v>
          </cell>
          <cell r="M190">
            <v>12.05</v>
          </cell>
          <cell r="N190">
            <v>9.7186140000000005</v>
          </cell>
          <cell r="O190">
            <v>11.764042</v>
          </cell>
          <cell r="Q190">
            <v>63.896512550324161</v>
          </cell>
          <cell r="R190">
            <v>82.42795627691288</v>
          </cell>
          <cell r="S190">
            <v>108.64177466326481</v>
          </cell>
          <cell r="T190">
            <v>112.11084735617153</v>
          </cell>
          <cell r="U190">
            <v>100.20042757883483</v>
          </cell>
          <cell r="V190">
            <v>126.48983288542493</v>
          </cell>
          <cell r="W190">
            <v>106.39059304703477</v>
          </cell>
          <cell r="X190">
            <v>48.634956374894458</v>
          </cell>
          <cell r="Y190">
            <v>122.47943370958482</v>
          </cell>
          <cell r="Z190">
            <v>97.700101212688097</v>
          </cell>
          <cell r="AA190">
            <v>103.92156862745099</v>
          </cell>
          <cell r="AB190">
            <v>65.703380588876783</v>
          </cell>
          <cell r="AC190">
            <v>118.90849921823641</v>
          </cell>
          <cell r="AD190">
            <v>111.51212614209707</v>
          </cell>
          <cell r="AF190">
            <v>94.883115405955252</v>
          </cell>
          <cell r="AG190">
            <v>115.21031268016674</v>
          </cell>
        </row>
        <row r="191">
          <cell r="A191">
            <v>40367</v>
          </cell>
          <cell r="B191">
            <v>9.0875199999999996</v>
          </cell>
          <cell r="C191">
            <v>49.88</v>
          </cell>
          <cell r="D191">
            <v>56.458897</v>
          </cell>
          <cell r="E191">
            <v>30.171634999999998</v>
          </cell>
          <cell r="F191">
            <v>75.62</v>
          </cell>
          <cell r="G191">
            <v>1.2876156999999999</v>
          </cell>
          <cell r="H191">
            <v>21.19</v>
          </cell>
          <cell r="I191">
            <v>17.03</v>
          </cell>
          <cell r="J191">
            <v>32.5</v>
          </cell>
          <cell r="K191">
            <v>4.5874499999999996</v>
          </cell>
          <cell r="L191">
            <v>2.21</v>
          </cell>
          <cell r="M191">
            <v>12.13</v>
          </cell>
          <cell r="N191">
            <v>9.6115790000000008</v>
          </cell>
          <cell r="O191">
            <v>12.099282000000001</v>
          </cell>
          <cell r="Q191">
            <v>65.741978980771151</v>
          </cell>
          <cell r="R191">
            <v>82.610135806558461</v>
          </cell>
          <cell r="S191">
            <v>108.3719795951116</v>
          </cell>
          <cell r="T191">
            <v>110.36653604590822</v>
          </cell>
          <cell r="U191">
            <v>101.0422234099412</v>
          </cell>
          <cell r="V191">
            <v>124.67226968541065</v>
          </cell>
          <cell r="W191">
            <v>108.33333333333334</v>
          </cell>
          <cell r="X191">
            <v>47.931325640303967</v>
          </cell>
          <cell r="Y191">
            <v>124.35431413812894</v>
          </cell>
          <cell r="Z191">
            <v>100.60848234699394</v>
          </cell>
          <cell r="AA191">
            <v>108.33333333333333</v>
          </cell>
          <cell r="AB191">
            <v>66.139585605234458</v>
          </cell>
          <cell r="AC191">
            <v>117.59891215018084</v>
          </cell>
          <cell r="AD191">
            <v>114.68988810247403</v>
          </cell>
          <cell r="AF191">
            <v>95.708791493419099</v>
          </cell>
          <cell r="AG191">
            <v>116.14440012632744</v>
          </cell>
        </row>
        <row r="192">
          <cell r="A192">
            <v>40368</v>
          </cell>
          <cell r="B192">
            <v>9.2034230000000008</v>
          </cell>
          <cell r="C192">
            <v>49.73</v>
          </cell>
          <cell r="D192">
            <v>56.280726999999999</v>
          </cell>
          <cell r="E192">
            <v>29.575635999999999</v>
          </cell>
          <cell r="F192">
            <v>74.33</v>
          </cell>
          <cell r="G192">
            <v>1.302413</v>
          </cell>
          <cell r="H192">
            <v>21.43</v>
          </cell>
          <cell r="I192">
            <v>17.03</v>
          </cell>
          <cell r="J192">
            <v>32.465000000000003</v>
          </cell>
          <cell r="K192">
            <v>4.6192083000000004</v>
          </cell>
          <cell r="L192">
            <v>2.2000000000000002</v>
          </cell>
          <cell r="M192">
            <v>12.21</v>
          </cell>
          <cell r="N192">
            <v>9.6549759999999996</v>
          </cell>
          <cell r="O192">
            <v>12.153911000000001</v>
          </cell>
          <cell r="Q192">
            <v>66.580457750535444</v>
          </cell>
          <cell r="R192">
            <v>82.361709175223581</v>
          </cell>
          <cell r="S192">
            <v>108.02998503569856</v>
          </cell>
          <cell r="T192">
            <v>108.18639747811683</v>
          </cell>
          <cell r="U192">
            <v>99.31854623196152</v>
          </cell>
          <cell r="V192">
            <v>126.10500538148514</v>
          </cell>
          <cell r="W192">
            <v>109.56032719836402</v>
          </cell>
          <cell r="X192">
            <v>47.931325640303967</v>
          </cell>
          <cell r="Y192">
            <v>124.22039410751866</v>
          </cell>
          <cell r="Z192">
            <v>101.30498135296034</v>
          </cell>
          <cell r="AA192">
            <v>107.84313725490198</v>
          </cell>
          <cell r="AB192">
            <v>66.575790621592162</v>
          </cell>
          <cell r="AC192">
            <v>118.12988005780363</v>
          </cell>
          <cell r="AD192">
            <v>115.2077199785432</v>
          </cell>
          <cell r="AF192">
            <v>95.668171435721845</v>
          </cell>
          <cell r="AG192">
            <v>116.66880001817341</v>
          </cell>
        </row>
        <row r="193">
          <cell r="A193">
            <v>40369</v>
          </cell>
          <cell r="B193">
            <v>9.2034230000000008</v>
          </cell>
          <cell r="C193">
            <v>49.73</v>
          </cell>
          <cell r="D193">
            <v>56.280726999999999</v>
          </cell>
          <cell r="E193">
            <v>29.575635999999999</v>
          </cell>
          <cell r="F193">
            <v>74.33</v>
          </cell>
          <cell r="G193">
            <v>1.302413</v>
          </cell>
          <cell r="H193">
            <v>21.43</v>
          </cell>
          <cell r="I193">
            <v>17.03</v>
          </cell>
          <cell r="J193">
            <v>32.465000000000003</v>
          </cell>
          <cell r="K193">
            <v>4.6192083000000004</v>
          </cell>
          <cell r="L193">
            <v>2.2000000000000002</v>
          </cell>
          <cell r="M193">
            <v>12.21</v>
          </cell>
          <cell r="N193">
            <v>9.6549759999999996</v>
          </cell>
          <cell r="O193">
            <v>12.153911000000001</v>
          </cell>
          <cell r="Q193">
            <v>66.580457750535444</v>
          </cell>
          <cell r="R193">
            <v>82.361709175223581</v>
          </cell>
          <cell r="S193">
            <v>108.02998503569856</v>
          </cell>
          <cell r="T193">
            <v>108.18639747811683</v>
          </cell>
          <cell r="U193">
            <v>99.31854623196152</v>
          </cell>
          <cell r="V193">
            <v>126.10500538148514</v>
          </cell>
          <cell r="W193">
            <v>109.56032719836402</v>
          </cell>
          <cell r="X193">
            <v>47.931325640303967</v>
          </cell>
          <cell r="Y193">
            <v>124.22039410751866</v>
          </cell>
          <cell r="Z193">
            <v>101.30498135296034</v>
          </cell>
          <cell r="AA193">
            <v>107.84313725490198</v>
          </cell>
          <cell r="AB193">
            <v>66.575790621592162</v>
          </cell>
          <cell r="AC193">
            <v>118.12988005780363</v>
          </cell>
          <cell r="AD193">
            <v>115.2077199785432</v>
          </cell>
          <cell r="AF193">
            <v>95.668171435721845</v>
          </cell>
          <cell r="AG193">
            <v>116.66880001817341</v>
          </cell>
        </row>
        <row r="194">
          <cell r="A194">
            <v>40370</v>
          </cell>
          <cell r="B194">
            <v>9.2034230000000008</v>
          </cell>
          <cell r="C194">
            <v>49.73</v>
          </cell>
          <cell r="D194">
            <v>56.280726999999999</v>
          </cell>
          <cell r="E194">
            <v>29.575635999999999</v>
          </cell>
          <cell r="F194">
            <v>74.33</v>
          </cell>
          <cell r="G194">
            <v>1.302413</v>
          </cell>
          <cell r="H194">
            <v>21.43</v>
          </cell>
          <cell r="I194">
            <v>17.03</v>
          </cell>
          <cell r="J194">
            <v>32.465000000000003</v>
          </cell>
          <cell r="K194">
            <v>4.6192083000000004</v>
          </cell>
          <cell r="L194">
            <v>2.2000000000000002</v>
          </cell>
          <cell r="M194">
            <v>12.21</v>
          </cell>
          <cell r="N194">
            <v>9.6549759999999996</v>
          </cell>
          <cell r="O194">
            <v>12.153911000000001</v>
          </cell>
          <cell r="Q194">
            <v>66.580457750535444</v>
          </cell>
          <cell r="R194">
            <v>82.361709175223581</v>
          </cell>
          <cell r="S194">
            <v>108.02998503569856</v>
          </cell>
          <cell r="T194">
            <v>108.18639747811683</v>
          </cell>
          <cell r="U194">
            <v>99.31854623196152</v>
          </cell>
          <cell r="V194">
            <v>126.10500538148514</v>
          </cell>
          <cell r="W194">
            <v>109.56032719836402</v>
          </cell>
          <cell r="X194">
            <v>47.931325640303967</v>
          </cell>
          <cell r="Y194">
            <v>124.22039410751866</v>
          </cell>
          <cell r="Z194">
            <v>101.30498135296034</v>
          </cell>
          <cell r="AA194">
            <v>107.84313725490198</v>
          </cell>
          <cell r="AB194">
            <v>66.575790621592162</v>
          </cell>
          <cell r="AC194">
            <v>118.12988005780363</v>
          </cell>
          <cell r="AD194">
            <v>115.2077199785432</v>
          </cell>
          <cell r="AF194">
            <v>95.668171435721845</v>
          </cell>
          <cell r="AG194">
            <v>116.66880001817341</v>
          </cell>
        </row>
        <row r="195">
          <cell r="A195">
            <v>40371</v>
          </cell>
          <cell r="B195">
            <v>9.1513030000000004</v>
          </cell>
          <cell r="C195">
            <v>49.47</v>
          </cell>
          <cell r="D195">
            <v>56.594180000000001</v>
          </cell>
          <cell r="E195">
            <v>29.166899999999998</v>
          </cell>
          <cell r="F195">
            <v>74.87</v>
          </cell>
          <cell r="G195">
            <v>1.2946154000000001</v>
          </cell>
          <cell r="H195">
            <v>21.44</v>
          </cell>
          <cell r="I195">
            <v>16.93</v>
          </cell>
          <cell r="J195">
            <v>32.674999999999997</v>
          </cell>
          <cell r="K195">
            <v>4.6761670000000004</v>
          </cell>
          <cell r="L195">
            <v>2.14</v>
          </cell>
          <cell r="M195">
            <v>12.67</v>
          </cell>
          <cell r="N195">
            <v>9.5283999999999995</v>
          </cell>
          <cell r="O195">
            <v>11.456769</v>
          </cell>
          <cell r="Q195">
            <v>66.203405271478701</v>
          </cell>
          <cell r="R195">
            <v>81.931103014243121</v>
          </cell>
          <cell r="S195">
            <v>108.63165322131734</v>
          </cell>
          <cell r="T195">
            <v>106.69125886606415</v>
          </cell>
          <cell r="U195">
            <v>100.04008551576698</v>
          </cell>
          <cell r="V195">
            <v>125.35000954685923</v>
          </cell>
          <cell r="W195">
            <v>109.61145194274029</v>
          </cell>
          <cell r="X195">
            <v>47.649873346467771</v>
          </cell>
          <cell r="Y195">
            <v>125.02391429118038</v>
          </cell>
          <cell r="Z195">
            <v>102.55415646406951</v>
          </cell>
          <cell r="AA195">
            <v>104.90196078431373</v>
          </cell>
          <cell r="AB195">
            <v>69.083969465648849</v>
          </cell>
          <cell r="AC195">
            <v>116.58120632747054</v>
          </cell>
          <cell r="AD195">
            <v>108.59946521007554</v>
          </cell>
          <cell r="AF195">
            <v>95.639403477512488</v>
          </cell>
          <cell r="AG195">
            <v>112.59033576877303</v>
          </cell>
        </row>
        <row r="196">
          <cell r="A196">
            <v>40372</v>
          </cell>
          <cell r="B196">
            <v>9.2493759999999998</v>
          </cell>
          <cell r="C196">
            <v>50.51</v>
          </cell>
          <cell r="D196">
            <v>57.220706999999997</v>
          </cell>
          <cell r="E196">
            <v>29.473206000000001</v>
          </cell>
          <cell r="F196">
            <v>75.84</v>
          </cell>
          <cell r="G196">
            <v>1.2922897</v>
          </cell>
          <cell r="H196">
            <v>21.95</v>
          </cell>
          <cell r="I196">
            <v>17.3</v>
          </cell>
          <cell r="J196">
            <v>33.115000000000002</v>
          </cell>
          <cell r="K196">
            <v>4.7124430000000004</v>
          </cell>
          <cell r="L196">
            <v>2.02</v>
          </cell>
          <cell r="M196">
            <v>13.27</v>
          </cell>
          <cell r="N196">
            <v>9.5909569999999995</v>
          </cell>
          <cell r="O196">
            <v>11.703251</v>
          </cell>
          <cell r="Q196">
            <v>66.912896211204952</v>
          </cell>
          <cell r="R196">
            <v>83.653527658164947</v>
          </cell>
          <cell r="S196">
            <v>109.83426210791647</v>
          </cell>
          <cell r="T196">
            <v>107.81171296774204</v>
          </cell>
          <cell r="U196">
            <v>101.33618385889898</v>
          </cell>
          <cell r="V196">
            <v>125.12482566815429</v>
          </cell>
          <cell r="W196">
            <v>112.21881390593047</v>
          </cell>
          <cell r="X196">
            <v>48.691246833661694</v>
          </cell>
          <cell r="Y196">
            <v>126.70748039028123</v>
          </cell>
          <cell r="Z196">
            <v>103.34973424815861</v>
          </cell>
          <cell r="AA196">
            <v>99.019607843137265</v>
          </cell>
          <cell r="AB196">
            <v>72.355507088331521</v>
          </cell>
          <cell r="AC196">
            <v>117.34659931309537</v>
          </cell>
          <cell r="AD196">
            <v>110.93588426364202</v>
          </cell>
          <cell r="AF196">
            <v>96.41798323179853</v>
          </cell>
          <cell r="AG196">
            <v>114.14124178836869</v>
          </cell>
        </row>
        <row r="197">
          <cell r="A197">
            <v>40373</v>
          </cell>
          <cell r="B197">
            <v>9.1785189999999997</v>
          </cell>
          <cell r="C197">
            <v>50.6</v>
          </cell>
          <cell r="D197">
            <v>57.310805999999999</v>
          </cell>
          <cell r="E197">
            <v>29.254508999999999</v>
          </cell>
          <cell r="F197">
            <v>76.290000000000006</v>
          </cell>
          <cell r="G197">
            <v>1.3166987000000001</v>
          </cell>
          <cell r="H197">
            <v>22.04</v>
          </cell>
          <cell r="I197">
            <v>17.920000000000002</v>
          </cell>
          <cell r="J197">
            <v>33.405000000000001</v>
          </cell>
          <cell r="K197">
            <v>4.8187230000000003</v>
          </cell>
          <cell r="L197">
            <v>2.15</v>
          </cell>
          <cell r="M197">
            <v>13.07</v>
          </cell>
          <cell r="N197">
            <v>9.6034000000000006</v>
          </cell>
          <cell r="O197">
            <v>11.331445</v>
          </cell>
          <cell r="Q197">
            <v>66.400294378731346</v>
          </cell>
          <cell r="R197">
            <v>83.802583636965878</v>
          </cell>
          <cell r="S197">
            <v>110.00720574494042</v>
          </cell>
          <cell r="T197">
            <v>107.01172879937886</v>
          </cell>
          <cell r="U197">
            <v>101.93746659540352</v>
          </cell>
          <cell r="V197">
            <v>127.48820585274756</v>
          </cell>
          <cell r="W197">
            <v>112.67893660531698</v>
          </cell>
          <cell r="X197">
            <v>50.4362510554461</v>
          </cell>
          <cell r="Y197">
            <v>127.81710350105222</v>
          </cell>
          <cell r="Z197">
            <v>105.68058679234731</v>
          </cell>
          <cell r="AA197">
            <v>105.3921568627451</v>
          </cell>
          <cell r="AB197">
            <v>71.264994547437297</v>
          </cell>
          <cell r="AC197">
            <v>117.49884102737403</v>
          </cell>
          <cell r="AD197">
            <v>107.41151078959386</v>
          </cell>
          <cell r="AF197">
            <v>97.493126197709373</v>
          </cell>
          <cell r="AG197">
            <v>112.45517590848394</v>
          </cell>
        </row>
        <row r="198">
          <cell r="A198">
            <v>40374</v>
          </cell>
          <cell r="B198">
            <v>9.0914169999999999</v>
          </cell>
          <cell r="C198">
            <v>50.7</v>
          </cell>
          <cell r="D198">
            <v>56.260722999999999</v>
          </cell>
          <cell r="E198">
            <v>29.228131999999999</v>
          </cell>
          <cell r="F198">
            <v>76.58</v>
          </cell>
          <cell r="G198">
            <v>1.3019128</v>
          </cell>
          <cell r="H198">
            <v>21.35</v>
          </cell>
          <cell r="I198">
            <v>18.149999999999999</v>
          </cell>
          <cell r="J198">
            <v>33.42</v>
          </cell>
          <cell r="K198">
            <v>4.7475452000000002</v>
          </cell>
          <cell r="L198">
            <v>2.14</v>
          </cell>
          <cell r="M198">
            <v>13.08</v>
          </cell>
          <cell r="N198">
            <v>9.6139720000000004</v>
          </cell>
          <cell r="O198">
            <v>11.303905500000001</v>
          </cell>
          <cell r="Q198">
            <v>65.770171104924728</v>
          </cell>
          <cell r="R198">
            <v>83.96820139118914</v>
          </cell>
          <cell r="S198">
            <v>107.99158766708152</v>
          </cell>
          <cell r="T198">
            <v>106.91524287406247</v>
          </cell>
          <cell r="U198">
            <v>102.32495991448423</v>
          </cell>
          <cell r="V198">
            <v>126.05657395175294</v>
          </cell>
          <cell r="W198">
            <v>109.1513292433538</v>
          </cell>
          <cell r="X198">
            <v>51.083591331269339</v>
          </cell>
          <cell r="Y198">
            <v>127.87449779988521</v>
          </cell>
          <cell r="Z198">
            <v>104.11956913879297</v>
          </cell>
          <cell r="AA198">
            <v>104.90196078431373</v>
          </cell>
          <cell r="AB198">
            <v>71.319520174482008</v>
          </cell>
          <cell r="AC198">
            <v>117.62819081467242</v>
          </cell>
          <cell r="AD198">
            <v>107.15046206179349</v>
          </cell>
          <cell r="AF198">
            <v>96.789767114632681</v>
          </cell>
          <cell r="AG198">
            <v>112.38932643823296</v>
          </cell>
        </row>
        <row r="199">
          <cell r="A199">
            <v>40375</v>
          </cell>
          <cell r="B199">
            <v>8.9395199999999999</v>
          </cell>
          <cell r="C199">
            <v>49.29</v>
          </cell>
          <cell r="D199">
            <v>56.124516</v>
          </cell>
          <cell r="E199">
            <v>29.508766000000001</v>
          </cell>
          <cell r="F199">
            <v>75.03</v>
          </cell>
          <cell r="G199">
            <v>1.3092337000000001</v>
          </cell>
          <cell r="H199">
            <v>20.8</v>
          </cell>
          <cell r="I199">
            <v>17.64</v>
          </cell>
          <cell r="J199">
            <v>33.229999999999997</v>
          </cell>
          <cell r="K199">
            <v>4.7141999999999999</v>
          </cell>
          <cell r="L199">
            <v>2.09</v>
          </cell>
          <cell r="M199">
            <v>12.15</v>
          </cell>
          <cell r="N199">
            <v>9.5031909999999993</v>
          </cell>
          <cell r="O199">
            <v>11.24638</v>
          </cell>
          <cell r="Q199">
            <v>64.671300413994501</v>
          </cell>
          <cell r="R199">
            <v>81.632991056641274</v>
          </cell>
          <cell r="S199">
            <v>107.73014043716644</v>
          </cell>
          <cell r="T199">
            <v>107.94178990993599</v>
          </cell>
          <cell r="U199">
            <v>100.2538749331908</v>
          </cell>
          <cell r="V199">
            <v>126.76541372369725</v>
          </cell>
          <cell r="W199">
            <v>106.3394683026585</v>
          </cell>
          <cell r="X199">
            <v>49.648184632704755</v>
          </cell>
          <cell r="Y199">
            <v>127.14750334800075</v>
          </cell>
          <cell r="Z199">
            <v>103.38826744274026</v>
          </cell>
          <cell r="AA199">
            <v>102.45098039215685</v>
          </cell>
          <cell r="AB199">
            <v>66.248636859323881</v>
          </cell>
          <cell r="AC199">
            <v>116.27277095213897</v>
          </cell>
          <cell r="AD199">
            <v>106.60517407213929</v>
          </cell>
          <cell r="AF199">
            <v>95.351545954350925</v>
          </cell>
          <cell r="AG199">
            <v>111.43897251213913</v>
          </cell>
        </row>
        <row r="200">
          <cell r="A200">
            <v>40376</v>
          </cell>
          <cell r="B200">
            <v>8.9395199999999999</v>
          </cell>
          <cell r="C200">
            <v>49.29</v>
          </cell>
          <cell r="D200">
            <v>56.124516</v>
          </cell>
          <cell r="E200">
            <v>29.508766000000001</v>
          </cell>
          <cell r="F200">
            <v>75.03</v>
          </cell>
          <cell r="G200">
            <v>1.3092337000000001</v>
          </cell>
          <cell r="H200">
            <v>20.8</v>
          </cell>
          <cell r="I200">
            <v>17.64</v>
          </cell>
          <cell r="J200">
            <v>33.229999999999997</v>
          </cell>
          <cell r="K200">
            <v>4.7141999999999999</v>
          </cell>
          <cell r="L200">
            <v>2.09</v>
          </cell>
          <cell r="M200">
            <v>12.15</v>
          </cell>
          <cell r="N200">
            <v>9.5031909999999993</v>
          </cell>
          <cell r="O200">
            <v>11.24638</v>
          </cell>
          <cell r="Q200">
            <v>64.671300413994501</v>
          </cell>
          <cell r="R200">
            <v>81.632991056641274</v>
          </cell>
          <cell r="S200">
            <v>107.73014043716644</v>
          </cell>
          <cell r="T200">
            <v>107.94178990993599</v>
          </cell>
          <cell r="U200">
            <v>100.2538749331908</v>
          </cell>
          <cell r="V200">
            <v>126.76541372369725</v>
          </cell>
          <cell r="W200">
            <v>106.3394683026585</v>
          </cell>
          <cell r="X200">
            <v>49.648184632704755</v>
          </cell>
          <cell r="Y200">
            <v>127.14750334800075</v>
          </cell>
          <cell r="Z200">
            <v>103.38826744274026</v>
          </cell>
          <cell r="AA200">
            <v>102.45098039215685</v>
          </cell>
          <cell r="AB200">
            <v>66.248636859323881</v>
          </cell>
          <cell r="AC200">
            <v>116.27277095213897</v>
          </cell>
          <cell r="AD200">
            <v>106.60517407213929</v>
          </cell>
          <cell r="AF200">
            <v>95.351545954350925</v>
          </cell>
          <cell r="AG200">
            <v>111.43897251213913</v>
          </cell>
        </row>
        <row r="201">
          <cell r="A201">
            <v>40377</v>
          </cell>
          <cell r="B201">
            <v>8.9395199999999999</v>
          </cell>
          <cell r="C201">
            <v>49.29</v>
          </cell>
          <cell r="D201">
            <v>56.124516</v>
          </cell>
          <cell r="E201">
            <v>29.508766000000001</v>
          </cell>
          <cell r="F201">
            <v>75.03</v>
          </cell>
          <cell r="G201">
            <v>1.3092337000000001</v>
          </cell>
          <cell r="H201">
            <v>20.8</v>
          </cell>
          <cell r="I201">
            <v>17.64</v>
          </cell>
          <cell r="J201">
            <v>33.229999999999997</v>
          </cell>
          <cell r="K201">
            <v>4.7141999999999999</v>
          </cell>
          <cell r="L201">
            <v>2.09</v>
          </cell>
          <cell r="M201">
            <v>12.15</v>
          </cell>
          <cell r="N201">
            <v>9.5031909999999993</v>
          </cell>
          <cell r="O201">
            <v>11.24638</v>
          </cell>
          <cell r="Q201">
            <v>64.671300413994501</v>
          </cell>
          <cell r="R201">
            <v>81.632991056641274</v>
          </cell>
          <cell r="S201">
            <v>107.73014043716644</v>
          </cell>
          <cell r="T201">
            <v>107.94178990993599</v>
          </cell>
          <cell r="U201">
            <v>100.2538749331908</v>
          </cell>
          <cell r="V201">
            <v>126.76541372369725</v>
          </cell>
          <cell r="W201">
            <v>106.3394683026585</v>
          </cell>
          <cell r="X201">
            <v>49.648184632704755</v>
          </cell>
          <cell r="Y201">
            <v>127.14750334800075</v>
          </cell>
          <cell r="Z201">
            <v>103.38826744274026</v>
          </cell>
          <cell r="AA201">
            <v>102.45098039215685</v>
          </cell>
          <cell r="AB201">
            <v>66.248636859323881</v>
          </cell>
          <cell r="AC201">
            <v>116.27277095213897</v>
          </cell>
          <cell r="AD201">
            <v>106.60517407213929</v>
          </cell>
          <cell r="AF201">
            <v>95.351545954350925</v>
          </cell>
          <cell r="AG201">
            <v>111.43897251213913</v>
          </cell>
        </row>
        <row r="202">
          <cell r="A202">
            <v>40378</v>
          </cell>
          <cell r="B202">
            <v>8.8709439999999997</v>
          </cell>
          <cell r="C202">
            <v>49.42</v>
          </cell>
          <cell r="D202">
            <v>55.956153999999998</v>
          </cell>
          <cell r="E202">
            <v>29.420245999999999</v>
          </cell>
          <cell r="F202">
            <v>75.27</v>
          </cell>
          <cell r="G202">
            <v>1.3060039000000001</v>
          </cell>
          <cell r="H202">
            <v>20.69</v>
          </cell>
          <cell r="I202">
            <v>16.97</v>
          </cell>
          <cell r="J202">
            <v>32.354999999999997</v>
          </cell>
          <cell r="K202">
            <v>5.1508713000000004</v>
          </cell>
          <cell r="L202">
            <v>2.04</v>
          </cell>
          <cell r="M202">
            <v>12</v>
          </cell>
          <cell r="N202">
            <v>9.4408340000000006</v>
          </cell>
          <cell r="O202">
            <v>11.211340999999999</v>
          </cell>
          <cell r="Q202">
            <v>64.175200053215619</v>
          </cell>
          <cell r="R202">
            <v>81.848294137131504</v>
          </cell>
          <cell r="S202">
            <v>107.40697218206232</v>
          </cell>
          <cell r="T202">
            <v>107.61798757801782</v>
          </cell>
          <cell r="U202">
            <v>100.57455905932655</v>
          </cell>
          <cell r="V202">
            <v>126.45269114922885</v>
          </cell>
          <cell r="W202">
            <v>105.77709611451944</v>
          </cell>
          <cell r="X202">
            <v>47.762454264002244</v>
          </cell>
          <cell r="Y202">
            <v>123.79950258274344</v>
          </cell>
          <cell r="Z202">
            <v>112.96501199090731</v>
          </cell>
          <cell r="AA202">
            <v>100</v>
          </cell>
          <cell r="AB202">
            <v>65.430752453653213</v>
          </cell>
          <cell r="AC202">
            <v>115.50982499238059</v>
          </cell>
          <cell r="AD202">
            <v>106.27303709167859</v>
          </cell>
          <cell r="AF202">
            <v>95.317543463734026</v>
          </cell>
          <cell r="AG202">
            <v>110.89143104202958</v>
          </cell>
        </row>
        <row r="203">
          <cell r="A203">
            <v>40379</v>
          </cell>
          <cell r="B203">
            <v>8.7862790000000004</v>
          </cell>
          <cell r="C203">
            <v>49.95</v>
          </cell>
          <cell r="D203">
            <v>56.940936999999998</v>
          </cell>
          <cell r="E203">
            <v>30.360838000000001</v>
          </cell>
          <cell r="F203">
            <v>76.8</v>
          </cell>
          <cell r="G203">
            <v>1.3316353999999999</v>
          </cell>
          <cell r="H203">
            <v>21.29</v>
          </cell>
          <cell r="I203">
            <v>17.5</v>
          </cell>
          <cell r="J203">
            <v>32.33</v>
          </cell>
          <cell r="K203">
            <v>5.1946792999999998</v>
          </cell>
          <cell r="L203">
            <v>2</v>
          </cell>
          <cell r="M203">
            <v>12.23</v>
          </cell>
          <cell r="N203">
            <v>9.4895840000000007</v>
          </cell>
          <cell r="O203">
            <v>11.230276999999999</v>
          </cell>
          <cell r="Q203">
            <v>63.56270680418762</v>
          </cell>
          <cell r="R203">
            <v>82.726068234514742</v>
          </cell>
          <cell r="S203">
            <v>109.2972479198546</v>
          </cell>
          <cell r="T203">
            <v>111.05863243775092</v>
          </cell>
          <cell r="U203">
            <v>102.618920363442</v>
          </cell>
          <cell r="V203">
            <v>128.93443883251788</v>
          </cell>
          <cell r="W203">
            <v>108.84458077709611</v>
          </cell>
          <cell r="X203">
            <v>49.254151421334079</v>
          </cell>
          <cell r="Y203">
            <v>123.7038454180218</v>
          </cell>
          <cell r="Z203">
            <v>113.92577589997597</v>
          </cell>
          <cell r="AA203">
            <v>98.039215686274503</v>
          </cell>
          <cell r="AB203">
            <v>66.68484187568157</v>
          </cell>
          <cell r="AC203">
            <v>116.10628754731785</v>
          </cell>
          <cell r="AD203">
            <v>106.4525326783678</v>
          </cell>
          <cell r="AF203">
            <v>96.55420213922099</v>
          </cell>
          <cell r="AG203">
            <v>111.27941011284283</v>
          </cell>
        </row>
        <row r="204">
          <cell r="A204">
            <v>40380</v>
          </cell>
          <cell r="B204">
            <v>8.9704484999999998</v>
          </cell>
          <cell r="C204">
            <v>46.7</v>
          </cell>
          <cell r="D204">
            <v>56.77908</v>
          </cell>
          <cell r="E204">
            <v>30.282174999999999</v>
          </cell>
          <cell r="F204">
            <v>75.95</v>
          </cell>
          <cell r="G204">
            <v>1.3462379</v>
          </cell>
          <cell r="H204">
            <v>20.88</v>
          </cell>
          <cell r="I204">
            <v>16.98</v>
          </cell>
          <cell r="J204">
            <v>31.594999999999999</v>
          </cell>
          <cell r="K204">
            <v>5.2305564999999996</v>
          </cell>
          <cell r="L204">
            <v>2</v>
          </cell>
          <cell r="M204">
            <v>11.96</v>
          </cell>
          <cell r="N204">
            <v>9.5495649999999994</v>
          </cell>
          <cell r="O204">
            <v>11.166512000000001</v>
          </cell>
          <cell r="Q204">
            <v>64.895046914349592</v>
          </cell>
          <cell r="R204">
            <v>77.343491222259033</v>
          </cell>
          <cell r="S204">
            <v>108.98656591164382</v>
          </cell>
          <cell r="T204">
            <v>110.77088658556293</v>
          </cell>
          <cell r="U204">
            <v>101.48316408337787</v>
          </cell>
          <cell r="V204">
            <v>130.3483131881049</v>
          </cell>
          <cell r="W204">
            <v>106.74846625766872</v>
          </cell>
          <cell r="X204">
            <v>47.790599493385869</v>
          </cell>
          <cell r="Y204">
            <v>120.89152477520567</v>
          </cell>
          <cell r="Z204">
            <v>114.71260750421352</v>
          </cell>
          <cell r="AA204">
            <v>98.039215686274503</v>
          </cell>
          <cell r="AB204">
            <v>65.212649945474382</v>
          </cell>
          <cell r="AC204">
            <v>116.84016283978329</v>
          </cell>
          <cell r="AD204">
            <v>105.84810005874179</v>
          </cell>
          <cell r="AF204">
            <v>95.601877630626745</v>
          </cell>
          <cell r="AG204">
            <v>111.34413144926253</v>
          </cell>
        </row>
        <row r="205">
          <cell r="A205">
            <v>40381</v>
          </cell>
          <cell r="B205">
            <v>8.8689640000000001</v>
          </cell>
          <cell r="C205">
            <v>44.56</v>
          </cell>
          <cell r="D205">
            <v>56.279792999999998</v>
          </cell>
          <cell r="E205">
            <v>29.610061999999999</v>
          </cell>
          <cell r="F205">
            <v>72.239999999999995</v>
          </cell>
          <cell r="G205">
            <v>1.3545004</v>
          </cell>
          <cell r="H205">
            <v>20.93</v>
          </cell>
          <cell r="I205">
            <v>17.100000000000001</v>
          </cell>
          <cell r="J205">
            <v>32.145000000000003</v>
          </cell>
          <cell r="K205">
            <v>5.3178099999999997</v>
          </cell>
          <cell r="L205">
            <v>1.96</v>
          </cell>
          <cell r="M205">
            <v>12.44</v>
          </cell>
          <cell r="N205">
            <v>9.7076360000000008</v>
          </cell>
          <cell r="O205">
            <v>11.4618225</v>
          </cell>
          <cell r="Q205">
            <v>64.160876110227662</v>
          </cell>
          <cell r="R205">
            <v>73.799271281881417</v>
          </cell>
          <cell r="S205">
            <v>108.02819223714386</v>
          </cell>
          <cell r="T205">
            <v>108.31232629735106</v>
          </cell>
          <cell r="U205">
            <v>96.525921966862626</v>
          </cell>
          <cell r="V205">
            <v>131.14832256068064</v>
          </cell>
          <cell r="W205">
            <v>107.00408997955012</v>
          </cell>
          <cell r="X205">
            <v>48.128342245989309</v>
          </cell>
          <cell r="Y205">
            <v>122.9959823990817</v>
          </cell>
          <cell r="Z205">
            <v>116.62618524663327</v>
          </cell>
          <cell r="AA205">
            <v>96.078431372549005</v>
          </cell>
          <cell r="AB205">
            <v>67.829880043620491</v>
          </cell>
          <cell r="AC205">
            <v>118.77418196842922</v>
          </cell>
          <cell r="AD205">
            <v>108.64736766821528</v>
          </cell>
          <cell r="AF205">
            <v>95.053151811797591</v>
          </cell>
          <cell r="AG205">
            <v>113.71077481832225</v>
          </cell>
        </row>
        <row r="206">
          <cell r="A206">
            <v>40382</v>
          </cell>
          <cell r="B206">
            <v>9.0030819999999991</v>
          </cell>
          <cell r="C206">
            <v>44.71</v>
          </cell>
          <cell r="D206">
            <v>57.509450000000001</v>
          </cell>
          <cell r="E206">
            <v>29.76286</v>
          </cell>
          <cell r="F206">
            <v>72.959999999999994</v>
          </cell>
          <cell r="G206">
            <v>1.3332362</v>
          </cell>
          <cell r="H206">
            <v>21.03</v>
          </cell>
          <cell r="I206">
            <v>17.52</v>
          </cell>
          <cell r="J206">
            <v>32.840000000000003</v>
          </cell>
          <cell r="K206">
            <v>5.355359</v>
          </cell>
          <cell r="L206">
            <v>1.99</v>
          </cell>
          <cell r="M206">
            <v>13.16</v>
          </cell>
          <cell r="N206">
            <v>9.6208430000000007</v>
          </cell>
          <cell r="O206">
            <v>11.363379</v>
          </cell>
          <cell r="Q206">
            <v>65.13112792116651</v>
          </cell>
          <cell r="R206">
            <v>74.047697913216297</v>
          </cell>
          <cell r="S206">
            <v>110.38849983070148</v>
          </cell>
          <cell r="T206">
            <v>108.87125477354212</v>
          </cell>
          <cell r="U206">
            <v>97.487974345269905</v>
          </cell>
          <cell r="V206">
            <v>129.08943489952173</v>
          </cell>
          <cell r="W206">
            <v>107.5153374233129</v>
          </cell>
          <cell r="X206">
            <v>49.310441880101322</v>
          </cell>
          <cell r="Y206">
            <v>125.65525157834323</v>
          </cell>
          <cell r="Z206">
            <v>117.44968150351831</v>
          </cell>
          <cell r="AA206">
            <v>97.549019607843135</v>
          </cell>
          <cell r="AB206">
            <v>71.755725190839698</v>
          </cell>
          <cell r="AC206">
            <v>117.71225838831292</v>
          </cell>
          <cell r="AD206">
            <v>107.71421527128659</v>
          </cell>
          <cell r="AF206">
            <v>96.187620572281375</v>
          </cell>
          <cell r="AG206">
            <v>112.71323682979975</v>
          </cell>
        </row>
        <row r="207">
          <cell r="A207">
            <v>40383</v>
          </cell>
          <cell r="B207">
            <v>9.0030819999999991</v>
          </cell>
          <cell r="C207">
            <v>44.71</v>
          </cell>
          <cell r="D207">
            <v>57.509450000000001</v>
          </cell>
          <cell r="E207">
            <v>29.76286</v>
          </cell>
          <cell r="F207">
            <v>72.959999999999994</v>
          </cell>
          <cell r="G207">
            <v>1.3332362</v>
          </cell>
          <cell r="H207">
            <v>21.03</v>
          </cell>
          <cell r="I207">
            <v>17.52</v>
          </cell>
          <cell r="J207">
            <v>32.840000000000003</v>
          </cell>
          <cell r="K207">
            <v>5.355359</v>
          </cell>
          <cell r="L207">
            <v>1.99</v>
          </cell>
          <cell r="M207">
            <v>13.16</v>
          </cell>
          <cell r="N207">
            <v>9.6208430000000007</v>
          </cell>
          <cell r="O207">
            <v>11.363379</v>
          </cell>
          <cell r="Q207">
            <v>65.13112792116651</v>
          </cell>
          <cell r="R207">
            <v>74.047697913216297</v>
          </cell>
          <cell r="S207">
            <v>110.38849983070148</v>
          </cell>
          <cell r="T207">
            <v>108.87125477354212</v>
          </cell>
          <cell r="U207">
            <v>97.487974345269905</v>
          </cell>
          <cell r="V207">
            <v>129.08943489952173</v>
          </cell>
          <cell r="W207">
            <v>107.5153374233129</v>
          </cell>
          <cell r="X207">
            <v>49.310441880101322</v>
          </cell>
          <cell r="Y207">
            <v>125.65525157834323</v>
          </cell>
          <cell r="Z207">
            <v>117.44968150351831</v>
          </cell>
          <cell r="AA207">
            <v>97.549019607843135</v>
          </cell>
          <cell r="AB207">
            <v>71.755725190839698</v>
          </cell>
          <cell r="AC207">
            <v>117.71225838831292</v>
          </cell>
          <cell r="AD207">
            <v>107.71421527128659</v>
          </cell>
          <cell r="AF207">
            <v>96.187620572281375</v>
          </cell>
          <cell r="AG207">
            <v>112.71323682979975</v>
          </cell>
        </row>
        <row r="208">
          <cell r="A208">
            <v>40384</v>
          </cell>
          <cell r="B208">
            <v>9.0030819999999991</v>
          </cell>
          <cell r="C208">
            <v>44.71</v>
          </cell>
          <cell r="D208">
            <v>57.509450000000001</v>
          </cell>
          <cell r="E208">
            <v>29.76286</v>
          </cell>
          <cell r="F208">
            <v>72.959999999999994</v>
          </cell>
          <cell r="G208">
            <v>1.3332362</v>
          </cell>
          <cell r="H208">
            <v>21.03</v>
          </cell>
          <cell r="I208">
            <v>17.52</v>
          </cell>
          <cell r="J208">
            <v>32.840000000000003</v>
          </cell>
          <cell r="K208">
            <v>5.355359</v>
          </cell>
          <cell r="L208">
            <v>1.99</v>
          </cell>
          <cell r="M208">
            <v>13.16</v>
          </cell>
          <cell r="N208">
            <v>9.6208430000000007</v>
          </cell>
          <cell r="O208">
            <v>11.363379</v>
          </cell>
          <cell r="Q208">
            <v>65.13112792116651</v>
          </cell>
          <cell r="R208">
            <v>74.047697913216297</v>
          </cell>
          <cell r="S208">
            <v>110.38849983070148</v>
          </cell>
          <cell r="T208">
            <v>108.87125477354212</v>
          </cell>
          <cell r="U208">
            <v>97.487974345269905</v>
          </cell>
          <cell r="V208">
            <v>129.08943489952173</v>
          </cell>
          <cell r="W208">
            <v>107.5153374233129</v>
          </cell>
          <cell r="X208">
            <v>49.310441880101322</v>
          </cell>
          <cell r="Y208">
            <v>125.65525157834323</v>
          </cell>
          <cell r="Z208">
            <v>117.44968150351831</v>
          </cell>
          <cell r="AA208">
            <v>97.549019607843135</v>
          </cell>
          <cell r="AB208">
            <v>71.755725190839698</v>
          </cell>
          <cell r="AC208">
            <v>117.71225838831292</v>
          </cell>
          <cell r="AD208">
            <v>107.71421527128659</v>
          </cell>
          <cell r="AF208">
            <v>96.187620572281375</v>
          </cell>
          <cell r="AG208">
            <v>112.71323682979975</v>
          </cell>
        </row>
        <row r="209">
          <cell r="A209">
            <v>40385</v>
          </cell>
          <cell r="B209">
            <v>9.1762379999999997</v>
          </cell>
          <cell r="C209">
            <v>45.65</v>
          </cell>
          <cell r="D209">
            <v>57.657035999999998</v>
          </cell>
          <cell r="E209">
            <v>29.734065999999999</v>
          </cell>
          <cell r="F209">
            <v>74.400000000000006</v>
          </cell>
          <cell r="G209">
            <v>1.3711686999999999</v>
          </cell>
          <cell r="H209">
            <v>21.59</v>
          </cell>
          <cell r="I209">
            <v>17.899999999999999</v>
          </cell>
          <cell r="J209">
            <v>32.344999999999999</v>
          </cell>
          <cell r="K209">
            <v>5.3745250000000002</v>
          </cell>
          <cell r="L209">
            <v>2.08</v>
          </cell>
          <cell r="M209">
            <v>14.57</v>
          </cell>
          <cell r="N209">
            <v>9.4557979999999997</v>
          </cell>
          <cell r="O209">
            <v>11.31873</v>
          </cell>
          <cell r="Q209">
            <v>66.383792907036636</v>
          </cell>
          <cell r="R209">
            <v>75.60450480291486</v>
          </cell>
          <cell r="S209">
            <v>110.6717888751283</v>
          </cell>
          <cell r="T209">
            <v>108.76592756674985</v>
          </cell>
          <cell r="U209">
            <v>99.412079102084448</v>
          </cell>
          <cell r="V209">
            <v>132.7622162036343</v>
          </cell>
          <cell r="W209">
            <v>110.37832310838446</v>
          </cell>
          <cell r="X209">
            <v>50.379960596678849</v>
          </cell>
          <cell r="Y209">
            <v>123.76123971685477</v>
          </cell>
          <cell r="Z209">
            <v>117.87001571373588</v>
          </cell>
          <cell r="AA209">
            <v>101.96078431372548</v>
          </cell>
          <cell r="AB209">
            <v>79.443838604143949</v>
          </cell>
          <cell r="AC209">
            <v>115.6929114677053</v>
          </cell>
          <cell r="AD209">
            <v>107.29098447016243</v>
          </cell>
          <cell r="AF209">
            <v>98.116205959255993</v>
          </cell>
          <cell r="AG209">
            <v>111.49194796893386</v>
          </cell>
        </row>
        <row r="210">
          <cell r="A210">
            <v>40386</v>
          </cell>
          <cell r="B210">
            <v>9.2942049999999998</v>
          </cell>
          <cell r="C210">
            <v>46.17</v>
          </cell>
          <cell r="D210">
            <v>56.055087999999998</v>
          </cell>
          <cell r="E210">
            <v>29.729115</v>
          </cell>
          <cell r="F210">
            <v>74.510000000000005</v>
          </cell>
          <cell r="G210">
            <v>1.4391659999999999</v>
          </cell>
          <cell r="H210">
            <v>21.55</v>
          </cell>
          <cell r="I210">
            <v>17.86</v>
          </cell>
          <cell r="J210">
            <v>31.995000000000001</v>
          </cell>
          <cell r="K210">
            <v>5.4050760000000002</v>
          </cell>
          <cell r="L210">
            <v>2.08</v>
          </cell>
          <cell r="M210">
            <v>14.43</v>
          </cell>
          <cell r="N210">
            <v>9.5089854999999996</v>
          </cell>
          <cell r="O210">
            <v>11.399463000000001</v>
          </cell>
          <cell r="Q210">
            <v>67.237203302218674</v>
          </cell>
          <cell r="R210">
            <v>76.465717124875781</v>
          </cell>
          <cell r="S210">
            <v>107.59687446494368</v>
          </cell>
          <cell r="T210">
            <v>108.74781702285776</v>
          </cell>
          <cell r="U210">
            <v>99.559059326563343</v>
          </cell>
          <cell r="V210">
            <v>139.34599560573369</v>
          </cell>
          <cell r="W210">
            <v>110.17382413087935</v>
          </cell>
          <cell r="X210">
            <v>50.267379679144383</v>
          </cell>
          <cell r="Y210">
            <v>122.42203941075186</v>
          </cell>
          <cell r="Z210">
            <v>118.54003712959499</v>
          </cell>
          <cell r="AA210">
            <v>101.96078431372548</v>
          </cell>
          <cell r="AB210">
            <v>78.680479825517992</v>
          </cell>
          <cell r="AC210">
            <v>116.34366740905352</v>
          </cell>
          <cell r="AD210">
            <v>108.05625787532622</v>
          </cell>
          <cell r="AF210">
            <v>98.416434278067243</v>
          </cell>
          <cell r="AG210">
            <v>112.19996264218987</v>
          </cell>
        </row>
        <row r="211">
          <cell r="A211">
            <v>40387</v>
          </cell>
          <cell r="B211">
            <v>9.2877200000000002</v>
          </cell>
          <cell r="C211">
            <v>46.44</v>
          </cell>
          <cell r="D211">
            <v>57.110219999999998</v>
          </cell>
          <cell r="E211">
            <v>30.142776000000001</v>
          </cell>
          <cell r="F211">
            <v>73.63</v>
          </cell>
          <cell r="G211">
            <v>1.4276823999999999</v>
          </cell>
          <cell r="H211">
            <v>21.18</v>
          </cell>
          <cell r="I211">
            <v>17.399999999999999</v>
          </cell>
          <cell r="J211">
            <v>31.895</v>
          </cell>
          <cell r="K211">
            <v>5.3582999999999998</v>
          </cell>
          <cell r="L211">
            <v>2.04</v>
          </cell>
          <cell r="M211">
            <v>14.11</v>
          </cell>
          <cell r="N211">
            <v>9.3259249999999998</v>
          </cell>
          <cell r="O211">
            <v>11.253472</v>
          </cell>
          <cell r="Q211">
            <v>67.190288771775784</v>
          </cell>
          <cell r="R211">
            <v>76.912885061278558</v>
          </cell>
          <cell r="S211">
            <v>109.62218402021446</v>
          </cell>
          <cell r="T211">
            <v>110.26097107192692</v>
          </cell>
          <cell r="U211">
            <v>98.38321753073221</v>
          </cell>
          <cell r="V211">
            <v>138.2341060286189</v>
          </cell>
          <cell r="W211">
            <v>108.28220858895705</v>
          </cell>
          <cell r="X211">
            <v>48.972699127497883</v>
          </cell>
          <cell r="Y211">
            <v>122.0394107518653</v>
          </cell>
          <cell r="Z211">
            <v>117.51418129023696</v>
          </cell>
          <cell r="AA211">
            <v>100</v>
          </cell>
          <cell r="AB211">
            <v>76.935659760087233</v>
          </cell>
          <cell r="AC211">
            <v>114.10389851596446</v>
          </cell>
          <cell r="AD211">
            <v>106.67239960555715</v>
          </cell>
          <cell r="AF211">
            <v>97.862317666932597</v>
          </cell>
          <cell r="AG211">
            <v>110.38814906076081</v>
          </cell>
        </row>
        <row r="212">
          <cell r="A212">
            <v>40388</v>
          </cell>
          <cell r="B212">
            <v>9.3898200000000003</v>
          </cell>
          <cell r="C212">
            <v>46.31</v>
          </cell>
          <cell r="D212">
            <v>57.398690000000002</v>
          </cell>
          <cell r="E212">
            <v>29.962116000000002</v>
          </cell>
          <cell r="F212">
            <v>73.239999999999995</v>
          </cell>
          <cell r="G212">
            <v>1.4313503999999999</v>
          </cell>
          <cell r="H212">
            <v>21.04</v>
          </cell>
          <cell r="I212">
            <v>17.72</v>
          </cell>
          <cell r="J212">
            <v>32</v>
          </cell>
          <cell r="K212">
            <v>5.43004</v>
          </cell>
          <cell r="L212">
            <v>2.0299999999999998</v>
          </cell>
          <cell r="M212">
            <v>14.46</v>
          </cell>
          <cell r="N212">
            <v>9.3267190000000006</v>
          </cell>
          <cell r="O212">
            <v>11.362156000000001</v>
          </cell>
          <cell r="Q212">
            <v>67.928912296558877</v>
          </cell>
          <cell r="R212">
            <v>76.697581980788343</v>
          </cell>
          <cell r="S212">
            <v>110.17589772372168</v>
          </cell>
          <cell r="T212">
            <v>109.60012460463891</v>
          </cell>
          <cell r="U212">
            <v>97.862105825761617</v>
          </cell>
          <cell r="V212">
            <v>138.58925693677114</v>
          </cell>
          <cell r="W212">
            <v>107.56646216768917</v>
          </cell>
          <cell r="X212">
            <v>49.873346467773708</v>
          </cell>
          <cell r="Y212">
            <v>122.44117084369618</v>
          </cell>
          <cell r="Z212">
            <v>119.08752868880772</v>
          </cell>
          <cell r="AA212">
            <v>99.509803921568619</v>
          </cell>
          <cell r="AB212">
            <v>78.84405670665214</v>
          </cell>
          <cell r="AC212">
            <v>114.1136132086541</v>
          </cell>
          <cell r="AD212">
            <v>107.7026223740263</v>
          </cell>
          <cell r="AF212">
            <v>98.181354013702332</v>
          </cell>
          <cell r="AG212">
            <v>110.9081177913402</v>
          </cell>
        </row>
        <row r="213">
          <cell r="A213">
            <v>40389</v>
          </cell>
          <cell r="B213">
            <v>9.3240759999999998</v>
          </cell>
          <cell r="C213">
            <v>46.99</v>
          </cell>
          <cell r="D213">
            <v>57.350563000000001</v>
          </cell>
          <cell r="E213">
            <v>29.679205</v>
          </cell>
          <cell r="F213">
            <v>72.98</v>
          </cell>
          <cell r="G213">
            <v>1.4416534999999999</v>
          </cell>
          <cell r="H213">
            <v>20.97</v>
          </cell>
          <cell r="I213">
            <v>17.28</v>
          </cell>
          <cell r="J213">
            <v>32.844999999999999</v>
          </cell>
          <cell r="K213">
            <v>5.4314999999999998</v>
          </cell>
          <cell r="L213">
            <v>2.0499999999999998</v>
          </cell>
          <cell r="M213">
            <v>14.24</v>
          </cell>
          <cell r="N213">
            <v>9.61205</v>
          </cell>
          <cell r="O213">
            <v>11.59585</v>
          </cell>
          <cell r="Q213">
            <v>67.453299514841532</v>
          </cell>
          <cell r="R213">
            <v>77.82378270950646</v>
          </cell>
          <cell r="S213">
            <v>110.08351869155648</v>
          </cell>
          <cell r="T213">
            <v>108.56524840123514</v>
          </cell>
          <cell r="U213">
            <v>97.514698022447888</v>
          </cell>
          <cell r="V213">
            <v>139.58684562864227</v>
          </cell>
          <cell r="W213">
            <v>107.20858895705521</v>
          </cell>
          <cell r="X213">
            <v>48.634956374894458</v>
          </cell>
          <cell r="Y213">
            <v>125.67438301128753</v>
          </cell>
          <cell r="Z213">
            <v>119.11954830411177</v>
          </cell>
          <cell r="AA213">
            <v>100.49019607843137</v>
          </cell>
          <cell r="AB213">
            <v>77.644492911668479</v>
          </cell>
          <cell r="AC213">
            <v>117.60467489609621</v>
          </cell>
          <cell r="AD213">
            <v>109.91782313637069</v>
          </cell>
          <cell r="AF213">
            <v>98.316629883806556</v>
          </cell>
          <cell r="AG213">
            <v>113.76124901623345</v>
          </cell>
        </row>
        <row r="214">
          <cell r="A214">
            <v>40390</v>
          </cell>
          <cell r="B214">
            <v>9.3240759999999998</v>
          </cell>
          <cell r="C214">
            <v>46.99</v>
          </cell>
          <cell r="D214">
            <v>57.350563000000001</v>
          </cell>
          <cell r="E214">
            <v>29.679205</v>
          </cell>
          <cell r="F214">
            <v>72.98</v>
          </cell>
          <cell r="G214">
            <v>1.4416534999999999</v>
          </cell>
          <cell r="H214">
            <v>20.97</v>
          </cell>
          <cell r="I214">
            <v>17.28</v>
          </cell>
          <cell r="J214">
            <v>32.844999999999999</v>
          </cell>
          <cell r="K214">
            <v>5.4314999999999998</v>
          </cell>
          <cell r="L214">
            <v>2.0499999999999998</v>
          </cell>
          <cell r="M214">
            <v>14.24</v>
          </cell>
          <cell r="N214">
            <v>9.61205</v>
          </cell>
          <cell r="O214">
            <v>11.59585</v>
          </cell>
          <cell r="Q214">
            <v>67.453299514841532</v>
          </cell>
          <cell r="R214">
            <v>77.82378270950646</v>
          </cell>
          <cell r="S214">
            <v>110.08351869155648</v>
          </cell>
          <cell r="T214">
            <v>108.56524840123514</v>
          </cell>
          <cell r="U214">
            <v>97.514698022447888</v>
          </cell>
          <cell r="V214">
            <v>139.58684562864227</v>
          </cell>
          <cell r="W214">
            <v>107.20858895705521</v>
          </cell>
          <cell r="X214">
            <v>48.634956374894458</v>
          </cell>
          <cell r="Y214">
            <v>125.67438301128753</v>
          </cell>
          <cell r="Z214">
            <v>119.11954830411177</v>
          </cell>
          <cell r="AA214">
            <v>100.49019607843137</v>
          </cell>
          <cell r="AB214">
            <v>77.644492911668479</v>
          </cell>
          <cell r="AC214">
            <v>117.60467489609621</v>
          </cell>
          <cell r="AD214">
            <v>109.91782313637069</v>
          </cell>
          <cell r="AF214">
            <v>98.316629883806556</v>
          </cell>
          <cell r="AG214">
            <v>113.76124901623345</v>
          </cell>
        </row>
        <row r="215">
          <cell r="A215">
            <v>40391</v>
          </cell>
          <cell r="B215">
            <v>9.3240759999999998</v>
          </cell>
          <cell r="C215">
            <v>46.99</v>
          </cell>
          <cell r="D215">
            <v>57.350563000000001</v>
          </cell>
          <cell r="E215">
            <v>29.679205</v>
          </cell>
          <cell r="F215">
            <v>72.98</v>
          </cell>
          <cell r="G215">
            <v>1.4416534999999999</v>
          </cell>
          <cell r="H215">
            <v>20.97</v>
          </cell>
          <cell r="I215">
            <v>17.28</v>
          </cell>
          <cell r="J215">
            <v>32.844999999999999</v>
          </cell>
          <cell r="K215">
            <v>5.4314999999999998</v>
          </cell>
          <cell r="L215">
            <v>2.0499999999999998</v>
          </cell>
          <cell r="M215">
            <v>14.24</v>
          </cell>
          <cell r="N215">
            <v>9.61205</v>
          </cell>
          <cell r="O215">
            <v>11.59585</v>
          </cell>
          <cell r="Q215">
            <v>67.453299514841532</v>
          </cell>
          <cell r="R215">
            <v>77.82378270950646</v>
          </cell>
          <cell r="S215">
            <v>110.08351869155648</v>
          </cell>
          <cell r="T215">
            <v>108.56524840123514</v>
          </cell>
          <cell r="U215">
            <v>97.514698022447888</v>
          </cell>
          <cell r="V215">
            <v>139.58684562864227</v>
          </cell>
          <cell r="W215">
            <v>107.20858895705521</v>
          </cell>
          <cell r="X215">
            <v>48.634956374894458</v>
          </cell>
          <cell r="Y215">
            <v>125.67438301128753</v>
          </cell>
          <cell r="Z215">
            <v>119.11954830411177</v>
          </cell>
          <cell r="AA215">
            <v>100.49019607843137</v>
          </cell>
          <cell r="AB215">
            <v>77.644492911668479</v>
          </cell>
          <cell r="AC215">
            <v>117.60467489609621</v>
          </cell>
          <cell r="AD215">
            <v>109.91782313637069</v>
          </cell>
          <cell r="AF215">
            <v>98.316629883806556</v>
          </cell>
          <cell r="AG215">
            <v>113.76124901623345</v>
          </cell>
        </row>
        <row r="216">
          <cell r="A216">
            <v>40392</v>
          </cell>
          <cell r="B216">
            <v>9.6175750000000004</v>
          </cell>
          <cell r="C216">
            <v>48.12</v>
          </cell>
          <cell r="D216">
            <v>57.483226999999999</v>
          </cell>
          <cell r="E216">
            <v>29.747859999999999</v>
          </cell>
          <cell r="F216">
            <v>74.87</v>
          </cell>
          <cell r="G216">
            <v>1.480111</v>
          </cell>
          <cell r="H216">
            <v>20.94</v>
          </cell>
          <cell r="I216">
            <v>18.13</v>
          </cell>
          <cell r="J216">
            <v>33.47</v>
          </cell>
          <cell r="K216">
            <v>5.4892335000000001</v>
          </cell>
          <cell r="L216">
            <v>2.08</v>
          </cell>
          <cell r="M216">
            <v>14.75</v>
          </cell>
          <cell r="N216">
            <v>9.7012370000000008</v>
          </cell>
          <cell r="O216">
            <v>11.532738</v>
          </cell>
          <cell r="Q216">
            <v>69.576563627479246</v>
          </cell>
          <cell r="R216">
            <v>79.695263332229203</v>
          </cell>
          <cell r="S216">
            <v>110.3381651877678</v>
          </cell>
          <cell r="T216">
            <v>108.81638542222296</v>
          </cell>
          <cell r="U216">
            <v>100.04008551576698</v>
          </cell>
          <cell r="V216">
            <v>143.31045960090643</v>
          </cell>
          <cell r="W216">
            <v>107.05521472392638</v>
          </cell>
          <cell r="X216">
            <v>51.027300872502103</v>
          </cell>
          <cell r="Y216">
            <v>128.06581212932849</v>
          </cell>
          <cell r="Z216">
            <v>120.38571574257546</v>
          </cell>
          <cell r="AA216">
            <v>101.96078431372548</v>
          </cell>
          <cell r="AB216">
            <v>80.425299890948736</v>
          </cell>
          <cell r="AC216">
            <v>118.69588937583345</v>
          </cell>
          <cell r="AD216">
            <v>109.31958034659826</v>
          </cell>
          <cell r="AF216">
            <v>100.05808752994828</v>
          </cell>
          <cell r="AG216">
            <v>114.00773486121585</v>
          </cell>
        </row>
        <row r="217">
          <cell r="A217">
            <v>40393</v>
          </cell>
          <cell r="B217">
            <v>9.4709210000000006</v>
          </cell>
          <cell r="C217">
            <v>47.47</v>
          </cell>
          <cell r="D217">
            <v>59.070255000000003</v>
          </cell>
          <cell r="E217">
            <v>30.222532000000001</v>
          </cell>
          <cell r="F217">
            <v>75.040000000000006</v>
          </cell>
          <cell r="G217">
            <v>1.4661778999999999</v>
          </cell>
          <cell r="H217">
            <v>21.32</v>
          </cell>
          <cell r="I217">
            <v>17.97</v>
          </cell>
          <cell r="J217">
            <v>33.695</v>
          </cell>
          <cell r="K217">
            <v>5.4889330000000003</v>
          </cell>
          <cell r="L217">
            <v>2.0499999999999998</v>
          </cell>
          <cell r="M217">
            <v>14.55</v>
          </cell>
          <cell r="N217">
            <v>9.5373260000000002</v>
          </cell>
          <cell r="O217">
            <v>11.467499999999999</v>
          </cell>
          <cell r="Q217">
            <v>68.515622448208561</v>
          </cell>
          <cell r="R217">
            <v>78.618747929778067</v>
          </cell>
          <cell r="S217">
            <v>113.38444088870598</v>
          </cell>
          <cell r="T217">
            <v>110.55271507084767</v>
          </cell>
          <cell r="U217">
            <v>100.26723677177981</v>
          </cell>
          <cell r="V217">
            <v>141.9613993178159</v>
          </cell>
          <cell r="W217">
            <v>108.99795501022496</v>
          </cell>
          <cell r="X217">
            <v>50.576977202364191</v>
          </cell>
          <cell r="Y217">
            <v>128.92672661182323</v>
          </cell>
          <cell r="Z217">
            <v>120.37912540394609</v>
          </cell>
          <cell r="AA217">
            <v>100.49019607843137</v>
          </cell>
          <cell r="AB217">
            <v>79.334787350054526</v>
          </cell>
          <cell r="AC217">
            <v>116.69041709188839</v>
          </cell>
          <cell r="AD217">
            <v>108.70118506330546</v>
          </cell>
          <cell r="AF217">
            <v>100.16716084033169</v>
          </cell>
          <cell r="AG217">
            <v>112.69580107759693</v>
          </cell>
        </row>
        <row r="218">
          <cell r="A218">
            <v>40394</v>
          </cell>
          <cell r="B218">
            <v>9.6587040000000002</v>
          </cell>
          <cell r="C218">
            <v>48.28</v>
          </cell>
          <cell r="D218">
            <v>63.727477999999998</v>
          </cell>
          <cell r="E218">
            <v>29.685417000000001</v>
          </cell>
          <cell r="F218">
            <v>75.650000000000006</v>
          </cell>
          <cell r="G218">
            <v>1.4708055</v>
          </cell>
          <cell r="H218">
            <v>21.63</v>
          </cell>
          <cell r="I218">
            <v>18.05</v>
          </cell>
          <cell r="J218">
            <v>33.844999999999999</v>
          </cell>
          <cell r="K218">
            <v>5.4970464999999997</v>
          </cell>
          <cell r="L218">
            <v>2.09</v>
          </cell>
          <cell r="M218">
            <v>14.86</v>
          </cell>
          <cell r="N218">
            <v>9.7086830000000006</v>
          </cell>
          <cell r="O218">
            <v>11.311638</v>
          </cell>
          <cell r="Q218">
            <v>69.874103754323542</v>
          </cell>
          <cell r="R218">
            <v>79.960251738986415</v>
          </cell>
          <cell r="S218">
            <v>122.32390840834037</v>
          </cell>
          <cell r="T218">
            <v>108.58797162859479</v>
          </cell>
          <cell r="U218">
            <v>101.08230892570818</v>
          </cell>
          <cell r="V218">
            <v>142.40946266093624</v>
          </cell>
          <cell r="W218">
            <v>110.58282208588956</v>
          </cell>
          <cell r="X218">
            <v>50.802139037433157</v>
          </cell>
          <cell r="Y218">
            <v>129.50066960015303</v>
          </cell>
          <cell r="Z218">
            <v>120.55706454693889</v>
          </cell>
          <cell r="AA218">
            <v>102.45098039215685</v>
          </cell>
          <cell r="AB218">
            <v>81.025081788440573</v>
          </cell>
          <cell r="AC218">
            <v>118.78699214883986</v>
          </cell>
          <cell r="AD218">
            <v>107.22375893674459</v>
          </cell>
          <cell r="AF218">
            <v>101.59639704732513</v>
          </cell>
          <cell r="AG218">
            <v>113.00537554279222</v>
          </cell>
        </row>
        <row r="219">
          <cell r="A219">
            <v>40395</v>
          </cell>
          <cell r="B219">
            <v>9.7771760000000008</v>
          </cell>
          <cell r="C219">
            <v>48.2</v>
          </cell>
          <cell r="D219">
            <v>64.384674000000004</v>
          </cell>
          <cell r="E219">
            <v>30.201419999999999</v>
          </cell>
          <cell r="F219">
            <v>75.739999999999995</v>
          </cell>
          <cell r="G219">
            <v>1.470045</v>
          </cell>
          <cell r="H219">
            <v>21.65</v>
          </cell>
          <cell r="I219">
            <v>17.850000000000001</v>
          </cell>
          <cell r="J219">
            <v>34.015000000000001</v>
          </cell>
          <cell r="K219">
            <v>5.4814210000000001</v>
          </cell>
          <cell r="L219">
            <v>2.12</v>
          </cell>
          <cell r="M219">
            <v>14.67</v>
          </cell>
          <cell r="N219">
            <v>9.6506959999999999</v>
          </cell>
          <cell r="O219">
            <v>11.5295925</v>
          </cell>
          <cell r="Q219">
            <v>70.731167478398987</v>
          </cell>
          <cell r="R219">
            <v>79.82775753560783</v>
          </cell>
          <cell r="S219">
            <v>123.5853859661111</v>
          </cell>
          <cell r="T219">
            <v>110.47548828784433</v>
          </cell>
          <cell r="U219">
            <v>101.20256547300907</v>
          </cell>
          <cell r="V219">
            <v>142.33582791021385</v>
          </cell>
          <cell r="W219">
            <v>110.68507157464214</v>
          </cell>
          <cell r="X219">
            <v>50.239234449760772</v>
          </cell>
          <cell r="Y219">
            <v>130.15113832026017</v>
          </cell>
          <cell r="Z219">
            <v>120.21437790383369</v>
          </cell>
          <cell r="AA219">
            <v>103.92156862745099</v>
          </cell>
          <cell r="AB219">
            <v>79.989094874591061</v>
          </cell>
          <cell r="AC219">
            <v>118.07751370426247</v>
          </cell>
          <cell r="AD219">
            <v>109.28976394567245</v>
          </cell>
          <cell r="AF219">
            <v>101.94655653347701</v>
          </cell>
          <cell r="AG219">
            <v>113.68363882496746</v>
          </cell>
        </row>
        <row r="220">
          <cell r="A220">
            <v>40396</v>
          </cell>
          <cell r="B220">
            <v>9.8400130000000008</v>
          </cell>
          <cell r="C220">
            <v>48.11</v>
          </cell>
          <cell r="D220">
            <v>67.316730000000007</v>
          </cell>
          <cell r="E220">
            <v>30.509868999999998</v>
          </cell>
          <cell r="F220">
            <v>75.5</v>
          </cell>
          <cell r="G220">
            <v>1.4840648000000001</v>
          </cell>
          <cell r="H220">
            <v>21.33</v>
          </cell>
          <cell r="I220">
            <v>17.91</v>
          </cell>
          <cell r="J220">
            <v>32.49</v>
          </cell>
          <cell r="K220">
            <v>5.4921002000000003</v>
          </cell>
          <cell r="L220">
            <v>2.15</v>
          </cell>
          <cell r="M220">
            <v>14.49</v>
          </cell>
          <cell r="N220">
            <v>9.5408679999999997</v>
          </cell>
          <cell r="O220">
            <v>11.383084</v>
          </cell>
          <cell r="Q220">
            <v>71.185750107456712</v>
          </cell>
          <cell r="R220">
            <v>79.678701556806885</v>
          </cell>
          <cell r="S220">
            <v>129.21342211077268</v>
          </cell>
          <cell r="T220">
            <v>111.60378139084735</v>
          </cell>
          <cell r="U220">
            <v>100.88188134687333</v>
          </cell>
          <cell r="V220">
            <v>143.69328284535911</v>
          </cell>
          <cell r="W220">
            <v>109.04907975460122</v>
          </cell>
          <cell r="X220">
            <v>50.408105826062474</v>
          </cell>
          <cell r="Y220">
            <v>124.31605127224029</v>
          </cell>
          <cell r="Z220">
            <v>120.44858603791255</v>
          </cell>
          <cell r="AA220">
            <v>105.3921568627451</v>
          </cell>
          <cell r="AB220">
            <v>79.007633587786259</v>
          </cell>
          <cell r="AC220">
            <v>116.73375391998249</v>
          </cell>
          <cell r="AD220">
            <v>107.90100025944203</v>
          </cell>
          <cell r="AF220">
            <v>102.07320272495535</v>
          </cell>
          <cell r="AG220">
            <v>112.31737708971227</v>
          </cell>
        </row>
        <row r="221">
          <cell r="A221">
            <v>40397</v>
          </cell>
          <cell r="B221">
            <v>9.8400130000000008</v>
          </cell>
          <cell r="C221">
            <v>48.11</v>
          </cell>
          <cell r="D221">
            <v>67.316730000000007</v>
          </cell>
          <cell r="E221">
            <v>30.509868999999998</v>
          </cell>
          <cell r="F221">
            <v>75.5</v>
          </cell>
          <cell r="G221">
            <v>1.4840648000000001</v>
          </cell>
          <cell r="H221">
            <v>21.33</v>
          </cell>
          <cell r="I221">
            <v>17.91</v>
          </cell>
          <cell r="J221">
            <v>32.49</v>
          </cell>
          <cell r="K221">
            <v>5.4921002000000003</v>
          </cell>
          <cell r="L221">
            <v>2.15</v>
          </cell>
          <cell r="M221">
            <v>14.49</v>
          </cell>
          <cell r="N221">
            <v>9.5408679999999997</v>
          </cell>
          <cell r="O221">
            <v>11.383084</v>
          </cell>
          <cell r="Q221">
            <v>71.185750107456712</v>
          </cell>
          <cell r="R221">
            <v>79.678701556806885</v>
          </cell>
          <cell r="S221">
            <v>129.21342211077268</v>
          </cell>
          <cell r="T221">
            <v>111.60378139084735</v>
          </cell>
          <cell r="U221">
            <v>100.88188134687333</v>
          </cell>
          <cell r="V221">
            <v>143.69328284535911</v>
          </cell>
          <cell r="W221">
            <v>109.04907975460122</v>
          </cell>
          <cell r="X221">
            <v>50.408105826062474</v>
          </cell>
          <cell r="Y221">
            <v>124.31605127224029</v>
          </cell>
          <cell r="Z221">
            <v>120.44858603791255</v>
          </cell>
          <cell r="AA221">
            <v>105.3921568627451</v>
          </cell>
          <cell r="AB221">
            <v>79.007633587786259</v>
          </cell>
          <cell r="AC221">
            <v>116.73375391998249</v>
          </cell>
          <cell r="AD221">
            <v>107.90100025944203</v>
          </cell>
          <cell r="AF221">
            <v>102.07320272495535</v>
          </cell>
          <cell r="AG221">
            <v>112.31737708971227</v>
          </cell>
        </row>
        <row r="222">
          <cell r="A222">
            <v>40398</v>
          </cell>
          <cell r="B222">
            <v>9.8400130000000008</v>
          </cell>
          <cell r="C222">
            <v>48.11</v>
          </cell>
          <cell r="D222">
            <v>67.316730000000007</v>
          </cell>
          <cell r="E222">
            <v>30.509868999999998</v>
          </cell>
          <cell r="F222">
            <v>75.5</v>
          </cell>
          <cell r="G222">
            <v>1.4840648000000001</v>
          </cell>
          <cell r="H222">
            <v>21.33</v>
          </cell>
          <cell r="I222">
            <v>17.91</v>
          </cell>
          <cell r="J222">
            <v>32.49</v>
          </cell>
          <cell r="K222">
            <v>5.4921002000000003</v>
          </cell>
          <cell r="L222">
            <v>2.15</v>
          </cell>
          <cell r="M222">
            <v>14.49</v>
          </cell>
          <cell r="N222">
            <v>9.5408679999999997</v>
          </cell>
          <cell r="O222">
            <v>11.383084</v>
          </cell>
          <cell r="Q222">
            <v>71.185750107456712</v>
          </cell>
          <cell r="R222">
            <v>79.678701556806885</v>
          </cell>
          <cell r="S222">
            <v>129.21342211077268</v>
          </cell>
          <cell r="T222">
            <v>111.60378139084735</v>
          </cell>
          <cell r="U222">
            <v>100.88188134687333</v>
          </cell>
          <cell r="V222">
            <v>143.69328284535911</v>
          </cell>
          <cell r="W222">
            <v>109.04907975460122</v>
          </cell>
          <cell r="X222">
            <v>50.408105826062474</v>
          </cell>
          <cell r="Y222">
            <v>124.31605127224029</v>
          </cell>
          <cell r="Z222">
            <v>120.44858603791255</v>
          </cell>
          <cell r="AA222">
            <v>105.3921568627451</v>
          </cell>
          <cell r="AB222">
            <v>79.007633587786259</v>
          </cell>
          <cell r="AC222">
            <v>116.73375391998249</v>
          </cell>
          <cell r="AD222">
            <v>107.90100025944203</v>
          </cell>
          <cell r="AF222">
            <v>102.07320272495535</v>
          </cell>
          <cell r="AG222">
            <v>112.31737708971227</v>
          </cell>
        </row>
        <row r="223">
          <cell r="A223">
            <v>40399</v>
          </cell>
          <cell r="B223">
            <v>10.006962</v>
          </cell>
          <cell r="C223">
            <v>48.38</v>
          </cell>
          <cell r="D223">
            <v>64.828316000000001</v>
          </cell>
          <cell r="E223">
            <v>30.525274</v>
          </cell>
          <cell r="F223">
            <v>75.41</v>
          </cell>
          <cell r="G223">
            <v>1.4837346</v>
          </cell>
          <cell r="H223">
            <v>21.47</v>
          </cell>
          <cell r="I223">
            <v>18.16</v>
          </cell>
          <cell r="J223">
            <v>32.755000000000003</v>
          </cell>
          <cell r="K223">
            <v>5.5024556999999996</v>
          </cell>
          <cell r="L223">
            <v>2.21</v>
          </cell>
          <cell r="M223">
            <v>14.54</v>
          </cell>
          <cell r="N223">
            <v>9.4157879999999992</v>
          </cell>
          <cell r="O223">
            <v>11.627243</v>
          </cell>
          <cell r="Q223">
            <v>72.393511702353962</v>
          </cell>
          <cell r="R223">
            <v>80.125869493209677</v>
          </cell>
          <cell r="S223">
            <v>124.43694992371968</v>
          </cell>
          <cell r="T223">
            <v>111.66013221465212</v>
          </cell>
          <cell r="U223">
            <v>100.7616247995724</v>
          </cell>
          <cell r="V223">
            <v>143.66131151769503</v>
          </cell>
          <cell r="W223">
            <v>109.76482617586912</v>
          </cell>
          <cell r="X223">
            <v>51.111736560652965</v>
          </cell>
          <cell r="Y223">
            <v>125.33001721828964</v>
          </cell>
          <cell r="Z223">
            <v>120.67569502851609</v>
          </cell>
          <cell r="AA223">
            <v>108.33333333333333</v>
          </cell>
          <cell r="AB223">
            <v>79.280261723009815</v>
          </cell>
          <cell r="AC223">
            <v>115.20338394313012</v>
          </cell>
          <cell r="AD223">
            <v>110.21539944355989</v>
          </cell>
          <cell r="AF223">
            <v>102.29460580757281</v>
          </cell>
          <cell r="AG223">
            <v>112.709391693345</v>
          </cell>
        </row>
        <row r="224">
          <cell r="A224">
            <v>40400</v>
          </cell>
          <cell r="B224">
            <v>9.6519860000000008</v>
          </cell>
          <cell r="C224">
            <v>48.8</v>
          </cell>
          <cell r="D224">
            <v>64.076430000000002</v>
          </cell>
          <cell r="E224">
            <v>32.609076999999999</v>
          </cell>
          <cell r="F224">
            <v>76.540000000000006</v>
          </cell>
          <cell r="G224">
            <v>1.4373640999999999</v>
          </cell>
          <cell r="H224">
            <v>20.93</v>
          </cell>
          <cell r="I224">
            <v>17.93</v>
          </cell>
          <cell r="J224">
            <v>32.130000000000003</v>
          </cell>
          <cell r="K224">
            <v>5.4621881999999999</v>
          </cell>
          <cell r="L224">
            <v>2.15</v>
          </cell>
          <cell r="M224">
            <v>14.58</v>
          </cell>
          <cell r="N224">
            <v>9.3675490000000003</v>
          </cell>
          <cell r="O224">
            <v>11.479506000000001</v>
          </cell>
          <cell r="Q224">
            <v>69.825503628569464</v>
          </cell>
          <cell r="R224">
            <v>80.821464060947321</v>
          </cell>
          <cell r="S224">
            <v>122.99371637542966</v>
          </cell>
          <cell r="T224">
            <v>119.28259347378084</v>
          </cell>
          <cell r="U224">
            <v>102.27151256012827</v>
          </cell>
          <cell r="V224">
            <v>139.17152820622456</v>
          </cell>
          <cell r="W224">
            <v>107.00408997955012</v>
          </cell>
          <cell r="X224">
            <v>50.464396284829718</v>
          </cell>
          <cell r="Y224">
            <v>122.93858810024871</v>
          </cell>
          <cell r="Z224">
            <v>119.79257868655976</v>
          </cell>
          <cell r="AA224">
            <v>105.3921568627451</v>
          </cell>
          <cell r="AB224">
            <v>79.49836423118866</v>
          </cell>
          <cell r="AC224">
            <v>114.61317353928155</v>
          </cell>
          <cell r="AD224">
            <v>108.81499072520826</v>
          </cell>
          <cell r="AF224">
            <v>101.62137437085018</v>
          </cell>
          <cell r="AG224">
            <v>111.7140821322449</v>
          </cell>
        </row>
        <row r="225">
          <cell r="A225">
            <v>40401</v>
          </cell>
          <cell r="B225">
            <v>9.2715449999999997</v>
          </cell>
          <cell r="C225">
            <v>47.34</v>
          </cell>
          <cell r="D225">
            <v>63.203564</v>
          </cell>
          <cell r="E225">
            <v>33.337242000000003</v>
          </cell>
          <cell r="F225">
            <v>74.94</v>
          </cell>
          <cell r="G225">
            <v>1.4297236</v>
          </cell>
          <cell r="H225">
            <v>19.329999999999998</v>
          </cell>
          <cell r="I225">
            <v>17.18</v>
          </cell>
          <cell r="J225">
            <v>31.664999999999999</v>
          </cell>
          <cell r="K225">
            <v>5.4369063000000004</v>
          </cell>
          <cell r="L225">
            <v>2.06</v>
          </cell>
          <cell r="M225">
            <v>14.18</v>
          </cell>
          <cell r="N225">
            <v>9.0288360000000001</v>
          </cell>
          <cell r="O225">
            <v>11.359405000000001</v>
          </cell>
          <cell r="Q225">
            <v>67.073273732467598</v>
          </cell>
          <cell r="R225">
            <v>78.403444849287851</v>
          </cell>
          <cell r="S225">
            <v>121.31826358822295</v>
          </cell>
          <cell r="T225">
            <v>121.94618955400219</v>
          </cell>
          <cell r="U225">
            <v>100.1336183858899</v>
          </cell>
          <cell r="V225">
            <v>138.43174344239216</v>
          </cell>
          <cell r="W225">
            <v>98.824130879345603</v>
          </cell>
          <cell r="X225">
            <v>48.353504081058254</v>
          </cell>
          <cell r="Y225">
            <v>121.15936483642625</v>
          </cell>
          <cell r="Z225">
            <v>119.23811518508325</v>
          </cell>
          <cell r="AA225">
            <v>100.98039215686273</v>
          </cell>
          <cell r="AB225">
            <v>77.317339149400226</v>
          </cell>
          <cell r="AC225">
            <v>110.46897617783613</v>
          </cell>
          <cell r="AD225">
            <v>107.67654546448988</v>
          </cell>
          <cell r="AF225">
            <v>99.431614986703252</v>
          </cell>
          <cell r="AG225">
            <v>109.072760821163</v>
          </cell>
        </row>
        <row r="226">
          <cell r="A226">
            <v>40402</v>
          </cell>
          <cell r="B226">
            <v>9.1057100000000002</v>
          </cell>
          <cell r="C226">
            <v>47.41</v>
          </cell>
          <cell r="D226">
            <v>62.947234999999999</v>
          </cell>
          <cell r="E226">
            <v>32.718597000000003</v>
          </cell>
          <cell r="F226">
            <v>75.42</v>
          </cell>
          <cell r="G226">
            <v>1.4023496</v>
          </cell>
          <cell r="H226">
            <v>19.64</v>
          </cell>
          <cell r="I226">
            <v>17.739999999999998</v>
          </cell>
          <cell r="J226">
            <v>31.045000000000002</v>
          </cell>
          <cell r="K226">
            <v>5.3631463000000004</v>
          </cell>
          <cell r="L226">
            <v>2.0099</v>
          </cell>
          <cell r="M226">
            <v>14.25</v>
          </cell>
          <cell r="N226">
            <v>9.2355520000000002</v>
          </cell>
          <cell r="O226">
            <v>11.524656</v>
          </cell>
          <cell r="Q226">
            <v>65.873571164079721</v>
          </cell>
          <cell r="R226">
            <v>78.519377277244104</v>
          </cell>
          <cell r="S226">
            <v>120.82624403712128</v>
          </cell>
          <cell r="T226">
            <v>119.68321289754584</v>
          </cell>
          <cell r="U226">
            <v>100.77498663816141</v>
          </cell>
          <cell r="V226">
            <v>135.78127971290485</v>
          </cell>
          <cell r="W226">
            <v>100.40899795501024</v>
          </cell>
          <cell r="X226">
            <v>49.929636926540944</v>
          </cell>
          <cell r="Y226">
            <v>118.78706715132962</v>
          </cell>
          <cell r="Z226">
            <v>117.62046667492744</v>
          </cell>
          <cell r="AA226">
            <v>98.524509803921561</v>
          </cell>
          <cell r="AB226">
            <v>77.69901853871319</v>
          </cell>
          <cell r="AC226">
            <v>112.99817317283942</v>
          </cell>
          <cell r="AD226">
            <v>109.24297053821093</v>
          </cell>
          <cell r="AF226">
            <v>98.702364064791709</v>
          </cell>
          <cell r="AG226">
            <v>111.12057185552517</v>
          </cell>
        </row>
        <row r="227">
          <cell r="A227">
            <v>40403</v>
          </cell>
          <cell r="B227">
            <v>9.2080819999999992</v>
          </cell>
          <cell r="C227">
            <v>47.36</v>
          </cell>
          <cell r="D227">
            <v>63.115229999999997</v>
          </cell>
          <cell r="E227">
            <v>32.171399999999998</v>
          </cell>
          <cell r="F227">
            <v>75.010000000000005</v>
          </cell>
          <cell r="G227">
            <v>1.4381098999999999</v>
          </cell>
          <cell r="H227">
            <v>19.43</v>
          </cell>
          <cell r="I227">
            <v>17.21</v>
          </cell>
          <cell r="J227">
            <v>31.375</v>
          </cell>
          <cell r="K227">
            <v>5.3975315000000004</v>
          </cell>
          <cell r="L227">
            <v>2.0099999999999998</v>
          </cell>
          <cell r="M227">
            <v>13.74</v>
          </cell>
          <cell r="N227">
            <v>8.9215140000000002</v>
          </cell>
          <cell r="O227">
            <v>11.547148999999999</v>
          </cell>
          <cell r="Q227">
            <v>66.614162422444977</v>
          </cell>
          <cell r="R227">
            <v>78.436568400132487</v>
          </cell>
          <cell r="S227">
            <v>121.14870784140142</v>
          </cell>
          <cell r="T227">
            <v>117.68158993529295</v>
          </cell>
          <cell r="U227">
            <v>100.22715125601283</v>
          </cell>
          <cell r="V227">
            <v>139.24373964223869</v>
          </cell>
          <cell r="W227">
            <v>99.335378323108387</v>
          </cell>
          <cell r="X227">
            <v>48.437939769209123</v>
          </cell>
          <cell r="Y227">
            <v>120.04974172565524</v>
          </cell>
          <cell r="Z227">
            <v>118.37457686407345</v>
          </cell>
          <cell r="AA227">
            <v>98.52941176470587</v>
          </cell>
          <cell r="AB227">
            <v>74.918211559432933</v>
          </cell>
          <cell r="AC227">
            <v>109.15587762766225</v>
          </cell>
          <cell r="AD227">
            <v>109.45618316133094</v>
          </cell>
          <cell r="AF227">
            <v>98.583098291975702</v>
          </cell>
          <cell r="AG227">
            <v>109.30603039449659</v>
          </cell>
        </row>
        <row r="228">
          <cell r="A228">
            <v>40404</v>
          </cell>
          <cell r="B228">
            <v>9.2080819999999992</v>
          </cell>
          <cell r="C228">
            <v>47.36</v>
          </cell>
          <cell r="D228">
            <v>63.115229999999997</v>
          </cell>
          <cell r="E228">
            <v>32.171399999999998</v>
          </cell>
          <cell r="F228">
            <v>75.010000000000005</v>
          </cell>
          <cell r="G228">
            <v>1.4381098999999999</v>
          </cell>
          <cell r="H228">
            <v>19.43</v>
          </cell>
          <cell r="I228">
            <v>17.21</v>
          </cell>
          <cell r="J228">
            <v>31.375</v>
          </cell>
          <cell r="K228">
            <v>5.3975315000000004</v>
          </cell>
          <cell r="L228">
            <v>2.0099999999999998</v>
          </cell>
          <cell r="M228">
            <v>13.74</v>
          </cell>
          <cell r="N228">
            <v>8.9215140000000002</v>
          </cell>
          <cell r="O228">
            <v>11.547148999999999</v>
          </cell>
          <cell r="Q228">
            <v>66.614162422444977</v>
          </cell>
          <cell r="R228">
            <v>78.436568400132487</v>
          </cell>
          <cell r="S228">
            <v>121.14870784140142</v>
          </cell>
          <cell r="T228">
            <v>117.68158993529295</v>
          </cell>
          <cell r="U228">
            <v>100.22715125601283</v>
          </cell>
          <cell r="V228">
            <v>139.24373964223869</v>
          </cell>
          <cell r="W228">
            <v>99.335378323108387</v>
          </cell>
          <cell r="X228">
            <v>48.437939769209123</v>
          </cell>
          <cell r="Y228">
            <v>120.04974172565524</v>
          </cell>
          <cell r="Z228">
            <v>118.37457686407345</v>
          </cell>
          <cell r="AA228">
            <v>98.52941176470587</v>
          </cell>
          <cell r="AB228">
            <v>74.918211559432933</v>
          </cell>
          <cell r="AC228">
            <v>109.15587762766225</v>
          </cell>
          <cell r="AD228">
            <v>109.45618316133094</v>
          </cell>
          <cell r="AF228">
            <v>98.583098291975702</v>
          </cell>
          <cell r="AG228">
            <v>109.30603039449659</v>
          </cell>
        </row>
        <row r="229">
          <cell r="A229">
            <v>40405</v>
          </cell>
          <cell r="B229">
            <v>9.2080819999999992</v>
          </cell>
          <cell r="C229">
            <v>47.36</v>
          </cell>
          <cell r="D229">
            <v>63.115229999999997</v>
          </cell>
          <cell r="E229">
            <v>32.171399999999998</v>
          </cell>
          <cell r="F229">
            <v>75.010000000000005</v>
          </cell>
          <cell r="G229">
            <v>1.4381098999999999</v>
          </cell>
          <cell r="H229">
            <v>19.43</v>
          </cell>
          <cell r="I229">
            <v>17.21</v>
          </cell>
          <cell r="J229">
            <v>31.375</v>
          </cell>
          <cell r="K229">
            <v>5.3975315000000004</v>
          </cell>
          <cell r="L229">
            <v>2.0099999999999998</v>
          </cell>
          <cell r="M229">
            <v>13.74</v>
          </cell>
          <cell r="N229">
            <v>8.9215140000000002</v>
          </cell>
          <cell r="O229">
            <v>11.547148999999999</v>
          </cell>
          <cell r="Q229">
            <v>66.614162422444977</v>
          </cell>
          <cell r="R229">
            <v>78.436568400132487</v>
          </cell>
          <cell r="S229">
            <v>121.14870784140142</v>
          </cell>
          <cell r="T229">
            <v>117.68158993529295</v>
          </cell>
          <cell r="U229">
            <v>100.22715125601283</v>
          </cell>
          <cell r="V229">
            <v>139.24373964223869</v>
          </cell>
          <cell r="W229">
            <v>99.335378323108387</v>
          </cell>
          <cell r="X229">
            <v>48.437939769209123</v>
          </cell>
          <cell r="Y229">
            <v>120.04974172565524</v>
          </cell>
          <cell r="Z229">
            <v>118.37457686407345</v>
          </cell>
          <cell r="AA229">
            <v>98.52941176470587</v>
          </cell>
          <cell r="AB229">
            <v>74.918211559432933</v>
          </cell>
          <cell r="AC229">
            <v>109.15587762766225</v>
          </cell>
          <cell r="AD229">
            <v>109.45618316133094</v>
          </cell>
          <cell r="AF229">
            <v>98.583098291975702</v>
          </cell>
          <cell r="AG229">
            <v>109.30603039449659</v>
          </cell>
        </row>
        <row r="230">
          <cell r="A230">
            <v>40406</v>
          </cell>
          <cell r="B230">
            <v>9.1187349999999991</v>
          </cell>
          <cell r="C230">
            <v>47.08</v>
          </cell>
          <cell r="D230">
            <v>62.917400000000001</v>
          </cell>
          <cell r="E230">
            <v>33.591095000000003</v>
          </cell>
          <cell r="F230">
            <v>74.86</v>
          </cell>
          <cell r="G230">
            <v>1.4175542999999999</v>
          </cell>
          <cell r="H230">
            <v>19.57</v>
          </cell>
          <cell r="I230">
            <v>17</v>
          </cell>
          <cell r="J230">
            <v>31.405000000000001</v>
          </cell>
          <cell r="K230">
            <v>5.4013723999999996</v>
          </cell>
          <cell r="L230">
            <v>2</v>
          </cell>
          <cell r="M230">
            <v>13.85</v>
          </cell>
          <cell r="N230">
            <v>8.9442199999999996</v>
          </cell>
          <cell r="O230">
            <v>11.405723999999999</v>
          </cell>
          <cell r="Q230">
            <v>65.9677981122707</v>
          </cell>
          <cell r="R230">
            <v>77.972838688307377</v>
          </cell>
          <cell r="S230">
            <v>120.76897621605103</v>
          </cell>
          <cell r="T230">
            <v>122.87477285003045</v>
          </cell>
          <cell r="U230">
            <v>100.02672367717797</v>
          </cell>
          <cell r="V230">
            <v>137.25346155946491</v>
          </cell>
          <cell r="W230">
            <v>100.0511247443763</v>
          </cell>
          <cell r="X230">
            <v>47.846889952153113</v>
          </cell>
          <cell r="Y230">
            <v>120.16453032332122</v>
          </cell>
          <cell r="Z230">
            <v>118.4588125766908</v>
          </cell>
          <cell r="AA230">
            <v>98.039215686274503</v>
          </cell>
          <cell r="AB230">
            <v>75.517993456924742</v>
          </cell>
          <cell r="AC230">
            <v>109.43368847427568</v>
          </cell>
          <cell r="AD230">
            <v>108.11560630520904</v>
          </cell>
          <cell r="AF230">
            <v>98.745261486920256</v>
          </cell>
          <cell r="AG230">
            <v>108.77464738974237</v>
          </cell>
        </row>
        <row r="231">
          <cell r="A231">
            <v>40407</v>
          </cell>
          <cell r="B231">
            <v>9.2915770000000002</v>
          </cell>
          <cell r="C231">
            <v>47.7</v>
          </cell>
          <cell r="D231">
            <v>63.573684999999998</v>
          </cell>
          <cell r="E231">
            <v>33.329436999999999</v>
          </cell>
          <cell r="F231">
            <v>76.069999999999993</v>
          </cell>
          <cell r="G231">
            <v>1.4321041999999999</v>
          </cell>
          <cell r="H231">
            <v>19.46</v>
          </cell>
          <cell r="I231">
            <v>17.48</v>
          </cell>
          <cell r="J231">
            <v>32.094999999999999</v>
          </cell>
          <cell r="K231">
            <v>5.4682919999999999</v>
          </cell>
          <cell r="L231">
            <v>2.0099999999999998</v>
          </cell>
          <cell r="M231">
            <v>14.07</v>
          </cell>
          <cell r="N231">
            <v>9.3108269999999997</v>
          </cell>
          <cell r="O231">
            <v>11.624254000000001</v>
          </cell>
          <cell r="Q231">
            <v>67.218191523343734</v>
          </cell>
          <cell r="R231">
            <v>78.99966876449156</v>
          </cell>
          <cell r="S231">
            <v>122.02870512341133</v>
          </cell>
          <cell r="T231">
            <v>121.91763920153242</v>
          </cell>
          <cell r="U231">
            <v>101.64350614644573</v>
          </cell>
          <cell r="V231">
            <v>138.66224296582379</v>
          </cell>
          <cell r="W231">
            <v>99.48875255623723</v>
          </cell>
          <cell r="X231">
            <v>49.19786096256685</v>
          </cell>
          <cell r="Y231">
            <v>122.80466806963841</v>
          </cell>
          <cell r="Z231">
            <v>119.9264426097741</v>
          </cell>
          <cell r="AA231">
            <v>98.52941176470587</v>
          </cell>
          <cell r="AB231">
            <v>76.717557251908403</v>
          </cell>
          <cell r="AC231">
            <v>113.91917253330921</v>
          </cell>
          <cell r="AD231">
            <v>110.18706651640453</v>
          </cell>
          <cell r="AF231">
            <v>99.761220578323289</v>
          </cell>
          <cell r="AG231">
            <v>112.05311952485687</v>
          </cell>
        </row>
        <row r="232">
          <cell r="A232">
            <v>40408</v>
          </cell>
          <cell r="B232">
            <v>9.3110490000000006</v>
          </cell>
          <cell r="C232">
            <v>47.62</v>
          </cell>
          <cell r="D232">
            <v>63.620387999999998</v>
          </cell>
          <cell r="E232">
            <v>32.817810000000001</v>
          </cell>
          <cell r="F232">
            <v>76</v>
          </cell>
          <cell r="G232">
            <v>1.4504014999999999</v>
          </cell>
          <cell r="H232">
            <v>19.5</v>
          </cell>
          <cell r="I232">
            <v>17.170000000000002</v>
          </cell>
          <cell r="J232">
            <v>31.79</v>
          </cell>
          <cell r="K232">
            <v>5.4284499999999998</v>
          </cell>
          <cell r="L232">
            <v>2.09</v>
          </cell>
          <cell r="M232">
            <v>14.12</v>
          </cell>
          <cell r="N232">
            <v>9.5819310000000009</v>
          </cell>
          <cell r="O232">
            <v>12.023042999999999</v>
          </cell>
          <cell r="Q232">
            <v>67.359058098021279</v>
          </cell>
          <cell r="R232">
            <v>78.867174561112947</v>
          </cell>
          <cell r="S232">
            <v>122.11835080960019</v>
          </cell>
          <cell r="T232">
            <v>120.04612976104106</v>
          </cell>
          <cell r="U232">
            <v>101.54997327632283</v>
          </cell>
          <cell r="V232">
            <v>140.43386311624201</v>
          </cell>
          <cell r="W232">
            <v>99.693251533742327</v>
          </cell>
          <cell r="X232">
            <v>48.325358851674643</v>
          </cell>
          <cell r="Y232">
            <v>121.63765066003442</v>
          </cell>
          <cell r="Z232">
            <v>119.052658011867</v>
          </cell>
          <cell r="AA232">
            <v>102.45098039215685</v>
          </cell>
          <cell r="AB232">
            <v>76.990185387131945</v>
          </cell>
          <cell r="AC232">
            <v>117.23616503574432</v>
          </cell>
          <cell r="AD232">
            <v>113.96721361823235</v>
          </cell>
          <cell r="AF232">
            <v>99.877052871578954</v>
          </cell>
          <cell r="AG232">
            <v>115.60168932698834</v>
          </cell>
        </row>
        <row r="233">
          <cell r="A233">
            <v>40409</v>
          </cell>
          <cell r="B233">
            <v>9.2415599999999998</v>
          </cell>
          <cell r="C233">
            <v>46.26</v>
          </cell>
          <cell r="D233">
            <v>64.667839999999998</v>
          </cell>
          <cell r="E233">
            <v>32.992355000000003</v>
          </cell>
          <cell r="F233">
            <v>74.95</v>
          </cell>
          <cell r="G233">
            <v>1.4484186999999999</v>
          </cell>
          <cell r="H233">
            <v>19.12</v>
          </cell>
          <cell r="I233">
            <v>17.170000000000002</v>
          </cell>
          <cell r="J233">
            <v>31.715</v>
          </cell>
          <cell r="K233">
            <v>5.4894150000000002</v>
          </cell>
          <cell r="L233">
            <v>2.0598999999999998</v>
          </cell>
          <cell r="M233">
            <v>13.66</v>
          </cell>
          <cell r="N233">
            <v>10.151709</v>
          </cell>
          <cell r="O233">
            <v>13.140508000000001</v>
          </cell>
          <cell r="Q233">
            <v>66.856352807975711</v>
          </cell>
          <cell r="R233">
            <v>76.614773103676697</v>
          </cell>
          <cell r="S233">
            <v>124.12891872365026</v>
          </cell>
          <cell r="T233">
            <v>120.68460782277464</v>
          </cell>
          <cell r="U233">
            <v>100.14698022447888</v>
          </cell>
          <cell r="V233">
            <v>140.24188023164979</v>
          </cell>
          <cell r="W233">
            <v>97.750511247443768</v>
          </cell>
          <cell r="X233">
            <v>48.325358851674643</v>
          </cell>
          <cell r="Y233">
            <v>121.35067916586952</v>
          </cell>
          <cell r="Z233">
            <v>120.3896962632451</v>
          </cell>
          <cell r="AA233">
            <v>100.97549019607843</v>
          </cell>
          <cell r="AB233">
            <v>74.482006543075258</v>
          </cell>
          <cell r="AC233">
            <v>124.20747255629902</v>
          </cell>
          <cell r="AD233">
            <v>124.55973768771275</v>
          </cell>
          <cell r="AF233">
            <v>99.328937931799388</v>
          </cell>
          <cell r="AG233">
            <v>124.38360512200589</v>
          </cell>
        </row>
        <row r="234">
          <cell r="A234">
            <v>40410</v>
          </cell>
          <cell r="B234">
            <v>9.0378039999999995</v>
          </cell>
          <cell r="C234">
            <v>46.38</v>
          </cell>
          <cell r="D234">
            <v>63.214370000000002</v>
          </cell>
          <cell r="E234">
            <v>32.645206000000002</v>
          </cell>
          <cell r="F234">
            <v>75.760000000000005</v>
          </cell>
          <cell r="G234">
            <v>1.4355652000000001</v>
          </cell>
          <cell r="H234">
            <v>19.100000000000001</v>
          </cell>
          <cell r="I234">
            <v>17.28</v>
          </cell>
          <cell r="J234">
            <v>31.385000000000002</v>
          </cell>
          <cell r="K234">
            <v>5.4333359999999997</v>
          </cell>
          <cell r="L234">
            <v>1.96</v>
          </cell>
          <cell r="M234">
            <v>13.36</v>
          </cell>
          <cell r="N234">
            <v>10.402494000000001</v>
          </cell>
          <cell r="O234">
            <v>12.641723000000001</v>
          </cell>
          <cell r="Q234">
            <v>65.382317794109895</v>
          </cell>
          <cell r="R234">
            <v>76.813514408744624</v>
          </cell>
          <cell r="S234">
            <v>121.33900553809679</v>
          </cell>
          <cell r="T234">
            <v>119.41475179336818</v>
          </cell>
          <cell r="U234">
            <v>101.22928915018707</v>
          </cell>
          <cell r="V234">
            <v>138.99735127910486</v>
          </cell>
          <cell r="W234">
            <v>97.64826175869122</v>
          </cell>
          <cell r="X234">
            <v>48.634956374894458</v>
          </cell>
          <cell r="Y234">
            <v>120.08800459154389</v>
          </cell>
          <cell r="Z234">
            <v>119.1598140669188</v>
          </cell>
          <cell r="AA234">
            <v>96.078431372549005</v>
          </cell>
          <cell r="AB234">
            <v>72.846237731733908</v>
          </cell>
          <cell r="AC234">
            <v>127.27585946583628</v>
          </cell>
          <cell r="AD234">
            <v>119.8317219395723</v>
          </cell>
          <cell r="AF234">
            <v>98.13599465499523</v>
          </cell>
          <cell r="AG234">
            <v>123.55379070270429</v>
          </cell>
        </row>
        <row r="235">
          <cell r="A235">
            <v>40411</v>
          </cell>
          <cell r="B235">
            <v>9.0378039999999995</v>
          </cell>
          <cell r="C235">
            <v>46.38</v>
          </cell>
          <cell r="D235">
            <v>63.214370000000002</v>
          </cell>
          <cell r="E235">
            <v>32.645206000000002</v>
          </cell>
          <cell r="F235">
            <v>75.760000000000005</v>
          </cell>
          <cell r="G235">
            <v>1.4355652000000001</v>
          </cell>
          <cell r="H235">
            <v>19.100000000000001</v>
          </cell>
          <cell r="I235">
            <v>17.28</v>
          </cell>
          <cell r="J235">
            <v>31.385000000000002</v>
          </cell>
          <cell r="K235">
            <v>5.4333359999999997</v>
          </cell>
          <cell r="L235">
            <v>1.96</v>
          </cell>
          <cell r="M235">
            <v>13.36</v>
          </cell>
          <cell r="N235">
            <v>10.402494000000001</v>
          </cell>
          <cell r="O235">
            <v>12.641723000000001</v>
          </cell>
          <cell r="Q235">
            <v>65.382317794109895</v>
          </cell>
          <cell r="R235">
            <v>76.813514408744624</v>
          </cell>
          <cell r="S235">
            <v>121.33900553809679</v>
          </cell>
          <cell r="T235">
            <v>119.41475179336818</v>
          </cell>
          <cell r="U235">
            <v>101.22928915018707</v>
          </cell>
          <cell r="V235">
            <v>138.99735127910486</v>
          </cell>
          <cell r="W235">
            <v>97.64826175869122</v>
          </cell>
          <cell r="X235">
            <v>48.634956374894458</v>
          </cell>
          <cell r="Y235">
            <v>120.08800459154389</v>
          </cell>
          <cell r="Z235">
            <v>119.1598140669188</v>
          </cell>
          <cell r="AA235">
            <v>96.078431372549005</v>
          </cell>
          <cell r="AB235">
            <v>72.846237731733908</v>
          </cell>
          <cell r="AC235">
            <v>127.27585946583628</v>
          </cell>
          <cell r="AD235">
            <v>119.8317219395723</v>
          </cell>
          <cell r="AF235">
            <v>98.13599465499523</v>
          </cell>
          <cell r="AG235">
            <v>123.55379070270429</v>
          </cell>
        </row>
        <row r="236">
          <cell r="A236">
            <v>40412</v>
          </cell>
          <cell r="B236">
            <v>9.0378039999999995</v>
          </cell>
          <cell r="C236">
            <v>46.38</v>
          </cell>
          <cell r="D236">
            <v>63.214370000000002</v>
          </cell>
          <cell r="E236">
            <v>32.645206000000002</v>
          </cell>
          <cell r="F236">
            <v>75.760000000000005</v>
          </cell>
          <cell r="G236">
            <v>1.4355652000000001</v>
          </cell>
          <cell r="H236">
            <v>19.100000000000001</v>
          </cell>
          <cell r="I236">
            <v>17.28</v>
          </cell>
          <cell r="J236">
            <v>31.385000000000002</v>
          </cell>
          <cell r="K236">
            <v>5.4333359999999997</v>
          </cell>
          <cell r="L236">
            <v>1.96</v>
          </cell>
          <cell r="M236">
            <v>13.36</v>
          </cell>
          <cell r="N236">
            <v>10.402494000000001</v>
          </cell>
          <cell r="O236">
            <v>12.641723000000001</v>
          </cell>
          <cell r="Q236">
            <v>65.382317794109895</v>
          </cell>
          <cell r="R236">
            <v>76.813514408744624</v>
          </cell>
          <cell r="S236">
            <v>121.33900553809679</v>
          </cell>
          <cell r="T236">
            <v>119.41475179336818</v>
          </cell>
          <cell r="U236">
            <v>101.22928915018707</v>
          </cell>
          <cell r="V236">
            <v>138.99735127910486</v>
          </cell>
          <cell r="W236">
            <v>97.64826175869122</v>
          </cell>
          <cell r="X236">
            <v>48.634956374894458</v>
          </cell>
          <cell r="Y236">
            <v>120.08800459154389</v>
          </cell>
          <cell r="Z236">
            <v>119.1598140669188</v>
          </cell>
          <cell r="AA236">
            <v>96.078431372549005</v>
          </cell>
          <cell r="AB236">
            <v>72.846237731733908</v>
          </cell>
          <cell r="AC236">
            <v>127.27585946583628</v>
          </cell>
          <cell r="AD236">
            <v>119.8317219395723</v>
          </cell>
          <cell r="AF236">
            <v>98.13599465499523</v>
          </cell>
          <cell r="AG236">
            <v>123.55379070270429</v>
          </cell>
        </row>
        <row r="237">
          <cell r="A237">
            <v>40413</v>
          </cell>
          <cell r="B237">
            <v>9.3134689999999996</v>
          </cell>
          <cell r="C237">
            <v>46.19</v>
          </cell>
          <cell r="D237">
            <v>62.918182000000002</v>
          </cell>
          <cell r="E237">
            <v>32.914659999999998</v>
          </cell>
          <cell r="F237">
            <v>75.61</v>
          </cell>
          <cell r="G237">
            <v>1.4660921</v>
          </cell>
          <cell r="H237">
            <v>18.77</v>
          </cell>
          <cell r="I237">
            <v>17.18</v>
          </cell>
          <cell r="J237">
            <v>31.355</v>
          </cell>
          <cell r="K237">
            <v>5.4559245000000001</v>
          </cell>
          <cell r="L237">
            <v>1.94</v>
          </cell>
          <cell r="M237">
            <v>13.04</v>
          </cell>
          <cell r="N237">
            <v>10.440901</v>
          </cell>
          <cell r="O237">
            <v>12.370196999999999</v>
          </cell>
          <cell r="Q237">
            <v>67.376565139450989</v>
          </cell>
          <cell r="R237">
            <v>76.49884067572043</v>
          </cell>
          <cell r="S237">
            <v>120.77047725295658</v>
          </cell>
          <cell r="T237">
            <v>120.40040287272514</v>
          </cell>
          <cell r="U237">
            <v>101.02886157135219</v>
          </cell>
          <cell r="V237">
            <v>141.95309180747802</v>
          </cell>
          <cell r="W237">
            <v>95.961145194274039</v>
          </cell>
          <cell r="X237">
            <v>48.353504081058254</v>
          </cell>
          <cell r="Y237">
            <v>119.97321599387793</v>
          </cell>
          <cell r="Z237">
            <v>119.65520795753233</v>
          </cell>
          <cell r="AA237">
            <v>95.098039215686271</v>
          </cell>
          <cell r="AB237">
            <v>71.101417666303163</v>
          </cell>
          <cell r="AC237">
            <v>127.74577407809218</v>
          </cell>
          <cell r="AD237">
            <v>117.25790916647448</v>
          </cell>
          <cell r="AF237">
            <v>98.180897452367944</v>
          </cell>
          <cell r="AG237">
            <v>122.50184162228334</v>
          </cell>
        </row>
        <row r="238">
          <cell r="A238">
            <v>40414</v>
          </cell>
          <cell r="B238">
            <v>9.5612399999999997</v>
          </cell>
          <cell r="C238">
            <v>45.12</v>
          </cell>
          <cell r="D238">
            <v>63.218043999999999</v>
          </cell>
          <cell r="E238">
            <v>33.728194999999999</v>
          </cell>
          <cell r="F238">
            <v>75.53</v>
          </cell>
          <cell r="G238">
            <v>1.506799</v>
          </cell>
          <cell r="H238">
            <v>18.510000000000002</v>
          </cell>
          <cell r="I238">
            <v>17.34</v>
          </cell>
          <cell r="J238">
            <v>30.43</v>
          </cell>
          <cell r="K238">
            <v>5.4091829999999996</v>
          </cell>
          <cell r="L238">
            <v>1.9</v>
          </cell>
          <cell r="M238">
            <v>12.92</v>
          </cell>
          <cell r="N238">
            <v>10.322399000000001</v>
          </cell>
          <cell r="O238">
            <v>11.736425000000001</v>
          </cell>
          <cell r="Q238">
            <v>69.16901851221327</v>
          </cell>
          <cell r="R238">
            <v>74.726730705531637</v>
          </cell>
          <cell r="S238">
            <v>121.34605772427449</v>
          </cell>
          <cell r="T238">
            <v>123.3762787210876</v>
          </cell>
          <cell r="U238">
            <v>100.9219668626403</v>
          </cell>
          <cell r="V238">
            <v>145.8945019773424</v>
          </cell>
          <cell r="W238">
            <v>94.631901840490812</v>
          </cell>
          <cell r="X238">
            <v>48.803827751196174</v>
          </cell>
          <cell r="Y238">
            <v>116.43390089917733</v>
          </cell>
          <cell r="Z238">
            <v>118.63010874607018</v>
          </cell>
          <cell r="AA238">
            <v>93.137254901960773</v>
          </cell>
          <cell r="AB238">
            <v>70.447110141766629</v>
          </cell>
          <cell r="AC238">
            <v>126.29588678198603</v>
          </cell>
          <cell r="AD238">
            <v>111.2503427867107</v>
          </cell>
          <cell r="AF238">
            <v>98.126554898645963</v>
          </cell>
          <cell r="AG238">
            <v>118.77311478434837</v>
          </cell>
        </row>
        <row r="239">
          <cell r="A239">
            <v>40415</v>
          </cell>
          <cell r="B239">
            <v>9.6629500000000004</v>
          </cell>
          <cell r="C239">
            <v>45.38</v>
          </cell>
          <cell r="D239">
            <v>62.876730000000002</v>
          </cell>
          <cell r="E239">
            <v>33.849426000000001</v>
          </cell>
          <cell r="F239">
            <v>76.12</v>
          </cell>
          <cell r="G239">
            <v>1.5056921999999999</v>
          </cell>
          <cell r="H239">
            <v>19.190000000000001</v>
          </cell>
          <cell r="I239">
            <v>17.79</v>
          </cell>
          <cell r="J239">
            <v>30.335000000000001</v>
          </cell>
          <cell r="K239">
            <v>5.3761140000000003</v>
          </cell>
          <cell r="L239">
            <v>1.91</v>
          </cell>
          <cell r="M239">
            <v>13.15</v>
          </cell>
          <cell r="N239">
            <v>10.421373000000001</v>
          </cell>
          <cell r="O239">
            <v>12.200632000000001</v>
          </cell>
          <cell r="Q239">
            <v>69.90482065428661</v>
          </cell>
          <cell r="R239">
            <v>75.157336866512097</v>
          </cell>
          <cell r="S239">
            <v>120.69091078005548</v>
          </cell>
          <cell r="T239">
            <v>123.81973647640585</v>
          </cell>
          <cell r="U239">
            <v>101.7103153393907</v>
          </cell>
          <cell r="V239">
            <v>145.78733703046592</v>
          </cell>
          <cell r="W239">
            <v>98.108384458077722</v>
          </cell>
          <cell r="X239">
            <v>50.070363073459049</v>
          </cell>
          <cell r="Y239">
            <v>116.07040367323511</v>
          </cell>
          <cell r="Z239">
            <v>117.90486445943323</v>
          </cell>
          <cell r="AA239">
            <v>93.62745098039214</v>
          </cell>
          <cell r="AB239">
            <v>71.701199563794987</v>
          </cell>
          <cell r="AC239">
            <v>127.50684647249599</v>
          </cell>
          <cell r="AD239">
            <v>115.65059140364393</v>
          </cell>
          <cell r="AF239">
            <v>98.712760279625741</v>
          </cell>
          <cell r="AG239">
            <v>121.57871893806995</v>
          </cell>
        </row>
        <row r="240">
          <cell r="A240">
            <v>40416</v>
          </cell>
          <cell r="B240">
            <v>9.6717770000000005</v>
          </cell>
          <cell r="C240">
            <v>44.74</v>
          </cell>
          <cell r="D240">
            <v>62.389225000000003</v>
          </cell>
          <cell r="E240">
            <v>34.621291999999997</v>
          </cell>
          <cell r="F240">
            <v>75.08</v>
          </cell>
          <cell r="G240">
            <v>1.497547</v>
          </cell>
          <cell r="H240">
            <v>19.12</v>
          </cell>
          <cell r="I240">
            <v>17.47</v>
          </cell>
          <cell r="J240">
            <v>29.875</v>
          </cell>
          <cell r="K240">
            <v>5.4403743999999996</v>
          </cell>
          <cell r="L240">
            <v>1.86</v>
          </cell>
          <cell r="M240">
            <v>12.88</v>
          </cell>
          <cell r="N240">
            <v>10.359540000000001</v>
          </cell>
          <cell r="O240">
            <v>12.344977</v>
          </cell>
          <cell r="Q240">
            <v>69.968677949617273</v>
          </cell>
          <cell r="R240">
            <v>74.097383239483278</v>
          </cell>
          <cell r="S240">
            <v>119.75515247233446</v>
          </cell>
          <cell r="T240">
            <v>126.64318892476044</v>
          </cell>
          <cell r="U240">
            <v>100.32068412613575</v>
          </cell>
          <cell r="V240">
            <v>144.99868512831716</v>
          </cell>
          <cell r="W240">
            <v>97.750511247443768</v>
          </cell>
          <cell r="X240">
            <v>49.169715733183224</v>
          </cell>
          <cell r="Y240">
            <v>114.31031184235698</v>
          </cell>
          <cell r="Z240">
            <v>119.31417493017639</v>
          </cell>
          <cell r="AA240">
            <v>91.17647058823529</v>
          </cell>
          <cell r="AB240">
            <v>70.229007633587798</v>
          </cell>
          <cell r="AC240">
            <v>126.75031172050757</v>
          </cell>
          <cell r="AD240">
            <v>117.01884713139303</v>
          </cell>
          <cell r="AF240">
            <v>98.144496984635978</v>
          </cell>
          <cell r="AG240">
            <v>121.88457942595031</v>
          </cell>
        </row>
        <row r="241">
          <cell r="A241">
            <v>40417</v>
          </cell>
          <cell r="B241">
            <v>9.7074960000000008</v>
          </cell>
          <cell r="C241">
            <v>44.65</v>
          </cell>
          <cell r="D241">
            <v>64.132739999999998</v>
          </cell>
          <cell r="E241">
            <v>34.278652000000001</v>
          </cell>
          <cell r="F241">
            <v>75.22</v>
          </cell>
          <cell r="G241">
            <v>1.5125803</v>
          </cell>
          <cell r="H241">
            <v>19.690000000000001</v>
          </cell>
          <cell r="I241">
            <v>17.68</v>
          </cell>
          <cell r="J241">
            <v>30.594999999999999</v>
          </cell>
          <cell r="K241">
            <v>5.5024050000000004</v>
          </cell>
          <cell r="L241">
            <v>1.93</v>
          </cell>
          <cell r="M241">
            <v>13.09</v>
          </cell>
          <cell r="N241">
            <v>10.270163</v>
          </cell>
          <cell r="O241">
            <v>12.381251000000001</v>
          </cell>
          <cell r="Q241">
            <v>70.227080434257104</v>
          </cell>
          <cell r="R241">
            <v>73.948327260682348</v>
          </cell>
          <cell r="S241">
            <v>123.10180254953613</v>
          </cell>
          <cell r="T241">
            <v>125.38982662236053</v>
          </cell>
          <cell r="U241">
            <v>100.5077498663816</v>
          </cell>
          <cell r="V241">
            <v>146.45427131902738</v>
          </cell>
          <cell r="W241">
            <v>100.66462167689163</v>
          </cell>
          <cell r="X241">
            <v>49.760765550239235</v>
          </cell>
          <cell r="Y241">
            <v>117.06523818634014</v>
          </cell>
          <cell r="Z241">
            <v>120.67458311447781</v>
          </cell>
          <cell r="AA241">
            <v>94.607843137254903</v>
          </cell>
          <cell r="AB241">
            <v>71.374045801526719</v>
          </cell>
          <cell r="AC241">
            <v>125.65677256619725</v>
          </cell>
          <cell r="AD241">
            <v>117.36269075790156</v>
          </cell>
          <cell r="AF241">
            <v>99.481346293247967</v>
          </cell>
          <cell r="AG241">
            <v>121.5097316620494</v>
          </cell>
        </row>
        <row r="242">
          <cell r="A242">
            <v>40418</v>
          </cell>
          <cell r="B242">
            <v>9.7074960000000008</v>
          </cell>
          <cell r="C242">
            <v>44.65</v>
          </cell>
          <cell r="D242">
            <v>64.132739999999998</v>
          </cell>
          <cell r="E242">
            <v>34.278652000000001</v>
          </cell>
          <cell r="F242">
            <v>75.22</v>
          </cell>
          <cell r="G242">
            <v>1.5125803</v>
          </cell>
          <cell r="H242">
            <v>19.690000000000001</v>
          </cell>
          <cell r="I242">
            <v>17.68</v>
          </cell>
          <cell r="J242">
            <v>30.594999999999999</v>
          </cell>
          <cell r="K242">
            <v>5.5024050000000004</v>
          </cell>
          <cell r="L242">
            <v>1.93</v>
          </cell>
          <cell r="M242">
            <v>13.09</v>
          </cell>
          <cell r="N242">
            <v>10.270163</v>
          </cell>
          <cell r="O242">
            <v>12.381251000000001</v>
          </cell>
          <cell r="Q242">
            <v>70.227080434257104</v>
          </cell>
          <cell r="R242">
            <v>73.948327260682348</v>
          </cell>
          <cell r="S242">
            <v>123.10180254953613</v>
          </cell>
          <cell r="T242">
            <v>125.38982662236053</v>
          </cell>
          <cell r="U242">
            <v>100.5077498663816</v>
          </cell>
          <cell r="V242">
            <v>146.45427131902738</v>
          </cell>
          <cell r="W242">
            <v>100.66462167689163</v>
          </cell>
          <cell r="X242">
            <v>49.760765550239235</v>
          </cell>
          <cell r="Y242">
            <v>117.06523818634014</v>
          </cell>
          <cell r="Z242">
            <v>120.67458311447781</v>
          </cell>
          <cell r="AA242">
            <v>94.607843137254903</v>
          </cell>
          <cell r="AB242">
            <v>71.374045801526719</v>
          </cell>
          <cell r="AC242">
            <v>125.65677256619725</v>
          </cell>
          <cell r="AD242">
            <v>117.36269075790156</v>
          </cell>
          <cell r="AF242">
            <v>99.481346293247967</v>
          </cell>
          <cell r="AG242">
            <v>121.5097316620494</v>
          </cell>
        </row>
        <row r="243">
          <cell r="A243">
            <v>40419</v>
          </cell>
          <cell r="B243">
            <v>9.7074960000000008</v>
          </cell>
          <cell r="C243">
            <v>44.65</v>
          </cell>
          <cell r="D243">
            <v>64.132739999999998</v>
          </cell>
          <cell r="E243">
            <v>34.278652000000001</v>
          </cell>
          <cell r="F243">
            <v>75.22</v>
          </cell>
          <cell r="G243">
            <v>1.5125803</v>
          </cell>
          <cell r="H243">
            <v>19.690000000000001</v>
          </cell>
          <cell r="I243">
            <v>17.68</v>
          </cell>
          <cell r="J243">
            <v>30.594999999999999</v>
          </cell>
          <cell r="K243">
            <v>5.5024050000000004</v>
          </cell>
          <cell r="L243">
            <v>1.93</v>
          </cell>
          <cell r="M243">
            <v>13.09</v>
          </cell>
          <cell r="N243">
            <v>10.270163</v>
          </cell>
          <cell r="O243">
            <v>12.381251000000001</v>
          </cell>
          <cell r="Q243">
            <v>70.227080434257104</v>
          </cell>
          <cell r="R243">
            <v>73.948327260682348</v>
          </cell>
          <cell r="S243">
            <v>123.10180254953613</v>
          </cell>
          <cell r="T243">
            <v>125.38982662236053</v>
          </cell>
          <cell r="U243">
            <v>100.5077498663816</v>
          </cell>
          <cell r="V243">
            <v>146.45427131902738</v>
          </cell>
          <cell r="W243">
            <v>100.66462167689163</v>
          </cell>
          <cell r="X243">
            <v>49.760765550239235</v>
          </cell>
          <cell r="Y243">
            <v>117.06523818634014</v>
          </cell>
          <cell r="Z243">
            <v>120.67458311447781</v>
          </cell>
          <cell r="AA243">
            <v>94.607843137254903</v>
          </cell>
          <cell r="AB243">
            <v>71.374045801526719</v>
          </cell>
          <cell r="AC243">
            <v>125.65677256619725</v>
          </cell>
          <cell r="AD243">
            <v>117.36269075790156</v>
          </cell>
          <cell r="AF243">
            <v>99.481346293247967</v>
          </cell>
          <cell r="AG243">
            <v>121.5097316620494</v>
          </cell>
        </row>
        <row r="244">
          <cell r="A244">
            <v>40420</v>
          </cell>
          <cell r="B244">
            <v>9.9249100000000006</v>
          </cell>
          <cell r="C244">
            <v>44.33</v>
          </cell>
          <cell r="D244">
            <v>64.451400000000007</v>
          </cell>
          <cell r="E244">
            <v>34.409492</v>
          </cell>
          <cell r="F244">
            <v>73.97</v>
          </cell>
          <cell r="G244">
            <v>1.5362457</v>
          </cell>
          <cell r="H244">
            <v>19.89</v>
          </cell>
          <cell r="I244">
            <v>17.489999999999998</v>
          </cell>
          <cell r="J244">
            <v>30.19</v>
          </cell>
          <cell r="K244">
            <v>5.5357346999999999</v>
          </cell>
          <cell r="L244">
            <v>1.86</v>
          </cell>
          <cell r="M244">
            <v>12.57</v>
          </cell>
          <cell r="N244">
            <v>10.936432</v>
          </cell>
          <cell r="O244">
            <v>12.018682999999999</v>
          </cell>
          <cell r="Q244">
            <v>71.799921717481283</v>
          </cell>
          <cell r="R244">
            <v>73.418350447167938</v>
          </cell>
          <cell r="S244">
            <v>123.71346549112316</v>
          </cell>
          <cell r="T244">
            <v>125.86843368413383</v>
          </cell>
          <cell r="U244">
            <v>98.837520042757873</v>
          </cell>
          <cell r="V244">
            <v>148.74565308069208</v>
          </cell>
          <cell r="W244">
            <v>101.68711656441718</v>
          </cell>
          <cell r="X244">
            <v>49.226006191950461</v>
          </cell>
          <cell r="Y244">
            <v>115.51559211784964</v>
          </cell>
          <cell r="Z244">
            <v>121.40554487625843</v>
          </cell>
          <cell r="AA244">
            <v>91.17647058823529</v>
          </cell>
          <cell r="AB244">
            <v>68.538713195201751</v>
          </cell>
          <cell r="AC244">
            <v>133.80865995113044</v>
          </cell>
          <cell r="AD244">
            <v>113.92588489210407</v>
          </cell>
          <cell r="AF244">
            <v>99.161065666439114</v>
          </cell>
          <cell r="AG244">
            <v>123.86727242161726</v>
          </cell>
        </row>
        <row r="245">
          <cell r="A245">
            <v>40421</v>
          </cell>
          <cell r="B245">
            <v>9.8350524999999998</v>
          </cell>
          <cell r="C245">
            <v>43.5</v>
          </cell>
          <cell r="D245">
            <v>63.236865999999999</v>
          </cell>
          <cell r="E245">
            <v>33.511966999999999</v>
          </cell>
          <cell r="F245">
            <v>72.62</v>
          </cell>
          <cell r="G245">
            <v>1.5132501</v>
          </cell>
          <cell r="H245">
            <v>19.82</v>
          </cell>
          <cell r="I245">
            <v>17.18</v>
          </cell>
          <cell r="J245">
            <v>30.14</v>
          </cell>
          <cell r="K245">
            <v>5.4738072999999998</v>
          </cell>
          <cell r="L245">
            <v>1.84</v>
          </cell>
          <cell r="M245">
            <v>12.5</v>
          </cell>
          <cell r="N245">
            <v>10.490606</v>
          </cell>
          <cell r="O245">
            <v>12.315061</v>
          </cell>
          <cell r="Q245">
            <v>71.14986428968308</v>
          </cell>
          <cell r="R245">
            <v>72.043723087114927</v>
          </cell>
          <cell r="S245">
            <v>121.38218626217241</v>
          </cell>
          <cell r="T245">
            <v>122.58532604795155</v>
          </cell>
          <cell r="U245">
            <v>97.033671833244256</v>
          </cell>
          <cell r="V245">
            <v>146.51912412117579</v>
          </cell>
          <cell r="W245">
            <v>101.32924335378324</v>
          </cell>
          <cell r="X245">
            <v>48.353504081058254</v>
          </cell>
          <cell r="Y245">
            <v>115.32427778840635</v>
          </cell>
          <cell r="Z245">
            <v>120.04739999627168</v>
          </cell>
          <cell r="AA245">
            <v>90.196078431372555</v>
          </cell>
          <cell r="AB245">
            <v>68.157033805888773</v>
          </cell>
          <cell r="AC245">
            <v>128.35392118154155</v>
          </cell>
          <cell r="AD245">
            <v>116.73527140413304</v>
          </cell>
          <cell r="AF245">
            <v>97.843452758176909</v>
          </cell>
          <cell r="AG245">
            <v>122.5445962928373</v>
          </cell>
        </row>
        <row r="246">
          <cell r="A246">
            <v>40422</v>
          </cell>
          <cell r="B246">
            <v>10.427858000000001</v>
          </cell>
          <cell r="C246">
            <v>44.92</v>
          </cell>
          <cell r="D246">
            <v>62.208027000000001</v>
          </cell>
          <cell r="E246">
            <v>33.232807000000001</v>
          </cell>
          <cell r="F246">
            <v>74</v>
          </cell>
          <cell r="G246">
            <v>1.5228614</v>
          </cell>
          <cell r="H246">
            <v>19.989999999999998</v>
          </cell>
          <cell r="I246">
            <v>17.7</v>
          </cell>
          <cell r="J246">
            <v>30.83</v>
          </cell>
          <cell r="K246">
            <v>5.5863529999999999</v>
          </cell>
          <cell r="L246">
            <v>1.86</v>
          </cell>
          <cell r="M246">
            <v>13.36</v>
          </cell>
          <cell r="N246">
            <v>10.344530000000001</v>
          </cell>
          <cell r="O246">
            <v>12.442171</v>
          </cell>
          <cell r="Q246">
            <v>75.438405797232505</v>
          </cell>
          <cell r="R246">
            <v>74.395495197085125</v>
          </cell>
          <cell r="S246">
            <v>119.40734571375265</v>
          </cell>
          <cell r="T246">
            <v>121.56417084033437</v>
          </cell>
          <cell r="U246">
            <v>98.877605558524849</v>
          </cell>
          <cell r="V246">
            <v>147.44972988004267</v>
          </cell>
          <cell r="W246">
            <v>102.19836400817996</v>
          </cell>
          <cell r="X246">
            <v>49.817056009006471</v>
          </cell>
          <cell r="Y246">
            <v>117.96441553472354</v>
          </cell>
          <cell r="Z246">
            <v>122.51566713197455</v>
          </cell>
          <cell r="AA246">
            <v>91.17647058823529</v>
          </cell>
          <cell r="AB246">
            <v>72.846237731733908</v>
          </cell>
          <cell r="AC246">
            <v>126.56666242923353</v>
          </cell>
          <cell r="AD246">
            <v>117.94015543582232</v>
          </cell>
          <cell r="AF246">
            <v>99.470913665902174</v>
          </cell>
          <cell r="AG246">
            <v>122.25340893252792</v>
          </cell>
        </row>
        <row r="247">
          <cell r="A247">
            <v>40423</v>
          </cell>
          <cell r="B247">
            <v>10.4765</v>
          </cell>
          <cell r="C247">
            <v>45</v>
          </cell>
          <cell r="D247">
            <v>64.045550000000006</v>
          </cell>
          <cell r="E247">
            <v>33.896698000000001</v>
          </cell>
          <cell r="F247">
            <v>74.56</v>
          </cell>
          <cell r="G247">
            <v>1.5149827</v>
          </cell>
          <cell r="H247">
            <v>20.27</v>
          </cell>
          <cell r="I247">
            <v>17.95</v>
          </cell>
          <cell r="J247">
            <v>31.49</v>
          </cell>
          <cell r="K247">
            <v>5.6026496999999997</v>
          </cell>
          <cell r="L247">
            <v>1.87</v>
          </cell>
          <cell r="M247">
            <v>13.66</v>
          </cell>
          <cell r="N247">
            <v>10.596026</v>
          </cell>
          <cell r="O247">
            <v>12.669162</v>
          </cell>
          <cell r="Q247">
            <v>75.790297329970002</v>
          </cell>
          <cell r="R247">
            <v>74.527989400463724</v>
          </cell>
          <cell r="S247">
            <v>122.93444269302145</v>
          </cell>
          <cell r="T247">
            <v>123.99265540810983</v>
          </cell>
          <cell r="U247">
            <v>99.625868519508288</v>
          </cell>
          <cell r="V247">
            <v>146.68688160848893</v>
          </cell>
          <cell r="W247">
            <v>103.62985685071575</v>
          </cell>
          <cell r="X247">
            <v>50.520686743596954</v>
          </cell>
          <cell r="Y247">
            <v>120.48976468337477</v>
          </cell>
          <cell r="Z247">
            <v>122.87307402562226</v>
          </cell>
          <cell r="AA247">
            <v>91.666666666666671</v>
          </cell>
          <cell r="AB247">
            <v>74.482006543075258</v>
          </cell>
          <cell r="AC247">
            <v>129.64374851572586</v>
          </cell>
          <cell r="AD247">
            <v>120.09181802127729</v>
          </cell>
          <cell r="AF247">
            <v>100.6016825393845</v>
          </cell>
          <cell r="AG247">
            <v>124.86778326850157</v>
          </cell>
        </row>
        <row r="248">
          <cell r="A248">
            <v>40424</v>
          </cell>
          <cell r="B248">
            <v>10.642452</v>
          </cell>
          <cell r="C248">
            <v>45.93</v>
          </cell>
          <cell r="D248">
            <v>64.852683999999996</v>
          </cell>
          <cell r="E248">
            <v>33.268124</v>
          </cell>
          <cell r="F248">
            <v>75.05</v>
          </cell>
          <cell r="G248">
            <v>1.4946461</v>
          </cell>
          <cell r="H248">
            <v>20.27</v>
          </cell>
          <cell r="I248">
            <v>17.91</v>
          </cell>
          <cell r="J248">
            <v>32.229999999999997</v>
          </cell>
          <cell r="K248">
            <v>5.6138015000000001</v>
          </cell>
          <cell r="L248">
            <v>1.86</v>
          </cell>
          <cell r="M248">
            <v>13.57</v>
          </cell>
          <cell r="N248">
            <v>11.128822</v>
          </cell>
          <cell r="O248">
            <v>12.403999000000001</v>
          </cell>
          <cell r="Q248">
            <v>76.990846313170806</v>
          </cell>
          <cell r="R248">
            <v>76.06823451473997</v>
          </cell>
          <cell r="S248">
            <v>124.48372392284286</v>
          </cell>
          <cell r="T248">
            <v>121.69335889903697</v>
          </cell>
          <cell r="U248">
            <v>100.28059861036877</v>
          </cell>
          <cell r="V248">
            <v>144.71780801014407</v>
          </cell>
          <cell r="W248">
            <v>103.62985685071575</v>
          </cell>
          <cell r="X248">
            <v>50.408105826062474</v>
          </cell>
          <cell r="Y248">
            <v>123.32121675913524</v>
          </cell>
          <cell r="Z248">
            <v>123.11764686531257</v>
          </cell>
          <cell r="AA248">
            <v>91.17647058823529</v>
          </cell>
          <cell r="AB248">
            <v>73.991275899672843</v>
          </cell>
          <cell r="AC248">
            <v>136.16257648332285</v>
          </cell>
          <cell r="AD248">
            <v>117.57832054275615</v>
          </cell>
          <cell r="AF248">
            <v>100.82326192161982</v>
          </cell>
          <cell r="AG248">
            <v>126.87044851303949</v>
          </cell>
        </row>
        <row r="249">
          <cell r="A249">
            <v>40425</v>
          </cell>
          <cell r="B249">
            <v>10.642452</v>
          </cell>
          <cell r="C249">
            <v>45.93</v>
          </cell>
          <cell r="D249">
            <v>64.852683999999996</v>
          </cell>
          <cell r="E249">
            <v>33.268124</v>
          </cell>
          <cell r="F249">
            <v>75.05</v>
          </cell>
          <cell r="G249">
            <v>1.4946461</v>
          </cell>
          <cell r="H249">
            <v>20.27</v>
          </cell>
          <cell r="I249">
            <v>17.91</v>
          </cell>
          <cell r="J249">
            <v>32.229999999999997</v>
          </cell>
          <cell r="K249">
            <v>5.6138015000000001</v>
          </cell>
          <cell r="L249">
            <v>1.86</v>
          </cell>
          <cell r="M249">
            <v>13.57</v>
          </cell>
          <cell r="N249">
            <v>11.128822</v>
          </cell>
          <cell r="O249">
            <v>12.403999000000001</v>
          </cell>
          <cell r="Q249">
            <v>76.990846313170806</v>
          </cell>
          <cell r="R249">
            <v>76.06823451473997</v>
          </cell>
          <cell r="S249">
            <v>124.48372392284286</v>
          </cell>
          <cell r="T249">
            <v>121.69335889903697</v>
          </cell>
          <cell r="U249">
            <v>100.28059861036877</v>
          </cell>
          <cell r="V249">
            <v>144.71780801014407</v>
          </cell>
          <cell r="W249">
            <v>103.62985685071575</v>
          </cell>
          <cell r="X249">
            <v>50.408105826062474</v>
          </cell>
          <cell r="Y249">
            <v>123.32121675913524</v>
          </cell>
          <cell r="Z249">
            <v>123.11764686531257</v>
          </cell>
          <cell r="AA249">
            <v>91.17647058823529</v>
          </cell>
          <cell r="AB249">
            <v>73.991275899672843</v>
          </cell>
          <cell r="AC249">
            <v>136.16257648332285</v>
          </cell>
          <cell r="AD249">
            <v>117.57832054275615</v>
          </cell>
          <cell r="AF249">
            <v>100.82326192161982</v>
          </cell>
          <cell r="AG249">
            <v>126.87044851303949</v>
          </cell>
        </row>
        <row r="250">
          <cell r="A250">
            <v>40426</v>
          </cell>
          <cell r="B250">
            <v>10.642452</v>
          </cell>
          <cell r="C250">
            <v>45.93</v>
          </cell>
          <cell r="D250">
            <v>64.852683999999996</v>
          </cell>
          <cell r="E250">
            <v>33.268124</v>
          </cell>
          <cell r="F250">
            <v>75.05</v>
          </cell>
          <cell r="G250">
            <v>1.4946461</v>
          </cell>
          <cell r="H250">
            <v>20.27</v>
          </cell>
          <cell r="I250">
            <v>17.91</v>
          </cell>
          <cell r="J250">
            <v>32.229999999999997</v>
          </cell>
          <cell r="K250">
            <v>5.6138015000000001</v>
          </cell>
          <cell r="L250">
            <v>1.86</v>
          </cell>
          <cell r="M250">
            <v>13.57</v>
          </cell>
          <cell r="N250">
            <v>11.128822</v>
          </cell>
          <cell r="O250">
            <v>12.403999000000001</v>
          </cell>
          <cell r="Q250">
            <v>76.990846313170806</v>
          </cell>
          <cell r="R250">
            <v>76.06823451473997</v>
          </cell>
          <cell r="S250">
            <v>124.48372392284286</v>
          </cell>
          <cell r="T250">
            <v>121.69335889903697</v>
          </cell>
          <cell r="U250">
            <v>100.28059861036877</v>
          </cell>
          <cell r="V250">
            <v>144.71780801014407</v>
          </cell>
          <cell r="W250">
            <v>103.62985685071575</v>
          </cell>
          <cell r="X250">
            <v>50.408105826062474</v>
          </cell>
          <cell r="Y250">
            <v>123.32121675913524</v>
          </cell>
          <cell r="Z250">
            <v>123.11764686531257</v>
          </cell>
          <cell r="AA250">
            <v>91.17647058823529</v>
          </cell>
          <cell r="AB250">
            <v>73.991275899672843</v>
          </cell>
          <cell r="AC250">
            <v>136.16257648332285</v>
          </cell>
          <cell r="AD250">
            <v>117.57832054275615</v>
          </cell>
          <cell r="AF250">
            <v>100.82326192161982</v>
          </cell>
          <cell r="AG250">
            <v>126.87044851303949</v>
          </cell>
        </row>
        <row r="251">
          <cell r="A251">
            <v>40427</v>
          </cell>
          <cell r="B251">
            <v>10.642452</v>
          </cell>
          <cell r="C251">
            <v>45.93</v>
          </cell>
          <cell r="D251">
            <v>64.852683999999996</v>
          </cell>
          <cell r="E251">
            <v>33.268124</v>
          </cell>
          <cell r="F251">
            <v>75.05</v>
          </cell>
          <cell r="G251">
            <v>1.4946461</v>
          </cell>
          <cell r="H251">
            <v>20.27</v>
          </cell>
          <cell r="I251">
            <v>17.91</v>
          </cell>
          <cell r="J251">
            <v>32.229999999999997</v>
          </cell>
          <cell r="K251">
            <v>5.6138015000000001</v>
          </cell>
          <cell r="L251">
            <v>1.86</v>
          </cell>
          <cell r="M251">
            <v>13.57</v>
          </cell>
          <cell r="N251">
            <v>11.128822</v>
          </cell>
          <cell r="O251">
            <v>12.403999000000001</v>
          </cell>
          <cell r="Q251">
            <v>76.990846313170806</v>
          </cell>
          <cell r="R251">
            <v>76.06823451473997</v>
          </cell>
          <cell r="S251">
            <v>124.48372392284286</v>
          </cell>
          <cell r="T251">
            <v>121.69335889903697</v>
          </cell>
          <cell r="U251">
            <v>100.28059861036877</v>
          </cell>
          <cell r="V251">
            <v>144.71780801014407</v>
          </cell>
          <cell r="W251">
            <v>103.62985685071575</v>
          </cell>
          <cell r="X251">
            <v>50.408105826062474</v>
          </cell>
          <cell r="Y251">
            <v>123.32121675913524</v>
          </cell>
          <cell r="Z251">
            <v>123.11764686531257</v>
          </cell>
          <cell r="AA251">
            <v>91.17647058823529</v>
          </cell>
          <cell r="AB251">
            <v>73.991275899672843</v>
          </cell>
          <cell r="AC251">
            <v>136.16257648332285</v>
          </cell>
          <cell r="AD251">
            <v>117.57832054275615</v>
          </cell>
          <cell r="AF251">
            <v>100.82326192161982</v>
          </cell>
          <cell r="AG251">
            <v>126.87044851303949</v>
          </cell>
        </row>
        <row r="252">
          <cell r="A252">
            <v>40428</v>
          </cell>
          <cell r="B252">
            <v>10.570930000000001</v>
          </cell>
          <cell r="C252">
            <v>45.54</v>
          </cell>
          <cell r="D252">
            <v>65.209599999999995</v>
          </cell>
          <cell r="E252">
            <v>33.787170000000003</v>
          </cell>
          <cell r="F252">
            <v>74.599999999999994</v>
          </cell>
          <cell r="G252">
            <v>1.54234</v>
          </cell>
          <cell r="H252">
            <v>19.600000000000001</v>
          </cell>
          <cell r="I252">
            <v>17.77</v>
          </cell>
          <cell r="J252">
            <v>32.049999999999997</v>
          </cell>
          <cell r="K252">
            <v>5.6280837000000004</v>
          </cell>
          <cell r="L252">
            <v>1.83</v>
          </cell>
          <cell r="M252">
            <v>13.26</v>
          </cell>
          <cell r="N252">
            <v>11.1178665</v>
          </cell>
          <cell r="O252">
            <v>12.681316000000001</v>
          </cell>
          <cell r="Q252">
            <v>76.473433661461357</v>
          </cell>
          <cell r="R252">
            <v>75.42232527326928</v>
          </cell>
          <cell r="S252">
            <v>125.16881866476047</v>
          </cell>
          <cell r="T252">
            <v>123.59200672069079</v>
          </cell>
          <cell r="U252">
            <v>99.679315873864226</v>
          </cell>
          <cell r="V252">
            <v>149.33572837500839</v>
          </cell>
          <cell r="W252">
            <v>100.20449897750512</v>
          </cell>
          <cell r="X252">
            <v>50.014072614691806</v>
          </cell>
          <cell r="Y252">
            <v>122.63248517313944</v>
          </cell>
          <cell r="Z252">
            <v>123.43087326921369</v>
          </cell>
          <cell r="AA252">
            <v>89.705882352941174</v>
          </cell>
          <cell r="AB252">
            <v>72.30098146128681</v>
          </cell>
          <cell r="AC252">
            <v>136.0285345239256</v>
          </cell>
          <cell r="AD252">
            <v>120.20702658489269</v>
          </cell>
          <cell r="AF252">
            <v>100.66336853481938</v>
          </cell>
          <cell r="AG252">
            <v>128.11778055440914</v>
          </cell>
        </row>
        <row r="253">
          <cell r="A253">
            <v>40429</v>
          </cell>
          <cell r="B253">
            <v>10.114336</v>
          </cell>
          <cell r="C253">
            <v>45.45</v>
          </cell>
          <cell r="D253">
            <v>64.827510000000004</v>
          </cell>
          <cell r="E253">
            <v>33.796104</v>
          </cell>
          <cell r="F253">
            <v>74.31</v>
          </cell>
          <cell r="G253">
            <v>1.5570870000000001</v>
          </cell>
          <cell r="H253">
            <v>19.61</v>
          </cell>
          <cell r="I253">
            <v>17.95</v>
          </cell>
          <cell r="J253">
            <v>31.69</v>
          </cell>
          <cell r="K253">
            <v>5.6496972999999997</v>
          </cell>
          <cell r="L253">
            <v>1.9</v>
          </cell>
          <cell r="M253">
            <v>13.6</v>
          </cell>
          <cell r="N253">
            <v>11.485782</v>
          </cell>
          <cell r="O253">
            <v>12.681369999999999</v>
          </cell>
          <cell r="Q253">
            <v>73.170289002550419</v>
          </cell>
          <cell r="R253">
            <v>75.273269294468363</v>
          </cell>
          <cell r="S253">
            <v>124.43540281918533</v>
          </cell>
          <cell r="T253">
            <v>123.62468690633648</v>
          </cell>
          <cell r="U253">
            <v>99.291822554783536</v>
          </cell>
          <cell r="V253">
            <v>150.7635938173533</v>
          </cell>
          <cell r="W253">
            <v>100.25562372188139</v>
          </cell>
          <cell r="X253">
            <v>50.520686743596954</v>
          </cell>
          <cell r="Y253">
            <v>121.25502200114788</v>
          </cell>
          <cell r="Z253">
            <v>123.90488639067658</v>
          </cell>
          <cell r="AA253">
            <v>93.137254901960773</v>
          </cell>
          <cell r="AB253">
            <v>74.154852780806976</v>
          </cell>
          <cell r="AC253">
            <v>140.53002824969013</v>
          </cell>
          <cell r="AD253">
            <v>120.20753845443646</v>
          </cell>
          <cell r="AF253">
            <v>100.81561591122899</v>
          </cell>
          <cell r="AG253">
            <v>130.3687833520633</v>
          </cell>
        </row>
        <row r="254">
          <cell r="A254">
            <v>40430</v>
          </cell>
          <cell r="B254">
            <v>10.462104999999999</v>
          </cell>
          <cell r="C254">
            <v>46.61</v>
          </cell>
          <cell r="D254">
            <v>64.466064000000003</v>
          </cell>
          <cell r="E254">
            <v>34.226703999999998</v>
          </cell>
          <cell r="F254">
            <v>75.790000000000006</v>
          </cell>
          <cell r="G254">
            <v>1.6032214</v>
          </cell>
          <cell r="H254">
            <v>19.739999999999998</v>
          </cell>
          <cell r="I254">
            <v>18.18</v>
          </cell>
          <cell r="J254">
            <v>32.369999999999997</v>
          </cell>
          <cell r="K254">
            <v>5.6939773999999996</v>
          </cell>
          <cell r="L254">
            <v>2.14</v>
          </cell>
          <cell r="M254">
            <v>13.1</v>
          </cell>
          <cell r="N254">
            <v>11.701509</v>
          </cell>
          <cell r="O254">
            <v>12.659697</v>
          </cell>
          <cell r="Q254">
            <v>75.686159370721697</v>
          </cell>
          <cell r="R254">
            <v>77.194435243458088</v>
          </cell>
          <cell r="S254">
            <v>123.74161281232891</v>
          </cell>
          <cell r="T254">
            <v>125.19980308487197</v>
          </cell>
          <cell r="U254">
            <v>101.26937466595405</v>
          </cell>
          <cell r="V254">
            <v>155.230516951775</v>
          </cell>
          <cell r="W254">
            <v>100.92024539877301</v>
          </cell>
          <cell r="X254">
            <v>51.168027019420201</v>
          </cell>
          <cell r="Y254">
            <v>123.85689688157642</v>
          </cell>
          <cell r="Z254">
            <v>124.87600403973502</v>
          </cell>
          <cell r="AA254">
            <v>104.90196078431373</v>
          </cell>
          <cell r="AB254">
            <v>71.428571428571431</v>
          </cell>
          <cell r="AC254">
            <v>143.16947599510448</v>
          </cell>
          <cell r="AD254">
            <v>120.00209866512954</v>
          </cell>
          <cell r="AF254">
            <v>102.95613397345829</v>
          </cell>
          <cell r="AG254">
            <v>131.585787330117</v>
          </cell>
        </row>
        <row r="255">
          <cell r="A255">
            <v>40431</v>
          </cell>
          <cell r="B255">
            <v>10.182235</v>
          </cell>
          <cell r="C255">
            <v>47.74</v>
          </cell>
          <cell r="D255">
            <v>65.756675999999999</v>
          </cell>
          <cell r="E255">
            <v>33.946587000000001</v>
          </cell>
          <cell r="F255">
            <v>76.650000000000006</v>
          </cell>
          <cell r="G255">
            <v>1.6041783999999999</v>
          </cell>
          <cell r="H255">
            <v>19.64</v>
          </cell>
          <cell r="I255">
            <v>18</v>
          </cell>
          <cell r="J255">
            <v>32.31</v>
          </cell>
          <cell r="K255">
            <v>5.6887100000000004</v>
          </cell>
          <cell r="L255">
            <v>2.39</v>
          </cell>
          <cell r="M255">
            <v>13.2</v>
          </cell>
          <cell r="N255">
            <v>11.820193</v>
          </cell>
          <cell r="O255">
            <v>12.687785</v>
          </cell>
          <cell r="Q255">
            <v>73.661491732317771</v>
          </cell>
          <cell r="R255">
            <v>79.065915866180859</v>
          </cell>
          <cell r="S255">
            <v>126.21892258565315</v>
          </cell>
          <cell r="T255">
            <v>124.17514721264062</v>
          </cell>
          <cell r="U255">
            <v>102.41849278460717</v>
          </cell>
          <cell r="V255">
            <v>155.32317764400557</v>
          </cell>
          <cell r="W255">
            <v>100.40899795501024</v>
          </cell>
          <cell r="X255">
            <v>50.661412890515059</v>
          </cell>
          <cell r="Y255">
            <v>123.62731968624449</v>
          </cell>
          <cell r="Z255">
            <v>124.76048340846613</v>
          </cell>
          <cell r="AA255">
            <v>117.15686274509804</v>
          </cell>
          <cell r="AB255">
            <v>71.973827699018528</v>
          </cell>
          <cell r="AC255">
            <v>144.62159008474907</v>
          </cell>
          <cell r="AD255">
            <v>120.26834666042565</v>
          </cell>
          <cell r="AF255">
            <v>104.12100435081315</v>
          </cell>
          <cell r="AG255">
            <v>132.44496837258737</v>
          </cell>
        </row>
        <row r="256">
          <cell r="A256">
            <v>40432</v>
          </cell>
          <cell r="B256">
            <v>10.182235</v>
          </cell>
          <cell r="C256">
            <v>47.74</v>
          </cell>
          <cell r="D256">
            <v>65.756675999999999</v>
          </cell>
          <cell r="E256">
            <v>33.946587000000001</v>
          </cell>
          <cell r="F256">
            <v>76.650000000000006</v>
          </cell>
          <cell r="G256">
            <v>1.6041783999999999</v>
          </cell>
          <cell r="H256">
            <v>19.64</v>
          </cell>
          <cell r="I256">
            <v>18</v>
          </cell>
          <cell r="J256">
            <v>32.31</v>
          </cell>
          <cell r="K256">
            <v>5.6887100000000004</v>
          </cell>
          <cell r="L256">
            <v>2.39</v>
          </cell>
          <cell r="M256">
            <v>13.2</v>
          </cell>
          <cell r="N256">
            <v>11.820193</v>
          </cell>
          <cell r="O256">
            <v>12.687785</v>
          </cell>
          <cell r="Q256">
            <v>73.661491732317771</v>
          </cell>
          <cell r="R256">
            <v>79.065915866180859</v>
          </cell>
          <cell r="S256">
            <v>126.21892258565315</v>
          </cell>
          <cell r="T256">
            <v>124.17514721264062</v>
          </cell>
          <cell r="U256">
            <v>102.41849278460717</v>
          </cell>
          <cell r="V256">
            <v>155.32317764400557</v>
          </cell>
          <cell r="W256">
            <v>100.40899795501024</v>
          </cell>
          <cell r="X256">
            <v>50.661412890515059</v>
          </cell>
          <cell r="Y256">
            <v>123.62731968624449</v>
          </cell>
          <cell r="Z256">
            <v>124.76048340846613</v>
          </cell>
          <cell r="AA256">
            <v>117.15686274509804</v>
          </cell>
          <cell r="AB256">
            <v>71.973827699018528</v>
          </cell>
          <cell r="AC256">
            <v>144.62159008474907</v>
          </cell>
          <cell r="AD256">
            <v>120.26834666042565</v>
          </cell>
          <cell r="AF256">
            <v>104.12100435081315</v>
          </cell>
          <cell r="AG256">
            <v>132.44496837258737</v>
          </cell>
        </row>
        <row r="257">
          <cell r="A257">
            <v>40433</v>
          </cell>
          <cell r="B257">
            <v>10.182235</v>
          </cell>
          <cell r="C257">
            <v>47.74</v>
          </cell>
          <cell r="D257">
            <v>65.756675999999999</v>
          </cell>
          <cell r="E257">
            <v>33.946587000000001</v>
          </cell>
          <cell r="F257">
            <v>76.650000000000006</v>
          </cell>
          <cell r="G257">
            <v>1.6041783999999999</v>
          </cell>
          <cell r="H257">
            <v>19.64</v>
          </cell>
          <cell r="I257">
            <v>18</v>
          </cell>
          <cell r="J257">
            <v>32.31</v>
          </cell>
          <cell r="K257">
            <v>5.6887100000000004</v>
          </cell>
          <cell r="L257">
            <v>2.39</v>
          </cell>
          <cell r="M257">
            <v>13.2</v>
          </cell>
          <cell r="N257">
            <v>11.820193</v>
          </cell>
          <cell r="O257">
            <v>12.687785</v>
          </cell>
          <cell r="Q257">
            <v>73.661491732317771</v>
          </cell>
          <cell r="R257">
            <v>79.065915866180859</v>
          </cell>
          <cell r="S257">
            <v>126.21892258565315</v>
          </cell>
          <cell r="T257">
            <v>124.17514721264062</v>
          </cell>
          <cell r="U257">
            <v>102.41849278460717</v>
          </cell>
          <cell r="V257">
            <v>155.32317764400557</v>
          </cell>
          <cell r="W257">
            <v>100.40899795501024</v>
          </cell>
          <cell r="X257">
            <v>50.661412890515059</v>
          </cell>
          <cell r="Y257">
            <v>123.62731968624449</v>
          </cell>
          <cell r="Z257">
            <v>124.76048340846613</v>
          </cell>
          <cell r="AA257">
            <v>117.15686274509804</v>
          </cell>
          <cell r="AB257">
            <v>71.973827699018528</v>
          </cell>
          <cell r="AC257">
            <v>144.62159008474907</v>
          </cell>
          <cell r="AD257">
            <v>120.26834666042565</v>
          </cell>
          <cell r="AF257">
            <v>104.12100435081315</v>
          </cell>
          <cell r="AG257">
            <v>132.44496837258737</v>
          </cell>
        </row>
        <row r="258">
          <cell r="A258">
            <v>40434</v>
          </cell>
          <cell r="B258">
            <v>10.390155999999999</v>
          </cell>
          <cell r="C258">
            <v>47.02</v>
          </cell>
          <cell r="D258">
            <v>65.759636</v>
          </cell>
          <cell r="E258">
            <v>34.073276999999997</v>
          </cell>
          <cell r="F258">
            <v>73.05</v>
          </cell>
          <cell r="G258">
            <v>1.5940728</v>
          </cell>
          <cell r="H258">
            <v>19.72</v>
          </cell>
          <cell r="I258">
            <v>18.170000000000002</v>
          </cell>
          <cell r="J258">
            <v>33.06</v>
          </cell>
          <cell r="K258">
            <v>5.7473473999999998</v>
          </cell>
          <cell r="L258">
            <v>2.58</v>
          </cell>
          <cell r="M258">
            <v>13.26</v>
          </cell>
          <cell r="N258">
            <v>11.940299</v>
          </cell>
          <cell r="O258">
            <v>12.721549</v>
          </cell>
          <cell r="Q258">
            <v>75.165657666660792</v>
          </cell>
          <cell r="R258">
            <v>77.873468035773442</v>
          </cell>
          <cell r="S258">
            <v>126.22460425987363</v>
          </cell>
          <cell r="T258">
            <v>124.63857375388227</v>
          </cell>
          <cell r="U258">
            <v>97.608230892570816</v>
          </cell>
          <cell r="V258">
            <v>154.34471171777238</v>
          </cell>
          <cell r="W258">
            <v>100.81799591002046</v>
          </cell>
          <cell r="X258">
            <v>51.13988179003659</v>
          </cell>
          <cell r="Y258">
            <v>126.49703462789364</v>
          </cell>
          <cell r="Z258">
            <v>126.04647449780192</v>
          </cell>
          <cell r="AA258">
            <v>126.47058823529412</v>
          </cell>
          <cell r="AB258">
            <v>72.30098146128681</v>
          </cell>
          <cell r="AC258">
            <v>146.09110252830382</v>
          </cell>
          <cell r="AD258">
            <v>120.58839783221353</v>
          </cell>
          <cell r="AF258">
            <v>104.92735023740558</v>
          </cell>
          <cell r="AG258">
            <v>133.33975018025868</v>
          </cell>
        </row>
        <row r="259">
          <cell r="A259">
            <v>40435</v>
          </cell>
          <cell r="B259">
            <v>10.319553000000001</v>
          </cell>
          <cell r="C259">
            <v>47.48</v>
          </cell>
          <cell r="D259">
            <v>68.396649999999994</v>
          </cell>
          <cell r="E259">
            <v>35.137577</v>
          </cell>
          <cell r="F259">
            <v>74.819999999999993</v>
          </cell>
          <cell r="G259">
            <v>1.6058231999999999</v>
          </cell>
          <cell r="H259">
            <v>20</v>
          </cell>
          <cell r="I259">
            <v>17.329999999999998</v>
          </cell>
          <cell r="J259">
            <v>33.1</v>
          </cell>
          <cell r="K259">
            <v>5.7988749999999998</v>
          </cell>
          <cell r="L259">
            <v>2.52</v>
          </cell>
          <cell r="M259">
            <v>13.3</v>
          </cell>
          <cell r="N259">
            <v>11.89395</v>
          </cell>
          <cell r="O259">
            <v>12.778672</v>
          </cell>
          <cell r="Q259">
            <v>74.654893350105851</v>
          </cell>
          <cell r="R259">
            <v>78.635309705200385</v>
          </cell>
          <cell r="S259">
            <v>131.28631184867089</v>
          </cell>
          <cell r="T259">
            <v>128.53173712781481</v>
          </cell>
          <cell r="U259">
            <v>99.973276322822002</v>
          </cell>
          <cell r="V259">
            <v>155.48243397272114</v>
          </cell>
          <cell r="W259">
            <v>102.24948875255623</v>
          </cell>
          <cell r="X259">
            <v>48.775682521812548</v>
          </cell>
          <cell r="Y259">
            <v>126.65008609144826</v>
          </cell>
          <cell r="Z259">
            <v>127.17653883310433</v>
          </cell>
          <cell r="AA259">
            <v>123.52941176470588</v>
          </cell>
          <cell r="AB259">
            <v>72.519083969465655</v>
          </cell>
          <cell r="AC259">
            <v>145.52401651889281</v>
          </cell>
          <cell r="AD259">
            <v>121.12987049795333</v>
          </cell>
          <cell r="AF259">
            <v>105.78868785503566</v>
          </cell>
          <cell r="AG259">
            <v>133.32694350842308</v>
          </cell>
        </row>
        <row r="260">
          <cell r="A260">
            <v>40436</v>
          </cell>
          <cell r="B260">
            <v>10.399706999999999</v>
          </cell>
          <cell r="C260">
            <v>48.43</v>
          </cell>
          <cell r="D260">
            <v>67.141525000000001</v>
          </cell>
          <cell r="E260">
            <v>33.734237999999998</v>
          </cell>
          <cell r="F260">
            <v>75.45</v>
          </cell>
          <cell r="G260">
            <v>1.6376280999999999</v>
          </cell>
          <cell r="H260">
            <v>20.41</v>
          </cell>
          <cell r="I260">
            <v>16.88</v>
          </cell>
          <cell r="J260">
            <v>33.43</v>
          </cell>
          <cell r="K260">
            <v>5.8257184000000004</v>
          </cell>
          <cell r="L260">
            <v>2.46</v>
          </cell>
          <cell r="M260">
            <v>13.42</v>
          </cell>
          <cell r="N260">
            <v>11.977097499999999</v>
          </cell>
          <cell r="O260">
            <v>12.824259</v>
          </cell>
          <cell r="Q260">
            <v>75.234752605791087</v>
          </cell>
          <cell r="R260">
            <v>80.208678370321294</v>
          </cell>
          <cell r="S260">
            <v>128.8771188230028</v>
          </cell>
          <cell r="T260">
            <v>123.39838375375571</v>
          </cell>
          <cell r="U260">
            <v>100.81507215392837</v>
          </cell>
          <cell r="V260">
            <v>158.56191573899468</v>
          </cell>
          <cell r="W260">
            <v>104.34560327198366</v>
          </cell>
          <cell r="X260">
            <v>47.509147199549673</v>
          </cell>
          <cell r="Y260">
            <v>127.91276066577386</v>
          </cell>
          <cell r="Z260">
            <v>127.76524797108586</v>
          </cell>
          <cell r="AA260">
            <v>120.58823529411764</v>
          </cell>
          <cell r="AB260">
            <v>73.173391494002189</v>
          </cell>
          <cell r="AC260">
            <v>146.54133693502914</v>
          </cell>
          <cell r="AD260">
            <v>121.56199266263448</v>
          </cell>
          <cell r="AF260">
            <v>105.69919227852556</v>
          </cell>
          <cell r="AG260">
            <v>134.05166479883181</v>
          </cell>
        </row>
        <row r="261">
          <cell r="A261">
            <v>40437</v>
          </cell>
          <cell r="B261">
            <v>10.092879999999999</v>
          </cell>
          <cell r="C261">
            <v>47.8</v>
          </cell>
          <cell r="D261">
            <v>66.651110000000003</v>
          </cell>
          <cell r="E261">
            <v>33.652389999999997</v>
          </cell>
          <cell r="F261">
            <v>74.52</v>
          </cell>
          <cell r="G261">
            <v>1.6982756000000001</v>
          </cell>
          <cell r="H261">
            <v>20.34</v>
          </cell>
          <cell r="I261">
            <v>16.64</v>
          </cell>
          <cell r="J261">
            <v>33.270000000000003</v>
          </cell>
          <cell r="K261">
            <v>5.8343596</v>
          </cell>
          <cell r="L261">
            <v>2.4900000000000002</v>
          </cell>
          <cell r="M261">
            <v>13.29</v>
          </cell>
          <cell r="N261">
            <v>12.054859</v>
          </cell>
          <cell r="O261">
            <v>12.811927000000001</v>
          </cell>
          <cell r="Q261">
            <v>73.015069547626368</v>
          </cell>
          <cell r="R261">
            <v>79.165286518714794</v>
          </cell>
          <cell r="S261">
            <v>127.935774815288</v>
          </cell>
          <cell r="T261">
            <v>123.09898730930431</v>
          </cell>
          <cell r="U261">
            <v>99.572421165152321</v>
          </cell>
          <cell r="V261">
            <v>164.43405715179819</v>
          </cell>
          <cell r="W261">
            <v>103.98773006134969</v>
          </cell>
          <cell r="X261">
            <v>46.833661694342808</v>
          </cell>
          <cell r="Y261">
            <v>127.3005548115554</v>
          </cell>
          <cell r="Z261">
            <v>127.95476023119916</v>
          </cell>
          <cell r="AA261">
            <v>122.05882352941177</v>
          </cell>
          <cell r="AB261">
            <v>72.464558342420943</v>
          </cell>
          <cell r="AC261">
            <v>147.49275894458307</v>
          </cell>
          <cell r="AD261">
            <v>121.4450968253377</v>
          </cell>
          <cell r="AF261">
            <v>105.65180709818031</v>
          </cell>
          <cell r="AG261">
            <v>134.46892788496038</v>
          </cell>
        </row>
        <row r="262">
          <cell r="A262">
            <v>40438</v>
          </cell>
          <cell r="B262">
            <v>10.336213000000001</v>
          </cell>
          <cell r="C262">
            <v>48.27</v>
          </cell>
          <cell r="D262">
            <v>67.206339999999997</v>
          </cell>
          <cell r="E262">
            <v>32.96255</v>
          </cell>
          <cell r="F262">
            <v>74.959999999999994</v>
          </cell>
          <cell r="G262">
            <v>1.6913636000000001</v>
          </cell>
          <cell r="H262">
            <v>20.21</v>
          </cell>
          <cell r="I262">
            <v>16.190000000000001</v>
          </cell>
          <cell r="J262">
            <v>33.06</v>
          </cell>
          <cell r="K262">
            <v>5.838133</v>
          </cell>
          <cell r="L262">
            <v>2.4900000000000002</v>
          </cell>
          <cell r="M262">
            <v>12.72</v>
          </cell>
          <cell r="N262">
            <v>12.215164</v>
          </cell>
          <cell r="O262">
            <v>13.054375</v>
          </cell>
          <cell r="Q262">
            <v>74.77541703201463</v>
          </cell>
          <cell r="R262">
            <v>79.943689963564097</v>
          </cell>
          <cell r="S262">
            <v>129.00153021307042</v>
          </cell>
          <cell r="T262">
            <v>120.57558242170346</v>
          </cell>
          <cell r="U262">
            <v>100.16034206306787</v>
          </cell>
          <cell r="V262">
            <v>163.76480876653417</v>
          </cell>
          <cell r="W262">
            <v>103.32310838445808</v>
          </cell>
          <cell r="X262">
            <v>45.567126372079933</v>
          </cell>
          <cell r="Y262">
            <v>126.49703462789364</v>
          </cell>
          <cell r="Z262">
            <v>128.0375155848898</v>
          </cell>
          <cell r="AA262">
            <v>122.05882352941177</v>
          </cell>
          <cell r="AB262">
            <v>69.356597600872419</v>
          </cell>
          <cell r="AC262">
            <v>149.45411135215673</v>
          </cell>
          <cell r="AD262">
            <v>123.74327732816992</v>
          </cell>
          <cell r="AF262">
            <v>105.25513137996336</v>
          </cell>
          <cell r="AG262">
            <v>136.59869434016332</v>
          </cell>
        </row>
        <row r="263">
          <cell r="A263">
            <v>40439</v>
          </cell>
          <cell r="B263">
            <v>10.336213000000001</v>
          </cell>
          <cell r="C263">
            <v>48.27</v>
          </cell>
          <cell r="D263">
            <v>67.206339999999997</v>
          </cell>
          <cell r="E263">
            <v>32.96255</v>
          </cell>
          <cell r="F263">
            <v>74.959999999999994</v>
          </cell>
          <cell r="G263">
            <v>1.6913636000000001</v>
          </cell>
          <cell r="H263">
            <v>20.21</v>
          </cell>
          <cell r="I263">
            <v>16.190000000000001</v>
          </cell>
          <cell r="J263">
            <v>33.06</v>
          </cell>
          <cell r="K263">
            <v>5.838133</v>
          </cell>
          <cell r="L263">
            <v>2.4900000000000002</v>
          </cell>
          <cell r="M263">
            <v>12.72</v>
          </cell>
          <cell r="N263">
            <v>12.215164</v>
          </cell>
          <cell r="O263">
            <v>13.054375</v>
          </cell>
          <cell r="Q263">
            <v>74.77541703201463</v>
          </cell>
          <cell r="R263">
            <v>79.943689963564097</v>
          </cell>
          <cell r="S263">
            <v>129.00153021307042</v>
          </cell>
          <cell r="T263">
            <v>120.57558242170346</v>
          </cell>
          <cell r="U263">
            <v>100.16034206306787</v>
          </cell>
          <cell r="V263">
            <v>163.76480876653417</v>
          </cell>
          <cell r="W263">
            <v>103.32310838445808</v>
          </cell>
          <cell r="X263">
            <v>45.567126372079933</v>
          </cell>
          <cell r="Y263">
            <v>126.49703462789364</v>
          </cell>
          <cell r="Z263">
            <v>128.0375155848898</v>
          </cell>
          <cell r="AA263">
            <v>122.05882352941177</v>
          </cell>
          <cell r="AB263">
            <v>69.356597600872419</v>
          </cell>
          <cell r="AC263">
            <v>149.45411135215673</v>
          </cell>
          <cell r="AD263">
            <v>123.74327732816992</v>
          </cell>
          <cell r="AF263">
            <v>105.25513137996336</v>
          </cell>
          <cell r="AG263">
            <v>136.59869434016332</v>
          </cell>
        </row>
        <row r="264">
          <cell r="A264">
            <v>40440</v>
          </cell>
          <cell r="B264">
            <v>10.336213000000001</v>
          </cell>
          <cell r="C264">
            <v>48.27</v>
          </cell>
          <cell r="D264">
            <v>67.206339999999997</v>
          </cell>
          <cell r="E264">
            <v>32.96255</v>
          </cell>
          <cell r="F264">
            <v>74.959999999999994</v>
          </cell>
          <cell r="G264">
            <v>1.6913636000000001</v>
          </cell>
          <cell r="H264">
            <v>20.21</v>
          </cell>
          <cell r="I264">
            <v>16.190000000000001</v>
          </cell>
          <cell r="J264">
            <v>33.06</v>
          </cell>
          <cell r="K264">
            <v>5.838133</v>
          </cell>
          <cell r="L264">
            <v>2.4900000000000002</v>
          </cell>
          <cell r="M264">
            <v>12.72</v>
          </cell>
          <cell r="N264">
            <v>12.215164</v>
          </cell>
          <cell r="O264">
            <v>13.054375</v>
          </cell>
          <cell r="Q264">
            <v>74.77541703201463</v>
          </cell>
          <cell r="R264">
            <v>79.943689963564097</v>
          </cell>
          <cell r="S264">
            <v>129.00153021307042</v>
          </cell>
          <cell r="T264">
            <v>120.57558242170346</v>
          </cell>
          <cell r="U264">
            <v>100.16034206306787</v>
          </cell>
          <cell r="V264">
            <v>163.76480876653417</v>
          </cell>
          <cell r="W264">
            <v>103.32310838445808</v>
          </cell>
          <cell r="X264">
            <v>45.567126372079933</v>
          </cell>
          <cell r="Y264">
            <v>126.49703462789364</v>
          </cell>
          <cell r="Z264">
            <v>128.0375155848898</v>
          </cell>
          <cell r="AA264">
            <v>122.05882352941177</v>
          </cell>
          <cell r="AB264">
            <v>69.356597600872419</v>
          </cell>
          <cell r="AC264">
            <v>149.45411135215673</v>
          </cell>
          <cell r="AD264">
            <v>123.74327732816992</v>
          </cell>
          <cell r="AF264">
            <v>105.25513137996336</v>
          </cell>
          <cell r="AG264">
            <v>136.59869434016332</v>
          </cell>
        </row>
        <row r="265">
          <cell r="A265">
            <v>40441</v>
          </cell>
          <cell r="B265">
            <v>10.434049999999999</v>
          </cell>
          <cell r="C265">
            <v>49.71</v>
          </cell>
          <cell r="D265">
            <v>67.288634999999999</v>
          </cell>
          <cell r="E265">
            <v>33.002920000000003</v>
          </cell>
          <cell r="F265">
            <v>76.510000000000005</v>
          </cell>
          <cell r="G265">
            <v>1.6867832</v>
          </cell>
          <cell r="H265">
            <v>20.47</v>
          </cell>
          <cell r="I265">
            <v>16.39</v>
          </cell>
          <cell r="J265">
            <v>33.159999999999997</v>
          </cell>
          <cell r="K265">
            <v>5.8999804999999999</v>
          </cell>
          <cell r="L265">
            <v>2.4700000000000002</v>
          </cell>
          <cell r="M265">
            <v>13.2</v>
          </cell>
          <cell r="N265">
            <v>12.152799</v>
          </cell>
          <cell r="O265">
            <v>13.212600999999999</v>
          </cell>
          <cell r="Q265">
            <v>75.483200673485754</v>
          </cell>
          <cell r="R265">
            <v>82.328585624378931</v>
          </cell>
          <cell r="S265">
            <v>129.1594941927915</v>
          </cell>
          <cell r="T265">
            <v>120.72325413588712</v>
          </cell>
          <cell r="U265">
            <v>102.2314270443613</v>
          </cell>
          <cell r="V265">
            <v>163.32131552234102</v>
          </cell>
          <cell r="W265">
            <v>104.65235173824129</v>
          </cell>
          <cell r="X265">
            <v>46.130030959752318</v>
          </cell>
          <cell r="Y265">
            <v>126.87966328678016</v>
          </cell>
          <cell r="Z265">
            <v>129.39390815853218</v>
          </cell>
          <cell r="AA265">
            <v>121.07843137254903</v>
          </cell>
          <cell r="AB265">
            <v>71.973827699018528</v>
          </cell>
          <cell r="AC265">
            <v>148.69106751136368</v>
          </cell>
          <cell r="AD265">
            <v>125.24311196587006</v>
          </cell>
          <cell r="AF265">
            <v>106.11295753400992</v>
          </cell>
          <cell r="AG265">
            <v>136.96708973861686</v>
          </cell>
        </row>
        <row r="266">
          <cell r="A266">
            <v>40442</v>
          </cell>
          <cell r="B266">
            <v>10.309343999999999</v>
          </cell>
          <cell r="C266">
            <v>49.06</v>
          </cell>
          <cell r="D266">
            <v>68.088589999999996</v>
          </cell>
          <cell r="E266">
            <v>33.821632000000001</v>
          </cell>
          <cell r="F266">
            <v>76.38</v>
          </cell>
          <cell r="G266">
            <v>1.6818078999999999</v>
          </cell>
          <cell r="H266">
            <v>20.7</v>
          </cell>
          <cell r="I266">
            <v>14.65</v>
          </cell>
          <cell r="J266">
            <v>32.42</v>
          </cell>
          <cell r="K266">
            <v>5.8937606999999996</v>
          </cell>
          <cell r="L266">
            <v>2.4700000000000002</v>
          </cell>
          <cell r="M266">
            <v>12.81</v>
          </cell>
          <cell r="N266">
            <v>11.676975000000001</v>
          </cell>
          <cell r="O266">
            <v>12.746401000000001</v>
          </cell>
          <cell r="Q266">
            <v>74.581038231942173</v>
          </cell>
          <cell r="R266">
            <v>81.252070221927781</v>
          </cell>
          <cell r="S266">
            <v>130.69499544314368</v>
          </cell>
          <cell r="T266">
            <v>123.71806722636821</v>
          </cell>
          <cell r="U266">
            <v>102.05772314270443</v>
          </cell>
          <cell r="V266">
            <v>162.83958642928488</v>
          </cell>
          <cell r="W266">
            <v>105.82822085889572</v>
          </cell>
          <cell r="X266">
            <v>41.232761047002533</v>
          </cell>
          <cell r="Y266">
            <v>124.04821121101971</v>
          </cell>
          <cell r="Z266">
            <v>129.25750021108823</v>
          </cell>
          <cell r="AA266">
            <v>121.07843137254903</v>
          </cell>
          <cell r="AB266">
            <v>69.847328244274806</v>
          </cell>
          <cell r="AC266">
            <v>142.86929933207207</v>
          </cell>
          <cell r="AD266">
            <v>120.82397157114471</v>
          </cell>
          <cell r="AF266">
            <v>105.5363278033501</v>
          </cell>
          <cell r="AG266">
            <v>131.84663545160839</v>
          </cell>
        </row>
        <row r="267">
          <cell r="A267">
            <v>40443</v>
          </cell>
          <cell r="B267">
            <v>10.275494999999999</v>
          </cell>
          <cell r="C267">
            <v>48.93</v>
          </cell>
          <cell r="D267">
            <v>68.536934000000002</v>
          </cell>
          <cell r="E267">
            <v>34.552554999999998</v>
          </cell>
          <cell r="F267">
            <v>76.25</v>
          </cell>
          <cell r="G267">
            <v>1.6970246</v>
          </cell>
          <cell r="H267">
            <v>20.83</v>
          </cell>
          <cell r="I267">
            <v>13.99</v>
          </cell>
          <cell r="J267">
            <v>32.61</v>
          </cell>
          <cell r="K267">
            <v>5.9605519999999999</v>
          </cell>
          <cell r="L267">
            <v>2.4</v>
          </cell>
          <cell r="M267">
            <v>12.41</v>
          </cell>
          <cell r="N267">
            <v>11.460152000000001</v>
          </cell>
          <cell r="O267">
            <v>12.681791</v>
          </cell>
          <cell r="Q267">
            <v>74.336163915679862</v>
          </cell>
          <cell r="R267">
            <v>81.036767141437565</v>
          </cell>
          <cell r="S267">
            <v>131.55558481703088</v>
          </cell>
          <cell r="T267">
            <v>126.39175195131872</v>
          </cell>
          <cell r="U267">
            <v>101.88401924104757</v>
          </cell>
          <cell r="V267">
            <v>164.31293016540275</v>
          </cell>
          <cell r="W267">
            <v>106.49284253578732</v>
          </cell>
          <cell r="X267">
            <v>39.375175907683648</v>
          </cell>
          <cell r="Y267">
            <v>124.77520566290414</v>
          </cell>
          <cell r="Z267">
            <v>130.72231646564853</v>
          </cell>
          <cell r="AA267">
            <v>117.64705882352942</v>
          </cell>
          <cell r="AB267">
            <v>67.666303162486372</v>
          </cell>
          <cell r="AC267">
            <v>140.21644188490976</v>
          </cell>
          <cell r="AD267">
            <v>120.2115291410649</v>
          </cell>
          <cell r="AF267">
            <v>105.51634331582973</v>
          </cell>
          <cell r="AG267">
            <v>130.21398551298734</v>
          </cell>
        </row>
        <row r="268">
          <cell r="A268">
            <v>40444</v>
          </cell>
          <cell r="B268">
            <v>10.422756</v>
          </cell>
          <cell r="C268">
            <v>48.78</v>
          </cell>
          <cell r="D268">
            <v>68.687349999999995</v>
          </cell>
          <cell r="E268">
            <v>34.628390000000003</v>
          </cell>
          <cell r="F268">
            <v>75.900000000000006</v>
          </cell>
          <cell r="G268">
            <v>1.6512102</v>
          </cell>
          <cell r="H268">
            <v>20.5</v>
          </cell>
          <cell r="I268">
            <v>13.66</v>
          </cell>
          <cell r="J268">
            <v>32.35</v>
          </cell>
          <cell r="K268">
            <v>5.9300249999999997</v>
          </cell>
          <cell r="L268">
            <v>2.37</v>
          </cell>
          <cell r="M268">
            <v>12.26</v>
          </cell>
          <cell r="N268">
            <v>11.446168</v>
          </cell>
          <cell r="O268">
            <v>12.648887999999999</v>
          </cell>
          <cell r="Q268">
            <v>75.40149632393728</v>
          </cell>
          <cell r="R268">
            <v>80.788340510102685</v>
          </cell>
          <cell r="S268">
            <v>131.8443060026888</v>
          </cell>
          <cell r="T268">
            <v>126.66915310180468</v>
          </cell>
          <cell r="U268">
            <v>101.41635489043293</v>
          </cell>
          <cell r="V268">
            <v>159.87699075252101</v>
          </cell>
          <cell r="W268">
            <v>104.80572597137015</v>
          </cell>
          <cell r="X268">
            <v>38.446383338024205</v>
          </cell>
          <cell r="Y268">
            <v>123.78037114979912</v>
          </cell>
          <cell r="Z268">
            <v>130.05282139963001</v>
          </cell>
          <cell r="AA268">
            <v>116.1764705882353</v>
          </cell>
          <cell r="AB268">
            <v>66.848418756815704</v>
          </cell>
          <cell r="AC268">
            <v>140.04534583633043</v>
          </cell>
          <cell r="AD268">
            <v>119.89963944478079</v>
          </cell>
          <cell r="AF268">
            <v>104.67556939878015</v>
          </cell>
          <cell r="AG268">
            <v>129.9724926405556</v>
          </cell>
        </row>
        <row r="269">
          <cell r="A269">
            <v>40445</v>
          </cell>
          <cell r="B269">
            <v>10.548999999999999</v>
          </cell>
          <cell r="C269">
            <v>49.14</v>
          </cell>
          <cell r="D269">
            <v>67.204939999999993</v>
          </cell>
          <cell r="E269">
            <v>34.065544000000003</v>
          </cell>
          <cell r="F269">
            <v>76.83</v>
          </cell>
          <cell r="G269">
            <v>1.6560173</v>
          </cell>
          <cell r="H269">
            <v>20.83</v>
          </cell>
          <cell r="I269">
            <v>13.92</v>
          </cell>
          <cell r="J269">
            <v>32.83</v>
          </cell>
          <cell r="K269">
            <v>5.9745699999999999</v>
          </cell>
          <cell r="L269">
            <v>2.4500000000000002</v>
          </cell>
          <cell r="M269">
            <v>12.27</v>
          </cell>
          <cell r="N269">
            <v>11.386862000000001</v>
          </cell>
          <cell r="O269">
            <v>12.379562999999999</v>
          </cell>
          <cell r="Q269">
            <v>76.314785141397749</v>
          </cell>
          <cell r="R269">
            <v>81.384564425306394</v>
          </cell>
          <cell r="S269">
            <v>128.99884293472292</v>
          </cell>
          <cell r="T269">
            <v>124.61028677429888</v>
          </cell>
          <cell r="U269">
            <v>102.65900587920898</v>
          </cell>
          <cell r="V269">
            <v>160.34243402694267</v>
          </cell>
          <cell r="W269">
            <v>106.49284253578732</v>
          </cell>
          <cell r="X269">
            <v>39.178159301998313</v>
          </cell>
          <cell r="Y269">
            <v>125.61698871245454</v>
          </cell>
          <cell r="Z269">
            <v>131.02974863505423</v>
          </cell>
          <cell r="AA269">
            <v>120.0980392156863</v>
          </cell>
          <cell r="AB269">
            <v>66.902944383860401</v>
          </cell>
          <cell r="AC269">
            <v>139.31972925616409</v>
          </cell>
          <cell r="AD269">
            <v>117.34669009512527</v>
          </cell>
          <cell r="AF269">
            <v>105.30238683055988</v>
          </cell>
          <cell r="AG269">
            <v>128.3332096756447</v>
          </cell>
        </row>
        <row r="270">
          <cell r="A270">
            <v>40446</v>
          </cell>
          <cell r="B270">
            <v>10.548999999999999</v>
          </cell>
          <cell r="C270">
            <v>49.14</v>
          </cell>
          <cell r="D270">
            <v>67.204939999999993</v>
          </cell>
          <cell r="E270">
            <v>34.065544000000003</v>
          </cell>
          <cell r="F270">
            <v>76.83</v>
          </cell>
          <cell r="G270">
            <v>1.6560173</v>
          </cell>
          <cell r="H270">
            <v>20.83</v>
          </cell>
          <cell r="I270">
            <v>13.92</v>
          </cell>
          <cell r="J270">
            <v>32.83</v>
          </cell>
          <cell r="K270">
            <v>5.9745699999999999</v>
          </cell>
          <cell r="L270">
            <v>2.4500000000000002</v>
          </cell>
          <cell r="M270">
            <v>12.27</v>
          </cell>
          <cell r="N270">
            <v>11.386862000000001</v>
          </cell>
          <cell r="O270">
            <v>12.379562999999999</v>
          </cell>
          <cell r="Q270">
            <v>76.314785141397749</v>
          </cell>
          <cell r="R270">
            <v>81.384564425306394</v>
          </cell>
          <cell r="S270">
            <v>128.99884293472292</v>
          </cell>
          <cell r="T270">
            <v>124.61028677429888</v>
          </cell>
          <cell r="U270">
            <v>102.65900587920898</v>
          </cell>
          <cell r="V270">
            <v>160.34243402694267</v>
          </cell>
          <cell r="W270">
            <v>106.49284253578732</v>
          </cell>
          <cell r="X270">
            <v>39.178159301998313</v>
          </cell>
          <cell r="Y270">
            <v>125.61698871245454</v>
          </cell>
          <cell r="Z270">
            <v>131.02974863505423</v>
          </cell>
          <cell r="AA270">
            <v>120.0980392156863</v>
          </cell>
          <cell r="AB270">
            <v>66.902944383860401</v>
          </cell>
          <cell r="AC270">
            <v>139.31972925616409</v>
          </cell>
          <cell r="AD270">
            <v>117.34669009512527</v>
          </cell>
          <cell r="AF270">
            <v>105.30238683055988</v>
          </cell>
          <cell r="AG270">
            <v>128.3332096756447</v>
          </cell>
        </row>
        <row r="271">
          <cell r="A271">
            <v>40447</v>
          </cell>
          <cell r="B271">
            <v>10.548999999999999</v>
          </cell>
          <cell r="C271">
            <v>49.14</v>
          </cell>
          <cell r="D271">
            <v>67.204939999999993</v>
          </cell>
          <cell r="E271">
            <v>34.065544000000003</v>
          </cell>
          <cell r="F271">
            <v>76.83</v>
          </cell>
          <cell r="G271">
            <v>1.6560173</v>
          </cell>
          <cell r="H271">
            <v>20.83</v>
          </cell>
          <cell r="I271">
            <v>13.92</v>
          </cell>
          <cell r="J271">
            <v>32.83</v>
          </cell>
          <cell r="K271">
            <v>5.9745699999999999</v>
          </cell>
          <cell r="L271">
            <v>2.4500000000000002</v>
          </cell>
          <cell r="M271">
            <v>12.27</v>
          </cell>
          <cell r="N271">
            <v>11.386862000000001</v>
          </cell>
          <cell r="O271">
            <v>12.379562999999999</v>
          </cell>
          <cell r="Q271">
            <v>76.314785141397749</v>
          </cell>
          <cell r="R271">
            <v>81.384564425306394</v>
          </cell>
          <cell r="S271">
            <v>128.99884293472292</v>
          </cell>
          <cell r="T271">
            <v>124.61028677429888</v>
          </cell>
          <cell r="U271">
            <v>102.65900587920898</v>
          </cell>
          <cell r="V271">
            <v>160.34243402694267</v>
          </cell>
          <cell r="W271">
            <v>106.49284253578732</v>
          </cell>
          <cell r="X271">
            <v>39.178159301998313</v>
          </cell>
          <cell r="Y271">
            <v>125.61698871245454</v>
          </cell>
          <cell r="Z271">
            <v>131.02974863505423</v>
          </cell>
          <cell r="AA271">
            <v>120.0980392156863</v>
          </cell>
          <cell r="AB271">
            <v>66.902944383860401</v>
          </cell>
          <cell r="AC271">
            <v>139.31972925616409</v>
          </cell>
          <cell r="AD271">
            <v>117.34669009512527</v>
          </cell>
          <cell r="AF271">
            <v>105.30238683055988</v>
          </cell>
          <cell r="AG271">
            <v>128.3332096756447</v>
          </cell>
        </row>
        <row r="272">
          <cell r="A272">
            <v>40448</v>
          </cell>
          <cell r="B272">
            <v>10.610309000000001</v>
          </cell>
          <cell r="C272">
            <v>48.63</v>
          </cell>
          <cell r="D272">
            <v>69.456810000000004</v>
          </cell>
          <cell r="E272">
            <v>34.479073</v>
          </cell>
          <cell r="F272">
            <v>76.3</v>
          </cell>
          <cell r="G272">
            <v>1.664712</v>
          </cell>
          <cell r="H272">
            <v>21.03</v>
          </cell>
          <cell r="I272">
            <v>13.76</v>
          </cell>
          <cell r="J272">
            <v>32.86</v>
          </cell>
          <cell r="K272">
            <v>5.7909389999999998</v>
          </cell>
          <cell r="L272">
            <v>2.4</v>
          </cell>
          <cell r="M272">
            <v>12.1</v>
          </cell>
          <cell r="N272">
            <v>11.853367</v>
          </cell>
          <cell r="O272">
            <v>12.472616</v>
          </cell>
          <cell r="Q272">
            <v>76.758313737684986</v>
          </cell>
          <cell r="R272">
            <v>80.539913878767805</v>
          </cell>
          <cell r="S272">
            <v>133.32127257217837</v>
          </cell>
          <cell r="T272">
            <v>126.12295797307642</v>
          </cell>
          <cell r="U272">
            <v>101.9508284339925</v>
          </cell>
          <cell r="V272">
            <v>161.1842907884234</v>
          </cell>
          <cell r="W272">
            <v>107.5153374233129</v>
          </cell>
          <cell r="X272">
            <v>38.727835631860394</v>
          </cell>
          <cell r="Y272">
            <v>125.73177731012053</v>
          </cell>
          <cell r="Z272">
            <v>127.00249248580772</v>
          </cell>
          <cell r="AA272">
            <v>117.64705882352942</v>
          </cell>
          <cell r="AB272">
            <v>65.976008724100325</v>
          </cell>
          <cell r="AC272">
            <v>145.02747826521036</v>
          </cell>
          <cell r="AD272">
            <v>118.22874558879835</v>
          </cell>
          <cell r="AF272">
            <v>105.2065073152379</v>
          </cell>
          <cell r="AG272">
            <v>131.62811192700434</v>
          </cell>
        </row>
        <row r="273">
          <cell r="A273">
            <v>40449</v>
          </cell>
          <cell r="B273">
            <v>10.739894</v>
          </cell>
          <cell r="C273">
            <v>49.81</v>
          </cell>
          <cell r="D273">
            <v>68.747765000000001</v>
          </cell>
          <cell r="E273">
            <v>34.838560000000001</v>
          </cell>
          <cell r="F273">
            <v>78.13</v>
          </cell>
          <cell r="G273">
            <v>1.6592165999999999</v>
          </cell>
          <cell r="H273">
            <v>20.94</v>
          </cell>
          <cell r="I273">
            <v>13.59</v>
          </cell>
          <cell r="J273">
            <v>32.93</v>
          </cell>
          <cell r="K273">
            <v>5.808999</v>
          </cell>
          <cell r="L273">
            <v>2.39</v>
          </cell>
          <cell r="M273">
            <v>12.37</v>
          </cell>
          <cell r="N273">
            <v>11.879682000000001</v>
          </cell>
          <cell r="O273">
            <v>12.371255</v>
          </cell>
          <cell r="Q273">
            <v>77.695772400358976</v>
          </cell>
          <cell r="R273">
            <v>82.49420337860218</v>
          </cell>
          <cell r="S273">
            <v>131.96027166080711</v>
          </cell>
          <cell r="T273">
            <v>127.43794587292128</v>
          </cell>
          <cell r="U273">
            <v>104.39604489577765</v>
          </cell>
          <cell r="V273">
            <v>160.65220346545181</v>
          </cell>
          <cell r="W273">
            <v>107.05521472392638</v>
          </cell>
          <cell r="X273">
            <v>38.249366732338871</v>
          </cell>
          <cell r="Y273">
            <v>125.99961737134112</v>
          </cell>
          <cell r="Z273">
            <v>127.39857074087028</v>
          </cell>
          <cell r="AA273">
            <v>117.15686274509804</v>
          </cell>
          <cell r="AB273">
            <v>67.448200654307527</v>
          </cell>
          <cell r="AC273">
            <v>145.34944569358316</v>
          </cell>
          <cell r="AD273">
            <v>117.26793801790653</v>
          </cell>
          <cell r="AF273">
            <v>105.66202288681677</v>
          </cell>
          <cell r="AG273">
            <v>131.30869185574485</v>
          </cell>
        </row>
        <row r="274">
          <cell r="A274">
            <v>40450</v>
          </cell>
          <cell r="B274">
            <v>10.685312</v>
          </cell>
          <cell r="C274">
            <v>49.62</v>
          </cell>
          <cell r="D274">
            <v>70.181730000000002</v>
          </cell>
          <cell r="E274">
            <v>35.533237</v>
          </cell>
          <cell r="F274">
            <v>78.150000000000006</v>
          </cell>
          <cell r="G274">
            <v>1.6710341</v>
          </cell>
          <cell r="H274">
            <v>21.03</v>
          </cell>
          <cell r="I274">
            <v>13.75</v>
          </cell>
          <cell r="J274">
            <v>32.22</v>
          </cell>
          <cell r="K274">
            <v>5.8318750000000001</v>
          </cell>
          <cell r="L274">
            <v>2.33</v>
          </cell>
          <cell r="M274">
            <v>12.08</v>
          </cell>
          <cell r="N274">
            <v>11.94904</v>
          </cell>
          <cell r="O274">
            <v>12.476203999999999</v>
          </cell>
          <cell r="Q274">
            <v>77.300909038657608</v>
          </cell>
          <cell r="R274">
            <v>82.179529645578</v>
          </cell>
          <cell r="S274">
            <v>134.71274530052602</v>
          </cell>
          <cell r="T274">
            <v>129.97904429734419</v>
          </cell>
          <cell r="U274">
            <v>104.42276857295565</v>
          </cell>
          <cell r="V274">
            <v>161.79642261951099</v>
          </cell>
          <cell r="W274">
            <v>107.5153374233129</v>
          </cell>
          <cell r="X274">
            <v>38.699690402476776</v>
          </cell>
          <cell r="Y274">
            <v>123.2829538932466</v>
          </cell>
          <cell r="Z274">
            <v>127.90026986394953</v>
          </cell>
          <cell r="AA274">
            <v>114.21568627450979</v>
          </cell>
          <cell r="AB274">
            <v>65.866957470010902</v>
          </cell>
          <cell r="AC274">
            <v>146.19804979379524</v>
          </cell>
          <cell r="AD274">
            <v>118.26275647626352</v>
          </cell>
          <cell r="AF274">
            <v>105.65602623350658</v>
          </cell>
          <cell r="AG274">
            <v>132.23040313502938</v>
          </cell>
        </row>
        <row r="275">
          <cell r="A275">
            <v>40451</v>
          </cell>
          <cell r="B275">
            <v>10.65075</v>
          </cell>
          <cell r="C275">
            <v>50.47</v>
          </cell>
          <cell r="D275">
            <v>69.308109999999999</v>
          </cell>
          <cell r="E275">
            <v>35.372275999999999</v>
          </cell>
          <cell r="F275">
            <v>78.430000000000007</v>
          </cell>
          <cell r="G275">
            <v>1.6801611000000001</v>
          </cell>
          <cell r="H275">
            <v>20.86</v>
          </cell>
          <cell r="I275">
            <v>14.2</v>
          </cell>
          <cell r="J275">
            <v>32.81</v>
          </cell>
          <cell r="K275">
            <v>5.8288650000000004</v>
          </cell>
          <cell r="L275">
            <v>2.4</v>
          </cell>
          <cell r="M275">
            <v>11.64</v>
          </cell>
          <cell r="N275">
            <v>12.041079999999999</v>
          </cell>
          <cell r="O275">
            <v>12.39523</v>
          </cell>
          <cell r="Q275">
            <v>77.050876656056715</v>
          </cell>
          <cell r="R275">
            <v>83.587280556475648</v>
          </cell>
          <cell r="S275">
            <v>133.03584522198071</v>
          </cell>
          <cell r="T275">
            <v>129.39025592016523</v>
          </cell>
          <cell r="U275">
            <v>104.79690005344735</v>
          </cell>
          <cell r="V275">
            <v>162.68013645230968</v>
          </cell>
          <cell r="W275">
            <v>106.64621676891616</v>
          </cell>
          <cell r="X275">
            <v>39.966225724739651</v>
          </cell>
          <cell r="Y275">
            <v>125.54046298067725</v>
          </cell>
          <cell r="Z275">
            <v>127.83425682143911</v>
          </cell>
          <cell r="AA275">
            <v>117.64705882352942</v>
          </cell>
          <cell r="AB275">
            <v>63.467829880043624</v>
          </cell>
          <cell r="AC275">
            <v>147.3241710975168</v>
          </cell>
          <cell r="AD275">
            <v>117.49519861628393</v>
          </cell>
          <cell r="AF275">
            <v>105.97027882164838</v>
          </cell>
          <cell r="AG275">
            <v>132.40968485690036</v>
          </cell>
        </row>
        <row r="276">
          <cell r="A276">
            <v>40452</v>
          </cell>
          <cell r="B276">
            <v>10.632296</v>
          </cell>
          <cell r="C276">
            <v>50.13</v>
          </cell>
          <cell r="D276">
            <v>70.360810000000001</v>
          </cell>
          <cell r="E276">
            <v>35.996876</v>
          </cell>
          <cell r="F276">
            <v>78.03</v>
          </cell>
          <cell r="G276">
            <v>1.7224953000000001</v>
          </cell>
          <cell r="H276">
            <v>20.41</v>
          </cell>
          <cell r="I276">
            <v>14.53</v>
          </cell>
          <cell r="J276">
            <v>32.83</v>
          </cell>
          <cell r="K276">
            <v>5.8400020000000001</v>
          </cell>
          <cell r="L276">
            <v>2.42</v>
          </cell>
          <cell r="M276">
            <v>11.35</v>
          </cell>
          <cell r="N276">
            <v>12.222618000000001</v>
          </cell>
          <cell r="O276">
            <v>12.54895</v>
          </cell>
          <cell r="Q276">
            <v>76.91737461368308</v>
          </cell>
          <cell r="R276">
            <v>83.024180192116589</v>
          </cell>
          <cell r="S276">
            <v>135.05648659086492</v>
          </cell>
          <cell r="T276">
            <v>131.67501570909531</v>
          </cell>
          <cell r="U276">
            <v>104.26242650988775</v>
          </cell>
          <cell r="V276">
            <v>166.77910852861794</v>
          </cell>
          <cell r="W276">
            <v>104.34560327198366</v>
          </cell>
          <cell r="X276">
            <v>40.895018294399094</v>
          </cell>
          <cell r="Y276">
            <v>125.61698871245454</v>
          </cell>
          <cell r="Z276">
            <v>128.07850507872769</v>
          </cell>
          <cell r="AA276">
            <v>118.62745098039215</v>
          </cell>
          <cell r="AB276">
            <v>61.886586695747006</v>
          </cell>
          <cell r="AC276">
            <v>149.54531200619783</v>
          </cell>
          <cell r="AD276">
            <v>118.95232058427445</v>
          </cell>
          <cell r="AF276">
            <v>106.43039543149747</v>
          </cell>
          <cell r="AG276">
            <v>134.24881629523614</v>
          </cell>
        </row>
        <row r="277">
          <cell r="A277">
            <v>40453</v>
          </cell>
          <cell r="B277">
            <v>10.632296</v>
          </cell>
          <cell r="C277">
            <v>50.13</v>
          </cell>
          <cell r="D277">
            <v>70.360810000000001</v>
          </cell>
          <cell r="E277">
            <v>35.996876</v>
          </cell>
          <cell r="F277">
            <v>78.03</v>
          </cell>
          <cell r="G277">
            <v>1.7224953000000001</v>
          </cell>
          <cell r="H277">
            <v>20.41</v>
          </cell>
          <cell r="I277">
            <v>14.53</v>
          </cell>
          <cell r="J277">
            <v>32.83</v>
          </cell>
          <cell r="K277">
            <v>5.8400020000000001</v>
          </cell>
          <cell r="L277">
            <v>2.42</v>
          </cell>
          <cell r="M277">
            <v>11.35</v>
          </cell>
          <cell r="N277">
            <v>12.222618000000001</v>
          </cell>
          <cell r="O277">
            <v>12.54895</v>
          </cell>
          <cell r="Q277">
            <v>76.91737461368308</v>
          </cell>
          <cell r="R277">
            <v>83.024180192116589</v>
          </cell>
          <cell r="S277">
            <v>135.05648659086492</v>
          </cell>
          <cell r="T277">
            <v>131.67501570909531</v>
          </cell>
          <cell r="U277">
            <v>104.26242650988775</v>
          </cell>
          <cell r="V277">
            <v>166.77910852861794</v>
          </cell>
          <cell r="W277">
            <v>104.34560327198366</v>
          </cell>
          <cell r="X277">
            <v>40.895018294399094</v>
          </cell>
          <cell r="Y277">
            <v>125.61698871245454</v>
          </cell>
          <cell r="Z277">
            <v>128.07850507872769</v>
          </cell>
          <cell r="AA277">
            <v>118.62745098039215</v>
          </cell>
          <cell r="AB277">
            <v>61.886586695747006</v>
          </cell>
          <cell r="AC277">
            <v>149.54531200619783</v>
          </cell>
          <cell r="AD277">
            <v>118.95232058427445</v>
          </cell>
          <cell r="AF277">
            <v>106.43039543149747</v>
          </cell>
          <cell r="AG277">
            <v>134.24881629523614</v>
          </cell>
        </row>
        <row r="278">
          <cell r="A278">
            <v>40454</v>
          </cell>
          <cell r="B278">
            <v>10.632296</v>
          </cell>
          <cell r="C278">
            <v>50.13</v>
          </cell>
          <cell r="D278">
            <v>70.360810000000001</v>
          </cell>
          <cell r="E278">
            <v>35.996876</v>
          </cell>
          <cell r="F278">
            <v>78.03</v>
          </cell>
          <cell r="G278">
            <v>1.7224953000000001</v>
          </cell>
          <cell r="H278">
            <v>20.41</v>
          </cell>
          <cell r="I278">
            <v>14.53</v>
          </cell>
          <cell r="J278">
            <v>32.83</v>
          </cell>
          <cell r="K278">
            <v>5.8400020000000001</v>
          </cell>
          <cell r="L278">
            <v>2.42</v>
          </cell>
          <cell r="M278">
            <v>11.35</v>
          </cell>
          <cell r="N278">
            <v>12.222618000000001</v>
          </cell>
          <cell r="O278">
            <v>12.54895</v>
          </cell>
          <cell r="Q278">
            <v>76.91737461368308</v>
          </cell>
          <cell r="R278">
            <v>83.024180192116589</v>
          </cell>
          <cell r="S278">
            <v>135.05648659086492</v>
          </cell>
          <cell r="T278">
            <v>131.67501570909531</v>
          </cell>
          <cell r="U278">
            <v>104.26242650988775</v>
          </cell>
          <cell r="V278">
            <v>166.77910852861794</v>
          </cell>
          <cell r="W278">
            <v>104.34560327198366</v>
          </cell>
          <cell r="X278">
            <v>40.895018294399094</v>
          </cell>
          <cell r="Y278">
            <v>125.61698871245454</v>
          </cell>
          <cell r="Z278">
            <v>128.07850507872769</v>
          </cell>
          <cell r="AA278">
            <v>118.62745098039215</v>
          </cell>
          <cell r="AB278">
            <v>61.886586695747006</v>
          </cell>
          <cell r="AC278">
            <v>149.54531200619783</v>
          </cell>
          <cell r="AD278">
            <v>118.95232058427445</v>
          </cell>
          <cell r="AF278">
            <v>106.43039543149747</v>
          </cell>
          <cell r="AG278">
            <v>134.24881629523614</v>
          </cell>
        </row>
        <row r="279">
          <cell r="A279">
            <v>40455</v>
          </cell>
          <cell r="B279">
            <v>10.56237</v>
          </cell>
          <cell r="C279">
            <v>49.48</v>
          </cell>
          <cell r="D279">
            <v>70.503590000000003</v>
          </cell>
          <cell r="E279">
            <v>35.587530000000001</v>
          </cell>
          <cell r="F279">
            <v>77.92</v>
          </cell>
          <cell r="G279">
            <v>1.7737514999999999</v>
          </cell>
          <cell r="H279">
            <v>20.239999999999998</v>
          </cell>
          <cell r="I279">
            <v>14.38</v>
          </cell>
          <cell r="J279">
            <v>32.43</v>
          </cell>
          <cell r="K279">
            <v>5.822845</v>
          </cell>
          <cell r="L279">
            <v>2.39</v>
          </cell>
          <cell r="M279">
            <v>11.24</v>
          </cell>
          <cell r="N279">
            <v>11.947558000000001</v>
          </cell>
          <cell r="O279">
            <v>12.5170555</v>
          </cell>
          <cell r="Q279">
            <v>76.41150792813967</v>
          </cell>
          <cell r="R279">
            <v>81.947664789665438</v>
          </cell>
          <cell r="S279">
            <v>135.33055059262165</v>
          </cell>
          <cell r="T279">
            <v>130.17764574342229</v>
          </cell>
          <cell r="U279">
            <v>104.11544628540888</v>
          </cell>
          <cell r="V279">
            <v>171.74194549111328</v>
          </cell>
          <cell r="W279">
            <v>103.47648261758691</v>
          </cell>
          <cell r="X279">
            <v>40.472839853644807</v>
          </cell>
          <cell r="Y279">
            <v>124.08647407690836</v>
          </cell>
          <cell r="Z279">
            <v>127.70223073641824</v>
          </cell>
          <cell r="AA279">
            <v>117.15686274509804</v>
          </cell>
          <cell r="AB279">
            <v>61.286804798255176</v>
          </cell>
          <cell r="AC279">
            <v>146.17991733212517</v>
          </cell>
          <cell r="AD279">
            <v>118.64999052567391</v>
          </cell>
          <cell r="AF279">
            <v>106.1588713048569</v>
          </cell>
          <cell r="AG279">
            <v>132.41495392889954</v>
          </cell>
        </row>
        <row r="280">
          <cell r="A280">
            <v>40456</v>
          </cell>
          <cell r="B280">
            <v>10.635776999999999</v>
          </cell>
          <cell r="C280">
            <v>50.66</v>
          </cell>
          <cell r="D280">
            <v>70.431015000000002</v>
          </cell>
          <cell r="E280">
            <v>35.179389999999998</v>
          </cell>
          <cell r="F280">
            <v>79.349999999999994</v>
          </cell>
          <cell r="G280">
            <v>1.7699115000000001</v>
          </cell>
          <cell r="H280">
            <v>21.13</v>
          </cell>
          <cell r="I280">
            <v>14.89</v>
          </cell>
          <cell r="J280">
            <v>33.130000000000003</v>
          </cell>
          <cell r="K280">
            <v>5.8312730000000004</v>
          </cell>
          <cell r="L280">
            <v>2.31</v>
          </cell>
          <cell r="M280">
            <v>11.67</v>
          </cell>
          <cell r="N280">
            <v>11.770999</v>
          </cell>
          <cell r="O280">
            <v>12.484394</v>
          </cell>
          <cell r="Q280">
            <v>76.942557262946238</v>
          </cell>
          <cell r="R280">
            <v>83.901954289499827</v>
          </cell>
          <cell r="S280">
            <v>135.19124400257056</v>
          </cell>
          <cell r="T280">
            <v>128.68468727359533</v>
          </cell>
          <cell r="U280">
            <v>106.0261892036344</v>
          </cell>
          <cell r="V280">
            <v>171.3701408326333</v>
          </cell>
          <cell r="W280">
            <v>108.02658486707566</v>
          </cell>
          <cell r="X280">
            <v>41.908246552209398</v>
          </cell>
          <cell r="Y280">
            <v>126.76487468911421</v>
          </cell>
          <cell r="Z280">
            <v>127.88706725544745</v>
          </cell>
          <cell r="AA280">
            <v>113.23529411764706</v>
          </cell>
          <cell r="AB280">
            <v>63.631406761177757</v>
          </cell>
          <cell r="AC280">
            <v>144.01969513238836</v>
          </cell>
          <cell r="AD280">
            <v>118.34039002373844</v>
          </cell>
          <cell r="AF280">
            <v>106.96418725896261</v>
          </cell>
          <cell r="AG280">
            <v>131.18004257806339</v>
          </cell>
        </row>
        <row r="281">
          <cell r="A281">
            <v>40457</v>
          </cell>
          <cell r="B281">
            <v>10.692028000000001</v>
          </cell>
          <cell r="C281">
            <v>50.62</v>
          </cell>
          <cell r="D281">
            <v>70.23048</v>
          </cell>
          <cell r="E281">
            <v>35.416916000000001</v>
          </cell>
          <cell r="F281">
            <v>79.14</v>
          </cell>
          <cell r="G281">
            <v>1.7881020999999999</v>
          </cell>
          <cell r="H281">
            <v>20.92</v>
          </cell>
          <cell r="I281">
            <v>14.92</v>
          </cell>
          <cell r="J281">
            <v>33.24</v>
          </cell>
          <cell r="K281">
            <v>5.8728109999999996</v>
          </cell>
          <cell r="L281">
            <v>2.36</v>
          </cell>
          <cell r="M281">
            <v>11.71</v>
          </cell>
          <cell r="N281">
            <v>11.650601</v>
          </cell>
          <cell r="O281">
            <v>12.495538</v>
          </cell>
          <cell r="Q281">
            <v>77.349494695782425</v>
          </cell>
          <cell r="R281">
            <v>83.835707187810527</v>
          </cell>
          <cell r="S281">
            <v>134.80632017155585</v>
          </cell>
          <cell r="T281">
            <v>129.5535471096911</v>
          </cell>
          <cell r="U281">
            <v>105.74559059326563</v>
          </cell>
          <cell r="V281">
            <v>173.13142984840053</v>
          </cell>
          <cell r="W281">
            <v>106.95296523517383</v>
          </cell>
          <cell r="X281">
            <v>41.99268224036026</v>
          </cell>
          <cell r="Y281">
            <v>127.18576621388942</v>
          </cell>
          <cell r="Z281">
            <v>128.79804724209129</v>
          </cell>
          <cell r="AA281">
            <v>115.68627450980391</v>
          </cell>
          <cell r="AB281">
            <v>63.849509269356609</v>
          </cell>
          <cell r="AC281">
            <v>142.54661003106867</v>
          </cell>
          <cell r="AD281">
            <v>118.4460247310718</v>
          </cell>
          <cell r="AF281">
            <v>107.40727785976513</v>
          </cell>
          <cell r="AG281">
            <v>130.49631738107024</v>
          </cell>
        </row>
        <row r="282">
          <cell r="A282">
            <v>40458</v>
          </cell>
          <cell r="B282">
            <v>10.781317</v>
          </cell>
          <cell r="C282">
            <v>50.23</v>
          </cell>
          <cell r="D282">
            <v>71.202910000000003</v>
          </cell>
          <cell r="E282">
            <v>36.25759</v>
          </cell>
          <cell r="F282">
            <v>78.599999999999994</v>
          </cell>
          <cell r="G282">
            <v>1.7756007</v>
          </cell>
          <cell r="H282">
            <v>20.69</v>
          </cell>
          <cell r="I282">
            <v>15.59</v>
          </cell>
          <cell r="J282">
            <v>32.71</v>
          </cell>
          <cell r="K282">
            <v>5.9164560000000002</v>
          </cell>
          <cell r="L282">
            <v>2.4</v>
          </cell>
          <cell r="M282">
            <v>11.8</v>
          </cell>
          <cell r="N282">
            <v>11.773122000000001</v>
          </cell>
          <cell r="O282">
            <v>12.518255999999999</v>
          </cell>
          <cell r="Q282">
            <v>77.995439415707551</v>
          </cell>
          <cell r="R282">
            <v>83.189797946339837</v>
          </cell>
          <cell r="S282">
            <v>136.6728845169003</v>
          </cell>
          <cell r="T282">
            <v>132.62869624641695</v>
          </cell>
          <cell r="U282">
            <v>105.02405130946018</v>
          </cell>
          <cell r="V282">
            <v>171.92099267196258</v>
          </cell>
          <cell r="W282">
            <v>105.77709611451944</v>
          </cell>
          <cell r="X282">
            <v>43.878412609062764</v>
          </cell>
          <cell r="Y282">
            <v>125.1578343217907</v>
          </cell>
          <cell r="Z282">
            <v>129.75523635849248</v>
          </cell>
          <cell r="AA282">
            <v>117.64705882352942</v>
          </cell>
          <cell r="AB282">
            <v>64.340239912759003</v>
          </cell>
          <cell r="AC282">
            <v>144.04567031196032</v>
          </cell>
          <cell r="AD282">
            <v>118.66137014395764</v>
          </cell>
          <cell r="AF282">
            <v>107.83231168724511</v>
          </cell>
          <cell r="AG282">
            <v>131.353520227959</v>
          </cell>
        </row>
        <row r="283">
          <cell r="A283">
            <v>40459</v>
          </cell>
          <cell r="B283">
            <v>10.819050000000001</v>
          </cell>
          <cell r="C283">
            <v>50.42</v>
          </cell>
          <cell r="D283">
            <v>69.028720000000007</v>
          </cell>
          <cell r="E283">
            <v>36.18815</v>
          </cell>
          <cell r="F283">
            <v>79.39</v>
          </cell>
          <cell r="G283">
            <v>1.8078059</v>
          </cell>
          <cell r="H283">
            <v>20.51</v>
          </cell>
          <cell r="I283">
            <v>16.07</v>
          </cell>
          <cell r="J283">
            <v>32.659999999999997</v>
          </cell>
          <cell r="K283">
            <v>5.9209709999999998</v>
          </cell>
          <cell r="L283">
            <v>2.44</v>
          </cell>
          <cell r="M283">
            <v>12.06</v>
          </cell>
          <cell r="N283">
            <v>12.170964</v>
          </cell>
          <cell r="O283">
            <v>12.498142</v>
          </cell>
          <cell r="Q283">
            <v>78.268411810033129</v>
          </cell>
          <cell r="R283">
            <v>83.504471679364016</v>
          </cell>
          <cell r="S283">
            <v>132.49956043804175</v>
          </cell>
          <cell r="T283">
            <v>132.37468772937675</v>
          </cell>
          <cell r="U283">
            <v>106.07963655799037</v>
          </cell>
          <cell r="V283">
            <v>175.03923313740003</v>
          </cell>
          <cell r="W283">
            <v>104.85685071574645</v>
          </cell>
          <cell r="X283">
            <v>45.229383619476501</v>
          </cell>
          <cell r="Y283">
            <v>124.9665199923474</v>
          </cell>
          <cell r="Z283">
            <v>129.85425592225812</v>
          </cell>
          <cell r="AA283">
            <v>119.6078431372549</v>
          </cell>
          <cell r="AB283">
            <v>65.757906215921494</v>
          </cell>
          <cell r="AC283">
            <v>148.9133186356803</v>
          </cell>
          <cell r="AD283">
            <v>118.47070821796126</v>
          </cell>
          <cell r="AF283">
            <v>108.16989674626757</v>
          </cell>
          <cell r="AG283">
            <v>133.69201342682078</v>
          </cell>
        </row>
        <row r="284">
          <cell r="A284">
            <v>40460</v>
          </cell>
          <cell r="B284">
            <v>10.819050000000001</v>
          </cell>
          <cell r="C284">
            <v>50.42</v>
          </cell>
          <cell r="D284">
            <v>69.028720000000007</v>
          </cell>
          <cell r="E284">
            <v>36.18815</v>
          </cell>
          <cell r="F284">
            <v>79.39</v>
          </cell>
          <cell r="G284">
            <v>1.8078059</v>
          </cell>
          <cell r="H284">
            <v>20.51</v>
          </cell>
          <cell r="I284">
            <v>16.07</v>
          </cell>
          <cell r="J284">
            <v>32.659999999999997</v>
          </cell>
          <cell r="K284">
            <v>5.9209709999999998</v>
          </cell>
          <cell r="L284">
            <v>2.44</v>
          </cell>
          <cell r="M284">
            <v>12.06</v>
          </cell>
          <cell r="N284">
            <v>12.170964</v>
          </cell>
          <cell r="O284">
            <v>12.498142</v>
          </cell>
          <cell r="Q284">
            <v>78.268411810033129</v>
          </cell>
          <cell r="R284">
            <v>83.504471679364016</v>
          </cell>
          <cell r="S284">
            <v>132.49956043804175</v>
          </cell>
          <cell r="T284">
            <v>132.37468772937675</v>
          </cell>
          <cell r="U284">
            <v>106.07963655799037</v>
          </cell>
          <cell r="V284">
            <v>175.03923313740003</v>
          </cell>
          <cell r="W284">
            <v>104.85685071574645</v>
          </cell>
          <cell r="X284">
            <v>45.229383619476501</v>
          </cell>
          <cell r="Y284">
            <v>124.9665199923474</v>
          </cell>
          <cell r="Z284">
            <v>129.85425592225812</v>
          </cell>
          <cell r="AA284">
            <v>119.6078431372549</v>
          </cell>
          <cell r="AB284">
            <v>65.757906215921494</v>
          </cell>
          <cell r="AC284">
            <v>148.9133186356803</v>
          </cell>
          <cell r="AD284">
            <v>118.47070821796126</v>
          </cell>
          <cell r="AF284">
            <v>108.16989674626757</v>
          </cell>
          <cell r="AG284">
            <v>133.69201342682078</v>
          </cell>
        </row>
        <row r="285">
          <cell r="A285">
            <v>40461</v>
          </cell>
          <cell r="B285">
            <v>10.819050000000001</v>
          </cell>
          <cell r="C285">
            <v>50.42</v>
          </cell>
          <cell r="D285">
            <v>69.028720000000007</v>
          </cell>
          <cell r="E285">
            <v>36.18815</v>
          </cell>
          <cell r="F285">
            <v>79.39</v>
          </cell>
          <cell r="G285">
            <v>1.8078059</v>
          </cell>
          <cell r="H285">
            <v>20.51</v>
          </cell>
          <cell r="I285">
            <v>16.07</v>
          </cell>
          <cell r="J285">
            <v>32.659999999999997</v>
          </cell>
          <cell r="K285">
            <v>5.9209709999999998</v>
          </cell>
          <cell r="L285">
            <v>2.44</v>
          </cell>
          <cell r="M285">
            <v>12.06</v>
          </cell>
          <cell r="N285">
            <v>12.170964</v>
          </cell>
          <cell r="O285">
            <v>12.498142</v>
          </cell>
          <cell r="Q285">
            <v>78.268411810033129</v>
          </cell>
          <cell r="R285">
            <v>83.504471679364016</v>
          </cell>
          <cell r="S285">
            <v>132.49956043804175</v>
          </cell>
          <cell r="T285">
            <v>132.37468772937675</v>
          </cell>
          <cell r="U285">
            <v>106.07963655799037</v>
          </cell>
          <cell r="V285">
            <v>175.03923313740003</v>
          </cell>
          <cell r="W285">
            <v>104.85685071574645</v>
          </cell>
          <cell r="X285">
            <v>45.229383619476501</v>
          </cell>
          <cell r="Y285">
            <v>124.9665199923474</v>
          </cell>
          <cell r="Z285">
            <v>129.85425592225812</v>
          </cell>
          <cell r="AA285">
            <v>119.6078431372549</v>
          </cell>
          <cell r="AB285">
            <v>65.757906215921494</v>
          </cell>
          <cell r="AC285">
            <v>148.9133186356803</v>
          </cell>
          <cell r="AD285">
            <v>118.47070821796126</v>
          </cell>
          <cell r="AF285">
            <v>108.16989674626757</v>
          </cell>
          <cell r="AG285">
            <v>133.69201342682078</v>
          </cell>
        </row>
        <row r="286">
          <cell r="A286">
            <v>40462</v>
          </cell>
          <cell r="B286">
            <v>10.78575</v>
          </cell>
          <cell r="C286">
            <v>50.47</v>
          </cell>
          <cell r="D286">
            <v>68.839479999999995</v>
          </cell>
          <cell r="E286">
            <v>36.088943</v>
          </cell>
          <cell r="F286">
            <v>79.89</v>
          </cell>
          <cell r="G286">
            <v>1.7993873</v>
          </cell>
          <cell r="H286">
            <v>20.56</v>
          </cell>
          <cell r="I286">
            <v>15.86</v>
          </cell>
          <cell r="J286">
            <v>32.4</v>
          </cell>
          <cell r="K286">
            <v>5.9297000000000004</v>
          </cell>
          <cell r="L286">
            <v>2.4500000000000002</v>
          </cell>
          <cell r="M286">
            <v>12.02</v>
          </cell>
          <cell r="N286">
            <v>12.312961</v>
          </cell>
          <cell r="O286">
            <v>12.937924000000001</v>
          </cell>
          <cell r="Q286">
            <v>78.027509132508371</v>
          </cell>
          <cell r="R286">
            <v>83.587280556475648</v>
          </cell>
          <cell r="S286">
            <v>132.13631718483788</v>
          </cell>
          <cell r="T286">
            <v>132.01179281362207</v>
          </cell>
          <cell r="U286">
            <v>106.74772848743987</v>
          </cell>
          <cell r="V286">
            <v>174.22410951816053</v>
          </cell>
          <cell r="W286">
            <v>105.11247443762781</v>
          </cell>
          <cell r="X286">
            <v>44.63833380242049</v>
          </cell>
          <cell r="Y286">
            <v>123.97168547924238</v>
          </cell>
          <cell r="Z286">
            <v>130.04569374553836</v>
          </cell>
          <cell r="AA286">
            <v>120.0980392156863</v>
          </cell>
          <cell r="AB286">
            <v>65.539803707742635</v>
          </cell>
          <cell r="AC286">
            <v>150.65067029544286</v>
          </cell>
          <cell r="AD286">
            <v>122.63943065698552</v>
          </cell>
          <cell r="AF286">
            <v>108.01173067344185</v>
          </cell>
          <cell r="AG286">
            <v>136.64505047621418</v>
          </cell>
        </row>
        <row r="287">
          <cell r="A287">
            <v>40463</v>
          </cell>
          <cell r="B287">
            <v>10.553490999999999</v>
          </cell>
          <cell r="C287">
            <v>50.6</v>
          </cell>
          <cell r="D287">
            <v>69.070899999999995</v>
          </cell>
          <cell r="E287">
            <v>35.709045000000003</v>
          </cell>
          <cell r="F287">
            <v>79.53</v>
          </cell>
          <cell r="G287">
            <v>1.7834588</v>
          </cell>
          <cell r="H287">
            <v>20.71</v>
          </cell>
          <cell r="I287">
            <v>16.190000000000001</v>
          </cell>
          <cell r="J287">
            <v>32.270000000000003</v>
          </cell>
          <cell r="K287">
            <v>5.9209709999999998</v>
          </cell>
          <cell r="L287">
            <v>2.4</v>
          </cell>
          <cell r="M287">
            <v>11.88</v>
          </cell>
          <cell r="N287">
            <v>12.269829</v>
          </cell>
          <cell r="O287">
            <v>12.892602</v>
          </cell>
          <cell r="Q287">
            <v>76.347274448447706</v>
          </cell>
          <cell r="R287">
            <v>83.802583636965878</v>
          </cell>
          <cell r="S287">
            <v>132.58052429568352</v>
          </cell>
          <cell r="T287">
            <v>130.62214235845886</v>
          </cell>
          <cell r="U287">
            <v>106.26670229823623</v>
          </cell>
          <cell r="V287">
            <v>172.68184636644216</v>
          </cell>
          <cell r="W287">
            <v>105.87934560327199</v>
          </cell>
          <cell r="X287">
            <v>45.567126372079933</v>
          </cell>
          <cell r="Y287">
            <v>123.47426822268987</v>
          </cell>
          <cell r="Z287">
            <v>129.85425592225812</v>
          </cell>
          <cell r="AA287">
            <v>117.64705882352942</v>
          </cell>
          <cell r="AB287">
            <v>64.776444929116693</v>
          </cell>
          <cell r="AC287">
            <v>150.12294469709306</v>
          </cell>
          <cell r="AD287">
            <v>122.20982044469521</v>
          </cell>
          <cell r="AF287">
            <v>107.45829777309837</v>
          </cell>
          <cell r="AG287">
            <v>136.16638257089414</v>
          </cell>
        </row>
        <row r="288">
          <cell r="A288">
            <v>40464</v>
          </cell>
          <cell r="B288">
            <v>10.669617000000001</v>
          </cell>
          <cell r="C288">
            <v>50.62</v>
          </cell>
          <cell r="D288">
            <v>69.682149999999993</v>
          </cell>
          <cell r="E288">
            <v>35.378970000000002</v>
          </cell>
          <cell r="F288">
            <v>80.400000000000006</v>
          </cell>
          <cell r="G288">
            <v>1.8050541</v>
          </cell>
          <cell r="H288">
            <v>21.21</v>
          </cell>
          <cell r="I288">
            <v>16.22</v>
          </cell>
          <cell r="J288">
            <v>31.71</v>
          </cell>
          <cell r="K288">
            <v>5.9694323999999996</v>
          </cell>
          <cell r="L288">
            <v>2.36</v>
          </cell>
          <cell r="M288">
            <v>12.23</v>
          </cell>
          <cell r="N288">
            <v>12.434358</v>
          </cell>
          <cell r="O288">
            <v>12.826703</v>
          </cell>
          <cell r="Q288">
            <v>77.187366470376801</v>
          </cell>
          <cell r="R288">
            <v>83.835707187810527</v>
          </cell>
          <cell r="S288">
            <v>133.75380921705761</v>
          </cell>
          <cell r="T288">
            <v>129.41474228268061</v>
          </cell>
          <cell r="U288">
            <v>107.42918225547835</v>
          </cell>
          <cell r="V288">
            <v>174.77279249698202</v>
          </cell>
          <cell r="W288">
            <v>108.43558282208589</v>
          </cell>
          <cell r="X288">
            <v>45.651562060230788</v>
          </cell>
          <cell r="Y288">
            <v>121.33154773292519</v>
          </cell>
          <cell r="Z288">
            <v>130.91707467917331</v>
          </cell>
          <cell r="AA288">
            <v>115.68627450980391</v>
          </cell>
          <cell r="AB288">
            <v>66.68484187568157</v>
          </cell>
          <cell r="AC288">
            <v>152.13597829096531</v>
          </cell>
          <cell r="AD288">
            <v>121.58515949902382</v>
          </cell>
          <cell r="AF288">
            <v>107.92504029919054</v>
          </cell>
          <cell r="AG288">
            <v>136.86056889499457</v>
          </cell>
        </row>
        <row r="289">
          <cell r="A289">
            <v>40465</v>
          </cell>
          <cell r="B289">
            <v>10.754099999999999</v>
          </cell>
          <cell r="C289">
            <v>49.97</v>
          </cell>
          <cell r="D289">
            <v>70.164664999999999</v>
          </cell>
          <cell r="E289">
            <v>35.070045</v>
          </cell>
          <cell r="F289">
            <v>78.98</v>
          </cell>
          <cell r="G289">
            <v>1.7742804999999999</v>
          </cell>
          <cell r="H289">
            <v>21.37</v>
          </cell>
          <cell r="I289">
            <v>15.84</v>
          </cell>
          <cell r="J289">
            <v>31.68</v>
          </cell>
          <cell r="K289">
            <v>5.994415</v>
          </cell>
          <cell r="L289">
            <v>2.2799999999999998</v>
          </cell>
          <cell r="M289">
            <v>12.31</v>
          </cell>
          <cell r="N289">
            <v>12.124506</v>
          </cell>
          <cell r="O289">
            <v>12.680012</v>
          </cell>
          <cell r="Q289">
            <v>77.798543074140255</v>
          </cell>
          <cell r="R289">
            <v>82.759191785359391</v>
          </cell>
          <cell r="S289">
            <v>134.67998929695423</v>
          </cell>
          <cell r="T289">
            <v>128.28470799226241</v>
          </cell>
          <cell r="U289">
            <v>105.53180117584179</v>
          </cell>
          <cell r="V289">
            <v>171.79316545578411</v>
          </cell>
          <cell r="W289">
            <v>109.25357873210635</v>
          </cell>
          <cell r="X289">
            <v>44.582043343653247</v>
          </cell>
          <cell r="Y289">
            <v>121.21675913525922</v>
          </cell>
          <cell r="Z289">
            <v>131.46497415951251</v>
          </cell>
          <cell r="AA289">
            <v>111.76470588235293</v>
          </cell>
          <cell r="AB289">
            <v>67.12104689203926</v>
          </cell>
          <cell r="AC289">
            <v>148.34489899717209</v>
          </cell>
          <cell r="AD289">
            <v>120.19466588331669</v>
          </cell>
          <cell r="AF289">
            <v>107.18754224377214</v>
          </cell>
          <cell r="AG289">
            <v>134.2697824402444</v>
          </cell>
        </row>
        <row r="290">
          <cell r="A290">
            <v>40466</v>
          </cell>
          <cell r="B290">
            <v>10.701521</v>
          </cell>
          <cell r="C290">
            <v>50.34</v>
          </cell>
          <cell r="D290">
            <v>67.363240000000005</v>
          </cell>
          <cell r="E290">
            <v>35.464042999999997</v>
          </cell>
          <cell r="F290">
            <v>79.12</v>
          </cell>
          <cell r="G290">
            <v>1.7654768000000001</v>
          </cell>
          <cell r="H290">
            <v>21.44</v>
          </cell>
          <cell r="I290">
            <v>15.8</v>
          </cell>
          <cell r="J290">
            <v>31.59</v>
          </cell>
          <cell r="K290">
            <v>5.9540810000000004</v>
          </cell>
          <cell r="L290">
            <v>2.2200000000000002</v>
          </cell>
          <cell r="M290">
            <v>12.07</v>
          </cell>
          <cell r="N290">
            <v>12.241706000000001</v>
          </cell>
          <cell r="O290">
            <v>12.632719</v>
          </cell>
          <cell r="Q290">
            <v>77.418170044663569</v>
          </cell>
          <cell r="R290">
            <v>83.371977475985432</v>
          </cell>
          <cell r="S290">
            <v>129.30269733644647</v>
          </cell>
          <cell r="T290">
            <v>129.7259356376656</v>
          </cell>
          <cell r="U290">
            <v>105.71886691608765</v>
          </cell>
          <cell r="V290">
            <v>170.94075486415383</v>
          </cell>
          <cell r="W290">
            <v>109.61145194274029</v>
          </cell>
          <cell r="X290">
            <v>44.469462426118774</v>
          </cell>
          <cell r="Y290">
            <v>120.87239334226132</v>
          </cell>
          <cell r="Z290">
            <v>130.58039938987284</v>
          </cell>
          <cell r="AA290">
            <v>108.82352941176472</v>
          </cell>
          <cell r="AB290">
            <v>65.812431842966205</v>
          </cell>
          <cell r="AC290">
            <v>149.77885615488793</v>
          </cell>
          <cell r="AD290">
            <v>119.74637243267803</v>
          </cell>
          <cell r="AF290">
            <v>106.3873392192272</v>
          </cell>
          <cell r="AG290">
            <v>134.76261429378297</v>
          </cell>
        </row>
        <row r="291">
          <cell r="A291">
            <v>40467</v>
          </cell>
          <cell r="B291">
            <v>10.701521</v>
          </cell>
          <cell r="C291">
            <v>50.34</v>
          </cell>
          <cell r="D291">
            <v>67.363240000000005</v>
          </cell>
          <cell r="E291">
            <v>35.464042999999997</v>
          </cell>
          <cell r="F291">
            <v>79.12</v>
          </cell>
          <cell r="G291">
            <v>1.7654768000000001</v>
          </cell>
          <cell r="H291">
            <v>21.44</v>
          </cell>
          <cell r="I291">
            <v>15.8</v>
          </cell>
          <cell r="J291">
            <v>31.59</v>
          </cell>
          <cell r="K291">
            <v>5.9540810000000004</v>
          </cell>
          <cell r="L291">
            <v>2.2200000000000002</v>
          </cell>
          <cell r="M291">
            <v>12.07</v>
          </cell>
          <cell r="N291">
            <v>12.241706000000001</v>
          </cell>
          <cell r="O291">
            <v>12.632719</v>
          </cell>
          <cell r="Q291">
            <v>77.418170044663569</v>
          </cell>
          <cell r="R291">
            <v>83.371977475985432</v>
          </cell>
          <cell r="S291">
            <v>129.30269733644647</v>
          </cell>
          <cell r="T291">
            <v>129.7259356376656</v>
          </cell>
          <cell r="U291">
            <v>105.71886691608765</v>
          </cell>
          <cell r="V291">
            <v>170.94075486415383</v>
          </cell>
          <cell r="W291">
            <v>109.61145194274029</v>
          </cell>
          <cell r="X291">
            <v>44.469462426118774</v>
          </cell>
          <cell r="Y291">
            <v>120.87239334226132</v>
          </cell>
          <cell r="Z291">
            <v>130.58039938987284</v>
          </cell>
          <cell r="AA291">
            <v>108.82352941176472</v>
          </cell>
          <cell r="AB291">
            <v>65.812431842966205</v>
          </cell>
          <cell r="AC291">
            <v>149.77885615488793</v>
          </cell>
          <cell r="AD291">
            <v>119.74637243267803</v>
          </cell>
          <cell r="AF291">
            <v>106.3873392192272</v>
          </cell>
          <cell r="AG291">
            <v>134.76261429378297</v>
          </cell>
        </row>
        <row r="292">
          <cell r="A292">
            <v>40468</v>
          </cell>
          <cell r="B292">
            <v>10.701521</v>
          </cell>
          <cell r="C292">
            <v>50.34</v>
          </cell>
          <cell r="D292">
            <v>67.363240000000005</v>
          </cell>
          <cell r="E292">
            <v>35.464042999999997</v>
          </cell>
          <cell r="F292">
            <v>79.12</v>
          </cell>
          <cell r="G292">
            <v>1.7654768000000001</v>
          </cell>
          <cell r="H292">
            <v>21.44</v>
          </cell>
          <cell r="I292">
            <v>15.8</v>
          </cell>
          <cell r="J292">
            <v>31.59</v>
          </cell>
          <cell r="K292">
            <v>5.9540810000000004</v>
          </cell>
          <cell r="L292">
            <v>2.2200000000000002</v>
          </cell>
          <cell r="M292">
            <v>12.07</v>
          </cell>
          <cell r="N292">
            <v>12.241706000000001</v>
          </cell>
          <cell r="O292">
            <v>12.632719</v>
          </cell>
          <cell r="Q292">
            <v>77.418170044663569</v>
          </cell>
          <cell r="R292">
            <v>83.371977475985432</v>
          </cell>
          <cell r="S292">
            <v>129.30269733644647</v>
          </cell>
          <cell r="T292">
            <v>129.7259356376656</v>
          </cell>
          <cell r="U292">
            <v>105.71886691608765</v>
          </cell>
          <cell r="V292">
            <v>170.94075486415383</v>
          </cell>
          <cell r="W292">
            <v>109.61145194274029</v>
          </cell>
          <cell r="X292">
            <v>44.469462426118774</v>
          </cell>
          <cell r="Y292">
            <v>120.87239334226132</v>
          </cell>
          <cell r="Z292">
            <v>130.58039938987284</v>
          </cell>
          <cell r="AA292">
            <v>108.82352941176472</v>
          </cell>
          <cell r="AB292">
            <v>65.812431842966205</v>
          </cell>
          <cell r="AC292">
            <v>149.77885615488793</v>
          </cell>
          <cell r="AD292">
            <v>119.74637243267803</v>
          </cell>
          <cell r="AF292">
            <v>106.3873392192272</v>
          </cell>
          <cell r="AG292">
            <v>134.76261429378297</v>
          </cell>
        </row>
        <row r="293">
          <cell r="A293">
            <v>40469</v>
          </cell>
          <cell r="B293">
            <v>10.758317999999999</v>
          </cell>
          <cell r="C293">
            <v>51.57</v>
          </cell>
          <cell r="D293">
            <v>68.855090000000004</v>
          </cell>
          <cell r="E293">
            <v>36.312125999999999</v>
          </cell>
          <cell r="F293">
            <v>79.959999999999994</v>
          </cell>
          <cell r="G293">
            <v>1.7392642</v>
          </cell>
          <cell r="H293">
            <v>21.95</v>
          </cell>
          <cell r="I293">
            <v>16.440000000000001</v>
          </cell>
          <cell r="J293">
            <v>31.45</v>
          </cell>
          <cell r="K293">
            <v>5.969131</v>
          </cell>
          <cell r="L293">
            <v>2.17</v>
          </cell>
          <cell r="M293">
            <v>12.06</v>
          </cell>
          <cell r="N293">
            <v>11.973846</v>
          </cell>
          <cell r="O293">
            <v>12.648768</v>
          </cell>
          <cell r="Q293">
            <v>77.829057413293384</v>
          </cell>
          <cell r="R293">
            <v>85.409075852931423</v>
          </cell>
          <cell r="S293">
            <v>132.1662803384128</v>
          </cell>
          <cell r="T293">
            <v>132.82818657598639</v>
          </cell>
          <cell r="U293">
            <v>106.84126135756277</v>
          </cell>
          <cell r="V293">
            <v>168.40274267903072</v>
          </cell>
          <cell r="W293">
            <v>112.21881390593047</v>
          </cell>
          <cell r="X293">
            <v>46.270757106670423</v>
          </cell>
          <cell r="Y293">
            <v>120.33671321982015</v>
          </cell>
          <cell r="Z293">
            <v>130.91046460242492</v>
          </cell>
          <cell r="AA293">
            <v>106.37254901960785</v>
          </cell>
          <cell r="AB293">
            <v>65.757906215921494</v>
          </cell>
          <cell r="AC293">
            <v>146.50155441200599</v>
          </cell>
          <cell r="AD293">
            <v>119.89850195690572</v>
          </cell>
          <cell r="AF293">
            <v>107.11198402396606</v>
          </cell>
          <cell r="AG293">
            <v>133.20002818445585</v>
          </cell>
        </row>
        <row r="294">
          <cell r="A294">
            <v>40470</v>
          </cell>
          <cell r="B294">
            <v>10.646686000000001</v>
          </cell>
          <cell r="C294">
            <v>50.08</v>
          </cell>
          <cell r="D294">
            <v>67.465170000000001</v>
          </cell>
          <cell r="E294">
            <v>36.066980000000001</v>
          </cell>
          <cell r="F294">
            <v>78.989999999999995</v>
          </cell>
          <cell r="G294">
            <v>1.6797099</v>
          </cell>
          <cell r="H294">
            <v>21.75</v>
          </cell>
          <cell r="I294">
            <v>16.03</v>
          </cell>
          <cell r="J294">
            <v>30.51</v>
          </cell>
          <cell r="K294">
            <v>5.8532460000000004</v>
          </cell>
          <cell r="L294">
            <v>2.0699999999999998</v>
          </cell>
          <cell r="M294">
            <v>11.58</v>
          </cell>
          <cell r="N294">
            <v>11.776192999999999</v>
          </cell>
          <cell r="O294">
            <v>12.427137999999999</v>
          </cell>
          <cell r="Q294">
            <v>77.021476401358186</v>
          </cell>
          <cell r="R294">
            <v>82.941371315004957</v>
          </cell>
          <cell r="S294">
            <v>129.49835039499152</v>
          </cell>
          <cell r="T294">
            <v>131.93145310942054</v>
          </cell>
          <cell r="U294">
            <v>105.54516301443077</v>
          </cell>
          <cell r="V294">
            <v>162.63644940493828</v>
          </cell>
          <cell r="W294">
            <v>111.19631901840492</v>
          </cell>
          <cell r="X294">
            <v>45.116802701942021</v>
          </cell>
          <cell r="Y294">
            <v>116.7400038262866</v>
          </cell>
          <cell r="Z294">
            <v>128.36896246577356</v>
          </cell>
          <cell r="AA294">
            <v>101.47058823529412</v>
          </cell>
          <cell r="AB294">
            <v>63.140676117775349</v>
          </cell>
          <cell r="AC294">
            <v>144.08324439413903</v>
          </cell>
          <cell r="AD294">
            <v>117.7976566422704</v>
          </cell>
          <cell r="AF294">
            <v>104.63396800046841</v>
          </cell>
          <cell r="AG294">
            <v>130.94045051820473</v>
          </cell>
        </row>
        <row r="295">
          <cell r="A295">
            <v>40471</v>
          </cell>
          <cell r="B295">
            <v>10.73977</v>
          </cell>
          <cell r="C295">
            <v>47.79</v>
          </cell>
          <cell r="D295">
            <v>67.218580000000003</v>
          </cell>
          <cell r="E295">
            <v>36.265909999999998</v>
          </cell>
          <cell r="F295">
            <v>78.319999999999993</v>
          </cell>
          <cell r="G295">
            <v>1.6742188</v>
          </cell>
          <cell r="H295">
            <v>21.91</v>
          </cell>
          <cell r="I295">
            <v>16.07</v>
          </cell>
          <cell r="J295">
            <v>30.94</v>
          </cell>
          <cell r="K295">
            <v>5.9315059999999997</v>
          </cell>
          <cell r="L295">
            <v>2.04</v>
          </cell>
          <cell r="M295">
            <v>11.85</v>
          </cell>
          <cell r="N295">
            <v>11.953569999999999</v>
          </cell>
          <cell r="O295">
            <v>12.484707999999999</v>
          </cell>
          <cell r="Q295">
            <v>77.694875345343576</v>
          </cell>
          <cell r="R295">
            <v>79.148724743292476</v>
          </cell>
          <cell r="S295">
            <v>129.02502470376595</v>
          </cell>
          <cell r="T295">
            <v>132.65913044661531</v>
          </cell>
          <cell r="U295">
            <v>104.64991982896845</v>
          </cell>
          <cell r="V295">
            <v>162.10477842572487</v>
          </cell>
          <cell r="W295">
            <v>112.01431492842538</v>
          </cell>
          <cell r="X295">
            <v>45.229383619476501</v>
          </cell>
          <cell r="Y295">
            <v>118.38530705949874</v>
          </cell>
          <cell r="Z295">
            <v>130.0853015710446</v>
          </cell>
          <cell r="AA295">
            <v>100</v>
          </cell>
          <cell r="AB295">
            <v>64.612868047982559</v>
          </cell>
          <cell r="AC295">
            <v>146.25347492966941</v>
          </cell>
          <cell r="AD295">
            <v>118.34336645034492</v>
          </cell>
          <cell r="AF295">
            <v>104.6341357266782</v>
          </cell>
          <cell r="AG295">
            <v>132.29842069000716</v>
          </cell>
        </row>
        <row r="296">
          <cell r="A296">
            <v>40472</v>
          </cell>
          <cell r="B296">
            <v>10.859714</v>
          </cell>
          <cell r="C296">
            <v>47.79</v>
          </cell>
          <cell r="D296">
            <v>66.387479999999996</v>
          </cell>
          <cell r="E296">
            <v>36.199039999999997</v>
          </cell>
          <cell r="F296">
            <v>78.08</v>
          </cell>
          <cell r="G296">
            <v>1.6888375</v>
          </cell>
          <cell r="H296">
            <v>22.09</v>
          </cell>
          <cell r="I296">
            <v>16.73</v>
          </cell>
          <cell r="J296">
            <v>31.36</v>
          </cell>
          <cell r="K296">
            <v>5.9378270000000004</v>
          </cell>
          <cell r="L296">
            <v>2</v>
          </cell>
          <cell r="M296">
            <v>11.52</v>
          </cell>
          <cell r="N296">
            <v>12.064938</v>
          </cell>
          <cell r="O296">
            <v>12.331075999999999</v>
          </cell>
          <cell r="Q296">
            <v>78.56258798056966</v>
          </cell>
          <cell r="R296">
            <v>79.148724743292476</v>
          </cell>
          <cell r="S296">
            <v>127.42974110760399</v>
          </cell>
          <cell r="T296">
            <v>132.41452287843444</v>
          </cell>
          <cell r="U296">
            <v>104.3292357028327</v>
          </cell>
          <cell r="V296">
            <v>163.52022133221482</v>
          </cell>
          <cell r="W296">
            <v>112.93456032719837</v>
          </cell>
          <cell r="X296">
            <v>47.086968758795386</v>
          </cell>
          <cell r="Y296">
            <v>119.99234742682225</v>
          </cell>
          <cell r="Z296">
            <v>130.22392896031653</v>
          </cell>
          <cell r="AA296">
            <v>98.039215686274503</v>
          </cell>
          <cell r="AB296">
            <v>62.813522355507089</v>
          </cell>
          <cell r="AC296">
            <v>147.61607681312074</v>
          </cell>
          <cell r="AD296">
            <v>116.88707864012946</v>
          </cell>
          <cell r="AF296">
            <v>104.70796477165517</v>
          </cell>
          <cell r="AG296">
            <v>132.2515777266251</v>
          </cell>
        </row>
        <row r="297">
          <cell r="A297">
            <v>40473</v>
          </cell>
          <cell r="B297">
            <v>10.819753</v>
          </cell>
          <cell r="C297">
            <v>49.03</v>
          </cell>
          <cell r="D297">
            <v>66.691230000000004</v>
          </cell>
          <cell r="E297">
            <v>36.747729999999997</v>
          </cell>
          <cell r="F297">
            <v>79.16</v>
          </cell>
          <cell r="G297">
            <v>1.6855879</v>
          </cell>
          <cell r="H297">
            <v>22.79</v>
          </cell>
          <cell r="I297">
            <v>17.329999999999998</v>
          </cell>
          <cell r="J297">
            <v>31.59</v>
          </cell>
          <cell r="K297">
            <v>5.8999009999999998</v>
          </cell>
          <cell r="L297">
            <v>2.08</v>
          </cell>
          <cell r="M297">
            <v>10.029999999999999</v>
          </cell>
          <cell r="N297">
            <v>11.976754</v>
          </cell>
          <cell r="O297">
            <v>12.389747</v>
          </cell>
          <cell r="Q297">
            <v>78.27349753322531</v>
          </cell>
          <cell r="R297">
            <v>81.202384895660813</v>
          </cell>
          <cell r="S297">
            <v>128.01278453478989</v>
          </cell>
          <cell r="T297">
            <v>134.42160717012197</v>
          </cell>
          <cell r="U297">
            <v>105.7723142704436</v>
          </cell>
          <cell r="V297">
            <v>163.20558163997615</v>
          </cell>
          <cell r="W297">
            <v>116.51329243353783</v>
          </cell>
          <cell r="X297">
            <v>48.775682521812548</v>
          </cell>
          <cell r="Y297">
            <v>120.87239334226132</v>
          </cell>
          <cell r="Z297">
            <v>129.39216462468514</v>
          </cell>
          <cell r="AA297">
            <v>101.96078431372548</v>
          </cell>
          <cell r="AB297">
            <v>54.689203925845142</v>
          </cell>
          <cell r="AC297">
            <v>146.53713416810356</v>
          </cell>
          <cell r="AD297">
            <v>117.44322489945793</v>
          </cell>
          <cell r="AF297">
            <v>105.25764093384043</v>
          </cell>
          <cell r="AG297">
            <v>131.99017953378075</v>
          </cell>
          <cell r="AH297">
            <v>0.25397242768097961</v>
          </cell>
        </row>
      </sheetData>
      <sheetData sheetId="3" refreshError="1"/>
      <sheetData sheetId="4" refreshError="1"/>
      <sheetData sheetId="5" refreshError="1"/>
      <sheetData sheetId="6" refreshError="1"/>
      <sheetData sheetId="7">
        <row r="1">
          <cell r="D1" t="str">
            <v xml:space="preserve">P / E </v>
          </cell>
          <cell r="H1" t="str">
            <v>EV / EBITDA</v>
          </cell>
          <cell r="L1" t="str">
            <v>PBV</v>
          </cell>
          <cell r="P1" t="str">
            <v>ROE</v>
          </cell>
          <cell r="T1" t="str">
            <v>EPS</v>
          </cell>
        </row>
        <row r="2">
          <cell r="Q2" t="str">
            <v>(%)</v>
          </cell>
        </row>
        <row r="3">
          <cell r="D3">
            <v>2009</v>
          </cell>
          <cell r="E3">
            <v>2010</v>
          </cell>
          <cell r="F3">
            <v>2011</v>
          </cell>
          <cell r="H3">
            <v>2009</v>
          </cell>
          <cell r="I3">
            <v>2010</v>
          </cell>
          <cell r="J3">
            <v>2011</v>
          </cell>
          <cell r="L3">
            <v>2009</v>
          </cell>
          <cell r="M3">
            <v>2010</v>
          </cell>
          <cell r="N3">
            <v>2011</v>
          </cell>
          <cell r="P3">
            <v>2009</v>
          </cell>
          <cell r="Q3">
            <v>2010</v>
          </cell>
          <cell r="R3">
            <v>2011</v>
          </cell>
          <cell r="T3">
            <v>2010</v>
          </cell>
          <cell r="U3">
            <v>2011</v>
          </cell>
        </row>
        <row r="4">
          <cell r="B4" t="str">
            <v>Company</v>
          </cell>
        </row>
        <row r="6">
          <cell r="B6" t="str">
            <v>SONIC HEALTHCARE</v>
          </cell>
          <cell r="D6">
            <v>14.740912926668001</v>
          </cell>
          <cell r="E6">
            <v>14.740912926668001</v>
          </cell>
          <cell r="F6">
            <v>14.740912926668001</v>
          </cell>
          <cell r="H6">
            <v>11.8863835662785</v>
          </cell>
          <cell r="I6">
            <v>11.8863835662785</v>
          </cell>
          <cell r="J6">
            <v>11.8863835662785</v>
          </cell>
          <cell r="L6">
            <v>2.3431096945388901</v>
          </cell>
          <cell r="M6">
            <v>2.3431096945388901</v>
          </cell>
          <cell r="N6">
            <v>2.3431096945388901</v>
          </cell>
          <cell r="P6">
            <v>15.039405923785901</v>
          </cell>
          <cell r="Q6">
            <v>13.670283312467399</v>
          </cell>
          <cell r="R6">
            <v>14.5663999029987</v>
          </cell>
          <cell r="T6">
            <v>0.86550279498333105</v>
          </cell>
          <cell r="U6">
            <v>0.93767619469294505</v>
          </cell>
          <cell r="V6">
            <v>8.338898514013926E-2</v>
          </cell>
        </row>
        <row r="7">
          <cell r="B7" t="str">
            <v>QUEST DIAGNOSTICS INC</v>
          </cell>
          <cell r="D7">
            <v>15.403060999999999</v>
          </cell>
          <cell r="E7">
            <v>12.269428</v>
          </cell>
          <cell r="F7">
            <v>11.377336999999999</v>
          </cell>
          <cell r="H7">
            <v>6.7233792349212695</v>
          </cell>
          <cell r="I7">
            <v>7.0151956179253556</v>
          </cell>
          <cell r="J7">
            <v>6.8536460986135239</v>
          </cell>
          <cell r="L7">
            <v>2.27623</v>
          </cell>
          <cell r="M7">
            <v>2.2842539999999998</v>
          </cell>
          <cell r="N7">
            <v>1.9771909999999999</v>
          </cell>
          <cell r="P7">
            <v>20.237708043578401</v>
          </cell>
          <cell r="Q7">
            <v>18.316372504123901</v>
          </cell>
          <cell r="R7">
            <v>18.726876325526501</v>
          </cell>
          <cell r="T7">
            <v>4.1000000000000005</v>
          </cell>
          <cell r="U7">
            <v>3.95</v>
          </cell>
          <cell r="V7">
            <v>-3.6585365853658569E-2</v>
          </cell>
        </row>
        <row r="8">
          <cell r="B8" t="str">
            <v>SYSMEX CORP</v>
          </cell>
          <cell r="H8" t="str">
            <v>NA</v>
          </cell>
          <cell r="I8" t="str">
            <v>NA</v>
          </cell>
          <cell r="J8" t="str">
            <v>NA</v>
          </cell>
        </row>
        <row r="9">
          <cell r="B9" t="str">
            <v>MIRACA HLDGS INC</v>
          </cell>
          <cell r="D9">
            <v>12.342984</v>
          </cell>
          <cell r="E9">
            <v>13.759500000000001</v>
          </cell>
          <cell r="F9">
            <v>12.934211999999999</v>
          </cell>
          <cell r="H9" t="str">
            <v>NA</v>
          </cell>
          <cell r="I9">
            <v>4.630552322871079</v>
          </cell>
          <cell r="J9" t="str">
            <v>NA</v>
          </cell>
          <cell r="L9">
            <v>1.8315489999999999</v>
          </cell>
          <cell r="M9">
            <v>1.651214</v>
          </cell>
          <cell r="N9">
            <v>1.4963069999999998</v>
          </cell>
          <cell r="P9">
            <v>12.183536</v>
          </cell>
          <cell r="Q9">
            <v>12.000537999999999</v>
          </cell>
          <cell r="R9">
            <v>11.568596999999999</v>
          </cell>
          <cell r="T9">
            <v>199.49</v>
          </cell>
          <cell r="U9">
            <v>199.49</v>
          </cell>
          <cell r="V9">
            <v>0</v>
          </cell>
        </row>
        <row r="10">
          <cell r="B10" t="str">
            <v>LABORATORY CP OF AMER HLDGS</v>
          </cell>
          <cell r="D10">
            <v>14.790514999999999</v>
          </cell>
          <cell r="E10">
            <v>14.283272</v>
          </cell>
          <cell r="F10">
            <v>13.131705999999999</v>
          </cell>
          <cell r="H10">
            <v>1.0724415518055177</v>
          </cell>
          <cell r="I10">
            <v>7.7275082191769542</v>
          </cell>
          <cell r="J10">
            <v>7.1713633391080878</v>
          </cell>
          <cell r="L10">
            <v>4.1745939999999999</v>
          </cell>
          <cell r="M10">
            <v>3.8504259999999997</v>
          </cell>
          <cell r="N10">
            <v>3.068238</v>
          </cell>
          <cell r="P10">
            <v>25.788</v>
          </cell>
          <cell r="Q10">
            <v>26.957590000000003</v>
          </cell>
          <cell r="R10">
            <v>23.365110000000001</v>
          </cell>
          <cell r="T10">
            <v>5.3100000000000005</v>
          </cell>
          <cell r="U10">
            <v>5.38</v>
          </cell>
          <cell r="V10">
            <v>1.3182674199623268E-2</v>
          </cell>
        </row>
        <row r="11">
          <cell r="B11" t="str">
            <v>RAFFLES MEDICAL</v>
          </cell>
          <cell r="H11" t="str">
            <v>NA</v>
          </cell>
          <cell r="I11" t="str">
            <v>NA</v>
          </cell>
          <cell r="J11" t="str">
            <v>NA</v>
          </cell>
        </row>
        <row r="12">
          <cell r="B12" t="str">
            <v>BIO REFERENCE LABS</v>
          </cell>
          <cell r="D12">
            <v>21.106260000000002</v>
          </cell>
          <cell r="E12">
            <v>26.149570000000001</v>
          </cell>
          <cell r="F12">
            <v>22.56118</v>
          </cell>
          <cell r="H12">
            <v>22.756013818352518</v>
          </cell>
          <cell r="I12">
            <v>20.358060425960169</v>
          </cell>
          <cell r="J12">
            <v>16.943852170607222</v>
          </cell>
          <cell r="L12">
            <v>4.5091999999999999</v>
          </cell>
          <cell r="M12">
            <v>3.4897860000000001</v>
          </cell>
          <cell r="N12">
            <v>3.0647600000000002</v>
          </cell>
          <cell r="P12">
            <v>14.367215</v>
          </cell>
          <cell r="Q12">
            <v>13.345480999999999</v>
          </cell>
          <cell r="R12">
            <v>13.584214999999999</v>
          </cell>
          <cell r="T12">
            <v>7.8600000000000003E-2</v>
          </cell>
          <cell r="U12">
            <v>7.8600000000000003E-2</v>
          </cell>
          <cell r="V12">
            <v>0</v>
          </cell>
        </row>
        <row r="13">
          <cell r="B13" t="str">
            <v>GENOPTIX INC</v>
          </cell>
          <cell r="D13">
            <v>19.738900000000001</v>
          </cell>
          <cell r="E13">
            <v>16.554820000000003</v>
          </cell>
          <cell r="F13">
            <v>17.167950000000001</v>
          </cell>
          <cell r="H13">
            <v>2.3942270028289863</v>
          </cell>
          <cell r="I13">
            <v>3.5378179332437933</v>
          </cell>
          <cell r="J13">
            <v>3.6818058854461033</v>
          </cell>
          <cell r="L13">
            <v>2.0245329999999999</v>
          </cell>
          <cell r="M13">
            <v>2.0667519999999997</v>
          </cell>
          <cell r="N13">
            <v>1.248</v>
          </cell>
          <cell r="P13">
            <v>19.97663</v>
          </cell>
          <cell r="Q13">
            <v>12.484292</v>
          </cell>
          <cell r="R13">
            <v>7.2693689999999993</v>
          </cell>
          <cell r="T13">
            <v>1.61</v>
          </cell>
          <cell r="U13">
            <v>1.54</v>
          </cell>
          <cell r="V13">
            <v>-4.3478260869565299E-2</v>
          </cell>
        </row>
        <row r="14">
          <cell r="B14" t="str">
            <v>RESMED INC</v>
          </cell>
          <cell r="H14" t="str">
            <v>NA</v>
          </cell>
          <cell r="I14" t="str">
            <v>NA</v>
          </cell>
          <cell r="J14" t="str">
            <v>NA</v>
          </cell>
        </row>
        <row r="15">
          <cell r="B15" t="str">
            <v>HEALTHSCOPE</v>
          </cell>
          <cell r="D15">
            <v>12.276786999999999</v>
          </cell>
          <cell r="E15">
            <v>14.607090000000001</v>
          </cell>
          <cell r="F15">
            <v>16.050150000000002</v>
          </cell>
          <cell r="H15">
            <v>12.343122020698383</v>
          </cell>
          <cell r="I15" t="str">
            <v>NA</v>
          </cell>
          <cell r="J15" t="str">
            <v>NA</v>
          </cell>
          <cell r="L15">
            <v>1.699576</v>
          </cell>
          <cell r="M15">
            <v>1.5921449999999999</v>
          </cell>
          <cell r="N15">
            <v>1.563267</v>
          </cell>
          <cell r="P15">
            <v>8.1026300000000013</v>
          </cell>
          <cell r="Q15">
            <v>8.6377839999999999</v>
          </cell>
          <cell r="R15">
            <v>8.862603</v>
          </cell>
          <cell r="T15">
            <v>0.27729999999999999</v>
          </cell>
          <cell r="U15">
            <v>0.31790000000000002</v>
          </cell>
          <cell r="V15">
            <v>0.14641182834475308</v>
          </cell>
        </row>
        <row r="16">
          <cell r="B16" t="str">
            <v>RADNET</v>
          </cell>
          <cell r="H16">
            <v>5.3397265114521026</v>
          </cell>
          <cell r="I16">
            <v>5.4134587490424702</v>
          </cell>
          <cell r="J16">
            <v>4.9100277152260521</v>
          </cell>
        </row>
        <row r="17">
          <cell r="B17" t="str">
            <v>DIAGNOSTICOS DA AMERICA</v>
          </cell>
          <cell r="D17">
            <v>19.729117892189201</v>
          </cell>
          <cell r="E17">
            <v>19.729117892189201</v>
          </cell>
          <cell r="F17">
            <v>19.729117892189201</v>
          </cell>
          <cell r="H17">
            <v>9.3578548665922803</v>
          </cell>
          <cell r="I17">
            <v>9.3578548665922803</v>
          </cell>
          <cell r="J17">
            <v>9.3578548665922803</v>
          </cell>
          <cell r="L17">
            <v>5.8275990300307701</v>
          </cell>
          <cell r="M17">
            <v>5.8275990300307701</v>
          </cell>
          <cell r="N17">
            <v>5.8275990300307701</v>
          </cell>
          <cell r="P17">
            <v>34.624095471756696</v>
          </cell>
          <cell r="Q17">
            <v>41.778721373458602</v>
          </cell>
          <cell r="R17">
            <v>43.987697208679897</v>
          </cell>
          <cell r="T17">
            <v>0.59893251255024504</v>
          </cell>
          <cell r="U17">
            <v>0.77030027228360198</v>
          </cell>
          <cell r="V17">
            <v>0.28612198560347935</v>
          </cell>
        </row>
        <row r="18">
          <cell r="B18" t="str">
            <v>FLEURY</v>
          </cell>
          <cell r="D18">
            <v>28.173704612007601</v>
          </cell>
          <cell r="E18">
            <v>28.173704612007601</v>
          </cell>
          <cell r="F18">
            <v>28.173704612007601</v>
          </cell>
          <cell r="H18">
            <v>10.138243304727901</v>
          </cell>
          <cell r="I18">
            <v>10.138243304727901</v>
          </cell>
          <cell r="J18">
            <v>10.138243304727901</v>
          </cell>
          <cell r="L18">
            <v>2.3879125306398898</v>
          </cell>
          <cell r="M18">
            <v>2.3879125306398898</v>
          </cell>
          <cell r="N18">
            <v>2.3879125306398898</v>
          </cell>
          <cell r="P18">
            <v>56.531105533718893</v>
          </cell>
          <cell r="Q18">
            <v>15.277778737413</v>
          </cell>
          <cell r="R18">
            <v>15.355089845118099</v>
          </cell>
          <cell r="T18">
            <v>0.68568158173660698</v>
          </cell>
          <cell r="U18">
            <v>0.76811682156984795</v>
          </cell>
          <cell r="V18">
            <v>0.12022379195961408</v>
          </cell>
        </row>
        <row r="19">
          <cell r="B19" t="str">
            <v>HEALTHWAYS</v>
          </cell>
          <cell r="D19">
            <v>59.161290000000008</v>
          </cell>
          <cell r="E19">
            <v>8.9991839999999996</v>
          </cell>
          <cell r="F19">
            <v>9.4541550000000001</v>
          </cell>
          <cell r="H19">
            <v>602.45385999999996</v>
          </cell>
          <cell r="I19">
            <v>602.45385999999996</v>
          </cell>
          <cell r="J19">
            <v>602.45385999999996</v>
          </cell>
          <cell r="L19">
            <v>0.91486780000000001</v>
          </cell>
          <cell r="M19">
            <v>0.84992000000000012</v>
          </cell>
          <cell r="N19">
            <v>0.75508160000000002</v>
          </cell>
          <cell r="P19">
            <v>9.486165999999999</v>
          </cell>
          <cell r="Q19">
            <v>9.4444109999999988</v>
          </cell>
          <cell r="R19">
            <v>7.9867700000000008</v>
          </cell>
          <cell r="T19">
            <v>1.1000000000000001</v>
          </cell>
          <cell r="U19">
            <v>1.0900000000000001</v>
          </cell>
          <cell r="V19">
            <v>-9.0909090909091494E-3</v>
          </cell>
        </row>
        <row r="21">
          <cell r="B21" t="str">
            <v>DASA</v>
          </cell>
        </row>
        <row r="22">
          <cell r="B22" t="str">
            <v>FLRY</v>
          </cell>
        </row>
      </sheetData>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C USD"/>
      <sheetName val="AGRO BRL"/>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LC BRL"/>
      <sheetName val="SLC USD"/>
      <sheetName val="AGRO BRL"/>
      <sheetName val="AGRO USD"/>
    </sheetNames>
    <sheetDataSet>
      <sheetData sheetId="0"/>
      <sheetData sheetId="1"/>
      <sheetData sheetId="2">
        <row r="1">
          <cell r="B1" t="str">
            <v>SLCE3-BR</v>
          </cell>
          <cell r="C1">
            <v>180264</v>
          </cell>
          <cell r="E1" t="str">
            <v>SLCE3 (base 100)</v>
          </cell>
          <cell r="F1" t="str">
            <v>Ibovespa (base 100)</v>
          </cell>
          <cell r="H1" t="str">
            <v>Soybean (USD/bu)</v>
          </cell>
        </row>
        <row r="2">
          <cell r="A2">
            <v>40239</v>
          </cell>
          <cell r="B2">
            <v>8.6978480000000005</v>
          </cell>
          <cell r="C2">
            <v>38034.375</v>
          </cell>
          <cell r="E2">
            <v>100</v>
          </cell>
          <cell r="F2">
            <v>100</v>
          </cell>
          <cell r="H2">
            <v>9.5425000000000004</v>
          </cell>
        </row>
        <row r="3">
          <cell r="A3">
            <v>40240</v>
          </cell>
          <cell r="B3">
            <v>8.5409050000000004</v>
          </cell>
          <cell r="C3">
            <v>38032.805</v>
          </cell>
          <cell r="E3">
            <v>98.19561114427384</v>
          </cell>
          <cell r="F3">
            <v>99.995872155122839</v>
          </cell>
          <cell r="H3">
            <v>9.5449999999999999</v>
          </cell>
        </row>
        <row r="4">
          <cell r="A4">
            <v>40241</v>
          </cell>
          <cell r="B4">
            <v>8.573264</v>
          </cell>
          <cell r="C4">
            <v>37875.792999999998</v>
          </cell>
          <cell r="E4">
            <v>98.567645698108308</v>
          </cell>
          <cell r="F4">
            <v>99.58305611699943</v>
          </cell>
          <cell r="H4">
            <v>9.3249999999999993</v>
          </cell>
        </row>
        <row r="5">
          <cell r="A5">
            <v>40242</v>
          </cell>
          <cell r="B5">
            <v>8.7179059999999993</v>
          </cell>
          <cell r="C5">
            <v>38722.406000000003</v>
          </cell>
          <cell r="E5">
            <v>100.23060876667422</v>
          </cell>
          <cell r="F5">
            <v>101.80897148960646</v>
          </cell>
          <cell r="H5">
            <v>9.3475000000000001</v>
          </cell>
        </row>
        <row r="6">
          <cell r="A6">
            <v>40243</v>
          </cell>
          <cell r="B6">
            <v>8.7179059999999993</v>
          </cell>
          <cell r="C6">
            <v>38722.406000000003</v>
          </cell>
          <cell r="E6">
            <v>100.23060876667422</v>
          </cell>
          <cell r="F6">
            <v>101.80897148960646</v>
          </cell>
          <cell r="H6">
            <v>9.3475000000000001</v>
          </cell>
        </row>
        <row r="7">
          <cell r="A7">
            <v>40244</v>
          </cell>
          <cell r="B7">
            <v>8.7179059999999993</v>
          </cell>
          <cell r="C7">
            <v>38722.406000000003</v>
          </cell>
          <cell r="E7">
            <v>100.23060876667422</v>
          </cell>
          <cell r="F7">
            <v>101.80897148960646</v>
          </cell>
          <cell r="H7">
            <v>9.3475000000000001</v>
          </cell>
        </row>
        <row r="8">
          <cell r="A8">
            <v>40245</v>
          </cell>
          <cell r="B8">
            <v>8.7530409999999996</v>
          </cell>
          <cell r="C8">
            <v>38354.241999999998</v>
          </cell>
          <cell r="E8">
            <v>100.63455926109538</v>
          </cell>
          <cell r="F8">
            <v>100.84099449511132</v>
          </cell>
          <cell r="H8">
            <v>9.4049999999999994</v>
          </cell>
        </row>
        <row r="9">
          <cell r="A9">
            <v>40246</v>
          </cell>
          <cell r="B9">
            <v>8.7851409999999994</v>
          </cell>
          <cell r="C9">
            <v>38808.78</v>
          </cell>
          <cell r="E9">
            <v>101.00361606687078</v>
          </cell>
          <cell r="F9">
            <v>102.03606605866405</v>
          </cell>
          <cell r="H9">
            <v>9.4149999999999991</v>
          </cell>
        </row>
        <row r="10">
          <cell r="A10">
            <v>40247</v>
          </cell>
          <cell r="B10">
            <v>8.9391789999999993</v>
          </cell>
          <cell r="C10">
            <v>39592.239999999998</v>
          </cell>
          <cell r="E10">
            <v>102.77460585652909</v>
          </cell>
          <cell r="F10">
            <v>104.09593952838713</v>
          </cell>
          <cell r="H10">
            <v>9.52</v>
          </cell>
        </row>
        <row r="11">
          <cell r="A11">
            <v>40248</v>
          </cell>
          <cell r="B11">
            <v>8.4614519999999995</v>
          </cell>
          <cell r="C11">
            <v>39500.684000000001</v>
          </cell>
          <cell r="E11">
            <v>97.282132315947564</v>
          </cell>
          <cell r="F11">
            <v>103.85522044203435</v>
          </cell>
          <cell r="H11">
            <v>9.2550000000000008</v>
          </cell>
        </row>
        <row r="12">
          <cell r="A12">
            <v>40249</v>
          </cell>
          <cell r="B12">
            <v>8.2724639999999994</v>
          </cell>
          <cell r="C12">
            <v>39262.43</v>
          </cell>
          <cell r="E12">
            <v>95.109318994767435</v>
          </cell>
          <cell r="F12">
            <v>103.22880289212063</v>
          </cell>
          <cell r="H12">
            <v>9.26</v>
          </cell>
        </row>
        <row r="13">
          <cell r="A13">
            <v>40250</v>
          </cell>
          <cell r="B13">
            <v>8.2724639999999994</v>
          </cell>
          <cell r="C13">
            <v>39262.43</v>
          </cell>
          <cell r="E13">
            <v>95.109318994767435</v>
          </cell>
          <cell r="F13">
            <v>103.22880289212063</v>
          </cell>
          <cell r="H13">
            <v>9.26</v>
          </cell>
        </row>
        <row r="14">
          <cell r="A14">
            <v>40251</v>
          </cell>
          <cell r="B14">
            <v>8.2724639999999994</v>
          </cell>
          <cell r="C14">
            <v>39262.43</v>
          </cell>
          <cell r="E14">
            <v>95.109318994767435</v>
          </cell>
          <cell r="F14">
            <v>103.22880289212063</v>
          </cell>
          <cell r="H14">
            <v>9.26</v>
          </cell>
        </row>
        <row r="15">
          <cell r="A15">
            <v>40252</v>
          </cell>
          <cell r="B15">
            <v>8.0305605</v>
          </cell>
          <cell r="C15">
            <v>39062.675999999999</v>
          </cell>
          <cell r="E15">
            <v>92.328131050347167</v>
          </cell>
          <cell r="F15">
            <v>102.70360956371702</v>
          </cell>
          <cell r="H15">
            <v>9.3000000000000007</v>
          </cell>
        </row>
        <row r="16">
          <cell r="A16">
            <v>40253</v>
          </cell>
          <cell r="B16">
            <v>8.3477560000000004</v>
          </cell>
          <cell r="C16">
            <v>39691.402000000002</v>
          </cell>
          <cell r="E16">
            <v>95.974958403503948</v>
          </cell>
          <cell r="F16">
            <v>104.35665631418946</v>
          </cell>
          <cell r="H16">
            <v>9.4499999999999993</v>
          </cell>
        </row>
        <row r="17">
          <cell r="A17">
            <v>40254</v>
          </cell>
          <cell r="B17">
            <v>8.2122729999999997</v>
          </cell>
          <cell r="C17">
            <v>39488.707000000002</v>
          </cell>
          <cell r="E17">
            <v>94.417297244099913</v>
          </cell>
          <cell r="F17">
            <v>103.82373050694274</v>
          </cell>
          <cell r="H17">
            <v>9.59</v>
          </cell>
        </row>
        <row r="18">
          <cell r="A18">
            <v>40255</v>
          </cell>
          <cell r="B18">
            <v>8.1575640000000007</v>
          </cell>
          <cell r="C18">
            <v>38942.495999999999</v>
          </cell>
          <cell r="E18">
            <v>93.788302577833051</v>
          </cell>
          <cell r="F18">
            <v>102.38763224057186</v>
          </cell>
          <cell r="H18">
            <v>9.5950000000000006</v>
          </cell>
        </row>
        <row r="19">
          <cell r="A19">
            <v>40256</v>
          </cell>
          <cell r="B19">
            <v>8.3076139999999992</v>
          </cell>
          <cell r="C19">
            <v>38273.402000000002</v>
          </cell>
          <cell r="E19">
            <v>95.513441945639883</v>
          </cell>
          <cell r="F19">
            <v>100.62844992194562</v>
          </cell>
          <cell r="H19">
            <v>9.6174999999999997</v>
          </cell>
        </row>
        <row r="20">
          <cell r="A20">
            <v>40257</v>
          </cell>
          <cell r="B20">
            <v>8.3076139999999992</v>
          </cell>
          <cell r="C20">
            <v>38273.402000000002</v>
          </cell>
          <cell r="E20">
            <v>95.513441945639883</v>
          </cell>
          <cell r="F20">
            <v>100.62844992194562</v>
          </cell>
          <cell r="H20">
            <v>9.6174999999999997</v>
          </cell>
        </row>
        <row r="21">
          <cell r="A21">
            <v>40258</v>
          </cell>
          <cell r="B21">
            <v>8.3076139999999992</v>
          </cell>
          <cell r="C21">
            <v>38273.402000000002</v>
          </cell>
          <cell r="E21">
            <v>95.513441945639883</v>
          </cell>
          <cell r="F21">
            <v>100.62844992194562</v>
          </cell>
          <cell r="H21">
            <v>9.6174999999999997</v>
          </cell>
        </row>
        <row r="22">
          <cell r="A22">
            <v>40259</v>
          </cell>
          <cell r="B22">
            <v>8.4151539999999994</v>
          </cell>
          <cell r="C22">
            <v>38299.063000000002</v>
          </cell>
          <cell r="E22">
            <v>96.749839730471251</v>
          </cell>
          <cell r="F22">
            <v>100.69591783748255</v>
          </cell>
          <cell r="H22">
            <v>9.6850000000000005</v>
          </cell>
        </row>
        <row r="23">
          <cell r="A23">
            <v>40260</v>
          </cell>
          <cell r="B23">
            <v>8.6093270000000004</v>
          </cell>
          <cell r="C23">
            <v>38916.805</v>
          </cell>
          <cell r="E23">
            <v>98.982265498316366</v>
          </cell>
          <cell r="F23">
            <v>102.32008544901817</v>
          </cell>
          <cell r="H23">
            <v>9.68</v>
          </cell>
        </row>
        <row r="24">
          <cell r="A24">
            <v>40261</v>
          </cell>
          <cell r="B24">
            <v>8.5877219999999994</v>
          </cell>
          <cell r="C24">
            <v>38529.241999999998</v>
          </cell>
          <cell r="E24">
            <v>98.733870722965023</v>
          </cell>
          <cell r="F24">
            <v>101.30110459288473</v>
          </cell>
          <cell r="H24">
            <v>9.6</v>
          </cell>
        </row>
        <row r="25">
          <cell r="A25">
            <v>40262</v>
          </cell>
          <cell r="B25">
            <v>8.5886849999999999</v>
          </cell>
          <cell r="C25">
            <v>37924.120000000003</v>
          </cell>
          <cell r="E25">
            <v>98.744942427138298</v>
          </cell>
          <cell r="F25">
            <v>99.710117492399974</v>
          </cell>
          <cell r="H25">
            <v>9.4250000000000007</v>
          </cell>
        </row>
        <row r="26">
          <cell r="A26">
            <v>40263</v>
          </cell>
          <cell r="B26">
            <v>8.3191469999999992</v>
          </cell>
          <cell r="C26">
            <v>37714.925999999999</v>
          </cell>
          <cell r="E26">
            <v>95.646037962493708</v>
          </cell>
          <cell r="F26">
            <v>99.160104510722206</v>
          </cell>
          <cell r="H26">
            <v>9.52</v>
          </cell>
        </row>
        <row r="27">
          <cell r="A27">
            <v>40264</v>
          </cell>
          <cell r="B27">
            <v>8.3191469999999992</v>
          </cell>
          <cell r="C27">
            <v>37714.925999999999</v>
          </cell>
          <cell r="E27">
            <v>95.646037962493708</v>
          </cell>
          <cell r="F27">
            <v>99.160104510722206</v>
          </cell>
          <cell r="H27">
            <v>9.52</v>
          </cell>
        </row>
        <row r="28">
          <cell r="A28">
            <v>40265</v>
          </cell>
          <cell r="B28">
            <v>8.3191469999999992</v>
          </cell>
          <cell r="C28">
            <v>37714.925999999999</v>
          </cell>
          <cell r="E28">
            <v>95.646037962493708</v>
          </cell>
          <cell r="F28">
            <v>99.160104510722206</v>
          </cell>
          <cell r="H28">
            <v>9.52</v>
          </cell>
        </row>
        <row r="29">
          <cell r="A29">
            <v>40266</v>
          </cell>
          <cell r="B29">
            <v>8.4210530000000006</v>
          </cell>
          <cell r="C29">
            <v>38645.733999999997</v>
          </cell>
          <cell r="E29">
            <v>96.817661104217962</v>
          </cell>
          <cell r="F29">
            <v>101.6073854243694</v>
          </cell>
          <cell r="H29">
            <v>9.6750000000000007</v>
          </cell>
        </row>
        <row r="30">
          <cell r="A30">
            <v>40267</v>
          </cell>
          <cell r="B30">
            <v>8.2063570000000006</v>
          </cell>
          <cell r="C30">
            <v>38975.78</v>
          </cell>
          <cell r="E30">
            <v>94.349280419708421</v>
          </cell>
          <cell r="F30">
            <v>102.47514255196779</v>
          </cell>
          <cell r="H30">
            <v>9.74</v>
          </cell>
        </row>
        <row r="31">
          <cell r="A31">
            <v>40268</v>
          </cell>
          <cell r="B31">
            <v>8.1470269999999996</v>
          </cell>
          <cell r="C31">
            <v>39430.457000000002</v>
          </cell>
          <cell r="E31">
            <v>93.667157669345329</v>
          </cell>
          <cell r="F31">
            <v>103.67057957439816</v>
          </cell>
          <cell r="H31">
            <v>9.41</v>
          </cell>
        </row>
        <row r="32">
          <cell r="A32">
            <v>40269</v>
          </cell>
          <cell r="B32">
            <v>8.0269069999999996</v>
          </cell>
          <cell r="C32">
            <v>40211.605000000003</v>
          </cell>
          <cell r="E32">
            <v>92.286126407359603</v>
          </cell>
          <cell r="F32">
            <v>105.72437433242956</v>
          </cell>
          <cell r="H32">
            <v>9.42</v>
          </cell>
        </row>
        <row r="33">
          <cell r="A33">
            <v>40270</v>
          </cell>
          <cell r="B33">
            <v>8.0269069999999996</v>
          </cell>
          <cell r="C33">
            <v>40211.605000000003</v>
          </cell>
          <cell r="E33">
            <v>92.286126407359603</v>
          </cell>
          <cell r="F33">
            <v>105.72437433242956</v>
          </cell>
          <cell r="H33">
            <v>9.42</v>
          </cell>
        </row>
        <row r="34">
          <cell r="A34">
            <v>40271</v>
          </cell>
          <cell r="B34">
            <v>8.0269069999999996</v>
          </cell>
          <cell r="C34">
            <v>40211.605000000003</v>
          </cell>
          <cell r="E34">
            <v>92.286126407359603</v>
          </cell>
          <cell r="F34">
            <v>105.72437433242956</v>
          </cell>
          <cell r="H34">
            <v>9.42</v>
          </cell>
        </row>
        <row r="35">
          <cell r="A35">
            <v>40272</v>
          </cell>
          <cell r="B35">
            <v>8.0269069999999996</v>
          </cell>
          <cell r="C35">
            <v>40211.605000000003</v>
          </cell>
          <cell r="E35">
            <v>92.286126407359603</v>
          </cell>
          <cell r="F35">
            <v>105.72437433242956</v>
          </cell>
          <cell r="H35">
            <v>9.42</v>
          </cell>
        </row>
        <row r="36">
          <cell r="A36">
            <v>40273</v>
          </cell>
          <cell r="B36">
            <v>8.0147790000000008</v>
          </cell>
          <cell r="C36">
            <v>40522.769999999997</v>
          </cell>
          <cell r="E36">
            <v>92.146689617937682</v>
          </cell>
          <cell r="F36">
            <v>106.54248952427901</v>
          </cell>
          <cell r="H36">
            <v>9.36</v>
          </cell>
        </row>
        <row r="37">
          <cell r="A37">
            <v>40274</v>
          </cell>
          <cell r="B37">
            <v>8.1572370000000003</v>
          </cell>
          <cell r="C37">
            <v>40386.074000000001</v>
          </cell>
          <cell r="E37">
            <v>93.784543027194772</v>
          </cell>
          <cell r="F37">
            <v>106.18308832470626</v>
          </cell>
          <cell r="H37">
            <v>9.4450000000000003</v>
          </cell>
        </row>
        <row r="38">
          <cell r="A38">
            <v>40275</v>
          </cell>
          <cell r="B38">
            <v>8.1360740000000007</v>
          </cell>
          <cell r="C38">
            <v>40137.741999999998</v>
          </cell>
          <cell r="E38">
            <v>93.541229968608334</v>
          </cell>
          <cell r="F38">
            <v>105.5301736915619</v>
          </cell>
          <cell r="H38">
            <v>9.5250000000000004</v>
          </cell>
        </row>
        <row r="39">
          <cell r="A39">
            <v>40276</v>
          </cell>
          <cell r="B39">
            <v>7.9878920000000004</v>
          </cell>
          <cell r="C39">
            <v>40239.233999999997</v>
          </cell>
          <cell r="E39">
            <v>91.837567177536329</v>
          </cell>
          <cell r="F39">
            <v>105.797016514666</v>
          </cell>
          <cell r="H39">
            <v>9.4649999999999999</v>
          </cell>
        </row>
        <row r="40">
          <cell r="A40">
            <v>40277</v>
          </cell>
          <cell r="B40">
            <v>8.0599710000000009</v>
          </cell>
          <cell r="C40">
            <v>40253.226999999999</v>
          </cell>
          <cell r="E40">
            <v>92.666266414405044</v>
          </cell>
          <cell r="F40">
            <v>105.83380691808398</v>
          </cell>
          <cell r="H40">
            <v>9.5225000000000009</v>
          </cell>
        </row>
        <row r="41">
          <cell r="A41">
            <v>40278</v>
          </cell>
          <cell r="B41">
            <v>8.0599710000000009</v>
          </cell>
          <cell r="C41">
            <v>40253.226999999999</v>
          </cell>
          <cell r="E41">
            <v>92.666266414405044</v>
          </cell>
          <cell r="F41">
            <v>105.83380691808398</v>
          </cell>
          <cell r="H41">
            <v>9.5225000000000009</v>
          </cell>
        </row>
        <row r="42">
          <cell r="A42">
            <v>40279</v>
          </cell>
          <cell r="B42">
            <v>8.0599710000000009</v>
          </cell>
          <cell r="C42">
            <v>40253.226999999999</v>
          </cell>
          <cell r="E42">
            <v>92.666266414405044</v>
          </cell>
          <cell r="F42">
            <v>105.83380691808398</v>
          </cell>
          <cell r="H42">
            <v>9.5225000000000009</v>
          </cell>
        </row>
        <row r="43">
          <cell r="A43">
            <v>40280</v>
          </cell>
          <cell r="B43">
            <v>7.9601990000000002</v>
          </cell>
          <cell r="C43">
            <v>40150.31</v>
          </cell>
          <cell r="E43">
            <v>91.519178077151949</v>
          </cell>
          <cell r="F43">
            <v>105.56321748418371</v>
          </cell>
          <cell r="H43">
            <v>9.6</v>
          </cell>
        </row>
        <row r="44">
          <cell r="A44">
            <v>40281</v>
          </cell>
          <cell r="B44">
            <v>8.0129110000000008</v>
          </cell>
          <cell r="C44">
            <v>40088.565999999999</v>
          </cell>
          <cell r="E44">
            <v>92.125213041202841</v>
          </cell>
          <cell r="F44">
            <v>105.40088012488702</v>
          </cell>
          <cell r="H44">
            <v>9.68</v>
          </cell>
        </row>
        <row r="45">
          <cell r="A45">
            <v>40282</v>
          </cell>
          <cell r="B45">
            <v>8.4808489999999992</v>
          </cell>
          <cell r="C45">
            <v>40760.207000000002</v>
          </cell>
          <cell r="E45">
            <v>97.505141501667978</v>
          </cell>
          <cell r="F45">
            <v>107.1667590173363</v>
          </cell>
          <cell r="H45">
            <v>9.69</v>
          </cell>
        </row>
        <row r="46">
          <cell r="A46">
            <v>40283</v>
          </cell>
          <cell r="B46">
            <v>8.5459770000000006</v>
          </cell>
          <cell r="C46">
            <v>40531.233999999997</v>
          </cell>
          <cell r="E46">
            <v>98.253924419005713</v>
          </cell>
          <cell r="F46">
            <v>106.5647430778079</v>
          </cell>
          <cell r="H46">
            <v>9.84</v>
          </cell>
        </row>
        <row r="47">
          <cell r="A47">
            <v>40284</v>
          </cell>
          <cell r="B47">
            <v>8.3913689999999992</v>
          </cell>
          <cell r="C47">
            <v>39628.582000000002</v>
          </cell>
          <cell r="E47">
            <v>96.476381284198098</v>
          </cell>
          <cell r="F47">
            <v>104.19148993509162</v>
          </cell>
          <cell r="H47">
            <v>9.8524999999999991</v>
          </cell>
        </row>
        <row r="48">
          <cell r="A48">
            <v>40285</v>
          </cell>
          <cell r="B48">
            <v>8.3913689999999992</v>
          </cell>
          <cell r="C48">
            <v>39628.582000000002</v>
          </cell>
          <cell r="E48">
            <v>96.476381284198098</v>
          </cell>
          <cell r="F48">
            <v>104.19148993509162</v>
          </cell>
          <cell r="H48">
            <v>9.8524999999999991</v>
          </cell>
        </row>
        <row r="49">
          <cell r="A49">
            <v>40286</v>
          </cell>
          <cell r="B49">
            <v>8.3913689999999992</v>
          </cell>
          <cell r="C49">
            <v>39628.582000000002</v>
          </cell>
          <cell r="E49">
            <v>96.476381284198098</v>
          </cell>
          <cell r="F49">
            <v>104.19148993509162</v>
          </cell>
          <cell r="H49">
            <v>9.8524999999999991</v>
          </cell>
        </row>
        <row r="50">
          <cell r="A50">
            <v>40287</v>
          </cell>
          <cell r="B50">
            <v>8.4777100000000001</v>
          </cell>
          <cell r="C50">
            <v>39314.714999999997</v>
          </cell>
          <cell r="E50">
            <v>97.469052114959936</v>
          </cell>
          <cell r="F50">
            <v>103.3662706433325</v>
          </cell>
          <cell r="H50">
            <v>9.7675000000000001</v>
          </cell>
        </row>
        <row r="51">
          <cell r="A51">
            <v>40288</v>
          </cell>
          <cell r="B51">
            <v>8.6231519999999993</v>
          </cell>
          <cell r="C51">
            <v>39585.656000000003</v>
          </cell>
          <cell r="E51">
            <v>99.141212860928334</v>
          </cell>
          <cell r="F51">
            <v>104.07862887190863</v>
          </cell>
          <cell r="H51">
            <v>9.84</v>
          </cell>
        </row>
        <row r="52">
          <cell r="A52">
            <v>40289</v>
          </cell>
          <cell r="B52">
            <v>8.6231519999999993</v>
          </cell>
          <cell r="C52">
            <v>39585.656000000003</v>
          </cell>
          <cell r="E52">
            <v>99.141212860928334</v>
          </cell>
          <cell r="F52">
            <v>104.07862887190863</v>
          </cell>
          <cell r="H52">
            <v>9.9550000000000001</v>
          </cell>
        </row>
        <row r="53">
          <cell r="A53">
            <v>40290</v>
          </cell>
          <cell r="B53">
            <v>8.8662419999999997</v>
          </cell>
          <cell r="C53">
            <v>39284.589999999997</v>
          </cell>
          <cell r="E53">
            <v>101.93604211064621</v>
          </cell>
          <cell r="F53">
            <v>103.28706597650151</v>
          </cell>
          <cell r="H53">
            <v>10.0425</v>
          </cell>
        </row>
        <row r="54">
          <cell r="A54">
            <v>40291</v>
          </cell>
          <cell r="B54">
            <v>8.8520690000000002</v>
          </cell>
          <cell r="C54">
            <v>39442.483999999997</v>
          </cell>
          <cell r="E54">
            <v>101.77309375836414</v>
          </cell>
          <cell r="F54">
            <v>103.7022009695177</v>
          </cell>
          <cell r="H54">
            <v>10</v>
          </cell>
        </row>
        <row r="55">
          <cell r="A55">
            <v>40292</v>
          </cell>
          <cell r="B55">
            <v>8.8520690000000002</v>
          </cell>
          <cell r="C55">
            <v>39442.483999999997</v>
          </cell>
          <cell r="E55">
            <v>101.77309375836414</v>
          </cell>
          <cell r="F55">
            <v>103.7022009695177</v>
          </cell>
          <cell r="H55">
            <v>10</v>
          </cell>
        </row>
        <row r="56">
          <cell r="A56">
            <v>40293</v>
          </cell>
          <cell r="B56">
            <v>8.8520690000000002</v>
          </cell>
          <cell r="C56">
            <v>39442.483999999997</v>
          </cell>
          <cell r="E56">
            <v>101.77309375836414</v>
          </cell>
          <cell r="F56">
            <v>103.7022009695177</v>
          </cell>
          <cell r="H56">
            <v>10</v>
          </cell>
        </row>
        <row r="57">
          <cell r="A57">
            <v>40294</v>
          </cell>
          <cell r="B57">
            <v>9.0755330000000001</v>
          </cell>
          <cell r="C57">
            <v>39485.129999999997</v>
          </cell>
          <cell r="E57">
            <v>104.3422809872051</v>
          </cell>
          <cell r="F57">
            <v>103.81432585654424</v>
          </cell>
          <cell r="H57">
            <v>9.9875000000000007</v>
          </cell>
        </row>
        <row r="58">
          <cell r="A58">
            <v>40295</v>
          </cell>
          <cell r="B58">
            <v>9.1293170000000003</v>
          </cell>
          <cell r="C58">
            <v>37973.792999999998</v>
          </cell>
          <cell r="E58">
            <v>104.96064083897534</v>
          </cell>
          <cell r="F58">
            <v>99.840717771752523</v>
          </cell>
          <cell r="H58">
            <v>9.8275000000000006</v>
          </cell>
        </row>
        <row r="59">
          <cell r="A59">
            <v>40296</v>
          </cell>
          <cell r="B59">
            <v>9.2737459999999992</v>
          </cell>
          <cell r="C59">
            <v>37923.199999999997</v>
          </cell>
          <cell r="E59">
            <v>106.62115502593284</v>
          </cell>
          <cell r="F59">
            <v>99.707698627885961</v>
          </cell>
          <cell r="H59">
            <v>9.8275000000000006</v>
          </cell>
        </row>
        <row r="60">
          <cell r="A60">
            <v>40297</v>
          </cell>
          <cell r="B60">
            <v>9.5268350000000002</v>
          </cell>
          <cell r="C60">
            <v>39273.24</v>
          </cell>
          <cell r="E60">
            <v>109.53094374608523</v>
          </cell>
          <cell r="F60">
            <v>103.25722455016022</v>
          </cell>
          <cell r="H60">
            <v>9.8574999999999999</v>
          </cell>
        </row>
        <row r="61">
          <cell r="A61">
            <v>40298</v>
          </cell>
          <cell r="B61">
            <v>9.5623269999999998</v>
          </cell>
          <cell r="C61">
            <v>39017.61</v>
          </cell>
          <cell r="E61">
            <v>109.93899870404724</v>
          </cell>
          <cell r="F61">
            <v>102.58512201133843</v>
          </cell>
          <cell r="H61">
            <v>9.8949999999999996</v>
          </cell>
        </row>
        <row r="62">
          <cell r="A62">
            <v>40299</v>
          </cell>
          <cell r="B62">
            <v>9.5623269999999998</v>
          </cell>
          <cell r="C62">
            <v>39017.61</v>
          </cell>
          <cell r="E62">
            <v>109.93899870404724</v>
          </cell>
          <cell r="F62">
            <v>102.58512201133843</v>
          </cell>
          <cell r="H62">
            <v>9.8949999999999996</v>
          </cell>
        </row>
        <row r="63">
          <cell r="A63">
            <v>40300</v>
          </cell>
          <cell r="B63">
            <v>9.5623269999999998</v>
          </cell>
          <cell r="C63">
            <v>39017.61</v>
          </cell>
          <cell r="E63">
            <v>109.93899870404724</v>
          </cell>
          <cell r="F63">
            <v>102.58512201133843</v>
          </cell>
          <cell r="H63">
            <v>9.8949999999999996</v>
          </cell>
        </row>
        <row r="64">
          <cell r="A64">
            <v>40301</v>
          </cell>
          <cell r="B64">
            <v>9.8010950000000001</v>
          </cell>
          <cell r="C64">
            <v>38696.688000000002</v>
          </cell>
          <cell r="E64">
            <v>112.68413750159809</v>
          </cell>
          <cell r="F64">
            <v>101.74135370963766</v>
          </cell>
          <cell r="H64">
            <v>9.7575000000000003</v>
          </cell>
        </row>
        <row r="65">
          <cell r="A65">
            <v>40302</v>
          </cell>
          <cell r="B65">
            <v>9.1142129999999995</v>
          </cell>
          <cell r="C65">
            <v>36952.050000000003</v>
          </cell>
          <cell r="E65">
            <v>104.78698868961609</v>
          </cell>
          <cell r="F65">
            <v>97.15435050529949</v>
          </cell>
          <cell r="H65">
            <v>9.77</v>
          </cell>
        </row>
        <row r="66">
          <cell r="A66">
            <v>40303</v>
          </cell>
          <cell r="B66">
            <v>8.893364</v>
          </cell>
          <cell r="C66">
            <v>36308.51</v>
          </cell>
          <cell r="E66">
            <v>102.24786636878456</v>
          </cell>
          <cell r="F66">
            <v>95.462354777750392</v>
          </cell>
          <cell r="H66">
            <v>9.6824999999999992</v>
          </cell>
        </row>
        <row r="67">
          <cell r="A67">
            <v>40304</v>
          </cell>
          <cell r="B67">
            <v>8.8473559999999996</v>
          </cell>
          <cell r="C67">
            <v>35065.51</v>
          </cell>
          <cell r="E67">
            <v>101.71890794136664</v>
          </cell>
          <cell r="F67">
            <v>92.194258483279938</v>
          </cell>
          <cell r="H67">
            <v>9.4550000000000001</v>
          </cell>
        </row>
        <row r="68">
          <cell r="A68">
            <v>40305</v>
          </cell>
          <cell r="B68">
            <v>8.9201239999999995</v>
          </cell>
          <cell r="C68">
            <v>33988.85</v>
          </cell>
          <cell r="E68">
            <v>102.55552867789825</v>
          </cell>
          <cell r="F68">
            <v>89.363503409744467</v>
          </cell>
          <cell r="H68">
            <v>9.5124999999999993</v>
          </cell>
        </row>
        <row r="69">
          <cell r="A69">
            <v>40306</v>
          </cell>
          <cell r="B69">
            <v>8.9201239999999995</v>
          </cell>
          <cell r="C69">
            <v>33988.85</v>
          </cell>
          <cell r="E69">
            <v>102.55552867789825</v>
          </cell>
          <cell r="F69">
            <v>89.363503409744467</v>
          </cell>
          <cell r="H69">
            <v>9.5124999999999993</v>
          </cell>
        </row>
        <row r="70">
          <cell r="A70">
            <v>40307</v>
          </cell>
          <cell r="B70">
            <v>8.9201239999999995</v>
          </cell>
          <cell r="C70">
            <v>33988.85</v>
          </cell>
          <cell r="E70">
            <v>102.55552867789825</v>
          </cell>
          <cell r="F70">
            <v>89.363503409744467</v>
          </cell>
          <cell r="H70">
            <v>9.5124999999999993</v>
          </cell>
        </row>
        <row r="71">
          <cell r="A71">
            <v>40308</v>
          </cell>
          <cell r="B71">
            <v>8.9449539999999992</v>
          </cell>
          <cell r="C71">
            <v>36614.836000000003</v>
          </cell>
          <cell r="E71">
            <v>102.84100159027841</v>
          </cell>
          <cell r="F71">
            <v>96.267747268096301</v>
          </cell>
          <cell r="H71">
            <v>9.5274999999999999</v>
          </cell>
        </row>
        <row r="72">
          <cell r="A72">
            <v>40309</v>
          </cell>
          <cell r="B72">
            <v>8.7444260000000007</v>
          </cell>
          <cell r="C72">
            <v>36135.9</v>
          </cell>
          <cell r="E72">
            <v>100.53551177256719</v>
          </cell>
          <cell r="F72">
            <v>95.00852846931231</v>
          </cell>
          <cell r="H72">
            <v>9.5824999999999996</v>
          </cell>
        </row>
        <row r="73">
          <cell r="A73">
            <v>40310</v>
          </cell>
          <cell r="B73">
            <v>9.0034150000000004</v>
          </cell>
          <cell r="C73">
            <v>36817.266000000003</v>
          </cell>
          <cell r="E73">
            <v>103.51313336356303</v>
          </cell>
          <cell r="F73">
            <v>96.799976337194977</v>
          </cell>
          <cell r="H73">
            <v>9.5950000000000006</v>
          </cell>
        </row>
        <row r="74">
          <cell r="A74">
            <v>40311</v>
          </cell>
          <cell r="B74">
            <v>9.0844970000000007</v>
          </cell>
          <cell r="C74">
            <v>36557.042999999998</v>
          </cell>
          <cell r="E74">
            <v>104.44534096250015</v>
          </cell>
          <cell r="F74">
            <v>96.11579788020704</v>
          </cell>
          <cell r="H74">
            <v>9.6050000000000004</v>
          </cell>
        </row>
        <row r="75">
          <cell r="A75">
            <v>40312</v>
          </cell>
          <cell r="B75">
            <v>8.6648840000000007</v>
          </cell>
          <cell r="C75">
            <v>35335.156000000003</v>
          </cell>
          <cell r="E75">
            <v>99.621009702629891</v>
          </cell>
          <cell r="F75">
            <v>92.903211897132536</v>
          </cell>
          <cell r="H75">
            <v>9.48</v>
          </cell>
        </row>
        <row r="76">
          <cell r="A76">
            <v>40313</v>
          </cell>
          <cell r="B76">
            <v>8.6648840000000007</v>
          </cell>
          <cell r="C76">
            <v>35335.156000000003</v>
          </cell>
          <cell r="E76">
            <v>99.621009702629891</v>
          </cell>
          <cell r="F76">
            <v>92.903211897132536</v>
          </cell>
          <cell r="H76">
            <v>9.48</v>
          </cell>
        </row>
        <row r="77">
          <cell r="A77">
            <v>40314</v>
          </cell>
          <cell r="B77">
            <v>8.6648840000000007</v>
          </cell>
          <cell r="C77">
            <v>35335.156000000003</v>
          </cell>
          <cell r="E77">
            <v>99.621009702629891</v>
          </cell>
          <cell r="F77">
            <v>92.903211897132536</v>
          </cell>
          <cell r="H77">
            <v>9.48</v>
          </cell>
        </row>
        <row r="78">
          <cell r="A78">
            <v>40315</v>
          </cell>
          <cell r="B78">
            <v>8.1940910000000002</v>
          </cell>
          <cell r="C78">
            <v>34782.703000000001</v>
          </cell>
          <cell r="E78">
            <v>94.208257030934547</v>
          </cell>
          <cell r="F78">
            <v>91.450702160874215</v>
          </cell>
          <cell r="H78">
            <v>9.41</v>
          </cell>
        </row>
        <row r="79">
          <cell r="A79">
            <v>40316</v>
          </cell>
          <cell r="B79">
            <v>8.2370950000000001</v>
          </cell>
          <cell r="C79">
            <v>33861.74</v>
          </cell>
          <cell r="E79">
            <v>94.702678179706055</v>
          </cell>
          <cell r="F79">
            <v>89.029305726727458</v>
          </cell>
          <cell r="H79">
            <v>9.3949999999999996</v>
          </cell>
        </row>
        <row r="80">
          <cell r="A80">
            <v>40317</v>
          </cell>
          <cell r="B80">
            <v>7.6782849999999998</v>
          </cell>
          <cell r="C80">
            <v>32481.333999999999</v>
          </cell>
          <cell r="E80">
            <v>88.277985543090651</v>
          </cell>
          <cell r="F80">
            <v>85.399941500287568</v>
          </cell>
          <cell r="H80">
            <v>9.3849999999999998</v>
          </cell>
        </row>
        <row r="81">
          <cell r="A81">
            <v>40318</v>
          </cell>
          <cell r="B81">
            <v>6.9444439999999998</v>
          </cell>
          <cell r="C81">
            <v>30848.217000000001</v>
          </cell>
          <cell r="E81">
            <v>79.840944564678523</v>
          </cell>
          <cell r="F81">
            <v>81.106149371456752</v>
          </cell>
          <cell r="H81">
            <v>9.44</v>
          </cell>
        </row>
        <row r="82">
          <cell r="A82">
            <v>40319</v>
          </cell>
          <cell r="B82">
            <v>7.2885520000000001</v>
          </cell>
          <cell r="C82">
            <v>32176.062999999998</v>
          </cell>
          <cell r="E82">
            <v>83.797187534203871</v>
          </cell>
          <cell r="F82">
            <v>84.59732281653109</v>
          </cell>
          <cell r="H82">
            <v>9.41</v>
          </cell>
        </row>
        <row r="83">
          <cell r="A83">
            <v>40320</v>
          </cell>
          <cell r="B83">
            <v>7.2885520000000001</v>
          </cell>
          <cell r="C83">
            <v>32176.062999999998</v>
          </cell>
          <cell r="E83">
            <v>83.797187534203871</v>
          </cell>
          <cell r="F83">
            <v>84.59732281653109</v>
          </cell>
          <cell r="H83">
            <v>9.41</v>
          </cell>
        </row>
        <row r="84">
          <cell r="A84">
            <v>40321</v>
          </cell>
          <cell r="B84">
            <v>7.2885520000000001</v>
          </cell>
          <cell r="C84">
            <v>32176.062999999998</v>
          </cell>
          <cell r="E84">
            <v>83.797187534203871</v>
          </cell>
          <cell r="F84">
            <v>84.59732281653109</v>
          </cell>
          <cell r="H84">
            <v>9.41</v>
          </cell>
        </row>
        <row r="85">
          <cell r="A85">
            <v>40322</v>
          </cell>
          <cell r="B85">
            <v>7.1192856000000004</v>
          </cell>
          <cell r="C85">
            <v>32412.842000000001</v>
          </cell>
          <cell r="E85">
            <v>81.851115356350206</v>
          </cell>
          <cell r="F85">
            <v>85.219862295620743</v>
          </cell>
          <cell r="H85">
            <v>9.4049999999999994</v>
          </cell>
        </row>
        <row r="86">
          <cell r="A86">
            <v>40323</v>
          </cell>
          <cell r="B86">
            <v>6.8641996000000001</v>
          </cell>
          <cell r="C86">
            <v>31370.76</v>
          </cell>
          <cell r="E86">
            <v>78.918366933981829</v>
          </cell>
          <cell r="F86">
            <v>82.48001971900419</v>
          </cell>
          <cell r="H86">
            <v>9.3049999999999997</v>
          </cell>
        </row>
        <row r="87">
          <cell r="A87">
            <v>40324</v>
          </cell>
          <cell r="B87">
            <v>7.1762275999999998</v>
          </cell>
          <cell r="C87">
            <v>32697.934000000001</v>
          </cell>
          <cell r="E87">
            <v>82.505783039666809</v>
          </cell>
          <cell r="F87">
            <v>85.969426341303105</v>
          </cell>
          <cell r="H87">
            <v>9.3800000000000008</v>
          </cell>
        </row>
        <row r="88">
          <cell r="A88">
            <v>40325</v>
          </cell>
          <cell r="B88">
            <v>7.2765979999999999</v>
          </cell>
          <cell r="C88">
            <v>33894.74</v>
          </cell>
          <cell r="E88">
            <v>83.659751239616966</v>
          </cell>
          <cell r="F88">
            <v>89.116069345164732</v>
          </cell>
          <cell r="H88">
            <v>9.5175000000000001</v>
          </cell>
        </row>
        <row r="89">
          <cell r="A89">
            <v>40326</v>
          </cell>
          <cell r="B89">
            <v>7.6404494999999999</v>
          </cell>
          <cell r="C89">
            <v>33952.86</v>
          </cell>
          <cell r="E89">
            <v>87.842987138887679</v>
          </cell>
          <cell r="F89">
            <v>89.268878481636676</v>
          </cell>
          <cell r="H89">
            <v>9.3774999999999995</v>
          </cell>
        </row>
        <row r="90">
          <cell r="A90">
            <v>40327</v>
          </cell>
          <cell r="B90">
            <v>7.6404494999999999</v>
          </cell>
          <cell r="C90">
            <v>33952.86</v>
          </cell>
          <cell r="E90">
            <v>87.842987138887679</v>
          </cell>
          <cell r="F90">
            <v>89.268878481636676</v>
          </cell>
          <cell r="H90">
            <v>9.3774999999999995</v>
          </cell>
        </row>
        <row r="91">
          <cell r="A91">
            <v>40328</v>
          </cell>
          <cell r="B91">
            <v>7.6404494999999999</v>
          </cell>
          <cell r="C91">
            <v>33952.86</v>
          </cell>
          <cell r="E91">
            <v>87.842987138887679</v>
          </cell>
          <cell r="F91">
            <v>89.268878481636676</v>
          </cell>
          <cell r="H91">
            <v>9.3774999999999995</v>
          </cell>
        </row>
        <row r="92">
          <cell r="A92">
            <v>40329</v>
          </cell>
          <cell r="B92">
            <v>7.6404494999999999</v>
          </cell>
          <cell r="C92">
            <v>33952.86</v>
          </cell>
          <cell r="E92">
            <v>87.842987138887679</v>
          </cell>
          <cell r="F92">
            <v>89.268878481636676</v>
          </cell>
          <cell r="H92">
            <v>9.3774999999999995</v>
          </cell>
        </row>
        <row r="93">
          <cell r="A93">
            <v>40330</v>
          </cell>
          <cell r="B93">
            <v>7.4708857999999996</v>
          </cell>
          <cell r="C93">
            <v>33971.097999999998</v>
          </cell>
          <cell r="E93">
            <v>85.89349687416933</v>
          </cell>
          <cell r="F93">
            <v>89.31682984142634</v>
          </cell>
          <cell r="H93">
            <v>9.32</v>
          </cell>
        </row>
        <row r="94">
          <cell r="A94">
            <v>40331</v>
          </cell>
          <cell r="B94">
            <v>7.3950863</v>
          </cell>
          <cell r="C94">
            <v>34326.565999999999</v>
          </cell>
          <cell r="E94">
            <v>85.022022688830617</v>
          </cell>
          <cell r="F94">
            <v>90.251426505628132</v>
          </cell>
          <cell r="H94">
            <v>9.3249999999999993</v>
          </cell>
        </row>
        <row r="95">
          <cell r="A95">
            <v>40332</v>
          </cell>
          <cell r="B95">
            <v>7.4538260000000003</v>
          </cell>
          <cell r="C95">
            <v>34599.222999999998</v>
          </cell>
          <cell r="E95">
            <v>85.697358702980324</v>
          </cell>
          <cell r="F95">
            <v>90.968296442362984</v>
          </cell>
          <cell r="H95">
            <v>9.5500000000000007</v>
          </cell>
        </row>
        <row r="96">
          <cell r="A96">
            <v>40333</v>
          </cell>
          <cell r="B96">
            <v>7.6151650000000002</v>
          </cell>
          <cell r="C96">
            <v>33523.983999999997</v>
          </cell>
          <cell r="E96">
            <v>87.552288796033224</v>
          </cell>
          <cell r="F96">
            <v>88.141277462821449</v>
          </cell>
          <cell r="H96">
            <v>9.35</v>
          </cell>
        </row>
        <row r="97">
          <cell r="A97">
            <v>40334</v>
          </cell>
          <cell r="B97">
            <v>7.6151650000000002</v>
          </cell>
          <cell r="C97">
            <v>33523.983999999997</v>
          </cell>
          <cell r="E97">
            <v>87.552288796033224</v>
          </cell>
          <cell r="F97">
            <v>88.141277462821449</v>
          </cell>
          <cell r="H97">
            <v>9.35</v>
          </cell>
        </row>
        <row r="98">
          <cell r="A98">
            <v>40335</v>
          </cell>
          <cell r="B98">
            <v>7.6151650000000002</v>
          </cell>
          <cell r="C98">
            <v>33523.983999999997</v>
          </cell>
          <cell r="E98">
            <v>87.552288796033224</v>
          </cell>
          <cell r="F98">
            <v>88.141277462821449</v>
          </cell>
          <cell r="H98">
            <v>9.35</v>
          </cell>
        </row>
        <row r="99">
          <cell r="A99">
            <v>40336</v>
          </cell>
          <cell r="B99">
            <v>7.5824819999999997</v>
          </cell>
          <cell r="C99">
            <v>32716.388999999999</v>
          </cell>
          <cell r="E99">
            <v>87.176529182850743</v>
          </cell>
          <cell r="F99">
            <v>86.017948237613993</v>
          </cell>
          <cell r="H99">
            <v>9.35</v>
          </cell>
        </row>
        <row r="100">
          <cell r="A100">
            <v>40337</v>
          </cell>
          <cell r="B100">
            <v>7.5687221999999998</v>
          </cell>
          <cell r="C100">
            <v>32982.656000000003</v>
          </cell>
          <cell r="E100">
            <v>87.018331430947043</v>
          </cell>
          <cell r="F100">
            <v>86.718017582778742</v>
          </cell>
          <cell r="H100">
            <v>9.31</v>
          </cell>
        </row>
        <row r="101">
          <cell r="A101">
            <v>40338</v>
          </cell>
          <cell r="B101">
            <v>7.5980987999999998</v>
          </cell>
          <cell r="C101">
            <v>33389.605000000003</v>
          </cell>
          <cell r="E101">
            <v>87.356077043424989</v>
          </cell>
          <cell r="F101">
            <v>87.787968120943233</v>
          </cell>
          <cell r="H101">
            <v>9.4350000000000005</v>
          </cell>
        </row>
        <row r="102">
          <cell r="A102">
            <v>40339</v>
          </cell>
          <cell r="B102">
            <v>7.7956320000000003</v>
          </cell>
          <cell r="C102">
            <v>34637.438000000002</v>
          </cell>
          <cell r="E102">
            <v>89.627135355779956</v>
          </cell>
          <cell r="F102">
            <v>91.068771341713912</v>
          </cell>
          <cell r="H102">
            <v>9.35</v>
          </cell>
        </row>
        <row r="103">
          <cell r="A103">
            <v>40340</v>
          </cell>
          <cell r="B103">
            <v>7.8488854999999997</v>
          </cell>
          <cell r="C103">
            <v>35181.913999999997</v>
          </cell>
          <cell r="E103">
            <v>90.239395997722653</v>
          </cell>
          <cell r="F103">
            <v>92.500307945115438</v>
          </cell>
          <cell r="H103">
            <v>9.4625000000000004</v>
          </cell>
        </row>
        <row r="104">
          <cell r="A104">
            <v>40341</v>
          </cell>
          <cell r="B104">
            <v>7.8488854999999997</v>
          </cell>
          <cell r="C104">
            <v>35181.913999999997</v>
          </cell>
          <cell r="E104">
            <v>90.239395997722653</v>
          </cell>
          <cell r="F104">
            <v>92.500307945115438</v>
          </cell>
          <cell r="H104">
            <v>9.4625000000000004</v>
          </cell>
        </row>
        <row r="105">
          <cell r="A105">
            <v>40342</v>
          </cell>
          <cell r="B105">
            <v>7.8488854999999997</v>
          </cell>
          <cell r="C105">
            <v>35181.913999999997</v>
          </cell>
          <cell r="E105">
            <v>90.239395997722653</v>
          </cell>
          <cell r="F105">
            <v>92.500307945115438</v>
          </cell>
          <cell r="H105">
            <v>9.4625000000000004</v>
          </cell>
        </row>
        <row r="106">
          <cell r="A106">
            <v>40343</v>
          </cell>
          <cell r="B106">
            <v>7.8840709999999996</v>
          </cell>
          <cell r="C106">
            <v>35274.472999999998</v>
          </cell>
          <cell r="E106">
            <v>90.643927095529833</v>
          </cell>
          <cell r="F106">
            <v>92.743664119628619</v>
          </cell>
          <cell r="H106">
            <v>9.5150000000000006</v>
          </cell>
        </row>
        <row r="107">
          <cell r="A107">
            <v>40344</v>
          </cell>
          <cell r="B107">
            <v>7.9150524000000004</v>
          </cell>
          <cell r="C107">
            <v>35919.995999999999</v>
          </cell>
          <cell r="E107">
            <v>91.000123248877202</v>
          </cell>
          <cell r="F107">
            <v>94.44087355188563</v>
          </cell>
          <cell r="H107">
            <v>9.4949999999999992</v>
          </cell>
        </row>
        <row r="108">
          <cell r="A108">
            <v>40345</v>
          </cell>
          <cell r="B108">
            <v>7.8197001999999998</v>
          </cell>
          <cell r="C108">
            <v>36166.508000000002</v>
          </cell>
          <cell r="E108">
            <v>89.903849779853587</v>
          </cell>
          <cell r="F108">
            <v>95.089003040013154</v>
          </cell>
          <cell r="H108">
            <v>9.5775000000000006</v>
          </cell>
        </row>
        <row r="109">
          <cell r="A109">
            <v>40346</v>
          </cell>
          <cell r="B109">
            <v>7.8488536</v>
          </cell>
          <cell r="C109">
            <v>36183.726999999999</v>
          </cell>
          <cell r="E109">
            <v>90.239029240336222</v>
          </cell>
          <cell r="F109">
            <v>95.134275244433482</v>
          </cell>
          <cell r="H109">
            <v>9.52</v>
          </cell>
        </row>
        <row r="110">
          <cell r="A110">
            <v>40347</v>
          </cell>
          <cell r="B110">
            <v>7.8614926000000001</v>
          </cell>
          <cell r="C110">
            <v>36339.71</v>
          </cell>
          <cell r="E110">
            <v>90.384341046199012</v>
          </cell>
          <cell r="F110">
            <v>95.544385835181984</v>
          </cell>
          <cell r="H110">
            <v>9.61</v>
          </cell>
        </row>
        <row r="111">
          <cell r="A111">
            <v>40348</v>
          </cell>
          <cell r="B111">
            <v>7.8614926000000001</v>
          </cell>
          <cell r="C111">
            <v>36339.71</v>
          </cell>
          <cell r="E111">
            <v>90.384341046199012</v>
          </cell>
          <cell r="F111">
            <v>95.544385835181984</v>
          </cell>
          <cell r="H111">
            <v>9.61</v>
          </cell>
        </row>
        <row r="112">
          <cell r="A112">
            <v>40349</v>
          </cell>
          <cell r="B112">
            <v>7.8614926000000001</v>
          </cell>
          <cell r="C112">
            <v>36339.71</v>
          </cell>
          <cell r="E112">
            <v>90.384341046199012</v>
          </cell>
          <cell r="F112">
            <v>95.544385835181984</v>
          </cell>
          <cell r="H112">
            <v>9.61</v>
          </cell>
        </row>
        <row r="113">
          <cell r="A113">
            <v>40350</v>
          </cell>
          <cell r="B113">
            <v>8.1079550000000005</v>
          </cell>
          <cell r="C113">
            <v>36757.402000000002</v>
          </cell>
          <cell r="E113">
            <v>93.217943105007123</v>
          </cell>
          <cell r="F113">
            <v>96.642581874948647</v>
          </cell>
          <cell r="H113">
            <v>9.6325000000000003</v>
          </cell>
        </row>
        <row r="114">
          <cell r="A114">
            <v>40351</v>
          </cell>
          <cell r="B114">
            <v>8.0718770000000006</v>
          </cell>
          <cell r="C114">
            <v>36737.593999999997</v>
          </cell>
          <cell r="E114">
            <v>92.803150848347784</v>
          </cell>
          <cell r="F114">
            <v>96.590502670281808</v>
          </cell>
          <cell r="H114">
            <v>9.6549999999999994</v>
          </cell>
        </row>
        <row r="115">
          <cell r="A115">
            <v>40352</v>
          </cell>
          <cell r="B115">
            <v>7.7635864999999997</v>
          </cell>
          <cell r="C115">
            <v>36263.644999999997</v>
          </cell>
          <cell r="E115">
            <v>89.258705141777597</v>
          </cell>
          <cell r="F115">
            <v>95.344395694684081</v>
          </cell>
          <cell r="H115">
            <v>9.58</v>
          </cell>
        </row>
        <row r="116">
          <cell r="A116">
            <v>40353</v>
          </cell>
          <cell r="B116">
            <v>7.7270700000000003</v>
          </cell>
          <cell r="C116">
            <v>35670.995999999999</v>
          </cell>
          <cell r="E116">
            <v>88.838871408192006</v>
          </cell>
          <cell r="F116">
            <v>93.786202612768051</v>
          </cell>
          <cell r="H116">
            <v>9.5549999999999997</v>
          </cell>
        </row>
        <row r="117">
          <cell r="A117">
            <v>40354</v>
          </cell>
          <cell r="B117">
            <v>7.667338</v>
          </cell>
          <cell r="C117">
            <v>36279.285000000003</v>
          </cell>
          <cell r="E117">
            <v>88.152126824934157</v>
          </cell>
          <cell r="F117">
            <v>95.385516391422243</v>
          </cell>
          <cell r="H117">
            <v>9.57</v>
          </cell>
        </row>
        <row r="118">
          <cell r="A118">
            <v>40355</v>
          </cell>
          <cell r="B118">
            <v>7.667338</v>
          </cell>
          <cell r="C118">
            <v>36279.285000000003</v>
          </cell>
          <cell r="E118">
            <v>88.152126824934157</v>
          </cell>
          <cell r="F118">
            <v>95.385516391422243</v>
          </cell>
          <cell r="H118">
            <v>9.57</v>
          </cell>
        </row>
        <row r="119">
          <cell r="A119">
            <v>40356</v>
          </cell>
          <cell r="B119">
            <v>7.667338</v>
          </cell>
          <cell r="C119">
            <v>36279.285000000003</v>
          </cell>
          <cell r="E119">
            <v>88.152126824934157</v>
          </cell>
          <cell r="F119">
            <v>95.385516391422243</v>
          </cell>
          <cell r="H119">
            <v>9.57</v>
          </cell>
        </row>
        <row r="120">
          <cell r="A120">
            <v>40357</v>
          </cell>
          <cell r="B120">
            <v>7.5885324000000001</v>
          </cell>
          <cell r="C120">
            <v>36101.862999999998</v>
          </cell>
          <cell r="E120">
            <v>87.246091217045858</v>
          </cell>
          <cell r="F120">
            <v>94.919038369895645</v>
          </cell>
          <cell r="H120">
            <v>9.5500000000000007</v>
          </cell>
        </row>
        <row r="121">
          <cell r="A121">
            <v>40358</v>
          </cell>
          <cell r="B121">
            <v>7.4238470000000003</v>
          </cell>
          <cell r="C121">
            <v>34388.230000000003</v>
          </cell>
          <cell r="E121">
            <v>85.352687239418302</v>
          </cell>
          <cell r="F121">
            <v>90.413553528880129</v>
          </cell>
          <cell r="H121">
            <v>9.4725000000000001</v>
          </cell>
        </row>
        <row r="122">
          <cell r="A122">
            <v>40359</v>
          </cell>
          <cell r="B122">
            <v>7.4341187</v>
          </cell>
          <cell r="C122">
            <v>33806.324000000001</v>
          </cell>
          <cell r="E122">
            <v>85.470781968137402</v>
          </cell>
          <cell r="F122">
            <v>88.88360594856627</v>
          </cell>
          <cell r="H122">
            <v>9.4849999999999994</v>
          </cell>
        </row>
        <row r="123">
          <cell r="A123">
            <v>40360</v>
          </cell>
          <cell r="B123">
            <v>7.4621909999999998</v>
          </cell>
          <cell r="C123">
            <v>33923.995999999999</v>
          </cell>
          <cell r="E123">
            <v>85.793531917320237</v>
          </cell>
          <cell r="F123">
            <v>89.192989236710204</v>
          </cell>
          <cell r="H123">
            <v>9.5350000000000001</v>
          </cell>
        </row>
        <row r="124">
          <cell r="A124">
            <v>40361</v>
          </cell>
          <cell r="B124">
            <v>7.5581402999999998</v>
          </cell>
          <cell r="C124">
            <v>34674.754000000001</v>
          </cell>
          <cell r="E124">
            <v>86.896670302815124</v>
          </cell>
          <cell r="F124">
            <v>91.166882589762551</v>
          </cell>
          <cell r="H124">
            <v>9.6274999999999995</v>
          </cell>
        </row>
        <row r="125">
          <cell r="A125">
            <v>40362</v>
          </cell>
          <cell r="B125">
            <v>7.5581402999999998</v>
          </cell>
          <cell r="C125">
            <v>34674.754000000001</v>
          </cell>
          <cell r="E125">
            <v>86.896670302815124</v>
          </cell>
          <cell r="F125">
            <v>91.166882589762551</v>
          </cell>
          <cell r="H125">
            <v>9.6274999999999995</v>
          </cell>
        </row>
        <row r="126">
          <cell r="A126">
            <v>40363</v>
          </cell>
          <cell r="B126">
            <v>7.5581402999999998</v>
          </cell>
          <cell r="C126">
            <v>34674.754000000001</v>
          </cell>
          <cell r="E126">
            <v>86.896670302815124</v>
          </cell>
          <cell r="F126">
            <v>91.166882589762551</v>
          </cell>
          <cell r="H126">
            <v>9.6274999999999995</v>
          </cell>
        </row>
        <row r="127">
          <cell r="A127">
            <v>40364</v>
          </cell>
          <cell r="B127">
            <v>7.5581402999999998</v>
          </cell>
          <cell r="C127">
            <v>34674.754000000001</v>
          </cell>
          <cell r="E127">
            <v>86.896670302815124</v>
          </cell>
          <cell r="F127">
            <v>91.166882589762551</v>
          </cell>
          <cell r="H127">
            <v>9.6274999999999995</v>
          </cell>
        </row>
        <row r="128">
          <cell r="A128">
            <v>40365</v>
          </cell>
          <cell r="B128">
            <v>7.763579</v>
          </cell>
          <cell r="C128">
            <v>35171.137000000002</v>
          </cell>
          <cell r="E128">
            <v>89.258618913551942</v>
          </cell>
          <cell r="F128">
            <v>92.471973050694274</v>
          </cell>
          <cell r="H128">
            <v>9.6425000000000001</v>
          </cell>
        </row>
        <row r="129">
          <cell r="A129">
            <v>40366</v>
          </cell>
          <cell r="B129">
            <v>7.7409882999999997</v>
          </cell>
          <cell r="C129">
            <v>35757.599999999999</v>
          </cell>
          <cell r="E129">
            <v>88.998891449931051</v>
          </cell>
          <cell r="F129">
            <v>94.013901897954142</v>
          </cell>
          <cell r="H129">
            <v>9.93</v>
          </cell>
        </row>
        <row r="130">
          <cell r="A130">
            <v>40367</v>
          </cell>
          <cell r="B130">
            <v>7.6892633000000004</v>
          </cell>
          <cell r="C130">
            <v>35888.688000000002</v>
          </cell>
          <cell r="E130">
            <v>88.404204120375525</v>
          </cell>
          <cell r="F130">
            <v>94.358558540793695</v>
          </cell>
          <cell r="H130">
            <v>10.125</v>
          </cell>
        </row>
        <row r="131">
          <cell r="A131">
            <v>40368</v>
          </cell>
          <cell r="B131">
            <v>7.7239810000000002</v>
          </cell>
          <cell r="C131">
            <v>36050.726999999999</v>
          </cell>
          <cell r="E131">
            <v>88.803356876321587</v>
          </cell>
          <cell r="F131">
            <v>94.784591570125713</v>
          </cell>
          <cell r="H131">
            <v>10.255000000000001</v>
          </cell>
        </row>
        <row r="132">
          <cell r="A132">
            <v>40369</v>
          </cell>
          <cell r="B132">
            <v>7.7239810000000002</v>
          </cell>
          <cell r="C132">
            <v>36050.726999999999</v>
          </cell>
          <cell r="E132">
            <v>88.803356876321587</v>
          </cell>
          <cell r="F132">
            <v>94.784591570125713</v>
          </cell>
          <cell r="H132">
            <v>10.255000000000001</v>
          </cell>
        </row>
        <row r="133">
          <cell r="A133">
            <v>40370</v>
          </cell>
          <cell r="B133">
            <v>7.7239810000000002</v>
          </cell>
          <cell r="C133">
            <v>36050.726999999999</v>
          </cell>
          <cell r="E133">
            <v>88.803356876321587</v>
          </cell>
          <cell r="F133">
            <v>94.784591570125713</v>
          </cell>
          <cell r="H133">
            <v>10.255000000000001</v>
          </cell>
        </row>
        <row r="134">
          <cell r="A134">
            <v>40371</v>
          </cell>
          <cell r="B134">
            <v>7.3845115000000003</v>
          </cell>
          <cell r="C134">
            <v>35708.875</v>
          </cell>
          <cell r="E134">
            <v>84.900443190085639</v>
          </cell>
          <cell r="F134">
            <v>93.885794100731246</v>
          </cell>
          <cell r="H134">
            <v>10.317500000000001</v>
          </cell>
        </row>
        <row r="135">
          <cell r="A135">
            <v>40372</v>
          </cell>
          <cell r="B135">
            <v>7.9981730000000004</v>
          </cell>
          <cell r="C135">
            <v>36357.47</v>
          </cell>
          <cell r="E135">
            <v>91.955768829255234</v>
          </cell>
          <cell r="F135">
            <v>95.591080437104594</v>
          </cell>
          <cell r="H135">
            <v>10.305</v>
          </cell>
        </row>
        <row r="136">
          <cell r="A136">
            <v>40373</v>
          </cell>
          <cell r="B136">
            <v>7.9886689999999998</v>
          </cell>
          <cell r="C136">
            <v>35965.699999999997</v>
          </cell>
          <cell r="E136">
            <v>91.8465004217135</v>
          </cell>
          <cell r="F136">
            <v>94.561038534220671</v>
          </cell>
          <cell r="H136">
            <v>10.36</v>
          </cell>
        </row>
        <row r="137">
          <cell r="A137">
            <v>40374</v>
          </cell>
          <cell r="B137">
            <v>8.0257729999999992</v>
          </cell>
          <cell r="C137">
            <v>35883.89</v>
          </cell>
          <cell r="E137">
            <v>92.273088699641548</v>
          </cell>
          <cell r="F137">
            <v>94.345943636513013</v>
          </cell>
          <cell r="H137">
            <v>10.19</v>
          </cell>
        </row>
        <row r="138">
          <cell r="A138">
            <v>40375</v>
          </cell>
          <cell r="B138">
            <v>7.9399439999999997</v>
          </cell>
          <cell r="C138">
            <v>35054.555</v>
          </cell>
          <cell r="E138">
            <v>91.286304382417342</v>
          </cell>
          <cell r="F138">
            <v>92.165455591159315</v>
          </cell>
          <cell r="H138">
            <v>10.195</v>
          </cell>
        </row>
        <row r="139">
          <cell r="A139">
            <v>40376</v>
          </cell>
          <cell r="B139">
            <v>7.9399439999999997</v>
          </cell>
          <cell r="C139">
            <v>35054.555</v>
          </cell>
          <cell r="E139">
            <v>91.286304382417342</v>
          </cell>
          <cell r="F139">
            <v>92.165455591159315</v>
          </cell>
          <cell r="H139">
            <v>10.195</v>
          </cell>
        </row>
        <row r="140">
          <cell r="A140">
            <v>40377</v>
          </cell>
          <cell r="B140">
            <v>7.9399439999999997</v>
          </cell>
          <cell r="C140">
            <v>35054.555</v>
          </cell>
          <cell r="E140">
            <v>91.286304382417342</v>
          </cell>
          <cell r="F140">
            <v>92.165455591159315</v>
          </cell>
          <cell r="H140">
            <v>10.195</v>
          </cell>
        </row>
        <row r="141">
          <cell r="A141">
            <v>40378</v>
          </cell>
          <cell r="B141">
            <v>8.0121020000000005</v>
          </cell>
          <cell r="C141">
            <v>35464.5</v>
          </cell>
          <cell r="E141">
            <v>92.115911889929563</v>
          </cell>
          <cell r="F141">
            <v>93.243283214197675</v>
          </cell>
          <cell r="H141">
            <v>10.08</v>
          </cell>
        </row>
        <row r="142">
          <cell r="A142">
            <v>40379</v>
          </cell>
          <cell r="B142">
            <v>8.0296479999999999</v>
          </cell>
          <cell r="C142">
            <v>36196.586000000003</v>
          </cell>
          <cell r="E142">
            <v>92.317639949559933</v>
          </cell>
          <cell r="F142">
            <v>95.168084134417882</v>
          </cell>
          <cell r="H142">
            <v>10.1175</v>
          </cell>
        </row>
        <row r="143">
          <cell r="A143">
            <v>40380</v>
          </cell>
          <cell r="B143">
            <v>7.8875460000000004</v>
          </cell>
          <cell r="C143">
            <v>36326.004000000001</v>
          </cell>
          <cell r="E143">
            <v>90.683879506746962</v>
          </cell>
          <cell r="F143">
            <v>95.508350012324385</v>
          </cell>
          <cell r="H143">
            <v>10.1525</v>
          </cell>
        </row>
        <row r="144">
          <cell r="A144">
            <v>40381</v>
          </cell>
          <cell r="B144">
            <v>8.1464660000000002</v>
          </cell>
          <cell r="C144">
            <v>37325.065999999999</v>
          </cell>
          <cell r="E144">
            <v>93.660707798066838</v>
          </cell>
          <cell r="F144">
            <v>98.135084380905425</v>
          </cell>
          <cell r="H144">
            <v>10.16</v>
          </cell>
        </row>
        <row r="145">
          <cell r="A145">
            <v>40382</v>
          </cell>
          <cell r="B145">
            <v>8.1734589999999994</v>
          </cell>
          <cell r="C145">
            <v>37645.019999999997</v>
          </cell>
          <cell r="E145">
            <v>93.971048930723995</v>
          </cell>
          <cell r="F145">
            <v>98.976307616465363</v>
          </cell>
          <cell r="H145">
            <v>10.17</v>
          </cell>
        </row>
        <row r="146">
          <cell r="A146">
            <v>40383</v>
          </cell>
          <cell r="B146">
            <v>8.1734589999999994</v>
          </cell>
          <cell r="C146">
            <v>37645.019999999997</v>
          </cell>
          <cell r="E146">
            <v>93.971048930723995</v>
          </cell>
          <cell r="F146">
            <v>98.976307616465363</v>
          </cell>
          <cell r="H146">
            <v>10.17</v>
          </cell>
        </row>
        <row r="147">
          <cell r="A147">
            <v>40384</v>
          </cell>
          <cell r="B147">
            <v>8.1734589999999994</v>
          </cell>
          <cell r="C147">
            <v>37645.019999999997</v>
          </cell>
          <cell r="E147">
            <v>93.971048930723995</v>
          </cell>
          <cell r="F147">
            <v>98.976307616465363</v>
          </cell>
          <cell r="H147">
            <v>10.17</v>
          </cell>
        </row>
        <row r="148">
          <cell r="A148">
            <v>40385</v>
          </cell>
          <cell r="B148">
            <v>8.0840019999999999</v>
          </cell>
          <cell r="C148">
            <v>37508.9</v>
          </cell>
          <cell r="E148">
            <v>92.94255314647944</v>
          </cell>
          <cell r="F148">
            <v>98.61842083641443</v>
          </cell>
          <cell r="H148">
            <v>9.9824999999999999</v>
          </cell>
        </row>
        <row r="149">
          <cell r="A149">
            <v>40386</v>
          </cell>
          <cell r="B149">
            <v>8.0430170000000007</v>
          </cell>
          <cell r="C149">
            <v>37738.47</v>
          </cell>
          <cell r="E149">
            <v>92.471344636052507</v>
          </cell>
          <cell r="F149">
            <v>99.222006408676364</v>
          </cell>
          <cell r="H149">
            <v>9.98</v>
          </cell>
        </row>
        <row r="150">
          <cell r="A150">
            <v>40387</v>
          </cell>
          <cell r="B150">
            <v>8.3338049999999999</v>
          </cell>
          <cell r="C150">
            <v>37875.300000000003</v>
          </cell>
          <cell r="E150">
            <v>95.814562406701057</v>
          </cell>
          <cell r="F150">
            <v>99.581759921123989</v>
          </cell>
          <cell r="H150">
            <v>10.105</v>
          </cell>
        </row>
        <row r="151">
          <cell r="A151">
            <v>40388</v>
          </cell>
          <cell r="B151">
            <v>8.6066629999999993</v>
          </cell>
          <cell r="C151">
            <v>37961.065999999999</v>
          </cell>
          <cell r="E151">
            <v>98.951637232566014</v>
          </cell>
          <cell r="F151">
            <v>99.807255936241873</v>
          </cell>
          <cell r="H151">
            <v>10.2675</v>
          </cell>
        </row>
        <row r="152">
          <cell r="A152">
            <v>40389</v>
          </cell>
          <cell r="B152">
            <v>8.5547819999999994</v>
          </cell>
          <cell r="C152">
            <v>38377.375</v>
          </cell>
          <cell r="E152">
            <v>98.355156355916989</v>
          </cell>
          <cell r="F152">
            <v>100.90181579163587</v>
          </cell>
          <cell r="H152">
            <v>10.525</v>
          </cell>
        </row>
        <row r="153">
          <cell r="A153">
            <v>40390</v>
          </cell>
          <cell r="B153">
            <v>8.5547819999999994</v>
          </cell>
          <cell r="C153">
            <v>38377.375</v>
          </cell>
          <cell r="E153">
            <v>98.355156355916989</v>
          </cell>
          <cell r="F153">
            <v>100.90181579163587</v>
          </cell>
          <cell r="H153">
            <v>10.525</v>
          </cell>
        </row>
        <row r="154">
          <cell r="A154">
            <v>40391</v>
          </cell>
          <cell r="B154">
            <v>8.5547819999999994</v>
          </cell>
          <cell r="C154">
            <v>38377.375</v>
          </cell>
          <cell r="E154">
            <v>98.355156355916989</v>
          </cell>
          <cell r="F154">
            <v>100.90181579163587</v>
          </cell>
          <cell r="H154">
            <v>10.525</v>
          </cell>
        </row>
        <row r="155">
          <cell r="A155">
            <v>40392</v>
          </cell>
          <cell r="B155">
            <v>8.6996339999999996</v>
          </cell>
          <cell r="C155">
            <v>39215.58</v>
          </cell>
          <cell r="E155">
            <v>100.02053381480107</v>
          </cell>
          <cell r="F155">
            <v>103.10562484594527</v>
          </cell>
          <cell r="H155">
            <v>10.532500000000001</v>
          </cell>
        </row>
        <row r="156">
          <cell r="A156">
            <v>40393</v>
          </cell>
          <cell r="B156">
            <v>8.9639509999999998</v>
          </cell>
          <cell r="C156">
            <v>38601.964999999997</v>
          </cell>
          <cell r="E156">
            <v>103.0594119372976</v>
          </cell>
          <cell r="F156">
            <v>101.49230794511543</v>
          </cell>
          <cell r="H156">
            <v>10.535</v>
          </cell>
        </row>
        <row r="157">
          <cell r="A157">
            <v>40394</v>
          </cell>
          <cell r="B157">
            <v>9.1686789999999991</v>
          </cell>
          <cell r="C157">
            <v>38807.445</v>
          </cell>
          <cell r="E157">
            <v>105.41318956137195</v>
          </cell>
          <cell r="F157">
            <v>102.03255607591817</v>
          </cell>
          <cell r="H157">
            <v>10.53</v>
          </cell>
        </row>
        <row r="158">
          <cell r="A158">
            <v>40395</v>
          </cell>
          <cell r="B158">
            <v>9.1098009999999991</v>
          </cell>
          <cell r="C158">
            <v>38951.074000000001</v>
          </cell>
          <cell r="E158">
            <v>104.73626349874128</v>
          </cell>
          <cell r="F158">
            <v>102.41018552296441</v>
          </cell>
          <cell r="H158">
            <v>10.55</v>
          </cell>
        </row>
        <row r="159">
          <cell r="A159">
            <v>40396</v>
          </cell>
          <cell r="B159">
            <v>9.3191185000000001</v>
          </cell>
          <cell r="C159">
            <v>38717.699999999997</v>
          </cell>
          <cell r="E159">
            <v>107.14280704836415</v>
          </cell>
          <cell r="F159">
            <v>101.79659847177717</v>
          </cell>
          <cell r="H159">
            <v>10.59</v>
          </cell>
        </row>
        <row r="160">
          <cell r="A160">
            <v>40397</v>
          </cell>
          <cell r="B160">
            <v>9.3191185000000001</v>
          </cell>
          <cell r="C160">
            <v>38717.699999999997</v>
          </cell>
          <cell r="E160">
            <v>107.14280704836415</v>
          </cell>
          <cell r="F160">
            <v>101.79659847177717</v>
          </cell>
          <cell r="H160">
            <v>10.59</v>
          </cell>
        </row>
        <row r="161">
          <cell r="A161">
            <v>40398</v>
          </cell>
          <cell r="B161">
            <v>9.3191185000000001</v>
          </cell>
          <cell r="C161">
            <v>38717.699999999997</v>
          </cell>
          <cell r="E161">
            <v>107.14280704836415</v>
          </cell>
          <cell r="F161">
            <v>101.79659847177717</v>
          </cell>
          <cell r="H161">
            <v>10.59</v>
          </cell>
        </row>
        <row r="162">
          <cell r="A162">
            <v>40399</v>
          </cell>
          <cell r="B162">
            <v>9.6323729999999994</v>
          </cell>
          <cell r="C162">
            <v>38678.983999999997</v>
          </cell>
          <cell r="E162">
            <v>110.74432434321683</v>
          </cell>
          <cell r="F162">
            <v>101.69480634294634</v>
          </cell>
          <cell r="H162">
            <v>10.484999999999999</v>
          </cell>
        </row>
        <row r="163">
          <cell r="A163">
            <v>40400</v>
          </cell>
          <cell r="B163">
            <v>9.4527079999999994</v>
          </cell>
          <cell r="C163">
            <v>38164.660000000003</v>
          </cell>
          <cell r="E163">
            <v>108.67869845506613</v>
          </cell>
          <cell r="F163">
            <v>100.3425453947909</v>
          </cell>
          <cell r="H163">
            <v>10.362500000000001</v>
          </cell>
        </row>
        <row r="164">
          <cell r="A164">
            <v>40401</v>
          </cell>
          <cell r="B164">
            <v>9.085267</v>
          </cell>
          <cell r="C164">
            <v>37125.61</v>
          </cell>
          <cell r="E164">
            <v>104.45419372700005</v>
          </cell>
          <cell r="F164">
            <v>97.610674554268343</v>
          </cell>
          <cell r="H164">
            <v>10.445</v>
          </cell>
        </row>
        <row r="165">
          <cell r="A165">
            <v>40402</v>
          </cell>
          <cell r="B165">
            <v>9.4672879999999999</v>
          </cell>
          <cell r="C165">
            <v>37284.82</v>
          </cell>
          <cell r="E165">
            <v>108.84632612572673</v>
          </cell>
          <cell r="F165">
            <v>98.029269575219786</v>
          </cell>
          <cell r="H165">
            <v>10.57</v>
          </cell>
        </row>
        <row r="166">
          <cell r="A166">
            <v>40403</v>
          </cell>
          <cell r="B166">
            <v>9.5143989999999992</v>
          </cell>
          <cell r="C166">
            <v>37416.39</v>
          </cell>
          <cell r="E166">
            <v>109.38796585086332</v>
          </cell>
          <cell r="F166">
            <v>98.375193492728613</v>
          </cell>
          <cell r="H166">
            <v>10.52</v>
          </cell>
        </row>
        <row r="167">
          <cell r="A167">
            <v>40404</v>
          </cell>
          <cell r="B167">
            <v>9.5143989999999992</v>
          </cell>
          <cell r="C167">
            <v>37416.39</v>
          </cell>
          <cell r="E167">
            <v>109.38796585086332</v>
          </cell>
          <cell r="F167">
            <v>98.375193492728613</v>
          </cell>
          <cell r="H167">
            <v>10.52</v>
          </cell>
        </row>
        <row r="168">
          <cell r="A168">
            <v>40405</v>
          </cell>
          <cell r="B168">
            <v>9.5143989999999992</v>
          </cell>
          <cell r="C168">
            <v>37416.39</v>
          </cell>
          <cell r="E168">
            <v>109.38796585086332</v>
          </cell>
          <cell r="F168">
            <v>98.375193492728613</v>
          </cell>
          <cell r="H168">
            <v>10.52</v>
          </cell>
        </row>
        <row r="169">
          <cell r="A169">
            <v>40406</v>
          </cell>
          <cell r="B169">
            <v>9.0803390000000004</v>
          </cell>
          <cell r="C169">
            <v>37831.093999999997</v>
          </cell>
          <cell r="E169">
            <v>104.39753603420063</v>
          </cell>
          <cell r="F169">
            <v>99.465533481225847</v>
          </cell>
          <cell r="H169">
            <v>10.34</v>
          </cell>
        </row>
        <row r="170">
          <cell r="A170">
            <v>40407</v>
          </cell>
          <cell r="B170">
            <v>9.1851599999999998</v>
          </cell>
          <cell r="C170">
            <v>38604.959999999999</v>
          </cell>
          <cell r="E170">
            <v>105.60267321296027</v>
          </cell>
          <cell r="F170">
            <v>101.50018240078876</v>
          </cell>
          <cell r="H170">
            <v>10.452500000000001</v>
          </cell>
        </row>
        <row r="171">
          <cell r="A171">
            <v>40408</v>
          </cell>
          <cell r="B171">
            <v>9.0629109999999997</v>
          </cell>
          <cell r="C171">
            <v>38577.760000000002</v>
          </cell>
          <cell r="E171">
            <v>104.19716463198712</v>
          </cell>
          <cell r="F171">
            <v>101.428668145592</v>
          </cell>
          <cell r="H171">
            <v>10.352499999999999</v>
          </cell>
        </row>
        <row r="172">
          <cell r="A172">
            <v>40409</v>
          </cell>
          <cell r="B172">
            <v>8.9437119999999997</v>
          </cell>
          <cell r="C172">
            <v>37934.004000000001</v>
          </cell>
          <cell r="E172">
            <v>102.82672219611102</v>
          </cell>
          <cell r="F172">
            <v>99.736104510722214</v>
          </cell>
          <cell r="H172">
            <v>10.1675</v>
          </cell>
        </row>
        <row r="173">
          <cell r="A173">
            <v>40410</v>
          </cell>
          <cell r="B173">
            <v>8.8435369999999995</v>
          </cell>
          <cell r="C173">
            <v>37798.839999999997</v>
          </cell>
          <cell r="E173">
            <v>101.67500052886645</v>
          </cell>
          <cell r="F173">
            <v>99.380731246405389</v>
          </cell>
          <cell r="H173">
            <v>10.092499999999999</v>
          </cell>
        </row>
        <row r="174">
          <cell r="A174">
            <v>40411</v>
          </cell>
          <cell r="B174">
            <v>8.8435369999999995</v>
          </cell>
          <cell r="C174">
            <v>37798.839999999997</v>
          </cell>
          <cell r="E174">
            <v>101.67500052886645</v>
          </cell>
          <cell r="F174">
            <v>99.380731246405389</v>
          </cell>
          <cell r="H174">
            <v>10.092499999999999</v>
          </cell>
        </row>
        <row r="175">
          <cell r="A175">
            <v>40412</v>
          </cell>
          <cell r="B175">
            <v>8.8435369999999995</v>
          </cell>
          <cell r="C175">
            <v>37798.839999999997</v>
          </cell>
          <cell r="E175">
            <v>101.67500052886645</v>
          </cell>
          <cell r="F175">
            <v>99.380731246405389</v>
          </cell>
          <cell r="H175">
            <v>10.092499999999999</v>
          </cell>
        </row>
        <row r="176">
          <cell r="A176">
            <v>40413</v>
          </cell>
          <cell r="B176">
            <v>8.8804400000000001</v>
          </cell>
          <cell r="C176">
            <v>37440.766000000003</v>
          </cell>
          <cell r="E176">
            <v>102.09927789034711</v>
          </cell>
          <cell r="F176">
            <v>98.439282885547613</v>
          </cell>
          <cell r="H176">
            <v>10.07</v>
          </cell>
        </row>
        <row r="177">
          <cell r="A177">
            <v>40414</v>
          </cell>
          <cell r="B177">
            <v>8.4106339999999999</v>
          </cell>
          <cell r="C177">
            <v>36853.144999999997</v>
          </cell>
          <cell r="E177">
            <v>96.697872853147118</v>
          </cell>
          <cell r="F177">
            <v>96.894309424040742</v>
          </cell>
          <cell r="H177">
            <v>9.9949999999999992</v>
          </cell>
        </row>
        <row r="178">
          <cell r="A178">
            <v>40415</v>
          </cell>
          <cell r="B178">
            <v>8.3879350000000006</v>
          </cell>
          <cell r="C178">
            <v>36603.832000000002</v>
          </cell>
          <cell r="E178">
            <v>96.436900253947883</v>
          </cell>
          <cell r="F178">
            <v>96.238815545148299</v>
          </cell>
          <cell r="H178">
            <v>10</v>
          </cell>
        </row>
        <row r="179">
          <cell r="A179">
            <v>40416</v>
          </cell>
          <cell r="B179">
            <v>8.8178409999999996</v>
          </cell>
          <cell r="C179">
            <v>36333.758000000002</v>
          </cell>
          <cell r="E179">
            <v>101.37957113069807</v>
          </cell>
          <cell r="F179">
            <v>95.528736833456591</v>
          </cell>
          <cell r="H179">
            <v>10.130000000000001</v>
          </cell>
        </row>
        <row r="180">
          <cell r="A180">
            <v>40417</v>
          </cell>
          <cell r="B180">
            <v>9.1005050000000001</v>
          </cell>
          <cell r="C180">
            <v>37420.559999999998</v>
          </cell>
          <cell r="E180">
            <v>104.62938648732421</v>
          </cell>
          <cell r="F180">
            <v>98.386157259058422</v>
          </cell>
          <cell r="H180">
            <v>10.220000000000001</v>
          </cell>
        </row>
        <row r="181">
          <cell r="A181">
            <v>40418</v>
          </cell>
          <cell r="B181">
            <v>9.1005050000000001</v>
          </cell>
          <cell r="C181">
            <v>37420.559999999998</v>
          </cell>
          <cell r="E181">
            <v>104.62938648732421</v>
          </cell>
          <cell r="F181">
            <v>98.386157259058422</v>
          </cell>
          <cell r="H181">
            <v>10.220000000000001</v>
          </cell>
        </row>
        <row r="182">
          <cell r="A182">
            <v>40419</v>
          </cell>
          <cell r="B182">
            <v>9.1005050000000001</v>
          </cell>
          <cell r="C182">
            <v>37420.559999999998</v>
          </cell>
          <cell r="E182">
            <v>104.62938648732421</v>
          </cell>
          <cell r="F182">
            <v>98.386157259058422</v>
          </cell>
          <cell r="H182">
            <v>10.220000000000001</v>
          </cell>
        </row>
        <row r="183">
          <cell r="A183">
            <v>40420</v>
          </cell>
          <cell r="B183">
            <v>9.0852129999999995</v>
          </cell>
          <cell r="C183">
            <v>36603.32</v>
          </cell>
          <cell r="E183">
            <v>104.45357288377537</v>
          </cell>
          <cell r="F183">
            <v>96.237469394462252</v>
          </cell>
          <cell r="H183">
            <v>10.18</v>
          </cell>
        </row>
        <row r="184">
          <cell r="A184">
            <v>40421</v>
          </cell>
          <cell r="B184">
            <v>9.1222670000000008</v>
          </cell>
          <cell r="C184">
            <v>37142.137000000002</v>
          </cell>
          <cell r="E184">
            <v>104.8795863068658</v>
          </cell>
          <cell r="F184">
            <v>97.654127351902062</v>
          </cell>
          <cell r="H184">
            <v>10.08</v>
          </cell>
        </row>
        <row r="185">
          <cell r="A185">
            <v>40422</v>
          </cell>
          <cell r="B185">
            <v>9.3100780000000007</v>
          </cell>
          <cell r="C185">
            <v>38546.324000000001</v>
          </cell>
          <cell r="E185">
            <v>107.03886754516749</v>
          </cell>
          <cell r="F185">
            <v>101.34601659682853</v>
          </cell>
          <cell r="H185">
            <v>10.045</v>
          </cell>
        </row>
        <row r="186">
          <cell r="A186">
            <v>40423</v>
          </cell>
          <cell r="B186">
            <v>9.2715230000000002</v>
          </cell>
          <cell r="C186">
            <v>38472.836000000003</v>
          </cell>
          <cell r="E186">
            <v>106.59559697985064</v>
          </cell>
          <cell r="F186">
            <v>101.15280190617042</v>
          </cell>
          <cell r="H186">
            <v>10.074999999999999</v>
          </cell>
        </row>
        <row r="187">
          <cell r="A187">
            <v>40424</v>
          </cell>
          <cell r="B187">
            <v>9.5638310000000004</v>
          </cell>
          <cell r="C187">
            <v>38648.667999999998</v>
          </cell>
          <cell r="E187">
            <v>109.95629033756396</v>
          </cell>
          <cell r="F187">
            <v>101.61509949880865</v>
          </cell>
          <cell r="H187">
            <v>10.297499999999999</v>
          </cell>
        </row>
        <row r="188">
          <cell r="A188">
            <v>40425</v>
          </cell>
          <cell r="B188">
            <v>9.5638310000000004</v>
          </cell>
          <cell r="C188">
            <v>38648.667999999998</v>
          </cell>
          <cell r="E188">
            <v>109.95629033756396</v>
          </cell>
          <cell r="F188">
            <v>101.61509949880865</v>
          </cell>
          <cell r="H188">
            <v>10.297499999999999</v>
          </cell>
        </row>
        <row r="189">
          <cell r="A189">
            <v>40426</v>
          </cell>
          <cell r="B189">
            <v>9.5638310000000004</v>
          </cell>
          <cell r="C189">
            <v>38648.667999999998</v>
          </cell>
          <cell r="E189">
            <v>109.95629033756396</v>
          </cell>
          <cell r="F189">
            <v>101.61509949880865</v>
          </cell>
          <cell r="H189">
            <v>10.297499999999999</v>
          </cell>
        </row>
        <row r="190">
          <cell r="A190">
            <v>40427</v>
          </cell>
          <cell r="B190">
            <v>9.5638310000000004</v>
          </cell>
          <cell r="C190">
            <v>38648.667999999998</v>
          </cell>
          <cell r="E190">
            <v>109.95629033756396</v>
          </cell>
          <cell r="F190">
            <v>101.61509949880865</v>
          </cell>
          <cell r="H190">
            <v>10.297499999999999</v>
          </cell>
        </row>
        <row r="191">
          <cell r="A191">
            <v>40428</v>
          </cell>
          <cell r="B191">
            <v>9.7281329999999997</v>
          </cell>
          <cell r="C191">
            <v>38650.39</v>
          </cell>
          <cell r="E191">
            <v>111.84528632829638</v>
          </cell>
          <cell r="F191">
            <v>101.61962698217073</v>
          </cell>
          <cell r="H191">
            <v>10.4375</v>
          </cell>
        </row>
        <row r="192">
          <cell r="A192">
            <v>40429</v>
          </cell>
          <cell r="B192">
            <v>10.145096000000001</v>
          </cell>
          <cell r="C192">
            <v>38541.660000000003</v>
          </cell>
          <cell r="E192">
            <v>116.63915028177085</v>
          </cell>
          <cell r="F192">
            <v>101.33375400542273</v>
          </cell>
          <cell r="H192">
            <v>10.4125</v>
          </cell>
        </row>
        <row r="193">
          <cell r="A193">
            <v>40430</v>
          </cell>
          <cell r="B193">
            <v>10.156794</v>
          </cell>
          <cell r="C193">
            <v>38689.953000000001</v>
          </cell>
          <cell r="E193">
            <v>116.77364331958893</v>
          </cell>
          <cell r="F193">
            <v>101.72364604387478</v>
          </cell>
          <cell r="H193">
            <v>10.3775</v>
          </cell>
        </row>
        <row r="194">
          <cell r="A194">
            <v>40431</v>
          </cell>
          <cell r="B194">
            <v>10.055899999999999</v>
          </cell>
          <cell r="C194">
            <v>38899.96</v>
          </cell>
          <cell r="E194">
            <v>115.61365523977885</v>
          </cell>
          <cell r="F194">
            <v>102.27579656560677</v>
          </cell>
          <cell r="H194">
            <v>10.234999999999999</v>
          </cell>
        </row>
        <row r="195">
          <cell r="A195">
            <v>40432</v>
          </cell>
          <cell r="B195">
            <v>10.055899999999999</v>
          </cell>
          <cell r="C195">
            <v>38899.96</v>
          </cell>
          <cell r="E195">
            <v>115.61365523977885</v>
          </cell>
          <cell r="F195">
            <v>102.27579656560677</v>
          </cell>
          <cell r="H195">
            <v>10.234999999999999</v>
          </cell>
        </row>
        <row r="196">
          <cell r="A196">
            <v>40433</v>
          </cell>
          <cell r="B196">
            <v>10.055899999999999</v>
          </cell>
          <cell r="C196">
            <v>38899.96</v>
          </cell>
          <cell r="E196">
            <v>115.61365523977885</v>
          </cell>
          <cell r="F196">
            <v>102.27579656560677</v>
          </cell>
          <cell r="H196">
            <v>10.234999999999999</v>
          </cell>
        </row>
        <row r="197">
          <cell r="A197">
            <v>40434</v>
          </cell>
          <cell r="B197">
            <v>10.027986</v>
          </cell>
          <cell r="C197">
            <v>39663.35</v>
          </cell>
          <cell r="E197">
            <v>115.29272528101204</v>
          </cell>
          <cell r="F197">
            <v>104.28290198011668</v>
          </cell>
          <cell r="H197">
            <v>10.2525</v>
          </cell>
        </row>
        <row r="198">
          <cell r="A198">
            <v>40435</v>
          </cell>
          <cell r="B198">
            <v>9.9604510000000008</v>
          </cell>
          <cell r="C198">
            <v>39661.258000000002</v>
          </cell>
          <cell r="E198">
            <v>114.51626885178956</v>
          </cell>
          <cell r="F198">
            <v>104.27740169254787</v>
          </cell>
          <cell r="H198">
            <v>10.25</v>
          </cell>
        </row>
        <row r="199">
          <cell r="A199">
            <v>40436</v>
          </cell>
          <cell r="B199">
            <v>9.6985279999999996</v>
          </cell>
          <cell r="C199">
            <v>39791.336000000003</v>
          </cell>
          <cell r="E199">
            <v>111.50491477892001</v>
          </cell>
          <cell r="F199">
            <v>104.61940284282312</v>
          </cell>
          <cell r="H199">
            <v>10.425000000000001</v>
          </cell>
        </row>
        <row r="200">
          <cell r="A200">
            <v>40437</v>
          </cell>
          <cell r="B200">
            <v>9.6555339999999994</v>
          </cell>
          <cell r="C200">
            <v>39404.241999999998</v>
          </cell>
          <cell r="E200">
            <v>111.01060860111602</v>
          </cell>
          <cell r="F200">
            <v>103.6016550817517</v>
          </cell>
          <cell r="H200">
            <v>10.362500000000001</v>
          </cell>
        </row>
        <row r="201">
          <cell r="A201">
            <v>40438</v>
          </cell>
          <cell r="B201">
            <v>9.6159459999999992</v>
          </cell>
          <cell r="C201">
            <v>39098.504000000001</v>
          </cell>
          <cell r="E201">
            <v>110.55546153485321</v>
          </cell>
          <cell r="F201">
            <v>102.79780856133431</v>
          </cell>
          <cell r="H201">
            <v>10.69</v>
          </cell>
        </row>
        <row r="202">
          <cell r="A202">
            <v>40439</v>
          </cell>
          <cell r="B202">
            <v>9.6159459999999992</v>
          </cell>
          <cell r="C202">
            <v>39098.504000000001</v>
          </cell>
          <cell r="E202">
            <v>110.55546153485321</v>
          </cell>
          <cell r="F202">
            <v>102.79780856133431</v>
          </cell>
          <cell r="H202">
            <v>10.69</v>
          </cell>
        </row>
        <row r="203">
          <cell r="A203">
            <v>40440</v>
          </cell>
          <cell r="B203">
            <v>9.6159459999999992</v>
          </cell>
          <cell r="C203">
            <v>39098.504000000001</v>
          </cell>
          <cell r="E203">
            <v>110.55546153485321</v>
          </cell>
          <cell r="F203">
            <v>102.79780856133431</v>
          </cell>
          <cell r="H203">
            <v>10.69</v>
          </cell>
        </row>
        <row r="204">
          <cell r="A204">
            <v>40441</v>
          </cell>
          <cell r="B204">
            <v>9.7886209999999991</v>
          </cell>
          <cell r="C204">
            <v>39707.949999999997</v>
          </cell>
          <cell r="E204">
            <v>112.54072271669958</v>
          </cell>
          <cell r="F204">
            <v>104.40016432503492</v>
          </cell>
          <cell r="H204">
            <v>10.845000000000001</v>
          </cell>
        </row>
        <row r="205">
          <cell r="A205">
            <v>40442</v>
          </cell>
          <cell r="B205">
            <v>9.9138669999999998</v>
          </cell>
          <cell r="C205">
            <v>39146.269999999997</v>
          </cell>
          <cell r="E205">
            <v>113.98068809664184</v>
          </cell>
          <cell r="F205">
            <v>102.92339495522143</v>
          </cell>
          <cell r="H205">
            <v>10.8</v>
          </cell>
        </row>
        <row r="206">
          <cell r="A206">
            <v>40443</v>
          </cell>
          <cell r="B206">
            <v>9.9185569999999998</v>
          </cell>
          <cell r="C206">
            <v>39747.050000000003</v>
          </cell>
          <cell r="E206">
            <v>114.03460948041399</v>
          </cell>
          <cell r="F206">
            <v>104.5029660668803</v>
          </cell>
          <cell r="H206">
            <v>10.885</v>
          </cell>
        </row>
        <row r="207">
          <cell r="A207">
            <v>40444</v>
          </cell>
          <cell r="B207">
            <v>10.022659000000001</v>
          </cell>
          <cell r="C207">
            <v>39971.133000000002</v>
          </cell>
          <cell r="E207">
            <v>115.23148024660811</v>
          </cell>
          <cell r="F207">
            <v>105.09212521567662</v>
          </cell>
          <cell r="H207">
            <v>10.935</v>
          </cell>
        </row>
        <row r="208">
          <cell r="A208">
            <v>40445</v>
          </cell>
          <cell r="B208">
            <v>10.499269999999999</v>
          </cell>
          <cell r="C208">
            <v>39822.76</v>
          </cell>
          <cell r="E208">
            <v>120.71112302721316</v>
          </cell>
          <cell r="F208">
            <v>104.70202284117987</v>
          </cell>
          <cell r="H208">
            <v>11.26</v>
          </cell>
        </row>
        <row r="209">
          <cell r="A209">
            <v>40446</v>
          </cell>
          <cell r="B209">
            <v>10.499269999999999</v>
          </cell>
          <cell r="C209">
            <v>39822.76</v>
          </cell>
          <cell r="E209">
            <v>120.71112302721316</v>
          </cell>
          <cell r="F209">
            <v>104.70202284117987</v>
          </cell>
          <cell r="H209">
            <v>11.26</v>
          </cell>
        </row>
        <row r="210">
          <cell r="A210">
            <v>40447</v>
          </cell>
          <cell r="B210">
            <v>10.499269999999999</v>
          </cell>
          <cell r="C210">
            <v>39822.76</v>
          </cell>
          <cell r="E210">
            <v>120.71112302721316</v>
          </cell>
          <cell r="F210">
            <v>104.70202284117987</v>
          </cell>
          <cell r="H210">
            <v>11.26</v>
          </cell>
        </row>
        <row r="211">
          <cell r="A211">
            <v>40448</v>
          </cell>
          <cell r="B211">
            <v>10.690813</v>
          </cell>
          <cell r="C211">
            <v>40202.112999999998</v>
          </cell>
          <cell r="E211">
            <v>122.91331143059753</v>
          </cell>
          <cell r="F211">
            <v>105.69941796072631</v>
          </cell>
          <cell r="H211">
            <v>11.285</v>
          </cell>
        </row>
        <row r="212">
          <cell r="A212">
            <v>40449</v>
          </cell>
          <cell r="B212">
            <v>10.609785</v>
          </cell>
          <cell r="C212">
            <v>40512.43</v>
          </cell>
          <cell r="E212">
            <v>121.9817246748851</v>
          </cell>
          <cell r="F212">
            <v>106.51530359050201</v>
          </cell>
          <cell r="H212">
            <v>11.1</v>
          </cell>
        </row>
        <row r="213">
          <cell r="A213">
            <v>40450</v>
          </cell>
          <cell r="B213">
            <v>10.83614</v>
          </cell>
          <cell r="C213">
            <v>40549.563000000002</v>
          </cell>
          <cell r="E213">
            <v>124.58415001043936</v>
          </cell>
          <cell r="F213">
            <v>106.61293369484841</v>
          </cell>
          <cell r="H213">
            <v>10.99</v>
          </cell>
        </row>
        <row r="214">
          <cell r="A214">
            <v>40451</v>
          </cell>
          <cell r="B214">
            <v>11.014048000000001</v>
          </cell>
          <cell r="C214">
            <v>40980.862999999998</v>
          </cell>
          <cell r="E214">
            <v>126.62957549959484</v>
          </cell>
          <cell r="F214">
            <v>107.74690789581791</v>
          </cell>
          <cell r="H214">
            <v>11.067500000000001</v>
          </cell>
        </row>
        <row r="215">
          <cell r="A215">
            <v>40452</v>
          </cell>
          <cell r="B215">
            <v>11.154622</v>
          </cell>
          <cell r="C215">
            <v>41669.25</v>
          </cell>
          <cell r="E215">
            <v>128.24576837856904</v>
          </cell>
          <cell r="F215">
            <v>109.55681538082327</v>
          </cell>
          <cell r="H215">
            <v>10.57</v>
          </cell>
        </row>
        <row r="216">
          <cell r="A216">
            <v>40453</v>
          </cell>
          <cell r="B216">
            <v>11.154622</v>
          </cell>
          <cell r="C216">
            <v>41669.25</v>
          </cell>
          <cell r="E216">
            <v>128.24576837856904</v>
          </cell>
          <cell r="F216">
            <v>109.55681538082327</v>
          </cell>
          <cell r="H216">
            <v>10.57</v>
          </cell>
        </row>
        <row r="217">
          <cell r="A217">
            <v>40454</v>
          </cell>
          <cell r="B217">
            <v>11.154622</v>
          </cell>
          <cell r="C217">
            <v>41669.25</v>
          </cell>
          <cell r="E217">
            <v>128.24576837856904</v>
          </cell>
          <cell r="F217">
            <v>109.55681538082327</v>
          </cell>
          <cell r="H217">
            <v>10.57</v>
          </cell>
        </row>
        <row r="218">
          <cell r="A218">
            <v>40455</v>
          </cell>
          <cell r="B218">
            <v>11.122975</v>
          </cell>
          <cell r="C218">
            <v>41754.120000000003</v>
          </cell>
          <cell r="E218">
            <v>127.8819197576228</v>
          </cell>
          <cell r="F218">
            <v>109.77995563224059</v>
          </cell>
          <cell r="H218">
            <v>10.54</v>
          </cell>
        </row>
        <row r="219">
          <cell r="A219">
            <v>40456</v>
          </cell>
          <cell r="B219">
            <v>11.360799</v>
          </cell>
          <cell r="C219">
            <v>42377.45</v>
          </cell>
          <cell r="E219">
            <v>130.61620529583868</v>
          </cell>
          <cell r="F219">
            <v>111.41881521649823</v>
          </cell>
          <cell r="H219">
            <v>10.717499999999999</v>
          </cell>
        </row>
        <row r="220">
          <cell r="A220">
            <v>40457</v>
          </cell>
          <cell r="B220">
            <v>11.305486999999999</v>
          </cell>
          <cell r="C220">
            <v>41973.917999999998</v>
          </cell>
          <cell r="E220">
            <v>129.98027788022966</v>
          </cell>
          <cell r="F220">
            <v>110.35784865664284</v>
          </cell>
          <cell r="H220">
            <v>10.62</v>
          </cell>
        </row>
        <row r="221">
          <cell r="A221">
            <v>40458</v>
          </cell>
          <cell r="B221">
            <v>11.236625</v>
          </cell>
          <cell r="C221">
            <v>41678.875</v>
          </cell>
          <cell r="E221">
            <v>129.18856480361578</v>
          </cell>
          <cell r="F221">
            <v>109.58212143620081</v>
          </cell>
          <cell r="H221">
            <v>10.65</v>
          </cell>
        </row>
        <row r="222">
          <cell r="A222">
            <v>40459</v>
          </cell>
          <cell r="B222">
            <v>11.867584000000001</v>
          </cell>
          <cell r="C222">
            <v>42121.77</v>
          </cell>
          <cell r="E222">
            <v>136.44276147387262</v>
          </cell>
          <cell r="F222">
            <v>110.74658121764851</v>
          </cell>
          <cell r="H222">
            <v>11.35</v>
          </cell>
        </row>
        <row r="223">
          <cell r="A223">
            <v>40460</v>
          </cell>
          <cell r="B223">
            <v>11.867584000000001</v>
          </cell>
          <cell r="C223">
            <v>42121.77</v>
          </cell>
          <cell r="E223">
            <v>136.44276147387262</v>
          </cell>
          <cell r="F223">
            <v>110.74658121764851</v>
          </cell>
          <cell r="H223">
            <v>11.35</v>
          </cell>
        </row>
        <row r="224">
          <cell r="A224">
            <v>40461</v>
          </cell>
          <cell r="B224">
            <v>11.867584000000001</v>
          </cell>
          <cell r="C224">
            <v>42121.77</v>
          </cell>
          <cell r="E224">
            <v>136.44276147387262</v>
          </cell>
          <cell r="F224">
            <v>110.74658121764851</v>
          </cell>
          <cell r="H224">
            <v>11.35</v>
          </cell>
        </row>
        <row r="225">
          <cell r="A225">
            <v>40462</v>
          </cell>
          <cell r="B225">
            <v>12.619433000000001</v>
          </cell>
          <cell r="C225">
            <v>42633.546999999999</v>
          </cell>
          <cell r="E225">
            <v>145.08684217061506</v>
          </cell>
          <cell r="F225">
            <v>112.09214559198092</v>
          </cell>
          <cell r="H225">
            <v>11.525</v>
          </cell>
        </row>
        <row r="226">
          <cell r="A226">
            <v>40463</v>
          </cell>
          <cell r="B226">
            <v>12.575227</v>
          </cell>
          <cell r="C226">
            <v>42484.203000000001</v>
          </cell>
          <cell r="E226">
            <v>144.57860151154628</v>
          </cell>
          <cell r="F226">
            <v>111.69949026374168</v>
          </cell>
          <cell r="H226">
            <v>11.785</v>
          </cell>
        </row>
        <row r="227">
          <cell r="A227">
            <v>40464</v>
          </cell>
          <cell r="B227">
            <v>12.162732</v>
          </cell>
          <cell r="C227">
            <v>43263.652000000002</v>
          </cell>
          <cell r="E227">
            <v>139.83610658636479</v>
          </cell>
          <cell r="F227">
            <v>113.74881801002384</v>
          </cell>
          <cell r="H227">
            <v>11.765000000000001</v>
          </cell>
        </row>
        <row r="228">
          <cell r="A228">
            <v>40465</v>
          </cell>
          <cell r="B228">
            <v>12.861154000000001</v>
          </cell>
          <cell r="C228">
            <v>43288.527000000002</v>
          </cell>
          <cell r="E228">
            <v>147.86593189487792</v>
          </cell>
          <cell r="F228">
            <v>113.81421937392162</v>
          </cell>
          <cell r="H228">
            <v>11.885</v>
          </cell>
        </row>
        <row r="229">
          <cell r="A229">
            <v>40466</v>
          </cell>
          <cell r="B229">
            <v>12.410142</v>
          </cell>
          <cell r="C229">
            <v>43210.02</v>
          </cell>
          <cell r="E229">
            <v>142.6806032940562</v>
          </cell>
          <cell r="F229">
            <v>113.60780872565934</v>
          </cell>
          <cell r="H229">
            <v>11.85</v>
          </cell>
        </row>
        <row r="230">
          <cell r="A230">
            <v>40467</v>
          </cell>
          <cell r="B230">
            <v>12.410142</v>
          </cell>
          <cell r="C230">
            <v>43210.02</v>
          </cell>
          <cell r="E230">
            <v>142.6806032940562</v>
          </cell>
          <cell r="F230">
            <v>113.60780872565934</v>
          </cell>
          <cell r="H230">
            <v>11.85</v>
          </cell>
        </row>
        <row r="231">
          <cell r="A231">
            <v>40468</v>
          </cell>
          <cell r="B231">
            <v>12.410142</v>
          </cell>
          <cell r="C231">
            <v>43210.02</v>
          </cell>
          <cell r="E231">
            <v>142.6806032940562</v>
          </cell>
          <cell r="F231">
            <v>113.60780872565934</v>
          </cell>
          <cell r="H231">
            <v>11.85</v>
          </cell>
        </row>
        <row r="232">
          <cell r="A232">
            <v>40469</v>
          </cell>
          <cell r="B232">
            <v>12.504142999999999</v>
          </cell>
          <cell r="C232">
            <v>43228.495999999999</v>
          </cell>
          <cell r="E232">
            <v>143.76134188594693</v>
          </cell>
          <cell r="F232">
            <v>113.65638583518198</v>
          </cell>
          <cell r="H232">
            <v>11.84</v>
          </cell>
        </row>
      </sheetData>
      <sheetData sheetId="3">
        <row r="1">
          <cell r="B1" t="str">
            <v>AGRO3-BR</v>
          </cell>
          <cell r="C1">
            <v>180264</v>
          </cell>
          <cell r="D1" t="str">
            <v>USDBRL</v>
          </cell>
          <cell r="F1" t="str">
            <v>AGRO3 (base 100)</v>
          </cell>
          <cell r="G1" t="str">
            <v>Ibovespa (base 100)</v>
          </cell>
          <cell r="I1" t="str">
            <v>Soybean (USD/bu)</v>
          </cell>
        </row>
        <row r="2">
          <cell r="A2">
            <v>40239</v>
          </cell>
          <cell r="B2">
            <v>9.25</v>
          </cell>
          <cell r="C2">
            <v>67779.16</v>
          </cell>
          <cell r="D2">
            <v>1.7820499999999999</v>
          </cell>
          <cell r="F2">
            <v>100</v>
          </cell>
          <cell r="G2">
            <v>100</v>
          </cell>
          <cell r="I2">
            <v>9.5425000000000004</v>
          </cell>
        </row>
        <row r="3">
          <cell r="A3">
            <v>40240</v>
          </cell>
          <cell r="B3">
            <v>9.25</v>
          </cell>
          <cell r="C3">
            <v>67641.34</v>
          </cell>
          <cell r="D3">
            <v>1.7785</v>
          </cell>
          <cell r="F3">
            <v>100</v>
          </cell>
          <cell r="G3">
            <v>99.796663163131555</v>
          </cell>
          <cell r="I3">
            <v>9.5449999999999999</v>
          </cell>
        </row>
        <row r="4">
          <cell r="A4">
            <v>40241</v>
          </cell>
          <cell r="B4">
            <v>9.4</v>
          </cell>
          <cell r="C4">
            <v>67814.710000000006</v>
          </cell>
          <cell r="D4">
            <v>1.7904500000000001</v>
          </cell>
          <cell r="F4">
            <v>101.62162162162163</v>
          </cell>
          <cell r="G4">
            <v>100.05244975004118</v>
          </cell>
          <cell r="I4">
            <v>9.3249999999999993</v>
          </cell>
        </row>
        <row r="5">
          <cell r="A5">
            <v>40242</v>
          </cell>
          <cell r="B5">
            <v>9.5</v>
          </cell>
          <cell r="C5">
            <v>68846.5</v>
          </cell>
          <cell r="D5">
            <v>1.7779499999999999</v>
          </cell>
          <cell r="F5">
            <v>102.70270270270269</v>
          </cell>
          <cell r="G5">
            <v>101.57473182022321</v>
          </cell>
          <cell r="I5">
            <v>9.3475000000000001</v>
          </cell>
        </row>
        <row r="6">
          <cell r="A6">
            <v>40243</v>
          </cell>
          <cell r="B6">
            <v>9.5</v>
          </cell>
          <cell r="C6">
            <v>68846.5</v>
          </cell>
          <cell r="D6">
            <v>1.7779499999999999</v>
          </cell>
          <cell r="F6">
            <v>102.70270270270269</v>
          </cell>
          <cell r="G6">
            <v>101.57473182022321</v>
          </cell>
          <cell r="I6">
            <v>9.3475000000000001</v>
          </cell>
        </row>
        <row r="7">
          <cell r="A7">
            <v>40244</v>
          </cell>
          <cell r="B7">
            <v>9.5</v>
          </cell>
          <cell r="C7">
            <v>68846.5</v>
          </cell>
          <cell r="D7">
            <v>1.7779499999999999</v>
          </cell>
          <cell r="F7">
            <v>102.70270270270269</v>
          </cell>
          <cell r="G7">
            <v>101.57473182022321</v>
          </cell>
          <cell r="I7">
            <v>9.3475000000000001</v>
          </cell>
        </row>
        <row r="8">
          <cell r="A8">
            <v>40245</v>
          </cell>
          <cell r="B8">
            <v>9.4</v>
          </cell>
          <cell r="C8">
            <v>68575.47</v>
          </cell>
          <cell r="D8">
            <v>1.7879499999999999</v>
          </cell>
          <cell r="F8">
            <v>101.62162162162163</v>
          </cell>
          <cell r="G8">
            <v>101.17485964712456</v>
          </cell>
          <cell r="I8">
            <v>9.4049999999999994</v>
          </cell>
        </row>
        <row r="9">
          <cell r="A9">
            <v>40246</v>
          </cell>
          <cell r="B9">
            <v>9.3000000000000007</v>
          </cell>
          <cell r="C9">
            <v>69576.38</v>
          </cell>
          <cell r="D9">
            <v>1.7927999999999999</v>
          </cell>
          <cell r="F9">
            <v>100.54054054054056</v>
          </cell>
          <cell r="G9">
            <v>102.65158199068858</v>
          </cell>
          <cell r="I9">
            <v>9.4149999999999991</v>
          </cell>
        </row>
        <row r="10">
          <cell r="A10">
            <v>40247</v>
          </cell>
          <cell r="B10">
            <v>9.1999999999999993</v>
          </cell>
          <cell r="C10">
            <v>69979.28</v>
          </cell>
          <cell r="D10">
            <v>1.7675000000000001</v>
          </cell>
          <cell r="F10">
            <v>99.459459459459453</v>
          </cell>
          <cell r="G10">
            <v>103.24601249115508</v>
          </cell>
          <cell r="I10">
            <v>9.52</v>
          </cell>
        </row>
        <row r="11">
          <cell r="A11">
            <v>40248</v>
          </cell>
          <cell r="B11">
            <v>9.2100000000000009</v>
          </cell>
          <cell r="C11">
            <v>69884.61</v>
          </cell>
          <cell r="D11">
            <v>1.7692000000000001</v>
          </cell>
          <cell r="F11">
            <v>99.567567567567579</v>
          </cell>
          <cell r="G11">
            <v>103.10633829041255</v>
          </cell>
          <cell r="I11">
            <v>9.2550000000000008</v>
          </cell>
        </row>
        <row r="12">
          <cell r="A12">
            <v>40249</v>
          </cell>
          <cell r="B12">
            <v>9.2100000000000009</v>
          </cell>
          <cell r="C12">
            <v>69341.38</v>
          </cell>
          <cell r="D12">
            <v>1.7661</v>
          </cell>
          <cell r="F12">
            <v>99.567567567567579</v>
          </cell>
          <cell r="G12">
            <v>102.30486774991014</v>
          </cell>
          <cell r="I12">
            <v>9.26</v>
          </cell>
        </row>
        <row r="13">
          <cell r="A13">
            <v>40250</v>
          </cell>
          <cell r="B13">
            <v>9.2100000000000009</v>
          </cell>
          <cell r="C13">
            <v>69341.38</v>
          </cell>
          <cell r="D13">
            <v>1.7661</v>
          </cell>
          <cell r="F13">
            <v>99.567567567567579</v>
          </cell>
          <cell r="G13">
            <v>102.30486774991014</v>
          </cell>
          <cell r="I13">
            <v>9.26</v>
          </cell>
        </row>
        <row r="14">
          <cell r="A14">
            <v>40251</v>
          </cell>
          <cell r="B14">
            <v>9.2100000000000009</v>
          </cell>
          <cell r="C14">
            <v>69341.38</v>
          </cell>
          <cell r="D14">
            <v>1.7661</v>
          </cell>
          <cell r="F14">
            <v>99.567567567567579</v>
          </cell>
          <cell r="G14">
            <v>102.30486774991014</v>
          </cell>
          <cell r="I14">
            <v>9.26</v>
          </cell>
        </row>
        <row r="15">
          <cell r="A15">
            <v>40252</v>
          </cell>
          <cell r="B15">
            <v>9.15</v>
          </cell>
          <cell r="C15">
            <v>69023.75</v>
          </cell>
          <cell r="D15">
            <v>1.7669999999999999</v>
          </cell>
          <cell r="F15">
            <v>98.918918918918919</v>
          </cell>
          <cell r="G15">
            <v>101.83624288055502</v>
          </cell>
          <cell r="I15">
            <v>9.3000000000000007</v>
          </cell>
        </row>
        <row r="16">
          <cell r="A16">
            <v>40253</v>
          </cell>
          <cell r="B16">
            <v>9.25</v>
          </cell>
          <cell r="C16">
            <v>69942.210000000006</v>
          </cell>
          <cell r="D16">
            <v>1.7621500000000001</v>
          </cell>
          <cell r="F16">
            <v>100</v>
          </cell>
          <cell r="G16">
            <v>103.19132016389699</v>
          </cell>
          <cell r="I16">
            <v>9.4499999999999993</v>
          </cell>
        </row>
        <row r="17">
          <cell r="A17">
            <v>40254</v>
          </cell>
          <cell r="B17">
            <v>9.25</v>
          </cell>
          <cell r="C17">
            <v>69723.240000000005</v>
          </cell>
          <cell r="D17">
            <v>1.7656499999999999</v>
          </cell>
          <cell r="F17">
            <v>100</v>
          </cell>
          <cell r="G17">
            <v>102.86825626047889</v>
          </cell>
          <cell r="I17">
            <v>9.59</v>
          </cell>
        </row>
        <row r="18">
          <cell r="A18">
            <v>40255</v>
          </cell>
          <cell r="B18">
            <v>9.17</v>
          </cell>
          <cell r="C18">
            <v>69697.33</v>
          </cell>
          <cell r="D18">
            <v>1.78975</v>
          </cell>
          <cell r="F18">
            <v>99.13513513513513</v>
          </cell>
          <cell r="G18">
            <v>102.83002917120838</v>
          </cell>
          <cell r="I18">
            <v>9.5950000000000006</v>
          </cell>
        </row>
        <row r="19">
          <cell r="A19">
            <v>40256</v>
          </cell>
          <cell r="B19">
            <v>9</v>
          </cell>
          <cell r="C19">
            <v>68828.98</v>
          </cell>
          <cell r="D19">
            <v>1.7983499999999999</v>
          </cell>
          <cell r="F19">
            <v>97.297297297297305</v>
          </cell>
          <cell r="G19">
            <v>101.54888316703835</v>
          </cell>
          <cell r="I19">
            <v>9.6174999999999997</v>
          </cell>
        </row>
        <row r="20">
          <cell r="A20">
            <v>40257</v>
          </cell>
          <cell r="B20">
            <v>9</v>
          </cell>
          <cell r="C20">
            <v>68828.98</v>
          </cell>
          <cell r="D20">
            <v>1.7983499999999999</v>
          </cell>
          <cell r="F20">
            <v>97.297297297297305</v>
          </cell>
          <cell r="G20">
            <v>101.54888316703835</v>
          </cell>
          <cell r="I20">
            <v>9.6174999999999997</v>
          </cell>
        </row>
        <row r="21">
          <cell r="A21">
            <v>40258</v>
          </cell>
          <cell r="B21">
            <v>9</v>
          </cell>
          <cell r="C21">
            <v>68828.98</v>
          </cell>
          <cell r="D21">
            <v>1.7983499999999999</v>
          </cell>
          <cell r="F21">
            <v>97.297297297297305</v>
          </cell>
          <cell r="G21">
            <v>101.54888316703835</v>
          </cell>
          <cell r="I21">
            <v>9.6174999999999997</v>
          </cell>
        </row>
        <row r="22">
          <cell r="A22">
            <v>40259</v>
          </cell>
          <cell r="B22">
            <v>8.7899999999999991</v>
          </cell>
          <cell r="C22">
            <v>69041.73</v>
          </cell>
          <cell r="D22">
            <v>1.8027</v>
          </cell>
          <cell r="F22">
            <v>95.027027027027017</v>
          </cell>
          <cell r="G22">
            <v>101.86277020842394</v>
          </cell>
          <cell r="I22">
            <v>9.6850000000000005</v>
          </cell>
        </row>
        <row r="23">
          <cell r="A23">
            <v>40260</v>
          </cell>
          <cell r="B23">
            <v>8.8000000000000007</v>
          </cell>
          <cell r="C23">
            <v>69386.720000000001</v>
          </cell>
          <cell r="D23">
            <v>1.78295</v>
          </cell>
          <cell r="F23">
            <v>95.135135135135144</v>
          </cell>
          <cell r="G23">
            <v>102.37176146768417</v>
          </cell>
          <cell r="I23">
            <v>9.68</v>
          </cell>
        </row>
        <row r="24">
          <cell r="A24">
            <v>40261</v>
          </cell>
          <cell r="B24">
            <v>8.8000000000000007</v>
          </cell>
          <cell r="C24">
            <v>68913.399999999994</v>
          </cell>
          <cell r="D24">
            <v>1.7886</v>
          </cell>
          <cell r="F24">
            <v>95.135135135135144</v>
          </cell>
          <cell r="G24">
            <v>101.67343472536395</v>
          </cell>
          <cell r="I24">
            <v>9.6</v>
          </cell>
        </row>
        <row r="25">
          <cell r="A25">
            <v>40262</v>
          </cell>
          <cell r="B25">
            <v>8.8000000000000007</v>
          </cell>
          <cell r="C25">
            <v>68441.66</v>
          </cell>
          <cell r="D25">
            <v>1.8047</v>
          </cell>
          <cell r="F25">
            <v>95.135135135135144</v>
          </cell>
          <cell r="G25">
            <v>100.9774390830456</v>
          </cell>
          <cell r="I25">
            <v>9.4250000000000007</v>
          </cell>
        </row>
        <row r="26">
          <cell r="A26">
            <v>40263</v>
          </cell>
          <cell r="B26">
            <v>8.7200000000000006</v>
          </cell>
          <cell r="C26">
            <v>68682.66</v>
          </cell>
          <cell r="D26">
            <v>1.8210999999999999</v>
          </cell>
          <cell r="F26">
            <v>94.270270270270274</v>
          </cell>
          <cell r="G26">
            <v>101.33300560231197</v>
          </cell>
          <cell r="I26">
            <v>9.52</v>
          </cell>
        </row>
        <row r="27">
          <cell r="A27">
            <v>40264</v>
          </cell>
          <cell r="B27">
            <v>8.7200000000000006</v>
          </cell>
          <cell r="C27">
            <v>68682.66</v>
          </cell>
          <cell r="D27">
            <v>1.8210999999999999</v>
          </cell>
          <cell r="F27">
            <v>94.270270270270274</v>
          </cell>
          <cell r="G27">
            <v>101.33300560231197</v>
          </cell>
          <cell r="I27">
            <v>9.52</v>
          </cell>
        </row>
        <row r="28">
          <cell r="A28">
            <v>40265</v>
          </cell>
          <cell r="B28">
            <v>8.7200000000000006</v>
          </cell>
          <cell r="C28">
            <v>68682.66</v>
          </cell>
          <cell r="D28">
            <v>1.8210999999999999</v>
          </cell>
          <cell r="F28">
            <v>94.270270270270274</v>
          </cell>
          <cell r="G28">
            <v>101.33300560231197</v>
          </cell>
          <cell r="I28">
            <v>9.52</v>
          </cell>
        </row>
        <row r="29">
          <cell r="A29">
            <v>40266</v>
          </cell>
          <cell r="B29">
            <v>9</v>
          </cell>
          <cell r="C29">
            <v>69939.12</v>
          </cell>
          <cell r="D29">
            <v>1.80975</v>
          </cell>
          <cell r="F29">
            <v>97.297297297297305</v>
          </cell>
          <cell r="G29">
            <v>103.18676124047568</v>
          </cell>
          <cell r="I29">
            <v>9.6750000000000007</v>
          </cell>
        </row>
        <row r="30">
          <cell r="A30">
            <v>40267</v>
          </cell>
          <cell r="B30">
            <v>8.81</v>
          </cell>
          <cell r="C30">
            <v>69959.58</v>
          </cell>
          <cell r="D30">
            <v>1.79495</v>
          </cell>
          <cell r="F30">
            <v>95.243243243243242</v>
          </cell>
          <cell r="G30">
            <v>103.21694751011962</v>
          </cell>
          <cell r="I30">
            <v>9.74</v>
          </cell>
        </row>
        <row r="31">
          <cell r="A31">
            <v>40268</v>
          </cell>
          <cell r="B31">
            <v>8.8000000000000007</v>
          </cell>
          <cell r="C31">
            <v>70371.539999999994</v>
          </cell>
          <cell r="D31">
            <v>1.7847</v>
          </cell>
          <cell r="F31">
            <v>95.135135135135144</v>
          </cell>
          <cell r="G31">
            <v>103.82474495110294</v>
          </cell>
          <cell r="I31">
            <v>9.41</v>
          </cell>
        </row>
        <row r="32">
          <cell r="A32">
            <v>40269</v>
          </cell>
          <cell r="B32">
            <v>8.5</v>
          </cell>
          <cell r="C32">
            <v>71136.34</v>
          </cell>
          <cell r="D32">
            <v>1.76905</v>
          </cell>
          <cell r="F32">
            <v>91.891891891891902</v>
          </cell>
          <cell r="G32">
            <v>104.95311538236827</v>
          </cell>
          <cell r="I32">
            <v>9.42</v>
          </cell>
        </row>
        <row r="33">
          <cell r="A33">
            <v>40270</v>
          </cell>
          <cell r="B33">
            <v>8.5</v>
          </cell>
          <cell r="C33">
            <v>71136.34</v>
          </cell>
          <cell r="D33">
            <v>1.76905</v>
          </cell>
          <cell r="F33">
            <v>91.891891891891902</v>
          </cell>
          <cell r="G33">
            <v>104.95311538236827</v>
          </cell>
          <cell r="I33">
            <v>9.42</v>
          </cell>
        </row>
        <row r="34">
          <cell r="A34">
            <v>40271</v>
          </cell>
          <cell r="B34">
            <v>8.5</v>
          </cell>
          <cell r="C34">
            <v>71136.34</v>
          </cell>
          <cell r="D34">
            <v>1.76905</v>
          </cell>
          <cell r="F34">
            <v>91.891891891891902</v>
          </cell>
          <cell r="G34">
            <v>104.95311538236827</v>
          </cell>
          <cell r="I34">
            <v>9.42</v>
          </cell>
        </row>
        <row r="35">
          <cell r="A35">
            <v>40272</v>
          </cell>
          <cell r="B35">
            <v>8.5</v>
          </cell>
          <cell r="C35">
            <v>71136.34</v>
          </cell>
          <cell r="D35">
            <v>1.76905</v>
          </cell>
          <cell r="F35">
            <v>91.891891891891902</v>
          </cell>
          <cell r="G35">
            <v>104.95311538236827</v>
          </cell>
          <cell r="I35">
            <v>9.42</v>
          </cell>
        </row>
        <row r="36">
          <cell r="A36">
            <v>40273</v>
          </cell>
          <cell r="B36">
            <v>8.5</v>
          </cell>
          <cell r="C36">
            <v>71289.679999999993</v>
          </cell>
          <cell r="D36">
            <v>1.75925</v>
          </cell>
          <cell r="F36">
            <v>91.891891891891902</v>
          </cell>
          <cell r="G36">
            <v>105.17935011292553</v>
          </cell>
          <cell r="I36">
            <v>9.36</v>
          </cell>
        </row>
        <row r="37">
          <cell r="A37">
            <v>40274</v>
          </cell>
          <cell r="B37">
            <v>8.6999999999999993</v>
          </cell>
          <cell r="C37">
            <v>71095.649999999994</v>
          </cell>
          <cell r="D37">
            <v>1.7604</v>
          </cell>
          <cell r="F37">
            <v>94.054054054054049</v>
          </cell>
          <cell r="G37">
            <v>104.89308218042241</v>
          </cell>
          <cell r="I37">
            <v>9.4450000000000003</v>
          </cell>
        </row>
        <row r="38">
          <cell r="A38">
            <v>40275</v>
          </cell>
          <cell r="B38">
            <v>8.6999999999999993</v>
          </cell>
          <cell r="C38">
            <v>70792.94</v>
          </cell>
          <cell r="D38">
            <v>1.7637499999999999</v>
          </cell>
          <cell r="F38">
            <v>94.054054054054049</v>
          </cell>
          <cell r="G38">
            <v>104.44646997690737</v>
          </cell>
          <cell r="I38">
            <v>9.5250000000000004</v>
          </cell>
        </row>
        <row r="39">
          <cell r="A39">
            <v>40276</v>
          </cell>
          <cell r="B39">
            <v>8.6999999999999993</v>
          </cell>
          <cell r="C39">
            <v>71784.78</v>
          </cell>
          <cell r="D39">
            <v>1.7839499999999999</v>
          </cell>
          <cell r="F39">
            <v>94.054054054054049</v>
          </cell>
          <cell r="G39">
            <v>105.90981062615705</v>
          </cell>
          <cell r="I39">
            <v>9.4649999999999999</v>
          </cell>
        </row>
        <row r="40">
          <cell r="A40">
            <v>40277</v>
          </cell>
          <cell r="B40">
            <v>8.42</v>
          </cell>
          <cell r="C40">
            <v>71417.27</v>
          </cell>
          <cell r="D40">
            <v>1.7742</v>
          </cell>
          <cell r="F40">
            <v>91.027027027027032</v>
          </cell>
          <cell r="G40">
            <v>105.36759381497203</v>
          </cell>
          <cell r="I40">
            <v>9.5225000000000009</v>
          </cell>
        </row>
        <row r="41">
          <cell r="A41">
            <v>40278</v>
          </cell>
          <cell r="B41">
            <v>8.42</v>
          </cell>
          <cell r="C41">
            <v>71417.27</v>
          </cell>
          <cell r="D41">
            <v>1.7742</v>
          </cell>
          <cell r="F41">
            <v>91.027027027027032</v>
          </cell>
          <cell r="G41">
            <v>105.36759381497203</v>
          </cell>
          <cell r="I41">
            <v>9.5225000000000009</v>
          </cell>
        </row>
        <row r="42">
          <cell r="A42">
            <v>40279</v>
          </cell>
          <cell r="B42">
            <v>8.42</v>
          </cell>
          <cell r="C42">
            <v>71417.27</v>
          </cell>
          <cell r="D42">
            <v>1.7742</v>
          </cell>
          <cell r="F42">
            <v>91.027027027027032</v>
          </cell>
          <cell r="G42">
            <v>105.36759381497203</v>
          </cell>
          <cell r="I42">
            <v>9.5225000000000009</v>
          </cell>
        </row>
        <row r="43">
          <cell r="A43">
            <v>40280</v>
          </cell>
          <cell r="B43">
            <v>8.65</v>
          </cell>
          <cell r="C43">
            <v>70614.36</v>
          </cell>
          <cell r="D43">
            <v>1.75875</v>
          </cell>
          <cell r="F43">
            <v>93.513513513513516</v>
          </cell>
          <cell r="G43">
            <v>104.1829966615107</v>
          </cell>
          <cell r="I43">
            <v>9.6</v>
          </cell>
        </row>
        <row r="44">
          <cell r="A44">
            <v>40281</v>
          </cell>
          <cell r="B44">
            <v>8.65</v>
          </cell>
          <cell r="C44">
            <v>70792.399999999994</v>
          </cell>
          <cell r="D44">
            <v>1.7659</v>
          </cell>
          <cell r="F44">
            <v>93.513513513513516</v>
          </cell>
          <cell r="G44">
            <v>104.44567327184342</v>
          </cell>
          <cell r="I44">
            <v>9.68</v>
          </cell>
        </row>
        <row r="45">
          <cell r="A45">
            <v>40282</v>
          </cell>
          <cell r="B45">
            <v>8.65</v>
          </cell>
          <cell r="C45">
            <v>71034.850000000006</v>
          </cell>
          <cell r="D45">
            <v>1.74275</v>
          </cell>
          <cell r="F45">
            <v>93.513513513513516</v>
          </cell>
          <cell r="G45">
            <v>104.80337909174442</v>
          </cell>
          <cell r="I45">
            <v>9.69</v>
          </cell>
        </row>
        <row r="46">
          <cell r="A46">
            <v>40283</v>
          </cell>
          <cell r="B46">
            <v>8.66</v>
          </cell>
          <cell r="C46">
            <v>70524.350000000006</v>
          </cell>
          <cell r="D46">
            <v>1.74</v>
          </cell>
          <cell r="F46">
            <v>93.621621621621614</v>
          </cell>
          <cell r="G46">
            <v>104.05019773039383</v>
          </cell>
          <cell r="I46">
            <v>9.84</v>
          </cell>
        </row>
        <row r="47">
          <cell r="A47">
            <v>40284</v>
          </cell>
          <cell r="B47">
            <v>8.75</v>
          </cell>
          <cell r="C47">
            <v>69421.350000000006</v>
          </cell>
          <cell r="D47">
            <v>1.7518</v>
          </cell>
          <cell r="F47">
            <v>94.594594594594597</v>
          </cell>
          <cell r="G47">
            <v>102.42285386835719</v>
          </cell>
          <cell r="I47">
            <v>9.8524999999999991</v>
          </cell>
        </row>
        <row r="48">
          <cell r="A48">
            <v>40285</v>
          </cell>
          <cell r="B48">
            <v>8.75</v>
          </cell>
          <cell r="C48">
            <v>69421.350000000006</v>
          </cell>
          <cell r="D48">
            <v>1.7518</v>
          </cell>
          <cell r="F48">
            <v>94.594594594594597</v>
          </cell>
          <cell r="G48">
            <v>102.42285386835719</v>
          </cell>
          <cell r="I48">
            <v>9.8524999999999991</v>
          </cell>
        </row>
        <row r="49">
          <cell r="A49">
            <v>40286</v>
          </cell>
          <cell r="B49">
            <v>8.75</v>
          </cell>
          <cell r="C49">
            <v>69421.350000000006</v>
          </cell>
          <cell r="D49">
            <v>1.7518</v>
          </cell>
          <cell r="F49">
            <v>94.594594594594597</v>
          </cell>
          <cell r="G49">
            <v>102.42285386835719</v>
          </cell>
          <cell r="I49">
            <v>9.8524999999999991</v>
          </cell>
        </row>
        <row r="50">
          <cell r="A50">
            <v>40287</v>
          </cell>
          <cell r="B50">
            <v>8.6999999999999993</v>
          </cell>
          <cell r="C50">
            <v>69097.58</v>
          </cell>
          <cell r="D50">
            <v>1.7575499999999999</v>
          </cell>
          <cell r="F50">
            <v>94.054054054054049</v>
          </cell>
          <cell r="G50">
            <v>101.94517016734936</v>
          </cell>
          <cell r="I50">
            <v>9.7675000000000001</v>
          </cell>
        </row>
        <row r="51">
          <cell r="A51">
            <v>40288</v>
          </cell>
          <cell r="B51">
            <v>8.6999999999999993</v>
          </cell>
          <cell r="C51">
            <v>69318.44</v>
          </cell>
          <cell r="D51">
            <v>1.7511000000000001</v>
          </cell>
          <cell r="F51">
            <v>94.054054054054049</v>
          </cell>
          <cell r="G51">
            <v>102.27102253849118</v>
          </cell>
          <cell r="I51">
            <v>9.84</v>
          </cell>
        </row>
        <row r="52">
          <cell r="A52">
            <v>40289</v>
          </cell>
          <cell r="B52">
            <v>8.6999999999999993</v>
          </cell>
          <cell r="C52">
            <v>69318.44</v>
          </cell>
          <cell r="D52">
            <v>1.7511000000000001</v>
          </cell>
          <cell r="F52">
            <v>94.054054054054049</v>
          </cell>
          <cell r="G52">
            <v>102.27102253849118</v>
          </cell>
          <cell r="I52">
            <v>9.9550000000000001</v>
          </cell>
        </row>
        <row r="53">
          <cell r="A53">
            <v>40290</v>
          </cell>
          <cell r="B53">
            <v>9</v>
          </cell>
          <cell r="C53">
            <v>69386.41</v>
          </cell>
          <cell r="D53">
            <v>1.7662500000000001</v>
          </cell>
          <cell r="F53">
            <v>97.297297297297305</v>
          </cell>
          <cell r="G53">
            <v>102.37130409996229</v>
          </cell>
          <cell r="I53">
            <v>10.0425</v>
          </cell>
        </row>
        <row r="54">
          <cell r="A54">
            <v>40291</v>
          </cell>
          <cell r="B54">
            <v>8.92</v>
          </cell>
          <cell r="C54">
            <v>69509.490000000005</v>
          </cell>
          <cell r="D54">
            <v>1.7623</v>
          </cell>
          <cell r="F54">
            <v>96.432432432432435</v>
          </cell>
          <cell r="G54">
            <v>102.55289383934532</v>
          </cell>
          <cell r="I54">
            <v>10</v>
          </cell>
        </row>
        <row r="55">
          <cell r="A55">
            <v>40292</v>
          </cell>
          <cell r="B55">
            <v>8.92</v>
          </cell>
          <cell r="C55">
            <v>69509.490000000005</v>
          </cell>
          <cell r="D55">
            <v>1.7623</v>
          </cell>
          <cell r="F55">
            <v>96.432432432432435</v>
          </cell>
          <cell r="G55">
            <v>102.55289383934532</v>
          </cell>
          <cell r="I55">
            <v>10</v>
          </cell>
        </row>
        <row r="56">
          <cell r="A56">
            <v>40293</v>
          </cell>
          <cell r="B56">
            <v>8.92</v>
          </cell>
          <cell r="C56">
            <v>69509.490000000005</v>
          </cell>
          <cell r="D56">
            <v>1.7623</v>
          </cell>
          <cell r="F56">
            <v>96.432432432432435</v>
          </cell>
          <cell r="G56">
            <v>102.55289383934532</v>
          </cell>
          <cell r="I56">
            <v>10</v>
          </cell>
        </row>
        <row r="57">
          <cell r="A57">
            <v>40294</v>
          </cell>
          <cell r="B57">
            <v>9.1</v>
          </cell>
          <cell r="C57">
            <v>68871.94</v>
          </cell>
          <cell r="D57">
            <v>1.7442500000000001</v>
          </cell>
          <cell r="F57">
            <v>98.378378378378372</v>
          </cell>
          <cell r="G57">
            <v>101.61226548101216</v>
          </cell>
          <cell r="I57">
            <v>9.9875000000000007</v>
          </cell>
        </row>
        <row r="58">
          <cell r="A58">
            <v>40295</v>
          </cell>
          <cell r="B58">
            <v>9.1</v>
          </cell>
          <cell r="C58">
            <v>66511.100000000006</v>
          </cell>
          <cell r="D58">
            <v>1.7515000000000001</v>
          </cell>
          <cell r="F58">
            <v>98.378378378378372</v>
          </cell>
          <cell r="G58">
            <v>98.12912995675957</v>
          </cell>
          <cell r="I58">
            <v>9.8275000000000006</v>
          </cell>
        </row>
        <row r="59">
          <cell r="A59">
            <v>40296</v>
          </cell>
          <cell r="B59">
            <v>9.1</v>
          </cell>
          <cell r="C59">
            <v>66655.710000000006</v>
          </cell>
          <cell r="D59">
            <v>1.7576499999999999</v>
          </cell>
          <cell r="F59">
            <v>98.378378378378372</v>
          </cell>
          <cell r="G59">
            <v>98.342484622116885</v>
          </cell>
          <cell r="I59">
            <v>9.8275000000000006</v>
          </cell>
        </row>
        <row r="60">
          <cell r="A60">
            <v>40297</v>
          </cell>
          <cell r="B60">
            <v>9.1</v>
          </cell>
          <cell r="C60">
            <v>67978.05</v>
          </cell>
          <cell r="D60">
            <v>1.7309000000000001</v>
          </cell>
          <cell r="F60">
            <v>98.378378378378372</v>
          </cell>
          <cell r="G60">
            <v>100.2934382780784</v>
          </cell>
          <cell r="I60">
            <v>9.8574999999999999</v>
          </cell>
        </row>
        <row r="61">
          <cell r="A61">
            <v>40298</v>
          </cell>
          <cell r="B61">
            <v>9.19</v>
          </cell>
          <cell r="C61">
            <v>67529.73</v>
          </cell>
          <cell r="D61">
            <v>1.73075</v>
          </cell>
          <cell r="F61">
            <v>99.35135135135134</v>
          </cell>
          <cell r="G61">
            <v>99.631996029458008</v>
          </cell>
          <cell r="I61">
            <v>9.8949999999999996</v>
          </cell>
        </row>
        <row r="62">
          <cell r="A62">
            <v>40299</v>
          </cell>
          <cell r="B62">
            <v>9.19</v>
          </cell>
          <cell r="C62">
            <v>67529.73</v>
          </cell>
          <cell r="D62">
            <v>1.73075</v>
          </cell>
          <cell r="F62">
            <v>99.35135135135134</v>
          </cell>
          <cell r="G62">
            <v>99.631996029458008</v>
          </cell>
          <cell r="I62">
            <v>9.8949999999999996</v>
          </cell>
        </row>
        <row r="63">
          <cell r="A63">
            <v>40300</v>
          </cell>
          <cell r="B63">
            <v>9.19</v>
          </cell>
          <cell r="C63">
            <v>67529.73</v>
          </cell>
          <cell r="D63">
            <v>1.73075</v>
          </cell>
          <cell r="F63">
            <v>99.35135135135134</v>
          </cell>
          <cell r="G63">
            <v>99.631996029458008</v>
          </cell>
          <cell r="I63">
            <v>9.8949999999999996</v>
          </cell>
        </row>
        <row r="64">
          <cell r="A64">
            <v>40301</v>
          </cell>
          <cell r="B64">
            <v>9.19</v>
          </cell>
          <cell r="C64">
            <v>67119.41</v>
          </cell>
          <cell r="D64">
            <v>1.7344999999999999</v>
          </cell>
          <cell r="F64">
            <v>99.35135135135134</v>
          </cell>
          <cell r="G64">
            <v>99.026618211261393</v>
          </cell>
          <cell r="I64">
            <v>9.7575000000000003</v>
          </cell>
        </row>
        <row r="65">
          <cell r="A65">
            <v>40302</v>
          </cell>
          <cell r="B65">
            <v>8.5</v>
          </cell>
          <cell r="C65">
            <v>64869.32</v>
          </cell>
          <cell r="D65">
            <v>1.7555000000000001</v>
          </cell>
          <cell r="F65">
            <v>91.891891891891902</v>
          </cell>
          <cell r="G65">
            <v>95.706880994099066</v>
          </cell>
          <cell r="I65">
            <v>9.77</v>
          </cell>
        </row>
        <row r="66">
          <cell r="A66">
            <v>40303</v>
          </cell>
          <cell r="B66">
            <v>8.5</v>
          </cell>
          <cell r="C66">
            <v>64914.17</v>
          </cell>
          <cell r="D66">
            <v>1.7878499999999999</v>
          </cell>
          <cell r="F66">
            <v>91.891891891891902</v>
          </cell>
          <cell r="G66">
            <v>95.773051775796574</v>
          </cell>
          <cell r="I66">
            <v>9.6824999999999992</v>
          </cell>
        </row>
        <row r="67">
          <cell r="A67">
            <v>40304</v>
          </cell>
          <cell r="B67">
            <v>8.5</v>
          </cell>
          <cell r="C67">
            <v>63414.22</v>
          </cell>
          <cell r="D67">
            <v>1.8084499999999999</v>
          </cell>
          <cell r="F67">
            <v>91.891891891891902</v>
          </cell>
          <cell r="G67">
            <v>93.560055922793964</v>
          </cell>
          <cell r="I67">
            <v>9.4550000000000001</v>
          </cell>
        </row>
        <row r="68">
          <cell r="A68">
            <v>40305</v>
          </cell>
          <cell r="B68">
            <v>8.49</v>
          </cell>
          <cell r="C68">
            <v>62870.879999999997</v>
          </cell>
          <cell r="D68">
            <v>1.84975</v>
          </cell>
          <cell r="F68">
            <v>91.78378378378379</v>
          </cell>
          <cell r="G68">
            <v>92.758423090519258</v>
          </cell>
          <cell r="I68">
            <v>9.5124999999999993</v>
          </cell>
        </row>
        <row r="69">
          <cell r="A69">
            <v>40306</v>
          </cell>
          <cell r="B69">
            <v>8.49</v>
          </cell>
          <cell r="C69">
            <v>62870.879999999997</v>
          </cell>
          <cell r="D69">
            <v>1.84975</v>
          </cell>
          <cell r="F69">
            <v>91.78378378378379</v>
          </cell>
          <cell r="G69">
            <v>92.758423090519258</v>
          </cell>
          <cell r="I69">
            <v>9.5124999999999993</v>
          </cell>
        </row>
        <row r="70">
          <cell r="A70">
            <v>40307</v>
          </cell>
          <cell r="B70">
            <v>8.49</v>
          </cell>
          <cell r="C70">
            <v>62870.879999999997</v>
          </cell>
          <cell r="D70">
            <v>1.84975</v>
          </cell>
          <cell r="F70">
            <v>91.78378378378379</v>
          </cell>
          <cell r="G70">
            <v>92.758423090519258</v>
          </cell>
          <cell r="I70">
            <v>9.5124999999999993</v>
          </cell>
        </row>
        <row r="71">
          <cell r="A71">
            <v>40308</v>
          </cell>
          <cell r="B71">
            <v>8.49</v>
          </cell>
          <cell r="C71">
            <v>65452.68</v>
          </cell>
          <cell r="D71">
            <v>1.7876000000000001</v>
          </cell>
          <cell r="F71">
            <v>91.78378378378379</v>
          </cell>
          <cell r="G71">
            <v>96.567558523888465</v>
          </cell>
          <cell r="I71">
            <v>9.5274999999999999</v>
          </cell>
        </row>
        <row r="72">
          <cell r="A72">
            <v>40309</v>
          </cell>
          <cell r="B72">
            <v>8.49</v>
          </cell>
          <cell r="C72">
            <v>64424.89</v>
          </cell>
          <cell r="D72">
            <v>1.78285</v>
          </cell>
          <cell r="F72">
            <v>91.78378378378379</v>
          </cell>
          <cell r="G72">
            <v>95.051177972698383</v>
          </cell>
          <cell r="I72">
            <v>9.5824999999999996</v>
          </cell>
        </row>
        <row r="73">
          <cell r="A73">
            <v>40310</v>
          </cell>
          <cell r="B73">
            <v>8.49</v>
          </cell>
          <cell r="C73">
            <v>65223.63</v>
          </cell>
          <cell r="D73">
            <v>1.77155</v>
          </cell>
          <cell r="F73">
            <v>91.78378378378379</v>
          </cell>
          <cell r="G73">
            <v>96.229622792610584</v>
          </cell>
          <cell r="I73">
            <v>9.5950000000000006</v>
          </cell>
        </row>
        <row r="74">
          <cell r="A74">
            <v>40311</v>
          </cell>
          <cell r="B74">
            <v>8.49</v>
          </cell>
          <cell r="C74">
            <v>64788.22</v>
          </cell>
          <cell r="D74">
            <v>1.7722500000000001</v>
          </cell>
          <cell r="F74">
            <v>91.78378378378379</v>
          </cell>
          <cell r="G74">
            <v>95.587227696536814</v>
          </cell>
          <cell r="I74">
            <v>9.6050000000000004</v>
          </cell>
        </row>
        <row r="75">
          <cell r="A75">
            <v>40312</v>
          </cell>
          <cell r="B75">
            <v>8.5</v>
          </cell>
          <cell r="C75">
            <v>63412.47</v>
          </cell>
          <cell r="D75">
            <v>1.7946</v>
          </cell>
          <cell r="F75">
            <v>91.891891891891902</v>
          </cell>
          <cell r="G75">
            <v>93.557474008234976</v>
          </cell>
          <cell r="I75">
            <v>9.48</v>
          </cell>
        </row>
        <row r="76">
          <cell r="A76">
            <v>40313</v>
          </cell>
          <cell r="B76">
            <v>8.5</v>
          </cell>
          <cell r="C76">
            <v>63412.47</v>
          </cell>
          <cell r="D76">
            <v>1.7946</v>
          </cell>
          <cell r="F76">
            <v>91.891891891891902</v>
          </cell>
          <cell r="G76">
            <v>93.557474008234976</v>
          </cell>
          <cell r="I76">
            <v>9.48</v>
          </cell>
        </row>
        <row r="77">
          <cell r="A77">
            <v>40314</v>
          </cell>
          <cell r="B77">
            <v>8.5</v>
          </cell>
          <cell r="C77">
            <v>63412.47</v>
          </cell>
          <cell r="D77">
            <v>1.7946</v>
          </cell>
          <cell r="F77">
            <v>91.891891891891902</v>
          </cell>
          <cell r="G77">
            <v>93.557474008234976</v>
          </cell>
          <cell r="I77">
            <v>9.48</v>
          </cell>
        </row>
        <row r="78">
          <cell r="A78">
            <v>40315</v>
          </cell>
          <cell r="B78">
            <v>8.4499999999999993</v>
          </cell>
          <cell r="C78">
            <v>62866.26</v>
          </cell>
          <cell r="D78">
            <v>1.8073999999999999</v>
          </cell>
          <cell r="F78">
            <v>91.35135135135134</v>
          </cell>
          <cell r="G78">
            <v>92.751606836083539</v>
          </cell>
          <cell r="I78">
            <v>9.41</v>
          </cell>
        </row>
        <row r="79">
          <cell r="A79">
            <v>40316</v>
          </cell>
          <cell r="B79">
            <v>8.3000000000000007</v>
          </cell>
          <cell r="C79">
            <v>60841.08</v>
          </cell>
          <cell r="D79">
            <v>1.7967500000000001</v>
          </cell>
          <cell r="F79">
            <v>89.72972972972974</v>
          </cell>
          <cell r="G79">
            <v>89.7636972780424</v>
          </cell>
          <cell r="I79">
            <v>9.3949999999999996</v>
          </cell>
        </row>
        <row r="80">
          <cell r="A80">
            <v>40317</v>
          </cell>
          <cell r="B80">
            <v>8.15</v>
          </cell>
          <cell r="C80">
            <v>59689.32</v>
          </cell>
          <cell r="D80">
            <v>1.83765</v>
          </cell>
          <cell r="F80">
            <v>88.108108108108112</v>
          </cell>
          <cell r="G80">
            <v>88.064413899493587</v>
          </cell>
          <cell r="I80">
            <v>9.3849999999999998</v>
          </cell>
        </row>
        <row r="81">
          <cell r="A81">
            <v>40318</v>
          </cell>
          <cell r="B81">
            <v>8</v>
          </cell>
          <cell r="C81">
            <v>58192.08</v>
          </cell>
          <cell r="D81">
            <v>1.8864000000000001</v>
          </cell>
          <cell r="F81">
            <v>86.486486486486484</v>
          </cell>
          <cell r="G81">
            <v>85.855416325608047</v>
          </cell>
          <cell r="I81">
            <v>9.44</v>
          </cell>
        </row>
        <row r="82">
          <cell r="A82">
            <v>40319</v>
          </cell>
          <cell r="B82">
            <v>7.99</v>
          </cell>
          <cell r="C82">
            <v>60259.33</v>
          </cell>
          <cell r="D82">
            <v>1.8728</v>
          </cell>
          <cell r="F82">
            <v>86.378378378378386</v>
          </cell>
          <cell r="G82">
            <v>88.905395109647273</v>
          </cell>
          <cell r="I82">
            <v>9.41</v>
          </cell>
        </row>
        <row r="83">
          <cell r="A83">
            <v>40320</v>
          </cell>
          <cell r="B83">
            <v>7.99</v>
          </cell>
          <cell r="C83">
            <v>60259.33</v>
          </cell>
          <cell r="D83">
            <v>1.8728</v>
          </cell>
          <cell r="F83">
            <v>86.378378378378386</v>
          </cell>
          <cell r="G83">
            <v>88.905395109647273</v>
          </cell>
          <cell r="I83">
            <v>9.41</v>
          </cell>
        </row>
        <row r="84">
          <cell r="A84">
            <v>40321</v>
          </cell>
          <cell r="B84">
            <v>7.99</v>
          </cell>
          <cell r="C84">
            <v>60259.33</v>
          </cell>
          <cell r="D84">
            <v>1.8728</v>
          </cell>
          <cell r="F84">
            <v>86.378378378378386</v>
          </cell>
          <cell r="G84">
            <v>88.905395109647273</v>
          </cell>
          <cell r="I84">
            <v>9.41</v>
          </cell>
        </row>
        <row r="85">
          <cell r="A85">
            <v>40322</v>
          </cell>
          <cell r="B85">
            <v>7.99</v>
          </cell>
          <cell r="C85">
            <v>59915.14</v>
          </cell>
          <cell r="D85">
            <v>1.8485</v>
          </cell>
          <cell r="F85">
            <v>86.378378378378386</v>
          </cell>
          <cell r="G85">
            <v>88.397584154185438</v>
          </cell>
          <cell r="I85">
            <v>9.4049999999999994</v>
          </cell>
        </row>
        <row r="86">
          <cell r="A86">
            <v>40323</v>
          </cell>
          <cell r="B86">
            <v>7.99</v>
          </cell>
          <cell r="C86">
            <v>59184.08</v>
          </cell>
          <cell r="D86">
            <v>1.8866000000000001</v>
          </cell>
          <cell r="F86">
            <v>86.378378378378386</v>
          </cell>
          <cell r="G86">
            <v>87.318993035617439</v>
          </cell>
          <cell r="I86">
            <v>9.3049999999999997</v>
          </cell>
        </row>
        <row r="87">
          <cell r="A87">
            <v>40324</v>
          </cell>
          <cell r="B87">
            <v>7.99</v>
          </cell>
          <cell r="C87">
            <v>60190.36</v>
          </cell>
          <cell r="D87">
            <v>1.8408</v>
          </cell>
          <cell r="F87">
            <v>86.378378378378386</v>
          </cell>
          <cell r="G87">
            <v>88.803638168428165</v>
          </cell>
          <cell r="I87">
            <v>9.3800000000000008</v>
          </cell>
        </row>
        <row r="88">
          <cell r="A88">
            <v>40325</v>
          </cell>
          <cell r="B88">
            <v>8</v>
          </cell>
          <cell r="C88">
            <v>62091.77</v>
          </cell>
          <cell r="D88">
            <v>1.8319000000000001</v>
          </cell>
          <cell r="F88">
            <v>86.486486486486484</v>
          </cell>
          <cell r="G88">
            <v>91.608939975060167</v>
          </cell>
          <cell r="I88">
            <v>9.5175000000000001</v>
          </cell>
        </row>
        <row r="89">
          <cell r="A89">
            <v>40326</v>
          </cell>
          <cell r="B89">
            <v>8.5</v>
          </cell>
          <cell r="C89">
            <v>61946.99</v>
          </cell>
          <cell r="D89">
            <v>1.8245</v>
          </cell>
          <cell r="F89">
            <v>91.891891891891902</v>
          </cell>
          <cell r="G89">
            <v>91.395334495145704</v>
          </cell>
          <cell r="I89">
            <v>9.3774999999999995</v>
          </cell>
        </row>
        <row r="90">
          <cell r="A90">
            <v>40327</v>
          </cell>
          <cell r="B90">
            <v>8.5</v>
          </cell>
          <cell r="C90">
            <v>61946.99</v>
          </cell>
          <cell r="D90">
            <v>1.8245</v>
          </cell>
          <cell r="F90">
            <v>91.891891891891902</v>
          </cell>
          <cell r="G90">
            <v>91.395334495145704</v>
          </cell>
          <cell r="I90">
            <v>9.3774999999999995</v>
          </cell>
        </row>
        <row r="91">
          <cell r="A91">
            <v>40328</v>
          </cell>
          <cell r="B91">
            <v>8.5</v>
          </cell>
          <cell r="C91">
            <v>61946.99</v>
          </cell>
          <cell r="D91">
            <v>1.8245</v>
          </cell>
          <cell r="F91">
            <v>91.891891891891902</v>
          </cell>
          <cell r="G91">
            <v>91.395334495145704</v>
          </cell>
          <cell r="I91">
            <v>9.3774999999999995</v>
          </cell>
        </row>
        <row r="92">
          <cell r="A92">
            <v>40329</v>
          </cell>
          <cell r="B92">
            <v>8.5</v>
          </cell>
          <cell r="C92">
            <v>61946.99</v>
          </cell>
          <cell r="D92">
            <v>1.8245</v>
          </cell>
          <cell r="F92">
            <v>91.891891891891902</v>
          </cell>
          <cell r="G92">
            <v>91.395334495145704</v>
          </cell>
          <cell r="I92">
            <v>9.3774999999999995</v>
          </cell>
        </row>
        <row r="93">
          <cell r="A93">
            <v>40330</v>
          </cell>
          <cell r="B93">
            <v>8.99</v>
          </cell>
          <cell r="C93">
            <v>61840.99</v>
          </cell>
          <cell r="D93">
            <v>1.8204</v>
          </cell>
          <cell r="F93">
            <v>97.189189189189193</v>
          </cell>
          <cell r="G93">
            <v>91.238944241858405</v>
          </cell>
          <cell r="I93">
            <v>9.32</v>
          </cell>
        </row>
        <row r="94">
          <cell r="A94">
            <v>40331</v>
          </cell>
          <cell r="B94">
            <v>8.99</v>
          </cell>
          <cell r="C94">
            <v>62942.91</v>
          </cell>
          <cell r="D94">
            <v>1.83365</v>
          </cell>
          <cell r="F94">
            <v>97.189189189189193</v>
          </cell>
          <cell r="G94">
            <v>92.86469469376722</v>
          </cell>
          <cell r="I94">
            <v>9.3249999999999993</v>
          </cell>
        </row>
        <row r="95">
          <cell r="A95">
            <v>40332</v>
          </cell>
          <cell r="B95">
            <v>8.99</v>
          </cell>
          <cell r="C95">
            <v>62942.91</v>
          </cell>
          <cell r="D95">
            <v>1.8191999999999999</v>
          </cell>
          <cell r="F95">
            <v>97.189189189189193</v>
          </cell>
          <cell r="G95">
            <v>92.86469469376722</v>
          </cell>
          <cell r="I95">
            <v>9.5500000000000007</v>
          </cell>
        </row>
        <row r="96">
          <cell r="A96">
            <v>40333</v>
          </cell>
          <cell r="B96">
            <v>8.99</v>
          </cell>
          <cell r="C96">
            <v>61675.75</v>
          </cell>
          <cell r="D96">
            <v>1.83975</v>
          </cell>
          <cell r="F96">
            <v>97.189189189189193</v>
          </cell>
          <cell r="G96">
            <v>90.995152492299994</v>
          </cell>
          <cell r="I96">
            <v>9.35</v>
          </cell>
        </row>
        <row r="97">
          <cell r="A97">
            <v>40334</v>
          </cell>
          <cell r="B97">
            <v>8.99</v>
          </cell>
          <cell r="C97">
            <v>61675.75</v>
          </cell>
          <cell r="D97">
            <v>1.83975</v>
          </cell>
          <cell r="F97">
            <v>97.189189189189193</v>
          </cell>
          <cell r="G97">
            <v>90.995152492299994</v>
          </cell>
          <cell r="I97">
            <v>9.35</v>
          </cell>
        </row>
        <row r="98">
          <cell r="A98">
            <v>40335</v>
          </cell>
          <cell r="B98">
            <v>8.99</v>
          </cell>
          <cell r="C98">
            <v>61675.75</v>
          </cell>
          <cell r="D98">
            <v>1.83975</v>
          </cell>
          <cell r="F98">
            <v>97.189189189189193</v>
          </cell>
          <cell r="G98">
            <v>90.995152492299994</v>
          </cell>
          <cell r="I98">
            <v>9.35</v>
          </cell>
        </row>
        <row r="99">
          <cell r="A99">
            <v>40336</v>
          </cell>
          <cell r="B99">
            <v>8.5</v>
          </cell>
          <cell r="C99">
            <v>61182.92</v>
          </cell>
          <cell r="D99">
            <v>1.8701000000000001</v>
          </cell>
          <cell r="F99">
            <v>91.891891891891902</v>
          </cell>
          <cell r="G99">
            <v>90.268041091096435</v>
          </cell>
          <cell r="I99">
            <v>9.35</v>
          </cell>
        </row>
        <row r="100">
          <cell r="A100">
            <v>40337</v>
          </cell>
          <cell r="B100">
            <v>8.2100000000000009</v>
          </cell>
          <cell r="C100">
            <v>61793</v>
          </cell>
          <cell r="D100">
            <v>1.8734999999999999</v>
          </cell>
          <cell r="F100">
            <v>88.756756756756758</v>
          </cell>
          <cell r="G100">
            <v>91.168140767752206</v>
          </cell>
          <cell r="I100">
            <v>9.31</v>
          </cell>
        </row>
        <row r="101">
          <cell r="A101">
            <v>40338</v>
          </cell>
          <cell r="B101">
            <v>8.25</v>
          </cell>
          <cell r="C101">
            <v>61478.61</v>
          </cell>
          <cell r="D101">
            <v>1.8412500000000001</v>
          </cell>
          <cell r="F101">
            <v>89.189189189189193</v>
          </cell>
          <cell r="G101">
            <v>90.704296128780584</v>
          </cell>
          <cell r="I101">
            <v>9.4350000000000005</v>
          </cell>
        </row>
        <row r="102">
          <cell r="A102">
            <v>40339</v>
          </cell>
          <cell r="B102">
            <v>8.49</v>
          </cell>
          <cell r="C102">
            <v>63048.800000000003</v>
          </cell>
          <cell r="D102">
            <v>1.8202499999999999</v>
          </cell>
          <cell r="F102">
            <v>91.78378378378379</v>
          </cell>
          <cell r="G102">
            <v>93.020922655282249</v>
          </cell>
          <cell r="I102">
            <v>9.35</v>
          </cell>
        </row>
        <row r="103">
          <cell r="A103">
            <v>40340</v>
          </cell>
          <cell r="B103">
            <v>8.5</v>
          </cell>
          <cell r="C103">
            <v>63605.38</v>
          </cell>
          <cell r="D103">
            <v>1.8079000000000001</v>
          </cell>
          <cell r="F103">
            <v>91.891891891891902</v>
          </cell>
          <cell r="G103">
            <v>93.842089515420369</v>
          </cell>
          <cell r="I103">
            <v>9.4625000000000004</v>
          </cell>
        </row>
        <row r="104">
          <cell r="A104">
            <v>40341</v>
          </cell>
          <cell r="B104">
            <v>8.5</v>
          </cell>
          <cell r="C104">
            <v>63605.38</v>
          </cell>
          <cell r="D104">
            <v>1.8079000000000001</v>
          </cell>
          <cell r="F104">
            <v>91.891891891891902</v>
          </cell>
          <cell r="G104">
            <v>93.842089515420369</v>
          </cell>
          <cell r="I104">
            <v>9.4625000000000004</v>
          </cell>
        </row>
        <row r="105">
          <cell r="A105">
            <v>40342</v>
          </cell>
          <cell r="B105">
            <v>8.5</v>
          </cell>
          <cell r="C105">
            <v>63605.38</v>
          </cell>
          <cell r="D105">
            <v>1.8079000000000001</v>
          </cell>
          <cell r="F105">
            <v>91.891891891891902</v>
          </cell>
          <cell r="G105">
            <v>93.842089515420369</v>
          </cell>
          <cell r="I105">
            <v>9.4625000000000004</v>
          </cell>
        </row>
        <row r="106">
          <cell r="A106">
            <v>40343</v>
          </cell>
          <cell r="B106">
            <v>8.6</v>
          </cell>
          <cell r="C106">
            <v>63532.85</v>
          </cell>
          <cell r="D106">
            <v>1.8010999999999999</v>
          </cell>
          <cell r="F106">
            <v>92.972972972972968</v>
          </cell>
          <cell r="G106">
            <v>93.735080222298407</v>
          </cell>
          <cell r="I106">
            <v>9.5150000000000006</v>
          </cell>
        </row>
        <row r="107">
          <cell r="A107">
            <v>40344</v>
          </cell>
          <cell r="B107">
            <v>9</v>
          </cell>
          <cell r="C107">
            <v>64442.27</v>
          </cell>
          <cell r="D107">
            <v>1.7940499999999999</v>
          </cell>
          <cell r="F107">
            <v>97.297297297297305</v>
          </cell>
          <cell r="G107">
            <v>95.076820072718505</v>
          </cell>
          <cell r="I107">
            <v>9.4949999999999992</v>
          </cell>
        </row>
        <row r="108">
          <cell r="A108">
            <v>40345</v>
          </cell>
          <cell r="B108">
            <v>9</v>
          </cell>
          <cell r="C108">
            <v>64750.71</v>
          </cell>
          <cell r="D108">
            <v>1.7903500000000001</v>
          </cell>
          <cell r="F108">
            <v>97.297297297297305</v>
          </cell>
          <cell r="G108">
            <v>95.531886202189582</v>
          </cell>
          <cell r="I108">
            <v>9.5775000000000006</v>
          </cell>
        </row>
        <row r="109">
          <cell r="A109">
            <v>40346</v>
          </cell>
          <cell r="B109">
            <v>9</v>
          </cell>
          <cell r="C109">
            <v>64540.91</v>
          </cell>
          <cell r="D109">
            <v>1.7837000000000001</v>
          </cell>
          <cell r="F109">
            <v>97.297297297297305</v>
          </cell>
          <cell r="G109">
            <v>95.222351531060582</v>
          </cell>
          <cell r="I109">
            <v>9.52</v>
          </cell>
        </row>
        <row r="110">
          <cell r="A110">
            <v>40347</v>
          </cell>
          <cell r="B110">
            <v>9</v>
          </cell>
          <cell r="C110">
            <v>64437.58</v>
          </cell>
          <cell r="D110">
            <v>1.7732000000000001</v>
          </cell>
          <cell r="F110">
            <v>97.297297297297305</v>
          </cell>
          <cell r="G110">
            <v>95.06990054170042</v>
          </cell>
          <cell r="I110">
            <v>9.61</v>
          </cell>
        </row>
        <row r="111">
          <cell r="A111">
            <v>40348</v>
          </cell>
          <cell r="B111">
            <v>9</v>
          </cell>
          <cell r="C111">
            <v>64437.58</v>
          </cell>
          <cell r="D111">
            <v>1.7732000000000001</v>
          </cell>
          <cell r="F111">
            <v>97.297297297297305</v>
          </cell>
          <cell r="G111">
            <v>95.06990054170042</v>
          </cell>
          <cell r="I111">
            <v>9.61</v>
          </cell>
        </row>
        <row r="112">
          <cell r="A112">
            <v>40349</v>
          </cell>
          <cell r="B112">
            <v>9</v>
          </cell>
          <cell r="C112">
            <v>64437.58</v>
          </cell>
          <cell r="D112">
            <v>1.7732000000000001</v>
          </cell>
          <cell r="F112">
            <v>97.297297297297305</v>
          </cell>
          <cell r="G112">
            <v>95.06990054170042</v>
          </cell>
          <cell r="I112">
            <v>9.61</v>
          </cell>
        </row>
        <row r="113">
          <cell r="A113">
            <v>40350</v>
          </cell>
          <cell r="B113">
            <v>9</v>
          </cell>
          <cell r="C113">
            <v>64829.03</v>
          </cell>
          <cell r="D113">
            <v>1.7637</v>
          </cell>
          <cell r="F113">
            <v>97.297297297297305</v>
          </cell>
          <cell r="G113">
            <v>95.647437944052413</v>
          </cell>
          <cell r="I113">
            <v>9.6325000000000003</v>
          </cell>
        </row>
        <row r="114">
          <cell r="A114">
            <v>40351</v>
          </cell>
          <cell r="B114">
            <v>9.1</v>
          </cell>
          <cell r="C114">
            <v>64810.62</v>
          </cell>
          <cell r="D114">
            <v>1.7641500000000001</v>
          </cell>
          <cell r="F114">
            <v>98.378378378378372</v>
          </cell>
          <cell r="G114">
            <v>95.620276202891858</v>
          </cell>
          <cell r="I114">
            <v>9.6549999999999994</v>
          </cell>
        </row>
        <row r="115">
          <cell r="A115">
            <v>40352</v>
          </cell>
          <cell r="B115">
            <v>9.1</v>
          </cell>
          <cell r="C115">
            <v>65160.33</v>
          </cell>
          <cell r="D115">
            <v>1.7968500000000001</v>
          </cell>
          <cell r="F115">
            <v>98.378378378378372</v>
          </cell>
          <cell r="G115">
            <v>96.136231254562603</v>
          </cell>
          <cell r="I115">
            <v>9.58</v>
          </cell>
        </row>
        <row r="116">
          <cell r="A116">
            <v>40353</v>
          </cell>
          <cell r="B116">
            <v>9.15</v>
          </cell>
          <cell r="C116">
            <v>63936.7</v>
          </cell>
          <cell r="D116">
            <v>1.7924</v>
          </cell>
          <cell r="F116">
            <v>98.918918918918919</v>
          </cell>
          <cell r="G116">
            <v>94.330912333525518</v>
          </cell>
          <cell r="I116">
            <v>9.5549999999999997</v>
          </cell>
        </row>
        <row r="117">
          <cell r="A117">
            <v>40354</v>
          </cell>
          <cell r="B117">
            <v>8.5</v>
          </cell>
          <cell r="C117">
            <v>64823.83</v>
          </cell>
          <cell r="D117">
            <v>1.7867999999999999</v>
          </cell>
          <cell r="F117">
            <v>91.891891891891902</v>
          </cell>
          <cell r="G117">
            <v>95.639765969362855</v>
          </cell>
          <cell r="I117">
            <v>9.57</v>
          </cell>
        </row>
        <row r="118">
          <cell r="A118">
            <v>40355</v>
          </cell>
          <cell r="B118">
            <v>8.5</v>
          </cell>
          <cell r="C118">
            <v>64823.83</v>
          </cell>
          <cell r="D118">
            <v>1.7867999999999999</v>
          </cell>
          <cell r="F118">
            <v>91.891891891891902</v>
          </cell>
          <cell r="G118">
            <v>95.639765969362855</v>
          </cell>
          <cell r="I118">
            <v>9.57</v>
          </cell>
        </row>
        <row r="119">
          <cell r="A119">
            <v>40356</v>
          </cell>
          <cell r="B119">
            <v>8.5</v>
          </cell>
          <cell r="C119">
            <v>64823.83</v>
          </cell>
          <cell r="D119">
            <v>1.7867999999999999</v>
          </cell>
          <cell r="F119">
            <v>91.891891891891902</v>
          </cell>
          <cell r="G119">
            <v>95.639765969362855</v>
          </cell>
          <cell r="I119">
            <v>9.57</v>
          </cell>
        </row>
        <row r="120">
          <cell r="A120">
            <v>40357</v>
          </cell>
          <cell r="B120">
            <v>8.9</v>
          </cell>
          <cell r="C120">
            <v>64225.22</v>
          </cell>
          <cell r="D120">
            <v>1.7789999999999999</v>
          </cell>
          <cell r="F120">
            <v>96.216216216216225</v>
          </cell>
          <cell r="G120">
            <v>94.756588898416567</v>
          </cell>
          <cell r="I120">
            <v>9.5500000000000007</v>
          </cell>
        </row>
        <row r="121">
          <cell r="A121">
            <v>40358</v>
          </cell>
          <cell r="B121">
            <v>8.75</v>
          </cell>
          <cell r="C121">
            <v>61977.91</v>
          </cell>
          <cell r="D121">
            <v>1.8023</v>
          </cell>
          <cell r="F121">
            <v>94.594594594594597</v>
          </cell>
          <cell r="G121">
            <v>91.440953236953661</v>
          </cell>
          <cell r="I121">
            <v>9.4725000000000001</v>
          </cell>
        </row>
        <row r="122">
          <cell r="A122">
            <v>40359</v>
          </cell>
          <cell r="B122">
            <v>8.64</v>
          </cell>
          <cell r="C122">
            <v>60935.9</v>
          </cell>
          <cell r="D122">
            <v>1.8025</v>
          </cell>
          <cell r="F122">
            <v>93.405405405405403</v>
          </cell>
          <cell r="G122">
            <v>89.903592785747122</v>
          </cell>
          <cell r="I122">
            <v>9.4849999999999994</v>
          </cell>
        </row>
        <row r="123">
          <cell r="A123">
            <v>40360</v>
          </cell>
          <cell r="B123">
            <v>8.6</v>
          </cell>
          <cell r="C123">
            <v>61236.2</v>
          </cell>
          <cell r="D123">
            <v>1.8050999999999999</v>
          </cell>
          <cell r="F123">
            <v>92.972972972972968</v>
          </cell>
          <cell r="G123">
            <v>90.346649324069517</v>
          </cell>
          <cell r="I123">
            <v>9.5350000000000001</v>
          </cell>
        </row>
        <row r="124">
          <cell r="A124">
            <v>40361</v>
          </cell>
          <cell r="B124">
            <v>8.49</v>
          </cell>
          <cell r="C124">
            <v>61429.79</v>
          </cell>
          <cell r="D124">
            <v>1.7716000000000001</v>
          </cell>
          <cell r="F124">
            <v>91.78378378378379</v>
          </cell>
          <cell r="G124">
            <v>90.632268089483546</v>
          </cell>
          <cell r="I124">
            <v>9.6274999999999995</v>
          </cell>
        </row>
        <row r="125">
          <cell r="A125">
            <v>40362</v>
          </cell>
          <cell r="B125">
            <v>8.49</v>
          </cell>
          <cell r="C125">
            <v>61429.79</v>
          </cell>
          <cell r="D125">
            <v>1.7716000000000001</v>
          </cell>
          <cell r="F125">
            <v>91.78378378378379</v>
          </cell>
          <cell r="G125">
            <v>90.632268089483546</v>
          </cell>
          <cell r="I125">
            <v>9.6274999999999995</v>
          </cell>
        </row>
        <row r="126">
          <cell r="A126">
            <v>40363</v>
          </cell>
          <cell r="B126">
            <v>8.49</v>
          </cell>
          <cell r="C126">
            <v>61429.79</v>
          </cell>
          <cell r="D126">
            <v>1.7716000000000001</v>
          </cell>
          <cell r="F126">
            <v>91.78378378378379</v>
          </cell>
          <cell r="G126">
            <v>90.632268089483546</v>
          </cell>
          <cell r="I126">
            <v>9.6274999999999995</v>
          </cell>
        </row>
        <row r="127">
          <cell r="A127">
            <v>40364</v>
          </cell>
          <cell r="B127">
            <v>8.49</v>
          </cell>
          <cell r="C127">
            <v>61429.79</v>
          </cell>
          <cell r="D127">
            <v>1.7716000000000001</v>
          </cell>
          <cell r="F127">
            <v>91.78378378378379</v>
          </cell>
          <cell r="G127">
            <v>90.632268089483546</v>
          </cell>
          <cell r="I127">
            <v>9.6274999999999995</v>
          </cell>
        </row>
        <row r="128">
          <cell r="A128">
            <v>40365</v>
          </cell>
          <cell r="B128">
            <v>8.9</v>
          </cell>
          <cell r="C128">
            <v>62064.75</v>
          </cell>
          <cell r="D128">
            <v>1.7646500000000001</v>
          </cell>
          <cell r="F128">
            <v>96.216216216216225</v>
          </cell>
          <cell r="G128">
            <v>91.56907521426939</v>
          </cell>
          <cell r="I128">
            <v>9.6425000000000001</v>
          </cell>
        </row>
        <row r="129">
          <cell r="A129">
            <v>40366</v>
          </cell>
          <cell r="B129">
            <v>8.9</v>
          </cell>
          <cell r="C129">
            <v>63283.8</v>
          </cell>
          <cell r="D129">
            <v>1.7698</v>
          </cell>
          <cell r="F129">
            <v>96.216216216216225</v>
          </cell>
          <cell r="G129">
            <v>93.367636896060674</v>
          </cell>
          <cell r="I129">
            <v>9.93</v>
          </cell>
        </row>
        <row r="130">
          <cell r="A130">
            <v>40367</v>
          </cell>
          <cell r="B130">
            <v>9.08</v>
          </cell>
          <cell r="C130">
            <v>63476.32</v>
          </cell>
          <cell r="D130">
            <v>1.7686999999999999</v>
          </cell>
          <cell r="F130">
            <v>98.162162162162161</v>
          </cell>
          <cell r="G130">
            <v>93.65167700514435</v>
          </cell>
          <cell r="I130">
            <v>10.125</v>
          </cell>
        </row>
        <row r="131">
          <cell r="A131">
            <v>40368</v>
          </cell>
          <cell r="B131">
            <v>9.08</v>
          </cell>
          <cell r="C131">
            <v>63476.32</v>
          </cell>
          <cell r="D131">
            <v>1.76075</v>
          </cell>
          <cell r="F131">
            <v>98.162162162162161</v>
          </cell>
          <cell r="G131">
            <v>93.65167700514435</v>
          </cell>
          <cell r="I131">
            <v>10.255000000000001</v>
          </cell>
        </row>
        <row r="132">
          <cell r="A132">
            <v>40369</v>
          </cell>
          <cell r="B132">
            <v>9.08</v>
          </cell>
          <cell r="C132">
            <v>63476.32</v>
          </cell>
          <cell r="D132">
            <v>1.76075</v>
          </cell>
          <cell r="F132">
            <v>98.162162162162161</v>
          </cell>
          <cell r="G132">
            <v>93.65167700514435</v>
          </cell>
          <cell r="I132">
            <v>10.255000000000001</v>
          </cell>
        </row>
        <row r="133">
          <cell r="A133">
            <v>40370</v>
          </cell>
          <cell r="B133">
            <v>9.08</v>
          </cell>
          <cell r="C133">
            <v>63476.32</v>
          </cell>
          <cell r="D133">
            <v>1.76075</v>
          </cell>
          <cell r="F133">
            <v>98.162162162162161</v>
          </cell>
          <cell r="G133">
            <v>93.65167700514435</v>
          </cell>
          <cell r="I133">
            <v>10.255000000000001</v>
          </cell>
        </row>
        <row r="134">
          <cell r="A134">
            <v>40371</v>
          </cell>
          <cell r="B134">
            <v>8.6999999999999993</v>
          </cell>
          <cell r="C134">
            <v>62960.1</v>
          </cell>
          <cell r="D134">
            <v>1.76315</v>
          </cell>
          <cell r="F134">
            <v>94.054054054054049</v>
          </cell>
          <cell r="G134">
            <v>92.890056471635233</v>
          </cell>
          <cell r="I134">
            <v>10.317500000000001</v>
          </cell>
        </row>
        <row r="135">
          <cell r="A135">
            <v>40372</v>
          </cell>
          <cell r="B135">
            <v>8.6999999999999993</v>
          </cell>
          <cell r="C135">
            <v>63685.56</v>
          </cell>
          <cell r="D135">
            <v>1.7516499999999999</v>
          </cell>
          <cell r="F135">
            <v>94.054054054054049</v>
          </cell>
          <cell r="G135">
            <v>93.960385463614472</v>
          </cell>
          <cell r="I135">
            <v>10.305</v>
          </cell>
        </row>
        <row r="136">
          <cell r="A136">
            <v>40373</v>
          </cell>
          <cell r="B136">
            <v>8.89</v>
          </cell>
          <cell r="C136">
            <v>63479.46</v>
          </cell>
          <cell r="D136">
            <v>1.7649999999999999</v>
          </cell>
          <cell r="F136">
            <v>96.108108108108112</v>
          </cell>
          <cell r="G136">
            <v>93.656309697553041</v>
          </cell>
          <cell r="I136">
            <v>10.36</v>
          </cell>
        </row>
        <row r="137">
          <cell r="A137">
            <v>40374</v>
          </cell>
          <cell r="B137">
            <v>8.81</v>
          </cell>
          <cell r="C137">
            <v>63489.37</v>
          </cell>
          <cell r="D137">
            <v>1.7693000000000001</v>
          </cell>
          <cell r="F137">
            <v>95.243243243243242</v>
          </cell>
          <cell r="G137">
            <v>93.670930710855671</v>
          </cell>
          <cell r="I137">
            <v>10.19</v>
          </cell>
        </row>
        <row r="138">
          <cell r="A138">
            <v>40375</v>
          </cell>
          <cell r="B138">
            <v>9.08</v>
          </cell>
          <cell r="C138">
            <v>62339.27</v>
          </cell>
          <cell r="D138">
            <v>1.7783500000000001</v>
          </cell>
          <cell r="F138">
            <v>98.162162162162161</v>
          </cell>
          <cell r="G138">
            <v>91.974096462688522</v>
          </cell>
          <cell r="I138">
            <v>10.195</v>
          </cell>
        </row>
        <row r="139">
          <cell r="A139">
            <v>40376</v>
          </cell>
          <cell r="B139">
            <v>9.08</v>
          </cell>
          <cell r="C139">
            <v>62339.27</v>
          </cell>
          <cell r="D139">
            <v>1.7783500000000001</v>
          </cell>
          <cell r="F139">
            <v>98.162162162162161</v>
          </cell>
          <cell r="G139">
            <v>91.974096462688522</v>
          </cell>
          <cell r="I139">
            <v>10.195</v>
          </cell>
        </row>
        <row r="140">
          <cell r="A140">
            <v>40377</v>
          </cell>
          <cell r="B140">
            <v>9.08</v>
          </cell>
          <cell r="C140">
            <v>62339.27</v>
          </cell>
          <cell r="D140">
            <v>1.7783500000000001</v>
          </cell>
          <cell r="F140">
            <v>98.162162162162161</v>
          </cell>
          <cell r="G140">
            <v>91.974096462688522</v>
          </cell>
          <cell r="I140">
            <v>10.195</v>
          </cell>
        </row>
        <row r="141">
          <cell r="A141">
            <v>40378</v>
          </cell>
          <cell r="B141">
            <v>9.35</v>
          </cell>
          <cell r="C141">
            <v>63297.04</v>
          </cell>
          <cell r="D141">
            <v>1.7847999999999999</v>
          </cell>
          <cell r="F141">
            <v>101.08108108108107</v>
          </cell>
          <cell r="G141">
            <v>93.387170923924103</v>
          </cell>
          <cell r="I141">
            <v>10.08</v>
          </cell>
        </row>
        <row r="142">
          <cell r="A142">
            <v>40379</v>
          </cell>
          <cell r="B142">
            <v>9.35</v>
          </cell>
          <cell r="C142">
            <v>64462.5</v>
          </cell>
          <cell r="D142">
            <v>1.7808999999999999</v>
          </cell>
          <cell r="F142">
            <v>101.08108108108107</v>
          </cell>
          <cell r="G142">
            <v>95.106667005020412</v>
          </cell>
          <cell r="I142">
            <v>10.1175</v>
          </cell>
        </row>
        <row r="143">
          <cell r="A143">
            <v>40380</v>
          </cell>
          <cell r="B143">
            <v>8.82</v>
          </cell>
          <cell r="C143">
            <v>64476.84</v>
          </cell>
          <cell r="D143">
            <v>1.77495</v>
          </cell>
          <cell r="F143">
            <v>95.351351351351354</v>
          </cell>
          <cell r="G143">
            <v>95.12782395060664</v>
          </cell>
          <cell r="I143">
            <v>10.1525</v>
          </cell>
        </row>
        <row r="144">
          <cell r="A144">
            <v>40381</v>
          </cell>
          <cell r="B144">
            <v>9</v>
          </cell>
          <cell r="C144">
            <v>65748.100000000006</v>
          </cell>
          <cell r="D144">
            <v>1.7615000000000001</v>
          </cell>
          <cell r="F144">
            <v>97.297297297297305</v>
          </cell>
          <cell r="G144">
            <v>97.003415209040654</v>
          </cell>
          <cell r="I144">
            <v>10.16</v>
          </cell>
        </row>
        <row r="145">
          <cell r="A145">
            <v>40382</v>
          </cell>
          <cell r="B145">
            <v>9</v>
          </cell>
          <cell r="C145">
            <v>66322.990000000005</v>
          </cell>
          <cell r="D145">
            <v>1.7618</v>
          </cell>
          <cell r="F145">
            <v>97.297297297297305</v>
          </cell>
          <cell r="G145">
            <v>97.851596272364546</v>
          </cell>
          <cell r="I145">
            <v>10.17</v>
          </cell>
        </row>
        <row r="146">
          <cell r="A146">
            <v>40383</v>
          </cell>
          <cell r="B146">
            <v>9</v>
          </cell>
          <cell r="C146">
            <v>66322.990000000005</v>
          </cell>
          <cell r="D146">
            <v>1.7618</v>
          </cell>
          <cell r="F146">
            <v>97.297297297297305</v>
          </cell>
          <cell r="G146">
            <v>97.851596272364546</v>
          </cell>
          <cell r="I146">
            <v>10.17</v>
          </cell>
        </row>
        <row r="147">
          <cell r="A147">
            <v>40384</v>
          </cell>
          <cell r="B147">
            <v>9</v>
          </cell>
          <cell r="C147">
            <v>66322.990000000005</v>
          </cell>
          <cell r="D147">
            <v>1.7618</v>
          </cell>
          <cell r="F147">
            <v>97.297297297297305</v>
          </cell>
          <cell r="G147">
            <v>97.851596272364546</v>
          </cell>
          <cell r="I147">
            <v>10.17</v>
          </cell>
        </row>
        <row r="148">
          <cell r="A148">
            <v>40385</v>
          </cell>
          <cell r="B148">
            <v>9.4</v>
          </cell>
          <cell r="C148">
            <v>66443.259999999995</v>
          </cell>
          <cell r="D148">
            <v>1.7714000000000001</v>
          </cell>
          <cell r="F148">
            <v>101.62162162162163</v>
          </cell>
          <cell r="G148">
            <v>98.029040194655693</v>
          </cell>
          <cell r="I148">
            <v>9.9824999999999999</v>
          </cell>
        </row>
        <row r="149">
          <cell r="A149">
            <v>40386</v>
          </cell>
          <cell r="B149">
            <v>9.4</v>
          </cell>
          <cell r="C149">
            <v>66674.44</v>
          </cell>
          <cell r="D149">
            <v>1.76675</v>
          </cell>
          <cell r="F149">
            <v>101.62162162162163</v>
          </cell>
          <cell r="G149">
            <v>98.370118484796791</v>
          </cell>
          <cell r="I149">
            <v>9.98</v>
          </cell>
        </row>
        <row r="150">
          <cell r="A150">
            <v>40387</v>
          </cell>
          <cell r="B150">
            <v>9.3800000000000008</v>
          </cell>
          <cell r="C150">
            <v>66808.25</v>
          </cell>
          <cell r="D150">
            <v>1.7639</v>
          </cell>
          <cell r="F150">
            <v>101.40540540540542</v>
          </cell>
          <cell r="G150">
            <v>98.567539048875787</v>
          </cell>
          <cell r="I150">
            <v>10.105</v>
          </cell>
        </row>
        <row r="151">
          <cell r="A151">
            <v>40388</v>
          </cell>
          <cell r="B151">
            <v>9.25</v>
          </cell>
          <cell r="C151">
            <v>66953.83</v>
          </cell>
          <cell r="D151">
            <v>1.7637499999999999</v>
          </cell>
          <cell r="F151">
            <v>100</v>
          </cell>
          <cell r="G151">
            <v>98.782324832588657</v>
          </cell>
          <cell r="I151">
            <v>10.2675</v>
          </cell>
        </row>
        <row r="152">
          <cell r="A152">
            <v>40389</v>
          </cell>
          <cell r="B152">
            <v>9.24</v>
          </cell>
          <cell r="C152">
            <v>67515.399999999994</v>
          </cell>
          <cell r="D152">
            <v>1.75925</v>
          </cell>
          <cell r="F152">
            <v>99.891891891891888</v>
          </cell>
          <cell r="G152">
            <v>99.610853837669268</v>
          </cell>
          <cell r="I152">
            <v>10.525</v>
          </cell>
        </row>
        <row r="153">
          <cell r="A153">
            <v>40390</v>
          </cell>
          <cell r="B153">
            <v>9.24</v>
          </cell>
          <cell r="C153">
            <v>67515.399999999994</v>
          </cell>
          <cell r="D153">
            <v>1.75925</v>
          </cell>
          <cell r="F153">
            <v>99.891891891891888</v>
          </cell>
          <cell r="G153">
            <v>99.610853837669268</v>
          </cell>
          <cell r="I153">
            <v>10.525</v>
          </cell>
        </row>
        <row r="154">
          <cell r="A154">
            <v>40391</v>
          </cell>
          <cell r="B154">
            <v>9.24</v>
          </cell>
          <cell r="C154">
            <v>67515.399999999994</v>
          </cell>
          <cell r="D154">
            <v>1.75925</v>
          </cell>
          <cell r="F154">
            <v>99.891891891891888</v>
          </cell>
          <cell r="G154">
            <v>99.610853837669268</v>
          </cell>
          <cell r="I154">
            <v>10.525</v>
          </cell>
        </row>
        <row r="155">
          <cell r="A155">
            <v>40392</v>
          </cell>
          <cell r="B155">
            <v>9.24</v>
          </cell>
          <cell r="C155">
            <v>68517.460000000006</v>
          </cell>
          <cell r="D155">
            <v>1.7472000000000001</v>
          </cell>
          <cell r="F155">
            <v>99.891891891891888</v>
          </cell>
          <cell r="G155">
            <v>101.08927286794349</v>
          </cell>
          <cell r="I155">
            <v>10.532500000000001</v>
          </cell>
        </row>
        <row r="156">
          <cell r="A156">
            <v>40393</v>
          </cell>
          <cell r="B156">
            <v>9.24</v>
          </cell>
          <cell r="C156">
            <v>67997.36</v>
          </cell>
          <cell r="D156">
            <v>1.7615000000000001</v>
          </cell>
          <cell r="F156">
            <v>99.891891891891888</v>
          </cell>
          <cell r="G156">
            <v>100.32192786101216</v>
          </cell>
          <cell r="I156">
            <v>10.535</v>
          </cell>
        </row>
        <row r="157">
          <cell r="A157">
            <v>40394</v>
          </cell>
          <cell r="B157">
            <v>9.25</v>
          </cell>
          <cell r="C157">
            <v>68272</v>
          </cell>
          <cell r="D157">
            <v>1.75925</v>
          </cell>
          <cell r="F157">
            <v>100</v>
          </cell>
          <cell r="G157">
            <v>100.72712615500103</v>
          </cell>
          <cell r="I157">
            <v>10.53</v>
          </cell>
        </row>
        <row r="158">
          <cell r="A158">
            <v>40395</v>
          </cell>
          <cell r="B158">
            <v>9.35</v>
          </cell>
          <cell r="C158">
            <v>68411.72</v>
          </cell>
          <cell r="D158">
            <v>1.7563500000000001</v>
          </cell>
          <cell r="F158">
            <v>101.08108108108107</v>
          </cell>
          <cell r="G158">
            <v>100.93326621339067</v>
          </cell>
          <cell r="I158">
            <v>10.55</v>
          </cell>
        </row>
        <row r="159">
          <cell r="A159">
            <v>40396</v>
          </cell>
          <cell r="B159">
            <v>9.35</v>
          </cell>
          <cell r="C159">
            <v>68094.759999999995</v>
          </cell>
          <cell r="D159">
            <v>1.75875</v>
          </cell>
          <cell r="F159">
            <v>101.08108108108107</v>
          </cell>
          <cell r="G159">
            <v>100.46562984846668</v>
          </cell>
          <cell r="I159">
            <v>10.59</v>
          </cell>
        </row>
        <row r="160">
          <cell r="A160">
            <v>40397</v>
          </cell>
          <cell r="B160">
            <v>9.35</v>
          </cell>
          <cell r="C160">
            <v>68094.759999999995</v>
          </cell>
          <cell r="D160">
            <v>1.75875</v>
          </cell>
          <cell r="F160">
            <v>101.08108108108107</v>
          </cell>
          <cell r="G160">
            <v>100.46562984846668</v>
          </cell>
          <cell r="I160">
            <v>10.59</v>
          </cell>
        </row>
        <row r="161">
          <cell r="A161">
            <v>40398</v>
          </cell>
          <cell r="B161">
            <v>9.35</v>
          </cell>
          <cell r="C161">
            <v>68094.759999999995</v>
          </cell>
          <cell r="D161">
            <v>1.75875</v>
          </cell>
          <cell r="F161">
            <v>101.08108108108107</v>
          </cell>
          <cell r="G161">
            <v>100.46562984846668</v>
          </cell>
          <cell r="I161">
            <v>10.59</v>
          </cell>
        </row>
        <row r="162">
          <cell r="A162">
            <v>40399</v>
          </cell>
          <cell r="B162">
            <v>9.35</v>
          </cell>
          <cell r="C162">
            <v>67862.28</v>
          </cell>
          <cell r="D162">
            <v>1.7544999999999999</v>
          </cell>
          <cell r="F162">
            <v>101.08108108108107</v>
          </cell>
          <cell r="G162">
            <v>100.12263356465321</v>
          </cell>
          <cell r="I162">
            <v>10.484999999999999</v>
          </cell>
        </row>
        <row r="163">
          <cell r="A163">
            <v>40400</v>
          </cell>
          <cell r="B163">
            <v>9.4</v>
          </cell>
          <cell r="C163">
            <v>67223.23</v>
          </cell>
          <cell r="D163">
            <v>1.7614000000000001</v>
          </cell>
          <cell r="F163">
            <v>101.62162162162163</v>
          </cell>
          <cell r="G163">
            <v>99.179792136698055</v>
          </cell>
          <cell r="I163">
            <v>10.362500000000001</v>
          </cell>
        </row>
        <row r="164">
          <cell r="A164">
            <v>40401</v>
          </cell>
          <cell r="B164">
            <v>9.4</v>
          </cell>
          <cell r="C164">
            <v>65790.289999999994</v>
          </cell>
          <cell r="D164">
            <v>1.7721</v>
          </cell>
          <cell r="F164">
            <v>101.62162162162163</v>
          </cell>
          <cell r="G164">
            <v>97.065661480608483</v>
          </cell>
          <cell r="I164">
            <v>10.445</v>
          </cell>
        </row>
        <row r="165">
          <cell r="A165">
            <v>40402</v>
          </cell>
          <cell r="B165">
            <v>9.4</v>
          </cell>
          <cell r="C165">
            <v>65966.17</v>
          </cell>
          <cell r="D165">
            <v>1.76925</v>
          </cell>
          <cell r="F165">
            <v>101.62162162162163</v>
          </cell>
          <cell r="G165">
            <v>97.325151270685552</v>
          </cell>
          <cell r="I165">
            <v>10.57</v>
          </cell>
        </row>
        <row r="166">
          <cell r="A166">
            <v>40403</v>
          </cell>
          <cell r="B166">
            <v>9.6</v>
          </cell>
          <cell r="C166">
            <v>66264.429999999993</v>
          </cell>
          <cell r="D166">
            <v>1.7709999999999999</v>
          </cell>
          <cell r="F166">
            <v>103.78378378378379</v>
          </cell>
          <cell r="G166">
            <v>97.76519803432204</v>
          </cell>
          <cell r="I166">
            <v>10.52</v>
          </cell>
        </row>
        <row r="167">
          <cell r="A167">
            <v>40404</v>
          </cell>
          <cell r="B167">
            <v>9.6</v>
          </cell>
          <cell r="C167">
            <v>66264.429999999993</v>
          </cell>
          <cell r="D167">
            <v>1.7709999999999999</v>
          </cell>
          <cell r="F167">
            <v>103.78378378378379</v>
          </cell>
          <cell r="G167">
            <v>97.76519803432204</v>
          </cell>
          <cell r="I167">
            <v>10.52</v>
          </cell>
        </row>
        <row r="168">
          <cell r="A168">
            <v>40405</v>
          </cell>
          <cell r="B168">
            <v>9.6</v>
          </cell>
          <cell r="C168">
            <v>66264.429999999993</v>
          </cell>
          <cell r="D168">
            <v>1.7709999999999999</v>
          </cell>
          <cell r="F168">
            <v>103.78378378378379</v>
          </cell>
          <cell r="G168">
            <v>97.76519803432204</v>
          </cell>
          <cell r="I168">
            <v>10.52</v>
          </cell>
        </row>
        <row r="169">
          <cell r="A169">
            <v>40406</v>
          </cell>
          <cell r="B169">
            <v>9.5</v>
          </cell>
          <cell r="C169">
            <v>66701.89</v>
          </cell>
          <cell r="D169">
            <v>1.76315</v>
          </cell>
          <cell r="F169">
            <v>102.70270270270269</v>
          </cell>
          <cell r="G169">
            <v>98.410617658879218</v>
          </cell>
          <cell r="I169">
            <v>10.34</v>
          </cell>
        </row>
        <row r="170">
          <cell r="A170">
            <v>40407</v>
          </cell>
          <cell r="B170">
            <v>9.6</v>
          </cell>
          <cell r="C170">
            <v>67583.77</v>
          </cell>
          <cell r="D170">
            <v>1.75065</v>
          </cell>
          <cell r="F170">
            <v>103.78378378378379</v>
          </cell>
          <cell r="G170">
            <v>99.711725551039592</v>
          </cell>
          <cell r="I170">
            <v>10.452500000000001</v>
          </cell>
        </row>
        <row r="171">
          <cell r="A171">
            <v>40408</v>
          </cell>
          <cell r="B171">
            <v>9.6</v>
          </cell>
          <cell r="C171">
            <v>67638.38</v>
          </cell>
          <cell r="D171">
            <v>1.7533000000000001</v>
          </cell>
          <cell r="F171">
            <v>103.78378378378379</v>
          </cell>
          <cell r="G171">
            <v>99.792296039077499</v>
          </cell>
          <cell r="I171">
            <v>10.352499999999999</v>
          </cell>
        </row>
        <row r="172">
          <cell r="A172">
            <v>40409</v>
          </cell>
          <cell r="B172">
            <v>9.75</v>
          </cell>
          <cell r="C172">
            <v>66887.13</v>
          </cell>
          <cell r="D172">
            <v>1.76325</v>
          </cell>
          <cell r="F172">
            <v>105.40540540540539</v>
          </cell>
          <cell r="G172">
            <v>98.683917003397497</v>
          </cell>
          <cell r="I172">
            <v>10.1675</v>
          </cell>
        </row>
        <row r="173">
          <cell r="A173">
            <v>40410</v>
          </cell>
          <cell r="B173">
            <v>9.75</v>
          </cell>
          <cell r="C173">
            <v>66677.16</v>
          </cell>
          <cell r="D173">
            <v>1.764</v>
          </cell>
          <cell r="F173">
            <v>105.40540540540539</v>
          </cell>
          <cell r="G173">
            <v>98.374131517711334</v>
          </cell>
          <cell r="I173">
            <v>10.092499999999999</v>
          </cell>
        </row>
        <row r="174">
          <cell r="A174">
            <v>40411</v>
          </cell>
          <cell r="B174">
            <v>9.75</v>
          </cell>
          <cell r="C174">
            <v>66677.16</v>
          </cell>
          <cell r="D174">
            <v>1.764</v>
          </cell>
          <cell r="F174">
            <v>105.40540540540539</v>
          </cell>
          <cell r="G174">
            <v>98.374131517711334</v>
          </cell>
          <cell r="I174">
            <v>10.092499999999999</v>
          </cell>
        </row>
        <row r="175">
          <cell r="A175">
            <v>40412</v>
          </cell>
          <cell r="B175">
            <v>9.75</v>
          </cell>
          <cell r="C175">
            <v>66677.16</v>
          </cell>
          <cell r="D175">
            <v>1.764</v>
          </cell>
          <cell r="F175">
            <v>105.40540540540539</v>
          </cell>
          <cell r="G175">
            <v>98.374131517711334</v>
          </cell>
          <cell r="I175">
            <v>10.092499999999999</v>
          </cell>
        </row>
        <row r="176">
          <cell r="A176">
            <v>40413</v>
          </cell>
          <cell r="B176">
            <v>9.7200000000000006</v>
          </cell>
          <cell r="C176">
            <v>65981.86</v>
          </cell>
          <cell r="D176">
            <v>1.7623</v>
          </cell>
          <cell r="F176">
            <v>105.08108108108109</v>
          </cell>
          <cell r="G176">
            <v>97.348299978931578</v>
          </cell>
          <cell r="I176">
            <v>10.07</v>
          </cell>
        </row>
        <row r="177">
          <cell r="A177">
            <v>40414</v>
          </cell>
          <cell r="B177">
            <v>9.7200000000000006</v>
          </cell>
          <cell r="C177">
            <v>65156.36</v>
          </cell>
          <cell r="D177">
            <v>1.768</v>
          </cell>
          <cell r="F177">
            <v>105.08108108108109</v>
          </cell>
          <cell r="G177">
            <v>96.130373996963073</v>
          </cell>
          <cell r="I177">
            <v>9.9949999999999992</v>
          </cell>
        </row>
        <row r="178">
          <cell r="A178">
            <v>40415</v>
          </cell>
          <cell r="B178">
            <v>9.65</v>
          </cell>
          <cell r="C178">
            <v>64803.43</v>
          </cell>
          <cell r="D178">
            <v>1.7704</v>
          </cell>
          <cell r="F178">
            <v>104.32432432432432</v>
          </cell>
          <cell r="G178">
            <v>95.609668222503785</v>
          </cell>
          <cell r="I178">
            <v>10</v>
          </cell>
        </row>
        <row r="179">
          <cell r="A179">
            <v>40416</v>
          </cell>
          <cell r="B179">
            <v>9.6</v>
          </cell>
          <cell r="C179">
            <v>63867.48</v>
          </cell>
          <cell r="D179">
            <v>1.7578</v>
          </cell>
          <cell r="F179">
            <v>103.78378378378379</v>
          </cell>
          <cell r="G179">
            <v>94.228786547369424</v>
          </cell>
          <cell r="I179">
            <v>10.130000000000001</v>
          </cell>
        </row>
        <row r="180">
          <cell r="A180">
            <v>40417</v>
          </cell>
          <cell r="B180">
            <v>9.6999999999999993</v>
          </cell>
          <cell r="C180">
            <v>65585.14</v>
          </cell>
          <cell r="D180">
            <v>1.75265</v>
          </cell>
          <cell r="F180">
            <v>104.86486486486486</v>
          </cell>
          <cell r="G180">
            <v>96.762987325307662</v>
          </cell>
          <cell r="I180">
            <v>10.220000000000001</v>
          </cell>
        </row>
        <row r="181">
          <cell r="A181">
            <v>40418</v>
          </cell>
          <cell r="B181">
            <v>9.6999999999999993</v>
          </cell>
          <cell r="C181">
            <v>65585.14</v>
          </cell>
          <cell r="D181">
            <v>1.75265</v>
          </cell>
          <cell r="F181">
            <v>104.86486486486486</v>
          </cell>
          <cell r="G181">
            <v>96.762987325307662</v>
          </cell>
          <cell r="I181">
            <v>10.220000000000001</v>
          </cell>
        </row>
        <row r="182">
          <cell r="A182">
            <v>40419</v>
          </cell>
          <cell r="B182">
            <v>9.6999999999999993</v>
          </cell>
          <cell r="C182">
            <v>65585.14</v>
          </cell>
          <cell r="D182">
            <v>1.75265</v>
          </cell>
          <cell r="F182">
            <v>104.86486486486486</v>
          </cell>
          <cell r="G182">
            <v>96.762987325307662</v>
          </cell>
          <cell r="I182">
            <v>10.220000000000001</v>
          </cell>
        </row>
        <row r="183">
          <cell r="A183">
            <v>40420</v>
          </cell>
          <cell r="B183">
            <v>9.8000000000000007</v>
          </cell>
          <cell r="C183">
            <v>64260.79</v>
          </cell>
          <cell r="D183">
            <v>1.7556</v>
          </cell>
          <cell r="F183">
            <v>105.94594594594595</v>
          </cell>
          <cell r="G183">
            <v>94.809068156052675</v>
          </cell>
          <cell r="I183">
            <v>10.18</v>
          </cell>
        </row>
        <row r="184">
          <cell r="A184">
            <v>40421</v>
          </cell>
          <cell r="B184">
            <v>9.8000000000000007</v>
          </cell>
          <cell r="C184">
            <v>65145.45</v>
          </cell>
          <cell r="D184">
            <v>1.7539499999999999</v>
          </cell>
          <cell r="F184">
            <v>105.94594594594595</v>
          </cell>
          <cell r="G184">
            <v>96.114277603912456</v>
          </cell>
          <cell r="I184">
            <v>10.08</v>
          </cell>
        </row>
        <row r="185">
          <cell r="A185">
            <v>40422</v>
          </cell>
          <cell r="B185">
            <v>9.8000000000000007</v>
          </cell>
          <cell r="C185">
            <v>67072.53</v>
          </cell>
          <cell r="D185">
            <v>1.7400500000000001</v>
          </cell>
          <cell r="F185">
            <v>105.94594594594595</v>
          </cell>
          <cell r="G185">
            <v>98.957452408675465</v>
          </cell>
          <cell r="I185">
            <v>10.045</v>
          </cell>
        </row>
        <row r="186">
          <cell r="A186">
            <v>40423</v>
          </cell>
          <cell r="B186">
            <v>9.5</v>
          </cell>
          <cell r="C186">
            <v>66808.08</v>
          </cell>
          <cell r="D186">
            <v>1.7364999999999999</v>
          </cell>
          <cell r="F186">
            <v>102.70270270270269</v>
          </cell>
          <cell r="G186">
            <v>98.567288234318625</v>
          </cell>
          <cell r="I186">
            <v>10.074999999999999</v>
          </cell>
        </row>
        <row r="187">
          <cell r="A187">
            <v>40424</v>
          </cell>
          <cell r="B187">
            <v>9.5</v>
          </cell>
          <cell r="C187">
            <v>66678.62</v>
          </cell>
          <cell r="D187">
            <v>1.72525</v>
          </cell>
          <cell r="F187">
            <v>102.70270270270269</v>
          </cell>
          <cell r="G187">
            <v>98.376285572143402</v>
          </cell>
          <cell r="I187">
            <v>10.297499999999999</v>
          </cell>
        </row>
        <row r="188">
          <cell r="A188">
            <v>40425</v>
          </cell>
          <cell r="B188">
            <v>9.5</v>
          </cell>
          <cell r="C188">
            <v>66678.62</v>
          </cell>
          <cell r="D188">
            <v>1.72525</v>
          </cell>
          <cell r="F188">
            <v>102.70270270270269</v>
          </cell>
          <cell r="G188">
            <v>98.376285572143402</v>
          </cell>
          <cell r="I188">
            <v>10.297499999999999</v>
          </cell>
        </row>
        <row r="189">
          <cell r="A189">
            <v>40426</v>
          </cell>
          <cell r="B189">
            <v>9.5</v>
          </cell>
          <cell r="C189">
            <v>66678.62</v>
          </cell>
          <cell r="D189">
            <v>1.72525</v>
          </cell>
          <cell r="F189">
            <v>102.70270270270269</v>
          </cell>
          <cell r="G189">
            <v>98.376285572143402</v>
          </cell>
          <cell r="I189">
            <v>10.297499999999999</v>
          </cell>
        </row>
        <row r="190">
          <cell r="A190">
            <v>40427</v>
          </cell>
          <cell r="B190">
            <v>9.5</v>
          </cell>
          <cell r="C190">
            <v>66678.62</v>
          </cell>
          <cell r="D190">
            <v>1.72525</v>
          </cell>
          <cell r="F190">
            <v>102.70270270270269</v>
          </cell>
          <cell r="G190">
            <v>98.376285572143402</v>
          </cell>
          <cell r="I190">
            <v>10.297499999999999</v>
          </cell>
        </row>
        <row r="191">
          <cell r="A191">
            <v>40428</v>
          </cell>
          <cell r="B191">
            <v>9.5</v>
          </cell>
          <cell r="C191">
            <v>66747.3</v>
          </cell>
          <cell r="D191">
            <v>1.72695</v>
          </cell>
          <cell r="F191">
            <v>102.70270270270269</v>
          </cell>
          <cell r="G191">
            <v>98.477614653235591</v>
          </cell>
          <cell r="I191">
            <v>10.4375</v>
          </cell>
        </row>
        <row r="192">
          <cell r="A192">
            <v>40429</v>
          </cell>
          <cell r="B192">
            <v>9.8000000000000007</v>
          </cell>
          <cell r="C192">
            <v>66407.28</v>
          </cell>
          <cell r="D192">
            <v>1.7230000000000001</v>
          </cell>
          <cell r="F192">
            <v>105.94594594594595</v>
          </cell>
          <cell r="G192">
            <v>97.975956031322895</v>
          </cell>
          <cell r="I192">
            <v>10.4125</v>
          </cell>
        </row>
        <row r="193">
          <cell r="A193">
            <v>40430</v>
          </cell>
          <cell r="B193">
            <v>9.4</v>
          </cell>
          <cell r="C193">
            <v>66624.100000000006</v>
          </cell>
          <cell r="D193">
            <v>1.722</v>
          </cell>
          <cell r="F193">
            <v>101.62162162162163</v>
          </cell>
          <cell r="G193">
            <v>98.29584786828282</v>
          </cell>
          <cell r="I193">
            <v>10.3775</v>
          </cell>
        </row>
        <row r="194">
          <cell r="A194">
            <v>40431</v>
          </cell>
          <cell r="B194">
            <v>9.74</v>
          </cell>
          <cell r="C194">
            <v>66806.789999999994</v>
          </cell>
          <cell r="D194">
            <v>1.7174</v>
          </cell>
          <cell r="F194">
            <v>105.29729729729731</v>
          </cell>
          <cell r="G194">
            <v>98.565384994443704</v>
          </cell>
          <cell r="I194">
            <v>10.234999999999999</v>
          </cell>
        </row>
        <row r="195">
          <cell r="A195">
            <v>40432</v>
          </cell>
          <cell r="B195">
            <v>9.74</v>
          </cell>
          <cell r="C195">
            <v>66806.789999999994</v>
          </cell>
          <cell r="D195">
            <v>1.7174</v>
          </cell>
          <cell r="F195">
            <v>105.29729729729731</v>
          </cell>
          <cell r="G195">
            <v>98.565384994443704</v>
          </cell>
          <cell r="I195">
            <v>10.234999999999999</v>
          </cell>
        </row>
        <row r="196">
          <cell r="A196">
            <v>40433</v>
          </cell>
          <cell r="B196">
            <v>9.74</v>
          </cell>
          <cell r="C196">
            <v>66806.789999999994</v>
          </cell>
          <cell r="D196">
            <v>1.7174</v>
          </cell>
          <cell r="F196">
            <v>105.29729729729731</v>
          </cell>
          <cell r="G196">
            <v>98.565384994443704</v>
          </cell>
          <cell r="I196">
            <v>10.234999999999999</v>
          </cell>
        </row>
        <row r="197">
          <cell r="A197">
            <v>40434</v>
          </cell>
          <cell r="B197">
            <v>9.65</v>
          </cell>
          <cell r="C197">
            <v>68030.58</v>
          </cell>
          <cell r="D197">
            <v>1.7152000000000001</v>
          </cell>
          <cell r="F197">
            <v>104.32432432432432</v>
          </cell>
          <cell r="G197">
            <v>100.37093997624049</v>
          </cell>
          <cell r="I197">
            <v>10.2525</v>
          </cell>
        </row>
        <row r="198">
          <cell r="A198">
            <v>40435</v>
          </cell>
          <cell r="B198">
            <v>9.3000000000000007</v>
          </cell>
          <cell r="C198">
            <v>67691.850000000006</v>
          </cell>
          <cell r="D198">
            <v>1.70675</v>
          </cell>
          <cell r="F198">
            <v>100.54054054054056</v>
          </cell>
          <cell r="G198">
            <v>99.871184594202703</v>
          </cell>
          <cell r="I198">
            <v>10.25</v>
          </cell>
        </row>
        <row r="199">
          <cell r="A199">
            <v>40436</v>
          </cell>
          <cell r="B199">
            <v>9.3000000000000007</v>
          </cell>
          <cell r="C199">
            <v>68106.850000000006</v>
          </cell>
          <cell r="D199">
            <v>1.7116</v>
          </cell>
          <cell r="F199">
            <v>100.54054054054056</v>
          </cell>
          <cell r="G199">
            <v>100.48346718961993</v>
          </cell>
          <cell r="I199">
            <v>10.425000000000001</v>
          </cell>
        </row>
        <row r="200">
          <cell r="A200">
            <v>40437</v>
          </cell>
          <cell r="B200">
            <v>9.74</v>
          </cell>
          <cell r="C200">
            <v>67662.990000000005</v>
          </cell>
          <cell r="D200">
            <v>1.71715</v>
          </cell>
          <cell r="F200">
            <v>105.29729729729731</v>
          </cell>
          <cell r="G200">
            <v>99.828605134675612</v>
          </cell>
          <cell r="I200">
            <v>10.362500000000001</v>
          </cell>
        </row>
        <row r="201">
          <cell r="A201">
            <v>40438</v>
          </cell>
          <cell r="B201">
            <v>9.49</v>
          </cell>
          <cell r="C201">
            <v>67089.119999999995</v>
          </cell>
          <cell r="D201">
            <v>1.7159</v>
          </cell>
          <cell r="F201">
            <v>102.5945945945946</v>
          </cell>
          <cell r="G201">
            <v>98.981928958694667</v>
          </cell>
          <cell r="I201">
            <v>10.69</v>
          </cell>
        </row>
        <row r="202">
          <cell r="A202">
            <v>40439</v>
          </cell>
          <cell r="B202">
            <v>9.49</v>
          </cell>
          <cell r="C202">
            <v>67089.119999999995</v>
          </cell>
          <cell r="D202">
            <v>1.7159</v>
          </cell>
          <cell r="F202">
            <v>102.5945945945946</v>
          </cell>
          <cell r="G202">
            <v>98.981928958694667</v>
          </cell>
          <cell r="I202">
            <v>10.69</v>
          </cell>
        </row>
        <row r="203">
          <cell r="A203">
            <v>40440</v>
          </cell>
          <cell r="B203">
            <v>9.49</v>
          </cell>
          <cell r="C203">
            <v>67089.119999999995</v>
          </cell>
          <cell r="D203">
            <v>1.7159</v>
          </cell>
          <cell r="F203">
            <v>102.5945945945946</v>
          </cell>
          <cell r="G203">
            <v>98.981928958694667</v>
          </cell>
          <cell r="I203">
            <v>10.69</v>
          </cell>
        </row>
        <row r="204">
          <cell r="A204">
            <v>40441</v>
          </cell>
          <cell r="B204">
            <v>9.5</v>
          </cell>
          <cell r="C204">
            <v>68190.460000000006</v>
          </cell>
          <cell r="D204">
            <v>1.7173</v>
          </cell>
          <cell r="F204">
            <v>102.70270270270269</v>
          </cell>
          <cell r="G204">
            <v>100.60682369034966</v>
          </cell>
          <cell r="I204">
            <v>10.845000000000001</v>
          </cell>
        </row>
        <row r="205">
          <cell r="A205">
            <v>40442</v>
          </cell>
          <cell r="B205">
            <v>9.5</v>
          </cell>
          <cell r="C205">
            <v>67719.13</v>
          </cell>
          <cell r="D205">
            <v>1.7299</v>
          </cell>
          <cell r="F205">
            <v>102.70270270270269</v>
          </cell>
          <cell r="G205">
            <v>99.911432953727967</v>
          </cell>
          <cell r="I205">
            <v>10.8</v>
          </cell>
        </row>
        <row r="206">
          <cell r="A206">
            <v>40443</v>
          </cell>
          <cell r="B206">
            <v>9.5</v>
          </cell>
          <cell r="C206">
            <v>68325.179999999993</v>
          </cell>
          <cell r="D206">
            <v>1.7190000000000001</v>
          </cell>
          <cell r="F206">
            <v>102.70270270270269</v>
          </cell>
          <cell r="G206">
            <v>100.8055868499993</v>
          </cell>
          <cell r="I206">
            <v>10.885</v>
          </cell>
        </row>
        <row r="207">
          <cell r="A207">
            <v>40444</v>
          </cell>
          <cell r="B207">
            <v>9.6</v>
          </cell>
          <cell r="C207">
            <v>68794.320000000007</v>
          </cell>
          <cell r="D207">
            <v>1.7211000000000001</v>
          </cell>
          <cell r="F207">
            <v>103.78378378378379</v>
          </cell>
          <cell r="G207">
            <v>101.49774650497292</v>
          </cell>
          <cell r="I207">
            <v>10.935</v>
          </cell>
        </row>
        <row r="208">
          <cell r="A208">
            <v>40445</v>
          </cell>
          <cell r="B208">
            <v>9.77</v>
          </cell>
          <cell r="C208">
            <v>68196.479999999996</v>
          </cell>
          <cell r="D208">
            <v>1.7124999999999999</v>
          </cell>
          <cell r="F208">
            <v>105.62162162162161</v>
          </cell>
          <cell r="G208">
            <v>100.61570547643257</v>
          </cell>
          <cell r="I208">
            <v>11.26</v>
          </cell>
        </row>
        <row r="209">
          <cell r="A209">
            <v>40446</v>
          </cell>
          <cell r="B209">
            <v>9.77</v>
          </cell>
          <cell r="C209">
            <v>68196.479999999996</v>
          </cell>
          <cell r="D209">
            <v>1.7124999999999999</v>
          </cell>
          <cell r="F209">
            <v>105.62162162162161</v>
          </cell>
          <cell r="G209">
            <v>100.61570547643257</v>
          </cell>
          <cell r="I209">
            <v>11.26</v>
          </cell>
        </row>
        <row r="210">
          <cell r="A210">
            <v>40447</v>
          </cell>
          <cell r="B210">
            <v>9.77</v>
          </cell>
          <cell r="C210">
            <v>68196.479999999996</v>
          </cell>
          <cell r="D210">
            <v>1.7124999999999999</v>
          </cell>
          <cell r="F210">
            <v>105.62162162162161</v>
          </cell>
          <cell r="G210">
            <v>100.61570547643257</v>
          </cell>
          <cell r="I210">
            <v>11.26</v>
          </cell>
        </row>
        <row r="211">
          <cell r="A211">
            <v>40448</v>
          </cell>
          <cell r="B211">
            <v>9.77</v>
          </cell>
          <cell r="C211">
            <v>68815.97</v>
          </cell>
          <cell r="D211">
            <v>1.7117500000000001</v>
          </cell>
          <cell r="F211">
            <v>105.62162162162161</v>
          </cell>
          <cell r="G211">
            <v>101.52968847651698</v>
          </cell>
          <cell r="I211">
            <v>11.285</v>
          </cell>
        </row>
        <row r="212">
          <cell r="A212">
            <v>40449</v>
          </cell>
          <cell r="B212">
            <v>9.8000000000000007</v>
          </cell>
          <cell r="C212">
            <v>69227.63</v>
          </cell>
          <cell r="D212">
            <v>1.7088000000000001</v>
          </cell>
          <cell r="F212">
            <v>105.94594594594595</v>
          </cell>
          <cell r="G212">
            <v>102.13704330357591</v>
          </cell>
          <cell r="I212">
            <v>11.1</v>
          </cell>
        </row>
        <row r="213">
          <cell r="A213">
            <v>40450</v>
          </cell>
          <cell r="B213">
            <v>9.8000000000000007</v>
          </cell>
          <cell r="C213">
            <v>69228.240000000005</v>
          </cell>
          <cell r="D213">
            <v>1.7072499999999999</v>
          </cell>
          <cell r="F213">
            <v>105.94594594594595</v>
          </cell>
          <cell r="G213">
            <v>102.13794328522219</v>
          </cell>
          <cell r="I213">
            <v>10.99</v>
          </cell>
        </row>
        <row r="214">
          <cell r="A214">
            <v>40451</v>
          </cell>
          <cell r="B214">
            <v>9.85</v>
          </cell>
          <cell r="C214">
            <v>69429.78</v>
          </cell>
          <cell r="D214">
            <v>1.6941999999999999</v>
          </cell>
          <cell r="F214">
            <v>106.48648648648648</v>
          </cell>
          <cell r="G214">
            <v>102.43529131963275</v>
          </cell>
          <cell r="I214">
            <v>11.067500000000001</v>
          </cell>
        </row>
        <row r="215">
          <cell r="A215">
            <v>40452</v>
          </cell>
          <cell r="B215">
            <v>9.85</v>
          </cell>
          <cell r="C215">
            <v>70229.350000000006</v>
          </cell>
          <cell r="D215">
            <v>1.6854</v>
          </cell>
          <cell r="F215">
            <v>106.48648648648648</v>
          </cell>
          <cell r="G215">
            <v>103.61496070473579</v>
          </cell>
          <cell r="I215">
            <v>10.57</v>
          </cell>
        </row>
        <row r="216">
          <cell r="A216">
            <v>40453</v>
          </cell>
          <cell r="B216">
            <v>9.85</v>
          </cell>
          <cell r="C216">
            <v>70229.350000000006</v>
          </cell>
          <cell r="D216">
            <v>1.6854</v>
          </cell>
          <cell r="F216">
            <v>106.48648648648648</v>
          </cell>
          <cell r="G216">
            <v>103.61496070473579</v>
          </cell>
          <cell r="I216">
            <v>10.57</v>
          </cell>
        </row>
        <row r="217">
          <cell r="A217">
            <v>40454</v>
          </cell>
          <cell r="B217">
            <v>9.85</v>
          </cell>
          <cell r="C217">
            <v>70229.350000000006</v>
          </cell>
          <cell r="D217">
            <v>1.6854</v>
          </cell>
          <cell r="F217">
            <v>106.48648648648648</v>
          </cell>
          <cell r="G217">
            <v>103.61496070473579</v>
          </cell>
          <cell r="I217">
            <v>10.57</v>
          </cell>
        </row>
        <row r="218">
          <cell r="A218">
            <v>40455</v>
          </cell>
          <cell r="B218">
            <v>9.85</v>
          </cell>
          <cell r="C218">
            <v>70384.92</v>
          </cell>
          <cell r="D218">
            <v>1.6857</v>
          </cell>
          <cell r="F218">
            <v>106.48648648648648</v>
          </cell>
          <cell r="G218">
            <v>103.8444855321311</v>
          </cell>
          <cell r="I218">
            <v>10.54</v>
          </cell>
        </row>
        <row r="219">
          <cell r="A219">
            <v>40456</v>
          </cell>
          <cell r="B219">
            <v>9.85</v>
          </cell>
          <cell r="C219">
            <v>71283.11</v>
          </cell>
          <cell r="D219">
            <v>1.6820999999999999</v>
          </cell>
          <cell r="F219">
            <v>106.48648648648648</v>
          </cell>
          <cell r="G219">
            <v>105.16965686798126</v>
          </cell>
          <cell r="I219">
            <v>10.717499999999999</v>
          </cell>
        </row>
        <row r="220">
          <cell r="A220">
            <v>40457</v>
          </cell>
          <cell r="B220">
            <v>9.8000000000000007</v>
          </cell>
          <cell r="C220">
            <v>70541.37</v>
          </cell>
          <cell r="D220">
            <v>1.6806000000000001</v>
          </cell>
          <cell r="F220">
            <v>105.94594594594595</v>
          </cell>
          <cell r="G220">
            <v>104.07530869370467</v>
          </cell>
          <cell r="I220">
            <v>10.62</v>
          </cell>
        </row>
        <row r="221">
          <cell r="A221">
            <v>40458</v>
          </cell>
          <cell r="B221">
            <v>9.8000000000000007</v>
          </cell>
          <cell r="C221">
            <v>69918.399999999994</v>
          </cell>
          <cell r="D221">
            <v>1.6775500000000001</v>
          </cell>
          <cell r="F221">
            <v>105.94594594594595</v>
          </cell>
          <cell r="G221">
            <v>103.15619137209725</v>
          </cell>
          <cell r="I221">
            <v>10.65</v>
          </cell>
        </row>
        <row r="222">
          <cell r="A222">
            <v>40459</v>
          </cell>
          <cell r="B222">
            <v>10</v>
          </cell>
          <cell r="C222">
            <v>70808.800000000003</v>
          </cell>
          <cell r="D222">
            <v>1.6810499999999999</v>
          </cell>
          <cell r="F222">
            <v>108.10810810810811</v>
          </cell>
          <cell r="G222">
            <v>104.46986949971053</v>
          </cell>
          <cell r="I222">
            <v>11.35</v>
          </cell>
        </row>
        <row r="223">
          <cell r="A223">
            <v>40460</v>
          </cell>
          <cell r="B223">
            <v>10</v>
          </cell>
          <cell r="C223">
            <v>70808.800000000003</v>
          </cell>
          <cell r="D223">
            <v>1.6810499999999999</v>
          </cell>
          <cell r="F223">
            <v>108.10810810810811</v>
          </cell>
          <cell r="G223">
            <v>104.46986949971053</v>
          </cell>
          <cell r="I223">
            <v>11.35</v>
          </cell>
        </row>
        <row r="224">
          <cell r="A224">
            <v>40461</v>
          </cell>
          <cell r="B224">
            <v>10</v>
          </cell>
          <cell r="C224">
            <v>70808.800000000003</v>
          </cell>
          <cell r="D224">
            <v>1.6810499999999999</v>
          </cell>
          <cell r="F224">
            <v>108.10810810810811</v>
          </cell>
          <cell r="G224">
            <v>104.46986949971053</v>
          </cell>
          <cell r="I224">
            <v>11.35</v>
          </cell>
        </row>
        <row r="225">
          <cell r="A225">
            <v>40462</v>
          </cell>
          <cell r="B225">
            <v>10.050000000000001</v>
          </cell>
          <cell r="C225">
            <v>70946.490000000005</v>
          </cell>
          <cell r="D225">
            <v>1.6640999999999999</v>
          </cell>
          <cell r="F225">
            <v>108.64864864864865</v>
          </cell>
          <cell r="G225">
            <v>104.67301453721174</v>
          </cell>
          <cell r="I225">
            <v>11.525</v>
          </cell>
        </row>
        <row r="226">
          <cell r="A226">
            <v>40463</v>
          </cell>
          <cell r="B226">
            <v>10.050000000000001</v>
          </cell>
          <cell r="C226">
            <v>70946.490000000005</v>
          </cell>
          <cell r="D226">
            <v>1.66995</v>
          </cell>
          <cell r="F226">
            <v>108.64864864864865</v>
          </cell>
          <cell r="G226">
            <v>104.67301453721174</v>
          </cell>
          <cell r="I226">
            <v>11.785</v>
          </cell>
        </row>
        <row r="227">
          <cell r="A227">
            <v>40464</v>
          </cell>
          <cell r="B227">
            <v>10.06</v>
          </cell>
          <cell r="C227">
            <v>71674.899999999994</v>
          </cell>
          <cell r="D227">
            <v>1.6567000000000001</v>
          </cell>
          <cell r="F227">
            <v>108.75675675675676</v>
          </cell>
          <cell r="G227">
            <v>105.74769589944755</v>
          </cell>
          <cell r="I227">
            <v>11.765000000000001</v>
          </cell>
        </row>
        <row r="228">
          <cell r="A228">
            <v>40465</v>
          </cell>
          <cell r="B228">
            <v>10.06</v>
          </cell>
          <cell r="C228">
            <v>71692.289999999994</v>
          </cell>
          <cell r="D228">
            <v>1.65615</v>
          </cell>
          <cell r="F228">
            <v>108.75675675675676</v>
          </cell>
          <cell r="G228">
            <v>105.77335275326514</v>
          </cell>
          <cell r="I228">
            <v>11.885</v>
          </cell>
        </row>
        <row r="229">
          <cell r="A229">
            <v>40466</v>
          </cell>
          <cell r="B229">
            <v>10.28</v>
          </cell>
          <cell r="C229">
            <v>71830.179999999993</v>
          </cell>
          <cell r="D229">
            <v>1.66235</v>
          </cell>
          <cell r="F229">
            <v>111.13513513513513</v>
          </cell>
          <cell r="G229">
            <v>105.97679286671595</v>
          </cell>
          <cell r="I229">
            <v>11.85</v>
          </cell>
        </row>
        <row r="230">
          <cell r="A230">
            <v>40467</v>
          </cell>
          <cell r="B230">
            <v>10.28</v>
          </cell>
          <cell r="C230">
            <v>71830.179999999993</v>
          </cell>
          <cell r="D230">
            <v>1.66235</v>
          </cell>
          <cell r="F230">
            <v>111.13513513513513</v>
          </cell>
          <cell r="G230">
            <v>105.97679286671595</v>
          </cell>
          <cell r="I230">
            <v>11.85</v>
          </cell>
        </row>
        <row r="231">
          <cell r="A231">
            <v>40468</v>
          </cell>
          <cell r="B231">
            <v>10.28</v>
          </cell>
          <cell r="C231">
            <v>71830.179999999993</v>
          </cell>
          <cell r="D231">
            <v>1.66235</v>
          </cell>
          <cell r="F231">
            <v>111.13513513513513</v>
          </cell>
          <cell r="G231">
            <v>105.97679286671595</v>
          </cell>
          <cell r="I231">
            <v>11.85</v>
          </cell>
        </row>
        <row r="232">
          <cell r="A232">
            <v>40469</v>
          </cell>
          <cell r="B232">
            <v>10.19</v>
          </cell>
          <cell r="C232">
            <v>71735.53</v>
          </cell>
          <cell r="D232">
            <v>1.6594500000000001</v>
          </cell>
          <cell r="F232">
            <v>110.16216216216215</v>
          </cell>
          <cell r="G232">
            <v>105.83714817356839</v>
          </cell>
          <cell r="I232">
            <v>11.84</v>
          </cell>
        </row>
        <row r="233">
          <cell r="A233">
            <v>40470</v>
          </cell>
          <cell r="B233">
            <v>10.5</v>
          </cell>
          <cell r="C233">
            <v>69863.58</v>
          </cell>
          <cell r="D233">
            <v>1.6898500000000001</v>
          </cell>
          <cell r="F233">
            <v>113.51351351351352</v>
          </cell>
          <cell r="G233">
            <v>103.07531105431227</v>
          </cell>
          <cell r="I233">
            <v>11.8</v>
          </cell>
        </row>
        <row r="234">
          <cell r="A234">
            <v>40471</v>
          </cell>
          <cell r="B234">
            <v>10.199999999999999</v>
          </cell>
          <cell r="C234">
            <v>70404.679999999993</v>
          </cell>
          <cell r="D234">
            <v>1.6756500000000001</v>
          </cell>
          <cell r="F234">
            <v>110.27027027027026</v>
          </cell>
          <cell r="G234">
            <v>103.87363903595144</v>
          </cell>
          <cell r="I234">
            <v>12.12</v>
          </cell>
        </row>
        <row r="235">
          <cell r="A235">
            <v>40472</v>
          </cell>
          <cell r="B235">
            <v>10.3</v>
          </cell>
          <cell r="C235">
            <v>69652.100000000006</v>
          </cell>
          <cell r="D235">
            <v>1.69085</v>
          </cell>
          <cell r="F235">
            <v>111.35135135135137</v>
          </cell>
          <cell r="G235">
            <v>102.76329774520664</v>
          </cell>
          <cell r="I235">
            <v>12.015000000000001</v>
          </cell>
        </row>
        <row r="236">
          <cell r="A236">
            <v>40473</v>
          </cell>
          <cell r="B236">
            <v>10.5</v>
          </cell>
          <cell r="C236">
            <v>69529.73</v>
          </cell>
          <cell r="D236">
            <v>1.69495</v>
          </cell>
          <cell r="F236">
            <v>113.51351351351352</v>
          </cell>
          <cell r="G236">
            <v>102.5827555254447</v>
          </cell>
          <cell r="I236">
            <v>11.994999999999999</v>
          </cell>
        </row>
        <row r="237">
          <cell r="A237">
            <v>40474</v>
          </cell>
          <cell r="B237">
            <v>10.5</v>
          </cell>
          <cell r="C237">
            <v>69529.73</v>
          </cell>
          <cell r="D237">
            <v>1.69495</v>
          </cell>
          <cell r="F237">
            <v>113.51351351351352</v>
          </cell>
          <cell r="G237">
            <v>102.5827555254447</v>
          </cell>
          <cell r="I237">
            <v>11.994999999999999</v>
          </cell>
        </row>
        <row r="238">
          <cell r="A238">
            <v>40475</v>
          </cell>
          <cell r="B238">
            <v>10.5</v>
          </cell>
          <cell r="C238">
            <v>69529.73</v>
          </cell>
          <cell r="D238">
            <v>1.69495</v>
          </cell>
          <cell r="F238">
            <v>113.51351351351352</v>
          </cell>
          <cell r="G238">
            <v>102.5827555254447</v>
          </cell>
          <cell r="I238">
            <v>11.994999999999999</v>
          </cell>
        </row>
        <row r="239">
          <cell r="A239">
            <v>40476</v>
          </cell>
          <cell r="B239">
            <v>10.7</v>
          </cell>
          <cell r="C239">
            <v>69580.28</v>
          </cell>
          <cell r="D239">
            <v>1.7056500000000001</v>
          </cell>
          <cell r="F239">
            <v>115.67567567567568</v>
          </cell>
          <cell r="G239">
            <v>102.65733597170575</v>
          </cell>
          <cell r="I239">
            <v>12.1775</v>
          </cell>
        </row>
        <row r="240">
          <cell r="A240">
            <v>40477</v>
          </cell>
          <cell r="B240">
            <v>10.7</v>
          </cell>
          <cell r="C240">
            <v>70740.39</v>
          </cell>
          <cell r="D240">
            <v>1.70705</v>
          </cell>
          <cell r="F240">
            <v>115.67567567567568</v>
          </cell>
          <cell r="G240">
            <v>104.3689387711503</v>
          </cell>
          <cell r="I240">
            <v>12.19</v>
          </cell>
        </row>
        <row r="241">
          <cell r="A241">
            <v>40478</v>
          </cell>
          <cell r="B241">
            <v>10.75</v>
          </cell>
          <cell r="C241">
            <v>70568.94</v>
          </cell>
          <cell r="D241">
            <v>1.7161500000000001</v>
          </cell>
          <cell r="F241">
            <v>116.21621621621621</v>
          </cell>
          <cell r="G241">
            <v>104.11598491335685</v>
          </cell>
          <cell r="I241">
            <v>12.237500000000001</v>
          </cell>
        </row>
        <row r="242">
          <cell r="A242">
            <v>40479</v>
          </cell>
          <cell r="B242">
            <v>10.5</v>
          </cell>
          <cell r="C242">
            <v>70320.13</v>
          </cell>
          <cell r="D242">
            <v>1.7134</v>
          </cell>
          <cell r="F242">
            <v>113.51351351351352</v>
          </cell>
          <cell r="G242">
            <v>103.74889567825862</v>
          </cell>
          <cell r="I242">
            <v>12.25</v>
          </cell>
        </row>
        <row r="243">
          <cell r="A243">
            <v>40480</v>
          </cell>
          <cell r="B243">
            <v>10.01</v>
          </cell>
          <cell r="C243">
            <v>70673.3</v>
          </cell>
          <cell r="D243">
            <v>1.69665</v>
          </cell>
          <cell r="F243">
            <v>108.21621621621622</v>
          </cell>
          <cell r="G243">
            <v>104.26995554385744</v>
          </cell>
          <cell r="I243">
            <v>12.26</v>
          </cell>
        </row>
        <row r="244">
          <cell r="A244">
            <v>40481</v>
          </cell>
          <cell r="B244">
            <v>10.01</v>
          </cell>
          <cell r="C244">
            <v>70673.3</v>
          </cell>
          <cell r="D244">
            <v>1.69665</v>
          </cell>
          <cell r="F244">
            <v>108.21621621621622</v>
          </cell>
          <cell r="G244">
            <v>104.26995554385744</v>
          </cell>
          <cell r="I244">
            <v>12.26</v>
          </cell>
        </row>
        <row r="245">
          <cell r="A245">
            <v>40482</v>
          </cell>
          <cell r="B245">
            <v>10.01</v>
          </cell>
          <cell r="C245">
            <v>70673.3</v>
          </cell>
          <cell r="D245">
            <v>1.69665</v>
          </cell>
          <cell r="F245">
            <v>108.21621621621622</v>
          </cell>
          <cell r="G245">
            <v>104.26995554385744</v>
          </cell>
          <cell r="I245">
            <v>12.26</v>
          </cell>
        </row>
        <row r="246">
          <cell r="A246">
            <v>40483</v>
          </cell>
          <cell r="B246">
            <v>10.01</v>
          </cell>
          <cell r="C246">
            <v>71560.929999999993</v>
          </cell>
          <cell r="D246">
            <v>1.7047000000000001</v>
          </cell>
          <cell r="F246">
            <v>108.21621621621622</v>
          </cell>
          <cell r="G246">
            <v>105.57954686956874</v>
          </cell>
          <cell r="I246">
            <v>12.2525</v>
          </cell>
        </row>
        <row r="247">
          <cell r="A247">
            <v>40484</v>
          </cell>
          <cell r="B247">
            <v>10.01</v>
          </cell>
          <cell r="C247">
            <v>71560.929999999993</v>
          </cell>
          <cell r="D247">
            <v>1.7038</v>
          </cell>
          <cell r="F247">
            <v>108.21621621621622</v>
          </cell>
          <cell r="G247">
            <v>105.57954686956874</v>
          </cell>
          <cell r="I247">
            <v>12.237500000000001</v>
          </cell>
        </row>
        <row r="248">
          <cell r="A248">
            <v>40485</v>
          </cell>
          <cell r="B248">
            <v>10.35</v>
          </cell>
          <cell r="C248">
            <v>71904.77</v>
          </cell>
          <cell r="D248">
            <v>1.6991499999999999</v>
          </cell>
          <cell r="F248">
            <v>111.89189189189189</v>
          </cell>
          <cell r="G248">
            <v>106.0868414421188</v>
          </cell>
          <cell r="I248">
            <v>12.275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rpage"/>
      <sheetName val="Aluminum"/>
      <sheetName val="Copper"/>
      <sheetName val="NF_INV_W"/>
      <sheetName val="PRICE_W"/>
      <sheetName val="Financials"/>
    </sheetNames>
    <sheetDataSet>
      <sheetData sheetId="0"/>
      <sheetData sheetId="1"/>
      <sheetData sheetId="2"/>
      <sheetData sheetId="3"/>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handout"/>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VER SHEET"/>
      <sheetName val="__FDSCACHE__"/>
      <sheetName val="IS-ANNUAL"/>
      <sheetName val="IS-QTRLY"/>
      <sheetName val="REV-ANNUAL"/>
      <sheetName val="REV-QTRLY"/>
      <sheetName val="FOOTNOTES"/>
      <sheetName val="PIPELINE"/>
      <sheetName val="PIPELINE_UNADJ"/>
      <sheetName val="MGMT PROJECTIONS"/>
      <sheetName val="AF_MKT_MODEL"/>
      <sheetName val="APIXABAN"/>
      <sheetName val="PREVNAR 13 ADULT"/>
      <sheetName val="CFBS"/>
      <sheetName val="DCF"/>
      <sheetName val="DEBT"/>
      <sheetName val="AGREEMENTS"/>
      <sheetName val="PREVNAR 13 ADULT (2)"/>
      <sheetName val="Var-YOY"/>
      <sheetName val="Var-Seq"/>
      <sheetName val="calendar"/>
      <sheetName val="launches"/>
      <sheetName val="patents"/>
      <sheetName val="patent expirations"/>
      <sheetName val="pipeline-handout"/>
      <sheetName val="sotp1"/>
      <sheetName val="sotp2"/>
      <sheetName val="sotp3"/>
      <sheetName val="Product Mix"/>
      <sheetName val="REV-ANNUAL_old"/>
      <sheetName val="REV-ANNUAL New"/>
      <sheetName val="ebitda"/>
      <sheetName val="cost saving"/>
      <sheetName val="consensus"/>
      <sheetName val="2010-15 Growth"/>
      <sheetName val="revenue snapshot"/>
      <sheetName val="Vaccination rates"/>
      <sheetName val="Vaccination rates (2)"/>
      <sheetName val="cost savings"/>
      <sheetName val="rev contribution analysis"/>
      <sheetName val="rev change analysis"/>
      <sheetName val="2015 rev change"/>
      <sheetName val="MW-Cache"/>
      <sheetName val="mwareDates"/>
      <sheetName val="MWA RR"/>
      <sheetName val="MW Valuation"/>
      <sheetName val="mwareSettings"/>
      <sheetName val="king synergy"/>
      <sheetName val="2010 guidance"/>
      <sheetName val="breakup value"/>
      <sheetName val="#REF"/>
      <sheetName val="Variation"/>
      <sheetName val="Seq Variation"/>
      <sheetName val="REV-ANNUAL (2)"/>
      <sheetName val="FCF vs Guidance"/>
      <sheetName val="Gaap Adj"/>
      <sheetName val="ANOMALIES"/>
      <sheetName val="ASSUMPTIONS"/>
      <sheetName val="WYE_MERGER"/>
      <sheetName val="mgmt guidance"/>
      <sheetName val="CDK4_6_MKT_MODEL"/>
      <sheetName val="ELIQUIS_ALLIANCE"/>
      <sheetName val="REV-SEGMENT"/>
      <sheetName val="UPD from master_PALBO MKT MODEL"/>
      <sheetName val="modified revs"/>
      <sheetName val="SEGMENTS"/>
      <sheetName val="Other biopharma+animal"/>
      <sheetName val="sotp"/>
      <sheetName val="Var-YOYold"/>
      <sheetName val="Var-Seqold"/>
      <sheetName val="Var-YOY (2)"/>
      <sheetName val="Var-Seq (2)"/>
      <sheetName val="Actemra sales"/>
      <sheetName val="Var-YOY_old"/>
      <sheetName val="Var-Seq_old"/>
      <sheetName val="TR Convert"/>
      <sheetName val="Var-YOY ex-animal health"/>
      <sheetName val="Var-Seq ex-animal health"/>
      <sheetName val="PALBO MKT MODEL"/>
      <sheetName val="REV-ANNUAL_new"/>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C6">
            <v>-8.9761056293229169E-2</v>
          </cell>
        </row>
      </sheetData>
      <sheetData sheetId="21"/>
      <sheetData sheetId="22"/>
      <sheetData sheetId="23"/>
      <sheetData sheetId="24"/>
      <sheetData sheetId="25"/>
      <sheetData sheetId="26" refreshError="1">
        <row r="1">
          <cell r="E1" t="str">
            <v>2015E Sales ($M)</v>
          </cell>
        </row>
        <row r="2">
          <cell r="A2" t="str">
            <v>News Timeline</v>
          </cell>
          <cell r="B2" t="str">
            <v xml:space="preserve">Product </v>
          </cell>
          <cell r="C2" t="str">
            <v>Initial phase III indication</v>
          </cell>
          <cell r="D2" t="str">
            <v>Launch probability</v>
          </cell>
          <cell r="E2" t="str">
            <v>Unadjusted</v>
          </cell>
          <cell r="F2" t="str">
            <v xml:space="preserve">Adjusted </v>
          </cell>
        </row>
        <row r="3">
          <cell r="A3" t="str">
            <v>1Q:11</v>
          </cell>
          <cell r="B3" t="str">
            <v xml:space="preserve">Xiaflex </v>
          </cell>
          <cell r="C3" t="str">
            <v>Dupuytren's contracture</v>
          </cell>
          <cell r="D3">
            <v>0.75</v>
          </cell>
          <cell r="E3">
            <v>271.6875</v>
          </cell>
          <cell r="F3">
            <v>203.765625</v>
          </cell>
          <cell r="G3" t="str">
            <v xml:space="preserve">Adjusted </v>
          </cell>
        </row>
        <row r="4">
          <cell r="A4" t="str">
            <v>2Q:11</v>
          </cell>
          <cell r="B4" t="str">
            <v>Apixaban†</v>
          </cell>
          <cell r="C4" t="str">
            <v>Atrial fibrillation</v>
          </cell>
          <cell r="D4" t="str">
            <v>50%(VTE) / 60% (AF/ACS)</v>
          </cell>
          <cell r="E4">
            <v>1142.5</v>
          </cell>
          <cell r="F4">
            <v>895.25</v>
          </cell>
        </row>
        <row r="5">
          <cell r="A5" t="str">
            <v>mid '11</v>
          </cell>
          <cell r="B5" t="str">
            <v>Tasocitinib (JAK)</v>
          </cell>
          <cell r="C5" t="str">
            <v xml:space="preserve">Rheumatoid arthritis </v>
          </cell>
          <cell r="D5">
            <v>0.5</v>
          </cell>
          <cell r="E5">
            <v>1950</v>
          </cell>
          <cell r="F5">
            <v>975</v>
          </cell>
          <cell r="G5">
            <v>135.84375</v>
          </cell>
        </row>
        <row r="6">
          <cell r="A6" t="str">
            <v>Late '11</v>
          </cell>
          <cell r="B6" t="str">
            <v>Prevnar-13 for adults</v>
          </cell>
          <cell r="C6" t="str">
            <v>Pneumococcal vaccine</v>
          </cell>
          <cell r="D6">
            <v>0.85</v>
          </cell>
          <cell r="E6">
            <v>1553.3228598895296</v>
          </cell>
          <cell r="F6">
            <v>1320.3244309061001</v>
          </cell>
          <cell r="G6">
            <v>895.25</v>
          </cell>
        </row>
        <row r="7">
          <cell r="A7" t="str">
            <v>late '11</v>
          </cell>
          <cell r="B7" t="str">
            <v>Crizotinib (PF-2341066)</v>
          </cell>
          <cell r="C7" t="str">
            <v>NSCLC</v>
          </cell>
          <cell r="D7">
            <v>0.75</v>
          </cell>
          <cell r="E7">
            <v>348.75</v>
          </cell>
          <cell r="F7">
            <v>261.5625</v>
          </cell>
          <cell r="G7">
            <v>2057.859375</v>
          </cell>
        </row>
        <row r="8">
          <cell r="A8" t="str">
            <v>late '11</v>
          </cell>
          <cell r="B8" t="str">
            <v>Inotuzumab (CD22 mAb)</v>
          </cell>
          <cell r="C8" t="str">
            <v>Cancer</v>
          </cell>
          <cell r="D8">
            <v>0.15</v>
          </cell>
          <cell r="E8">
            <v>141.25</v>
          </cell>
          <cell r="F8">
            <v>21.1875</v>
          </cell>
          <cell r="G8">
            <v>1397.9905739005767</v>
          </cell>
        </row>
        <row r="9">
          <cell r="A9">
            <v>2011</v>
          </cell>
          <cell r="B9" t="str">
            <v>PF-5,230,895 (SBI-087)</v>
          </cell>
          <cell r="C9" t="str">
            <v>Rheumatoid arthritis</v>
          </cell>
          <cell r="D9">
            <v>0.1</v>
          </cell>
          <cell r="E9">
            <v>220</v>
          </cell>
          <cell r="F9">
            <v>22</v>
          </cell>
          <cell r="G9">
            <v>313.875</v>
          </cell>
        </row>
        <row r="10">
          <cell r="A10">
            <v>2011</v>
          </cell>
          <cell r="B10" t="str">
            <v>Neratinib</v>
          </cell>
          <cell r="C10" t="str">
            <v xml:space="preserve">2nd line breast cancer </v>
          </cell>
          <cell r="D10">
            <v>0.6</v>
          </cell>
          <cell r="E10">
            <v>303.75</v>
          </cell>
          <cell r="F10">
            <v>182.25</v>
          </cell>
          <cell r="G10">
            <v>28.25</v>
          </cell>
        </row>
        <row r="11">
          <cell r="A11" t="str">
            <v>late '11</v>
          </cell>
          <cell r="B11" t="str">
            <v>Bosutinib</v>
          </cell>
          <cell r="C11" t="str">
            <v>CML</v>
          </cell>
          <cell r="D11">
            <v>0.67</v>
          </cell>
          <cell r="E11">
            <v>366.24374999999998</v>
          </cell>
          <cell r="F11">
            <v>245.38331250000005</v>
          </cell>
          <cell r="G11">
            <v>33</v>
          </cell>
        </row>
        <row r="12">
          <cell r="A12">
            <v>2011</v>
          </cell>
          <cell r="B12" t="str">
            <v>MnB rLP2086</v>
          </cell>
          <cell r="C12" t="str">
            <v>Meningococcal B vaccine</v>
          </cell>
          <cell r="D12">
            <v>0.5</v>
          </cell>
          <cell r="E12">
            <v>825</v>
          </cell>
          <cell r="F12">
            <v>412.5</v>
          </cell>
          <cell r="G12">
            <v>182.25</v>
          </cell>
        </row>
        <row r="13">
          <cell r="A13">
            <v>2011</v>
          </cell>
          <cell r="B13" t="str">
            <v>Axitinib</v>
          </cell>
          <cell r="C13" t="str">
            <v>Renal cell cancer</v>
          </cell>
          <cell r="D13">
            <v>0.65</v>
          </cell>
          <cell r="E13">
            <v>372.375</v>
          </cell>
          <cell r="F13">
            <v>242.04374999999999</v>
          </cell>
          <cell r="G13">
            <v>205.17187499999997</v>
          </cell>
        </row>
        <row r="14">
          <cell r="A14">
            <v>2012</v>
          </cell>
          <cell r="B14" t="str">
            <v>Bapineuzumab</v>
          </cell>
          <cell r="C14" t="str">
            <v>Alzheimer's disease</v>
          </cell>
          <cell r="D14">
            <v>0.1</v>
          </cell>
          <cell r="E14">
            <v>1000</v>
          </cell>
          <cell r="F14">
            <v>100</v>
          </cell>
          <cell r="G14">
            <v>412.5</v>
          </cell>
        </row>
        <row r="15">
          <cell r="A15">
            <v>2012</v>
          </cell>
          <cell r="B15" t="str">
            <v>Tremelimumab (CP-675,206)</v>
          </cell>
          <cell r="C15" t="str">
            <v>Melanoma</v>
          </cell>
          <cell r="D15">
            <v>0.2</v>
          </cell>
          <cell r="E15">
            <v>250</v>
          </cell>
          <cell r="F15">
            <v>50</v>
          </cell>
          <cell r="G15">
            <v>279.28125</v>
          </cell>
        </row>
        <row r="16">
          <cell r="A16">
            <v>2012</v>
          </cell>
          <cell r="B16" t="str">
            <v>PF-5,236,806 (ACC-001)</v>
          </cell>
          <cell r="C16" t="str">
            <v>Alzheimer's disease</v>
          </cell>
          <cell r="D16">
            <v>0.02</v>
          </cell>
          <cell r="E16">
            <v>50</v>
          </cell>
          <cell r="F16">
            <v>1</v>
          </cell>
          <cell r="G16">
            <v>150</v>
          </cell>
        </row>
        <row r="17">
          <cell r="A17">
            <v>2012</v>
          </cell>
          <cell r="B17">
            <v>2012</v>
          </cell>
          <cell r="C17" t="str">
            <v>Tremelimumab (CP-675,206)</v>
          </cell>
          <cell r="D17" t="str">
            <v>Melanoma</v>
          </cell>
          <cell r="E17">
            <v>0.2</v>
          </cell>
          <cell r="F17">
            <v>162.5</v>
          </cell>
          <cell r="G17">
            <v>32.5</v>
          </cell>
        </row>
        <row r="18">
          <cell r="A18">
            <v>2012</v>
          </cell>
          <cell r="B18">
            <v>2012</v>
          </cell>
          <cell r="C18" t="str">
            <v>PF-5,236,806 (ACC-001)</v>
          </cell>
          <cell r="D18" t="str">
            <v>Alzheimer's disease</v>
          </cell>
          <cell r="E18">
            <v>0.02</v>
          </cell>
          <cell r="F18">
            <v>60</v>
          </cell>
          <cell r="G18">
            <v>1.2</v>
          </cell>
        </row>
        <row r="19">
          <cell r="B19" t="str">
            <v>†Revenue estimates are total end-user sales. PFE receives 50% economics.</v>
          </cell>
        </row>
        <row r="21">
          <cell r="B21" t="str">
            <v>DO NOT LINK TO CLIENT/WORKING MODEL!!!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sheetData sheetId="54"/>
      <sheetData sheetId="55"/>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hange analysi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short IS"/>
      <sheetName val="Product Mix 100%"/>
      <sheetName val="cost savings"/>
      <sheetName val="Per Pharma Traditional &amp; Biolog"/>
    </sheetNames>
    <sheetDataSet>
      <sheetData sheetId="0" refreshError="1"/>
      <sheetData sheetId="1">
        <row r="1">
          <cell r="R1" t="str">
            <v>SmartCharts</v>
          </cell>
          <cell r="BA1" t="str">
            <v>.</v>
          </cell>
        </row>
        <row r="2">
          <cell r="BA2" t="str">
            <v>.</v>
          </cell>
        </row>
        <row r="3">
          <cell r="BA3" t="str">
            <v>.</v>
          </cell>
        </row>
        <row r="4">
          <cell r="BA4" t="str">
            <v>.</v>
          </cell>
        </row>
        <row r="5">
          <cell r="C5" t="str">
            <v>Define value axis here:</v>
          </cell>
        </row>
        <row r="6">
          <cell r="C6" t="str">
            <v>Eli Lilly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781.72624304999954</v>
          </cell>
          <cell r="E12">
            <v>628.01563373899808</v>
          </cell>
          <cell r="F12">
            <v>619.00336252127454</v>
          </cell>
          <cell r="G12">
            <v>650.37276247114823</v>
          </cell>
          <cell r="H12">
            <v>535.71762648130425</v>
          </cell>
          <cell r="BA12" t="str">
            <v>.</v>
          </cell>
        </row>
        <row r="13">
          <cell r="C13" t="str">
            <v>Pipeline products launching 2010–2015</v>
          </cell>
          <cell r="D13">
            <v>94.75</v>
          </cell>
          <cell r="E13">
            <v>176.17500000000001</v>
          </cell>
          <cell r="F13">
            <v>330.42500000000001</v>
          </cell>
          <cell r="G13">
            <v>642.0732999999999</v>
          </cell>
          <cell r="H13">
            <v>950.38365750000003</v>
          </cell>
          <cell r="BA13" t="str">
            <v>.</v>
          </cell>
        </row>
        <row r="14">
          <cell r="C14" t="str">
            <v>Products expiring 2010–2015</v>
          </cell>
          <cell r="D14">
            <v>-371.49615019999874</v>
          </cell>
          <cell r="E14">
            <v>-2226.0126789459991</v>
          </cell>
          <cell r="F14">
            <v>-713.0858879557818</v>
          </cell>
          <cell r="G14">
            <v>-2566.7028729389294</v>
          </cell>
          <cell r="H14">
            <v>-2382.3369144914741</v>
          </cell>
          <cell r="BA14" t="str">
            <v>.</v>
          </cell>
        </row>
        <row r="15">
          <cell r="C15" t="str">
            <v>Net YOY change</v>
          </cell>
          <cell r="D15">
            <v>504.9800928500008</v>
          </cell>
          <cell r="E15">
            <v>-1421.8220452070018</v>
          </cell>
          <cell r="F15">
            <v>236.34247456549201</v>
          </cell>
          <cell r="G15">
            <v>-1274.2568104677812</v>
          </cell>
          <cell r="H15">
            <v>-896.23563051016754</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Out"/>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Results"/>
      <sheetName val="Intrinsic Value"/>
      <sheetName val="Charts"/>
      <sheetName val="Changes to the Model"/>
      <sheetName val="Acq"/>
      <sheetName val="MWA RR"/>
      <sheetName val="Financial Tables"/>
      <sheetName val="Valuation Summary"/>
      <sheetName val="Cash Flow Statement"/>
      <sheetName val="Segment Reporting"/>
      <sheetName val="Balance Sheet"/>
      <sheetName val="Annual"/>
    </sheetNames>
    <sheetDataSet>
      <sheetData sheetId="0"/>
      <sheetData sheetId="1"/>
      <sheetData sheetId="2"/>
      <sheetData sheetId="3"/>
      <sheetData sheetId="4"/>
      <sheetData sheetId="5"/>
      <sheetData sheetId="6"/>
      <sheetData sheetId="7"/>
      <sheetData sheetId="8" refreshError="1">
        <row r="2">
          <cell r="B2" t="str">
            <v>DAEGU BANK (005270.KS)</v>
          </cell>
          <cell r="N2" t="str">
            <v>Foreign exchange rate</v>
          </cell>
          <cell r="U2">
            <v>950</v>
          </cell>
        </row>
        <row r="3">
          <cell r="N3" t="str">
            <v>Current share price</v>
          </cell>
          <cell r="U3">
            <v>15550</v>
          </cell>
          <cell r="V3">
            <v>16.368421052631579</v>
          </cell>
        </row>
        <row r="5">
          <cell r="B5" t="str">
            <v>Profit and Loss Statements</v>
          </cell>
          <cell r="N5" t="str">
            <v>Per Share Data and Valuations</v>
          </cell>
        </row>
        <row r="6">
          <cell r="B6" t="str">
            <v>Won billions, Year ending Dec 31</v>
          </cell>
          <cell r="C6">
            <v>2000</v>
          </cell>
          <cell r="D6">
            <v>2001</v>
          </cell>
          <cell r="E6">
            <v>2002</v>
          </cell>
          <cell r="F6">
            <v>2003</v>
          </cell>
          <cell r="G6">
            <v>2004</v>
          </cell>
          <cell r="H6">
            <v>2005</v>
          </cell>
          <cell r="I6">
            <v>2006</v>
          </cell>
          <cell r="J6" t="str">
            <v>2007E</v>
          </cell>
          <cell r="K6" t="str">
            <v>2008E</v>
          </cell>
          <cell r="L6" t="str">
            <v>2009E</v>
          </cell>
          <cell r="N6" t="str">
            <v>Won billions, Year ending Dec 31</v>
          </cell>
          <cell r="O6">
            <v>2000</v>
          </cell>
          <cell r="P6">
            <v>2001</v>
          </cell>
          <cell r="Q6">
            <v>2002</v>
          </cell>
          <cell r="R6">
            <v>2003</v>
          </cell>
          <cell r="S6">
            <v>2004</v>
          </cell>
          <cell r="T6">
            <v>2005</v>
          </cell>
          <cell r="U6">
            <v>2006</v>
          </cell>
          <cell r="V6" t="str">
            <v>2007E</v>
          </cell>
          <cell r="W6" t="str">
            <v>2008E</v>
          </cell>
          <cell r="X6" t="str">
            <v>2009E</v>
          </cell>
        </row>
        <row r="7">
          <cell r="B7" t="str">
            <v>Avg Earning Assets</v>
          </cell>
          <cell r="C7">
            <v>10876.642941</v>
          </cell>
          <cell r="D7">
            <v>12521.9778905</v>
          </cell>
          <cell r="E7">
            <v>0</v>
          </cell>
          <cell r="F7">
            <v>14850.105514125002</v>
          </cell>
          <cell r="G7">
            <v>15778.461823125001</v>
          </cell>
          <cell r="H7">
            <v>16905.104000000003</v>
          </cell>
          <cell r="I7">
            <v>17900.141749999999</v>
          </cell>
          <cell r="J7">
            <v>19424.187022748716</v>
          </cell>
          <cell r="K7">
            <v>20886.251253226379</v>
          </cell>
          <cell r="L7">
            <v>22978.112528650723</v>
          </cell>
          <cell r="N7" t="str">
            <v>Book Value Per Share (Won)</v>
          </cell>
          <cell r="O7">
            <v>4421.4323036040523</v>
          </cell>
          <cell r="P7">
            <v>4653.9481813652219</v>
          </cell>
          <cell r="Q7">
            <v>5390.1464522232745</v>
          </cell>
          <cell r="R7">
            <v>6340.5455439924317</v>
          </cell>
          <cell r="S7">
            <v>7183.136673604542</v>
          </cell>
          <cell r="T7">
            <v>8151.0177937559129</v>
          </cell>
          <cell r="U7">
            <v>9549.4567733737003</v>
          </cell>
          <cell r="V7">
            <v>11089.965393373248</v>
          </cell>
          <cell r="W7">
            <v>12521.100614957122</v>
          </cell>
          <cell r="X7">
            <v>13949.1718208866</v>
          </cell>
        </row>
        <row r="8">
          <cell r="B8" t="str">
            <v>Net Interest Margin (%)</v>
          </cell>
          <cell r="C8">
            <v>3.133845754144629</v>
          </cell>
          <cell r="D8">
            <v>2.7259491350720646</v>
          </cell>
          <cell r="E8">
            <v>0</v>
          </cell>
          <cell r="F8">
            <v>3.6148878531085753</v>
          </cell>
          <cell r="G8">
            <v>3.6718091186233002</v>
          </cell>
          <cell r="H8">
            <v>3.6994744309174301</v>
          </cell>
          <cell r="I8">
            <v>3.6095189022734968</v>
          </cell>
          <cell r="J8">
            <v>3.212361822242952</v>
          </cell>
          <cell r="K8">
            <v>3.198760314972767</v>
          </cell>
          <cell r="L8">
            <v>3.2055997459453631</v>
          </cell>
          <cell r="N8" t="str">
            <v>Price/Book (x)</v>
          </cell>
          <cell r="O8">
            <v>3.5169598745919264</v>
          </cell>
          <cell r="P8">
            <v>3.3412490629490534</v>
          </cell>
          <cell r="Q8">
            <v>2.8848937849520007</v>
          </cell>
          <cell r="R8">
            <v>2.4524703579699674</v>
          </cell>
          <cell r="S8">
            <v>2.164792444662885</v>
          </cell>
          <cell r="T8">
            <v>1.9077372168064799</v>
          </cell>
          <cell r="U8">
            <v>1.6283648765610763</v>
          </cell>
          <cell r="V8">
            <v>1.4021684873148317</v>
          </cell>
          <cell r="W8">
            <v>1.2419036056163222</v>
          </cell>
          <cell r="X8">
            <v>1.1147615213052593</v>
          </cell>
        </row>
        <row r="9">
          <cell r="B9" t="str">
            <v xml:space="preserve">  Interest Income</v>
          </cell>
          <cell r="C9">
            <v>962.41628200000002</v>
          </cell>
          <cell r="D9">
            <v>974.62154499999997</v>
          </cell>
          <cell r="E9">
            <v>1044.7103439201844</v>
          </cell>
          <cell r="F9">
            <v>1067.6685094039115</v>
          </cell>
          <cell r="G9">
            <v>1065.3353559889999</v>
          </cell>
          <cell r="H9">
            <v>1079.683486593</v>
          </cell>
          <cell r="I9">
            <v>1192.4292037959999</v>
          </cell>
          <cell r="J9">
            <v>1309.4957610066626</v>
          </cell>
          <cell r="K9">
            <v>1431.6881993266018</v>
          </cell>
          <cell r="L9">
            <v>1592.9042170498849</v>
          </cell>
          <cell r="N9" t="str">
            <v>ROAA (%)</v>
          </cell>
          <cell r="O9">
            <v>0.1408711340867197</v>
          </cell>
          <cell r="P9">
            <v>0.24070869709340612</v>
          </cell>
          <cell r="Q9">
            <v>0.87580725543439397</v>
          </cell>
          <cell r="R9">
            <v>0.68953083953879213</v>
          </cell>
          <cell r="S9">
            <v>0.71064558434927894</v>
          </cell>
          <cell r="T9">
            <v>0.94407916117783819</v>
          </cell>
          <cell r="U9">
            <v>1.196952139593618</v>
          </cell>
          <cell r="V9">
            <v>1.3215035069615046</v>
          </cell>
          <cell r="W9">
            <v>1.1811256691630632</v>
          </cell>
          <cell r="X9">
            <v>1.0991814697822027</v>
          </cell>
        </row>
        <row r="10">
          <cell r="B10" t="str">
            <v xml:space="preserve">  Interest Expense</v>
          </cell>
          <cell r="C10">
            <v>621.55906900000002</v>
          </cell>
          <cell r="D10">
            <v>633.27879700000005</v>
          </cell>
          <cell r="E10">
            <v>545.01550299999997</v>
          </cell>
          <cell r="F10">
            <v>493.19239600000003</v>
          </cell>
          <cell r="G10">
            <v>442.64955300000003</v>
          </cell>
          <cell r="H10">
            <v>412.93019300000003</v>
          </cell>
          <cell r="I10">
            <v>492.508482125</v>
          </cell>
          <cell r="J10">
            <v>631.86276332977968</v>
          </cell>
          <cell r="K10">
            <v>709.72075518826659</v>
          </cell>
          <cell r="L10">
            <v>797.55471412586621</v>
          </cell>
          <cell r="N10" t="str">
            <v>ROAE (Reported, %)</v>
          </cell>
          <cell r="P10">
            <v>5.6151531393231648</v>
          </cell>
          <cell r="Q10">
            <v>20.619111304862965</v>
          </cell>
          <cell r="R10">
            <v>14.164653812958742</v>
          </cell>
          <cell r="S10">
            <v>13.658188833718956</v>
          </cell>
          <cell r="T10">
            <v>17.302085635156715</v>
          </cell>
          <cell r="U10">
            <v>20.570191768106923</v>
          </cell>
          <cell r="V10">
            <v>21.019498350202458</v>
          </cell>
          <cell r="W10">
            <v>17.628473198538476</v>
          </cell>
          <cell r="X10">
            <v>16.078949608613247</v>
          </cell>
        </row>
        <row r="11">
          <cell r="B11" t="str">
            <v>Net Interest Income (NII)</v>
          </cell>
          <cell r="C11">
            <v>340.857213</v>
          </cell>
          <cell r="D11">
            <v>341.34274799999992</v>
          </cell>
          <cell r="E11">
            <v>499.69484092018445</v>
          </cell>
          <cell r="F11">
            <v>574.47611340391143</v>
          </cell>
          <cell r="G11">
            <v>622.68580298899997</v>
          </cell>
          <cell r="H11">
            <v>666.75329359299997</v>
          </cell>
          <cell r="I11">
            <v>699.92072167099991</v>
          </cell>
          <cell r="J11">
            <v>677.63299767688295</v>
          </cell>
          <cell r="K11">
            <v>721.96744413833517</v>
          </cell>
          <cell r="L11">
            <v>795.34950292401868</v>
          </cell>
          <cell r="N11" t="str">
            <v>ROAE (ModelWare, %)</v>
          </cell>
          <cell r="S11">
            <v>14.116520505741065</v>
          </cell>
          <cell r="T11">
            <v>17.804435270588858</v>
          </cell>
          <cell r="U11">
            <v>21.230659633058355</v>
          </cell>
          <cell r="V11">
            <v>21.68615959544616</v>
          </cell>
          <cell r="W11">
            <v>18.154805510269618</v>
          </cell>
          <cell r="X11">
            <v>16.499322831883184</v>
          </cell>
        </row>
        <row r="12">
          <cell r="B12" t="str">
            <v>Loan Loss Prov Exp (LLPE)</v>
          </cell>
          <cell r="C12">
            <v>147.41081100000002</v>
          </cell>
          <cell r="D12">
            <v>81.180222999999998</v>
          </cell>
          <cell r="E12">
            <v>156.232</v>
          </cell>
          <cell r="F12">
            <v>210.03299999999999</v>
          </cell>
          <cell r="G12">
            <v>205.31800000000001</v>
          </cell>
          <cell r="H12">
            <v>145.05799999999999</v>
          </cell>
          <cell r="I12">
            <v>45.858999999999995</v>
          </cell>
          <cell r="J12">
            <v>45.635595124963444</v>
          </cell>
          <cell r="K12">
            <v>54.008218881334287</v>
          </cell>
          <cell r="L12">
            <v>87.629025355635321</v>
          </cell>
        </row>
        <row r="13">
          <cell r="B13" t="str">
            <v>NII After LLPE</v>
          </cell>
          <cell r="C13">
            <v>193.44640199999998</v>
          </cell>
          <cell r="D13">
            <v>260.1625249999999</v>
          </cell>
          <cell r="E13">
            <v>343.46284092018448</v>
          </cell>
          <cell r="F13">
            <v>364.44311340391141</v>
          </cell>
          <cell r="G13">
            <v>417.36780298899998</v>
          </cell>
          <cell r="H13">
            <v>521.69529359299997</v>
          </cell>
          <cell r="I13">
            <v>654.06172167099987</v>
          </cell>
          <cell r="J13">
            <v>631.99740255191955</v>
          </cell>
          <cell r="K13">
            <v>667.95922525700087</v>
          </cell>
          <cell r="L13">
            <v>707.72047756838333</v>
          </cell>
          <cell r="N13" t="str">
            <v>MW EPS Growth (%)</v>
          </cell>
          <cell r="P13" t="e">
            <v>#DIV/0!</v>
          </cell>
          <cell r="Q13" t="e">
            <v>#DIV/0!</v>
          </cell>
          <cell r="R13">
            <v>-15.197789596206668</v>
          </cell>
          <cell r="S13">
            <v>11.088495224403317</v>
          </cell>
          <cell r="T13">
            <v>43.009673934216394</v>
          </cell>
          <cell r="U13">
            <v>37.644975038390818</v>
          </cell>
          <cell r="V13">
            <v>19.105491529498252</v>
          </cell>
          <cell r="W13">
            <v>-4.230545840138622</v>
          </cell>
          <cell r="X13">
            <v>1.8866622550749668</v>
          </cell>
        </row>
        <row r="14">
          <cell r="N14" t="str">
            <v>Current P/MW EPS</v>
          </cell>
          <cell r="O14" t="e">
            <v>#DIV/0!</v>
          </cell>
          <cell r="P14" t="e">
            <v>#DIV/0!</v>
          </cell>
          <cell r="Q14">
            <v>15.346665423621943</v>
          </cell>
          <cell r="R14">
            <v>18.097011092691357</v>
          </cell>
          <cell r="S14">
            <v>16.29062582595493</v>
          </cell>
          <cell r="T14">
            <v>11.391275413611895</v>
          </cell>
          <cell r="U14">
            <v>8.2758381920115376</v>
          </cell>
          <cell r="V14">
            <v>6.948326299431713</v>
          </cell>
          <cell r="W14">
            <v>7.2552635497257283</v>
          </cell>
          <cell r="X14">
            <v>7.1209159169058411</v>
          </cell>
        </row>
        <row r="15">
          <cell r="B15" t="str">
            <v>Non-interest Income</v>
          </cell>
        </row>
        <row r="16">
          <cell r="B16" t="str">
            <v>Fees and Commissions</v>
          </cell>
          <cell r="C16">
            <v>103.07806399999998</v>
          </cell>
          <cell r="D16">
            <v>133.91564500000001</v>
          </cell>
          <cell r="E16">
            <v>55.181206079815574</v>
          </cell>
          <cell r="F16">
            <v>62.822131596088454</v>
          </cell>
          <cell r="G16">
            <v>70.036566660999995</v>
          </cell>
          <cell r="H16">
            <v>68.159051552000008</v>
          </cell>
          <cell r="I16">
            <v>79.126403209999992</v>
          </cell>
          <cell r="J16">
            <v>100.50380461772258</v>
          </cell>
          <cell r="K16">
            <v>112.66122624755279</v>
          </cell>
          <cell r="L16">
            <v>126.58243507012459</v>
          </cell>
          <cell r="N16" t="str">
            <v>Gross Dividends</v>
          </cell>
          <cell r="O16">
            <v>0</v>
          </cell>
          <cell r="P16">
            <v>0</v>
          </cell>
          <cell r="Q16">
            <v>33.030999999999999</v>
          </cell>
          <cell r="R16">
            <v>33.030999999999999</v>
          </cell>
          <cell r="S16">
            <v>36.334000000000003</v>
          </cell>
          <cell r="T16">
            <v>52.85</v>
          </cell>
          <cell r="U16">
            <v>74.650625000000005</v>
          </cell>
          <cell r="V16">
            <v>85.881249999999994</v>
          </cell>
          <cell r="W16">
            <v>92.487499999999997</v>
          </cell>
          <cell r="X16">
            <v>99.09375</v>
          </cell>
        </row>
        <row r="17">
          <cell r="B17" t="str">
            <v>Dividend Income</v>
          </cell>
          <cell r="C17">
            <v>0.72631199999999996</v>
          </cell>
          <cell r="D17">
            <v>0.71033299999999999</v>
          </cell>
          <cell r="E17">
            <v>0.70518199999999998</v>
          </cell>
          <cell r="F17">
            <v>0.63218899999999989</v>
          </cell>
          <cell r="G17">
            <v>0.462148</v>
          </cell>
          <cell r="H17">
            <v>0.30597599999999997</v>
          </cell>
          <cell r="I17">
            <v>0.64043965999999997</v>
          </cell>
          <cell r="J17">
            <v>3.5075542206751638</v>
          </cell>
          <cell r="K17">
            <v>3.6432191430697647</v>
          </cell>
          <cell r="L17">
            <v>3.678517134913927</v>
          </cell>
          <cell r="N17" t="str">
            <v>Gross DPS (Won)</v>
          </cell>
          <cell r="O17">
            <v>0</v>
          </cell>
          <cell r="P17">
            <v>0</v>
          </cell>
          <cell r="Q17">
            <v>249.99810785241249</v>
          </cell>
          <cell r="R17">
            <v>249.99810785241249</v>
          </cell>
          <cell r="S17">
            <v>274.9971617786187</v>
          </cell>
          <cell r="T17">
            <v>400</v>
          </cell>
          <cell r="U17">
            <v>565</v>
          </cell>
          <cell r="V17">
            <v>650</v>
          </cell>
          <cell r="W17">
            <v>700</v>
          </cell>
          <cell r="X17">
            <v>750</v>
          </cell>
        </row>
        <row r="18">
          <cell r="B18" t="str">
            <v>Forex Income</v>
          </cell>
          <cell r="C18">
            <v>10.437694</v>
          </cell>
          <cell r="D18">
            <v>8.31785</v>
          </cell>
          <cell r="E18">
            <v>9.5970379999999977</v>
          </cell>
          <cell r="F18">
            <v>13.608292000000002</v>
          </cell>
          <cell r="G18">
            <v>7.1083060000000025</v>
          </cell>
          <cell r="H18">
            <v>4.5471849999999989</v>
          </cell>
          <cell r="I18">
            <v>15.406931695999987</v>
          </cell>
          <cell r="J18">
            <v>-3.8355512954730671</v>
          </cell>
          <cell r="K18">
            <v>0</v>
          </cell>
          <cell r="L18">
            <v>0</v>
          </cell>
          <cell r="N18" t="str">
            <v>Dividend Yield (Current Price, %)</v>
          </cell>
          <cell r="O18">
            <v>0</v>
          </cell>
          <cell r="P18">
            <v>0</v>
          </cell>
          <cell r="Q18">
            <v>1.607704873648955</v>
          </cell>
          <cell r="R18">
            <v>1.607704873648955</v>
          </cell>
          <cell r="S18">
            <v>1.768470493753175</v>
          </cell>
          <cell r="T18">
            <v>2.572347266881029</v>
          </cell>
          <cell r="U18">
            <v>3.6334405144694535</v>
          </cell>
          <cell r="V18">
            <v>4.180064308681672</v>
          </cell>
          <cell r="W18">
            <v>4.501607717041801</v>
          </cell>
          <cell r="X18">
            <v>4.823151125401929</v>
          </cell>
        </row>
        <row r="19">
          <cell r="B19" t="str">
            <v>Other trading income</v>
          </cell>
          <cell r="C19">
            <v>-11.660423000000002</v>
          </cell>
          <cell r="D19">
            <v>-2.2122909999999996</v>
          </cell>
          <cell r="E19">
            <v>-3.9779139999999988</v>
          </cell>
          <cell r="F19">
            <v>-3.9950099999999988</v>
          </cell>
          <cell r="G19">
            <v>2.0797100000000048</v>
          </cell>
          <cell r="H19">
            <v>1.5335300000000007</v>
          </cell>
          <cell r="I19">
            <v>-22.448308368000006</v>
          </cell>
          <cell r="J19">
            <v>-34.01717750433744</v>
          </cell>
          <cell r="K19">
            <v>9.3283227146442016</v>
          </cell>
          <cell r="L19">
            <v>8.0241691532975921</v>
          </cell>
          <cell r="N19" t="str">
            <v>Dividend Payout Ratio (%)</v>
          </cell>
          <cell r="O19">
            <v>0</v>
          </cell>
          <cell r="P19">
            <v>0</v>
          </cell>
          <cell r="Q19">
            <v>25.176150737817981</v>
          </cell>
          <cell r="R19">
            <v>30.091034636678405</v>
          </cell>
          <cell r="S19">
            <v>29.776259268029794</v>
          </cell>
          <cell r="T19">
            <v>30.153081116569329</v>
          </cell>
          <cell r="U19">
            <v>31.035246033502716</v>
          </cell>
          <cell r="V19">
            <v>29.965634015222548</v>
          </cell>
          <cell r="W19">
            <v>33.635488590080953</v>
          </cell>
          <cell r="X19">
            <v>35.243186961121928</v>
          </cell>
        </row>
        <row r="20">
          <cell r="B20" t="str">
            <v>Other Income</v>
          </cell>
          <cell r="C20">
            <v>-31.74471999999999</v>
          </cell>
          <cell r="D20">
            <v>-53.083737999999919</v>
          </cell>
          <cell r="E20">
            <v>-30.191082000000012</v>
          </cell>
          <cell r="F20">
            <v>-34.419654000000001</v>
          </cell>
          <cell r="G20">
            <v>-38.341280650000151</v>
          </cell>
          <cell r="H20">
            <v>-42.036997144999923</v>
          </cell>
          <cell r="I20">
            <v>-32.725466197999978</v>
          </cell>
          <cell r="J20">
            <v>78.425313035345653</v>
          </cell>
          <cell r="K20">
            <v>-4.3323700938881586</v>
          </cell>
          <cell r="L20">
            <v>-14.656612198602346</v>
          </cell>
        </row>
        <row r="21">
          <cell r="B21" t="str">
            <v>Total Non-interest Income</v>
          </cell>
          <cell r="C21">
            <v>70.836926999999989</v>
          </cell>
          <cell r="D21">
            <v>87.647799000000077</v>
          </cell>
          <cell r="E21">
            <v>31.314430079815562</v>
          </cell>
          <cell r="F21">
            <v>38.647948596088462</v>
          </cell>
          <cell r="G21">
            <v>41.345450010999848</v>
          </cell>
          <cell r="H21">
            <v>32.508745407000085</v>
          </cell>
          <cell r="I21">
            <v>39.999999999999986</v>
          </cell>
          <cell r="J21">
            <v>144.58394307393289</v>
          </cell>
          <cell r="K21">
            <v>121.3003980113786</v>
          </cell>
          <cell r="L21">
            <v>123.62850915973374</v>
          </cell>
          <cell r="N21" t="str">
            <v>Issued Shares (m)</v>
          </cell>
          <cell r="O21">
            <v>120.42</v>
          </cell>
          <cell r="P21">
            <v>120.42</v>
          </cell>
          <cell r="Q21">
            <v>132.125</v>
          </cell>
          <cell r="R21">
            <v>132.125</v>
          </cell>
          <cell r="S21">
            <v>132.125</v>
          </cell>
          <cell r="T21">
            <v>132.125</v>
          </cell>
          <cell r="U21">
            <v>132.125</v>
          </cell>
          <cell r="V21">
            <v>132.125</v>
          </cell>
          <cell r="W21">
            <v>132.125</v>
          </cell>
          <cell r="X21">
            <v>132.125</v>
          </cell>
        </row>
        <row r="22">
          <cell r="N22" t="str">
            <v>Market Cap (Wonbn)</v>
          </cell>
          <cell r="O22">
            <v>1872.5309999999999</v>
          </cell>
          <cell r="P22">
            <v>1872.5309999999999</v>
          </cell>
          <cell r="Q22">
            <v>2054.5437499999998</v>
          </cell>
          <cell r="R22">
            <v>2054.5437499999998</v>
          </cell>
          <cell r="S22">
            <v>2054.5437499999998</v>
          </cell>
          <cell r="T22">
            <v>2054.5437499999998</v>
          </cell>
          <cell r="U22">
            <v>2054.5437499999998</v>
          </cell>
          <cell r="V22">
            <v>2054.5437499999998</v>
          </cell>
          <cell r="W22">
            <v>2054.5437499999998</v>
          </cell>
          <cell r="X22">
            <v>2054.5437499999998</v>
          </cell>
        </row>
        <row r="23">
          <cell r="B23" t="str">
            <v>Non-interest Expense</v>
          </cell>
          <cell r="N23" t="str">
            <v>Market Cap (US$mn)</v>
          </cell>
          <cell r="O23">
            <v>1971.0852631578948</v>
          </cell>
          <cell r="P23">
            <v>1971.0852631578948</v>
          </cell>
          <cell r="Q23">
            <v>2162.6776315789475</v>
          </cell>
          <cell r="R23">
            <v>2162.6776315789475</v>
          </cell>
          <cell r="S23">
            <v>2162.6776315789475</v>
          </cell>
          <cell r="T23">
            <v>2162.6776315789475</v>
          </cell>
          <cell r="U23">
            <v>2162.6776315789475</v>
          </cell>
          <cell r="V23">
            <v>2162.6776315789475</v>
          </cell>
          <cell r="W23">
            <v>2162.6776315789475</v>
          </cell>
          <cell r="X23">
            <v>2162.6776315789475</v>
          </cell>
        </row>
        <row r="24">
          <cell r="B24" t="str">
            <v>Salaries &amp; Benefits</v>
          </cell>
          <cell r="C24">
            <v>107.16847300000001</v>
          </cell>
          <cell r="D24">
            <v>98.766052000000002</v>
          </cell>
          <cell r="E24">
            <v>132.53890000000001</v>
          </cell>
          <cell r="F24">
            <v>139.87535099999999</v>
          </cell>
          <cell r="G24">
            <v>158.067294</v>
          </cell>
          <cell r="H24">
            <v>169.01070299999998</v>
          </cell>
          <cell r="I24">
            <v>187.733122804</v>
          </cell>
          <cell r="J24">
            <v>203.09288603685599</v>
          </cell>
          <cell r="K24">
            <v>219.35530669151098</v>
          </cell>
          <cell r="L24">
            <v>236.59153547192719</v>
          </cell>
        </row>
        <row r="25">
          <cell r="B25" t="str">
            <v>Net Occupancy &amp; Equipment</v>
          </cell>
          <cell r="C25">
            <v>1.828999</v>
          </cell>
          <cell r="D25">
            <v>1.9287479999999999</v>
          </cell>
          <cell r="E25">
            <v>2.0369389999999998</v>
          </cell>
          <cell r="F25">
            <v>2.4119800000000002</v>
          </cell>
          <cell r="G25">
            <v>2.779687</v>
          </cell>
          <cell r="H25">
            <v>3.0314130000000001</v>
          </cell>
          <cell r="I25">
            <v>4.3649731559999996</v>
          </cell>
          <cell r="J25">
            <v>5.2695198666551688</v>
          </cell>
          <cell r="K25">
            <v>6.2981784696932053</v>
          </cell>
          <cell r="L25">
            <v>7.6112275624581436</v>
          </cell>
          <cell r="N25" t="str">
            <v>PERFORMANCE RATIOS</v>
          </cell>
        </row>
        <row r="26">
          <cell r="B26" t="str">
            <v>Other Expenses</v>
          </cell>
          <cell r="C26">
            <v>90.402039000000002</v>
          </cell>
          <cell r="D26">
            <v>91.705391000000006</v>
          </cell>
          <cell r="E26">
            <v>102.241602</v>
          </cell>
          <cell r="F26">
            <v>119.61654499999995</v>
          </cell>
          <cell r="G26">
            <v>135.650407</v>
          </cell>
          <cell r="H26">
            <v>149.20329899999996</v>
          </cell>
          <cell r="I26">
            <v>169.20190403999999</v>
          </cell>
          <cell r="J26">
            <v>181.58327820243341</v>
          </cell>
          <cell r="K26">
            <v>189.39679184728826</v>
          </cell>
          <cell r="L26">
            <v>204.83751875790622</v>
          </cell>
          <cell r="N26" t="str">
            <v>Won billions, Year ending Dec 31</v>
          </cell>
          <cell r="O26">
            <v>2000</v>
          </cell>
          <cell r="P26">
            <v>2001</v>
          </cell>
          <cell r="Q26">
            <v>2002</v>
          </cell>
          <cell r="R26">
            <v>2003</v>
          </cell>
          <cell r="S26">
            <v>2004</v>
          </cell>
          <cell r="T26">
            <v>2005</v>
          </cell>
          <cell r="U26">
            <v>2006</v>
          </cell>
          <cell r="V26" t="str">
            <v>2007E</v>
          </cell>
          <cell r="W26" t="str">
            <v>2008E</v>
          </cell>
          <cell r="X26" t="str">
            <v>2009E</v>
          </cell>
        </row>
        <row r="27">
          <cell r="B27" t="str">
            <v>Total Non-interest Expense</v>
          </cell>
          <cell r="C27">
            <v>199.39951100000002</v>
          </cell>
          <cell r="D27">
            <v>192.40019100000001</v>
          </cell>
          <cell r="E27">
            <v>236.817441</v>
          </cell>
          <cell r="F27">
            <v>261.90387599999997</v>
          </cell>
          <cell r="G27">
            <v>296.497388</v>
          </cell>
          <cell r="H27">
            <v>321.24541499999992</v>
          </cell>
          <cell r="I27">
            <v>361.29999999999995</v>
          </cell>
          <cell r="J27">
            <v>389.94568410594457</v>
          </cell>
          <cell r="K27">
            <v>415.05027700849246</v>
          </cell>
          <cell r="L27">
            <v>449.04028179229158</v>
          </cell>
          <cell r="N27" t="str">
            <v>Growth (%)</v>
          </cell>
        </row>
        <row r="28">
          <cell r="N28" t="str">
            <v>Net Interest Income</v>
          </cell>
          <cell r="O28">
            <v>19.194092588123702</v>
          </cell>
          <cell r="P28">
            <v>0.14244527663842543</v>
          </cell>
          <cell r="Q28">
            <v>46.390935166486848</v>
          </cell>
          <cell r="R28">
            <v>14.965388144896163</v>
          </cell>
          <cell r="S28">
            <v>8.3919397970151124</v>
          </cell>
          <cell r="T28">
            <v>7.0770026219432625</v>
          </cell>
          <cell r="U28">
            <v>4.9744678274129317</v>
          </cell>
          <cell r="V28">
            <v>-3.1843212101089091</v>
          </cell>
          <cell r="W28">
            <v>6.5425453915973986</v>
          </cell>
          <cell r="X28">
            <v>10.164178368633326</v>
          </cell>
        </row>
        <row r="29">
          <cell r="B29" t="str">
            <v>Pre-tax Operating Profit</v>
          </cell>
          <cell r="C29">
            <v>64.883817999999962</v>
          </cell>
          <cell r="D29">
            <v>155.41013299999997</v>
          </cell>
          <cell r="E29">
            <v>137.95983000000004</v>
          </cell>
          <cell r="F29">
            <v>141.18718599999988</v>
          </cell>
          <cell r="G29">
            <v>162.21586499999984</v>
          </cell>
          <cell r="H29">
            <v>232.95862400000016</v>
          </cell>
          <cell r="I29">
            <v>332.76172167099992</v>
          </cell>
          <cell r="J29">
            <v>386.6356615199079</v>
          </cell>
          <cell r="K29">
            <v>374.20934625988707</v>
          </cell>
          <cell r="L29">
            <v>382.30870493582552</v>
          </cell>
          <cell r="N29" t="str">
            <v>Non-interest Income</v>
          </cell>
          <cell r="O29">
            <v>21.880539673415122</v>
          </cell>
          <cell r="P29">
            <v>23.731791753191224</v>
          </cell>
          <cell r="Q29">
            <v>-64.272428472715518</v>
          </cell>
          <cell r="R29">
            <v>23.418974886596743</v>
          </cell>
          <cell r="S29">
            <v>6.979675540099417</v>
          </cell>
          <cell r="T29">
            <v>-21.372858686140273</v>
          </cell>
          <cell r="U29">
            <v>23.043813285353099</v>
          </cell>
          <cell r="V29">
            <v>261.45985768483234</v>
          </cell>
          <cell r="W29">
            <v>-16.103824925184295</v>
          </cell>
          <cell r="X29">
            <v>1.9192939071285942</v>
          </cell>
        </row>
        <row r="30">
          <cell r="B30" t="str">
            <v>Associate Profit/Loss</v>
          </cell>
          <cell r="C30">
            <v>-49.278655000000001</v>
          </cell>
          <cell r="D30">
            <v>-124.727327</v>
          </cell>
          <cell r="E30">
            <v>-6.7602659999999659</v>
          </cell>
          <cell r="F30">
            <v>-27.030004999999996</v>
          </cell>
          <cell r="G30">
            <v>8.7279590000001619</v>
          </cell>
          <cell r="H30">
            <v>10.438885999999876</v>
          </cell>
          <cell r="I30">
            <v>1.8062432330000284</v>
          </cell>
          <cell r="J30">
            <v>9.8666032890097899</v>
          </cell>
          <cell r="K30">
            <v>5.0596070528982828</v>
          </cell>
          <cell r="L30">
            <v>5.5138680725025155</v>
          </cell>
          <cell r="N30" t="str">
            <v>Non-interest Expense</v>
          </cell>
          <cell r="O30">
            <v>-1.5725118144990224</v>
          </cell>
          <cell r="P30">
            <v>-3.5101991799769361</v>
          </cell>
          <cell r="Q30">
            <v>23.085865855507382</v>
          </cell>
          <cell r="R30">
            <v>10.593153483150752</v>
          </cell>
          <cell r="S30">
            <v>13.208476532817738</v>
          </cell>
          <cell r="T30">
            <v>8.3467942726024766</v>
          </cell>
          <cell r="U30">
            <v>12.468531262928707</v>
          </cell>
          <cell r="V30">
            <v>7.9285037658302304</v>
          </cell>
          <cell r="W30">
            <v>6.4379717293465921</v>
          </cell>
          <cell r="X30">
            <v>8.1893704610402231</v>
          </cell>
        </row>
        <row r="31">
          <cell r="N31" t="str">
            <v>Recurrent Net Profit After Tax (FD)</v>
          </cell>
          <cell r="O31">
            <v>145.97713062876463</v>
          </cell>
          <cell r="P31">
            <v>139.52063517593874</v>
          </cell>
          <cell r="Q31">
            <v>-11.228549041908298</v>
          </cell>
          <cell r="R31">
            <v>-1.5934519963194727</v>
          </cell>
          <cell r="S31">
            <v>-14.708384897943461</v>
          </cell>
          <cell r="T31">
            <v>44.874840425669625</v>
          </cell>
          <cell r="U31">
            <v>42.610435609727901</v>
          </cell>
          <cell r="V31">
            <v>16.816410990975328</v>
          </cell>
          <cell r="W31">
            <v>-2.9218449036519822</v>
          </cell>
          <cell r="X31">
            <v>2.1643924067875853</v>
          </cell>
        </row>
        <row r="32">
          <cell r="B32" t="str">
            <v>Profit Before Tax</v>
          </cell>
          <cell r="C32">
            <v>15.605162999999962</v>
          </cell>
          <cell r="D32">
            <v>30.682805999999971</v>
          </cell>
          <cell r="E32">
            <v>131.19956400000007</v>
          </cell>
          <cell r="F32">
            <v>114.15718099999989</v>
          </cell>
          <cell r="G32">
            <v>170.94382400000001</v>
          </cell>
          <cell r="H32">
            <v>243.39751000000004</v>
          </cell>
          <cell r="I32">
            <v>334.56796490399995</v>
          </cell>
          <cell r="J32">
            <v>396.50226480891769</v>
          </cell>
          <cell r="K32">
            <v>379.26895331278536</v>
          </cell>
          <cell r="L32">
            <v>387.82257300832805</v>
          </cell>
          <cell r="N32" t="str">
            <v>Net Profit</v>
          </cell>
          <cell r="O32">
            <v>-49.275592820892655</v>
          </cell>
          <cell r="P32">
            <v>96.61958032735734</v>
          </cell>
          <cell r="Q32">
            <v>327.5996269702328</v>
          </cell>
          <cell r="R32">
            <v>-16.333382877003487</v>
          </cell>
          <cell r="S32">
            <v>11.162542960894672</v>
          </cell>
          <cell r="T32">
            <v>43.638288281194917</v>
          </cell>
          <cell r="U32">
            <v>37.235023144900211</v>
          </cell>
          <cell r="V32">
            <v>19.15070887583985</v>
          </cell>
          <cell r="W32">
            <v>-4.0576363289669848</v>
          </cell>
          <cell r="X32">
            <v>2.2552912968039518</v>
          </cell>
        </row>
        <row r="33">
          <cell r="B33" t="str">
            <v>Effective Tax</v>
          </cell>
          <cell r="C33">
            <v>0</v>
          </cell>
          <cell r="D33">
            <v>0</v>
          </cell>
          <cell r="E33">
            <v>-2.8421709430404007E-14</v>
          </cell>
          <cell r="F33">
            <v>4.3869441210790487</v>
          </cell>
          <cell r="G33">
            <v>48.920437271193769</v>
          </cell>
          <cell r="H33">
            <v>68.125206000000034</v>
          </cell>
          <cell r="I33">
            <v>94.032977943000049</v>
          </cell>
          <cell r="J33">
            <v>109.90312275047734</v>
          </cell>
          <cell r="K33">
            <v>104.29896216101602</v>
          </cell>
          <cell r="L33">
            <v>106.65120757729024</v>
          </cell>
        </row>
        <row r="34">
          <cell r="B34" t="str">
            <v xml:space="preserve">Minority Interests </v>
          </cell>
          <cell r="C34">
            <v>0</v>
          </cell>
          <cell r="D34">
            <v>0</v>
          </cell>
          <cell r="E34">
            <v>0</v>
          </cell>
          <cell r="F34">
            <v>0</v>
          </cell>
          <cell r="G34">
            <v>0</v>
          </cell>
          <cell r="H34">
            <v>0</v>
          </cell>
          <cell r="I34">
            <v>0</v>
          </cell>
          <cell r="J34">
            <v>0</v>
          </cell>
          <cell r="K34">
            <v>0</v>
          </cell>
          <cell r="L34">
            <v>0</v>
          </cell>
          <cell r="N34" t="str">
            <v>Gross Customer Loans</v>
          </cell>
          <cell r="O34">
            <v>16.874829523661859</v>
          </cell>
          <cell r="P34">
            <v>20.584814639195592</v>
          </cell>
          <cell r="Q34">
            <v>8.8731818019098121</v>
          </cell>
          <cell r="R34">
            <v>14.302398892121237</v>
          </cell>
          <cell r="S34">
            <v>11.831625407317304</v>
          </cell>
          <cell r="T34">
            <v>5.5445705283399871</v>
          </cell>
          <cell r="U34">
            <v>16.873281626857949</v>
          </cell>
          <cell r="V34">
            <v>13.046403006933804</v>
          </cell>
          <cell r="W34">
            <v>11.364094532789881</v>
          </cell>
          <cell r="X34">
            <v>12.402616335753702</v>
          </cell>
        </row>
        <row r="35">
          <cell r="B35" t="str">
            <v>Preference Dividend</v>
          </cell>
          <cell r="C35">
            <v>0</v>
          </cell>
          <cell r="D35">
            <v>0</v>
          </cell>
          <cell r="E35">
            <v>0</v>
          </cell>
          <cell r="F35">
            <v>0</v>
          </cell>
          <cell r="G35">
            <v>0</v>
          </cell>
          <cell r="H35">
            <v>0</v>
          </cell>
          <cell r="I35">
            <v>0</v>
          </cell>
          <cell r="J35">
            <v>0</v>
          </cell>
          <cell r="K35">
            <v>0</v>
          </cell>
          <cell r="L35">
            <v>0</v>
          </cell>
          <cell r="N35" t="str">
            <v>Total Deposits</v>
          </cell>
          <cell r="O35">
            <v>20.305498208291262</v>
          </cell>
          <cell r="P35">
            <v>15.389922871921913</v>
          </cell>
          <cell r="Q35">
            <v>12.258937954969706</v>
          </cell>
          <cell r="R35">
            <v>7.7654261897086796</v>
          </cell>
          <cell r="S35">
            <v>4.8546454824977658</v>
          </cell>
          <cell r="T35">
            <v>9.18769091004914</v>
          </cell>
          <cell r="U35">
            <v>5.172830838689757</v>
          </cell>
          <cell r="V35">
            <v>4.9417379524641092</v>
          </cell>
          <cell r="W35">
            <v>6.1302533287015626</v>
          </cell>
          <cell r="X35">
            <v>8.4709729103287437</v>
          </cell>
        </row>
        <row r="36">
          <cell r="B36" t="str">
            <v>Net Profit</v>
          </cell>
          <cell r="C36">
            <v>15.605162999999962</v>
          </cell>
          <cell r="D36">
            <v>30.682805999999971</v>
          </cell>
          <cell r="E36">
            <v>131.19956400000009</v>
          </cell>
          <cell r="F36">
            <v>109.77023687892084</v>
          </cell>
          <cell r="G36">
            <v>122.02338672880623</v>
          </cell>
          <cell r="H36">
            <v>175.27230400000002</v>
          </cell>
          <cell r="I36">
            <v>240.5349869609999</v>
          </cell>
          <cell r="J36">
            <v>286.59914205844035</v>
          </cell>
          <cell r="K36">
            <v>274.96999115176936</v>
          </cell>
          <cell r="L36">
            <v>281.17136543103783</v>
          </cell>
          <cell r="N36" t="str">
            <v>Avg Earning Assets</v>
          </cell>
          <cell r="O36">
            <v>15.97959103957065</v>
          </cell>
          <cell r="P36">
            <v>15.127231430001586</v>
          </cell>
          <cell r="Q36">
            <v>-100</v>
          </cell>
          <cell r="R36" t="e">
            <v>#DIV/0!</v>
          </cell>
          <cell r="T36">
            <v>7.1403802823402529</v>
          </cell>
          <cell r="U36">
            <v>5.8860196896747707</v>
          </cell>
          <cell r="V36">
            <v>8.5141519773088703</v>
          </cell>
          <cell r="W36">
            <v>7.5270292072731726</v>
          </cell>
          <cell r="X36">
            <v>10.015494164378612</v>
          </cell>
        </row>
        <row r="37">
          <cell r="B37" t="str">
            <v>EPS - Reported (Won)</v>
          </cell>
          <cell r="C37">
            <v>129.58946188340775</v>
          </cell>
          <cell r="D37">
            <v>254.79825610363704</v>
          </cell>
          <cell r="E37">
            <v>992.99575402081427</v>
          </cell>
          <cell r="F37">
            <v>830.8059555642069</v>
          </cell>
          <cell r="G37">
            <v>923.5450272757331</v>
          </cell>
          <cell r="H37">
            <v>1326.5642686849574</v>
          </cell>
          <cell r="I37">
            <v>1820.5107811617777</v>
          </cell>
          <cell r="J37">
            <v>2169.1515009153482</v>
          </cell>
          <cell r="K37">
            <v>2081.1352215838742</v>
          </cell>
          <cell r="L37">
            <v>2128.0708831109769</v>
          </cell>
          <cell r="N37" t="str">
            <v>Total Interest-bearing Liab</v>
          </cell>
          <cell r="O37" t="e">
            <v>#DIV/0!</v>
          </cell>
          <cell r="P37" t="e">
            <v>#DIV/0!</v>
          </cell>
          <cell r="Q37" t="e">
            <v>#DIV/0!</v>
          </cell>
          <cell r="R37" t="e">
            <v>#DIV/0!</v>
          </cell>
          <cell r="T37">
            <v>6.8990393616055412</v>
          </cell>
          <cell r="U37">
            <v>5.858411532772978</v>
          </cell>
          <cell r="V37">
            <v>8.0595637119371908</v>
          </cell>
          <cell r="W37">
            <v>9.5304438500316557</v>
          </cell>
          <cell r="X37">
            <v>9.6424978769059635</v>
          </cell>
        </row>
        <row r="38">
          <cell r="B38" t="str">
            <v>EPS - ModelWare (Won)</v>
          </cell>
          <cell r="E38">
            <v>1013.2494304635768</v>
          </cell>
          <cell r="F38">
            <v>859.25791393695999</v>
          </cell>
          <cell r="G38">
            <v>954.53668668916737</v>
          </cell>
          <cell r="H38">
            <v>1365.079803216651</v>
          </cell>
          <cell r="I38">
            <v>1878.9637543916738</v>
          </cell>
          <cell r="J38">
            <v>2237.9490153293173</v>
          </cell>
          <cell r="K38">
            <v>2143.2715563568795</v>
          </cell>
          <cell r="L38">
            <v>2183.7078518344224</v>
          </cell>
          <cell r="N38" t="str">
            <v>Risk-weighted Assets</v>
          </cell>
          <cell r="O38" t="e">
            <v>#DIV/0!</v>
          </cell>
          <cell r="P38" t="e">
            <v>#DIV/0!</v>
          </cell>
          <cell r="Q38" t="e">
            <v>#DIV/0!</v>
          </cell>
          <cell r="R38">
            <v>7.5781305462630622</v>
          </cell>
          <cell r="S38">
            <v>6.3495368218855486</v>
          </cell>
          <cell r="T38">
            <v>14.964237479913445</v>
          </cell>
          <cell r="U38">
            <v>15.931281422262543</v>
          </cell>
          <cell r="V38">
            <v>7.1373663922500885</v>
          </cell>
          <cell r="W38">
            <v>19.287010129767346</v>
          </cell>
          <cell r="X38">
            <v>9.5031871878697327</v>
          </cell>
        </row>
        <row r="40">
          <cell r="B40" t="str">
            <v>Selective Balance Sheet Data</v>
          </cell>
          <cell r="N40" t="str">
            <v>Revenue Breakdown (%)</v>
          </cell>
        </row>
        <row r="41">
          <cell r="B41" t="str">
            <v>Won billions, Year ending Dec 31</v>
          </cell>
          <cell r="C41">
            <v>2000</v>
          </cell>
          <cell r="D41">
            <v>2001</v>
          </cell>
          <cell r="E41">
            <v>2002</v>
          </cell>
          <cell r="F41">
            <v>2003</v>
          </cell>
          <cell r="G41">
            <v>2004</v>
          </cell>
          <cell r="H41">
            <v>2005</v>
          </cell>
          <cell r="I41">
            <v>2006</v>
          </cell>
          <cell r="J41" t="str">
            <v>2007E</v>
          </cell>
          <cell r="K41" t="str">
            <v>2008E</v>
          </cell>
          <cell r="L41" t="str">
            <v>2009E</v>
          </cell>
          <cell r="N41" t="str">
            <v>NII/Operating Income</v>
          </cell>
          <cell r="O41">
            <v>82.793797599353738</v>
          </cell>
          <cell r="P41">
            <v>79.568827422204222</v>
          </cell>
          <cell r="Q41">
            <v>94.102846825848445</v>
          </cell>
          <cell r="R41">
            <v>93.696553276669732</v>
          </cell>
          <cell r="S41">
            <v>93.773568664997782</v>
          </cell>
          <cell r="T41">
            <v>95.35099238999301</v>
          </cell>
          <cell r="U41">
            <v>94.594015435915082</v>
          </cell>
          <cell r="V41">
            <v>82.415353429484853</v>
          </cell>
          <cell r="W41">
            <v>85.615436525819405</v>
          </cell>
          <cell r="X41">
            <v>86.547174411778343</v>
          </cell>
        </row>
        <row r="42">
          <cell r="B42" t="str">
            <v>Total Assets</v>
          </cell>
          <cell r="C42">
            <v>13028.76828</v>
          </cell>
          <cell r="D42">
            <v>14551.469909000001</v>
          </cell>
          <cell r="E42">
            <v>16020.457914000001</v>
          </cell>
          <cell r="F42">
            <v>16909.019744999998</v>
          </cell>
          <cell r="G42">
            <v>18584.948699</v>
          </cell>
          <cell r="H42">
            <v>19623.959286000001</v>
          </cell>
          <cell r="I42">
            <v>21857.747097563002</v>
          </cell>
          <cell r="J42">
            <v>22892.646994126611</v>
          </cell>
          <cell r="K42">
            <v>25058.178523756134</v>
          </cell>
          <cell r="L42">
            <v>27439.504134739251</v>
          </cell>
          <cell r="N42" t="str">
            <v>Non-interest Inc/Opg Income</v>
          </cell>
          <cell r="O42">
            <v>17.206202400646266</v>
          </cell>
          <cell r="P42">
            <v>20.43117257779577</v>
          </cell>
          <cell r="Q42">
            <v>5.897153174151561</v>
          </cell>
          <cell r="R42">
            <v>6.3034467233302722</v>
          </cell>
          <cell r="S42">
            <v>6.2264313350022187</v>
          </cell>
          <cell r="T42">
            <v>4.6490076100069953</v>
          </cell>
          <cell r="U42">
            <v>5.4059845640849185</v>
          </cell>
          <cell r="V42">
            <v>17.584646570515144</v>
          </cell>
          <cell r="W42">
            <v>14.384563474180595</v>
          </cell>
          <cell r="X42">
            <v>13.452825588221653</v>
          </cell>
        </row>
        <row r="43">
          <cell r="B43" t="str">
            <v>RWA</v>
          </cell>
          <cell r="C43">
            <v>0</v>
          </cell>
          <cell r="D43">
            <v>0</v>
          </cell>
          <cell r="E43">
            <v>9000.9930000000004</v>
          </cell>
          <cell r="F43">
            <v>9683.1</v>
          </cell>
          <cell r="G43">
            <v>10297.932000000001</v>
          </cell>
          <cell r="H43">
            <v>11838.939</v>
          </cell>
          <cell r="I43">
            <v>13725.033689499996</v>
          </cell>
          <cell r="J43">
            <v>14704.63963137937</v>
          </cell>
          <cell r="K43">
            <v>17540.724966629292</v>
          </cell>
          <cell r="L43">
            <v>19207.652894317474</v>
          </cell>
          <cell r="N43" t="str">
            <v>Forex Income/Operating Income</v>
          </cell>
          <cell r="O43">
            <v>2.5353030286027392</v>
          </cell>
          <cell r="P43">
            <v>1.9389354982686833</v>
          </cell>
          <cell r="Q43">
            <v>1.8073202341508645</v>
          </cell>
          <cell r="R43">
            <v>2.2195005616987196</v>
          </cell>
          <cell r="S43">
            <v>1.0704776270522924</v>
          </cell>
          <cell r="T43">
            <v>0.65028340541735008</v>
          </cell>
          <cell r="U43">
            <v>2.0822408732121653</v>
          </cell>
          <cell r="V43">
            <v>-0.46648896481877328</v>
          </cell>
          <cell r="W43">
            <v>0</v>
          </cell>
          <cell r="X43">
            <v>0</v>
          </cell>
        </row>
        <row r="44">
          <cell r="B44" t="str">
            <v>Total Liquid Assets</v>
          </cell>
          <cell r="C44">
            <v>5962.1525149999998</v>
          </cell>
          <cell r="D44">
            <v>6459.7277969999996</v>
          </cell>
          <cell r="E44">
            <v>6806.4684619999998</v>
          </cell>
          <cell r="F44">
            <v>6392.2568350000001</v>
          </cell>
          <cell r="G44">
            <v>6306.6910909999997</v>
          </cell>
          <cell r="H44">
            <v>6990.019558</v>
          </cell>
          <cell r="I44">
            <v>6916.715082701</v>
          </cell>
          <cell r="J44">
            <v>6057.3941127551834</v>
          </cell>
          <cell r="K44">
            <v>6395.1286551307076</v>
          </cell>
          <cell r="L44">
            <v>6536.4936267440326</v>
          </cell>
        </row>
        <row r="45">
          <cell r="B45" t="str">
            <v>Gross Customer Loans</v>
          </cell>
          <cell r="C45">
            <v>6882.8090649999995</v>
          </cell>
          <cell r="D45">
            <v>8299.6225530000011</v>
          </cell>
          <cell r="E45">
            <v>9036.0631510000003</v>
          </cell>
          <cell r="F45">
            <v>10328.436947</v>
          </cell>
          <cell r="G45">
            <v>11550.458917</v>
          </cell>
          <cell r="H45">
            <v>12190.882258</v>
          </cell>
          <cell r="I45">
            <v>14247.884154190999</v>
          </cell>
          <cell r="J45">
            <v>16106.72054090782</v>
          </cell>
          <cell r="K45">
            <v>17937.103489308869</v>
          </cell>
          <cell r="L45">
            <v>20161.773616834937</v>
          </cell>
          <cell r="N45" t="str">
            <v>Efficiency (%)</v>
          </cell>
        </row>
        <row r="46">
          <cell r="B46" t="str">
            <v>Total Customer Deposits</v>
          </cell>
          <cell r="C46">
            <v>8873.0444650000009</v>
          </cell>
          <cell r="D46">
            <v>10182.091259999999</v>
          </cell>
          <cell r="E46">
            <v>11062.237114</v>
          </cell>
          <cell r="F46">
            <v>12168.536905000001</v>
          </cell>
          <cell r="G46">
            <v>12489.438663999999</v>
          </cell>
          <cell r="H46">
            <v>13424.226704999999</v>
          </cell>
          <cell r="I46">
            <v>13225.490707831001</v>
          </cell>
          <cell r="J46">
            <v>12431.96126536114</v>
          </cell>
          <cell r="K46">
            <v>12183.322040053918</v>
          </cell>
          <cell r="L46">
            <v>12426.988480854996</v>
          </cell>
          <cell r="N46" t="str">
            <v>Cost/Income</v>
          </cell>
          <cell r="O46">
            <v>48.433895852877576</v>
          </cell>
          <cell r="P46">
            <v>44.849517628182141</v>
          </cell>
          <cell r="Q46">
            <v>44.597609483168519</v>
          </cell>
          <cell r="R46">
            <v>37.9</v>
          </cell>
          <cell r="S46">
            <v>44.651119455668166</v>
          </cell>
          <cell r="T46">
            <v>45.940634137583992</v>
          </cell>
          <cell r="U46">
            <v>48.829555575097032</v>
          </cell>
          <cell r="V46">
            <v>47.426131082857722</v>
          </cell>
          <cell r="W46">
            <v>49.219270113564278</v>
          </cell>
          <cell r="X46">
            <v>48.863006066283077</v>
          </cell>
        </row>
        <row r="47">
          <cell r="B47" t="str">
            <v>Certificates of Deposits</v>
          </cell>
          <cell r="C47">
            <v>136.52538000000001</v>
          </cell>
          <cell r="D47">
            <v>225.59719999999999</v>
          </cell>
          <cell r="E47">
            <v>603.66183199999978</v>
          </cell>
          <cell r="F47">
            <v>432.89160899999843</v>
          </cell>
          <cell r="G47">
            <v>700.82924800000001</v>
          </cell>
          <cell r="H47">
            <v>976.23114500000156</v>
          </cell>
          <cell r="I47">
            <v>1899.911154224</v>
          </cell>
          <cell r="J47">
            <v>3419.8400776031999</v>
          </cell>
          <cell r="K47">
            <v>4616.7841047643205</v>
          </cell>
          <cell r="L47">
            <v>5770.9801309554005</v>
          </cell>
          <cell r="N47" t="str">
            <v>Expenses/Avg Assets</v>
          </cell>
          <cell r="O47">
            <v>1.639892993456421</v>
          </cell>
          <cell r="P47">
            <v>1.3952032588082299</v>
          </cell>
          <cell r="Q47">
            <v>1.5492476782693207</v>
          </cell>
          <cell r="R47">
            <v>1.5906955993176448</v>
          </cell>
          <cell r="S47">
            <v>1.6706916752224743</v>
          </cell>
          <cell r="T47">
            <v>1.6815210480556735</v>
          </cell>
          <cell r="U47">
            <v>1.7419726983225741</v>
          </cell>
          <cell r="V47">
            <v>1.7427586595415461</v>
          </cell>
          <cell r="W47">
            <v>1.7311496622876863</v>
          </cell>
          <cell r="X47">
            <v>1.710705155171744</v>
          </cell>
        </row>
        <row r="48">
          <cell r="B48" t="str">
            <v>Other Interest Bearing Liability</v>
          </cell>
          <cell r="C48">
            <v>2751.1073500000002</v>
          </cell>
          <cell r="D48">
            <v>2682.7817380000015</v>
          </cell>
          <cell r="E48">
            <v>2820.9569869999996</v>
          </cell>
          <cell r="F48">
            <v>2785.8668209999996</v>
          </cell>
          <cell r="G48">
            <v>3410.4945430000007</v>
          </cell>
          <cell r="H48">
            <v>3392.2359759999999</v>
          </cell>
          <cell r="I48">
            <v>4154.7991992440002</v>
          </cell>
          <cell r="J48">
            <v>4262.1623079020028</v>
          </cell>
          <cell r="K48">
            <v>5211.1648079020051</v>
          </cell>
          <cell r="L48">
            <v>5922.2201079020015</v>
          </cell>
        </row>
        <row r="49">
          <cell r="B49" t="str">
            <v>EOP Shareholders' Equity</v>
          </cell>
          <cell r="C49">
            <v>532.42887800000005</v>
          </cell>
          <cell r="D49">
            <v>560.42844000000002</v>
          </cell>
          <cell r="E49">
            <v>712.17310000000009</v>
          </cell>
          <cell r="F49">
            <v>837.74458000000004</v>
          </cell>
          <cell r="G49">
            <v>949.07193300000006</v>
          </cell>
          <cell r="H49">
            <v>1076.9532260000001</v>
          </cell>
          <cell r="I49">
            <v>1261.7219761820002</v>
          </cell>
          <cell r="J49">
            <v>1465.2616775994404</v>
          </cell>
          <cell r="K49">
            <v>1654.3504187512096</v>
          </cell>
          <cell r="L49">
            <v>1843.0343268346421</v>
          </cell>
          <cell r="N49" t="str">
            <v>Rev Per Employee</v>
          </cell>
          <cell r="O49">
            <v>2.0775844771901492E-2</v>
          </cell>
          <cell r="P49">
            <v>2.2419741670804044E-2</v>
          </cell>
          <cell r="Q49">
            <v>5.1016887255608399E-2</v>
          </cell>
          <cell r="R49">
            <v>0.29669686039196702</v>
          </cell>
          <cell r="S49">
            <v>0.32455095454545441</v>
          </cell>
          <cell r="T49">
            <v>0.35334110106114203</v>
          </cell>
          <cell r="U49">
            <v>0.38169756083105488</v>
          </cell>
          <cell r="V49">
            <v>0.42035630917730871</v>
          </cell>
          <cell r="W49">
            <v>0.427896724508951</v>
          </cell>
          <cell r="X49">
            <v>0.46286631176354937</v>
          </cell>
        </row>
        <row r="50">
          <cell r="N50" t="str">
            <v>Exp Per Employee</v>
          </cell>
          <cell r="O50">
            <v>1.0062551019378281E-2</v>
          </cell>
          <cell r="P50">
            <v>1.0055145992840159E-2</v>
          </cell>
          <cell r="Q50">
            <v>2.2752312148724599E-2</v>
          </cell>
          <cell r="R50">
            <v>0.12673790273409144</v>
          </cell>
          <cell r="S50">
            <v>0.14491563440860214</v>
          </cell>
          <cell r="T50">
            <v>0.16232714249621016</v>
          </cell>
          <cell r="U50">
            <v>0.18638122259478976</v>
          </cell>
          <cell r="V50">
            <v>0.19935873420549313</v>
          </cell>
          <cell r="W50">
            <v>0.2106076446431546</v>
          </cell>
          <cell r="X50">
            <v>0.22617039399580385</v>
          </cell>
        </row>
        <row r="51">
          <cell r="B51" t="str">
            <v>Avg Loans</v>
          </cell>
          <cell r="C51">
            <v>6385.9260744999992</v>
          </cell>
          <cell r="D51">
            <v>7591.2158090000003</v>
          </cell>
          <cell r="E51">
            <v>8667.8428520000016</v>
          </cell>
          <cell r="F51">
            <v>9682.2500490000002</v>
          </cell>
          <cell r="G51">
            <v>10939.447931999999</v>
          </cell>
          <cell r="H51">
            <v>11870.670587500001</v>
          </cell>
          <cell r="I51">
            <v>13219.383206095499</v>
          </cell>
          <cell r="J51">
            <v>15177.302347549408</v>
          </cell>
          <cell r="K51">
            <v>17021.912015108344</v>
          </cell>
          <cell r="L51">
            <v>19049.438553071901</v>
          </cell>
          <cell r="N51" t="str">
            <v>Rev Per Branch</v>
          </cell>
          <cell r="O51">
            <v>0.36066065703022337</v>
          </cell>
          <cell r="P51">
            <v>0.37597769237510953</v>
          </cell>
          <cell r="Q51">
            <v>0.82776191893998441</v>
          </cell>
          <cell r="R51">
            <v>3.9556391096774184</v>
          </cell>
          <cell r="S51">
            <v>4.2160714476190462</v>
          </cell>
          <cell r="T51">
            <v>4.3978744591194969</v>
          </cell>
          <cell r="U51">
            <v>4.3912209001246287</v>
          </cell>
          <cell r="V51">
            <v>4.5805957701995315</v>
          </cell>
          <cell r="W51">
            <v>4.5829774029875745</v>
          </cell>
          <cell r="X51">
            <v>4.9674487139662293</v>
          </cell>
        </row>
        <row r="52">
          <cell r="B52" t="str">
            <v>Avg Total Assets</v>
          </cell>
          <cell r="C52">
            <v>12159.300137</v>
          </cell>
          <cell r="D52">
            <v>13790.119094500002</v>
          </cell>
          <cell r="E52">
            <v>15285.963911500001</v>
          </cell>
          <cell r="F52">
            <v>16464.738829499998</v>
          </cell>
          <cell r="G52">
            <v>17746.984221999999</v>
          </cell>
          <cell r="H52">
            <v>19104.453992499999</v>
          </cell>
          <cell r="I52">
            <v>20740.853191781502</v>
          </cell>
          <cell r="J52">
            <v>22375.197045844805</v>
          </cell>
          <cell r="K52">
            <v>23975.412758941373</v>
          </cell>
          <cell r="L52">
            <v>26248.841329247691</v>
          </cell>
          <cell r="N52" t="str">
            <v>Exp Per Branch</v>
          </cell>
          <cell r="O52">
            <v>0.1746820070083224</v>
          </cell>
          <cell r="P52">
            <v>0.1686241814198072</v>
          </cell>
          <cell r="Q52">
            <v>0.36916202805923615</v>
          </cell>
          <cell r="R52">
            <v>1.6897024258064515</v>
          </cell>
          <cell r="S52">
            <v>1.8825230984126984</v>
          </cell>
          <cell r="T52">
            <v>2.0204114150943391</v>
          </cell>
          <cell r="U52">
            <v>2.1442136498516318</v>
          </cell>
          <cell r="V52">
            <v>2.1723993543506661</v>
          </cell>
          <cell r="W52">
            <v>2.2557080272200678</v>
          </cell>
          <cell r="X52">
            <v>2.4272447664448196</v>
          </cell>
        </row>
        <row r="53">
          <cell r="B53" t="str">
            <v>Avg Total Deposits</v>
          </cell>
          <cell r="C53">
            <v>8296.3607030000003</v>
          </cell>
          <cell r="D53">
            <v>9758.2770999999993</v>
          </cell>
          <cell r="E53">
            <v>11096.3880395</v>
          </cell>
          <cell r="F53">
            <v>12192.979877</v>
          </cell>
          <cell r="G53">
            <v>12955.728714000001</v>
          </cell>
          <cell r="H53">
            <v>13872.0239815</v>
          </cell>
          <cell r="I53">
            <v>14855.840814868501</v>
          </cell>
          <cell r="J53">
            <v>15606.71015915192</v>
          </cell>
          <cell r="K53">
            <v>16472.933281046091</v>
          </cell>
          <cell r="L53">
            <v>17681.292004386269</v>
          </cell>
          <cell r="N53" t="str">
            <v>Net Profit Per Branch</v>
          </cell>
          <cell r="O53">
            <v>1.3670751642575526E-2</v>
          </cell>
          <cell r="P53">
            <v>2.6891153374233104E-2</v>
          </cell>
          <cell r="Q53">
            <v>0.2045199750584569</v>
          </cell>
          <cell r="R53">
            <v>0.70819507663819892</v>
          </cell>
          <cell r="S53">
            <v>0.77475166177019827</v>
          </cell>
          <cell r="T53">
            <v>1.1023415345911951</v>
          </cell>
          <cell r="U53">
            <v>1.4275073410148362</v>
          </cell>
          <cell r="V53">
            <v>1.5966526019968821</v>
          </cell>
          <cell r="W53">
            <v>1.4944021258248334</v>
          </cell>
          <cell r="X53">
            <v>1.5198452185461504</v>
          </cell>
        </row>
        <row r="54">
          <cell r="B54" t="str">
            <v>Avg Shareholders' Equity</v>
          </cell>
          <cell r="D54">
            <v>546.42865900000004</v>
          </cell>
          <cell r="E54">
            <v>636.30077000000006</v>
          </cell>
          <cell r="F54">
            <v>774.95884000000001</v>
          </cell>
          <cell r="G54">
            <v>893.40825650000011</v>
          </cell>
          <cell r="H54">
            <v>1013.0125795000001</v>
          </cell>
          <cell r="I54">
            <v>1169.3376010910001</v>
          </cell>
          <cell r="J54">
            <v>1363.4918268907204</v>
          </cell>
          <cell r="K54">
            <v>1559.806048175325</v>
          </cell>
          <cell r="L54">
            <v>1748.6923727929259</v>
          </cell>
        </row>
        <row r="55">
          <cell r="B55" t="str">
            <v>Avg Equity/Avg Assets (%)</v>
          </cell>
          <cell r="C55">
            <v>4.2892668214757794</v>
          </cell>
          <cell r="D55">
            <v>3.96246511908614</v>
          </cell>
          <cell r="E55">
            <v>4.1626473389832848</v>
          </cell>
          <cell r="F55">
            <v>4.7067788200290206</v>
          </cell>
          <cell r="G55">
            <v>5.0341412677455875</v>
          </cell>
          <cell r="H55">
            <v>5.3024942764534764</v>
          </cell>
          <cell r="I55">
            <v>5.6378471525672174</v>
          </cell>
          <cell r="J55">
            <v>6.09376455589216</v>
          </cell>
          <cell r="K55">
            <v>6.5058569120717724</v>
          </cell>
          <cell r="L55">
            <v>6.6619792883751057</v>
          </cell>
          <cell r="N55" t="str">
            <v>Net Interest Margin Analysis (%)</v>
          </cell>
        </row>
        <row r="56">
          <cell r="B56" t="str">
            <v>Avg EA/Avg Assets (%)</v>
          </cell>
          <cell r="C56">
            <v>89.451225140031269</v>
          </cell>
          <cell r="D56">
            <v>90.803986569588204</v>
          </cell>
          <cell r="E56">
            <v>0</v>
          </cell>
          <cell r="F56">
            <v>90.19338641143797</v>
          </cell>
          <cell r="G56">
            <v>88.907848374403102</v>
          </cell>
          <cell r="H56">
            <v>88.487763150083154</v>
          </cell>
          <cell r="I56">
            <v>86.303786948807272</v>
          </cell>
          <cell r="J56">
            <v>86.811244535412442</v>
          </cell>
          <cell r="K56">
            <v>87.1152937520839</v>
          </cell>
          <cell r="L56">
            <v>87.539530756534518</v>
          </cell>
          <cell r="N56" t="str">
            <v>Int Income/Avg EA</v>
          </cell>
          <cell r="O56">
            <v>8.8484681093292874</v>
          </cell>
          <cell r="P56">
            <v>7.7832875406960449</v>
          </cell>
          <cell r="Q56" t="e">
            <v>#DIV/0!</v>
          </cell>
          <cell r="R56">
            <v>7.073698293959942</v>
          </cell>
          <cell r="S56">
            <v>6.6093197910558992</v>
          </cell>
          <cell r="T56">
            <v>6.2739572616648784</v>
          </cell>
          <cell r="U56">
            <v>6.4903620106807249</v>
          </cell>
          <cell r="V56">
            <v>6.573786887799991</v>
          </cell>
          <cell r="W56">
            <v>6.6962604360194078</v>
          </cell>
          <cell r="X56">
            <v>6.7695379261876809</v>
          </cell>
        </row>
        <row r="57">
          <cell r="B57" t="str">
            <v>Avg Loans/Avg EA (%)</v>
          </cell>
          <cell r="C57">
            <v>58.712289344609822</v>
          </cell>
          <cell r="D57">
            <v>60.623136978697254</v>
          </cell>
          <cell r="E57" t="e">
            <v>#DIV/0!</v>
          </cell>
          <cell r="F57">
            <v>65.199873763795935</v>
          </cell>
          <cell r="G57">
            <v>69.331523279202571</v>
          </cell>
          <cell r="H57">
            <v>70.219447259833473</v>
          </cell>
          <cell r="I57">
            <v>73.850718003925863</v>
          </cell>
          <cell r="J57">
            <v>78.136100778758205</v>
          </cell>
          <cell r="K57">
            <v>81.498167424749838</v>
          </cell>
          <cell r="L57">
            <v>82.902538358273432</v>
          </cell>
          <cell r="N57" t="str">
            <v>Int Exp/Avg Int Bearing Liab.</v>
          </cell>
          <cell r="O57" t="e">
            <v>#DIV/0!</v>
          </cell>
          <cell r="P57" t="e">
            <v>#DIV/0!</v>
          </cell>
          <cell r="Q57" t="e">
            <v>#DIV/0!</v>
          </cell>
          <cell r="R57">
            <v>3.4374982223136863</v>
          </cell>
          <cell r="S57">
            <v>2.9716624752967347</v>
          </cell>
          <cell r="T57">
            <v>2.6102938971449956</v>
          </cell>
          <cell r="U57">
            <v>2.9216774300978026</v>
          </cell>
          <cell r="V57">
            <v>3.4234127499754949</v>
          </cell>
          <cell r="W57">
            <v>3.4968448793650251</v>
          </cell>
          <cell r="X57">
            <v>3.5753924944599453</v>
          </cell>
        </row>
        <row r="58">
          <cell r="N58" t="str">
            <v xml:space="preserve">Net Interest Spread </v>
          </cell>
          <cell r="O58">
            <v>0</v>
          </cell>
          <cell r="P58">
            <v>0</v>
          </cell>
          <cell r="Q58">
            <v>0</v>
          </cell>
          <cell r="R58">
            <v>3.6362000716462552</v>
          </cell>
          <cell r="S58">
            <v>3.637657315759165</v>
          </cell>
          <cell r="T58">
            <v>3.6636633645198828</v>
          </cell>
          <cell r="U58">
            <v>3.5686845805829233</v>
          </cell>
          <cell r="V58">
            <v>3.1503741378244965</v>
          </cell>
          <cell r="W58">
            <v>3.1994155566543827</v>
          </cell>
          <cell r="X58">
            <v>3.194145431727736</v>
          </cell>
        </row>
        <row r="59">
          <cell r="B59" t="str">
            <v>Asset Quality</v>
          </cell>
          <cell r="N59" t="str">
            <v>Contribution From Free Funds</v>
          </cell>
          <cell r="O59">
            <v>3.133845754144629</v>
          </cell>
          <cell r="P59">
            <v>2.7259491350720646</v>
          </cell>
          <cell r="Q59">
            <v>0</v>
          </cell>
          <cell r="R59">
            <v>-2.131221853767995E-2</v>
          </cell>
          <cell r="S59">
            <v>3.4151802864135217E-2</v>
          </cell>
          <cell r="T59">
            <v>3.5811066397547275E-2</v>
          </cell>
          <cell r="U59">
            <v>4.083432169057355E-2</v>
          </cell>
          <cell r="V59">
            <v>6.198768441845548E-2</v>
          </cell>
          <cell r="W59">
            <v>-6.5524168161568141E-4</v>
          </cell>
          <cell r="X59">
            <v>1.1454314217627104E-2</v>
          </cell>
        </row>
        <row r="60">
          <cell r="B60" t="str">
            <v>Won billions, Year ending Dec 31</v>
          </cell>
          <cell r="C60">
            <v>2000</v>
          </cell>
          <cell r="D60">
            <v>2001</v>
          </cell>
          <cell r="E60">
            <v>2002</v>
          </cell>
          <cell r="F60">
            <v>2003</v>
          </cell>
          <cell r="G60">
            <v>2004</v>
          </cell>
          <cell r="H60">
            <v>2005</v>
          </cell>
          <cell r="I60">
            <v>2006</v>
          </cell>
          <cell r="J60" t="str">
            <v>2007E</v>
          </cell>
          <cell r="K60" t="str">
            <v>2008E</v>
          </cell>
          <cell r="L60" t="str">
            <v>2009E</v>
          </cell>
          <cell r="N60" t="str">
            <v>Net Interest Margin</v>
          </cell>
          <cell r="O60">
            <v>3.133845754144629</v>
          </cell>
          <cell r="P60">
            <v>2.7259491350720646</v>
          </cell>
          <cell r="Q60">
            <v>0</v>
          </cell>
          <cell r="R60">
            <v>3.6148878531085753</v>
          </cell>
          <cell r="S60">
            <v>3.6718091186233002</v>
          </cell>
          <cell r="T60">
            <v>3.6994744309174301</v>
          </cell>
          <cell r="U60">
            <v>3.6095189022734968</v>
          </cell>
          <cell r="V60">
            <v>3.212361822242952</v>
          </cell>
          <cell r="W60">
            <v>3.198760314972767</v>
          </cell>
          <cell r="X60">
            <v>3.2055997459453631</v>
          </cell>
        </row>
        <row r="61">
          <cell r="B61" t="str">
            <v>Non-performing Loans (NPL)</v>
          </cell>
          <cell r="C61">
            <v>0</v>
          </cell>
          <cell r="D61">
            <v>0</v>
          </cell>
          <cell r="E61">
            <v>217.649</v>
          </cell>
          <cell r="F61">
            <v>236.88145500000002</v>
          </cell>
          <cell r="G61">
            <v>159.47999999999999</v>
          </cell>
          <cell r="H61">
            <v>118.245</v>
          </cell>
          <cell r="I61">
            <v>105.184</v>
          </cell>
          <cell r="J61">
            <v>139.01811632209984</v>
          </cell>
          <cell r="K61">
            <v>186.72139276253719</v>
          </cell>
          <cell r="L61">
            <v>220.80719635920269</v>
          </cell>
        </row>
        <row r="62">
          <cell r="B62" t="str">
            <v>Gross NPL Ratio (%)</v>
          </cell>
          <cell r="C62">
            <v>0</v>
          </cell>
          <cell r="D62">
            <v>0</v>
          </cell>
          <cell r="E62">
            <v>2.2786147801066434</v>
          </cell>
          <cell r="F62">
            <v>2.2881009967990198</v>
          </cell>
          <cell r="G62">
            <v>1.4617314258233165</v>
          </cell>
          <cell r="H62">
            <v>0.9701441412097328</v>
          </cell>
          <cell r="I62">
            <v>0.74036252593246721</v>
          </cell>
          <cell r="J62">
            <v>0.8435448074458306</v>
          </cell>
          <cell r="K62">
            <v>1.0207228949849638</v>
          </cell>
          <cell r="L62">
            <v>1.0776770325315848</v>
          </cell>
          <cell r="N62" t="str">
            <v>Liquidity (%)</v>
          </cell>
        </row>
        <row r="63">
          <cell r="B63" t="str">
            <v>Loan Loss Reserve (LLR)</v>
          </cell>
          <cell r="C63">
            <v>289.37106899999998</v>
          </cell>
          <cell r="D63">
            <v>0</v>
          </cell>
          <cell r="E63">
            <v>154.84034800000003</v>
          </cell>
          <cell r="F63">
            <v>213.47799999999995</v>
          </cell>
          <cell r="G63">
            <v>168.25799999999995</v>
          </cell>
          <cell r="H63">
            <v>203.67199999999997</v>
          </cell>
          <cell r="I63">
            <v>199.94499999999999</v>
          </cell>
          <cell r="J63">
            <v>247.88861801459262</v>
          </cell>
          <cell r="K63">
            <v>323.02949627916291</v>
          </cell>
          <cell r="L63">
            <v>383.04120030021824</v>
          </cell>
          <cell r="N63" t="str">
            <v>Avg Loans/Avg EA</v>
          </cell>
          <cell r="O63">
            <v>58.712289344609822</v>
          </cell>
          <cell r="P63">
            <v>60.623136978697254</v>
          </cell>
          <cell r="Q63" t="e">
            <v>#DIV/0!</v>
          </cell>
          <cell r="R63">
            <v>65.199873763795935</v>
          </cell>
          <cell r="S63">
            <v>69.331523279202571</v>
          </cell>
          <cell r="T63">
            <v>70.219447259833473</v>
          </cell>
          <cell r="U63">
            <v>73.850718003925863</v>
          </cell>
          <cell r="V63">
            <v>78.136100778758205</v>
          </cell>
          <cell r="W63">
            <v>81.498167424749838</v>
          </cell>
          <cell r="X63">
            <v>82.902538358273432</v>
          </cell>
        </row>
        <row r="64">
          <cell r="B64" t="str">
            <v>LLR/NPL (%)</v>
          </cell>
          <cell r="C64" t="str">
            <v>na</v>
          </cell>
          <cell r="D64" t="str">
            <v>na</v>
          </cell>
          <cell r="E64">
            <v>71.142228082830627</v>
          </cell>
          <cell r="F64">
            <v>90.12018268800314</v>
          </cell>
          <cell r="G64">
            <v>105.50413844996235</v>
          </cell>
          <cell r="H64">
            <v>172.24576092012344</v>
          </cell>
          <cell r="I64">
            <v>190.09069820505019</v>
          </cell>
          <cell r="J64">
            <v>178.31389503238833</v>
          </cell>
          <cell r="K64">
            <v>173.00079626653999</v>
          </cell>
          <cell r="L64">
            <v>173.47315061104169</v>
          </cell>
          <cell r="N64" t="str">
            <v>Avg Liquid Assets/AEA</v>
          </cell>
          <cell r="O64">
            <v>50.307254156280393</v>
          </cell>
          <cell r="P64">
            <v>49.600312429173265</v>
          </cell>
          <cell r="Q64" t="e">
            <v>#DIV/0!</v>
          </cell>
          <cell r="R64">
            <v>44.439836755522528</v>
          </cell>
          <cell r="S64">
            <v>40.241400170542455</v>
          </cell>
          <cell r="T64">
            <v>39.327503246948368</v>
          </cell>
          <cell r="U64">
            <v>38.845319872120569</v>
          </cell>
          <cell r="V64">
            <v>33.396788190572671</v>
          </cell>
          <cell r="W64">
            <v>29.810334599805937</v>
          </cell>
          <cell r="X64">
            <v>28.139000245887662</v>
          </cell>
        </row>
        <row r="65">
          <cell r="B65" t="str">
            <v>LLR/Total Credit (%)</v>
          </cell>
          <cell r="C65">
            <v>3.0002086490841178</v>
          </cell>
          <cell r="D65">
            <v>0</v>
          </cell>
          <cell r="E65">
            <v>0</v>
          </cell>
          <cell r="F65">
            <v>2.0620407984012981</v>
          </cell>
          <cell r="G65">
            <v>1.5421871472672413</v>
          </cell>
          <cell r="H65">
            <v>1.6710321580487015</v>
          </cell>
          <cell r="I65">
            <v>1.4073602947935728</v>
          </cell>
          <cell r="J65">
            <v>1.5041576025001209</v>
          </cell>
          <cell r="K65">
            <v>1.7658587359988664</v>
          </cell>
          <cell r="L65">
            <v>1.8694803017441208</v>
          </cell>
          <cell r="N65" t="str">
            <v>Avg Loans/Avg Deposits</v>
          </cell>
          <cell r="O65">
            <v>76.972618514414648</v>
          </cell>
          <cell r="P65">
            <v>77.792582965285959</v>
          </cell>
          <cell r="Q65">
            <v>78.114092812408288</v>
          </cell>
          <cell r="R65">
            <v>79.408398493824564</v>
          </cell>
          <cell r="S65">
            <v>84.437148797186509</v>
          </cell>
          <cell r="T65">
            <v>85.572736922391115</v>
          </cell>
          <cell r="U65">
            <v>88.984416101610691</v>
          </cell>
          <cell r="V65">
            <v>97.248569319071365</v>
          </cell>
          <cell r="W65">
            <v>103.33261068138917</v>
          </cell>
          <cell r="X65">
            <v>107.7378199983702</v>
          </cell>
        </row>
        <row r="66">
          <cell r="N66" t="str">
            <v>Avg Loans/Avg Depo &amp; Equity</v>
          </cell>
          <cell r="O66">
            <v>74.465563103114533</v>
          </cell>
          <cell r="P66">
            <v>75.354560553984413</v>
          </cell>
          <cell r="Q66">
            <v>76.989561943884127</v>
          </cell>
          <cell r="R66">
            <v>78.143501130686502</v>
          </cell>
          <cell r="S66">
            <v>82.734232873368512</v>
          </cell>
          <cell r="T66">
            <v>84.973529507091044</v>
          </cell>
          <cell r="U66">
            <v>91.204665133790286</v>
          </cell>
          <cell r="V66">
            <v>106.94101899370862</v>
          </cell>
          <cell r="W66">
            <v>122.7472594976844</v>
          </cell>
          <cell r="X66">
            <v>135.54607286339422</v>
          </cell>
        </row>
        <row r="67">
          <cell r="B67" t="str">
            <v>Specific Reserve</v>
          </cell>
          <cell r="C67">
            <v>0</v>
          </cell>
          <cell r="D67">
            <v>0</v>
          </cell>
          <cell r="E67">
            <v>45.429604999999995</v>
          </cell>
          <cell r="F67">
            <v>49.084660000000007</v>
          </cell>
          <cell r="G67">
            <v>51.95835000000001</v>
          </cell>
          <cell r="H67">
            <v>59.055494999999993</v>
          </cell>
          <cell r="I67">
            <v>69.303245000000004</v>
          </cell>
          <cell r="J67">
            <v>80.388004878434941</v>
          </cell>
          <cell r="K67">
            <v>89.050561599431873</v>
          </cell>
          <cell r="L67">
            <v>99.538819781888293</v>
          </cell>
          <cell r="N67" t="str">
            <v>Period-End Loans/Deposits</v>
          </cell>
          <cell r="O67">
            <v>75.960525534395558</v>
          </cell>
          <cell r="P67">
            <v>79.380293040215051</v>
          </cell>
          <cell r="Q67">
            <v>76.9861646038636</v>
          </cell>
          <cell r="R67">
            <v>81.656089590686094</v>
          </cell>
          <cell r="S67">
            <v>87.089448267279749</v>
          </cell>
          <cell r="T67">
            <v>84.183650540723647</v>
          </cell>
          <cell r="U67">
            <v>93.549060337773042</v>
          </cell>
          <cell r="V67">
            <v>100.77386731153848</v>
          </cell>
          <cell r="W67">
            <v>105.74355693808555</v>
          </cell>
          <cell r="X67">
            <v>109.57634232999278</v>
          </cell>
        </row>
        <row r="68">
          <cell r="B68" t="str">
            <v>Specific Reserve/NPLs (%)</v>
          </cell>
          <cell r="C68" t="str">
            <v>na</v>
          </cell>
          <cell r="D68" t="str">
            <v>na</v>
          </cell>
          <cell r="E68">
            <v>20.872875593271733</v>
          </cell>
          <cell r="F68">
            <v>20.721191534390062</v>
          </cell>
          <cell r="G68">
            <v>32.579853273137701</v>
          </cell>
          <cell r="H68">
            <v>49.943333756184188</v>
          </cell>
          <cell r="I68">
            <v>65.887630247946461</v>
          </cell>
          <cell r="J68">
            <v>57.82556044147433</v>
          </cell>
          <cell r="K68">
            <v>47.691675968099631</v>
          </cell>
          <cell r="L68">
            <v>45.07951797909768</v>
          </cell>
        </row>
        <row r="69">
          <cell r="B69" t="str">
            <v>General Reserve</v>
          </cell>
          <cell r="C69">
            <v>289.37106899999998</v>
          </cell>
          <cell r="D69">
            <v>0</v>
          </cell>
          <cell r="E69">
            <v>109.41074300000004</v>
          </cell>
          <cell r="F69">
            <v>164.39333999999994</v>
          </cell>
          <cell r="G69">
            <v>116.29964999999994</v>
          </cell>
          <cell r="H69">
            <v>144.61650499999996</v>
          </cell>
          <cell r="I69">
            <v>130.64175499999999</v>
          </cell>
          <cell r="J69">
            <v>167.50061313615768</v>
          </cell>
          <cell r="K69">
            <v>233.97893467973103</v>
          </cell>
          <cell r="L69">
            <v>283.50238051832991</v>
          </cell>
          <cell r="N69" t="str">
            <v>Capital Information</v>
          </cell>
        </row>
        <row r="70">
          <cell r="B70" t="str">
            <v>General Reserve/NPLs (%)</v>
          </cell>
          <cell r="C70" t="e">
            <v>#DIV/0!</v>
          </cell>
          <cell r="D70" t="e">
            <v>#DIV/0!</v>
          </cell>
          <cell r="E70">
            <v>50.269352489558891</v>
          </cell>
          <cell r="F70">
            <v>69.398991153613068</v>
          </cell>
          <cell r="G70">
            <v>72.92428517682464</v>
          </cell>
          <cell r="H70">
            <v>122.30242716393924</v>
          </cell>
          <cell r="I70">
            <v>124.20306795710374</v>
          </cell>
          <cell r="J70">
            <v>120.48833459091399</v>
          </cell>
          <cell r="K70">
            <v>125.30912029844035</v>
          </cell>
          <cell r="L70">
            <v>128.393632631944</v>
          </cell>
          <cell r="N70" t="str">
            <v>Tier 1 Ratio (%)</v>
          </cell>
          <cell r="O70" t="e">
            <v>#DIV/0!</v>
          </cell>
          <cell r="P70" t="e">
            <v>#DIV/0!</v>
          </cell>
          <cell r="Q70">
            <v>7.8373241707887118</v>
          </cell>
          <cell r="R70">
            <v>8.216046514029598</v>
          </cell>
          <cell r="S70">
            <v>8.6523002870867654</v>
          </cell>
          <cell r="T70">
            <v>8.4983037753636523</v>
          </cell>
          <cell r="U70">
            <v>8.3964456923819952</v>
          </cell>
          <cell r="V70">
            <v>9.1468956970532549</v>
          </cell>
          <cell r="W70">
            <v>8.7207738728041839</v>
          </cell>
          <cell r="X70">
            <v>8.9232470121791341</v>
          </cell>
        </row>
        <row r="71">
          <cell r="B71" t="str">
            <v>Net Charge-offs (NCO)</v>
          </cell>
          <cell r="C71">
            <v>1255.2463950000001</v>
          </cell>
          <cell r="D71">
            <v>1785.11</v>
          </cell>
          <cell r="E71">
            <v>0</v>
          </cell>
          <cell r="F71">
            <v>194.10000000000002</v>
          </cell>
          <cell r="G71">
            <v>228.39999999999998</v>
          </cell>
          <cell r="H71">
            <v>119.703</v>
          </cell>
          <cell r="I71">
            <v>90.47</v>
          </cell>
          <cell r="J71">
            <v>9.9256817423708057</v>
          </cell>
          <cell r="K71">
            <v>-2.0443160381159666</v>
          </cell>
          <cell r="L71">
            <v>40.903874314268691</v>
          </cell>
          <cell r="N71" t="str">
            <v>Tier 2 Ratio (%)</v>
          </cell>
          <cell r="O71" t="e">
            <v>#DIV/0!</v>
          </cell>
          <cell r="P71" t="e">
            <v>#DIV/0!</v>
          </cell>
          <cell r="Q71">
            <v>3.0218999170424858</v>
          </cell>
          <cell r="R71">
            <v>2.3749315818281334</v>
          </cell>
          <cell r="S71">
            <v>2.016230054733319</v>
          </cell>
          <cell r="T71">
            <v>2.8430503780786434</v>
          </cell>
          <cell r="U71">
            <v>2.9330492668150629</v>
          </cell>
          <cell r="V71">
            <v>3.3622370699359112</v>
          </cell>
          <cell r="W71">
            <v>3.2036798405554903</v>
          </cell>
          <cell r="X71">
            <v>3.2063717469526436</v>
          </cell>
        </row>
        <row r="72">
          <cell r="B72" t="str">
            <v>NCO/Avg Total Credit (%)</v>
          </cell>
          <cell r="C72" t="e">
            <v>#DIV/0!</v>
          </cell>
          <cell r="D72" t="e">
            <v>#DIV/0!</v>
          </cell>
          <cell r="E72">
            <v>0</v>
          </cell>
          <cell r="F72">
            <v>1.9503063298600405</v>
          </cell>
          <cell r="G72">
            <v>2.1483224330350894</v>
          </cell>
          <cell r="H72">
            <v>1.0364459643346842</v>
          </cell>
          <cell r="I72">
            <v>0.68549591939743948</v>
          </cell>
          <cell r="J72">
            <v>6.4689133877418883E-2</v>
          </cell>
          <cell r="K72">
            <v>-1.1757969599729957E-2</v>
          </cell>
          <cell r="L72">
            <v>0.21094129416293961</v>
          </cell>
          <cell r="N72" t="str">
            <v>Total CAR (%)</v>
          </cell>
          <cell r="O72" t="e">
            <v>#DIV/0!</v>
          </cell>
          <cell r="P72" t="e">
            <v>#DIV/0!</v>
          </cell>
          <cell r="Q72">
            <v>10.859224087831198</v>
          </cell>
          <cell r="R72">
            <v>10.590978095857732</v>
          </cell>
          <cell r="S72">
            <v>10.668530341820084</v>
          </cell>
          <cell r="T72">
            <v>11.341354153442296</v>
          </cell>
          <cell r="U72">
            <v>11.329494959197058</v>
          </cell>
          <cell r="V72">
            <v>12.509132766989167</v>
          </cell>
          <cell r="W72">
            <v>11.924453713359675</v>
          </cell>
          <cell r="X72">
            <v>12.129618759131777</v>
          </cell>
        </row>
        <row r="73">
          <cell r="B73" t="str">
            <v>LLPE/Avg Loans (%)</v>
          </cell>
          <cell r="C73">
            <v>2.3083701452266165</v>
          </cell>
          <cell r="D73">
            <v>1.0693968534494078</v>
          </cell>
          <cell r="E73">
            <v>1.8024323083332243</v>
          </cell>
          <cell r="F73">
            <v>2.1692581676476386</v>
          </cell>
          <cell r="G73">
            <v>1.8768588805967545</v>
          </cell>
          <cell r="H73">
            <v>1.2219865670668033</v>
          </cell>
          <cell r="I73">
            <v>0.34690725947678308</v>
          </cell>
          <cell r="J73">
            <v>0.3006831786040815</v>
          </cell>
          <cell r="K73">
            <v>0.31728644134335532</v>
          </cell>
          <cell r="L73">
            <v>0.46000844125405632</v>
          </cell>
        </row>
        <row r="74">
          <cell r="B74" t="str">
            <v>*Note: we have applied accounting change about reclassification of credit card income, starting from 2004.</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Out"/>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PS 1yr forward"/>
      <sheetName val="FIM"/>
      <sheetName val="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KOREA EXCHANGE BANK (004940.KS)</v>
          </cell>
          <cell r="O2" t="str">
            <v>Foreign exchange rate</v>
          </cell>
          <cell r="W2">
            <v>950</v>
          </cell>
        </row>
        <row r="3">
          <cell r="O3" t="str">
            <v>Current share price</v>
          </cell>
          <cell r="W3">
            <v>15400</v>
          </cell>
          <cell r="X3">
            <v>16.210526315789473</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36712.699999999997</v>
          </cell>
          <cell r="D7">
            <v>39616.114000000001</v>
          </cell>
          <cell r="E7">
            <v>42159.420999999988</v>
          </cell>
          <cell r="F7">
            <v>48507.203999999998</v>
          </cell>
          <cell r="G7">
            <v>52412.587125000005</v>
          </cell>
          <cell r="H7">
            <v>51063.144948590008</v>
          </cell>
          <cell r="I7">
            <v>52715.690999999999</v>
          </cell>
          <cell r="J7">
            <v>58382.284</v>
          </cell>
          <cell r="K7">
            <v>67320.65325039516</v>
          </cell>
          <cell r="L7">
            <v>72942.624488928326</v>
          </cell>
          <cell r="M7">
            <v>79616.158262276629</v>
          </cell>
          <cell r="O7" t="str">
            <v>Book Value Per Share (Won)</v>
          </cell>
          <cell r="P7">
            <v>6359.8039330548954</v>
          </cell>
          <cell r="Q7">
            <v>7538.6002932977171</v>
          </cell>
          <cell r="R7">
            <v>8307.7824833441719</v>
          </cell>
          <cell r="S7">
            <v>4816.0286043251181</v>
          </cell>
          <cell r="T7">
            <v>4542.3460907824228</v>
          </cell>
          <cell r="U7">
            <v>8772.8471337346327</v>
          </cell>
          <cell r="V7">
            <v>9891.6071947422679</v>
          </cell>
          <cell r="W7">
            <v>10312.806023858087</v>
          </cell>
          <cell r="X7">
            <v>11262.703535205859</v>
          </cell>
          <cell r="Y7">
            <v>11981.349850223576</v>
          </cell>
          <cell r="Z7">
            <v>12811.132848086339</v>
          </cell>
        </row>
        <row r="8">
          <cell r="B8" t="str">
            <v>Net Interest Margin (%)</v>
          </cell>
          <cell r="C8">
            <v>1.7274648827245072</v>
          </cell>
          <cell r="D8">
            <v>2.4421123182349485</v>
          </cell>
          <cell r="E8">
            <v>2.1296948077156954</v>
          </cell>
          <cell r="F8">
            <v>2.1372474900841527</v>
          </cell>
          <cell r="G8">
            <v>2.8145910761507742</v>
          </cell>
          <cell r="H8">
            <v>3.2338862044191377</v>
          </cell>
          <cell r="I8">
            <v>3.4415844041577679</v>
          </cell>
          <cell r="J8">
            <v>3.2179282331605927</v>
          </cell>
          <cell r="K8">
            <v>3.0440189665379207</v>
          </cell>
          <cell r="L8">
            <v>2.9635093415166738</v>
          </cell>
          <cell r="M8">
            <v>2.9265281265900103</v>
          </cell>
          <cell r="O8" t="str">
            <v>Price/Book (x)</v>
          </cell>
          <cell r="P8">
            <v>2.4214582968444907</v>
          </cell>
          <cell r="Q8">
            <v>2.0428195422022246</v>
          </cell>
          <cell r="R8">
            <v>1.8536835829386042</v>
          </cell>
          <cell r="S8">
            <v>3.1976554263340051</v>
          </cell>
          <cell r="T8">
            <v>3.3903185033061489</v>
          </cell>
          <cell r="U8">
            <v>1.7554164304062327</v>
          </cell>
          <cell r="V8">
            <v>1.5568754093051365</v>
          </cell>
          <cell r="W8">
            <v>1.4932890199207645</v>
          </cell>
          <cell r="X8">
            <v>1.3673448787727962</v>
          </cell>
          <cell r="Y8">
            <v>1.2853309679220017</v>
          </cell>
          <cell r="Z8">
            <v>1.2020794868504054</v>
          </cell>
        </row>
        <row r="9">
          <cell r="B9" t="str">
            <v xml:space="preserve">  Interest Income</v>
          </cell>
          <cell r="C9">
            <v>3111.239</v>
          </cell>
          <cell r="D9">
            <v>2959.779</v>
          </cell>
          <cell r="E9">
            <v>2599.154</v>
          </cell>
          <cell r="F9">
            <v>2831.2449999999999</v>
          </cell>
          <cell r="G9">
            <v>3359.31</v>
          </cell>
          <cell r="H9">
            <v>3266.5879999999997</v>
          </cell>
          <cell r="I9">
            <v>3609.8820000000001</v>
          </cell>
          <cell r="J9">
            <v>4078.7869999999998</v>
          </cell>
          <cell r="K9">
            <v>4788.2914624435434</v>
          </cell>
          <cell r="L9">
            <v>5158.4657635521817</v>
          </cell>
          <cell r="M9">
            <v>5676.5189149493581</v>
          </cell>
          <cell r="O9" t="str">
            <v>ROAA (%)</v>
          </cell>
          <cell r="P9">
            <v>-0.91066181346477848</v>
          </cell>
          <cell r="Q9">
            <v>0.48101006795323614</v>
          </cell>
          <cell r="R9">
            <v>0.22451613115945976</v>
          </cell>
          <cell r="S9">
            <v>-0.34188071471153847</v>
          </cell>
          <cell r="T9">
            <v>0.85745426182357098</v>
          </cell>
          <cell r="U9">
            <v>3.0874113818980442</v>
          </cell>
          <cell r="V9">
            <v>1.5338648722701225</v>
          </cell>
          <cell r="W9">
            <v>1.3082044746523063</v>
          </cell>
          <cell r="X9">
            <v>1.251713008399344</v>
          </cell>
          <cell r="Y9">
            <v>1.2017417618017612</v>
          </cell>
          <cell r="Z9">
            <v>1.1749769273126944</v>
          </cell>
        </row>
        <row r="10">
          <cell r="B10" t="str">
            <v xml:space="preserve">  Interest Expense</v>
          </cell>
          <cell r="C10">
            <v>2477.04</v>
          </cell>
          <cell r="D10">
            <v>1992.309</v>
          </cell>
          <cell r="E10">
            <v>1662.325</v>
          </cell>
          <cell r="F10">
            <v>1642.17</v>
          </cell>
          <cell r="G10">
            <v>1640.1219999999998</v>
          </cell>
          <cell r="H10">
            <v>1495.93</v>
          </cell>
          <cell r="I10">
            <v>1669.625</v>
          </cell>
          <cell r="J10">
            <v>2066.5829999999996</v>
          </cell>
          <cell r="K10">
            <v>2594.1063408462878</v>
          </cell>
          <cell r="L10">
            <v>2836.5251686426323</v>
          </cell>
          <cell r="M10">
            <v>3175.0606901004385</v>
          </cell>
          <cell r="O10" t="str">
            <v>ROAE (Reported, %)</v>
          </cell>
          <cell r="Q10">
            <v>14.414239945438242</v>
          </cell>
          <cell r="R10">
            <v>6.4194049483209126</v>
          </cell>
          <cell r="S10">
            <v>-8.913414810808213</v>
          </cell>
          <cell r="T10">
            <v>17.753594726566831</v>
          </cell>
          <cell r="U10">
            <v>44.935687527010096</v>
          </cell>
          <cell r="V10">
            <v>16.71813750047561</v>
          </cell>
          <cell r="W10">
            <v>14.749772140583046</v>
          </cell>
          <cell r="X10">
            <v>15.025195637855997</v>
          </cell>
          <cell r="Y10">
            <v>14.787836583571535</v>
          </cell>
          <cell r="Z10">
            <v>14.760788744948862</v>
          </cell>
        </row>
        <row r="11">
          <cell r="B11" t="str">
            <v>Net Interest Income (NII)</v>
          </cell>
          <cell r="C11">
            <v>634.19900000000007</v>
          </cell>
          <cell r="D11">
            <v>967.47</v>
          </cell>
          <cell r="E11">
            <v>936.82899999999995</v>
          </cell>
          <cell r="F11">
            <v>1189.0749999999998</v>
          </cell>
          <cell r="G11">
            <v>1719.1880000000001</v>
          </cell>
          <cell r="H11">
            <v>1770.6579999999997</v>
          </cell>
          <cell r="I11">
            <v>1940.2570000000001</v>
          </cell>
          <cell r="J11">
            <v>2012.2040000000002</v>
          </cell>
          <cell r="K11">
            <v>2194.1851215972556</v>
          </cell>
          <cell r="L11">
            <v>2321.9405949095494</v>
          </cell>
          <cell r="M11">
            <v>2501.4582248489196</v>
          </cell>
          <cell r="O11" t="str">
            <v>ROAE (ModelWare, %)</v>
          </cell>
          <cell r="T11">
            <v>18.064650838069586</v>
          </cell>
          <cell r="U11">
            <v>45.393143333474221</v>
          </cell>
          <cell r="V11">
            <v>17.125752991392908</v>
          </cell>
          <cell r="W11">
            <v>15.207179390518654</v>
          </cell>
          <cell r="X11">
            <v>15.44281068225439</v>
          </cell>
          <cell r="Y11">
            <v>15.116290010729566</v>
          </cell>
          <cell r="Z11">
            <v>15.031798864181194</v>
          </cell>
        </row>
        <row r="12">
          <cell r="B12" t="str">
            <v>Loan Loss Prov Exp (LLPE)</v>
          </cell>
          <cell r="C12">
            <v>1169.6400000000001</v>
          </cell>
          <cell r="D12">
            <v>931.84600000000012</v>
          </cell>
          <cell r="E12">
            <v>518.70100000000002</v>
          </cell>
          <cell r="F12">
            <v>849.34999999999991</v>
          </cell>
          <cell r="G12">
            <v>814.35199999999998</v>
          </cell>
          <cell r="H12">
            <v>162.88460000000001</v>
          </cell>
          <cell r="I12">
            <v>246.06132583857186</v>
          </cell>
          <cell r="J12">
            <v>364.06299999999999</v>
          </cell>
          <cell r="K12">
            <v>350.56392236240004</v>
          </cell>
          <cell r="L12">
            <v>427.2330230767999</v>
          </cell>
          <cell r="M12">
            <v>509.98397544685997</v>
          </cell>
        </row>
        <row r="13">
          <cell r="B13" t="str">
            <v>NII After LLPE</v>
          </cell>
          <cell r="C13">
            <v>-535.44100000000003</v>
          </cell>
          <cell r="D13">
            <v>35.62399999999991</v>
          </cell>
          <cell r="E13">
            <v>418.12799999999993</v>
          </cell>
          <cell r="F13">
            <v>339.72499999999991</v>
          </cell>
          <cell r="G13">
            <v>904.83600000000013</v>
          </cell>
          <cell r="H13">
            <v>1607.7733999999996</v>
          </cell>
          <cell r="I13">
            <v>1694.1956741614281</v>
          </cell>
          <cell r="J13">
            <v>1648.1410000000001</v>
          </cell>
          <cell r="K13">
            <v>1843.6211992348556</v>
          </cell>
          <cell r="L13">
            <v>1894.7075718327496</v>
          </cell>
          <cell r="M13">
            <v>1991.4742494020597</v>
          </cell>
          <cell r="O13" t="str">
            <v>MW EPS Growth (%)</v>
          </cell>
          <cell r="Q13" t="e">
            <v>#DIV/0!</v>
          </cell>
          <cell r="R13" t="e">
            <v>#DIV/0!</v>
          </cell>
          <cell r="S13">
            <v>-162.10772695683815</v>
          </cell>
          <cell r="T13">
            <v>-345.86801650534034</v>
          </cell>
          <cell r="U13">
            <v>266.88942685998438</v>
          </cell>
          <cell r="V13">
            <v>-47.115641231051541</v>
          </cell>
          <cell r="W13">
            <v>-3.8764198392573168</v>
          </cell>
          <cell r="X13">
            <v>8.4407462584529025</v>
          </cell>
          <cell r="Y13">
            <v>5.4556057905387201</v>
          </cell>
          <cell r="Z13">
            <v>6.0654393286062591</v>
          </cell>
        </row>
        <row r="14">
          <cell r="O14" t="str">
            <v>Current P/MW EPS</v>
          </cell>
          <cell r="P14" t="e">
            <v>#DIV/0!</v>
          </cell>
          <cell r="Q14" t="e">
            <v>#DIV/0!</v>
          </cell>
          <cell r="R14">
            <v>28.549325690683752</v>
          </cell>
          <cell r="S14">
            <v>-45.96742964128142</v>
          </cell>
          <cell r="T14">
            <v>18.695977742303459</v>
          </cell>
          <cell r="U14">
            <v>5.0958071761055104</v>
          </cell>
          <cell r="V14">
            <v>9.6357548710556742</v>
          </cell>
          <cell r="W14">
            <v>10.024340390716077</v>
          </cell>
          <cell r="X14">
            <v>9.2440717503220657</v>
          </cell>
          <cell r="Y14">
            <v>8.7658419683094984</v>
          </cell>
          <cell r="Z14">
            <v>8.2645600902586533</v>
          </cell>
        </row>
        <row r="15">
          <cell r="B15" t="str">
            <v>Non-interest Income</v>
          </cell>
        </row>
        <row r="16">
          <cell r="B16" t="str">
            <v>Fees and Commissions</v>
          </cell>
          <cell r="C16">
            <v>300.05799999999999</v>
          </cell>
          <cell r="D16">
            <v>288.27000000000004</v>
          </cell>
          <cell r="E16">
            <v>308.07400000000007</v>
          </cell>
          <cell r="F16">
            <v>346.94299999999998</v>
          </cell>
          <cell r="G16">
            <v>266.459</v>
          </cell>
          <cell r="H16">
            <v>228.35299999999995</v>
          </cell>
          <cell r="I16">
            <v>272.14499999999998</v>
          </cell>
          <cell r="J16">
            <v>363.66500000000008</v>
          </cell>
          <cell r="K16">
            <v>336.3796280184452</v>
          </cell>
          <cell r="L16">
            <v>382.77942428588051</v>
          </cell>
          <cell r="M16">
            <v>418.12875868838552</v>
          </cell>
          <cell r="O16" t="str">
            <v>Gross Dividends</v>
          </cell>
          <cell r="P16">
            <v>0</v>
          </cell>
          <cell r="Q16">
            <v>0</v>
          </cell>
          <cell r="R16">
            <v>0</v>
          </cell>
          <cell r="S16">
            <v>0</v>
          </cell>
          <cell r="T16">
            <v>0</v>
          </cell>
          <cell r="U16">
            <v>0</v>
          </cell>
          <cell r="V16">
            <v>644.90682600000002</v>
          </cell>
          <cell r="W16">
            <v>451.43477819999998</v>
          </cell>
          <cell r="X16">
            <v>644.90682600000002</v>
          </cell>
          <cell r="Y16">
            <v>644.90682600000002</v>
          </cell>
          <cell r="Z16">
            <v>644.90682600000002</v>
          </cell>
        </row>
        <row r="17">
          <cell r="B17" t="str">
            <v>Dividend Income</v>
          </cell>
          <cell r="C17">
            <v>25.46</v>
          </cell>
          <cell r="D17">
            <v>3.754</v>
          </cell>
          <cell r="E17">
            <v>50.933999999999997</v>
          </cell>
          <cell r="F17">
            <v>11.128</v>
          </cell>
          <cell r="G17">
            <v>5.4390000000000001</v>
          </cell>
          <cell r="H17">
            <v>9.3149999999999995</v>
          </cell>
          <cell r="I17">
            <v>3.891</v>
          </cell>
          <cell r="J17">
            <v>7.1130000000000004</v>
          </cell>
          <cell r="K17">
            <v>7.7253544957749467</v>
          </cell>
          <cell r="L17">
            <v>8.2536132997818683</v>
          </cell>
          <cell r="M17">
            <v>8.8948642476165141</v>
          </cell>
          <cell r="O17" t="str">
            <v>Gross DPS (Won)</v>
          </cell>
          <cell r="P17">
            <v>0</v>
          </cell>
          <cell r="Q17">
            <v>0</v>
          </cell>
          <cell r="R17">
            <v>0</v>
          </cell>
          <cell r="S17">
            <v>0</v>
          </cell>
          <cell r="T17">
            <v>0</v>
          </cell>
          <cell r="U17">
            <v>0</v>
          </cell>
          <cell r="V17">
            <v>1000</v>
          </cell>
          <cell r="W17">
            <v>700</v>
          </cell>
          <cell r="X17">
            <v>1000</v>
          </cell>
          <cell r="Y17">
            <v>1000</v>
          </cell>
          <cell r="Z17">
            <v>1000</v>
          </cell>
        </row>
        <row r="18">
          <cell r="B18" t="str">
            <v>Forex Income</v>
          </cell>
          <cell r="C18">
            <v>213.63</v>
          </cell>
          <cell r="D18">
            <v>227.596</v>
          </cell>
          <cell r="E18">
            <v>207.27100000000019</v>
          </cell>
          <cell r="F18">
            <v>247.04000000000019</v>
          </cell>
          <cell r="G18">
            <v>282.65700000000015</v>
          </cell>
          <cell r="H18">
            <v>244.29699999999957</v>
          </cell>
          <cell r="I18">
            <v>286.25700000000006</v>
          </cell>
          <cell r="J18">
            <v>314.47500000000036</v>
          </cell>
          <cell r="K18">
            <v>363.23129083726963</v>
          </cell>
          <cell r="L18">
            <v>390.64922521676272</v>
          </cell>
          <cell r="M18">
            <v>415.63567083762064</v>
          </cell>
          <cell r="O18" t="str">
            <v>Dividend Yield (Current Price, %)</v>
          </cell>
          <cell r="P18">
            <v>0</v>
          </cell>
          <cell r="Q18">
            <v>0</v>
          </cell>
          <cell r="R18">
            <v>0</v>
          </cell>
          <cell r="S18">
            <v>0</v>
          </cell>
          <cell r="T18">
            <v>0</v>
          </cell>
          <cell r="U18">
            <v>0</v>
          </cell>
          <cell r="V18">
            <v>6.4935064935064926</v>
          </cell>
          <cell r="W18">
            <v>4.5454545454545459</v>
          </cell>
          <cell r="X18">
            <v>6.4935064935064926</v>
          </cell>
          <cell r="Y18">
            <v>6.4935064935064926</v>
          </cell>
          <cell r="Z18">
            <v>6.4935064935064926</v>
          </cell>
        </row>
        <row r="19">
          <cell r="B19" t="str">
            <v>Other trading income</v>
          </cell>
          <cell r="C19">
            <v>17.533999999999999</v>
          </cell>
          <cell r="D19">
            <v>36.623999999999995</v>
          </cell>
          <cell r="E19">
            <v>46.17</v>
          </cell>
          <cell r="F19">
            <v>18.995000000000001</v>
          </cell>
          <cell r="G19">
            <v>23.856999999999996</v>
          </cell>
          <cell r="H19">
            <v>34.296999999999997</v>
          </cell>
          <cell r="I19">
            <v>25.743999999999993</v>
          </cell>
          <cell r="J19">
            <v>23.488</v>
          </cell>
          <cell r="K19">
            <v>7.8047569760000037</v>
          </cell>
          <cell r="L19">
            <v>0</v>
          </cell>
          <cell r="M19">
            <v>0</v>
          </cell>
          <cell r="O19" t="str">
            <v>Dividend Payout Ratio (%)</v>
          </cell>
          <cell r="P19">
            <v>0</v>
          </cell>
          <cell r="Q19">
            <v>0</v>
          </cell>
          <cell r="R19">
            <v>0</v>
          </cell>
          <cell r="S19">
            <v>0</v>
          </cell>
          <cell r="T19">
            <v>0</v>
          </cell>
          <cell r="U19">
            <v>0</v>
          </cell>
          <cell r="V19">
            <v>64.095391615654336</v>
          </cell>
          <cell r="W19">
            <v>46.978211885175519</v>
          </cell>
          <cell r="X19">
            <v>61.694833812592698</v>
          </cell>
          <cell r="Y19">
            <v>58.185328258751831</v>
          </cell>
          <cell r="Z19">
            <v>54.104776421922594</v>
          </cell>
        </row>
        <row r="20">
          <cell r="B20" t="str">
            <v>Other Income</v>
          </cell>
          <cell r="C20">
            <v>-69.750999999999891</v>
          </cell>
          <cell r="D20">
            <v>19.853999999999957</v>
          </cell>
          <cell r="E20">
            <v>44.792000000000193</v>
          </cell>
          <cell r="F20">
            <v>-81.884999999999906</v>
          </cell>
          <cell r="G20">
            <v>-128.6449999999999</v>
          </cell>
          <cell r="H20">
            <v>-89.99339999999988</v>
          </cell>
          <cell r="I20">
            <v>345.64955525057127</v>
          </cell>
          <cell r="J20">
            <v>204.27499999999935</v>
          </cell>
          <cell r="K20">
            <v>27.75348673244476</v>
          </cell>
          <cell r="L20">
            <v>14.03765699995688</v>
          </cell>
          <cell r="M20">
            <v>15.442879168910792</v>
          </cell>
        </row>
        <row r="21">
          <cell r="B21" t="str">
            <v>Total Non-interest Income</v>
          </cell>
          <cell r="C21">
            <v>486.93100000000004</v>
          </cell>
          <cell r="D21">
            <v>576.09800000000007</v>
          </cell>
          <cell r="E21">
            <v>657.24100000000033</v>
          </cell>
          <cell r="F21">
            <v>542.22100000000023</v>
          </cell>
          <cell r="G21">
            <v>449.76700000000028</v>
          </cell>
          <cell r="H21">
            <v>426.26859999999959</v>
          </cell>
          <cell r="I21">
            <v>933.68655525057147</v>
          </cell>
          <cell r="J21">
            <v>913.01599999999985</v>
          </cell>
          <cell r="K21">
            <v>742.89451705993463</v>
          </cell>
          <cell r="L21">
            <v>795.71991980238204</v>
          </cell>
          <cell r="M21">
            <v>858.10217294253357</v>
          </cell>
          <cell r="O21" t="str">
            <v>Issued Shares (m)</v>
          </cell>
          <cell r="P21">
            <v>222.17493099999999</v>
          </cell>
          <cell r="Q21">
            <v>222.17493099999999</v>
          </cell>
          <cell r="R21">
            <v>222.17493099999999</v>
          </cell>
          <cell r="S21">
            <v>612.92493100000002</v>
          </cell>
          <cell r="T21">
            <v>644.90682600000002</v>
          </cell>
          <cell r="U21">
            <v>644.90682600000002</v>
          </cell>
          <cell r="V21">
            <v>644.90682600000002</v>
          </cell>
          <cell r="W21">
            <v>644.90682600000002</v>
          </cell>
          <cell r="X21">
            <v>644.90682600000002</v>
          </cell>
          <cell r="Y21">
            <v>644.90682600000002</v>
          </cell>
          <cell r="Z21">
            <v>644.90682600000002</v>
          </cell>
        </row>
        <row r="22">
          <cell r="O22" t="str">
            <v>Market Cap (Wonbn)</v>
          </cell>
          <cell r="P22">
            <v>3421.4939373999996</v>
          </cell>
          <cell r="Q22">
            <v>3421.4939373999996</v>
          </cell>
          <cell r="R22">
            <v>3421.4939373999996</v>
          </cell>
          <cell r="S22">
            <v>9439.0439373999998</v>
          </cell>
          <cell r="T22">
            <v>9931.5651204000005</v>
          </cell>
          <cell r="U22">
            <v>9931.5651204000005</v>
          </cell>
          <cell r="V22">
            <v>9931.5651204000005</v>
          </cell>
          <cell r="W22">
            <v>9931.5651204000005</v>
          </cell>
          <cell r="X22">
            <v>9931.5651204000005</v>
          </cell>
          <cell r="Y22">
            <v>9931.5651204000005</v>
          </cell>
          <cell r="Z22">
            <v>9931.5651204000005</v>
          </cell>
        </row>
        <row r="23">
          <cell r="B23" t="str">
            <v>Non-interest Expense</v>
          </cell>
          <cell r="O23" t="str">
            <v>Market Cap (US$mn)</v>
          </cell>
          <cell r="P23">
            <v>3601.5725656842101</v>
          </cell>
          <cell r="Q23">
            <v>3601.5725656842101</v>
          </cell>
          <cell r="R23">
            <v>3601.5725656842101</v>
          </cell>
          <cell r="S23">
            <v>9935.8357235789463</v>
          </cell>
          <cell r="T23">
            <v>10454.279074105263</v>
          </cell>
          <cell r="U23">
            <v>10454.279074105263</v>
          </cell>
          <cell r="V23">
            <v>10454.279074105263</v>
          </cell>
          <cell r="W23">
            <v>10454.279074105263</v>
          </cell>
          <cell r="X23">
            <v>10454.279074105263</v>
          </cell>
          <cell r="Y23">
            <v>10454.279074105263</v>
          </cell>
          <cell r="Z23">
            <v>10454.279074105263</v>
          </cell>
        </row>
        <row r="24">
          <cell r="B24" t="str">
            <v>Salaries &amp; Benefits</v>
          </cell>
          <cell r="C24">
            <v>330.74399999999997</v>
          </cell>
          <cell r="D24">
            <v>296.346</v>
          </cell>
          <cell r="E24">
            <v>376.01400000000001</v>
          </cell>
          <cell r="F24">
            <v>442.40499999999997</v>
          </cell>
          <cell r="G24">
            <v>555.26600000000008</v>
          </cell>
          <cell r="H24">
            <v>665.81100000000004</v>
          </cell>
          <cell r="I24">
            <v>692.58600000000001</v>
          </cell>
          <cell r="J24">
            <v>701.49199999999996</v>
          </cell>
          <cell r="K24">
            <v>727.13532962544184</v>
          </cell>
          <cell r="L24">
            <v>752.58506616233217</v>
          </cell>
          <cell r="M24">
            <v>789.27358813774583</v>
          </cell>
        </row>
        <row r="25">
          <cell r="B25" t="str">
            <v>Net Occupancy &amp; Equipment</v>
          </cell>
          <cell r="C25">
            <v>23.614999999999998</v>
          </cell>
          <cell r="D25">
            <v>25.864999999999998</v>
          </cell>
          <cell r="E25">
            <v>26.241</v>
          </cell>
          <cell r="F25">
            <v>29.361000000000001</v>
          </cell>
          <cell r="G25">
            <v>34.643000000000001</v>
          </cell>
          <cell r="H25">
            <v>35.158999999999999</v>
          </cell>
          <cell r="I25">
            <v>36.457999999999998</v>
          </cell>
          <cell r="J25">
            <v>47.923000000000002</v>
          </cell>
          <cell r="K25">
            <v>60.657370346506099</v>
          </cell>
          <cell r="L25">
            <v>64.377390966839414</v>
          </cell>
          <cell r="M25">
            <v>68.638005840010834</v>
          </cell>
          <cell r="O25" t="str">
            <v>PERFORMANCE RATIOS</v>
          </cell>
        </row>
        <row r="26">
          <cell r="B26" t="str">
            <v>Other Expenses</v>
          </cell>
          <cell r="C26">
            <v>178.61800000000002</v>
          </cell>
          <cell r="D26">
            <v>180.05699999999999</v>
          </cell>
          <cell r="E26">
            <v>201.26600000000002</v>
          </cell>
          <cell r="F26">
            <v>229.78499999999997</v>
          </cell>
          <cell r="G26">
            <v>311.34099999999995</v>
          </cell>
          <cell r="H26">
            <v>354.70499999999998</v>
          </cell>
          <cell r="I26">
            <v>382.24900000000002</v>
          </cell>
          <cell r="J26">
            <v>400.09599999999995</v>
          </cell>
          <cell r="K26">
            <v>420.01546579579383</v>
          </cell>
          <cell r="L26">
            <v>434.28580151384733</v>
          </cell>
          <cell r="M26">
            <v>455.89147191915924</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532.97699999999998</v>
          </cell>
          <cell r="D27">
            <v>502.26800000000003</v>
          </cell>
          <cell r="E27">
            <v>603.52099999999996</v>
          </cell>
          <cell r="F27">
            <v>701.55099999999993</v>
          </cell>
          <cell r="G27">
            <v>901.25</v>
          </cell>
          <cell r="H27">
            <v>1055.675</v>
          </cell>
          <cell r="I27">
            <v>1111.2930000000001</v>
          </cell>
          <cell r="J27">
            <v>1149.511</v>
          </cell>
          <cell r="K27">
            <v>1207.8081657677417</v>
          </cell>
          <cell r="L27">
            <v>1251.2482586430187</v>
          </cell>
          <cell r="M27">
            <v>1313.803065896916</v>
          </cell>
          <cell r="O27" t="str">
            <v>Growth (%)</v>
          </cell>
        </row>
        <row r="28">
          <cell r="O28" t="str">
            <v>Net Interest Income</v>
          </cell>
          <cell r="P28">
            <v>-19.021230465532881</v>
          </cell>
          <cell r="Q28">
            <v>52.54990941329141</v>
          </cell>
          <cell r="R28">
            <v>-3.1671266292494948</v>
          </cell>
          <cell r="S28">
            <v>26.92551148608764</v>
          </cell>
          <cell r="T28">
            <v>44.58196497277298</v>
          </cell>
          <cell r="U28">
            <v>2.9938552386358896</v>
          </cell>
          <cell r="V28">
            <v>9.5783036588658277</v>
          </cell>
          <cell r="W28">
            <v>3.7081170174878997</v>
          </cell>
          <cell r="X28">
            <v>9.0438703827870004</v>
          </cell>
          <cell r="Y28">
            <v>5.8224564579717031</v>
          </cell>
          <cell r="Z28">
            <v>7.7313618760502134</v>
          </cell>
        </row>
        <row r="29">
          <cell r="B29" t="str">
            <v>Pre-tax Operating Profit</v>
          </cell>
          <cell r="C29">
            <v>-581.48699999999997</v>
          </cell>
          <cell r="D29">
            <v>109.45399999999995</v>
          </cell>
          <cell r="E29">
            <v>471.84800000000018</v>
          </cell>
          <cell r="F29">
            <v>180.39500000000021</v>
          </cell>
          <cell r="G29">
            <v>453.35300000000052</v>
          </cell>
          <cell r="H29">
            <v>978.36699999999928</v>
          </cell>
          <cell r="I29">
            <v>1516.5892294119994</v>
          </cell>
          <cell r="J29">
            <v>1411.6460000000002</v>
          </cell>
          <cell r="K29">
            <v>1378.7075505270486</v>
          </cell>
          <cell r="L29">
            <v>1439.1792329921127</v>
          </cell>
          <cell r="M29">
            <v>1535.7733564476771</v>
          </cell>
          <cell r="O29" t="str">
            <v>Non-interest Income</v>
          </cell>
          <cell r="P29">
            <v>0.99893179013306188</v>
          </cell>
          <cell r="Q29">
            <v>18.312040104244765</v>
          </cell>
          <cell r="R29">
            <v>14.084929994549578</v>
          </cell>
          <cell r="S29">
            <v>-17.500429827110608</v>
          </cell>
          <cell r="T29">
            <v>-17.05098105753925</v>
          </cell>
          <cell r="U29">
            <v>-5.2245718338607912</v>
          </cell>
          <cell r="V29">
            <v>119.03714119467685</v>
          </cell>
          <cell r="W29">
            <v>-2.2138645067052876</v>
          </cell>
          <cell r="X29">
            <v>-18.63291365540859</v>
          </cell>
          <cell r="Y29">
            <v>7.1107541554497278</v>
          </cell>
          <cell r="Z29">
            <v>7.8397249569476912</v>
          </cell>
        </row>
        <row r="30">
          <cell r="B30" t="str">
            <v>Associate Profit/Loss</v>
          </cell>
          <cell r="C30">
            <v>188.476</v>
          </cell>
          <cell r="D30">
            <v>31.629000000000005</v>
          </cell>
          <cell r="E30">
            <v>-446.303</v>
          </cell>
          <cell r="F30">
            <v>-387.858</v>
          </cell>
          <cell r="G30">
            <v>78.16500000000002</v>
          </cell>
          <cell r="H30">
            <v>656.75900000000001</v>
          </cell>
          <cell r="I30">
            <v>77.203999999999922</v>
          </cell>
          <cell r="J30">
            <v>104.94300000000001</v>
          </cell>
          <cell r="K30">
            <v>71.022365429628763</v>
          </cell>
          <cell r="L30">
            <v>89.602477400537282</v>
          </cell>
          <cell r="M30">
            <v>91.867395856376376</v>
          </cell>
          <cell r="O30" t="str">
            <v>Non-interest Expense</v>
          </cell>
          <cell r="P30">
            <v>-0.18465698934195807</v>
          </cell>
          <cell r="Q30">
            <v>-5.7617870940021687</v>
          </cell>
          <cell r="R30">
            <v>20.159158059044159</v>
          </cell>
          <cell r="S30">
            <v>16.24301391335181</v>
          </cell>
          <cell r="T30">
            <v>28.465357472229403</v>
          </cell>
          <cell r="U30">
            <v>17.134535367545077</v>
          </cell>
          <cell r="V30">
            <v>5.2684775143865492</v>
          </cell>
          <cell r="W30">
            <v>3.4390570263647779</v>
          </cell>
          <cell r="X30">
            <v>5.0714752418847375</v>
          </cell>
          <cell r="Y30">
            <v>3.5966053307533663</v>
          </cell>
          <cell r="Z30">
            <v>4.9993921527401897</v>
          </cell>
        </row>
        <row r="31">
          <cell r="O31" t="str">
            <v>Recurrent Net Profit After Tax (FD)</v>
          </cell>
          <cell r="P31">
            <v>-27.359481325597923</v>
          </cell>
          <cell r="Q31" t="str">
            <v>NM</v>
          </cell>
          <cell r="R31">
            <v>1108.9476323263045</v>
          </cell>
          <cell r="S31">
            <v>-91.092826962034252</v>
          </cell>
          <cell r="T31">
            <v>139.50726165169326</v>
          </cell>
          <cell r="U31">
            <v>159.24575507574684</v>
          </cell>
          <cell r="V31">
            <v>-17.062728308573394</v>
          </cell>
          <cell r="W31">
            <v>-6.5777606027194739</v>
          </cell>
          <cell r="X31">
            <v>11.141638884176185</v>
          </cell>
          <cell r="Y31">
            <v>4.9589946197865054</v>
          </cell>
          <cell r="Z31">
            <v>6.8507188816630427</v>
          </cell>
        </row>
        <row r="32">
          <cell r="B32" t="str">
            <v>Profit Before Tax</v>
          </cell>
          <cell r="C32">
            <v>-393.01099999999997</v>
          </cell>
          <cell r="D32">
            <v>141.08299999999997</v>
          </cell>
          <cell r="E32">
            <v>25.545000000000186</v>
          </cell>
          <cell r="F32">
            <v>-207.46299999999979</v>
          </cell>
          <cell r="G32">
            <v>531.51800000000048</v>
          </cell>
          <cell r="H32">
            <v>1635.1259999999993</v>
          </cell>
          <cell r="I32">
            <v>1593.7932294119994</v>
          </cell>
          <cell r="J32">
            <v>1516.5890000000002</v>
          </cell>
          <cell r="K32">
            <v>1449.7299159566774</v>
          </cell>
          <cell r="L32">
            <v>1528.78171039265</v>
          </cell>
          <cell r="M32">
            <v>1627.6407523040534</v>
          </cell>
          <cell r="O32" t="str">
            <v>Net Profit</v>
          </cell>
          <cell r="P32">
            <v>-49.712064156814492</v>
          </cell>
          <cell r="Q32" t="str">
            <v>NM</v>
          </cell>
          <cell r="R32">
            <v>-49.222860788956858</v>
          </cell>
          <cell r="S32" t="str">
            <v>NM</v>
          </cell>
          <cell r="T32" t="str">
            <v>NM</v>
          </cell>
          <cell r="U32">
            <v>269.5554402021192</v>
          </cell>
          <cell r="V32">
            <v>-47.848797564539367</v>
          </cell>
          <cell r="W32">
            <v>-4.4945043020757751</v>
          </cell>
          <cell r="X32">
            <v>8.7801475702137477</v>
          </cell>
          <cell r="Y32">
            <v>6.0315987876428112</v>
          </cell>
          <cell r="Z32">
            <v>6.4665243729278066</v>
          </cell>
        </row>
        <row r="33">
          <cell r="B33" t="str">
            <v>Effective Tax</v>
          </cell>
          <cell r="C33">
            <v>10.69199999999995</v>
          </cell>
          <cell r="D33">
            <v>-81.464000000000027</v>
          </cell>
          <cell r="E33">
            <v>-87.457999999999998</v>
          </cell>
          <cell r="F33">
            <v>6.3540000000000028</v>
          </cell>
          <cell r="G33">
            <v>9.4510000000000218</v>
          </cell>
          <cell r="H33">
            <v>-294.20099999999996</v>
          </cell>
          <cell r="I33">
            <v>587.62600000000032</v>
          </cell>
          <cell r="J33">
            <v>555.64400000000001</v>
          </cell>
          <cell r="K33">
            <v>404.41252688808657</v>
          </cell>
          <cell r="L33">
            <v>420.41497035797869</v>
          </cell>
          <cell r="M33">
            <v>447.60120688361474</v>
          </cell>
        </row>
        <row r="34">
          <cell r="B34" t="str">
            <v xml:space="preserve">Minority Interests </v>
          </cell>
          <cell r="C34">
            <v>0</v>
          </cell>
          <cell r="D34">
            <v>0</v>
          </cell>
          <cell r="E34">
            <v>0</v>
          </cell>
          <cell r="F34">
            <v>0</v>
          </cell>
          <cell r="G34">
            <v>0</v>
          </cell>
          <cell r="H34">
            <v>0</v>
          </cell>
          <cell r="I34">
            <v>0</v>
          </cell>
          <cell r="J34">
            <v>0</v>
          </cell>
          <cell r="K34">
            <v>0</v>
          </cell>
          <cell r="L34">
            <v>0</v>
          </cell>
          <cell r="M34">
            <v>0</v>
          </cell>
          <cell r="O34" t="str">
            <v>Gross Customer Loans</v>
          </cell>
          <cell r="P34">
            <v>13.448626783246297</v>
          </cell>
          <cell r="Q34">
            <v>5.7941481376583948</v>
          </cell>
          <cell r="R34">
            <v>17.684877542684795</v>
          </cell>
          <cell r="S34">
            <v>17.756274392575744</v>
          </cell>
          <cell r="T34">
            <v>-0.31568364188870879</v>
          </cell>
          <cell r="U34">
            <v>3.2719110218174086</v>
          </cell>
          <cell r="V34">
            <v>10.909531874610678</v>
          </cell>
          <cell r="W34">
            <v>19.097687920258231</v>
          </cell>
          <cell r="X34">
            <v>11.333472398255573</v>
          </cell>
          <cell r="Y34">
            <v>10.339612266927967</v>
          </cell>
          <cell r="Z34">
            <v>9.5663345878443486</v>
          </cell>
        </row>
        <row r="35">
          <cell r="B35" t="str">
            <v>Preference Dividend</v>
          </cell>
          <cell r="C35">
            <v>0</v>
          </cell>
          <cell r="D35">
            <v>0</v>
          </cell>
          <cell r="E35">
            <v>0</v>
          </cell>
          <cell r="F35">
            <v>0</v>
          </cell>
          <cell r="G35">
            <v>0</v>
          </cell>
          <cell r="H35">
            <v>0</v>
          </cell>
          <cell r="I35">
            <v>0</v>
          </cell>
          <cell r="J35">
            <v>0</v>
          </cell>
          <cell r="K35">
            <v>0</v>
          </cell>
          <cell r="L35">
            <v>0</v>
          </cell>
          <cell r="M35">
            <v>0</v>
          </cell>
          <cell r="O35" t="str">
            <v>Total Deposits</v>
          </cell>
          <cell r="P35">
            <v>12.088390396324765</v>
          </cell>
          <cell r="Q35">
            <v>11.744805229395272</v>
          </cell>
          <cell r="R35">
            <v>16.749648408063344</v>
          </cell>
          <cell r="S35">
            <v>8.3814316502333508</v>
          </cell>
          <cell r="T35">
            <v>-9.6353438610853548</v>
          </cell>
          <cell r="U35">
            <v>-1.0224840454303497</v>
          </cell>
          <cell r="V35">
            <v>1.2634286137036987</v>
          </cell>
          <cell r="W35">
            <v>15.435961347716365</v>
          </cell>
          <cell r="X35">
            <v>5.5110926965369789</v>
          </cell>
          <cell r="Y35">
            <v>5.7602407114864418</v>
          </cell>
          <cell r="Z35">
            <v>4.9906026842223339</v>
          </cell>
        </row>
        <row r="36">
          <cell r="B36" t="str">
            <v>Net Profit</v>
          </cell>
          <cell r="C36">
            <v>-403.70299999999992</v>
          </cell>
          <cell r="D36">
            <v>222.547</v>
          </cell>
          <cell r="E36">
            <v>113.00300000000018</v>
          </cell>
          <cell r="F36">
            <v>-213.81699999999981</v>
          </cell>
          <cell r="G36">
            <v>522.06700000000046</v>
          </cell>
          <cell r="H36">
            <v>1929.3269999999993</v>
          </cell>
          <cell r="I36">
            <v>1006.1672294119991</v>
          </cell>
          <cell r="J36">
            <v>960.94500000000016</v>
          </cell>
          <cell r="K36">
            <v>1045.3173890685907</v>
          </cell>
          <cell r="L36">
            <v>1108.3667400346712</v>
          </cell>
          <cell r="M36">
            <v>1180.0395454204386</v>
          </cell>
          <cell r="O36" t="str">
            <v>Avg Earning Assets</v>
          </cell>
          <cell r="P36">
            <v>9.5607706148527214</v>
          </cell>
          <cell r="Q36">
            <v>7.9084730896937794</v>
          </cell>
          <cell r="R36">
            <v>6.4198800518394661</v>
          </cell>
          <cell r="S36">
            <v>15.056618068829764</v>
          </cell>
          <cell r="T36">
            <v>8.0511404553435195</v>
          </cell>
          <cell r="U36">
            <v>-2.5746528657165535</v>
          </cell>
          <cell r="V36">
            <v>3.2362794204582546</v>
          </cell>
          <cell r="W36">
            <v>10.74934785546111</v>
          </cell>
          <cell r="X36">
            <v>15.310071203098463</v>
          </cell>
          <cell r="Y36">
            <v>8.3510348861627559</v>
          </cell>
          <cell r="Z36">
            <v>9.1490179029152685</v>
          </cell>
        </row>
        <row r="37">
          <cell r="B37" t="str">
            <v>EPS - Reported (Won)</v>
          </cell>
          <cell r="D37">
            <v>1001.6746668866977</v>
          </cell>
          <cell r="E37">
            <v>508.62174004681106</v>
          </cell>
          <cell r="F37">
            <v>-348.84696181496952</v>
          </cell>
          <cell r="G37">
            <v>809.52314187476202</v>
          </cell>
          <cell r="H37">
            <v>2991.6368104933026</v>
          </cell>
          <cell r="I37">
            <v>1560.1745691741198</v>
          </cell>
          <cell r="J37">
            <v>1490.0524560426968</v>
          </cell>
          <cell r="K37">
            <v>1620.8812605568401</v>
          </cell>
          <cell r="L37">
            <v>1718.6463150177158</v>
          </cell>
          <cell r="M37">
            <v>1829.7829978627617</v>
          </cell>
          <cell r="O37" t="str">
            <v>Total Interest-bearing Liab</v>
          </cell>
          <cell r="P37" t="e">
            <v>#DIV/0!</v>
          </cell>
          <cell r="Q37" t="e">
            <v>#DIV/0!</v>
          </cell>
          <cell r="R37" t="e">
            <v>#DIV/0!</v>
          </cell>
          <cell r="S37">
            <v>14.011510950011207</v>
          </cell>
          <cell r="T37">
            <v>6.052874003043951</v>
          </cell>
          <cell r="U37">
            <v>-3.5528831625834978</v>
          </cell>
          <cell r="V37">
            <v>-2.1371974215340095</v>
          </cell>
          <cell r="W37">
            <v>10.634975277782498</v>
          </cell>
          <cell r="X37">
            <v>15.49524352248528</v>
          </cell>
          <cell r="Y37">
            <v>10.527607182868582</v>
          </cell>
          <cell r="Z37">
            <v>9.8009460860920115</v>
          </cell>
        </row>
        <row r="38">
          <cell r="B38" t="str">
            <v>EPS - ModelWare (Won)</v>
          </cell>
          <cell r="E38">
            <v>539.41729366397419</v>
          </cell>
          <cell r="F38">
            <v>-335.01981990678689</v>
          </cell>
          <cell r="G38">
            <v>823.7065861045802</v>
          </cell>
          <cell r="H38">
            <v>3022.0923727670379</v>
          </cell>
          <cell r="I38">
            <v>1598.2141727431476</v>
          </cell>
          <cell r="J38">
            <v>1536.26068147711</v>
          </cell>
          <cell r="K38">
            <v>1665.9325474689722</v>
          </cell>
          <cell r="L38">
            <v>1756.8192599951587</v>
          </cell>
          <cell r="M38">
            <v>1863.3780663234345</v>
          </cell>
          <cell r="O38" t="str">
            <v>Risk-weighted Assets</v>
          </cell>
          <cell r="P38" t="e">
            <v>#DIV/0!</v>
          </cell>
          <cell r="Q38" t="e">
            <v>#DIV/0!</v>
          </cell>
          <cell r="R38">
            <v>15.122834520216589</v>
          </cell>
          <cell r="S38">
            <v>1.9168163590650877</v>
          </cell>
          <cell r="T38">
            <v>-5.4836337671249069E-2</v>
          </cell>
          <cell r="U38">
            <v>7.837236120366331</v>
          </cell>
          <cell r="V38">
            <v>11.559078801496314</v>
          </cell>
          <cell r="W38">
            <v>19.566478925163388</v>
          </cell>
          <cell r="X38">
            <v>11.134951677655947</v>
          </cell>
          <cell r="Y38">
            <v>10.3510817812009</v>
          </cell>
          <cell r="Z38">
            <v>6.7873011392924676</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v>56.567837806498801</v>
          </cell>
          <cell r="Q41">
            <v>62.677510806132275</v>
          </cell>
          <cell r="R41">
            <v>58.769627431668617</v>
          </cell>
          <cell r="S41">
            <v>68.681207604014546</v>
          </cell>
          <cell r="T41">
            <v>79.263424091325078</v>
          </cell>
          <cell r="U41">
            <v>80.597048622380015</v>
          </cell>
          <cell r="V41">
            <v>67.512007897832021</v>
          </cell>
          <cell r="W41">
            <v>68.788125337581448</v>
          </cell>
          <cell r="X41">
            <v>74.70635432277281</v>
          </cell>
          <cell r="Y41">
            <v>74.477018390955052</v>
          </cell>
          <cell r="Z41">
            <v>74.457903078431244</v>
          </cell>
        </row>
        <row r="42">
          <cell r="B42" t="str">
            <v>Total Assets</v>
          </cell>
          <cell r="C42">
            <v>45518.736999999994</v>
          </cell>
          <cell r="D42">
            <v>49236.868000000002</v>
          </cell>
          <cell r="E42">
            <v>57521.608</v>
          </cell>
          <cell r="F42">
            <v>62603.330999999998</v>
          </cell>
          <cell r="G42">
            <v>61301.587</v>
          </cell>
          <cell r="H42">
            <v>64950.975999999995</v>
          </cell>
          <cell r="I42">
            <v>69441.466</v>
          </cell>
          <cell r="J42">
            <v>82024.917000000001</v>
          </cell>
          <cell r="K42">
            <v>89639.236733160506</v>
          </cell>
          <cell r="L42">
            <v>98917.867435454245</v>
          </cell>
          <cell r="M42">
            <v>105631.72097886464</v>
          </cell>
          <cell r="O42" t="str">
            <v>Non-interest Inc/Opg Income</v>
          </cell>
          <cell r="P42">
            <v>43.432162193501199</v>
          </cell>
          <cell r="Q42">
            <v>37.32248919386771</v>
          </cell>
          <cell r="R42">
            <v>41.230372568331397</v>
          </cell>
          <cell r="S42">
            <v>31.318792395985444</v>
          </cell>
          <cell r="T42">
            <v>20.736575908674922</v>
          </cell>
          <cell r="U42">
            <v>19.402951377619974</v>
          </cell>
          <cell r="V42">
            <v>32.487992102167986</v>
          </cell>
          <cell r="W42">
            <v>31.211874662418541</v>
          </cell>
          <cell r="X42">
            <v>25.2936456772272</v>
          </cell>
          <cell r="Y42">
            <v>25.522981609044937</v>
          </cell>
          <cell r="Z42">
            <v>25.542096921568746</v>
          </cell>
        </row>
        <row r="43">
          <cell r="B43" t="str">
            <v>RWA</v>
          </cell>
          <cell r="C43">
            <v>0</v>
          </cell>
          <cell r="D43">
            <v>35863.819000000003</v>
          </cell>
          <cell r="E43">
            <v>41287.445</v>
          </cell>
          <cell r="F43">
            <v>42078.849499999997</v>
          </cell>
          <cell r="G43">
            <v>42055.775000000001</v>
          </cell>
          <cell r="H43">
            <v>45351.785388999997</v>
          </cell>
          <cell r="I43">
            <v>50594.034</v>
          </cell>
          <cell r="J43">
            <v>60493.504999999997</v>
          </cell>
          <cell r="K43">
            <v>67229.427549870379</v>
          </cell>
          <cell r="L43">
            <v>74188.400576590677</v>
          </cell>
          <cell r="M43">
            <v>79223.790734148482</v>
          </cell>
          <cell r="O43" t="str">
            <v>Forex Income/Operating Income</v>
          </cell>
          <cell r="P43">
            <v>19.054882127853144</v>
          </cell>
          <cell r="Q43">
            <v>14.744799062950253</v>
          </cell>
          <cell r="R43">
            <v>13.002628491847922</v>
          </cell>
          <cell r="S43">
            <v>14.269079348649807</v>
          </cell>
          <cell r="T43">
            <v>13.03194395457721</v>
          </cell>
          <cell r="U43">
            <v>11.119943652191186</v>
          </cell>
          <cell r="V43">
            <v>9.9604252657301071</v>
          </cell>
          <cell r="W43">
            <v>10.750473468662197</v>
          </cell>
          <cell r="X43">
            <v>12.367090291202867</v>
          </cell>
          <cell r="Y43">
            <v>12.530204086472137</v>
          </cell>
          <cell r="Z43">
            <v>12.371727893651087</v>
          </cell>
        </row>
        <row r="44">
          <cell r="B44" t="str">
            <v>Total Liquid Assets</v>
          </cell>
          <cell r="C44">
            <v>16606.396999999997</v>
          </cell>
          <cell r="D44">
            <v>15954.6</v>
          </cell>
          <cell r="E44">
            <v>15466.677999999998</v>
          </cell>
          <cell r="F44">
            <v>18651.778999999999</v>
          </cell>
          <cell r="G44">
            <v>17873.575999999997</v>
          </cell>
          <cell r="H44">
            <v>19002.956000000002</v>
          </cell>
          <cell r="I44">
            <v>18286.859</v>
          </cell>
          <cell r="J44">
            <v>19457.932000000001</v>
          </cell>
          <cell r="K44">
            <v>19043.650912419842</v>
          </cell>
          <cell r="L44">
            <v>21384.325970443093</v>
          </cell>
          <cell r="M44">
            <v>20975.087018708524</v>
          </cell>
        </row>
        <row r="45">
          <cell r="B45" t="str">
            <v>Gross Customer Loans</v>
          </cell>
          <cell r="C45">
            <v>27490.632999999998</v>
          </cell>
          <cell r="D45">
            <v>29083.481</v>
          </cell>
          <cell r="E45">
            <v>34226.858999999997</v>
          </cell>
          <cell r="F45">
            <v>40304.274000000005</v>
          </cell>
          <cell r="G45">
            <v>40177.040000000001</v>
          </cell>
          <cell r="H45">
            <v>41491.596999999994</v>
          </cell>
          <cell r="I45">
            <v>46018.135999999999</v>
          </cell>
          <cell r="J45">
            <v>54806.536</v>
          </cell>
          <cell r="K45">
            <v>61018.019630000003</v>
          </cell>
          <cell r="L45">
            <v>67327.046272699998</v>
          </cell>
          <cell r="M45">
            <v>73767.776787259267</v>
          </cell>
          <cell r="O45" t="str">
            <v>Efficiency (%)</v>
          </cell>
        </row>
        <row r="46">
          <cell r="B46" t="str">
            <v>Total Customer Deposits</v>
          </cell>
          <cell r="C46">
            <v>21442.289000000001</v>
          </cell>
          <cell r="D46">
            <v>24772.7</v>
          </cell>
          <cell r="E46">
            <v>31516.885999999999</v>
          </cell>
          <cell r="F46">
            <v>31035.050999999999</v>
          </cell>
          <cell r="G46">
            <v>27983.25</v>
          </cell>
          <cell r="H46">
            <v>27493.97</v>
          </cell>
          <cell r="I46">
            <v>26836.47</v>
          </cell>
          <cell r="J46">
            <v>29603.906999999999</v>
          </cell>
          <cell r="K46">
            <v>30195.985140000001</v>
          </cell>
          <cell r="L46">
            <v>31403.8245456</v>
          </cell>
          <cell r="M46">
            <v>32659.977527424002</v>
          </cell>
          <cell r="O46" t="str">
            <v>Cost/Income</v>
          </cell>
          <cell r="P46">
            <v>47.539268416686731</v>
          </cell>
          <cell r="Q46">
            <v>32.539415173157252</v>
          </cell>
          <cell r="R46">
            <v>37.860382542799243</v>
          </cell>
          <cell r="S46">
            <v>37.9</v>
          </cell>
          <cell r="T46">
            <v>41.552268258216507</v>
          </cell>
          <cell r="U46">
            <v>48.052356414638538</v>
          </cell>
          <cell r="V46">
            <v>38.667878426829766</v>
          </cell>
          <cell r="W46">
            <v>39.296565728389652</v>
          </cell>
          <cell r="X46">
            <v>41.122758466295529</v>
          </cell>
          <cell r="Y46">
            <v>40.134204886596919</v>
          </cell>
          <cell r="Z46">
            <v>39.106398169254497</v>
          </cell>
        </row>
        <row r="47">
          <cell r="B47" t="str">
            <v>Certificates of Deposits</v>
          </cell>
          <cell r="C47">
            <v>62.791999999997643</v>
          </cell>
          <cell r="D47">
            <v>566.82499999999709</v>
          </cell>
          <cell r="E47">
            <v>367.52400000000489</v>
          </cell>
          <cell r="F47">
            <v>2184.1050000000032</v>
          </cell>
          <cell r="G47">
            <v>3327.7129999999961</v>
          </cell>
          <cell r="H47">
            <v>2987.2459999999992</v>
          </cell>
          <cell r="I47">
            <v>3971.6579999999958</v>
          </cell>
          <cell r="J47">
            <v>5571.4760000000024</v>
          </cell>
          <cell r="K47">
            <v>7242.9188000000031</v>
          </cell>
          <cell r="L47">
            <v>8546.6441840000025</v>
          </cell>
          <cell r="M47">
            <v>9572.2414860800036</v>
          </cell>
          <cell r="O47" t="str">
            <v>Expenses/Avg Assets</v>
          </cell>
          <cell r="P47">
            <v>1.2165157423987281</v>
          </cell>
          <cell r="Q47">
            <v>1.0601335931526161</v>
          </cell>
          <cell r="R47">
            <v>1.1306287287203314</v>
          </cell>
          <cell r="S47">
            <v>1.1680355567131651</v>
          </cell>
          <cell r="T47">
            <v>1.4547445162749715</v>
          </cell>
          <cell r="U47">
            <v>1.672322485841337</v>
          </cell>
          <cell r="V47">
            <v>1.6538028232272173</v>
          </cell>
          <cell r="W47">
            <v>1.5178430714886746</v>
          </cell>
          <cell r="X47">
            <v>1.4071757434521734</v>
          </cell>
          <cell r="Y47">
            <v>1.3271823028466816</v>
          </cell>
          <cell r="Z47">
            <v>1.2845814807857585</v>
          </cell>
        </row>
        <row r="48">
          <cell r="B48" t="str">
            <v>Other Interest Bearing Liability</v>
          </cell>
          <cell r="C48">
            <v>9181.3920000000035</v>
          </cell>
          <cell r="D48">
            <v>8357.7680000000037</v>
          </cell>
          <cell r="E48">
            <v>9534.3839999999982</v>
          </cell>
          <cell r="F48">
            <v>10342.241000000002</v>
          </cell>
          <cell r="G48">
            <v>12714.219000000005</v>
          </cell>
          <cell r="H48">
            <v>12671.106</v>
          </cell>
          <cell r="I48">
            <v>13874.025999999998</v>
          </cell>
          <cell r="J48">
            <v>17405.954000000005</v>
          </cell>
          <cell r="K48">
            <v>19560.109398707296</v>
          </cell>
          <cell r="L48">
            <v>24988.28810153294</v>
          </cell>
          <cell r="M48">
            <v>27950.067377516527</v>
          </cell>
        </row>
        <row r="49">
          <cell r="B49" t="str">
            <v>EOP Shareholders' Equity</v>
          </cell>
          <cell r="C49">
            <v>1412.989</v>
          </cell>
          <cell r="D49">
            <v>1674.8879999999999</v>
          </cell>
          <cell r="E49">
            <v>1845.7809999999999</v>
          </cell>
          <cell r="F49">
            <v>2951.8639999999996</v>
          </cell>
          <cell r="G49">
            <v>2929.3900000000003</v>
          </cell>
          <cell r="H49">
            <v>5657.6689999999999</v>
          </cell>
          <cell r="I49">
            <v>6379.165</v>
          </cell>
          <cell r="J49">
            <v>6650.799</v>
          </cell>
          <cell r="K49">
            <v>7263.3943890685905</v>
          </cell>
          <cell r="L49">
            <v>7726.8543031032614</v>
          </cell>
          <cell r="M49">
            <v>8261.9870225237009</v>
          </cell>
          <cell r="O49" t="str">
            <v>Rev Per Employee</v>
          </cell>
          <cell r="P49">
            <v>5.6577008477997584E-2</v>
          </cell>
          <cell r="Q49">
            <v>8.0669366850453381E-2</v>
          </cell>
          <cell r="R49">
            <v>0.1320195453227877</v>
          </cell>
          <cell r="S49">
            <v>0.32132442464736455</v>
          </cell>
          <cell r="T49">
            <v>0.40746853278226569</v>
          </cell>
          <cell r="U49">
            <v>0.41451445283018856</v>
          </cell>
          <cell r="V49">
            <v>0.53015007475568554</v>
          </cell>
          <cell r="W49">
            <v>0.52105806911293195</v>
          </cell>
          <cell r="X49">
            <v>0.51401463749688314</v>
          </cell>
          <cell r="Y49">
            <v>0.54561787096813641</v>
          </cell>
          <cell r="Z49">
            <v>0.58795246723686623</v>
          </cell>
        </row>
        <row r="50">
          <cell r="O50" t="str">
            <v>Exp Per Employee</v>
          </cell>
          <cell r="P50">
            <v>2.6896295922486879E-2</v>
          </cell>
          <cell r="Q50">
            <v>2.6249340197026315E-2</v>
          </cell>
          <cell r="R50">
            <v>4.9983104890471648E-2</v>
          </cell>
          <cell r="S50">
            <v>0.1302061989606533</v>
          </cell>
          <cell r="T50">
            <v>0.16931241780950593</v>
          </cell>
          <cell r="U50">
            <v>0.19918396226415094</v>
          </cell>
          <cell r="V50">
            <v>0.20499778638627561</v>
          </cell>
          <cell r="W50">
            <v>0.20475792661204131</v>
          </cell>
          <cell r="X50">
            <v>0.21137699785924777</v>
          </cell>
          <cell r="Y50">
            <v>0.21897939423223989</v>
          </cell>
          <cell r="Z50">
            <v>0.22992703288360447</v>
          </cell>
        </row>
        <row r="51">
          <cell r="B51" t="str">
            <v>Avg Loans</v>
          </cell>
          <cell r="C51">
            <v>25861.211499999998</v>
          </cell>
          <cell r="D51">
            <v>28287.057000000001</v>
          </cell>
          <cell r="E51">
            <v>31655.17</v>
          </cell>
          <cell r="F51">
            <v>37265.566500000001</v>
          </cell>
          <cell r="G51">
            <v>40240.657000000007</v>
          </cell>
          <cell r="H51">
            <v>40834.318499999994</v>
          </cell>
          <cell r="I51">
            <v>43754.866499999996</v>
          </cell>
          <cell r="J51">
            <v>50412.335999999996</v>
          </cell>
          <cell r="K51">
            <v>57912.277815000001</v>
          </cell>
          <cell r="L51">
            <v>64172.532951350004</v>
          </cell>
          <cell r="M51">
            <v>70547.411529979639</v>
          </cell>
          <cell r="O51" t="str">
            <v>Rev Per Branch</v>
          </cell>
          <cell r="P51">
            <v>0.98215505913272017</v>
          </cell>
          <cell r="Q51">
            <v>1.3528203330411921</v>
          </cell>
          <cell r="R51">
            <v>2.2870444763271163</v>
          </cell>
          <cell r="S51">
            <v>6.533192452830189</v>
          </cell>
          <cell r="T51">
            <v>8.1234269662921363</v>
          </cell>
          <cell r="U51">
            <v>7.9454849909584064</v>
          </cell>
          <cell r="V51">
            <v>9.8760946915827201</v>
          </cell>
          <cell r="W51">
            <v>9.6224342105263165</v>
          </cell>
          <cell r="X51">
            <v>9.4137167905679178</v>
          </cell>
          <cell r="Y51">
            <v>9.9925016497177293</v>
          </cell>
          <cell r="Z51">
            <v>10.767821787793119</v>
          </cell>
        </row>
        <row r="52">
          <cell r="B52" t="str">
            <v>Avg Total Assets</v>
          </cell>
          <cell r="C52">
            <v>43811.763500000001</v>
          </cell>
          <cell r="D52">
            <v>47377.802499999998</v>
          </cell>
          <cell r="E52">
            <v>53379.237999999998</v>
          </cell>
          <cell r="F52">
            <v>60062.469499999999</v>
          </cell>
          <cell r="G52">
            <v>61952.459000000003</v>
          </cell>
          <cell r="H52">
            <v>63126.281499999997</v>
          </cell>
          <cell r="I52">
            <v>67196.22099999999</v>
          </cell>
          <cell r="J52">
            <v>75733.191500000001</v>
          </cell>
          <cell r="K52">
            <v>85832.076866580261</v>
          </cell>
          <cell r="L52">
            <v>94278.552084307375</v>
          </cell>
          <cell r="M52">
            <v>102274.79420715944</v>
          </cell>
          <cell r="O52" t="str">
            <v>Exp Per Branch</v>
          </cell>
          <cell r="P52">
            <v>0.4669093298291721</v>
          </cell>
          <cell r="Q52">
            <v>0.44019982471516217</v>
          </cell>
          <cell r="R52">
            <v>0.86588378766140595</v>
          </cell>
          <cell r="S52">
            <v>2.6473622641509431</v>
          </cell>
          <cell r="T52">
            <v>3.3754681647940075</v>
          </cell>
          <cell r="U52">
            <v>3.817992766726944</v>
          </cell>
          <cell r="V52">
            <v>3.8188762886597942</v>
          </cell>
          <cell r="W52">
            <v>3.7812861842105261</v>
          </cell>
          <cell r="X52">
            <v>3.8711800184863514</v>
          </cell>
          <cell r="Y52">
            <v>4.0104110853942911</v>
          </cell>
          <cell r="Z52">
            <v>4.2109072624901156</v>
          </cell>
        </row>
        <row r="53">
          <cell r="B53" t="str">
            <v>Avg Total Deposits</v>
          </cell>
          <cell r="C53">
            <v>28434.497499999998</v>
          </cell>
          <cell r="D53">
            <v>31820.137999999999</v>
          </cell>
          <cell r="E53">
            <v>36397.792000000001</v>
          </cell>
          <cell r="F53">
            <v>40853.684999999998</v>
          </cell>
          <cell r="G53">
            <v>40449.5245</v>
          </cell>
          <cell r="H53">
            <v>38205.835999999996</v>
          </cell>
          <cell r="I53">
            <v>38249.619500000001</v>
          </cell>
          <cell r="J53">
            <v>41460.361000000004</v>
          </cell>
          <cell r="K53">
            <v>45655.307549999998</v>
          </cell>
          <cell r="L53">
            <v>48229.8136964</v>
          </cell>
          <cell r="M53">
            <v>50817.173780384008</v>
          </cell>
          <cell r="O53" t="str">
            <v>Net Profit Per Branch</v>
          </cell>
          <cell r="P53">
            <v>-0.35366009636443269</v>
          </cell>
          <cell r="Q53">
            <v>0.19504557405784401</v>
          </cell>
          <cell r="R53">
            <v>0.16212769010043068</v>
          </cell>
          <cell r="S53">
            <v>-0.80685660377358415</v>
          </cell>
          <cell r="T53">
            <v>1.9553071161048707</v>
          </cell>
          <cell r="U53">
            <v>6.9776745027124747</v>
          </cell>
          <cell r="V53">
            <v>3.4576193450584163</v>
          </cell>
          <cell r="W53">
            <v>3.1610032894736846</v>
          </cell>
          <cell r="X53">
            <v>3.3503762470147138</v>
          </cell>
          <cell r="Y53">
            <v>3.5524575001111258</v>
          </cell>
          <cell r="Z53">
            <v>3.7821780301937133</v>
          </cell>
        </row>
        <row r="54">
          <cell r="B54" t="str">
            <v>Avg Shareholders' Equity</v>
          </cell>
          <cell r="D54">
            <v>1543.9385</v>
          </cell>
          <cell r="E54">
            <v>1760.3344999999999</v>
          </cell>
          <cell r="F54">
            <v>2398.8224999999998</v>
          </cell>
          <cell r="G54">
            <v>2940.627</v>
          </cell>
          <cell r="H54">
            <v>4293.5295000000006</v>
          </cell>
          <cell r="I54">
            <v>6018.4169999999995</v>
          </cell>
          <cell r="J54">
            <v>6514.982</v>
          </cell>
          <cell r="K54">
            <v>6957.0966945342952</v>
          </cell>
          <cell r="L54">
            <v>7495.1243460859259</v>
          </cell>
          <cell r="M54">
            <v>7994.4206628134816</v>
          </cell>
        </row>
        <row r="55">
          <cell r="B55" t="str">
            <v>Avg Equity/Avg Assets (%)</v>
          </cell>
          <cell r="C55">
            <v>3.2875428536447751</v>
          </cell>
          <cell r="D55">
            <v>3.2587803117293168</v>
          </cell>
          <cell r="E55">
            <v>3.2977887395095449</v>
          </cell>
          <cell r="F55">
            <v>3.9938792393476259</v>
          </cell>
          <cell r="G55">
            <v>4.7465864107185798</v>
          </cell>
          <cell r="H55">
            <v>6.8014928140508326</v>
          </cell>
          <cell r="I55">
            <v>8.9564813473662461</v>
          </cell>
          <cell r="J55">
            <v>8.6025451601362928</v>
          </cell>
          <cell r="K55">
            <v>8.1054740238298066</v>
          </cell>
          <cell r="L55">
            <v>7.9499782085998811</v>
          </cell>
          <cell r="M55">
            <v>7.8166088964409335</v>
          </cell>
          <cell r="O55" t="str">
            <v>Net Interest Margin Analysis (%)</v>
          </cell>
        </row>
        <row r="56">
          <cell r="B56" t="str">
            <v>Avg EA/Avg Assets (%)</v>
          </cell>
          <cell r="C56">
            <v>83.796444304279134</v>
          </cell>
          <cell r="D56">
            <v>83.61745777466146</v>
          </cell>
          <cell r="E56">
            <v>78.980934497416371</v>
          </cell>
          <cell r="F56">
            <v>80.761254746610106</v>
          </cell>
          <cell r="G56">
            <v>84.601302306660671</v>
          </cell>
          <cell r="H56">
            <v>80.890468653044309</v>
          </cell>
          <cell r="I56">
            <v>78.450380416482062</v>
          </cell>
          <cell r="J56">
            <v>77.089427823730361</v>
          </cell>
          <cell r="K56">
            <v>78.432977166613639</v>
          </cell>
          <cell r="L56">
            <v>77.369266791136468</v>
          </cell>
          <cell r="M56">
            <v>77.845337044641383</v>
          </cell>
          <cell r="O56" t="str">
            <v>Int Income/Avg EA</v>
          </cell>
          <cell r="P56">
            <v>8.4745578505530794</v>
          </cell>
          <cell r="Q56">
            <v>7.471149239927974</v>
          </cell>
          <cell r="R56">
            <v>6.1475867991640616</v>
          </cell>
          <cell r="S56">
            <v>5.655518714292417</v>
          </cell>
          <cell r="T56">
            <v>6.0519203000513961</v>
          </cell>
          <cell r="U56">
            <v>6.2765934281208029</v>
          </cell>
          <cell r="V56">
            <v>6.7143272389239854</v>
          </cell>
          <cell r="W56">
            <v>6.847465919627262</v>
          </cell>
          <cell r="X56">
            <v>6.9734438723616927</v>
          </cell>
          <cell r="Y56">
            <v>6.9264383358071431</v>
          </cell>
          <cell r="Z56">
            <v>6.9832119417846119</v>
          </cell>
        </row>
        <row r="57">
          <cell r="B57" t="str">
            <v>Avg Loans/Avg EA (%)</v>
          </cell>
          <cell r="C57">
            <v>70.442139913435952</v>
          </cell>
          <cell r="D57">
            <v>71.402906908032421</v>
          </cell>
          <cell r="E57">
            <v>75.084451468154668</v>
          </cell>
          <cell r="F57">
            <v>76.824808331562465</v>
          </cell>
          <cell r="G57">
            <v>76.776704237150355</v>
          </cell>
          <cell r="H57">
            <v>79.968279550959267</v>
          </cell>
          <cell r="I57">
            <v>83.001599087451964</v>
          </cell>
          <cell r="J57">
            <v>86.348687557341876</v>
          </cell>
          <cell r="K57">
            <v>86.024533362144794</v>
          </cell>
          <cell r="L57">
            <v>87.976726092561279</v>
          </cell>
          <cell r="M57">
            <v>88.609414307052916</v>
          </cell>
          <cell r="O57" t="str">
            <v>Int Exp/Avg Int Bearing Liab.</v>
          </cell>
          <cell r="P57" t="e">
            <v>#DIV/0!</v>
          </cell>
          <cell r="Q57" t="e">
            <v>#DIV/0!</v>
          </cell>
          <cell r="R57">
            <v>3.8461260756095093</v>
          </cell>
          <cell r="S57">
            <v>3.3987363606887526</v>
          </cell>
          <cell r="T57">
            <v>3.1862653599176936</v>
          </cell>
          <cell r="U57">
            <v>3.0250875783727933</v>
          </cell>
          <cell r="V57">
            <v>3.4324511330288514</v>
          </cell>
          <cell r="W57">
            <v>3.8105926627199742</v>
          </cell>
          <cell r="X57">
            <v>4.118825109340853</v>
          </cell>
          <cell r="Y57">
            <v>4.0721422890351553</v>
          </cell>
          <cell r="Z57">
            <v>4.143731085616758</v>
          </cell>
        </row>
        <row r="58">
          <cell r="O58" t="str">
            <v xml:space="preserve">Net Interest Spread </v>
          </cell>
          <cell r="P58">
            <v>0</v>
          </cell>
          <cell r="Q58">
            <v>0</v>
          </cell>
          <cell r="R58">
            <v>2.3014607235545519</v>
          </cell>
          <cell r="S58">
            <v>2.2567823536036649</v>
          </cell>
          <cell r="T58">
            <v>2.865654940133703</v>
          </cell>
          <cell r="U58">
            <v>3.2515058497480092</v>
          </cell>
          <cell r="V58">
            <v>3.281876105895134</v>
          </cell>
          <cell r="W58">
            <v>3.0368732569072874</v>
          </cell>
          <cell r="X58">
            <v>2.8546187630208393</v>
          </cell>
          <cell r="Y58">
            <v>2.8542960467719882</v>
          </cell>
          <cell r="Z58">
            <v>2.839480856167854</v>
          </cell>
        </row>
        <row r="59">
          <cell r="B59" t="str">
            <v>Asset Quality</v>
          </cell>
          <cell r="O59" t="str">
            <v>Contribution From Free Funds</v>
          </cell>
          <cell r="P59">
            <v>1.7274648827245072</v>
          </cell>
          <cell r="Q59">
            <v>2.4421123182349485</v>
          </cell>
          <cell r="R59">
            <v>-0.17176591583885648</v>
          </cell>
          <cell r="S59">
            <v>-0.11953486351951215</v>
          </cell>
          <cell r="T59">
            <v>-5.1063863982928837E-2</v>
          </cell>
          <cell r="U59">
            <v>-1.7619645328871503E-2</v>
          </cell>
          <cell r="V59">
            <v>0.15970829826263389</v>
          </cell>
          <cell r="W59">
            <v>0.18105497625330536</v>
          </cell>
          <cell r="X59">
            <v>0.18940020351708142</v>
          </cell>
          <cell r="Y59">
            <v>0.10921329474468555</v>
          </cell>
          <cell r="Z59">
            <v>8.704727042215632E-2</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v>1.7274648827245072</v>
          </cell>
          <cell r="Q60">
            <v>2.4421123182349485</v>
          </cell>
          <cell r="R60">
            <v>2.1296948077156954</v>
          </cell>
          <cell r="S60">
            <v>2.1372474900841527</v>
          </cell>
          <cell r="T60">
            <v>2.8145910761507742</v>
          </cell>
          <cell r="U60">
            <v>3.2338862044191377</v>
          </cell>
          <cell r="V60">
            <v>3.4415844041577679</v>
          </cell>
          <cell r="W60">
            <v>3.2179282331605927</v>
          </cell>
          <cell r="X60">
            <v>3.0440189665379207</v>
          </cell>
          <cell r="Y60">
            <v>2.9635093415166738</v>
          </cell>
          <cell r="Z60">
            <v>2.9265281265900103</v>
          </cell>
        </row>
        <row r="61">
          <cell r="B61" t="str">
            <v>Non-performing Loans (NPL)</v>
          </cell>
          <cell r="C61">
            <v>2621.0609999999997</v>
          </cell>
          <cell r="D61">
            <v>1188</v>
          </cell>
          <cell r="E61">
            <v>1117.3620000000001</v>
          </cell>
          <cell r="F61">
            <v>1080.202</v>
          </cell>
          <cell r="G61">
            <v>754.83500000000004</v>
          </cell>
          <cell r="H61">
            <v>389.233</v>
          </cell>
          <cell r="I61">
            <v>299.39999999999998</v>
          </cell>
          <cell r="J61">
            <v>360.3</v>
          </cell>
          <cell r="K61">
            <v>524.89139160000002</v>
          </cell>
          <cell r="L61">
            <v>651.06128652000007</v>
          </cell>
          <cell r="M61">
            <v>797.02930309680005</v>
          </cell>
        </row>
        <row r="62">
          <cell r="B62" t="str">
            <v>Gross NPL Ratio (%)</v>
          </cell>
          <cell r="C62">
            <v>9.6067267660159672</v>
          </cell>
          <cell r="D62">
            <v>3.5681033188166391</v>
          </cell>
          <cell r="E62">
            <v>2.8516664708748412</v>
          </cell>
          <cell r="F62">
            <v>2.5917830073643984</v>
          </cell>
          <cell r="G62">
            <v>1.8176115697603716</v>
          </cell>
          <cell r="H62">
            <v>0.89529316295070216</v>
          </cell>
          <cell r="I62">
            <v>0.61557693375249034</v>
          </cell>
          <cell r="J62">
            <v>0.61356902012874226</v>
          </cell>
          <cell r="K62">
            <v>0.8052776260474227</v>
          </cell>
          <cell r="L62">
            <v>0.90804081414053817</v>
          </cell>
          <cell r="M62">
            <v>1.0105669735114473</v>
          </cell>
          <cell r="O62" t="str">
            <v>Liquidity (%)</v>
          </cell>
        </row>
        <row r="63">
          <cell r="B63" t="str">
            <v>Loan Loss Reserve (LLR)</v>
          </cell>
          <cell r="C63">
            <v>1843.229</v>
          </cell>
          <cell r="D63">
            <v>987.57899999999995</v>
          </cell>
          <cell r="E63">
            <v>780.03599999999994</v>
          </cell>
          <cell r="F63">
            <v>885.29600000000005</v>
          </cell>
          <cell r="G63">
            <v>821.41100000000006</v>
          </cell>
          <cell r="H63">
            <v>612.08000000000004</v>
          </cell>
          <cell r="I63">
            <v>616.80770000000007</v>
          </cell>
          <cell r="J63">
            <v>733.08</v>
          </cell>
          <cell r="K63">
            <v>997.98632329199995</v>
          </cell>
          <cell r="L63">
            <v>1253.039100768</v>
          </cell>
          <cell r="M63">
            <v>1548.6860982810001</v>
          </cell>
          <cell r="O63" t="str">
            <v>Avg Loans/Avg EA</v>
          </cell>
          <cell r="P63">
            <v>70.442139913435952</v>
          </cell>
          <cell r="Q63">
            <v>71.402906908032421</v>
          </cell>
          <cell r="R63">
            <v>75.084451468154668</v>
          </cell>
          <cell r="S63">
            <v>76.824808331562465</v>
          </cell>
          <cell r="T63">
            <v>76.776704237150355</v>
          </cell>
          <cell r="U63">
            <v>79.968279550959267</v>
          </cell>
          <cell r="V63">
            <v>83.001599087451964</v>
          </cell>
          <cell r="W63">
            <v>86.348687557341876</v>
          </cell>
          <cell r="X63">
            <v>86.024533362144794</v>
          </cell>
          <cell r="Y63">
            <v>87.976726092561279</v>
          </cell>
          <cell r="Z63">
            <v>88.609414307052916</v>
          </cell>
        </row>
        <row r="64">
          <cell r="B64" t="str">
            <v>LLR/NPL (%)</v>
          </cell>
          <cell r="C64">
            <v>70.323773464257428</v>
          </cell>
          <cell r="D64">
            <v>83.12954545454545</v>
          </cell>
          <cell r="E64">
            <v>69.810500088601529</v>
          </cell>
          <cell r="F64">
            <v>81.956522946634053</v>
          </cell>
          <cell r="G64">
            <v>108.81994078176025</v>
          </cell>
          <cell r="H64">
            <v>157.25285368917847</v>
          </cell>
          <cell r="I64">
            <v>206.01459585838347</v>
          </cell>
          <cell r="J64">
            <v>203.46378018318069</v>
          </cell>
          <cell r="K64">
            <v>190.13196620540651</v>
          </cell>
          <cell r="L64">
            <v>192.46100585486244</v>
          </cell>
          <cell r="M64">
            <v>194.30729739341973</v>
          </cell>
          <cell r="O64" t="str">
            <v>Avg Liquid Assets/AEA</v>
          </cell>
          <cell r="P64">
            <v>44.391695516810259</v>
          </cell>
          <cell r="Q64">
            <v>41.095647341887187</v>
          </cell>
          <cell r="R64">
            <v>37.264835776563451</v>
          </cell>
          <cell r="S64">
            <v>35.168443227525543</v>
          </cell>
          <cell r="T64">
            <v>34.844068003063668</v>
          </cell>
          <cell r="U64">
            <v>36.108755186472571</v>
          </cell>
          <cell r="V64">
            <v>35.368800344474288</v>
          </cell>
          <cell r="W64">
            <v>32.325551874606347</v>
          </cell>
          <cell r="X64">
            <v>28.595669421994092</v>
          </cell>
          <cell r="Y64">
            <v>27.712175950701727</v>
          </cell>
          <cell r="Z64">
            <v>26.602271394211545</v>
          </cell>
        </row>
        <row r="65">
          <cell r="B65" t="str">
            <v>LLR/Total Credit (%)</v>
          </cell>
          <cell r="C65">
            <v>3.0002086490841178</v>
          </cell>
          <cell r="D65">
            <v>0</v>
          </cell>
          <cell r="E65">
            <v>1.9907626241767011</v>
          </cell>
          <cell r="F65">
            <v>2.1241352351575657</v>
          </cell>
          <cell r="G65">
            <v>1.9779238338556597</v>
          </cell>
          <cell r="H65">
            <v>1.4078740476240861</v>
          </cell>
          <cell r="I65">
            <v>1.2681783322676217</v>
          </cell>
          <cell r="J65">
            <v>1.2483907223868396</v>
          </cell>
          <cell r="K65">
            <v>1.5310901838161857</v>
          </cell>
          <cell r="L65">
            <v>1.7476244844675619</v>
          </cell>
          <cell r="M65">
            <v>1.9636053745805688</v>
          </cell>
          <cell r="O65" t="str">
            <v>Avg Loans/Avg Deposits</v>
          </cell>
          <cell r="P65">
            <v>90.950126690299342</v>
          </cell>
          <cell r="Q65">
            <v>88.896713772894387</v>
          </cell>
          <cell r="R65">
            <v>86.97002829182604</v>
          </cell>
          <cell r="S65">
            <v>91.217148465309805</v>
          </cell>
          <cell r="T65">
            <v>99.483634226652057</v>
          </cell>
          <cell r="U65">
            <v>106.87979318133492</v>
          </cell>
          <cell r="V65">
            <v>114.39294579126467</v>
          </cell>
          <cell r="W65">
            <v>121.59164750157383</v>
          </cell>
          <cell r="X65">
            <v>126.84675872915021</v>
          </cell>
          <cell r="Y65">
            <v>133.05573468582568</v>
          </cell>
          <cell r="Z65">
            <v>138.82592494195677</v>
          </cell>
        </row>
        <row r="66">
          <cell r="O66" t="str">
            <v>Avg Loans/Avg Depo &amp; Equity</v>
          </cell>
          <cell r="P66">
            <v>120.92938482629432</v>
          </cell>
          <cell r="Q66">
            <v>114.74812437881401</v>
          </cell>
          <cell r="R66">
            <v>105.85198140352352</v>
          </cell>
          <cell r="S66">
            <v>110.66309661728859</v>
          </cell>
          <cell r="T66">
            <v>124.0090382746076</v>
          </cell>
          <cell r="U66">
            <v>127.47921037244481</v>
          </cell>
          <cell r="V66">
            <v>131.85675367651834</v>
          </cell>
          <cell r="W66">
            <v>145.13340592354368</v>
          </cell>
          <cell r="X66">
            <v>157.12676186469881</v>
          </cell>
          <cell r="Y66">
            <v>167.57405415419896</v>
          </cell>
          <cell r="Z66">
            <v>176.25254716115595</v>
          </cell>
        </row>
        <row r="67">
          <cell r="B67" t="str">
            <v>Specific Reserve</v>
          </cell>
          <cell r="C67">
            <v>117.8972</v>
          </cell>
          <cell r="D67">
            <v>147.245</v>
          </cell>
          <cell r="E67">
            <v>184.59595000000002</v>
          </cell>
          <cell r="F67">
            <v>198.82147499999999</v>
          </cell>
          <cell r="G67">
            <v>200.22189500000005</v>
          </cell>
          <cell r="H67">
            <v>213.13979500000002</v>
          </cell>
          <cell r="I67">
            <v>239.61900000000003</v>
          </cell>
          <cell r="J67">
            <v>290.04899999999998</v>
          </cell>
          <cell r="K67">
            <v>321.61832923440005</v>
          </cell>
          <cell r="L67">
            <v>353.04437059704003</v>
          </cell>
          <cell r="M67">
            <v>387.66602589642002</v>
          </cell>
          <cell r="O67" t="str">
            <v>Period-End Loans/Deposits</v>
          </cell>
          <cell r="P67">
            <v>91.467213784833135</v>
          </cell>
          <cell r="Q67">
            <v>86.59638311621471</v>
          </cell>
          <cell r="R67">
            <v>87.290067949937352</v>
          </cell>
          <cell r="S67">
            <v>94.840537135839497</v>
          </cell>
          <cell r="T67">
            <v>104.62181245827711</v>
          </cell>
          <cell r="U67">
            <v>109.16109990163511</v>
          </cell>
          <cell r="V67">
            <v>119.55951575759258</v>
          </cell>
          <cell r="W67">
            <v>123.35204497239324</v>
          </cell>
          <cell r="X67">
            <v>130.15893536142923</v>
          </cell>
          <cell r="Y67">
            <v>135.79475958299747</v>
          </cell>
          <cell r="Z67">
            <v>141.71300748216854</v>
          </cell>
        </row>
        <row r="68">
          <cell r="B68" t="str">
            <v>Specific Reserve/NPLs (%)</v>
          </cell>
          <cell r="C68">
            <v>4.4980715824622175</v>
          </cell>
          <cell r="D68">
            <v>12.39436026936027</v>
          </cell>
          <cell r="E68">
            <v>16.520693383164993</v>
          </cell>
          <cell r="F68">
            <v>18.405953238375787</v>
          </cell>
          <cell r="G68">
            <v>26.525253201030697</v>
          </cell>
          <cell r="H68">
            <v>54.758922033846055</v>
          </cell>
          <cell r="I68">
            <v>80.033066132264537</v>
          </cell>
          <cell r="J68">
            <v>80.502081598667758</v>
          </cell>
          <cell r="K68">
            <v>61.273309942086698</v>
          </cell>
          <cell r="L68">
            <v>54.225981164400686</v>
          </cell>
          <cell r="M68">
            <v>48.63886740301411</v>
          </cell>
        </row>
        <row r="69">
          <cell r="B69" t="str">
            <v>General Reserve</v>
          </cell>
          <cell r="C69">
            <v>1725.3317999999999</v>
          </cell>
          <cell r="D69">
            <v>840.33399999999995</v>
          </cell>
          <cell r="E69">
            <v>595.44004999999993</v>
          </cell>
          <cell r="F69">
            <v>686.47452500000009</v>
          </cell>
          <cell r="G69">
            <v>621.18910500000004</v>
          </cell>
          <cell r="H69">
            <v>398.94020499999999</v>
          </cell>
          <cell r="I69">
            <v>377.18870000000004</v>
          </cell>
          <cell r="J69">
            <v>443.03100000000006</v>
          </cell>
          <cell r="K69">
            <v>676.36799405759984</v>
          </cell>
          <cell r="L69">
            <v>899.99473017096</v>
          </cell>
          <cell r="M69">
            <v>1161.0200723845801</v>
          </cell>
          <cell r="O69" t="str">
            <v>Capital Information</v>
          </cell>
        </row>
        <row r="70">
          <cell r="B70" t="str">
            <v>General Reserve/NPLs (%)</v>
          </cell>
          <cell r="C70">
            <v>65.825701881795212</v>
          </cell>
          <cell r="D70">
            <v>70.735185185185173</v>
          </cell>
          <cell r="E70">
            <v>53.289806705436547</v>
          </cell>
          <cell r="F70">
            <v>63.550569708258273</v>
          </cell>
          <cell r="G70">
            <v>82.294687580729558</v>
          </cell>
          <cell r="H70">
            <v>102.4939316553324</v>
          </cell>
          <cell r="I70">
            <v>125.98152972611894</v>
          </cell>
          <cell r="J70">
            <v>122.96169858451292</v>
          </cell>
          <cell r="K70">
            <v>128.85865626331977</v>
          </cell>
          <cell r="L70">
            <v>138.23502469046173</v>
          </cell>
          <cell r="M70">
            <v>145.66842999040563</v>
          </cell>
          <cell r="O70" t="str">
            <v>Tier 1 Ratio (%)</v>
          </cell>
          <cell r="P70" t="e">
            <v>#DIV/0!</v>
          </cell>
          <cell r="Q70">
            <v>5.367077611004003</v>
          </cell>
          <cell r="R70">
            <v>4.6556598501069759</v>
          </cell>
          <cell r="S70">
            <v>4.6784596617832905</v>
          </cell>
          <cell r="T70">
            <v>5.5075599011075163</v>
          </cell>
          <cell r="U70">
            <v>9.6463214457287858</v>
          </cell>
          <cell r="V70">
            <v>9.3748642379455269</v>
          </cell>
          <cell r="W70">
            <v>8.6485598743203926</v>
          </cell>
          <cell r="X70">
            <v>8.4146158366320947</v>
          </cell>
          <cell r="Y70">
            <v>8.252325222245867</v>
          </cell>
          <cell r="Z70">
            <v>8.4057772763387391</v>
          </cell>
        </row>
        <row r="71">
          <cell r="B71" t="str">
            <v>Net Charge-offs (NCO)</v>
          </cell>
          <cell r="C71">
            <v>1255.2463950000001</v>
          </cell>
          <cell r="D71">
            <v>1785.11</v>
          </cell>
          <cell r="E71">
            <v>726.24400000000003</v>
          </cell>
          <cell r="F71">
            <v>873.15700000000004</v>
          </cell>
          <cell r="G71">
            <v>2781.9</v>
          </cell>
          <cell r="H71">
            <v>580.1</v>
          </cell>
          <cell r="I71">
            <v>336.95100000000002</v>
          </cell>
          <cell r="J71">
            <v>355.73899999999998</v>
          </cell>
          <cell r="K71">
            <v>160.8769150704</v>
          </cell>
          <cell r="L71">
            <v>244.80404920079997</v>
          </cell>
          <cell r="M71">
            <v>284.22316189385998</v>
          </cell>
          <cell r="O71" t="str">
            <v>Tier 2 Ratio (%)</v>
          </cell>
          <cell r="P71" t="e">
            <v>#DIV/0!</v>
          </cell>
          <cell r="Q71">
            <v>5.367077611004003</v>
          </cell>
          <cell r="R71">
            <v>4.655659850106975</v>
          </cell>
          <cell r="S71">
            <v>4.6784596617832905</v>
          </cell>
          <cell r="T71">
            <v>4.2753890518008522</v>
          </cell>
          <cell r="U71">
            <v>4.489837572070277</v>
          </cell>
          <cell r="V71">
            <v>3.4492742760935018</v>
          </cell>
          <cell r="W71">
            <v>2.9715967028195838</v>
          </cell>
          <cell r="X71">
            <v>3.6014756844680487</v>
          </cell>
          <cell r="Y71">
            <v>3.628440546493465</v>
          </cell>
          <cell r="Z71">
            <v>3.7922678952171851</v>
          </cell>
        </row>
        <row r="72">
          <cell r="B72" t="str">
            <v>NCO/Avg Total Credit (%)</v>
          </cell>
          <cell r="C72">
            <v>4.7598647318587313</v>
          </cell>
          <cell r="D72">
            <v>5.8935332626780204</v>
          </cell>
          <cell r="E72">
            <v>2.0040461232162863</v>
          </cell>
          <cell r="F72">
            <v>2.159656699577825</v>
          </cell>
          <cell r="G72">
            <v>6.686705149292969</v>
          </cell>
          <cell r="H72">
            <v>1.3648700426554239</v>
          </cell>
          <cell r="I72">
            <v>0.73160532121601374</v>
          </cell>
          <cell r="J72">
            <v>0.66270737607268293</v>
          </cell>
          <cell r="K72">
            <v>0.25968115338608083</v>
          </cell>
          <cell r="L72">
            <v>0.35768891430191513</v>
          </cell>
          <cell r="M72">
            <v>0.377531909627565</v>
          </cell>
          <cell r="O72" t="str">
            <v>Total CAR (%)</v>
          </cell>
          <cell r="P72" t="e">
            <v>#DIV/0!</v>
          </cell>
          <cell r="Q72">
            <v>10.734155222008006</v>
          </cell>
          <cell r="R72">
            <v>9.3113197002139501</v>
          </cell>
          <cell r="S72">
            <v>9.3569193235665811</v>
          </cell>
          <cell r="T72">
            <v>9.7829489529083684</v>
          </cell>
          <cell r="U72">
            <v>14.136159017799063</v>
          </cell>
          <cell r="V72">
            <v>12.824138514039028</v>
          </cell>
          <cell r="W72">
            <v>11.620156577139976</v>
          </cell>
          <cell r="X72">
            <v>12.016091521100144</v>
          </cell>
          <cell r="Y72">
            <v>11.880765768739332</v>
          </cell>
          <cell r="Z72">
            <v>12.198045171555924</v>
          </cell>
        </row>
        <row r="73">
          <cell r="B73" t="str">
            <v>LLPE/Avg Loans (%)</v>
          </cell>
          <cell r="C73">
            <v>4.5227579535475373</v>
          </cell>
          <cell r="D73">
            <v>3.2942486735187759</v>
          </cell>
          <cell r="E73">
            <v>1.6385980552307888</v>
          </cell>
          <cell r="F73">
            <v>2.2791817749503416</v>
          </cell>
          <cell r="G73">
            <v>2.0237045334523236</v>
          </cell>
          <cell r="H73">
            <v>0.39889143735801552</v>
          </cell>
          <cell r="I73">
            <v>0.56236333354730239</v>
          </cell>
          <cell r="J73">
            <v>0.7221704624042814</v>
          </cell>
          <cell r="K73">
            <v>0.60533609726467985</v>
          </cell>
          <cell r="L73">
            <v>0.6657568330685818</v>
          </cell>
          <cell r="M73">
            <v>0.72289537544568661</v>
          </cell>
        </row>
        <row r="152">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eward_View_Chart"/>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eward_View_Chart"/>
      <sheetName val="Bear_to_Bull_Chart"/>
      <sheetName val="Bear_to_Bull_Data"/>
      <sheetName val="Comparative_Risk-Reward_Chart"/>
      <sheetName val="Comparative_Risk-Reward_Data"/>
      <sheetName val="Value_of_Growth_Chart"/>
      <sheetName val="Value_of_Growth_Data"/>
      <sheetName val="Ace-Out"/>
      <sheetName val="Sheet1"/>
      <sheetName val="RI Valuation"/>
    </sheetNames>
    <sheetDataSet>
      <sheetData sheetId="0">
        <row r="26">
          <cell r="F26">
            <v>26000</v>
          </cell>
        </row>
        <row r="27">
          <cell r="F27">
            <v>33000</v>
          </cell>
        </row>
        <row r="28">
          <cell r="F28">
            <v>13000</v>
          </cell>
        </row>
      </sheetData>
      <sheetData sheetId="1" refreshError="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brlPreview"/>
      <sheetName val="MODELWARE"/>
      <sheetName val="XOM"/>
      <sheetName val="IS"/>
      <sheetName val="Share Repurchase"/>
      <sheetName val="MainCode"/>
      <sheetName val="WorkingCapital"/>
      <sheetName val="Pension Adjustments"/>
      <sheetName val="BS"/>
      <sheetName val="US Pension"/>
      <sheetName val="Intl Pension"/>
      <sheetName val="OPEBs"/>
      <sheetName val="DRC"/>
      <sheetName val="ReservesRegion"/>
      <sheetName val="ROCE"/>
      <sheetName val="E&amp;PIS"/>
      <sheetName val="R&amp;MIS"/>
      <sheetName val="ChemsIS"/>
      <sheetName val="Corporate"/>
      <sheetName val="Capex"/>
      <sheetName val="E&amp;P"/>
      <sheetName val="NSOURCE"/>
      <sheetName val="GE Data"/>
      <sheetName val="NY UPLOAD"/>
      <sheetName val="MobilPurchase"/>
      <sheetName val="WACC"/>
      <sheetName val="Global E&amp;P Field Percentages"/>
      <sheetName val="NEPS"/>
      <sheetName val="DIVIS"/>
      <sheetName val="Variance"/>
      <sheetName val="xbrldates"/>
      <sheetName val="xbrlSettings"/>
      <sheetName val="NY UPLOAD shadow"/>
      <sheetName val="Scenario"/>
      <sheetName val="Hungary"/>
      <sheetName val="CzechRep"/>
      <sheetName val="Romania"/>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ins"/>
      <sheetName val="rev change analysis"/>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2015 biopharma rev change"/>
      <sheetName val="margins"/>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Bristol-Myers Squibb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428.20430499999929</v>
          </cell>
          <cell r="E12">
            <v>406.00087174999862</v>
          </cell>
          <cell r="F12">
            <v>379.77037045850375</v>
          </cell>
          <cell r="G12">
            <v>349.04459650893114</v>
          </cell>
          <cell r="H12">
            <v>290.7973990176979</v>
          </cell>
          <cell r="BA12" t="str">
            <v>.</v>
          </cell>
        </row>
        <row r="13">
          <cell r="C13" t="str">
            <v>Pipeline products launching 2010–2015</v>
          </cell>
          <cell r="D13">
            <v>509.8125</v>
          </cell>
          <cell r="E13">
            <v>791.0775000000001</v>
          </cell>
          <cell r="F13">
            <v>1302.57</v>
          </cell>
          <cell r="G13">
            <v>1653.0442999999996</v>
          </cell>
          <cell r="H13">
            <v>1227.8117000000011</v>
          </cell>
          <cell r="BA13" t="str">
            <v>.</v>
          </cell>
        </row>
        <row r="14">
          <cell r="C14" t="str">
            <v>Products expiring 2010–2015</v>
          </cell>
          <cell r="D14">
            <v>170.7135303846153</v>
          </cell>
          <cell r="E14">
            <v>-3013.0544055538448</v>
          </cell>
          <cell r="F14">
            <v>-3358.1474564076934</v>
          </cell>
          <cell r="G14">
            <v>-1309.0957018979234</v>
          </cell>
          <cell r="H14">
            <v>-2226.5059205538264</v>
          </cell>
          <cell r="BA14" t="str">
            <v>.</v>
          </cell>
        </row>
        <row r="15">
          <cell r="C15" t="str">
            <v>Biopharmaceuticals net YOY change</v>
          </cell>
          <cell r="D15">
            <v>1108.7303353846146</v>
          </cell>
          <cell r="E15">
            <v>-1815.9760338038468</v>
          </cell>
          <cell r="F15">
            <v>-1675.8070859491891</v>
          </cell>
          <cell r="G15">
            <v>692.99319461100822</v>
          </cell>
          <cell r="H15">
            <v>-707.89682153612739</v>
          </cell>
          <cell r="BA15" t="str">
            <v>.</v>
          </cell>
        </row>
        <row r="16">
          <cell r="C16" t="str">
            <v>Mead Johnson YOY change</v>
          </cell>
          <cell r="D16">
            <v>214.20896000000039</v>
          </cell>
          <cell r="E16">
            <v>221.85658040000044</v>
          </cell>
          <cell r="F16">
            <v>215.35684153200009</v>
          </cell>
          <cell r="G16">
            <v>204.1549097092402</v>
          </cell>
          <cell r="H16">
            <v>188.16653348492491</v>
          </cell>
          <cell r="BA16" t="str">
            <v>.</v>
          </cell>
        </row>
        <row r="17">
          <cell r="C17" t="str">
            <v>Total YOY change</v>
          </cell>
          <cell r="D17">
            <v>1322.9392953846145</v>
          </cell>
          <cell r="E17">
            <v>-1594.1194534038477</v>
          </cell>
          <cell r="F17">
            <v>-1460.4502444171885</v>
          </cell>
          <cell r="G17">
            <v>897.14810432025115</v>
          </cell>
          <cell r="H17">
            <v>-519.73028805120339</v>
          </cell>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ow r="1">
          <cell r="P1" t="str">
            <v>SmartCharts</v>
          </cell>
          <cell r="BA1" t="str">
            <v>.</v>
          </cell>
        </row>
        <row r="2">
          <cell r="BA2" t="str">
            <v>.</v>
          </cell>
        </row>
        <row r="3">
          <cell r="BA3" t="str">
            <v>.</v>
          </cell>
        </row>
        <row r="4">
          <cell r="BA4" t="str">
            <v>.</v>
          </cell>
        </row>
        <row r="5">
          <cell r="C5" t="str">
            <v>Define value axis here:</v>
          </cell>
        </row>
        <row r="6">
          <cell r="C6" t="str">
            <v>Bristol-Myers Squibb 2010E–2015 margins projections</v>
          </cell>
        </row>
        <row r="10">
          <cell r="C10" t="str">
            <v>Input your data here:</v>
          </cell>
          <cell r="BA10" t="str">
            <v>.</v>
          </cell>
        </row>
        <row r="11">
          <cell r="D11">
            <v>2010</v>
          </cell>
          <cell r="E11">
            <v>2015</v>
          </cell>
          <cell r="BA11" t="str">
            <v>.</v>
          </cell>
        </row>
        <row r="12">
          <cell r="C12" t="str">
            <v>Gross margin</v>
          </cell>
          <cell r="D12">
            <v>0.72499999999999998</v>
          </cell>
          <cell r="E12">
            <v>0.68100000000000005</v>
          </cell>
        </row>
        <row r="13">
          <cell r="C13" t="str">
            <v>Operating margin</v>
          </cell>
          <cell r="D13">
            <v>0.30161955647352828</v>
          </cell>
          <cell r="E13">
            <v>0.25676950311816399</v>
          </cell>
        </row>
        <row r="14">
          <cell r="C14" t="str">
            <v>Net margin</v>
          </cell>
          <cell r="D14">
            <v>0.18869606564379282</v>
          </cell>
          <cell r="E14">
            <v>0.17772499764542135</v>
          </cell>
          <cell r="BA14" t="str">
            <v>.</v>
          </cell>
        </row>
        <row r="15">
          <cell r="BA15" t="str">
            <v>.</v>
          </cell>
        </row>
        <row r="16">
          <cell r="BA16" t="str">
            <v>.</v>
          </cell>
        </row>
        <row r="17">
          <cell r="BA17" t="str">
            <v>.</v>
          </cell>
        </row>
        <row r="18">
          <cell r="C18" t="str">
            <v xml:space="preserve">More than six categories will make this chart </v>
          </cell>
          <cell r="BA18" t="str">
            <v>.</v>
          </cell>
        </row>
        <row r="19">
          <cell r="C19" t="str">
            <v>cluttered and too difficult to read.</v>
          </cell>
          <cell r="BA19"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BA35" t="str">
            <v>.</v>
          </cell>
        </row>
        <row r="36">
          <cell r="BA36" t="str">
            <v>.</v>
          </cell>
        </row>
        <row r="37">
          <cell r="BA37" t="str">
            <v>.</v>
          </cell>
        </row>
        <row r="38">
          <cell r="BA38" t="str">
            <v>.</v>
          </cell>
        </row>
        <row r="39">
          <cell r="BA39" t="str">
            <v>.</v>
          </cell>
        </row>
        <row r="40">
          <cell r="BA40" t="str">
            <v>.</v>
          </cell>
        </row>
        <row r="41">
          <cell r="BA41" t="str">
            <v>.</v>
          </cell>
        </row>
        <row r="42">
          <cell r="I42" t="str">
            <v>Do not change the width of the exhibit or font sizes (they are optimized for export to Word).</v>
          </cell>
          <cell r="BA42" t="str">
            <v>.</v>
          </cell>
        </row>
        <row r="43">
          <cell r="BA43" t="str">
            <v>.</v>
          </cell>
        </row>
        <row r="44">
          <cell r="I44" t="str">
            <v>Do not delete any rows or columns (some gray cells are used for calculations).</v>
          </cell>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BA997" t="str">
            <v>.</v>
          </cell>
        </row>
        <row r="998">
          <cell r="A998" t="str">
            <v>.</v>
          </cell>
          <cell r="B998" t="str">
            <v>.</v>
          </cell>
          <cell r="C998" t="str">
            <v>.</v>
          </cell>
          <cell r="D998" t="str">
            <v>.</v>
          </cell>
          <cell r="E998" t="str">
            <v>.</v>
          </cell>
          <cell r="G998" t="str">
            <v>.</v>
          </cell>
          <cell r="H998" t="str">
            <v>.</v>
          </cell>
          <cell r="I998" t="str">
            <v>.</v>
          </cell>
          <cell r="S998" t="str">
            <v>.</v>
          </cell>
          <cell r="T998" t="str">
            <v>.</v>
          </cell>
          <cell r="U998" t="str">
            <v>.</v>
          </cell>
          <cell r="V998" t="str">
            <v>.</v>
          </cell>
          <cell r="W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cell r="AV998" t="str">
            <v>.</v>
          </cell>
          <cell r="AW998" t="str">
            <v>.</v>
          </cell>
          <cell r="AX998" t="str">
            <v>.</v>
          </cell>
          <cell r="AY998" t="str">
            <v>.</v>
          </cell>
          <cell r="AZ998" t="str">
            <v>.</v>
          </cell>
          <cell r="BA998" t="str">
            <v>.</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amp;EuroEarnings"/>
      <sheetName val="Upstream"/>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WC"/>
      <sheetName val="UPDATE"/>
      <sheetName val="cnsns"/>
      <sheetName val="trsht"/>
      <sheetName val="1997 Yr var "/>
      <sheetName val="q4 1997 var"/>
      <sheetName val="q1 1998"/>
      <sheetName val="q2 1998 "/>
      <sheetName val="q3 1998"/>
      <sheetName val="q4 1998 "/>
      <sheetName val="q1 1999  revised"/>
      <sheetName val="q1 1999 "/>
      <sheetName val="Q2 1999 VAR"/>
      <sheetName val="3Q 99 VAR"/>
      <sheetName val="4Q 99 VAR"/>
      <sheetName val="1Q 00 VAR"/>
      <sheetName val="2Q 00 VAR"/>
      <sheetName val="3Q 00 VAR"/>
      <sheetName val="Accounts"/>
      <sheetName val="Technology bank"/>
      <sheetName val="Qtrly bal sht"/>
      <sheetName val="qtrly cash flow"/>
      <sheetName val="Regression Auto"/>
      <sheetName val="Regression ALL"/>
      <sheetName val="ODS new"/>
      <sheetName val="old ODS"/>
      <sheetName val="ROA by segment"/>
      <sheetName val="GE Appliance Data"/>
      <sheetName val="sale of occupant safety systems"/>
      <sheetName val="trwlva"/>
      <sheetName val="astrolink"/>
      <sheetName val="Sales_Product"/>
      <sheetName val="breakup"/>
      <sheetName val="Sale-Tear"/>
      <sheetName val="SOTP EBITDA"/>
      <sheetName val="SOTP NI"/>
      <sheetName val="segrevs"/>
      <sheetName val="Sheet1"/>
      <sheetName val="S&amp;Drevca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7">
          <cell r="AT27">
            <v>-225</v>
          </cell>
          <cell r="AU27">
            <v>-225</v>
          </cell>
        </row>
        <row r="31">
          <cell r="AT31">
            <v>0</v>
          </cell>
          <cell r="AU3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WA RR"/>
      <sheetName val="rr sheet"/>
    </sheetNames>
    <definedNames>
      <definedName name="PRT6BD5BK32"/>
    </defined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
      <sheetName val="Input"/>
      <sheetName val="Ratings Monitor"/>
      <sheetName val="Historical Ratings"/>
      <sheetName val="Ratings Source Codes"/>
      <sheetName val="How to find codes"/>
      <sheetName val="How to create formulas"/>
    </sheetNames>
    <sheetDataSet>
      <sheetData sheetId="0" refreshError="1"/>
      <sheetData sheetId="1">
        <row r="4">
          <cell r="N4" t="str">
            <v>List 1 - My companies</v>
          </cell>
          <cell r="O4" t="str">
            <v>List 2 - Countries</v>
          </cell>
          <cell r="P4" t="str">
            <v>List 3 - Other issuers</v>
          </cell>
          <cell r="Q4" t="str">
            <v>List 4 - Custom</v>
          </cell>
        </row>
      </sheetData>
      <sheetData sheetId="2" refreshError="1"/>
      <sheetData sheetId="3" refreshError="1"/>
      <sheetData sheetId="4" refreshError="1"/>
      <sheetData sheetId="5" refreshError="1"/>
      <sheetData sheetId="6">
        <row r="30">
          <cell r="D30" t="str">
            <v>US10YT=RR</v>
          </cell>
        </row>
        <row r="31">
          <cell r="D31">
            <v>42488</v>
          </cell>
        </row>
        <row r="32">
          <cell r="D32">
            <v>36526</v>
          </cell>
        </row>
        <row r="33">
          <cell r="D33">
            <v>2</v>
          </cell>
        </row>
        <row r="39">
          <cell r="D39" t="str">
            <v>MDY</v>
          </cell>
        </row>
        <row r="42">
          <cell r="D42" t="str">
            <v>TR.GR.Rating</v>
          </cell>
        </row>
        <row r="43">
          <cell r="D43" t="str">
            <v>TR.GR.RatingRank</v>
          </cell>
        </row>
        <row r="44">
          <cell r="D44" t="str">
            <v>TR.GR.RatingSourceTypeDescription</v>
          </cell>
        </row>
        <row r="45">
          <cell r="D45" t="str">
            <v>TR.GR.RatingSPEquivalent</v>
          </cell>
        </row>
        <row r="46">
          <cell r="D46" t="str">
            <v>TR.GR.RatingSPEquivalentRank</v>
          </cell>
        </row>
        <row r="47">
          <cell r="D47" t="str">
            <v>TR.GR.VerifiedDate</v>
          </cell>
        </row>
        <row r="48">
          <cell r="D48" t="str">
            <v>TR.GR.PreliminaryFlag</v>
          </cell>
        </row>
        <row r="49">
          <cell r="D49" t="str">
            <v>TR.GR.RatingEndorsement</v>
          </cell>
        </row>
        <row r="50">
          <cell r="D50" t="str">
            <v>TR.GR.UnsolicitedFlag</v>
          </cell>
        </row>
        <row r="51">
          <cell r="D51" t="str">
            <v>TR.GR.RatingSourceDescription</v>
          </cell>
        </row>
        <row r="52">
          <cell r="D52" t="str">
            <v>TR.GR.RatingDate</v>
          </cell>
        </row>
        <row r="53">
          <cell r="D53" t="str">
            <v>TR.GR.RatingSuffix</v>
          </cell>
        </row>
        <row r="54">
          <cell r="D54" t="str">
            <v>TR.GR.RatingEndorDescription</v>
          </cell>
        </row>
        <row r="55">
          <cell r="D55" t="str">
            <v>TR.GR.RatingSourceCode</v>
          </cell>
        </row>
        <row r="98">
          <cell r="D98" t="str">
            <v>S&amp;P</v>
          </cell>
        </row>
        <row r="101">
          <cell r="D101" t="str">
            <v>TR.GW.WatchDate</v>
          </cell>
        </row>
        <row r="102">
          <cell r="D102" t="str">
            <v>TR.GW.WatchEndDate</v>
          </cell>
        </row>
        <row r="103">
          <cell r="D103" t="str">
            <v>TR.GW.WatchSourceDescription</v>
          </cell>
        </row>
        <row r="104">
          <cell r="D104" t="str">
            <v>TR.GW.WatchSourceCode</v>
          </cell>
        </row>
        <row r="105">
          <cell r="D105" t="str">
            <v>TR.GW.WatchType</v>
          </cell>
        </row>
        <row r="106">
          <cell r="D106" t="str">
            <v>TR.GW.WatchTypeDescription</v>
          </cell>
        </row>
        <row r="140">
          <cell r="D140" t="str">
            <v>FTC</v>
          </cell>
        </row>
        <row r="143">
          <cell r="D143" t="str">
            <v>TR.GO.Outlook</v>
          </cell>
        </row>
        <row r="144">
          <cell r="D144" t="str">
            <v>TR.GO.OutlookDate</v>
          </cell>
        </row>
        <row r="145">
          <cell r="D145" t="str">
            <v>TR.GO.OutlookDescription</v>
          </cell>
        </row>
        <row r="146">
          <cell r="D146" t="str">
            <v>TR.GO.OutlookEndDate</v>
          </cell>
        </row>
        <row r="147">
          <cell r="D147" t="str">
            <v>TR.GO.OutlookSourceCode</v>
          </cell>
        </row>
        <row r="148">
          <cell r="D148" t="str">
            <v>TR.GO.OutlookSourceDescription</v>
          </cell>
        </row>
        <row r="187">
          <cell r="D187" t="str">
            <v>SPI</v>
          </cell>
        </row>
        <row r="191">
          <cell r="D191" t="str">
            <v>TR.IR.PreliminaryFlag</v>
          </cell>
        </row>
        <row r="192">
          <cell r="D192" t="str">
            <v>TR.IR.Rating</v>
          </cell>
        </row>
        <row r="193">
          <cell r="D193" t="str">
            <v>TR.IssuerRating</v>
          </cell>
        </row>
        <row r="194">
          <cell r="D194" t="str">
            <v>TR.IR.RatingDate</v>
          </cell>
        </row>
        <row r="195">
          <cell r="D195" t="str">
            <v>TR.IR.RatingEndorDescription</v>
          </cell>
        </row>
        <row r="196">
          <cell r="D196" t="str">
            <v>TR.IR.RatingEndorsement</v>
          </cell>
        </row>
        <row r="197">
          <cell r="D197" t="str">
            <v>TR.IR.RatingRank</v>
          </cell>
        </row>
        <row r="198">
          <cell r="D198" t="str">
            <v>TR.IR.RatingSourceDescription</v>
          </cell>
        </row>
        <row r="199">
          <cell r="D199" t="str">
            <v>TR.IR.RatingScopeDescription</v>
          </cell>
        </row>
        <row r="200">
          <cell r="D200" t="str">
            <v>TR.IR.RatingSourceType</v>
          </cell>
        </row>
        <row r="201">
          <cell r="D201" t="str">
            <v>TR.IR.RatingSpEquivalentRank</v>
          </cell>
        </row>
        <row r="202">
          <cell r="D202" t="str">
            <v>TR.IR.RatingType</v>
          </cell>
        </row>
        <row r="203">
          <cell r="D203" t="str">
            <v>TR.IR.RatingTypeDescription</v>
          </cell>
        </row>
        <row r="204">
          <cell r="D204" t="str">
            <v>TR.IR.UnsolicitedFlag</v>
          </cell>
        </row>
        <row r="205">
          <cell r="D205" t="str">
            <v>TR.IR.VerifiedDate</v>
          </cell>
        </row>
        <row r="206">
          <cell r="D206" t="str">
            <v>TR.IR.RatingSourceCode</v>
          </cell>
        </row>
        <row r="249">
          <cell r="D249" t="str">
            <v>SPI</v>
          </cell>
        </row>
        <row r="250">
          <cell r="D250" t="str">
            <v>FRN</v>
          </cell>
        </row>
        <row r="253">
          <cell r="D253" t="str">
            <v>TR.IW.WatchDate</v>
          </cell>
        </row>
        <row r="254">
          <cell r="D254" t="str">
            <v>TR.IW.WatchEndDate</v>
          </cell>
        </row>
        <row r="255">
          <cell r="D255" t="str">
            <v>TR.IW.WatchSourceDescription</v>
          </cell>
        </row>
        <row r="256">
          <cell r="D256" t="str">
            <v>TR.IW.WatchType</v>
          </cell>
        </row>
        <row r="257">
          <cell r="D257" t="str">
            <v>TR.IW.WatchTypeDescription</v>
          </cell>
        </row>
        <row r="258">
          <cell r="D258" t="str">
            <v>TR.IW.WatchSourceCode</v>
          </cell>
        </row>
        <row r="259">
          <cell r="D259" t="str">
            <v>TR.IW.WatchScopeDescription</v>
          </cell>
        </row>
        <row r="298">
          <cell r="D298" t="str">
            <v>FTC</v>
          </cell>
        </row>
        <row r="299">
          <cell r="D299" t="str">
            <v>FRN</v>
          </cell>
        </row>
        <row r="302">
          <cell r="D302" t="str">
            <v>TR.IO.OutlookSourceCode</v>
          </cell>
        </row>
        <row r="303">
          <cell r="D303" t="str">
            <v>TR.IO.OutlookSourceDescription</v>
          </cell>
        </row>
        <row r="304">
          <cell r="D304" t="str">
            <v>TR.IO.OutlookScopeDescription</v>
          </cell>
        </row>
        <row r="305">
          <cell r="D305" t="str">
            <v>TR.IO.Outlook</v>
          </cell>
        </row>
        <row r="306">
          <cell r="D306" t="str">
            <v>TR.IO.OutlookDescription</v>
          </cell>
        </row>
        <row r="307">
          <cell r="D307" t="str">
            <v>TR.IO.OutlookDate</v>
          </cell>
        </row>
        <row r="308">
          <cell r="D308" t="str">
            <v>TR.IO.OutlookEndDate</v>
          </cell>
        </row>
        <row r="309">
          <cell r="D309" t="str">
            <v>TR.IO.OutlookRatingSourceDescription</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
      <sheetName val="Input"/>
      <sheetName val="Ratings Monitor"/>
      <sheetName val="Historical Ratings"/>
      <sheetName val="Ratings Source Codes"/>
      <sheetName val="How to find codes"/>
      <sheetName val="How to create formulas"/>
    </sheetNames>
    <sheetDataSet>
      <sheetData sheetId="0" refreshError="1"/>
      <sheetData sheetId="1">
        <row r="4">
          <cell r="N4" t="str">
            <v>List 1 - My companies</v>
          </cell>
          <cell r="O4" t="str">
            <v>List 2 - Countries</v>
          </cell>
          <cell r="P4" t="str">
            <v>List 3 - Other issuers</v>
          </cell>
          <cell r="Q4" t="str">
            <v>List 4 - Custom</v>
          </cell>
        </row>
      </sheetData>
      <sheetData sheetId="2" refreshError="1"/>
      <sheetData sheetId="3" refreshError="1"/>
      <sheetData sheetId="4" refreshError="1"/>
      <sheetData sheetId="5" refreshError="1"/>
      <sheetData sheetId="6">
        <row r="30">
          <cell r="D30" t="str">
            <v>US10YT=RR</v>
          </cell>
        </row>
        <row r="31">
          <cell r="D31">
            <v>42488</v>
          </cell>
        </row>
        <row r="32">
          <cell r="D32">
            <v>36526</v>
          </cell>
        </row>
        <row r="33">
          <cell r="D33">
            <v>2</v>
          </cell>
        </row>
        <row r="39">
          <cell r="D39" t="str">
            <v>MDY</v>
          </cell>
        </row>
        <row r="42">
          <cell r="D42" t="str">
            <v>TR.GR.Rating</v>
          </cell>
        </row>
        <row r="43">
          <cell r="D43" t="str">
            <v>TR.GR.RatingRank</v>
          </cell>
        </row>
        <row r="44">
          <cell r="D44" t="str">
            <v>TR.GR.RatingSourceTypeDescription</v>
          </cell>
        </row>
        <row r="45">
          <cell r="D45" t="str">
            <v>TR.GR.RatingSPEquivalent</v>
          </cell>
        </row>
        <row r="46">
          <cell r="D46" t="str">
            <v>TR.GR.RatingSPEquivalentRank</v>
          </cell>
        </row>
        <row r="47">
          <cell r="D47" t="str">
            <v>TR.GR.VerifiedDate</v>
          </cell>
        </row>
        <row r="48">
          <cell r="D48" t="str">
            <v>TR.GR.PreliminaryFlag</v>
          </cell>
        </row>
        <row r="49">
          <cell r="D49" t="str">
            <v>TR.GR.RatingEndorsement</v>
          </cell>
        </row>
        <row r="50">
          <cell r="D50" t="str">
            <v>TR.GR.UnsolicitedFlag</v>
          </cell>
        </row>
        <row r="51">
          <cell r="D51" t="str">
            <v>TR.GR.RatingSourceDescription</v>
          </cell>
        </row>
        <row r="52">
          <cell r="D52" t="str">
            <v>TR.GR.RatingDate</v>
          </cell>
        </row>
        <row r="53">
          <cell r="D53" t="str">
            <v>TR.GR.RatingSuffix</v>
          </cell>
        </row>
        <row r="54">
          <cell r="D54" t="str">
            <v>TR.GR.RatingEndorDescription</v>
          </cell>
        </row>
        <row r="55">
          <cell r="D55" t="str">
            <v>TR.GR.RatingSourceCode</v>
          </cell>
        </row>
        <row r="98">
          <cell r="D98" t="str">
            <v>S&amp;P</v>
          </cell>
        </row>
        <row r="101">
          <cell r="D101" t="str">
            <v>TR.GW.WatchDate</v>
          </cell>
        </row>
        <row r="102">
          <cell r="D102" t="str">
            <v>TR.GW.WatchEndDate</v>
          </cell>
        </row>
        <row r="103">
          <cell r="D103" t="str">
            <v>TR.GW.WatchSourceDescription</v>
          </cell>
        </row>
        <row r="104">
          <cell r="D104" t="str">
            <v>TR.GW.WatchSourceCode</v>
          </cell>
        </row>
        <row r="105">
          <cell r="D105" t="str">
            <v>TR.GW.WatchType</v>
          </cell>
        </row>
        <row r="106">
          <cell r="D106" t="str">
            <v>TR.GW.WatchTypeDescription</v>
          </cell>
        </row>
        <row r="140">
          <cell r="D140" t="str">
            <v>FTC</v>
          </cell>
        </row>
        <row r="143">
          <cell r="D143" t="str">
            <v>TR.GO.Outlook</v>
          </cell>
        </row>
        <row r="144">
          <cell r="D144" t="str">
            <v>TR.GO.OutlookDate</v>
          </cell>
        </row>
        <row r="145">
          <cell r="D145" t="str">
            <v>TR.GO.OutlookDescription</v>
          </cell>
        </row>
        <row r="146">
          <cell r="D146" t="str">
            <v>TR.GO.OutlookEndDate</v>
          </cell>
        </row>
        <row r="147">
          <cell r="D147" t="str">
            <v>TR.GO.OutlookSourceCode</v>
          </cell>
        </row>
        <row r="148">
          <cell r="D148" t="str">
            <v>TR.GO.OutlookSourceDescription</v>
          </cell>
        </row>
        <row r="187">
          <cell r="D187" t="str">
            <v>SPI</v>
          </cell>
        </row>
        <row r="191">
          <cell r="D191" t="str">
            <v>TR.IR.PreliminaryFlag</v>
          </cell>
        </row>
        <row r="192">
          <cell r="D192" t="str">
            <v>TR.IR.Rating</v>
          </cell>
        </row>
        <row r="193">
          <cell r="D193" t="str">
            <v>TR.IssuerRating</v>
          </cell>
        </row>
        <row r="194">
          <cell r="D194" t="str">
            <v>TR.IR.RatingDate</v>
          </cell>
        </row>
        <row r="195">
          <cell r="D195" t="str">
            <v>TR.IR.RatingEndorDescription</v>
          </cell>
        </row>
        <row r="196">
          <cell r="D196" t="str">
            <v>TR.IR.RatingEndorsement</v>
          </cell>
        </row>
        <row r="197">
          <cell r="D197" t="str">
            <v>TR.IR.RatingRank</v>
          </cell>
        </row>
        <row r="198">
          <cell r="D198" t="str">
            <v>TR.IR.RatingSourceDescription</v>
          </cell>
        </row>
        <row r="199">
          <cell r="D199" t="str">
            <v>TR.IR.RatingScopeDescription</v>
          </cell>
        </row>
        <row r="200">
          <cell r="D200" t="str">
            <v>TR.IR.RatingSourceType</v>
          </cell>
        </row>
        <row r="201">
          <cell r="D201" t="str">
            <v>TR.IR.RatingSpEquivalentRank</v>
          </cell>
        </row>
        <row r="202">
          <cell r="D202" t="str">
            <v>TR.IR.RatingType</v>
          </cell>
        </row>
        <row r="203">
          <cell r="D203" t="str">
            <v>TR.IR.RatingTypeDescription</v>
          </cell>
        </row>
        <row r="204">
          <cell r="D204" t="str">
            <v>TR.IR.UnsolicitedFlag</v>
          </cell>
        </row>
        <row r="205">
          <cell r="D205" t="str">
            <v>TR.IR.VerifiedDate</v>
          </cell>
        </row>
        <row r="206">
          <cell r="D206" t="str">
            <v>TR.IR.RatingSourceCode</v>
          </cell>
        </row>
        <row r="249">
          <cell r="D249" t="str">
            <v>SPI</v>
          </cell>
        </row>
        <row r="250">
          <cell r="D250" t="str">
            <v>FRN</v>
          </cell>
        </row>
        <row r="253">
          <cell r="D253" t="str">
            <v>TR.IW.WatchDate</v>
          </cell>
        </row>
        <row r="254">
          <cell r="D254" t="str">
            <v>TR.IW.WatchEndDate</v>
          </cell>
        </row>
        <row r="255">
          <cell r="D255" t="str">
            <v>TR.IW.WatchSourceDescription</v>
          </cell>
        </row>
        <row r="256">
          <cell r="D256" t="str">
            <v>TR.IW.WatchType</v>
          </cell>
        </row>
        <row r="257">
          <cell r="D257" t="str">
            <v>TR.IW.WatchTypeDescription</v>
          </cell>
        </row>
        <row r="258">
          <cell r="D258" t="str">
            <v>TR.IW.WatchSourceCode</v>
          </cell>
        </row>
        <row r="259">
          <cell r="D259" t="str">
            <v>TR.IW.WatchScopeDescription</v>
          </cell>
        </row>
        <row r="298">
          <cell r="D298" t="str">
            <v>FTC</v>
          </cell>
        </row>
        <row r="299">
          <cell r="D299" t="str">
            <v>FRN</v>
          </cell>
        </row>
        <row r="302">
          <cell r="D302" t="str">
            <v>TR.IO.OutlookSourceCode</v>
          </cell>
        </row>
        <row r="303">
          <cell r="D303" t="str">
            <v>TR.IO.OutlookSourceDescription</v>
          </cell>
        </row>
        <row r="304">
          <cell r="D304" t="str">
            <v>TR.IO.OutlookScopeDescription</v>
          </cell>
        </row>
        <row r="305">
          <cell r="D305" t="str">
            <v>TR.IO.Outlook</v>
          </cell>
        </row>
        <row r="306">
          <cell r="D306" t="str">
            <v>TR.IO.OutlookDescription</v>
          </cell>
        </row>
        <row r="307">
          <cell r="D307" t="str">
            <v>TR.IO.OutlookDate</v>
          </cell>
        </row>
        <row r="308">
          <cell r="D308" t="str">
            <v>TR.IO.OutlookEndDate</v>
          </cell>
        </row>
        <row r="309">
          <cell r="D309" t="str">
            <v>TR.IO.OutlookRatingSourceDescription</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Guidance"/>
      <sheetName val="Financials"/>
      <sheetName val="Debt"/>
      <sheetName val="DCF"/>
      <sheetName val="WACC Calculation"/>
      <sheetName val="Power Generation Portfolio"/>
      <sheetName val="Reporting Update"/>
      <sheetName val="Revenue Build"/>
      <sheetName val="Market Prices"/>
      <sheetName val="Peer Capacity Analysis "/>
      <sheetName val="Generation Portfolio"/>
      <sheetName val="Peer Analysis"/>
      <sheetName val="Historicals (Peers- A) "/>
      <sheetName val="TSR List"/>
      <sheetName val="Net_generation_for_all_sectors"/>
      <sheetName val="Consensus Summary TR"/>
      <sheetName val="Forward EVEBITDA"/>
      <sheetName val="Chart Forward EVEBITDA"/>
      <sheetName val="Consensus Summary"/>
      <sheetName val="Revenue, Volumes &amp; COGS"/>
      <sheetName val="Segment Financials"/>
      <sheetName val="Controls"/>
      <sheetName val="1Q20 Earnings Call"/>
      <sheetName val="STEO May20"/>
      <sheetName val="Pension"/>
      <sheetName val="Terms"/>
      <sheetName val="Segment Research"/>
      <sheetName val="Peer Analysis BBG"/>
      <sheetName val="TSR decomposition"/>
      <sheetName val="Forward EV Revenue"/>
      <sheetName val="Chart EV Revenue"/>
    </sheetNames>
    <sheetDataSet>
      <sheetData sheetId="0">
        <row r="3">
          <cell r="V3">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X3">
            <v>0</v>
          </cell>
        </row>
      </sheetData>
      <sheetData sheetId="10" refreshError="1"/>
      <sheetData sheetId="11" refreshError="1"/>
      <sheetData sheetId="12" refreshError="1"/>
      <sheetData sheetId="13" refreshError="1"/>
      <sheetData sheetId="14" refreshError="1"/>
      <sheetData sheetId="15" refreshError="1"/>
      <sheetData sheetId="16">
        <row r="3">
          <cell r="N3">
            <v>0</v>
          </cell>
        </row>
      </sheetData>
      <sheetData sheetId="17">
        <row r="3">
          <cell r="G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M4">
            <v>0</v>
          </cell>
        </row>
      </sheetData>
      <sheetData sheetId="30">
        <row r="3">
          <cell r="H3">
            <v>0</v>
          </cell>
        </row>
      </sheetData>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DCF"/>
      <sheetName val="Financials"/>
      <sheetName val="Segment Snapshot"/>
      <sheetName val="Comp"/>
      <sheetName val="Peer Analysiss"/>
      <sheetName val="Debt"/>
      <sheetName val="TSR List"/>
      <sheetName val="Historical Consolidated"/>
      <sheetName val="TSR decomposition"/>
      <sheetName val="ahihih"/>
      <sheetName val="New Peers"/>
      <sheetName val="Forward EV-EBITDA"/>
      <sheetName val="Peer Analysis"/>
      <sheetName val="SOTP"/>
      <sheetName val="Consensus Summary TR"/>
      <sheetName val="Construction Spending"/>
      <sheetName val="WACC Calculation"/>
      <sheetName val="Chart EV-EBITDA (2)"/>
      <sheetName val="Other Pulls"/>
      <sheetName val="Chart EV-EBITDA"/>
      <sheetName val="Forward EV Revenue"/>
      <sheetName val="Chart EV Revenue"/>
      <sheetName val="Forward PE"/>
      <sheetName val="Chart Forward PE"/>
      <sheetName val="Consensus Summary"/>
      <sheetName val="Pension"/>
      <sheetName val="Segment Research &gt;&gt;"/>
      <sheetName val="Business Overview"/>
      <sheetName val="AFP"/>
      <sheetName val="AM"/>
      <sheetName val="CI"/>
      <sheetName val="Fibers"/>
      <sheetName val="By Segment"/>
      <sheetName val="Historical Segment"/>
      <sheetName val="AFP (Factset Multiple)"/>
      <sheetName val="AM (Factset Multiple)"/>
    </sheetNames>
    <sheetDataSet>
      <sheetData sheetId="0" refreshError="1"/>
      <sheetData sheetId="1" refreshError="1"/>
      <sheetData sheetId="2" refreshError="1">
        <row r="1">
          <cell r="A1" t="str">
            <v>Eastman Chemical Co.</v>
          </cell>
        </row>
        <row r="2">
          <cell r="AB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I2">
            <v>0</v>
          </cell>
        </row>
      </sheetData>
      <sheetData sheetId="14" refreshError="1"/>
      <sheetData sheetId="15" refreshError="1"/>
      <sheetData sheetId="16" refreshError="1"/>
      <sheetData sheetId="17" refreshError="1"/>
      <sheetData sheetId="18" refreshError="1"/>
      <sheetData sheetId="19" refreshError="1">
        <row r="3">
          <cell r="BF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_CIQHiddenCacheSheet"/>
      <sheetName val="Estimates vs Actuals"/>
      <sheetName val="DB &amp; MS Comparison"/>
      <sheetName val="Financials"/>
      <sheetName val="Segment Financials"/>
      <sheetName val="Operating Data"/>
      <sheetName val="Historical Prices"/>
      <sheetName val="O&amp;P Americas"/>
      <sheetName val="O&amp;P EAI"/>
      <sheetName val="I&amp;D"/>
      <sheetName val="APS"/>
      <sheetName val="Refining"/>
      <sheetName val="Peer Analysis New"/>
      <sheetName val="Peer Analysis Old"/>
      <sheetName val="DCF"/>
      <sheetName val="DCF (TR)"/>
      <sheetName val="SOTP"/>
      <sheetName val="Forward EV-EBITDA"/>
      <sheetName val="Chart EV-EBITDA"/>
      <sheetName val="Debt "/>
      <sheetName val="Properties and Capacities"/>
      <sheetName val="Consensus &amp; Guidance"/>
      <sheetName val="Consensus Summary"/>
      <sheetName val="Segment Research"/>
      <sheetName val="Historical Margins"/>
      <sheetName val="Conversion Factors"/>
      <sheetName val="Yield Factors"/>
      <sheetName val="1Q19 Earnings Call"/>
      <sheetName val="Products and Uses"/>
      <sheetName val="Processes"/>
      <sheetName val="Peer Analysis Quarterly"/>
      <sheetName val="Comdty Futures"/>
      <sheetName val="Investor Day"/>
      <sheetName val="Brent - PE"/>
      <sheetName val="Industry Research"/>
      <sheetName val="Inventory"/>
    </sheetNames>
    <sheetDataSet>
      <sheetData sheetId="0" refreshError="1"/>
      <sheetData sheetId="1" refreshError="1"/>
      <sheetData sheetId="2" refreshError="1"/>
      <sheetData sheetId="3" refreshError="1"/>
      <sheetData sheetId="4">
        <row r="1">
          <cell r="A1" t="str">
            <v>LyondellBasell Industries N.V.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ow r="11">
          <cell r="E11" t="str">
            <v>Celanese Corp</v>
          </cell>
        </row>
      </sheetData>
      <sheetData sheetId="19" refreshError="1"/>
      <sheetData sheetId="20">
        <row r="2">
          <cell r="AE2">
            <v>0</v>
          </cell>
        </row>
      </sheetData>
      <sheetData sheetId="21" refreshError="1"/>
      <sheetData sheetId="22">
        <row r="3">
          <cell r="E3">
            <v>0</v>
          </cell>
        </row>
      </sheetData>
      <sheetData sheetId="23">
        <row r="3">
          <cell r="N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OM"/>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ctical Cover"/>
      <sheetName val="2021 Comp Forecast"/>
      <sheetName val="Historical Annuals"/>
      <sheetName val="SIX vs FUN 2"/>
      <sheetName val="Quarterly Progression"/>
      <sheetName val="SIX"/>
      <sheetName val="One Pager"/>
      <sheetName val="Calculation"/>
      <sheetName val="Recovery"/>
      <sheetName val="Financials"/>
      <sheetName val="Cost Breakup"/>
      <sheetName val="Segment"/>
      <sheetName val="Debt"/>
      <sheetName val="Consensus"/>
      <sheetName val="Variance Q2'21"/>
      <sheetName val="FUN"/>
      <sheetName val="Summary"/>
    </sheetNames>
    <sheetDataSet>
      <sheetData sheetId="0" refreshError="1"/>
      <sheetData sheetId="1" refreshError="1"/>
      <sheetData sheetId="2" refreshError="1"/>
      <sheetData sheetId="3" refreshError="1"/>
      <sheetData sheetId="4" refreshError="1"/>
      <sheetData sheetId="5" refreshError="1"/>
      <sheetData sheetId="6">
        <row r="3">
          <cell r="Z3">
            <v>0</v>
          </cell>
        </row>
      </sheetData>
      <sheetData sheetId="7" refreshError="1"/>
      <sheetData sheetId="8" refreshError="1"/>
      <sheetData sheetId="9"/>
      <sheetData sheetId="10" refreshError="1"/>
      <sheetData sheetId="11"/>
      <sheetData sheetId="12">
        <row r="2">
          <cell r="R2">
            <v>0</v>
          </cell>
        </row>
      </sheetData>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_CIQHiddenCacheSheet"/>
      <sheetName val="Estimates vs Actuals"/>
      <sheetName val="DB &amp; MS Comparison"/>
      <sheetName val="Financials"/>
      <sheetName val="Segment Financials"/>
      <sheetName val="Operating Data"/>
      <sheetName val="Historical Prices"/>
      <sheetName val="O&amp;P Americas"/>
      <sheetName val="O&amp;P EAI"/>
      <sheetName val="I&amp;D"/>
      <sheetName val="APS"/>
      <sheetName val="Refining"/>
      <sheetName val="Peer Analysis New"/>
      <sheetName val="Peer Analysis Old"/>
      <sheetName val="DCF"/>
      <sheetName val="DCF (TR)"/>
      <sheetName val="SOTP"/>
      <sheetName val="Forward EV-EBITDA"/>
      <sheetName val="Chart EV-EBITDA"/>
      <sheetName val="Debt "/>
      <sheetName val="Properties and Capacities"/>
      <sheetName val="Consensus &amp; Guidance"/>
      <sheetName val="Consensus Summary"/>
      <sheetName val="Segment Research"/>
      <sheetName val="Historical Margins"/>
      <sheetName val="Conversion Factors"/>
      <sheetName val="Yield Factors"/>
      <sheetName val="1Q19 Earnings Call"/>
      <sheetName val="Products and Uses"/>
      <sheetName val="Processes"/>
      <sheetName val="Peer Analysis Quarterly"/>
      <sheetName val="Comdty Futures"/>
      <sheetName val="Investor Day"/>
      <sheetName val="Brent - PE"/>
      <sheetName val="Industry Research"/>
      <sheetName val="Inventory"/>
    </sheetNames>
    <sheetDataSet>
      <sheetData sheetId="0" refreshError="1"/>
      <sheetData sheetId="1" refreshError="1"/>
      <sheetData sheetId="2" refreshError="1"/>
      <sheetData sheetId="3" refreshError="1"/>
      <sheetData sheetId="4">
        <row r="1">
          <cell r="A1" t="str">
            <v>LyondellBasell Industries N.V.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ow r="11">
          <cell r="E11" t="str">
            <v>Celanese Corp</v>
          </cell>
        </row>
      </sheetData>
      <sheetData sheetId="19" refreshError="1"/>
      <sheetData sheetId="20">
        <row r="2">
          <cell r="AE2">
            <v>0</v>
          </cell>
        </row>
      </sheetData>
      <sheetData sheetId="21" refreshError="1"/>
      <sheetData sheetId="22">
        <row r="3">
          <cell r="E3">
            <v>0</v>
          </cell>
        </row>
      </sheetData>
      <sheetData sheetId="23">
        <row r="3">
          <cell r="N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rTS"/>
      <sheetName val="IssuerComp"/>
      <sheetName val="SectorTS"/>
      <sheetName val="SectorComp"/>
      <sheetName val="Seperator"/>
      <sheetName val="Data (from 01-01-02)"/>
      <sheetName val="Sector Level Data"/>
      <sheetName val="Daily Update"/>
      <sheetName val="BalanceSheet &amp; Rates"/>
      <sheetName val="IED Worksheet"/>
      <sheetName val="SectorDesignation"/>
      <sheetName val="10-15&amp;16-02Data"/>
      <sheetName val="Prototype (11-14-02 253 HG +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Financials"/>
      <sheetName val="Consensus Summary"/>
      <sheetName val="DCF"/>
      <sheetName val="Trading Comps"/>
      <sheetName val="Forward EV-EBITDA"/>
      <sheetName val="Chart EV-EBITDA"/>
      <sheetName val="Debt"/>
      <sheetName val="Peers"/>
      <sheetName val="Peers' CFO margins"/>
      <sheetName val="Additional Disclosure"/>
      <sheetName val="Shareholders Report"/>
      <sheetName val="M&amp;A Transactions"/>
      <sheetName val="Summary"/>
      <sheetName val="Historical EBITDA Est"/>
      <sheetName val="Forward PE"/>
      <sheetName val="Chart Forward PE"/>
      <sheetName val="Forward EV Revenue"/>
      <sheetName val="Chart EV Revenue"/>
    </sheetNames>
    <sheetDataSet>
      <sheetData sheetId="0"/>
      <sheetData sheetId="1">
        <row r="1">
          <cell r="A1" t="str">
            <v>Avaya Holdings Corp.</v>
          </cell>
        </row>
      </sheetData>
      <sheetData sheetId="2"/>
      <sheetData sheetId="3">
        <row r="3">
          <cell r="K3">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nancials"/>
      <sheetName val="Assumptions"/>
      <sheetName val="Segments"/>
      <sheetName val="DCF"/>
      <sheetName val="Consensus Summary"/>
      <sheetName val="Debt"/>
      <sheetName val="Peer Analysis"/>
      <sheetName val="WACC Calculation"/>
      <sheetName val="Historical EBITDA Est"/>
      <sheetName val="FX"/>
      <sheetName val="Forward EV Revenue"/>
      <sheetName val="Chart EV Revenue"/>
      <sheetName val="Forward PE"/>
      <sheetName val="Chart Forward PE"/>
      <sheetName val="Forward EVEBITDA"/>
      <sheetName val="Other Pulls"/>
      <sheetName val="Chart Forward EVEBITDA"/>
      <sheetName val="NHE - By source"/>
      <sheetName val="NHE+GDP"/>
      <sheetName val="Medical Assets"/>
      <sheetName val="NHE60-30"/>
      <sheetName val="Ind_EV EBITDA"/>
      <sheetName val="Chart Ind EV EBITDA"/>
      <sheetName val="Siemens Healthineers AG | Balan"/>
    </sheetNames>
    <sheetDataSet>
      <sheetData sheetId="0" refreshError="1"/>
      <sheetData sheetId="1" refreshError="1"/>
      <sheetData sheetId="2" refreshError="1"/>
      <sheetData sheetId="3">
        <row r="3">
          <cell r="G3">
            <v>2</v>
          </cell>
        </row>
      </sheetData>
      <sheetData sheetId="4" refreshError="1"/>
      <sheetData sheetId="5" refreshError="1"/>
      <sheetData sheetId="6">
        <row r="2">
          <cell r="G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2">
          <cell r="AC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Financials"/>
      <sheetName val="Revenue Build"/>
      <sheetName val="Old Segment Reporting"/>
      <sheetName val="Debt"/>
      <sheetName val="Peer Analysis"/>
      <sheetName val="Peer Analysis Charts"/>
      <sheetName val="Forward EV-EBITDA"/>
      <sheetName val="DCF"/>
      <sheetName val="WACC Calculation"/>
      <sheetName val="Consensus Summary"/>
      <sheetName val="Chart EV-EBITDA"/>
      <sheetName val="Forward PE"/>
      <sheetName val="Chart Forward PE"/>
      <sheetName val="Forward EV Revenue"/>
      <sheetName val="Chart EV Revenue"/>
      <sheetName val="Industry Capex"/>
      <sheetName val="Capex Charts"/>
      <sheetName val="Research &gt;&gt;&gt;"/>
      <sheetName val="Topics"/>
      <sheetName val="Markets"/>
      <sheetName val="Projects"/>
      <sheetName val="Investigation"/>
      <sheetName val="Strategy Day"/>
      <sheetName val="Peers Guidance"/>
      <sheetName val="EPC Industry Trends"/>
      <sheetName val="Pipeline"/>
      <sheetName val="NuScale "/>
      <sheetName val="Transaction Comps"/>
    </sheetNames>
    <sheetDataSet>
      <sheetData sheetId="0"/>
      <sheetData sheetId="1">
        <row r="1">
          <cell r="A1" t="str">
            <v>Fluor Corporation</v>
          </cell>
        </row>
      </sheetData>
      <sheetData sheetId="2"/>
      <sheetData sheetId="3"/>
      <sheetData sheetId="4">
        <row r="4">
          <cell r="S4">
            <v>0</v>
          </cell>
        </row>
      </sheetData>
      <sheetData sheetId="5"/>
      <sheetData sheetId="6"/>
      <sheetData sheetId="7"/>
      <sheetData sheetId="8">
        <row r="3">
          <cell r="H3">
            <v>0</v>
          </cell>
        </row>
      </sheetData>
      <sheetData sheetId="9">
        <row r="2">
          <cell r="E2" t="str">
            <v>FLR</v>
          </cell>
        </row>
      </sheetData>
      <sheetData sheetId="10"/>
      <sheetData sheetId="11"/>
      <sheetData sheetId="12"/>
      <sheetData sheetId="13"/>
      <sheetData sheetId="14"/>
      <sheetData sheetId="15"/>
      <sheetData sheetId="16">
        <row r="6">
          <cell r="AD6" t="str">
            <v>FY-4</v>
          </cell>
        </row>
      </sheetData>
      <sheetData sheetId="17">
        <row r="96">
          <cell r="D96" t="str">
            <v>FY-10</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ower"/>
      <sheetName val="Renewable Energy"/>
      <sheetName val="Aviation Trends"/>
      <sheetName val="Aviation"/>
      <sheetName val="Healthcare"/>
      <sheetName val="Industrial"/>
      <sheetName val="Capital"/>
      <sheetName val="Consolidated"/>
      <sheetName val="SOTP"/>
      <sheetName val="Industrial DCF"/>
      <sheetName val="Consensus Summary"/>
      <sheetName val="Peer Analysis"/>
      <sheetName val="Revenue Comps"/>
      <sheetName val="Segment Comps"/>
      <sheetName val="Pension"/>
      <sheetName val="GE Industrial Debt"/>
      <sheetName val="GE Capital Debt"/>
      <sheetName val="Debt BBG"/>
      <sheetName val="Debt Details"/>
      <sheetName val="ToDos"/>
      <sheetName val="Debt Securities"/>
      <sheetName val="Corporate &amp; Eliminations"/>
      <sheetName val="GE Business Timeline"/>
      <sheetName val="Research"/>
      <sheetName val="Call Summary"/>
      <sheetName val="Transportation Wabtec Deal"/>
    </sheetNames>
    <sheetDataSet>
      <sheetData sheetId="0">
        <row r="111">
          <cell r="V111">
            <v>68.605096868273037</v>
          </cell>
        </row>
      </sheetData>
      <sheetData sheetId="1">
        <row r="10">
          <cell r="V10">
            <v>3049</v>
          </cell>
        </row>
      </sheetData>
      <sheetData sheetId="2">
        <row r="10">
          <cell r="V10">
            <v>2883</v>
          </cell>
        </row>
      </sheetData>
      <sheetData sheetId="3" refreshError="1"/>
      <sheetData sheetId="4">
        <row r="10">
          <cell r="V10">
            <v>3115</v>
          </cell>
        </row>
      </sheetData>
      <sheetData sheetId="5">
        <row r="10">
          <cell r="V10">
            <v>3915</v>
          </cell>
        </row>
      </sheetData>
      <sheetData sheetId="6">
        <row r="82">
          <cell r="V82">
            <v>4295</v>
          </cell>
        </row>
      </sheetData>
      <sheetData sheetId="7">
        <row r="94">
          <cell r="V94">
            <v>0</v>
          </cell>
        </row>
      </sheetData>
      <sheetData sheetId="8">
        <row r="62">
          <cell r="V62">
            <v>4295</v>
          </cell>
        </row>
      </sheetData>
      <sheetData sheetId="9" refreshError="1"/>
      <sheetData sheetId="10" refreshError="1"/>
      <sheetData sheetId="11">
        <row r="3">
          <cell r="E3">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istorical Consolidated"/>
      <sheetName val="TSR decomposition"/>
      <sheetName val="TSR List"/>
      <sheetName val="New Peers"/>
      <sheetName val="Assumptions"/>
      <sheetName val="Financials"/>
      <sheetName val="DCF"/>
      <sheetName val="Forward EV-EBITDA"/>
      <sheetName val="Comp"/>
      <sheetName val="Segment Snapshot"/>
      <sheetName val="Debt"/>
      <sheetName val="Peer Analysis"/>
      <sheetName val="Peer Analysiss"/>
      <sheetName val="SOTP"/>
      <sheetName val="Consensus Summary TR"/>
      <sheetName val="WACC Calculation"/>
      <sheetName val="sTOCKS"/>
      <sheetName val="Chart EV-EBITDA (2)"/>
      <sheetName val="Other Pulls"/>
      <sheetName val="Chart EV-EBITDA"/>
      <sheetName val="Forward EV Revenue"/>
      <sheetName val="Chart EV Revenue"/>
      <sheetName val="Forward PE"/>
      <sheetName val="Chart Forward PE"/>
      <sheetName val="Consensus Summary"/>
      <sheetName val="Pension"/>
      <sheetName val="Segment Research &gt;&gt;"/>
      <sheetName val="Business Overview"/>
      <sheetName val="AFP"/>
      <sheetName val="AM"/>
      <sheetName val="CI"/>
      <sheetName val="Fibers"/>
      <sheetName val="By Segment"/>
      <sheetName val="Historical Segment"/>
      <sheetName val="AFP (Factset Multiple)"/>
      <sheetName val="AM (Factset Multiple)"/>
    </sheetNames>
    <sheetDataSet>
      <sheetData sheetId="0"/>
      <sheetData sheetId="1"/>
      <sheetData sheetId="2"/>
      <sheetData sheetId="3">
        <row r="3">
          <cell r="H3">
            <v>0</v>
          </cell>
        </row>
      </sheetData>
      <sheetData sheetId="4"/>
      <sheetData sheetId="5">
        <row r="2">
          <cell r="AB2">
            <v>0</v>
          </cell>
        </row>
      </sheetData>
      <sheetData sheetId="6"/>
      <sheetData sheetId="7"/>
      <sheetData sheetId="8"/>
      <sheetData sheetId="9"/>
      <sheetData sheetId="10"/>
      <sheetData sheetId="11">
        <row r="2">
          <cell r="I2">
            <v>0</v>
          </cell>
        </row>
      </sheetData>
      <sheetData sheetId="12">
        <row r="2">
          <cell r="G2">
            <v>0</v>
          </cell>
        </row>
      </sheetData>
      <sheetData sheetId="13"/>
      <sheetData sheetId="14"/>
      <sheetData sheetId="15"/>
      <sheetData sheetId="16"/>
      <sheetData sheetId="17"/>
      <sheetData sheetId="18">
        <row r="3">
          <cell r="BF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nancials"/>
      <sheetName val="Assumptions"/>
      <sheetName val="Segments"/>
      <sheetName val="DCF"/>
      <sheetName val="Consensus Summary"/>
      <sheetName val="Debt"/>
      <sheetName val="Peer Analysis"/>
      <sheetName val="WACC Calculation"/>
      <sheetName val="Historical EBITDA Est"/>
      <sheetName val="FX"/>
      <sheetName val="Forward EV Revenue"/>
      <sheetName val="Chart EV Revenue"/>
      <sheetName val="Forward PE"/>
      <sheetName val="Chart Forward PE"/>
      <sheetName val="Forward EVEBITDA"/>
      <sheetName val="Other Pulls"/>
      <sheetName val="Chart Forward EVEBITDA"/>
      <sheetName val="NHE - By source"/>
      <sheetName val="NHE+GDP"/>
      <sheetName val="Medical Assets"/>
      <sheetName val="NHE60-30"/>
      <sheetName val="Ind_EV EBITDA"/>
      <sheetName val="Chart Ind EV EBITDA"/>
      <sheetName val="Siemens Healthineers AG | Balan"/>
    </sheetNames>
    <sheetDataSet>
      <sheetData sheetId="0" refreshError="1"/>
      <sheetData sheetId="1" refreshError="1"/>
      <sheetData sheetId="2" refreshError="1"/>
      <sheetData sheetId="3">
        <row r="3">
          <cell r="G3">
            <v>2</v>
          </cell>
        </row>
      </sheetData>
      <sheetData sheetId="4" refreshError="1"/>
      <sheetData sheetId="5" refreshError="1"/>
      <sheetData sheetId="6">
        <row r="2">
          <cell r="G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2">
          <cell r="AC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Financials"/>
      <sheetName val="KPIs"/>
      <sheetName val="Offerings"/>
      <sheetName val="Shares Outstanding"/>
      <sheetName val="Research Views"/>
      <sheetName val="Trading Comps"/>
      <sheetName val="Transaction Comps"/>
      <sheetName val="Annotated Stock Price Chart"/>
      <sheetName val="M&amp;A"/>
      <sheetName val="TOTVS_Excel Backup_2020.01.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0">
          <cell r="C60">
            <v>43122</v>
          </cell>
        </row>
        <row r="61">
          <cell r="C61">
            <v>43123</v>
          </cell>
        </row>
        <row r="62">
          <cell r="C62">
            <v>43124</v>
          </cell>
        </row>
        <row r="63">
          <cell r="C63">
            <v>43126</v>
          </cell>
        </row>
        <row r="64">
          <cell r="C64">
            <v>43129</v>
          </cell>
        </row>
        <row r="65">
          <cell r="C65">
            <v>43130</v>
          </cell>
        </row>
        <row r="66">
          <cell r="C66">
            <v>43131</v>
          </cell>
        </row>
        <row r="67">
          <cell r="C67">
            <v>43132</v>
          </cell>
        </row>
        <row r="68">
          <cell r="C68">
            <v>43133</v>
          </cell>
        </row>
        <row r="69">
          <cell r="C69">
            <v>43136</v>
          </cell>
        </row>
        <row r="70">
          <cell r="C70">
            <v>43137</v>
          </cell>
        </row>
        <row r="71">
          <cell r="C71">
            <v>43138</v>
          </cell>
        </row>
        <row r="72">
          <cell r="C72">
            <v>43139</v>
          </cell>
        </row>
        <row r="73">
          <cell r="C73">
            <v>43140</v>
          </cell>
        </row>
        <row r="74">
          <cell r="C74">
            <v>43145</v>
          </cell>
        </row>
        <row r="75">
          <cell r="C75">
            <v>43146</v>
          </cell>
        </row>
        <row r="76">
          <cell r="C76">
            <v>43147</v>
          </cell>
        </row>
        <row r="77">
          <cell r="C77">
            <v>43150</v>
          </cell>
        </row>
        <row r="78">
          <cell r="C78">
            <v>43151</v>
          </cell>
        </row>
        <row r="79">
          <cell r="C79">
            <v>43152</v>
          </cell>
        </row>
        <row r="80">
          <cell r="C80">
            <v>43153</v>
          </cell>
        </row>
        <row r="81">
          <cell r="C81">
            <v>43154</v>
          </cell>
        </row>
        <row r="82">
          <cell r="C82">
            <v>43157</v>
          </cell>
        </row>
        <row r="83">
          <cell r="C83">
            <v>43158</v>
          </cell>
        </row>
        <row r="84">
          <cell r="C84">
            <v>43159</v>
          </cell>
        </row>
        <row r="85">
          <cell r="C85">
            <v>43160</v>
          </cell>
        </row>
        <row r="86">
          <cell r="C86">
            <v>43161</v>
          </cell>
        </row>
        <row r="87">
          <cell r="C87">
            <v>43164</v>
          </cell>
        </row>
        <row r="88">
          <cell r="C88">
            <v>43165</v>
          </cell>
        </row>
        <row r="89">
          <cell r="C89">
            <v>43166</v>
          </cell>
        </row>
        <row r="90">
          <cell r="C90">
            <v>43167</v>
          </cell>
        </row>
        <row r="91">
          <cell r="C91">
            <v>43168</v>
          </cell>
        </row>
        <row r="92">
          <cell r="C92">
            <v>43171</v>
          </cell>
        </row>
        <row r="93">
          <cell r="C93">
            <v>43172</v>
          </cell>
        </row>
        <row r="94">
          <cell r="C94">
            <v>43173</v>
          </cell>
        </row>
        <row r="95">
          <cell r="C95">
            <v>43174</v>
          </cell>
        </row>
        <row r="96">
          <cell r="C96">
            <v>43175</v>
          </cell>
        </row>
        <row r="97">
          <cell r="C97">
            <v>43178</v>
          </cell>
        </row>
        <row r="98">
          <cell r="C98">
            <v>43179</v>
          </cell>
        </row>
        <row r="99">
          <cell r="C99">
            <v>43180</v>
          </cell>
        </row>
        <row r="100">
          <cell r="C100">
            <v>43181</v>
          </cell>
        </row>
        <row r="101">
          <cell r="C101">
            <v>43182</v>
          </cell>
        </row>
        <row r="102">
          <cell r="C102">
            <v>43185</v>
          </cell>
        </row>
        <row r="103">
          <cell r="C103">
            <v>43186</v>
          </cell>
        </row>
        <row r="104">
          <cell r="C104">
            <v>43187</v>
          </cell>
        </row>
        <row r="105">
          <cell r="C105">
            <v>43188</v>
          </cell>
        </row>
        <row r="106">
          <cell r="C106">
            <v>43192</v>
          </cell>
        </row>
        <row r="107">
          <cell r="C107">
            <v>43193</v>
          </cell>
        </row>
        <row r="108">
          <cell r="C108">
            <v>43194</v>
          </cell>
        </row>
        <row r="109">
          <cell r="C109">
            <v>43195</v>
          </cell>
        </row>
        <row r="110">
          <cell r="C110">
            <v>43196</v>
          </cell>
        </row>
        <row r="111">
          <cell r="C111">
            <v>43199</v>
          </cell>
        </row>
        <row r="112">
          <cell r="C112">
            <v>43200</v>
          </cell>
        </row>
        <row r="113">
          <cell r="C113">
            <v>43201</v>
          </cell>
        </row>
        <row r="114">
          <cell r="C114">
            <v>43202</v>
          </cell>
        </row>
        <row r="115">
          <cell r="C115">
            <v>43203</v>
          </cell>
        </row>
        <row r="116">
          <cell r="C116">
            <v>43206</v>
          </cell>
        </row>
        <row r="117">
          <cell r="C117">
            <v>43207</v>
          </cell>
        </row>
        <row r="118">
          <cell r="C118">
            <v>43208</v>
          </cell>
        </row>
        <row r="119">
          <cell r="C119">
            <v>43209</v>
          </cell>
        </row>
        <row r="120">
          <cell r="C120">
            <v>43210</v>
          </cell>
        </row>
        <row r="121">
          <cell r="C121">
            <v>43213</v>
          </cell>
        </row>
        <row r="122">
          <cell r="C122">
            <v>43214</v>
          </cell>
        </row>
        <row r="123">
          <cell r="C123">
            <v>43215</v>
          </cell>
        </row>
        <row r="124">
          <cell r="C124">
            <v>43216</v>
          </cell>
        </row>
        <row r="125">
          <cell r="C125">
            <v>43217</v>
          </cell>
        </row>
        <row r="126">
          <cell r="C126">
            <v>43220</v>
          </cell>
        </row>
        <row r="127">
          <cell r="C127">
            <v>43222</v>
          </cell>
        </row>
        <row r="128">
          <cell r="C128">
            <v>43223</v>
          </cell>
        </row>
        <row r="129">
          <cell r="C129">
            <v>43224</v>
          </cell>
        </row>
        <row r="130">
          <cell r="C130">
            <v>43227</v>
          </cell>
        </row>
        <row r="131">
          <cell r="C131">
            <v>43228</v>
          </cell>
        </row>
        <row r="132">
          <cell r="C132">
            <v>43229</v>
          </cell>
        </row>
        <row r="133">
          <cell r="C133">
            <v>43230</v>
          </cell>
        </row>
        <row r="134">
          <cell r="C134">
            <v>43231</v>
          </cell>
        </row>
        <row r="135">
          <cell r="C135">
            <v>43234</v>
          </cell>
        </row>
        <row r="136">
          <cell r="C136">
            <v>43235</v>
          </cell>
        </row>
        <row r="137">
          <cell r="C137">
            <v>43236</v>
          </cell>
        </row>
        <row r="138">
          <cell r="C138">
            <v>43237</v>
          </cell>
        </row>
        <row r="139">
          <cell r="C139">
            <v>43238</v>
          </cell>
        </row>
        <row r="140">
          <cell r="C140">
            <v>43241</v>
          </cell>
        </row>
        <row r="141">
          <cell r="C141">
            <v>43242</v>
          </cell>
        </row>
        <row r="142">
          <cell r="C142">
            <v>43243</v>
          </cell>
        </row>
        <row r="143">
          <cell r="C143">
            <v>43244</v>
          </cell>
        </row>
        <row r="144">
          <cell r="C144">
            <v>43245</v>
          </cell>
        </row>
        <row r="145">
          <cell r="C145">
            <v>43248</v>
          </cell>
        </row>
        <row r="146">
          <cell r="C146">
            <v>43249</v>
          </cell>
        </row>
        <row r="147">
          <cell r="C147">
            <v>43250</v>
          </cell>
        </row>
        <row r="148">
          <cell r="C148">
            <v>43252</v>
          </cell>
        </row>
        <row r="149">
          <cell r="C149">
            <v>43255</v>
          </cell>
        </row>
        <row r="150">
          <cell r="C150">
            <v>43256</v>
          </cell>
        </row>
        <row r="151">
          <cell r="C151">
            <v>43257</v>
          </cell>
        </row>
        <row r="152">
          <cell r="C152">
            <v>43258</v>
          </cell>
        </row>
        <row r="153">
          <cell r="C153">
            <v>43259</v>
          </cell>
        </row>
        <row r="154">
          <cell r="C154">
            <v>43262</v>
          </cell>
        </row>
        <row r="155">
          <cell r="C155">
            <v>43263</v>
          </cell>
        </row>
        <row r="156">
          <cell r="C156">
            <v>43264</v>
          </cell>
        </row>
        <row r="157">
          <cell r="C157">
            <v>43265</v>
          </cell>
        </row>
        <row r="158">
          <cell r="C158">
            <v>43266</v>
          </cell>
        </row>
        <row r="159">
          <cell r="C159">
            <v>43269</v>
          </cell>
        </row>
        <row r="160">
          <cell r="C160">
            <v>43270</v>
          </cell>
        </row>
        <row r="161">
          <cell r="C161">
            <v>43271</v>
          </cell>
        </row>
        <row r="162">
          <cell r="C162">
            <v>43272</v>
          </cell>
        </row>
        <row r="163">
          <cell r="C163">
            <v>43273</v>
          </cell>
        </row>
        <row r="164">
          <cell r="C164">
            <v>43276</v>
          </cell>
        </row>
        <row r="165">
          <cell r="C165">
            <v>43277</v>
          </cell>
        </row>
        <row r="166">
          <cell r="C166">
            <v>43278</v>
          </cell>
        </row>
        <row r="167">
          <cell r="C167">
            <v>43279</v>
          </cell>
        </row>
        <row r="168">
          <cell r="C168">
            <v>43280</v>
          </cell>
        </row>
        <row r="169">
          <cell r="C169">
            <v>43283</v>
          </cell>
        </row>
        <row r="170">
          <cell r="C170">
            <v>43284</v>
          </cell>
        </row>
        <row r="171">
          <cell r="C171">
            <v>43285</v>
          </cell>
        </row>
        <row r="172">
          <cell r="C172">
            <v>43286</v>
          </cell>
        </row>
        <row r="173">
          <cell r="C173">
            <v>43287</v>
          </cell>
        </row>
        <row r="174">
          <cell r="C174">
            <v>43291</v>
          </cell>
        </row>
        <row r="175">
          <cell r="C175">
            <v>43292</v>
          </cell>
        </row>
        <row r="176">
          <cell r="C176">
            <v>43293</v>
          </cell>
        </row>
        <row r="177">
          <cell r="C177">
            <v>43294</v>
          </cell>
        </row>
        <row r="178">
          <cell r="C178">
            <v>43297</v>
          </cell>
        </row>
        <row r="179">
          <cell r="C179">
            <v>43298</v>
          </cell>
        </row>
        <row r="180">
          <cell r="C180">
            <v>43299</v>
          </cell>
        </row>
        <row r="181">
          <cell r="C181">
            <v>43300</v>
          </cell>
        </row>
        <row r="182">
          <cell r="C182">
            <v>43301</v>
          </cell>
        </row>
        <row r="183">
          <cell r="C183">
            <v>43304</v>
          </cell>
        </row>
        <row r="184">
          <cell r="C184">
            <v>43305</v>
          </cell>
        </row>
        <row r="185">
          <cell r="C185">
            <v>43306</v>
          </cell>
        </row>
        <row r="186">
          <cell r="C186">
            <v>43307</v>
          </cell>
        </row>
        <row r="187">
          <cell r="C187">
            <v>43308</v>
          </cell>
        </row>
        <row r="188">
          <cell r="C188">
            <v>43311</v>
          </cell>
        </row>
        <row r="189">
          <cell r="C189">
            <v>43312</v>
          </cell>
        </row>
        <row r="190">
          <cell r="C190">
            <v>43313</v>
          </cell>
        </row>
        <row r="191">
          <cell r="C191">
            <v>43314</v>
          </cell>
        </row>
        <row r="192">
          <cell r="C192">
            <v>43315</v>
          </cell>
        </row>
        <row r="193">
          <cell r="C193">
            <v>43318</v>
          </cell>
        </row>
        <row r="194">
          <cell r="C194">
            <v>43319</v>
          </cell>
        </row>
        <row r="195">
          <cell r="C195">
            <v>43320</v>
          </cell>
        </row>
        <row r="196">
          <cell r="C196">
            <v>43321</v>
          </cell>
        </row>
        <row r="197">
          <cell r="C197">
            <v>43322</v>
          </cell>
        </row>
        <row r="198">
          <cell r="C198">
            <v>43325</v>
          </cell>
        </row>
        <row r="199">
          <cell r="C199">
            <v>43326</v>
          </cell>
        </row>
        <row r="200">
          <cell r="C200">
            <v>43327</v>
          </cell>
        </row>
        <row r="201">
          <cell r="C201">
            <v>43328</v>
          </cell>
        </row>
        <row r="202">
          <cell r="C202">
            <v>43329</v>
          </cell>
        </row>
        <row r="203">
          <cell r="C203">
            <v>43332</v>
          </cell>
        </row>
        <row r="204">
          <cell r="C204">
            <v>43333</v>
          </cell>
        </row>
        <row r="205">
          <cell r="C205">
            <v>43334</v>
          </cell>
        </row>
        <row r="206">
          <cell r="C206">
            <v>43335</v>
          </cell>
        </row>
        <row r="207">
          <cell r="C207">
            <v>43336</v>
          </cell>
        </row>
        <row r="208">
          <cell r="C208">
            <v>43339</v>
          </cell>
        </row>
        <row r="209">
          <cell r="C209">
            <v>43340</v>
          </cell>
        </row>
        <row r="210">
          <cell r="C210">
            <v>43341</v>
          </cell>
        </row>
        <row r="211">
          <cell r="C211">
            <v>43342</v>
          </cell>
        </row>
        <row r="212">
          <cell r="C212">
            <v>43343</v>
          </cell>
        </row>
        <row r="213">
          <cell r="C213">
            <v>43346</v>
          </cell>
        </row>
        <row r="214">
          <cell r="C214">
            <v>43347</v>
          </cell>
        </row>
        <row r="215">
          <cell r="C215">
            <v>43348</v>
          </cell>
        </row>
        <row r="216">
          <cell r="C216">
            <v>43349</v>
          </cell>
        </row>
        <row r="217">
          <cell r="C217">
            <v>43353</v>
          </cell>
        </row>
        <row r="218">
          <cell r="C218">
            <v>43354</v>
          </cell>
        </row>
        <row r="219">
          <cell r="C219">
            <v>43355</v>
          </cell>
        </row>
        <row r="220">
          <cell r="C220">
            <v>43356</v>
          </cell>
        </row>
        <row r="221">
          <cell r="C221">
            <v>43357</v>
          </cell>
        </row>
        <row r="222">
          <cell r="C222">
            <v>43360</v>
          </cell>
        </row>
        <row r="223">
          <cell r="C223">
            <v>43361</v>
          </cell>
        </row>
        <row r="224">
          <cell r="C224">
            <v>43362</v>
          </cell>
        </row>
        <row r="225">
          <cell r="C225">
            <v>43363</v>
          </cell>
        </row>
        <row r="226">
          <cell r="C226">
            <v>43364</v>
          </cell>
        </row>
        <row r="227">
          <cell r="C227">
            <v>43367</v>
          </cell>
        </row>
        <row r="228">
          <cell r="C228">
            <v>43368</v>
          </cell>
        </row>
        <row r="229">
          <cell r="C229">
            <v>43369</v>
          </cell>
        </row>
        <row r="230">
          <cell r="C230">
            <v>43370</v>
          </cell>
        </row>
        <row r="231">
          <cell r="C231">
            <v>43371</v>
          </cell>
        </row>
        <row r="232">
          <cell r="C232">
            <v>43374</v>
          </cell>
        </row>
        <row r="233">
          <cell r="C233">
            <v>43375</v>
          </cell>
        </row>
        <row r="234">
          <cell r="C234">
            <v>43376</v>
          </cell>
        </row>
        <row r="235">
          <cell r="C235">
            <v>43377</v>
          </cell>
        </row>
        <row r="236">
          <cell r="C236">
            <v>43378</v>
          </cell>
        </row>
        <row r="237">
          <cell r="C237">
            <v>43381</v>
          </cell>
        </row>
        <row r="238">
          <cell r="C238">
            <v>43382</v>
          </cell>
        </row>
        <row r="239">
          <cell r="C239">
            <v>43383</v>
          </cell>
        </row>
        <row r="240">
          <cell r="C240">
            <v>43384</v>
          </cell>
        </row>
        <row r="241">
          <cell r="C241">
            <v>43388</v>
          </cell>
        </row>
        <row r="242">
          <cell r="C242">
            <v>43389</v>
          </cell>
        </row>
        <row r="243">
          <cell r="C243">
            <v>43390</v>
          </cell>
        </row>
        <row r="244">
          <cell r="C244">
            <v>43391</v>
          </cell>
        </row>
        <row r="245">
          <cell r="C245">
            <v>43392</v>
          </cell>
        </row>
        <row r="246">
          <cell r="C246">
            <v>43395</v>
          </cell>
        </row>
        <row r="247">
          <cell r="C247">
            <v>43396</v>
          </cell>
        </row>
        <row r="248">
          <cell r="C248">
            <v>43397</v>
          </cell>
        </row>
        <row r="249">
          <cell r="C249">
            <v>43398</v>
          </cell>
        </row>
        <row r="250">
          <cell r="C250">
            <v>43399</v>
          </cell>
        </row>
        <row r="251">
          <cell r="C251">
            <v>43402</v>
          </cell>
        </row>
        <row r="252">
          <cell r="C252">
            <v>43403</v>
          </cell>
        </row>
        <row r="253">
          <cell r="C253">
            <v>43404</v>
          </cell>
        </row>
        <row r="254">
          <cell r="C254">
            <v>43405</v>
          </cell>
        </row>
        <row r="255">
          <cell r="C255">
            <v>43409</v>
          </cell>
        </row>
        <row r="256">
          <cell r="C256">
            <v>43410</v>
          </cell>
        </row>
        <row r="257">
          <cell r="C257">
            <v>43411</v>
          </cell>
        </row>
        <row r="258">
          <cell r="C258">
            <v>43412</v>
          </cell>
        </row>
        <row r="259">
          <cell r="C259">
            <v>43413</v>
          </cell>
        </row>
        <row r="260">
          <cell r="C260">
            <v>43416</v>
          </cell>
        </row>
        <row r="261">
          <cell r="C261">
            <v>43417</v>
          </cell>
        </row>
        <row r="262">
          <cell r="C262">
            <v>43418</v>
          </cell>
        </row>
        <row r="263">
          <cell r="C263">
            <v>43420</v>
          </cell>
        </row>
        <row r="264">
          <cell r="C264">
            <v>43423</v>
          </cell>
        </row>
        <row r="265">
          <cell r="C265">
            <v>43425</v>
          </cell>
        </row>
        <row r="266">
          <cell r="C266">
            <v>43426</v>
          </cell>
        </row>
        <row r="267">
          <cell r="C267">
            <v>43427</v>
          </cell>
        </row>
        <row r="268">
          <cell r="C268">
            <v>43430</v>
          </cell>
        </row>
        <row r="269">
          <cell r="C269">
            <v>43431</v>
          </cell>
        </row>
        <row r="270">
          <cell r="C270">
            <v>43432</v>
          </cell>
        </row>
        <row r="271">
          <cell r="C271">
            <v>43433</v>
          </cell>
        </row>
        <row r="272">
          <cell r="C272">
            <v>43434</v>
          </cell>
        </row>
        <row r="273">
          <cell r="C273">
            <v>43437</v>
          </cell>
        </row>
        <row r="274">
          <cell r="C274">
            <v>43438</v>
          </cell>
        </row>
        <row r="275">
          <cell r="C275">
            <v>43439</v>
          </cell>
        </row>
        <row r="276">
          <cell r="C276">
            <v>43440</v>
          </cell>
        </row>
        <row r="277">
          <cell r="C277">
            <v>43441</v>
          </cell>
        </row>
        <row r="278">
          <cell r="C278">
            <v>43444</v>
          </cell>
        </row>
        <row r="279">
          <cell r="C279">
            <v>43445</v>
          </cell>
        </row>
        <row r="280">
          <cell r="C280">
            <v>43446</v>
          </cell>
        </row>
        <row r="281">
          <cell r="C281">
            <v>43447</v>
          </cell>
        </row>
        <row r="282">
          <cell r="C282">
            <v>43448</v>
          </cell>
        </row>
        <row r="283">
          <cell r="C283">
            <v>43451</v>
          </cell>
        </row>
        <row r="284">
          <cell r="C284">
            <v>43452</v>
          </cell>
        </row>
        <row r="285">
          <cell r="C285">
            <v>43453</v>
          </cell>
        </row>
        <row r="286">
          <cell r="C286">
            <v>43454</v>
          </cell>
        </row>
        <row r="287">
          <cell r="C287">
            <v>43455</v>
          </cell>
        </row>
        <row r="288">
          <cell r="C288">
            <v>43460</v>
          </cell>
        </row>
        <row r="289">
          <cell r="C289">
            <v>43461</v>
          </cell>
        </row>
        <row r="290">
          <cell r="C290">
            <v>43462</v>
          </cell>
        </row>
        <row r="291">
          <cell r="C291">
            <v>43467</v>
          </cell>
        </row>
        <row r="292">
          <cell r="C292">
            <v>43468</v>
          </cell>
        </row>
        <row r="293">
          <cell r="C293">
            <v>43469</v>
          </cell>
        </row>
        <row r="294">
          <cell r="C294">
            <v>43472</v>
          </cell>
        </row>
        <row r="295">
          <cell r="C295">
            <v>43473</v>
          </cell>
        </row>
        <row r="296">
          <cell r="C296">
            <v>43474</v>
          </cell>
        </row>
        <row r="297">
          <cell r="C297">
            <v>43475</v>
          </cell>
        </row>
        <row r="298">
          <cell r="C298">
            <v>43476</v>
          </cell>
        </row>
        <row r="299">
          <cell r="C299">
            <v>43479</v>
          </cell>
        </row>
        <row r="300">
          <cell r="C300">
            <v>43480</v>
          </cell>
        </row>
        <row r="301">
          <cell r="C301">
            <v>43481</v>
          </cell>
        </row>
        <row r="302">
          <cell r="C302">
            <v>43482</v>
          </cell>
        </row>
        <row r="303">
          <cell r="C303">
            <v>43483</v>
          </cell>
        </row>
        <row r="304">
          <cell r="C304">
            <v>43486</v>
          </cell>
        </row>
        <row r="305">
          <cell r="C305">
            <v>43487</v>
          </cell>
        </row>
        <row r="306">
          <cell r="C306">
            <v>43488</v>
          </cell>
        </row>
        <row r="307">
          <cell r="C307">
            <v>43489</v>
          </cell>
        </row>
        <row r="308">
          <cell r="C308">
            <v>43493</v>
          </cell>
        </row>
        <row r="309">
          <cell r="C309">
            <v>43494</v>
          </cell>
        </row>
        <row r="310">
          <cell r="C310">
            <v>43495</v>
          </cell>
        </row>
        <row r="311">
          <cell r="C311">
            <v>43496</v>
          </cell>
        </row>
        <row r="312">
          <cell r="C312">
            <v>43497</v>
          </cell>
        </row>
        <row r="313">
          <cell r="C313">
            <v>43500</v>
          </cell>
        </row>
        <row r="314">
          <cell r="C314">
            <v>43501</v>
          </cell>
        </row>
        <row r="315">
          <cell r="C315">
            <v>43502</v>
          </cell>
        </row>
        <row r="316">
          <cell r="C316">
            <v>43503</v>
          </cell>
        </row>
        <row r="317">
          <cell r="C317">
            <v>43504</v>
          </cell>
        </row>
        <row r="318">
          <cell r="C318">
            <v>43507</v>
          </cell>
        </row>
        <row r="319">
          <cell r="C319">
            <v>43508</v>
          </cell>
        </row>
        <row r="320">
          <cell r="C320">
            <v>43509</v>
          </cell>
        </row>
        <row r="321">
          <cell r="C321">
            <v>43510</v>
          </cell>
        </row>
        <row r="322">
          <cell r="C322">
            <v>43511</v>
          </cell>
        </row>
        <row r="323">
          <cell r="C323">
            <v>43514</v>
          </cell>
        </row>
        <row r="324">
          <cell r="C324">
            <v>43515</v>
          </cell>
        </row>
        <row r="325">
          <cell r="C325">
            <v>43516</v>
          </cell>
        </row>
        <row r="326">
          <cell r="C326">
            <v>43517</v>
          </cell>
        </row>
        <row r="327">
          <cell r="C327">
            <v>43518</v>
          </cell>
        </row>
        <row r="328">
          <cell r="C328">
            <v>43521</v>
          </cell>
        </row>
        <row r="329">
          <cell r="C329">
            <v>43522</v>
          </cell>
        </row>
        <row r="330">
          <cell r="C330">
            <v>43523</v>
          </cell>
        </row>
        <row r="331">
          <cell r="C331">
            <v>43524</v>
          </cell>
        </row>
        <row r="332">
          <cell r="C332">
            <v>43525</v>
          </cell>
        </row>
        <row r="333">
          <cell r="C333">
            <v>43530</v>
          </cell>
        </row>
        <row r="334">
          <cell r="C334">
            <v>43531</v>
          </cell>
        </row>
        <row r="335">
          <cell r="C335">
            <v>43532</v>
          </cell>
        </row>
        <row r="336">
          <cell r="C336">
            <v>43535</v>
          </cell>
        </row>
        <row r="337">
          <cell r="C337">
            <v>43536</v>
          </cell>
        </row>
        <row r="338">
          <cell r="C338">
            <v>43537</v>
          </cell>
        </row>
        <row r="339">
          <cell r="C339">
            <v>43538</v>
          </cell>
        </row>
        <row r="340">
          <cell r="C340">
            <v>43539</v>
          </cell>
        </row>
        <row r="341">
          <cell r="C341">
            <v>43542</v>
          </cell>
        </row>
        <row r="342">
          <cell r="C342">
            <v>43543</v>
          </cell>
        </row>
        <row r="343">
          <cell r="C343">
            <v>43544</v>
          </cell>
        </row>
        <row r="344">
          <cell r="C344">
            <v>43545</v>
          </cell>
        </row>
        <row r="345">
          <cell r="C345">
            <v>43546</v>
          </cell>
        </row>
        <row r="346">
          <cell r="C346">
            <v>43549</v>
          </cell>
        </row>
        <row r="347">
          <cell r="C347">
            <v>43550</v>
          </cell>
        </row>
        <row r="348">
          <cell r="C348">
            <v>43551</v>
          </cell>
        </row>
        <row r="349">
          <cell r="C349">
            <v>43552</v>
          </cell>
        </row>
        <row r="350">
          <cell r="C350">
            <v>43553</v>
          </cell>
        </row>
        <row r="351">
          <cell r="C351">
            <v>43556</v>
          </cell>
        </row>
        <row r="352">
          <cell r="C352">
            <v>43557</v>
          </cell>
        </row>
        <row r="353">
          <cell r="C353">
            <v>43558</v>
          </cell>
        </row>
        <row r="354">
          <cell r="C354">
            <v>43559</v>
          </cell>
        </row>
        <row r="355">
          <cell r="C355">
            <v>43560</v>
          </cell>
        </row>
        <row r="356">
          <cell r="C356">
            <v>43563</v>
          </cell>
        </row>
        <row r="357">
          <cell r="C357">
            <v>43564</v>
          </cell>
        </row>
        <row r="358">
          <cell r="C358">
            <v>43565</v>
          </cell>
        </row>
        <row r="359">
          <cell r="C359">
            <v>43566</v>
          </cell>
        </row>
        <row r="360">
          <cell r="C360">
            <v>43567</v>
          </cell>
        </row>
        <row r="361">
          <cell r="C361">
            <v>43570</v>
          </cell>
        </row>
        <row r="362">
          <cell r="C362">
            <v>43571</v>
          </cell>
        </row>
        <row r="363">
          <cell r="C363">
            <v>43572</v>
          </cell>
        </row>
        <row r="364">
          <cell r="C364">
            <v>43573</v>
          </cell>
        </row>
        <row r="365">
          <cell r="C365">
            <v>43577</v>
          </cell>
        </row>
        <row r="366">
          <cell r="C366">
            <v>43578</v>
          </cell>
        </row>
        <row r="367">
          <cell r="C367">
            <v>43579</v>
          </cell>
        </row>
        <row r="368">
          <cell r="C368">
            <v>43580</v>
          </cell>
        </row>
        <row r="369">
          <cell r="C369">
            <v>43581</v>
          </cell>
        </row>
        <row r="370">
          <cell r="C370">
            <v>43584</v>
          </cell>
        </row>
        <row r="371">
          <cell r="C371">
            <v>43585</v>
          </cell>
        </row>
        <row r="372">
          <cell r="C372">
            <v>43587</v>
          </cell>
        </row>
        <row r="373">
          <cell r="C373">
            <v>43588</v>
          </cell>
        </row>
        <row r="374">
          <cell r="C374">
            <v>43591</v>
          </cell>
        </row>
        <row r="375">
          <cell r="C375">
            <v>43592</v>
          </cell>
        </row>
        <row r="376">
          <cell r="C376">
            <v>43593</v>
          </cell>
        </row>
        <row r="377">
          <cell r="C377">
            <v>43594</v>
          </cell>
        </row>
        <row r="378">
          <cell r="C378">
            <v>43595</v>
          </cell>
        </row>
        <row r="379">
          <cell r="C379">
            <v>43598</v>
          </cell>
        </row>
        <row r="380">
          <cell r="C380">
            <v>43599</v>
          </cell>
        </row>
        <row r="381">
          <cell r="C381">
            <v>43600</v>
          </cell>
        </row>
        <row r="382">
          <cell r="C382">
            <v>43601</v>
          </cell>
        </row>
        <row r="383">
          <cell r="C383">
            <v>43602</v>
          </cell>
        </row>
        <row r="384">
          <cell r="C384">
            <v>43605</v>
          </cell>
        </row>
        <row r="385">
          <cell r="C385">
            <v>43606</v>
          </cell>
        </row>
        <row r="386">
          <cell r="C386">
            <v>43607</v>
          </cell>
        </row>
        <row r="387">
          <cell r="C387">
            <v>43608</v>
          </cell>
        </row>
        <row r="388">
          <cell r="C388">
            <v>43609</v>
          </cell>
        </row>
        <row r="389">
          <cell r="C389">
            <v>43612</v>
          </cell>
        </row>
        <row r="390">
          <cell r="C390">
            <v>43613</v>
          </cell>
        </row>
        <row r="391">
          <cell r="C391">
            <v>43614</v>
          </cell>
        </row>
        <row r="392">
          <cell r="C392">
            <v>43615</v>
          </cell>
        </row>
        <row r="393">
          <cell r="C393">
            <v>43616</v>
          </cell>
        </row>
        <row r="394">
          <cell r="C394">
            <v>43619</v>
          </cell>
        </row>
        <row r="395">
          <cell r="C395">
            <v>43620</v>
          </cell>
        </row>
        <row r="396">
          <cell r="C396">
            <v>43621</v>
          </cell>
        </row>
        <row r="397">
          <cell r="C397">
            <v>43622</v>
          </cell>
        </row>
        <row r="398">
          <cell r="C398">
            <v>43623</v>
          </cell>
        </row>
        <row r="399">
          <cell r="C399">
            <v>43626</v>
          </cell>
        </row>
        <row r="400">
          <cell r="C400">
            <v>43627</v>
          </cell>
        </row>
        <row r="401">
          <cell r="C401">
            <v>43628</v>
          </cell>
        </row>
        <row r="402">
          <cell r="C402">
            <v>43629</v>
          </cell>
        </row>
        <row r="403">
          <cell r="C403">
            <v>43630</v>
          </cell>
        </row>
        <row r="404">
          <cell r="C404">
            <v>43633</v>
          </cell>
        </row>
        <row r="405">
          <cell r="C405">
            <v>43634</v>
          </cell>
        </row>
        <row r="406">
          <cell r="C406">
            <v>43635</v>
          </cell>
        </row>
        <row r="407">
          <cell r="C407">
            <v>43637</v>
          </cell>
        </row>
        <row r="408">
          <cell r="C408">
            <v>43640</v>
          </cell>
        </row>
        <row r="409">
          <cell r="C409">
            <v>43641</v>
          </cell>
        </row>
        <row r="410">
          <cell r="C410">
            <v>43642</v>
          </cell>
        </row>
        <row r="411">
          <cell r="C411">
            <v>43643</v>
          </cell>
        </row>
        <row r="412">
          <cell r="C412">
            <v>43644</v>
          </cell>
        </row>
        <row r="413">
          <cell r="C413">
            <v>43647</v>
          </cell>
        </row>
        <row r="414">
          <cell r="C414">
            <v>43648</v>
          </cell>
        </row>
        <row r="415">
          <cell r="C415">
            <v>43649</v>
          </cell>
        </row>
        <row r="416">
          <cell r="C416">
            <v>43650</v>
          </cell>
        </row>
        <row r="417">
          <cell r="C417">
            <v>43651</v>
          </cell>
        </row>
        <row r="418">
          <cell r="C418">
            <v>43654</v>
          </cell>
        </row>
        <row r="419">
          <cell r="C419">
            <v>43656</v>
          </cell>
        </row>
        <row r="420">
          <cell r="C420">
            <v>43657</v>
          </cell>
        </row>
        <row r="421">
          <cell r="C421">
            <v>43658</v>
          </cell>
        </row>
        <row r="422">
          <cell r="C422">
            <v>43661</v>
          </cell>
        </row>
        <row r="423">
          <cell r="C423">
            <v>43662</v>
          </cell>
        </row>
        <row r="424">
          <cell r="C424">
            <v>43663</v>
          </cell>
        </row>
        <row r="425">
          <cell r="C425">
            <v>43664</v>
          </cell>
        </row>
        <row r="426">
          <cell r="C426">
            <v>43665</v>
          </cell>
        </row>
        <row r="427">
          <cell r="C427">
            <v>43668</v>
          </cell>
        </row>
        <row r="428">
          <cell r="C428">
            <v>43669</v>
          </cell>
        </row>
        <row r="429">
          <cell r="C429">
            <v>43670</v>
          </cell>
        </row>
        <row r="430">
          <cell r="C430">
            <v>43671</v>
          </cell>
        </row>
        <row r="431">
          <cell r="C431">
            <v>43672</v>
          </cell>
        </row>
        <row r="432">
          <cell r="C432">
            <v>43675</v>
          </cell>
        </row>
        <row r="433">
          <cell r="C433">
            <v>43676</v>
          </cell>
        </row>
        <row r="434">
          <cell r="C434">
            <v>43677</v>
          </cell>
        </row>
        <row r="435">
          <cell r="C435">
            <v>43678</v>
          </cell>
        </row>
        <row r="436">
          <cell r="C436">
            <v>43679</v>
          </cell>
        </row>
        <row r="437">
          <cell r="C437">
            <v>43682</v>
          </cell>
        </row>
        <row r="438">
          <cell r="C438">
            <v>43683</v>
          </cell>
        </row>
        <row r="439">
          <cell r="C439">
            <v>43684</v>
          </cell>
        </row>
        <row r="440">
          <cell r="C440">
            <v>43685</v>
          </cell>
        </row>
        <row r="441">
          <cell r="C441">
            <v>43686</v>
          </cell>
        </row>
        <row r="442">
          <cell r="C442">
            <v>43689</v>
          </cell>
        </row>
        <row r="443">
          <cell r="C443">
            <v>43690</v>
          </cell>
        </row>
        <row r="444">
          <cell r="C444">
            <v>43691</v>
          </cell>
        </row>
        <row r="445">
          <cell r="C445">
            <v>43692</v>
          </cell>
        </row>
        <row r="446">
          <cell r="C446">
            <v>43693</v>
          </cell>
        </row>
        <row r="447">
          <cell r="C447">
            <v>43696</v>
          </cell>
        </row>
        <row r="448">
          <cell r="C448">
            <v>43697</v>
          </cell>
        </row>
        <row r="449">
          <cell r="C449">
            <v>43698</v>
          </cell>
        </row>
        <row r="450">
          <cell r="C450">
            <v>43699</v>
          </cell>
        </row>
        <row r="451">
          <cell r="C451">
            <v>43700</v>
          </cell>
        </row>
        <row r="452">
          <cell r="C452">
            <v>43703</v>
          </cell>
        </row>
        <row r="453">
          <cell r="C453">
            <v>43704</v>
          </cell>
        </row>
        <row r="454">
          <cell r="C454">
            <v>43705</v>
          </cell>
        </row>
        <row r="455">
          <cell r="C455">
            <v>43706</v>
          </cell>
        </row>
        <row r="456">
          <cell r="C456">
            <v>43707</v>
          </cell>
        </row>
        <row r="457">
          <cell r="C457">
            <v>43710</v>
          </cell>
        </row>
        <row r="458">
          <cell r="C458">
            <v>43711</v>
          </cell>
        </row>
        <row r="459">
          <cell r="C459">
            <v>43712</v>
          </cell>
        </row>
        <row r="460">
          <cell r="C460">
            <v>43713</v>
          </cell>
        </row>
        <row r="461">
          <cell r="C461">
            <v>43714</v>
          </cell>
        </row>
        <row r="462">
          <cell r="C462">
            <v>43717</v>
          </cell>
        </row>
        <row r="463">
          <cell r="C463">
            <v>43718</v>
          </cell>
        </row>
        <row r="464">
          <cell r="C464">
            <v>43719</v>
          </cell>
        </row>
        <row r="465">
          <cell r="C465">
            <v>43720</v>
          </cell>
        </row>
        <row r="466">
          <cell r="C466">
            <v>43721</v>
          </cell>
        </row>
        <row r="467">
          <cell r="C467">
            <v>43724</v>
          </cell>
        </row>
        <row r="468">
          <cell r="C468">
            <v>43725</v>
          </cell>
        </row>
        <row r="469">
          <cell r="C469">
            <v>43726</v>
          </cell>
        </row>
        <row r="470">
          <cell r="C470">
            <v>43727</v>
          </cell>
        </row>
        <row r="471">
          <cell r="C471">
            <v>43728</v>
          </cell>
        </row>
        <row r="472">
          <cell r="C472">
            <v>43731</v>
          </cell>
        </row>
        <row r="473">
          <cell r="C473">
            <v>43732</v>
          </cell>
        </row>
        <row r="474">
          <cell r="C474">
            <v>43733</v>
          </cell>
        </row>
        <row r="475">
          <cell r="C475">
            <v>43734</v>
          </cell>
        </row>
        <row r="476">
          <cell r="C476">
            <v>43735</v>
          </cell>
        </row>
        <row r="477">
          <cell r="C477">
            <v>43738</v>
          </cell>
        </row>
        <row r="478">
          <cell r="C478">
            <v>43739</v>
          </cell>
        </row>
        <row r="479">
          <cell r="C479">
            <v>43740</v>
          </cell>
        </row>
        <row r="480">
          <cell r="C480">
            <v>43741</v>
          </cell>
        </row>
        <row r="481">
          <cell r="C481">
            <v>43742</v>
          </cell>
        </row>
        <row r="482">
          <cell r="C482">
            <v>43745</v>
          </cell>
        </row>
        <row r="483">
          <cell r="C483">
            <v>43746</v>
          </cell>
        </row>
        <row r="484">
          <cell r="C484">
            <v>43747</v>
          </cell>
        </row>
        <row r="485">
          <cell r="C485">
            <v>43748</v>
          </cell>
        </row>
        <row r="486">
          <cell r="C486">
            <v>43749</v>
          </cell>
        </row>
        <row r="487">
          <cell r="C487">
            <v>43752</v>
          </cell>
        </row>
        <row r="488">
          <cell r="C488">
            <v>43753</v>
          </cell>
        </row>
        <row r="489">
          <cell r="C489">
            <v>43754</v>
          </cell>
        </row>
        <row r="490">
          <cell r="C490">
            <v>43755</v>
          </cell>
        </row>
        <row r="491">
          <cell r="C491">
            <v>43756</v>
          </cell>
        </row>
        <row r="492">
          <cell r="C492">
            <v>43759</v>
          </cell>
        </row>
        <row r="493">
          <cell r="C493">
            <v>43760</v>
          </cell>
        </row>
        <row r="494">
          <cell r="C494">
            <v>43761</v>
          </cell>
        </row>
        <row r="495">
          <cell r="C495">
            <v>43762</v>
          </cell>
        </row>
        <row r="496">
          <cell r="C496">
            <v>43763</v>
          </cell>
        </row>
        <row r="497">
          <cell r="C497">
            <v>43766</v>
          </cell>
        </row>
        <row r="498">
          <cell r="C498">
            <v>43767</v>
          </cell>
        </row>
        <row r="499">
          <cell r="C499">
            <v>43768</v>
          </cell>
        </row>
        <row r="500">
          <cell r="C500">
            <v>43769</v>
          </cell>
        </row>
        <row r="501">
          <cell r="C501">
            <v>43770</v>
          </cell>
        </row>
        <row r="502">
          <cell r="C502">
            <v>43773</v>
          </cell>
        </row>
        <row r="503">
          <cell r="C503">
            <v>43774</v>
          </cell>
        </row>
        <row r="504">
          <cell r="C504">
            <v>43775</v>
          </cell>
        </row>
        <row r="505">
          <cell r="C505">
            <v>43776</v>
          </cell>
        </row>
        <row r="506">
          <cell r="C506">
            <v>43777</v>
          </cell>
        </row>
        <row r="507">
          <cell r="C507">
            <v>43780</v>
          </cell>
        </row>
        <row r="508">
          <cell r="C508">
            <v>43781</v>
          </cell>
        </row>
        <row r="509">
          <cell r="C509">
            <v>43782</v>
          </cell>
        </row>
        <row r="510">
          <cell r="C510">
            <v>43783</v>
          </cell>
        </row>
        <row r="511">
          <cell r="C511">
            <v>43787</v>
          </cell>
        </row>
        <row r="512">
          <cell r="C512">
            <v>43788</v>
          </cell>
        </row>
        <row r="513">
          <cell r="C513">
            <v>43790</v>
          </cell>
        </row>
        <row r="514">
          <cell r="C514">
            <v>43791</v>
          </cell>
        </row>
        <row r="515">
          <cell r="C515">
            <v>43794</v>
          </cell>
        </row>
        <row r="516">
          <cell r="C516">
            <v>43795</v>
          </cell>
        </row>
        <row r="517">
          <cell r="C517">
            <v>43796</v>
          </cell>
        </row>
        <row r="518">
          <cell r="C518">
            <v>43797</v>
          </cell>
        </row>
        <row r="519">
          <cell r="C519">
            <v>43798</v>
          </cell>
        </row>
        <row r="520">
          <cell r="C520">
            <v>43801</v>
          </cell>
        </row>
        <row r="521">
          <cell r="C521">
            <v>43802</v>
          </cell>
        </row>
        <row r="522">
          <cell r="C522">
            <v>43803</v>
          </cell>
        </row>
        <row r="523">
          <cell r="C523">
            <v>43804</v>
          </cell>
        </row>
        <row r="524">
          <cell r="C524">
            <v>43805</v>
          </cell>
        </row>
        <row r="525">
          <cell r="C525">
            <v>43808</v>
          </cell>
        </row>
        <row r="526">
          <cell r="C526">
            <v>43809</v>
          </cell>
        </row>
        <row r="527">
          <cell r="C527">
            <v>43810</v>
          </cell>
        </row>
        <row r="528">
          <cell r="C528">
            <v>43811</v>
          </cell>
        </row>
        <row r="529">
          <cell r="C529">
            <v>43812</v>
          </cell>
        </row>
        <row r="530">
          <cell r="C530">
            <v>43815</v>
          </cell>
        </row>
        <row r="531">
          <cell r="C531">
            <v>43816</v>
          </cell>
        </row>
        <row r="532">
          <cell r="C532">
            <v>43817</v>
          </cell>
        </row>
        <row r="533">
          <cell r="C533">
            <v>43818</v>
          </cell>
        </row>
        <row r="534">
          <cell r="C534">
            <v>43819</v>
          </cell>
        </row>
        <row r="535">
          <cell r="C535">
            <v>43822</v>
          </cell>
        </row>
        <row r="536">
          <cell r="C536">
            <v>43825</v>
          </cell>
        </row>
        <row r="537">
          <cell r="C537">
            <v>43826</v>
          </cell>
        </row>
        <row r="538">
          <cell r="C538">
            <v>43829</v>
          </cell>
        </row>
        <row r="539">
          <cell r="C539">
            <v>43832</v>
          </cell>
        </row>
        <row r="540">
          <cell r="C540">
            <v>43833</v>
          </cell>
        </row>
        <row r="541">
          <cell r="C541">
            <v>43836</v>
          </cell>
        </row>
        <row r="542">
          <cell r="C542">
            <v>43837</v>
          </cell>
        </row>
        <row r="543">
          <cell r="C543">
            <v>43838</v>
          </cell>
        </row>
        <row r="544">
          <cell r="C544">
            <v>43839</v>
          </cell>
        </row>
        <row r="545">
          <cell r="C545">
            <v>43840</v>
          </cell>
        </row>
        <row r="546">
          <cell r="C546">
            <v>43843</v>
          </cell>
        </row>
        <row r="547">
          <cell r="C547">
            <v>43844</v>
          </cell>
        </row>
        <row r="548">
          <cell r="C548">
            <v>43845</v>
          </cell>
        </row>
        <row r="549">
          <cell r="C549">
            <v>43846</v>
          </cell>
        </row>
        <row r="550">
          <cell r="C550">
            <v>43847</v>
          </cell>
        </row>
        <row r="551">
          <cell r="C551">
            <v>43850</v>
          </cell>
        </row>
        <row r="552">
          <cell r="C552">
            <v>43851</v>
          </cell>
        </row>
      </sheetData>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P"/>
      <sheetName val="BS"/>
      <sheetName val="TOSCO"/>
      <sheetName val="Segment ROCE"/>
      <sheetName val="ROGIC"/>
      <sheetName val="E&amp;P"/>
      <sheetName val="NEPS"/>
      <sheetName val="RefineryMaint"/>
      <sheetName val="Hamaca"/>
      <sheetName val="Bohai"/>
      <sheetName val="Bayu Undan"/>
      <sheetName val="R&amp;M"/>
      <sheetName val="GPM"/>
      <sheetName val="Variance"/>
      <sheetName val="ARCO - Alaska"/>
      <sheetName val="Capex"/>
      <sheetName val="Reserves"/>
      <sheetName val="WACC"/>
      <sheetName val="Valuation"/>
      <sheetName val="NAV"/>
      <sheetName val="Chemical JV"/>
      <sheetName val="Chems"/>
      <sheetName val="EKOFISK"/>
      <sheetName val="PUDS"/>
      <sheetName val="GE Data"/>
      <sheetName val="IndexInformation"/>
      <sheetName val="MainCode"/>
      <sheetName val="NY UPLOAD"/>
      <sheetName val="NY UPLOAD Shadow"/>
      <sheetName val="Distribution"/>
      <sheetName val="A-Link Source"/>
      <sheetName val="Q-Link Source"/>
      <sheetName val="Quarterly"/>
      <sheetName val="Normalized"/>
      <sheetName val="DDM"/>
      <sheetName val="B Sheet"/>
      <sheetName val="NY UPLOAD.bak"/>
      <sheetName val="NY UPLOAD Shadow.bak"/>
      <sheetName val="Ratios"/>
      <sheetName val="Income Statement"/>
      <sheetName val="Revenue&amp;EBIT"/>
      <sheetName val="Fin. Summary"/>
      <sheetName val="COP"/>
      <sheetName val="Inputs"/>
      <sheetName val="XOM"/>
      <sheetName val="New Source Charts"/>
      <sheetName val="Modelware"/>
      <sheetName val="R&amp;MIS"/>
      <sheetName val="E&amp;P Growth &amp; Returns"/>
      <sheetName val="Global Product Sum"/>
      <sheetName val="Scenario"/>
      <sheetName val="Quarter"/>
      <sheetName val="Annual"/>
      <sheetName val="AN"/>
      <sheetName val="COC"/>
      <sheetName val="ｾｸﾞﾒﾝﾄ"/>
      <sheetName val="単独"/>
      <sheetName val="Factset Profile"/>
      <sheetName val="cash"/>
      <sheetName val="RD"/>
      <sheetName val="Power Plants"/>
      <sheetName val="synthgraph"/>
      <sheetName val="Scene2"/>
      <sheetName val="Bridge"/>
      <sheetName val="AK"/>
      <sheetName val="Cyc"/>
      <sheetName val="WF G"/>
      <sheetName val="CF"/>
      <sheetName val="FX2"/>
      <sheetName val="IS"/>
      <sheetName val="KEY_FINANCIALS"/>
      <sheetName val="DATA_IMPORT"/>
      <sheetName val="Model"/>
      <sheetName val="DCF"/>
      <sheetName val="FX Impact"/>
      <sheetName val="Tracking --&gt;"/>
      <sheetName val="Relative"/>
      <sheetName val="NORM"/>
      <sheetName val="SOLP"/>
      <sheetName val="Liquids"/>
      <sheetName val="charts"/>
      <sheetName val="Apples-Ratios"/>
      <sheetName val="Quarterly Data"/>
      <sheetName val="Debt"/>
      <sheetName val="Sheet1"/>
      <sheetName val="US"/>
      <sheetName val="DL"/>
      <sheetName val="IBES"/>
      <sheetName val="Value-A"/>
      <sheetName val="Scenarios"/>
      <sheetName val="ACM"/>
      <sheetName val="MW Ratios"/>
      <sheetName val="Ratings"/>
      <sheetName val="Field"/>
      <sheetName val="REVS"/>
      <sheetName val="earnmodel"/>
      <sheetName val="O_fpage"/>
      <sheetName val="maturityprofile"/>
      <sheetName val="variables"/>
      <sheetName val="IP"/>
      <sheetName val="Vluation"/>
      <sheetName val="ChemiPal JV"/>
      <sheetName val="Old BKS"/>
      <sheetName val="Plants"/>
      <sheetName val="VeraSun"/>
      <sheetName val="Forecast Change"/>
      <sheetName val="CY Link"/>
      <sheetName val="New Source"/>
      <sheetName val="INFAnnual"/>
      <sheetName val="Balance Sheet"/>
      <sheetName val="HSCDS-Retail"/>
      <sheetName val="DVC"/>
      <sheetName val="Links"/>
      <sheetName val="SectorPSales"/>
      <sheetName val="BMW"/>
      <sheetName val="BalanceSheet"/>
      <sheetName val="Add"/>
      <sheetName val="Revenue Model"/>
      <sheetName val="LME 2010"/>
      <sheetName val="MERGER"/>
      <sheetName val="Input Income Statement"/>
      <sheetName val="Assumptions"/>
      <sheetName val="Qtrly P&amp;L and BalSheet"/>
      <sheetName val="GT"/>
      <sheetName val="3Q05 Variance"/>
      <sheetName val="Reserve"/>
      <sheetName val="Ex3"/>
      <sheetName val="MW ROE Analyzer"/>
      <sheetName val="Master"/>
      <sheetName val="model &amp; valuation"/>
      <sheetName val="Budget summary 2011"/>
      <sheetName val="B"/>
      <sheetName val="Print"/>
      <sheetName val="Revenue at Risk"/>
      <sheetName val="ERPRO sheet"/>
      <sheetName val="New RGM"/>
      <sheetName val="c1"/>
      <sheetName val="SCF &amp; BS"/>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egment_ROCE"/>
      <sheetName val="US CLECS Input"/>
      <sheetName val="YTD Summaries"/>
      <sheetName val="Headcount Input Scheudle"/>
      <sheetName val="Capital Expenses"/>
      <sheetName val="Output_Q"/>
      <sheetName val="Cash Flow Statement"/>
      <sheetName val="Output_A"/>
      <sheetName val="LBOSHELL"/>
      <sheetName val="Comps"/>
      <sheetName val="GROUP P&amp;L"/>
      <sheetName val="IQ_GEO_SEG_EARNINGS_OP"/>
      <sheetName val="RenewProb"/>
      <sheetName val="Sheet2"/>
      <sheetName val="Commodities"/>
      <sheetName val="Data"/>
      <sheetName val="Sputtering"/>
      <sheetName val="Capacity"/>
      <sheetName val="New main"/>
      <sheetName val="P&amp;L"/>
      <sheetName val="A"/>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Financial Overview ShortProfile"/>
      <sheetName val="Assumptions &amp; Switches"/>
      <sheetName val="K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napshot"/>
      <sheetName val="Data"/>
      <sheetName val="Lanugage Index"/>
    </sheetNames>
    <sheetDataSet>
      <sheetData sheetId="0" refreshError="1"/>
      <sheetData sheetId="1">
        <row r="9">
          <cell r="A9">
            <v>43486</v>
          </cell>
          <cell r="B9">
            <v>8.8307800000000007</v>
          </cell>
          <cell r="C9">
            <v>0.64700000000000002</v>
          </cell>
        </row>
        <row r="10">
          <cell r="A10">
            <v>43487</v>
          </cell>
          <cell r="B10">
            <v>8.9747299999999992</v>
          </cell>
          <cell r="C10">
            <v>1.2985</v>
          </cell>
        </row>
        <row r="11">
          <cell r="A11">
            <v>43488</v>
          </cell>
          <cell r="B11">
            <v>8.9619</v>
          </cell>
          <cell r="C11">
            <v>0.42120000000000002</v>
          </cell>
        </row>
        <row r="12">
          <cell r="A12">
            <v>43489</v>
          </cell>
          <cell r="B12">
            <v>8.9526000000000003</v>
          </cell>
          <cell r="C12">
            <v>0.80969999999999998</v>
          </cell>
        </row>
        <row r="13">
          <cell r="A13">
            <v>43493</v>
          </cell>
          <cell r="B13">
            <v>8.60398</v>
          </cell>
          <cell r="C13">
            <v>1.0599000000000001</v>
          </cell>
        </row>
        <row r="14">
          <cell r="A14">
            <v>43494</v>
          </cell>
          <cell r="B14">
            <v>8.7832600000000003</v>
          </cell>
          <cell r="C14">
            <v>2.3325</v>
          </cell>
        </row>
        <row r="15">
          <cell r="A15">
            <v>43495</v>
          </cell>
          <cell r="B15">
            <v>8.8364999999999991</v>
          </cell>
          <cell r="C15">
            <v>0.44650000000000001</v>
          </cell>
        </row>
        <row r="16">
          <cell r="A16">
            <v>43496</v>
          </cell>
          <cell r="B16">
            <v>9.1205800000000004</v>
          </cell>
          <cell r="C16">
            <v>0.53539999999999999</v>
          </cell>
        </row>
        <row r="17">
          <cell r="A17">
            <v>43497</v>
          </cell>
          <cell r="B17">
            <v>9.0737400000000008</v>
          </cell>
          <cell r="C17">
            <v>0.23549999999999999</v>
          </cell>
        </row>
        <row r="18">
          <cell r="A18">
            <v>43500</v>
          </cell>
          <cell r="B18">
            <v>9.1102500000000006</v>
          </cell>
          <cell r="C18">
            <v>0.45629999999999998</v>
          </cell>
        </row>
        <row r="19">
          <cell r="A19">
            <v>43501</v>
          </cell>
          <cell r="B19">
            <v>9.3618299999999994</v>
          </cell>
          <cell r="C19">
            <v>1.0960000000000001</v>
          </cell>
        </row>
        <row r="20">
          <cell r="A20">
            <v>43502</v>
          </cell>
          <cell r="B20">
            <v>9.1181999999999999</v>
          </cell>
          <cell r="C20">
            <v>0.88109999999999999</v>
          </cell>
        </row>
        <row r="21">
          <cell r="A21">
            <v>43503</v>
          </cell>
          <cell r="B21">
            <v>8.7853100000000008</v>
          </cell>
          <cell r="C21">
            <v>0.99039999999999995</v>
          </cell>
        </row>
        <row r="22">
          <cell r="A22">
            <v>43504</v>
          </cell>
          <cell r="B22">
            <v>8.6317500000000003</v>
          </cell>
          <cell r="C22">
            <v>0.57689999999999997</v>
          </cell>
        </row>
        <row r="23">
          <cell r="A23">
            <v>43507</v>
          </cell>
          <cell r="B23">
            <v>8.5927299999999995</v>
          </cell>
          <cell r="C23">
            <v>0.60429999999999995</v>
          </cell>
        </row>
        <row r="24">
          <cell r="A24">
            <v>43508</v>
          </cell>
          <cell r="B24">
            <v>8.4819300000000002</v>
          </cell>
          <cell r="C24">
            <v>0.54079999999999995</v>
          </cell>
        </row>
        <row r="25">
          <cell r="A25">
            <v>43509</v>
          </cell>
          <cell r="B25">
            <v>8.4693900000000006</v>
          </cell>
          <cell r="C25">
            <v>0.80210000000000004</v>
          </cell>
        </row>
        <row r="26">
          <cell r="A26">
            <v>43510</v>
          </cell>
          <cell r="B26">
            <v>8.6591400000000007</v>
          </cell>
          <cell r="C26">
            <v>0.6542</v>
          </cell>
        </row>
        <row r="27">
          <cell r="A27">
            <v>43511</v>
          </cell>
          <cell r="B27">
            <v>8.9814399999999992</v>
          </cell>
          <cell r="C27">
            <v>0.4118</v>
          </cell>
        </row>
        <row r="28">
          <cell r="A28">
            <v>43514</v>
          </cell>
          <cell r="B28">
            <v>9.0743600000000004</v>
          </cell>
          <cell r="C28">
            <v>0.61380000000000001</v>
          </cell>
        </row>
        <row r="29">
          <cell r="A29">
            <v>43515</v>
          </cell>
          <cell r="B29">
            <v>9.0307099999999991</v>
          </cell>
          <cell r="C29">
            <v>0.6845</v>
          </cell>
        </row>
        <row r="30">
          <cell r="A30">
            <v>43516</v>
          </cell>
          <cell r="B30">
            <v>9.2597100000000001</v>
          </cell>
          <cell r="C30">
            <v>0.88949999999999996</v>
          </cell>
        </row>
        <row r="31">
          <cell r="A31">
            <v>43517</v>
          </cell>
          <cell r="B31">
            <v>8.8996300000000002</v>
          </cell>
          <cell r="C31">
            <v>0.61929999999999996</v>
          </cell>
        </row>
        <row r="32">
          <cell r="A32">
            <v>43518</v>
          </cell>
          <cell r="B32">
            <v>9.0770400000000002</v>
          </cell>
          <cell r="C32">
            <v>0.2009</v>
          </cell>
        </row>
        <row r="33">
          <cell r="A33">
            <v>43521</v>
          </cell>
          <cell r="B33">
            <v>9.2207899999999992</v>
          </cell>
          <cell r="C33">
            <v>0.5141</v>
          </cell>
        </row>
        <row r="34">
          <cell r="A34">
            <v>43522</v>
          </cell>
          <cell r="B34">
            <v>9.3463700000000003</v>
          </cell>
          <cell r="C34">
            <v>1.1335999999999999</v>
          </cell>
        </row>
        <row r="35">
          <cell r="A35">
            <v>43523</v>
          </cell>
          <cell r="B35">
            <v>9.5667299999999997</v>
          </cell>
          <cell r="C35">
            <v>0.82279999999999998</v>
          </cell>
        </row>
        <row r="36">
          <cell r="A36">
            <v>43524</v>
          </cell>
          <cell r="B36">
            <v>9.7205200000000005</v>
          </cell>
          <cell r="C36">
            <v>1.2585999999999999</v>
          </cell>
        </row>
        <row r="37">
          <cell r="A37">
            <v>43525</v>
          </cell>
          <cell r="B37">
            <v>9.7403099999999991</v>
          </cell>
          <cell r="C37">
            <v>2.3702999999999999</v>
          </cell>
        </row>
        <row r="38">
          <cell r="A38">
            <v>43530</v>
          </cell>
          <cell r="B38">
            <v>10.003959999999999</v>
          </cell>
          <cell r="C38">
            <v>0.83809999999999996</v>
          </cell>
        </row>
        <row r="39">
          <cell r="A39">
            <v>43531</v>
          </cell>
          <cell r="B39">
            <v>9.5245499999999996</v>
          </cell>
          <cell r="C39">
            <v>0.84399999999999997</v>
          </cell>
        </row>
        <row r="40">
          <cell r="A40">
            <v>43532</v>
          </cell>
          <cell r="B40">
            <v>9.4780200000000008</v>
          </cell>
          <cell r="C40">
            <v>1.1049</v>
          </cell>
        </row>
        <row r="41">
          <cell r="A41">
            <v>43535</v>
          </cell>
          <cell r="B41">
            <v>9.4729700000000001</v>
          </cell>
          <cell r="C41">
            <v>1.3568</v>
          </cell>
        </row>
        <row r="42">
          <cell r="A42">
            <v>43536</v>
          </cell>
          <cell r="B42">
            <v>9.5053000000000001</v>
          </cell>
          <cell r="C42">
            <v>0.77249999999999996</v>
          </cell>
        </row>
        <row r="43">
          <cell r="A43">
            <v>43537</v>
          </cell>
          <cell r="B43">
            <v>9.6615800000000007</v>
          </cell>
          <cell r="C43">
            <v>1.1133999999999999</v>
          </cell>
        </row>
        <row r="44">
          <cell r="A44">
            <v>43538</v>
          </cell>
          <cell r="B44">
            <v>9.8649900000000006</v>
          </cell>
          <cell r="C44">
            <v>0.84730000000000005</v>
          </cell>
        </row>
        <row r="45">
          <cell r="A45">
            <v>43539</v>
          </cell>
          <cell r="B45">
            <v>9.7324900000000003</v>
          </cell>
          <cell r="C45">
            <v>1.0256000000000001</v>
          </cell>
        </row>
        <row r="46">
          <cell r="A46">
            <v>43542</v>
          </cell>
          <cell r="B46">
            <v>9.9053900000000006</v>
          </cell>
          <cell r="C46">
            <v>0.752</v>
          </cell>
        </row>
        <row r="47">
          <cell r="A47">
            <v>43543</v>
          </cell>
          <cell r="B47">
            <v>9.7589400000000008</v>
          </cell>
          <cell r="C47">
            <v>9.3451000000000004</v>
          </cell>
        </row>
        <row r="48">
          <cell r="A48">
            <v>43544</v>
          </cell>
          <cell r="B48">
            <v>9.7364099999999993</v>
          </cell>
          <cell r="C48">
            <v>1.1556</v>
          </cell>
        </row>
        <row r="49">
          <cell r="A49">
            <v>43545</v>
          </cell>
          <cell r="B49">
            <v>9.5965799999999994</v>
          </cell>
          <cell r="C49">
            <v>0.91649999999999998</v>
          </cell>
        </row>
        <row r="50">
          <cell r="A50">
            <v>43546</v>
          </cell>
          <cell r="B50">
            <v>9.7684300000000004</v>
          </cell>
          <cell r="C50">
            <v>1.6742999999999999</v>
          </cell>
        </row>
        <row r="51">
          <cell r="A51">
            <v>43549</v>
          </cell>
          <cell r="B51">
            <v>9.8254699999999993</v>
          </cell>
          <cell r="C51">
            <v>0.84909999999999997</v>
          </cell>
        </row>
        <row r="52">
          <cell r="A52">
            <v>43550</v>
          </cell>
          <cell r="B52">
            <v>10.067360000000001</v>
          </cell>
          <cell r="C52">
            <v>1.71</v>
          </cell>
        </row>
        <row r="53">
          <cell r="A53">
            <v>43551</v>
          </cell>
          <cell r="B53">
            <v>9.7324999999999999</v>
          </cell>
          <cell r="C53">
            <v>1.8717999999999999</v>
          </cell>
        </row>
        <row r="54">
          <cell r="A54">
            <v>43552</v>
          </cell>
          <cell r="B54">
            <v>9.9209399999999999</v>
          </cell>
          <cell r="C54">
            <v>0.68630000000000002</v>
          </cell>
        </row>
        <row r="55">
          <cell r="A55">
            <v>43553</v>
          </cell>
          <cell r="B55">
            <v>10.123329999999999</v>
          </cell>
          <cell r="C55">
            <v>1.4762999999999999</v>
          </cell>
        </row>
        <row r="56">
          <cell r="A56">
            <v>43556</v>
          </cell>
          <cell r="B56">
            <v>10.139239999999999</v>
          </cell>
          <cell r="C56">
            <v>0.84970000000000001</v>
          </cell>
        </row>
        <row r="57">
          <cell r="A57">
            <v>43557</v>
          </cell>
          <cell r="B57">
            <v>10.07986</v>
          </cell>
          <cell r="C57">
            <v>1.6066</v>
          </cell>
        </row>
        <row r="58">
          <cell r="A58">
            <v>43558</v>
          </cell>
          <cell r="B58">
            <v>10.44904</v>
          </cell>
          <cell r="C58">
            <v>1.2228000000000001</v>
          </cell>
        </row>
        <row r="59">
          <cell r="A59">
            <v>43559</v>
          </cell>
          <cell r="B59">
            <v>10.91666</v>
          </cell>
          <cell r="C59">
            <v>2.0093000000000001</v>
          </cell>
        </row>
        <row r="60">
          <cell r="A60">
            <v>43560</v>
          </cell>
          <cell r="B60">
            <v>10.76939</v>
          </cell>
          <cell r="C60">
            <v>1.2155</v>
          </cell>
        </row>
        <row r="61">
          <cell r="A61">
            <v>43563</v>
          </cell>
          <cell r="B61">
            <v>10.82521</v>
          </cell>
          <cell r="C61">
            <v>1.7810999999999999</v>
          </cell>
        </row>
        <row r="62">
          <cell r="A62">
            <v>43564</v>
          </cell>
          <cell r="B62">
            <v>10.815300000000001</v>
          </cell>
          <cell r="C62">
            <v>1.403</v>
          </cell>
        </row>
        <row r="63">
          <cell r="A63">
            <v>43565</v>
          </cell>
          <cell r="B63">
            <v>10.94473</v>
          </cell>
          <cell r="C63">
            <v>1.7010000000000001</v>
          </cell>
        </row>
        <row r="64">
          <cell r="A64">
            <v>43566</v>
          </cell>
          <cell r="B64">
            <v>10.96514</v>
          </cell>
          <cell r="C64">
            <v>1.0301</v>
          </cell>
        </row>
        <row r="65">
          <cell r="A65">
            <v>43567</v>
          </cell>
          <cell r="B65">
            <v>10.934189999999999</v>
          </cell>
          <cell r="C65">
            <v>0.84019999999999995</v>
          </cell>
        </row>
        <row r="66">
          <cell r="A66">
            <v>43570</v>
          </cell>
          <cell r="B66">
            <v>10.888949999999999</v>
          </cell>
          <cell r="C66">
            <v>0.76659999999999995</v>
          </cell>
        </row>
        <row r="67">
          <cell r="A67">
            <v>43571</v>
          </cell>
          <cell r="B67">
            <v>10.8172</v>
          </cell>
          <cell r="C67">
            <v>1.4472</v>
          </cell>
        </row>
        <row r="68">
          <cell r="A68">
            <v>43572</v>
          </cell>
          <cell r="B68">
            <v>10.75662</v>
          </cell>
          <cell r="C68">
            <v>1.0397000000000001</v>
          </cell>
        </row>
        <row r="69">
          <cell r="A69">
            <v>43573</v>
          </cell>
          <cell r="B69">
            <v>10.34492</v>
          </cell>
          <cell r="C69">
            <v>2.9426999999999999</v>
          </cell>
        </row>
        <row r="70">
          <cell r="A70">
            <v>43577</v>
          </cell>
          <cell r="B70">
            <v>10.5936</v>
          </cell>
          <cell r="C70">
            <v>0.71879999999999999</v>
          </cell>
        </row>
        <row r="71">
          <cell r="A71">
            <v>43578</v>
          </cell>
          <cell r="B71">
            <v>10.8299</v>
          </cell>
          <cell r="C71">
            <v>1.3720000000000001</v>
          </cell>
        </row>
        <row r="72">
          <cell r="A72">
            <v>43579</v>
          </cell>
          <cell r="B72">
            <v>10.845549999999999</v>
          </cell>
          <cell r="C72">
            <v>1.3144</v>
          </cell>
        </row>
        <row r="73">
          <cell r="A73">
            <v>43580</v>
          </cell>
          <cell r="B73">
            <v>10.92456</v>
          </cell>
          <cell r="C73">
            <v>1.0455000000000001</v>
          </cell>
        </row>
        <row r="74">
          <cell r="A74">
            <v>43581</v>
          </cell>
          <cell r="B74">
            <v>11.113939999999999</v>
          </cell>
          <cell r="C74">
            <v>0.55840000000000001</v>
          </cell>
        </row>
        <row r="75">
          <cell r="A75">
            <v>43584</v>
          </cell>
          <cell r="B75">
            <v>11.19773</v>
          </cell>
          <cell r="C75">
            <v>0.45369999999999999</v>
          </cell>
        </row>
        <row r="76">
          <cell r="A76">
            <v>43585</v>
          </cell>
          <cell r="B76">
            <v>11.30166</v>
          </cell>
          <cell r="C76">
            <v>1.1200000000000001</v>
          </cell>
        </row>
        <row r="77">
          <cell r="A77">
            <v>43587</v>
          </cell>
          <cell r="B77">
            <v>11.113350000000001</v>
          </cell>
          <cell r="C77">
            <v>0.68579999999999997</v>
          </cell>
        </row>
        <row r="78">
          <cell r="A78">
            <v>43588</v>
          </cell>
          <cell r="B78">
            <v>10.797420000000001</v>
          </cell>
          <cell r="C78">
            <v>1.0568</v>
          </cell>
        </row>
        <row r="79">
          <cell r="A79">
            <v>43591</v>
          </cell>
          <cell r="B79">
            <v>10.65742</v>
          </cell>
          <cell r="C79">
            <v>0.75160000000000005</v>
          </cell>
        </row>
        <row r="80">
          <cell r="A80">
            <v>43592</v>
          </cell>
          <cell r="B80">
            <v>10.265029999999999</v>
          </cell>
          <cell r="C80">
            <v>1.0810999999999999</v>
          </cell>
        </row>
        <row r="81">
          <cell r="A81">
            <v>43593</v>
          </cell>
          <cell r="B81">
            <v>10.052680000000001</v>
          </cell>
          <cell r="C81">
            <v>1.9087000000000001</v>
          </cell>
        </row>
        <row r="82">
          <cell r="A82">
            <v>43594</v>
          </cell>
          <cell r="B82">
            <v>10.11881</v>
          </cell>
          <cell r="C82">
            <v>1.6495</v>
          </cell>
        </row>
        <row r="83">
          <cell r="A83">
            <v>43595</v>
          </cell>
          <cell r="B83">
            <v>10.401960000000001</v>
          </cell>
          <cell r="C83">
            <v>1.0553999999999999</v>
          </cell>
        </row>
        <row r="84">
          <cell r="A84">
            <v>43598</v>
          </cell>
          <cell r="B84">
            <v>10.36495</v>
          </cell>
          <cell r="C84">
            <v>0.62080000000000002</v>
          </cell>
        </row>
        <row r="85">
          <cell r="A85">
            <v>43599</v>
          </cell>
          <cell r="B85">
            <v>10.04923</v>
          </cell>
          <cell r="C85">
            <v>0.81069999999999998</v>
          </cell>
        </row>
        <row r="86">
          <cell r="A86">
            <v>43600</v>
          </cell>
          <cell r="B86">
            <v>9.98522</v>
          </cell>
          <cell r="C86">
            <v>0.32169999999999999</v>
          </cell>
        </row>
        <row r="87">
          <cell r="A87">
            <v>43601</v>
          </cell>
          <cell r="B87">
            <v>9.7225300000000008</v>
          </cell>
          <cell r="C87">
            <v>0.53510000000000002</v>
          </cell>
        </row>
        <row r="88">
          <cell r="A88">
            <v>43602</v>
          </cell>
          <cell r="B88">
            <v>9.4203399999999995</v>
          </cell>
          <cell r="C88">
            <v>0.47</v>
          </cell>
        </row>
        <row r="89">
          <cell r="A89">
            <v>43605</v>
          </cell>
          <cell r="B89">
            <v>9.3874499999999994</v>
          </cell>
          <cell r="C89">
            <v>0.32519999999999999</v>
          </cell>
        </row>
        <row r="90">
          <cell r="A90">
            <v>43606</v>
          </cell>
          <cell r="B90">
            <v>10.094749999999999</v>
          </cell>
          <cell r="C90">
            <v>0.87690000000000001</v>
          </cell>
        </row>
        <row r="91">
          <cell r="A91">
            <v>43607</v>
          </cell>
          <cell r="B91">
            <v>10.245089999999999</v>
          </cell>
          <cell r="C91">
            <v>0.54359999999999997</v>
          </cell>
        </row>
        <row r="92">
          <cell r="A92">
            <v>43608</v>
          </cell>
          <cell r="B92">
            <v>9.8706700000000005</v>
          </cell>
          <cell r="C92">
            <v>2.7829999999999999</v>
          </cell>
        </row>
        <row r="93">
          <cell r="A93">
            <v>43609</v>
          </cell>
          <cell r="B93">
            <v>9.9331999999999994</v>
          </cell>
          <cell r="C93">
            <v>0.70820000000000005</v>
          </cell>
        </row>
        <row r="94">
          <cell r="A94">
            <v>43612</v>
          </cell>
          <cell r="B94">
            <v>9.9497499999999999</v>
          </cell>
          <cell r="C94">
            <v>0.50929999999999997</v>
          </cell>
        </row>
        <row r="95">
          <cell r="A95">
            <v>43613</v>
          </cell>
          <cell r="B95">
            <v>9.9622100000000007</v>
          </cell>
          <cell r="C95">
            <v>1.8018000000000001</v>
          </cell>
        </row>
        <row r="96">
          <cell r="A96">
            <v>43614</v>
          </cell>
          <cell r="B96">
            <v>10.08006</v>
          </cell>
          <cell r="C96">
            <v>0.67049999999999998</v>
          </cell>
        </row>
        <row r="97">
          <cell r="A97">
            <v>43615</v>
          </cell>
          <cell r="B97">
            <v>9.9755000000000003</v>
          </cell>
          <cell r="C97">
            <v>1.2998000000000001</v>
          </cell>
        </row>
        <row r="98">
          <cell r="A98">
            <v>43616</v>
          </cell>
          <cell r="B98">
            <v>10.09585</v>
          </cell>
          <cell r="C98">
            <v>0.99409999999999998</v>
          </cell>
        </row>
        <row r="99">
          <cell r="A99">
            <v>43619</v>
          </cell>
          <cell r="B99">
            <v>9.9669399999999992</v>
          </cell>
          <cell r="C99">
            <v>1.3622000000000001</v>
          </cell>
        </row>
        <row r="100">
          <cell r="A100">
            <v>43620</v>
          </cell>
          <cell r="B100">
            <v>10.3409</v>
          </cell>
          <cell r="C100">
            <v>1.1780999999999999</v>
          </cell>
        </row>
        <row r="101">
          <cell r="A101">
            <v>43621</v>
          </cell>
          <cell r="B101">
            <v>10.51681</v>
          </cell>
          <cell r="C101">
            <v>1.4474</v>
          </cell>
        </row>
        <row r="102">
          <cell r="A102">
            <v>43622</v>
          </cell>
          <cell r="B102">
            <v>10.3767</v>
          </cell>
          <cell r="C102">
            <v>1.2741</v>
          </cell>
        </row>
        <row r="103">
          <cell r="A103">
            <v>43623</v>
          </cell>
          <cell r="B103">
            <v>10.63692</v>
          </cell>
          <cell r="C103">
            <v>1.0046999999999999</v>
          </cell>
        </row>
        <row r="104">
          <cell r="A104">
            <v>43626</v>
          </cell>
          <cell r="B104">
            <v>10.95509</v>
          </cell>
          <cell r="C104">
            <v>1.1711</v>
          </cell>
        </row>
        <row r="105">
          <cell r="A105">
            <v>43627</v>
          </cell>
          <cell r="B105">
            <v>11.12377</v>
          </cell>
          <cell r="C105">
            <v>1.3565</v>
          </cell>
        </row>
        <row r="106">
          <cell r="A106">
            <v>43628</v>
          </cell>
          <cell r="B106">
            <v>11.22146</v>
          </cell>
          <cell r="C106">
            <v>0.94650000000000001</v>
          </cell>
        </row>
        <row r="107">
          <cell r="A107">
            <v>43629</v>
          </cell>
          <cell r="B107">
            <v>11.46561</v>
          </cell>
          <cell r="C107">
            <v>1.3846000000000001</v>
          </cell>
        </row>
        <row r="108">
          <cell r="A108">
            <v>43630</v>
          </cell>
          <cell r="B108">
            <v>11.66259</v>
          </cell>
          <cell r="C108">
            <v>1.4766999999999999</v>
          </cell>
        </row>
        <row r="109">
          <cell r="A109">
            <v>43633</v>
          </cell>
          <cell r="B109">
            <v>11.564069999999999</v>
          </cell>
          <cell r="C109">
            <v>1.4819</v>
          </cell>
        </row>
        <row r="110">
          <cell r="A110">
            <v>43634</v>
          </cell>
          <cell r="B110">
            <v>11.6089</v>
          </cell>
          <cell r="C110">
            <v>1.214</v>
          </cell>
        </row>
        <row r="111">
          <cell r="A111">
            <v>43635</v>
          </cell>
          <cell r="B111">
            <v>11.61542</v>
          </cell>
          <cell r="C111">
            <v>1.2663</v>
          </cell>
        </row>
        <row r="112">
          <cell r="A112">
            <v>43637</v>
          </cell>
          <cell r="B112">
            <v>11.383330000000001</v>
          </cell>
          <cell r="C112">
            <v>2.9571000000000001</v>
          </cell>
        </row>
        <row r="113">
          <cell r="A113">
            <v>43640</v>
          </cell>
          <cell r="B113">
            <v>11.41578</v>
          </cell>
          <cell r="C113">
            <v>1.2096</v>
          </cell>
        </row>
        <row r="114">
          <cell r="A114">
            <v>43641</v>
          </cell>
          <cell r="B114">
            <v>11.143890000000001</v>
          </cell>
          <cell r="C114">
            <v>1.2410000000000001</v>
          </cell>
        </row>
        <row r="115">
          <cell r="A115">
            <v>43642</v>
          </cell>
          <cell r="B115">
            <v>11.275700000000001</v>
          </cell>
          <cell r="C115">
            <v>1.1226</v>
          </cell>
        </row>
        <row r="116">
          <cell r="A116">
            <v>43643</v>
          </cell>
          <cell r="B116">
            <v>11.291829999999999</v>
          </cell>
          <cell r="C116">
            <v>1.8464</v>
          </cell>
        </row>
        <row r="117">
          <cell r="A117">
            <v>43644</v>
          </cell>
          <cell r="B117">
            <v>11.49512</v>
          </cell>
          <cell r="C117">
            <v>1.7076</v>
          </cell>
        </row>
        <row r="118">
          <cell r="A118">
            <v>43647</v>
          </cell>
          <cell r="B118">
            <v>11.44129</v>
          </cell>
          <cell r="C118">
            <v>0.86280000000000001</v>
          </cell>
        </row>
        <row r="119">
          <cell r="A119">
            <v>43648</v>
          </cell>
          <cell r="B119">
            <v>11.691369999999999</v>
          </cell>
          <cell r="C119">
            <v>2.0855000000000001</v>
          </cell>
        </row>
        <row r="120">
          <cell r="A120">
            <v>43649</v>
          </cell>
          <cell r="B120">
            <v>11.867089999999999</v>
          </cell>
          <cell r="C120">
            <v>1.7234</v>
          </cell>
        </row>
        <row r="121">
          <cell r="A121">
            <v>43650</v>
          </cell>
          <cell r="B121">
            <v>12.317030000000001</v>
          </cell>
          <cell r="C121">
            <v>2.0571000000000002</v>
          </cell>
        </row>
        <row r="122">
          <cell r="A122">
            <v>43651</v>
          </cell>
          <cell r="B122">
            <v>12.825609999999999</v>
          </cell>
          <cell r="C122">
            <v>1.9617</v>
          </cell>
        </row>
        <row r="123">
          <cell r="A123">
            <v>43654</v>
          </cell>
          <cell r="B123">
            <v>12.79223</v>
          </cell>
          <cell r="C123">
            <v>1.3102</v>
          </cell>
        </row>
        <row r="124">
          <cell r="A124">
            <v>43656</v>
          </cell>
          <cell r="B124">
            <v>13.007009999999999</v>
          </cell>
          <cell r="C124">
            <v>2.7637999999999998</v>
          </cell>
        </row>
        <row r="125">
          <cell r="A125">
            <v>43657</v>
          </cell>
          <cell r="B125">
            <v>13.19018</v>
          </cell>
          <cell r="C125">
            <v>1.5462</v>
          </cell>
        </row>
        <row r="126">
          <cell r="A126">
            <v>43658</v>
          </cell>
          <cell r="B126">
            <v>12.895379999999999</v>
          </cell>
          <cell r="C126">
            <v>1.6769000000000001</v>
          </cell>
        </row>
        <row r="127">
          <cell r="A127">
            <v>43661</v>
          </cell>
          <cell r="B127">
            <v>12.729749999999999</v>
          </cell>
          <cell r="C127">
            <v>1.3845000000000001</v>
          </cell>
        </row>
        <row r="128">
          <cell r="A128">
            <v>43662</v>
          </cell>
          <cell r="B128">
            <v>12.741160000000001</v>
          </cell>
          <cell r="C128">
            <v>1.9406000000000001</v>
          </cell>
        </row>
        <row r="129">
          <cell r="A129">
            <v>43663</v>
          </cell>
          <cell r="B129">
            <v>12.792490000000001</v>
          </cell>
          <cell r="C129">
            <v>0.99409999999999998</v>
          </cell>
        </row>
        <row r="130">
          <cell r="A130">
            <v>43664</v>
          </cell>
          <cell r="B130">
            <v>12.646409999999999</v>
          </cell>
          <cell r="C130">
            <v>1.3361000000000001</v>
          </cell>
        </row>
        <row r="131">
          <cell r="A131">
            <v>43665</v>
          </cell>
          <cell r="B131">
            <v>12.79791</v>
          </cell>
          <cell r="C131">
            <v>2.7401</v>
          </cell>
        </row>
        <row r="132">
          <cell r="A132">
            <v>43668</v>
          </cell>
          <cell r="B132">
            <v>12.852779999999999</v>
          </cell>
          <cell r="C132">
            <v>0.71609999999999996</v>
          </cell>
        </row>
        <row r="133">
          <cell r="A133">
            <v>43669</v>
          </cell>
          <cell r="B133">
            <v>12.777089999999999</v>
          </cell>
          <cell r="C133">
            <v>1.5344</v>
          </cell>
        </row>
        <row r="134">
          <cell r="A134">
            <v>43670</v>
          </cell>
          <cell r="B134">
            <v>12.91309</v>
          </cell>
          <cell r="C134">
            <v>1.4943</v>
          </cell>
        </row>
        <row r="135">
          <cell r="A135">
            <v>43671</v>
          </cell>
          <cell r="B135">
            <v>12.7349</v>
          </cell>
          <cell r="C135">
            <v>1.4237</v>
          </cell>
        </row>
        <row r="136">
          <cell r="A136">
            <v>43672</v>
          </cell>
          <cell r="B136">
            <v>12.875540000000001</v>
          </cell>
          <cell r="C136">
            <v>0.66010000000000002</v>
          </cell>
        </row>
        <row r="137">
          <cell r="A137">
            <v>43675</v>
          </cell>
          <cell r="B137">
            <v>12.89514</v>
          </cell>
          <cell r="C137">
            <v>0.89080000000000004</v>
          </cell>
        </row>
        <row r="138">
          <cell r="A138">
            <v>43676</v>
          </cell>
          <cell r="B138">
            <v>12.754849999999999</v>
          </cell>
          <cell r="C138">
            <v>0.96809999999999996</v>
          </cell>
        </row>
        <row r="139">
          <cell r="A139">
            <v>43677</v>
          </cell>
          <cell r="B139">
            <v>12.901</v>
          </cell>
          <cell r="C139">
            <v>1.1875</v>
          </cell>
        </row>
        <row r="140">
          <cell r="A140">
            <v>43678</v>
          </cell>
          <cell r="B140">
            <v>12.86204</v>
          </cell>
          <cell r="C140">
            <v>1.2176</v>
          </cell>
        </row>
        <row r="141">
          <cell r="A141">
            <v>43679</v>
          </cell>
          <cell r="B141">
            <v>12.61131</v>
          </cell>
          <cell r="C141">
            <v>0.81399999999999995</v>
          </cell>
        </row>
        <row r="142">
          <cell r="A142">
            <v>43682</v>
          </cell>
          <cell r="B142">
            <v>12.32748</v>
          </cell>
          <cell r="C142">
            <v>1.0046999999999999</v>
          </cell>
        </row>
        <row r="143">
          <cell r="A143">
            <v>43683</v>
          </cell>
          <cell r="B143">
            <v>12.30711</v>
          </cell>
          <cell r="C143">
            <v>1.4073</v>
          </cell>
        </row>
        <row r="144">
          <cell r="A144">
            <v>43684</v>
          </cell>
          <cell r="B144">
            <v>12.44604</v>
          </cell>
          <cell r="C144">
            <v>1.2487999999999999</v>
          </cell>
        </row>
        <row r="145">
          <cell r="A145">
            <v>43685</v>
          </cell>
          <cell r="B145">
            <v>13.604229999999999</v>
          </cell>
          <cell r="C145">
            <v>6.6961000000000004</v>
          </cell>
        </row>
        <row r="146">
          <cell r="A146">
            <v>43686</v>
          </cell>
          <cell r="B146">
            <v>14.290789999999999</v>
          </cell>
          <cell r="C146">
            <v>4.0256999999999996</v>
          </cell>
        </row>
        <row r="147">
          <cell r="A147">
            <v>43689</v>
          </cell>
          <cell r="B147">
            <v>13.76078</v>
          </cell>
          <cell r="C147">
            <v>1.8273999999999999</v>
          </cell>
        </row>
        <row r="148">
          <cell r="A148">
            <v>43690</v>
          </cell>
          <cell r="B148">
            <v>13.79119</v>
          </cell>
          <cell r="C148">
            <v>1.5748</v>
          </cell>
        </row>
        <row r="149">
          <cell r="A149">
            <v>43691</v>
          </cell>
          <cell r="B149">
            <v>13.59308</v>
          </cell>
          <cell r="C149">
            <v>1.6748000000000001</v>
          </cell>
        </row>
        <row r="150">
          <cell r="A150">
            <v>43692</v>
          </cell>
          <cell r="B150">
            <v>13.37984</v>
          </cell>
          <cell r="C150">
            <v>1.8335999999999999</v>
          </cell>
        </row>
        <row r="151">
          <cell r="A151">
            <v>43693</v>
          </cell>
          <cell r="B151">
            <v>13.344519999999999</v>
          </cell>
          <cell r="C151">
            <v>1.9229000000000001</v>
          </cell>
        </row>
        <row r="152">
          <cell r="A152">
            <v>43696</v>
          </cell>
          <cell r="B152">
            <v>13.23526</v>
          </cell>
          <cell r="C152">
            <v>0.94699999999999995</v>
          </cell>
        </row>
        <row r="153">
          <cell r="A153">
            <v>43697</v>
          </cell>
          <cell r="B153">
            <v>13.294879999999999</v>
          </cell>
          <cell r="C153">
            <v>0.85170000000000001</v>
          </cell>
        </row>
        <row r="154">
          <cell r="A154">
            <v>43698</v>
          </cell>
          <cell r="B154">
            <v>13.50051</v>
          </cell>
          <cell r="C154">
            <v>1.0843</v>
          </cell>
        </row>
        <row r="155">
          <cell r="A155">
            <v>43699</v>
          </cell>
          <cell r="B155">
            <v>13.15432</v>
          </cell>
          <cell r="C155">
            <v>0.72350000000000003</v>
          </cell>
        </row>
        <row r="156">
          <cell r="A156">
            <v>43700</v>
          </cell>
          <cell r="B156">
            <v>13.079370000000001</v>
          </cell>
          <cell r="C156">
            <v>1.1568000000000001</v>
          </cell>
        </row>
        <row r="157">
          <cell r="A157">
            <v>43703</v>
          </cell>
          <cell r="B157">
            <v>12.62993</v>
          </cell>
          <cell r="C157">
            <v>1.22</v>
          </cell>
        </row>
        <row r="158">
          <cell r="A158">
            <v>43704</v>
          </cell>
          <cell r="B158">
            <v>12.452400000000001</v>
          </cell>
          <cell r="C158">
            <v>1.4404999999999999</v>
          </cell>
        </row>
        <row r="159">
          <cell r="A159">
            <v>43705</v>
          </cell>
          <cell r="B159">
            <v>12.684089999999999</v>
          </cell>
          <cell r="C159">
            <v>1.8636999999999999</v>
          </cell>
        </row>
        <row r="160">
          <cell r="A160">
            <v>43706</v>
          </cell>
          <cell r="B160">
            <v>12.80663</v>
          </cell>
          <cell r="C160">
            <v>1.0232000000000001</v>
          </cell>
        </row>
        <row r="161">
          <cell r="A161">
            <v>43707</v>
          </cell>
          <cell r="B161">
            <v>13.032120000000001</v>
          </cell>
          <cell r="C161">
            <v>1.6772</v>
          </cell>
        </row>
        <row r="162">
          <cell r="A162">
            <v>43710</v>
          </cell>
          <cell r="B162">
            <v>12.99526</v>
          </cell>
          <cell r="C162">
            <v>0.85670000000000002</v>
          </cell>
        </row>
        <row r="163">
          <cell r="A163">
            <v>43711</v>
          </cell>
          <cell r="B163">
            <v>12.618449999999999</v>
          </cell>
          <cell r="C163">
            <v>1.2708999999999999</v>
          </cell>
        </row>
        <row r="164">
          <cell r="A164">
            <v>43712</v>
          </cell>
          <cell r="B164">
            <v>13.024139999999999</v>
          </cell>
          <cell r="C164">
            <v>2.0480999999999998</v>
          </cell>
        </row>
        <row r="165">
          <cell r="A165">
            <v>43713</v>
          </cell>
          <cell r="B165">
            <v>13.16831</v>
          </cell>
          <cell r="C165">
            <v>0.86280000000000001</v>
          </cell>
        </row>
        <row r="166">
          <cell r="A166">
            <v>43714</v>
          </cell>
          <cell r="B166">
            <v>13.143000000000001</v>
          </cell>
          <cell r="C166">
            <v>0.60360000000000003</v>
          </cell>
        </row>
        <row r="167">
          <cell r="A167">
            <v>43717</v>
          </cell>
          <cell r="B167">
            <v>12.46632</v>
          </cell>
          <cell r="C167">
            <v>1.9486000000000001</v>
          </cell>
        </row>
        <row r="168">
          <cell r="A168">
            <v>43718</v>
          </cell>
          <cell r="B168">
            <v>12.51276</v>
          </cell>
          <cell r="C168">
            <v>0.92549999999999999</v>
          </cell>
        </row>
        <row r="169">
          <cell r="A169">
            <v>43719</v>
          </cell>
          <cell r="B169">
            <v>13.12865</v>
          </cell>
          <cell r="C169">
            <v>0.90459999999999996</v>
          </cell>
        </row>
        <row r="170">
          <cell r="A170">
            <v>43720</v>
          </cell>
          <cell r="B170">
            <v>13.15044</v>
          </cell>
          <cell r="C170">
            <v>0.98299999999999998</v>
          </cell>
        </row>
        <row r="171">
          <cell r="A171">
            <v>43721</v>
          </cell>
          <cell r="B171">
            <v>13.07156</v>
          </cell>
          <cell r="C171">
            <v>0.85589999999999999</v>
          </cell>
        </row>
        <row r="172">
          <cell r="A172">
            <v>43724</v>
          </cell>
          <cell r="B172">
            <v>13.07321</v>
          </cell>
          <cell r="C172">
            <v>0.9022</v>
          </cell>
        </row>
        <row r="173">
          <cell r="A173">
            <v>43725</v>
          </cell>
          <cell r="B173">
            <v>13.16958</v>
          </cell>
          <cell r="C173">
            <v>1.194</v>
          </cell>
        </row>
        <row r="174">
          <cell r="A174">
            <v>43726</v>
          </cell>
          <cell r="B174">
            <v>13.225</v>
          </cell>
          <cell r="C174">
            <v>0.59219999999999995</v>
          </cell>
        </row>
        <row r="175">
          <cell r="A175">
            <v>43727</v>
          </cell>
          <cell r="B175">
            <v>13.42718</v>
          </cell>
          <cell r="C175">
            <v>1.4756</v>
          </cell>
        </row>
        <row r="176">
          <cell r="A176">
            <v>43728</v>
          </cell>
          <cell r="B176">
            <v>13.5566</v>
          </cell>
          <cell r="C176">
            <v>2.4636</v>
          </cell>
        </row>
        <row r="177">
          <cell r="A177">
            <v>43731</v>
          </cell>
          <cell r="B177">
            <v>13.65498</v>
          </cell>
          <cell r="C177">
            <v>2.1021000000000001</v>
          </cell>
        </row>
        <row r="178">
          <cell r="A178">
            <v>43732</v>
          </cell>
          <cell r="B178">
            <v>13.76641</v>
          </cell>
          <cell r="C178">
            <v>1.1987000000000001</v>
          </cell>
        </row>
        <row r="179">
          <cell r="A179">
            <v>43733</v>
          </cell>
          <cell r="B179">
            <v>13.550319999999999</v>
          </cell>
          <cell r="C179">
            <v>1.8625</v>
          </cell>
        </row>
        <row r="180">
          <cell r="A180">
            <v>43734</v>
          </cell>
          <cell r="B180">
            <v>13.818339999999999</v>
          </cell>
          <cell r="C180">
            <v>1.6073</v>
          </cell>
        </row>
        <row r="181">
          <cell r="A181">
            <v>43735</v>
          </cell>
          <cell r="B181">
            <v>13.981629999999999</v>
          </cell>
          <cell r="C181">
            <v>1.2958000000000001</v>
          </cell>
        </row>
        <row r="182">
          <cell r="A182">
            <v>43738</v>
          </cell>
          <cell r="B182">
            <v>13.85749</v>
          </cell>
          <cell r="C182">
            <v>1.1475</v>
          </cell>
        </row>
        <row r="183">
          <cell r="A183">
            <v>43739</v>
          </cell>
          <cell r="B183">
            <v>14.037319999999999</v>
          </cell>
          <cell r="C183">
            <v>1.1326000000000001</v>
          </cell>
        </row>
        <row r="184">
          <cell r="A184">
            <v>43740</v>
          </cell>
          <cell r="B184">
            <v>13.9435</v>
          </cell>
          <cell r="C184">
            <v>0.99270000000000003</v>
          </cell>
        </row>
        <row r="185">
          <cell r="A185">
            <v>43741</v>
          </cell>
          <cell r="B185">
            <v>14.66347</v>
          </cell>
          <cell r="C185">
            <v>2.4815</v>
          </cell>
        </row>
        <row r="186">
          <cell r="A186">
            <v>43742</v>
          </cell>
          <cell r="B186">
            <v>14.67614</v>
          </cell>
          <cell r="C186">
            <v>2.3439999999999999</v>
          </cell>
        </row>
        <row r="187">
          <cell r="A187">
            <v>43745</v>
          </cell>
          <cell r="B187">
            <v>14.40788</v>
          </cell>
          <cell r="C187">
            <v>1.1291</v>
          </cell>
        </row>
        <row r="188">
          <cell r="A188">
            <v>43746</v>
          </cell>
          <cell r="B188">
            <v>14.36543</v>
          </cell>
          <cell r="C188">
            <v>1.7421</v>
          </cell>
        </row>
        <row r="189">
          <cell r="A189">
            <v>43747</v>
          </cell>
          <cell r="B189">
            <v>14.330270000000001</v>
          </cell>
          <cell r="C189">
            <v>1.9717</v>
          </cell>
        </row>
        <row r="190">
          <cell r="A190">
            <v>43748</v>
          </cell>
          <cell r="B190">
            <v>14.067819999999999</v>
          </cell>
          <cell r="C190">
            <v>1.3603000000000001</v>
          </cell>
        </row>
        <row r="191">
          <cell r="A191">
            <v>43749</v>
          </cell>
          <cell r="B191">
            <v>14.046659999999999</v>
          </cell>
          <cell r="C191">
            <v>1.9182999999999999</v>
          </cell>
        </row>
        <row r="192">
          <cell r="A192">
            <v>43752</v>
          </cell>
          <cell r="B192">
            <v>13.88251</v>
          </cell>
          <cell r="C192">
            <v>1.6035999999999999</v>
          </cell>
        </row>
        <row r="193">
          <cell r="A193">
            <v>43753</v>
          </cell>
          <cell r="B193">
            <v>13.72256</v>
          </cell>
          <cell r="C193">
            <v>1.1237999999999999</v>
          </cell>
        </row>
        <row r="194">
          <cell r="A194">
            <v>43754</v>
          </cell>
          <cell r="B194">
            <v>13.69458</v>
          </cell>
          <cell r="C194">
            <v>1.0275000000000001</v>
          </cell>
        </row>
        <row r="195">
          <cell r="A195">
            <v>43755</v>
          </cell>
          <cell r="B195">
            <v>13.857250000000001</v>
          </cell>
          <cell r="C195">
            <v>1.23</v>
          </cell>
        </row>
        <row r="196">
          <cell r="A196">
            <v>43756</v>
          </cell>
          <cell r="B196">
            <v>13.76238</v>
          </cell>
          <cell r="C196">
            <v>1.3462000000000001</v>
          </cell>
        </row>
        <row r="197">
          <cell r="A197">
            <v>43759</v>
          </cell>
          <cell r="B197">
            <v>13.56452</v>
          </cell>
          <cell r="C197">
            <v>1.0521</v>
          </cell>
        </row>
        <row r="198">
          <cell r="A198">
            <v>43760</v>
          </cell>
          <cell r="B198">
            <v>14.045809999999999</v>
          </cell>
          <cell r="C198">
            <v>3.0263</v>
          </cell>
        </row>
        <row r="199">
          <cell r="A199">
            <v>43761</v>
          </cell>
          <cell r="B199">
            <v>14.368309999999999</v>
          </cell>
          <cell r="C199">
            <v>1.4258999999999999</v>
          </cell>
        </row>
        <row r="200">
          <cell r="A200">
            <v>43762</v>
          </cell>
          <cell r="B200">
            <v>14.461679999999999</v>
          </cell>
          <cell r="C200">
            <v>1.2965</v>
          </cell>
        </row>
        <row r="201">
          <cell r="A201">
            <v>43763</v>
          </cell>
          <cell r="B201">
            <v>14.41516</v>
          </cell>
          <cell r="C201">
            <v>1.1483000000000001</v>
          </cell>
        </row>
        <row r="202">
          <cell r="A202">
            <v>43766</v>
          </cell>
          <cell r="B202">
            <v>14.629619999999999</v>
          </cell>
          <cell r="C202">
            <v>0.90810000000000002</v>
          </cell>
        </row>
        <row r="203">
          <cell r="A203">
            <v>43767</v>
          </cell>
          <cell r="B203">
            <v>15.52018</v>
          </cell>
          <cell r="C203">
            <v>3.7751000000000001</v>
          </cell>
        </row>
        <row r="204">
          <cell r="A204">
            <v>43768</v>
          </cell>
          <cell r="B204">
            <v>15.73109</v>
          </cell>
          <cell r="C204">
            <v>2.3224999999999998</v>
          </cell>
        </row>
        <row r="205">
          <cell r="A205">
            <v>43769</v>
          </cell>
          <cell r="B205">
            <v>15.470219999999999</v>
          </cell>
          <cell r="C205">
            <v>1.0373000000000001</v>
          </cell>
        </row>
        <row r="206">
          <cell r="A206">
            <v>43770</v>
          </cell>
          <cell r="B206">
            <v>15.91103</v>
          </cell>
          <cell r="C206">
            <v>0.96160000000000001</v>
          </cell>
        </row>
        <row r="207">
          <cell r="A207">
            <v>43773</v>
          </cell>
          <cell r="B207">
            <v>15.49025</v>
          </cell>
          <cell r="C207">
            <v>1.0992</v>
          </cell>
        </row>
        <row r="208">
          <cell r="A208">
            <v>43774</v>
          </cell>
          <cell r="B208">
            <v>15.00163</v>
          </cell>
          <cell r="C208">
            <v>1.5814999999999999</v>
          </cell>
        </row>
        <row r="209">
          <cell r="A209">
            <v>43775</v>
          </cell>
          <cell r="B209">
            <v>15.14823</v>
          </cell>
          <cell r="C209">
            <v>1.4837</v>
          </cell>
        </row>
        <row r="210">
          <cell r="A210">
            <v>43776</v>
          </cell>
          <cell r="B210">
            <v>14.964840000000001</v>
          </cell>
          <cell r="C210">
            <v>1.7093</v>
          </cell>
        </row>
        <row r="211">
          <cell r="A211">
            <v>43777</v>
          </cell>
          <cell r="B211">
            <v>14.71092</v>
          </cell>
          <cell r="C211">
            <v>1.571</v>
          </cell>
        </row>
        <row r="212">
          <cell r="A212">
            <v>43780</v>
          </cell>
          <cell r="B212">
            <v>14.978440000000001</v>
          </cell>
          <cell r="C212">
            <v>1.5343</v>
          </cell>
        </row>
        <row r="213">
          <cell r="A213">
            <v>43781</v>
          </cell>
          <cell r="B213">
            <v>14.832649999999999</v>
          </cell>
          <cell r="C213">
            <v>2.1629999999999998</v>
          </cell>
        </row>
        <row r="214">
          <cell r="A214">
            <v>43782</v>
          </cell>
          <cell r="B214">
            <v>14.767480000000001</v>
          </cell>
          <cell r="C214">
            <v>2.1711</v>
          </cell>
        </row>
        <row r="215">
          <cell r="A215">
            <v>43783</v>
          </cell>
          <cell r="B215">
            <v>15.06146</v>
          </cell>
          <cell r="C215">
            <v>1.5126999999999999</v>
          </cell>
        </row>
        <row r="216">
          <cell r="A216">
            <v>43787</v>
          </cell>
          <cell r="B216">
            <v>15.35965</v>
          </cell>
          <cell r="C216">
            <v>2.3149000000000002</v>
          </cell>
        </row>
        <row r="217">
          <cell r="A217">
            <v>43788</v>
          </cell>
          <cell r="B217">
            <v>15.55777</v>
          </cell>
          <cell r="C217">
            <v>2.2890999999999999</v>
          </cell>
        </row>
        <row r="218">
          <cell r="A218">
            <v>43790</v>
          </cell>
          <cell r="B218">
            <v>15.801460000000001</v>
          </cell>
          <cell r="C218">
            <v>2.2605</v>
          </cell>
        </row>
        <row r="219">
          <cell r="A219">
            <v>43791</v>
          </cell>
          <cell r="B219">
            <v>15.584910000000001</v>
          </cell>
          <cell r="C219">
            <v>1.2843</v>
          </cell>
        </row>
        <row r="220">
          <cell r="A220">
            <v>43794</v>
          </cell>
          <cell r="B220">
            <v>15.52256</v>
          </cell>
          <cell r="C220">
            <v>0.78069999999999995</v>
          </cell>
        </row>
        <row r="221">
          <cell r="A221">
            <v>43795</v>
          </cell>
          <cell r="B221">
            <v>15.27445</v>
          </cell>
          <cell r="C221">
            <v>1.1296999999999999</v>
          </cell>
        </row>
        <row r="222">
          <cell r="A222">
            <v>43796</v>
          </cell>
          <cell r="B222">
            <v>15.397600000000001</v>
          </cell>
          <cell r="C222">
            <v>0.93779999999999997</v>
          </cell>
        </row>
        <row r="223">
          <cell r="A223">
            <v>43797</v>
          </cell>
          <cell r="B223">
            <v>15.398</v>
          </cell>
          <cell r="C223">
            <v>1.0101</v>
          </cell>
        </row>
        <row r="224">
          <cell r="A224">
            <v>43798</v>
          </cell>
          <cell r="B224">
            <v>15.295870000000001</v>
          </cell>
          <cell r="C224">
            <v>1.7859</v>
          </cell>
        </row>
        <row r="225">
          <cell r="A225">
            <v>43801</v>
          </cell>
          <cell r="B225">
            <v>15.05466</v>
          </cell>
          <cell r="C225">
            <v>1.3778999999999999</v>
          </cell>
        </row>
        <row r="226">
          <cell r="A226">
            <v>43802</v>
          </cell>
          <cell r="B226">
            <v>14.90508</v>
          </cell>
          <cell r="C226">
            <v>1.3203</v>
          </cell>
        </row>
        <row r="227">
          <cell r="A227">
            <v>43803</v>
          </cell>
          <cell r="B227">
            <v>15.252129999999999</v>
          </cell>
          <cell r="C227">
            <v>1.5274000000000001</v>
          </cell>
        </row>
        <row r="228">
          <cell r="A228">
            <v>43804</v>
          </cell>
          <cell r="B228">
            <v>15.272959999999999</v>
          </cell>
          <cell r="C228">
            <v>0.95450000000000002</v>
          </cell>
        </row>
        <row r="229">
          <cell r="A229">
            <v>43805</v>
          </cell>
          <cell r="B229">
            <v>15.666320000000001</v>
          </cell>
          <cell r="C229">
            <v>1.2690999999999999</v>
          </cell>
        </row>
        <row r="230">
          <cell r="A230">
            <v>43808</v>
          </cell>
          <cell r="B230">
            <v>15.709009999999999</v>
          </cell>
          <cell r="C230">
            <v>2.1335000000000002</v>
          </cell>
        </row>
        <row r="231">
          <cell r="A231">
            <v>43809</v>
          </cell>
          <cell r="B231">
            <v>15.64913</v>
          </cell>
          <cell r="C231">
            <v>1.6298999999999999</v>
          </cell>
        </row>
        <row r="232">
          <cell r="A232">
            <v>43810</v>
          </cell>
          <cell r="B232">
            <v>15.736510000000001</v>
          </cell>
          <cell r="C232">
            <v>2.2467999999999999</v>
          </cell>
        </row>
        <row r="233">
          <cell r="A233">
            <v>43811</v>
          </cell>
          <cell r="B233">
            <v>16.34186</v>
          </cell>
          <cell r="C233">
            <v>1.9056</v>
          </cell>
        </row>
        <row r="234">
          <cell r="A234">
            <v>43812</v>
          </cell>
          <cell r="B234">
            <v>16.720210000000002</v>
          </cell>
          <cell r="C234">
            <v>1.1642999999999999</v>
          </cell>
        </row>
        <row r="235">
          <cell r="A235">
            <v>43815</v>
          </cell>
          <cell r="B235">
            <v>16.699819999999999</v>
          </cell>
          <cell r="C235">
            <v>1.9067000000000001</v>
          </cell>
        </row>
        <row r="236">
          <cell r="A236">
            <v>43816</v>
          </cell>
          <cell r="B236">
            <v>16.703980000000001</v>
          </cell>
          <cell r="C236">
            <v>1.177</v>
          </cell>
        </row>
        <row r="237">
          <cell r="A237">
            <v>43817</v>
          </cell>
          <cell r="B237">
            <v>16.662980000000001</v>
          </cell>
          <cell r="C237">
            <v>1.2371000000000001</v>
          </cell>
        </row>
        <row r="238">
          <cell r="A238">
            <v>43818</v>
          </cell>
          <cell r="B238">
            <v>16.7364</v>
          </cell>
          <cell r="C238">
            <v>2.2227000000000001</v>
          </cell>
        </row>
        <row r="239">
          <cell r="A239">
            <v>43819</v>
          </cell>
          <cell r="B239">
            <v>16.783529999999999</v>
          </cell>
          <cell r="C239">
            <v>1.5548</v>
          </cell>
        </row>
        <row r="240">
          <cell r="A240">
            <v>43822</v>
          </cell>
          <cell r="B240">
            <v>16.654769999999999</v>
          </cell>
          <cell r="C240">
            <v>1.3466</v>
          </cell>
        </row>
        <row r="241">
          <cell r="A241">
            <v>43825</v>
          </cell>
          <cell r="B241">
            <v>16.498380000000001</v>
          </cell>
          <cell r="C241">
            <v>1.6394</v>
          </cell>
        </row>
        <row r="242">
          <cell r="A242">
            <v>43826</v>
          </cell>
          <cell r="B242">
            <v>16.003360000000001</v>
          </cell>
          <cell r="C242">
            <v>3.3913000000000002</v>
          </cell>
        </row>
        <row r="243">
          <cell r="A243">
            <v>43829</v>
          </cell>
          <cell r="B243">
            <v>16.06841</v>
          </cell>
          <cell r="C243">
            <v>3.8159999999999998</v>
          </cell>
        </row>
        <row r="244">
          <cell r="A244">
            <v>43832</v>
          </cell>
          <cell r="B244">
            <v>17.144770000000001</v>
          </cell>
          <cell r="C244">
            <v>3.6501999999999999</v>
          </cell>
        </row>
        <row r="245">
          <cell r="A245">
            <v>43833</v>
          </cell>
          <cell r="B245">
            <v>17.482790000000001</v>
          </cell>
          <cell r="C245">
            <v>6.1474000000000002</v>
          </cell>
        </row>
        <row r="246">
          <cell r="A246">
            <v>43836</v>
          </cell>
          <cell r="B246">
            <v>17.030259999999998</v>
          </cell>
          <cell r="C246">
            <v>2.3212999999999999</v>
          </cell>
        </row>
        <row r="247">
          <cell r="A247">
            <v>43837</v>
          </cell>
          <cell r="B247">
            <v>16.986540000000002</v>
          </cell>
          <cell r="C247">
            <v>2.4735</v>
          </cell>
        </row>
        <row r="248">
          <cell r="A248">
            <v>43838</v>
          </cell>
          <cell r="B248">
            <v>16.80142</v>
          </cell>
          <cell r="C248">
            <v>1.8031999999999999</v>
          </cell>
        </row>
        <row r="249">
          <cell r="A249">
            <v>43839</v>
          </cell>
          <cell r="B249">
            <v>17.05396</v>
          </cell>
          <cell r="C249">
            <v>2.1110000000000002</v>
          </cell>
        </row>
        <row r="250">
          <cell r="A250">
            <v>43840</v>
          </cell>
          <cell r="B250">
            <v>16.90438</v>
          </cell>
          <cell r="C250">
            <v>1.9397</v>
          </cell>
        </row>
        <row r="251">
          <cell r="A251">
            <v>43843</v>
          </cell>
          <cell r="B251">
            <v>16.852979999999999</v>
          </cell>
          <cell r="C251">
            <v>1.6491</v>
          </cell>
        </row>
        <row r="252">
          <cell r="A252">
            <v>43844</v>
          </cell>
          <cell r="B252">
            <v>16.808240000000001</v>
          </cell>
          <cell r="C252">
            <v>2.1770999999999998</v>
          </cell>
        </row>
        <row r="253">
          <cell r="A253">
            <v>43845</v>
          </cell>
          <cell r="B253">
            <v>16.701350000000001</v>
          </cell>
          <cell r="C253">
            <v>1.3777999999999999</v>
          </cell>
        </row>
        <row r="254">
          <cell r="A254">
            <v>43846</v>
          </cell>
          <cell r="B254">
            <v>16.70374</v>
          </cell>
          <cell r="C254">
            <v>1.5044999999999999</v>
          </cell>
        </row>
        <row r="255">
          <cell r="A255">
            <v>43847</v>
          </cell>
          <cell r="B255">
            <v>17.283719999999999</v>
          </cell>
          <cell r="C255">
            <v>2.0436999999999999</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s>
    <sheetDataSet>
      <sheetData sheetId="0">
        <row r="8">
          <cell r="AC8" t="str">
            <v>IQKD640883646</v>
          </cell>
          <cell r="AD8" t="str">
            <v>IQKD594012424</v>
          </cell>
          <cell r="AE8" t="str">
            <v>IQKD540464793</v>
          </cell>
          <cell r="AF8" t="str">
            <v>IQKD412596701</v>
          </cell>
          <cell r="AG8" t="str">
            <v>IQKD318893426</v>
          </cell>
          <cell r="AH8" t="str">
            <v>IQKD272906928</v>
          </cell>
          <cell r="AI8" t="str">
            <v>IQKD248370500</v>
          </cell>
          <cell r="AJ8" t="str">
            <v>IQKD224379878</v>
          </cell>
          <cell r="AK8" t="str">
            <v>IQKD144142650</v>
          </cell>
          <cell r="AL8" t="str">
            <v>IQKD116746022</v>
          </cell>
        </row>
        <row r="9">
          <cell r="AC9" t="str">
            <v>IQKD626536052</v>
          </cell>
          <cell r="AD9" t="str">
            <v>IQKD634683489</v>
          </cell>
          <cell r="AE9" t="str">
            <v>IQKD540469717</v>
          </cell>
          <cell r="AF9" t="str">
            <v>IQKD384147097</v>
          </cell>
          <cell r="AG9" t="str">
            <v>IQKD312662208</v>
          </cell>
          <cell r="AH9" t="str">
            <v>IQKD263271230</v>
          </cell>
          <cell r="AI9" t="str">
            <v>IQKD252434505</v>
          </cell>
          <cell r="AJ9" t="str">
            <v>IQKD235753375</v>
          </cell>
          <cell r="AK9" t="str">
            <v>IQKD142694674</v>
          </cell>
          <cell r="AL9" t="str">
            <v>IQKD114985455</v>
          </cell>
        </row>
        <row r="10">
          <cell r="AC10" t="str">
            <v>IQKD645128300</v>
          </cell>
          <cell r="AD10" t="str">
            <v>IQKD587071625</v>
          </cell>
          <cell r="AE10" t="str">
            <v>IQKD546493967</v>
          </cell>
          <cell r="AF10" t="str">
            <v>IQKD381471181</v>
          </cell>
          <cell r="AG10" t="str">
            <v>IQKD283172448</v>
          </cell>
          <cell r="AH10" t="str">
            <v>IQKD276589567</v>
          </cell>
          <cell r="AI10" t="str">
            <v>IQKD241527461</v>
          </cell>
          <cell r="AJ10" t="str">
            <v>IQKD223370187</v>
          </cell>
          <cell r="AK10" t="str">
            <v>IQKD142145896</v>
          </cell>
          <cell r="AL10" t="str">
            <v>IQKD114989225</v>
          </cell>
        </row>
        <row r="11">
          <cell r="AC11" t="str">
            <v>IQKD644805677</v>
          </cell>
          <cell r="AD11" t="str">
            <v>IQKD590995711</v>
          </cell>
          <cell r="AE11" t="str">
            <v>IQKD541126008</v>
          </cell>
          <cell r="AF11" t="str">
            <v>IQKD410542592</v>
          </cell>
          <cell r="AG11" t="str">
            <v>IQKD312432745</v>
          </cell>
          <cell r="AH11" t="str">
            <v>IQKD276763054</v>
          </cell>
          <cell r="AI11" t="str">
            <v>IQKD253588960</v>
          </cell>
          <cell r="AJ11" t="str">
            <v>IQKD223370368</v>
          </cell>
          <cell r="AK11" t="str">
            <v>IQKD142146072</v>
          </cell>
          <cell r="AL11" t="str">
            <v>IQKD117486637</v>
          </cell>
        </row>
        <row r="12">
          <cell r="AC12" t="str">
            <v>IQKD644284594</v>
          </cell>
          <cell r="AD12" t="str">
            <v>IQKD586786178</v>
          </cell>
          <cell r="AE12" t="str">
            <v>IQKD541126074</v>
          </cell>
          <cell r="AF12" t="str">
            <v>IQKD410545701</v>
          </cell>
          <cell r="AG12" t="str">
            <v>IQKD312433625</v>
          </cell>
          <cell r="AH12" t="str">
            <v>IQKD276169176</v>
          </cell>
          <cell r="AI12" t="str">
            <v>IQKD248786895</v>
          </cell>
          <cell r="AJ12" t="str">
            <v>IQKD224020983</v>
          </cell>
          <cell r="AK12" t="str">
            <v>IQKD182456330</v>
          </cell>
          <cell r="AL12" t="str">
            <v>IQKD107445139</v>
          </cell>
        </row>
        <row r="13">
          <cell r="S13">
            <v>40156</v>
          </cell>
          <cell r="AC13" t="str">
            <v>IQKD612320517</v>
          </cell>
          <cell r="AD13" t="str">
            <v>IQKD586788747</v>
          </cell>
          <cell r="AE13" t="str">
            <v>IQKD542343449</v>
          </cell>
          <cell r="AF13" t="str">
            <v>IQKD404167845</v>
          </cell>
          <cell r="AG13" t="str">
            <v>IQKD316168619</v>
          </cell>
          <cell r="AH13" t="str">
            <v>IQKD275322615</v>
          </cell>
          <cell r="AI13" t="str">
            <v>IQKD248803995</v>
          </cell>
          <cell r="AJ13" t="str">
            <v>IQKD224014991</v>
          </cell>
          <cell r="AK13" t="str">
            <v>IQKD142491417</v>
          </cell>
          <cell r="AL13" t="str">
            <v>IQKD115459219</v>
          </cell>
        </row>
        <row r="14">
          <cell r="S14">
            <v>40157</v>
          </cell>
          <cell r="AC14" t="str">
            <v>IQKD644133145</v>
          </cell>
          <cell r="AD14" t="str">
            <v>IQKD598665647</v>
          </cell>
          <cell r="AE14" t="str">
            <v>IQKD542388833</v>
          </cell>
          <cell r="AF14" t="str">
            <v>IQKD405252022</v>
          </cell>
          <cell r="AG14" t="str">
            <v>IQKD314773862</v>
          </cell>
          <cell r="AH14" t="str">
            <v>IQKD275322773</v>
          </cell>
          <cell r="AI14" t="str">
            <v>IQKD249912647</v>
          </cell>
          <cell r="AJ14" t="str">
            <v>IQKD223509741</v>
          </cell>
          <cell r="AK14" t="str">
            <v>IQKD142128175</v>
          </cell>
          <cell r="AL14" t="str">
            <v>IQKD99081550</v>
          </cell>
        </row>
        <row r="15">
          <cell r="S15">
            <v>40158</v>
          </cell>
          <cell r="AC15" t="str">
            <v>IQKD639053920</v>
          </cell>
          <cell r="AD15" t="str">
            <v>IQKD589384487</v>
          </cell>
          <cell r="AE15" t="str">
            <v>IQKD539710227</v>
          </cell>
          <cell r="AF15" t="str">
            <v>IQKD409135168</v>
          </cell>
          <cell r="AG15" t="str">
            <v>IQKD314773863</v>
          </cell>
          <cell r="AH15" t="str">
            <v>IQKD276145623</v>
          </cell>
          <cell r="AI15" t="str">
            <v>IQKD247967854</v>
          </cell>
          <cell r="AJ15" t="str">
            <v>IQKD216323863</v>
          </cell>
          <cell r="AK15" t="str">
            <v>IQKD134257053</v>
          </cell>
          <cell r="AL15" t="str">
            <v>IQKD114778822</v>
          </cell>
        </row>
        <row r="16">
          <cell r="S16">
            <v>40161</v>
          </cell>
          <cell r="AC16" t="str">
            <v>IQKD641236020</v>
          </cell>
          <cell r="AD16" t="str">
            <v>IQKD589384649</v>
          </cell>
          <cell r="AE16" t="str">
            <v>IQKD529531434</v>
          </cell>
          <cell r="AF16" t="str">
            <v>IQKD405923632</v>
          </cell>
          <cell r="AG16" t="str">
            <v>IQKD316165600</v>
          </cell>
          <cell r="AH16" t="str">
            <v>IQKD274286777</v>
          </cell>
          <cell r="AI16" t="str">
            <v>IQKD247888693</v>
          </cell>
          <cell r="AJ16" t="str">
            <v>IQKD205831049</v>
          </cell>
          <cell r="AK16" t="str">
            <v>IQKD136744189</v>
          </cell>
          <cell r="AL16" t="str">
            <v>IQKD114778991</v>
          </cell>
        </row>
        <row r="17">
          <cell r="S17">
            <v>40162</v>
          </cell>
          <cell r="AC17" t="str">
            <v>IQKD641236127</v>
          </cell>
          <cell r="AD17" t="str">
            <v>IQKD591593780</v>
          </cell>
          <cell r="AE17" t="str">
            <v>IQKD429626725</v>
          </cell>
          <cell r="AF17" t="str">
            <v>IQKD405923637</v>
          </cell>
          <cell r="AG17" t="str">
            <v>IQKD303761732</v>
          </cell>
          <cell r="AH17" t="str">
            <v>IQKD267011923</v>
          </cell>
          <cell r="AI17" t="str">
            <v>IQKD247616003</v>
          </cell>
          <cell r="AJ17" t="str">
            <v>IQKD208669646</v>
          </cell>
          <cell r="AK17" t="str">
            <v>IQKD127526304</v>
          </cell>
          <cell r="AL17" t="str">
            <v>IQKD115414804</v>
          </cell>
        </row>
        <row r="18">
          <cell r="S18">
            <v>40163</v>
          </cell>
          <cell r="AC18" t="str">
            <v>IQKD643637513</v>
          </cell>
          <cell r="AD18" t="str">
            <v>IQKD593712287</v>
          </cell>
          <cell r="AE18" t="str">
            <v>IQKD537112020</v>
          </cell>
          <cell r="AF18" t="str">
            <v>IQKD409017125</v>
          </cell>
          <cell r="AG18" t="str">
            <v>IQKD311621457</v>
          </cell>
          <cell r="AH18" t="str">
            <v>IQKD261716475</v>
          </cell>
          <cell r="AI18" t="str">
            <v>IQKD247320375</v>
          </cell>
          <cell r="AJ18" t="str">
            <v>IQKD146142507</v>
          </cell>
          <cell r="AK18" t="str">
            <v>IQKD127431275</v>
          </cell>
          <cell r="AL18" t="str">
            <v>IQKD114259945</v>
          </cell>
        </row>
        <row r="19">
          <cell r="S19">
            <v>40164</v>
          </cell>
          <cell r="AC19" t="str">
            <v>IQKD643384813</v>
          </cell>
          <cell r="AD19" t="str">
            <v>IQKD586929040</v>
          </cell>
          <cell r="AE19" t="str">
            <v>IQKD533283646</v>
          </cell>
          <cell r="AF19" t="str">
            <v>IQKD384256593</v>
          </cell>
          <cell r="AG19" t="str">
            <v>IQKD307338769</v>
          </cell>
          <cell r="AH19" t="str">
            <v>IQKD266211151</v>
          </cell>
          <cell r="AI19" t="str">
            <v>IQKD238921717</v>
          </cell>
          <cell r="AJ19" t="str">
            <v>IQKD212271980</v>
          </cell>
          <cell r="AK19" t="str">
            <v>IQKD127526124</v>
          </cell>
          <cell r="AL19" t="str">
            <v>IQKD99081290</v>
          </cell>
        </row>
        <row r="20">
          <cell r="S20">
            <v>40165</v>
          </cell>
          <cell r="AC20" t="str">
            <v>IQKD643094436</v>
          </cell>
          <cell r="AD20" t="str">
            <v>IQKD623134967</v>
          </cell>
          <cell r="AE20" t="str">
            <v>IQKD423149638</v>
          </cell>
          <cell r="AF20" t="str">
            <v>IQKD370018067</v>
          </cell>
          <cell r="AG20" t="str">
            <v>IQKD288476934</v>
          </cell>
          <cell r="AH20" t="str">
            <v>IQKD261819865</v>
          </cell>
          <cell r="AI20" t="str">
            <v>IQKD238923011</v>
          </cell>
          <cell r="AJ20" t="str">
            <v>IQKD195714102</v>
          </cell>
          <cell r="AK20" t="str">
            <v>IQKD116948814</v>
          </cell>
          <cell r="AL20" t="str">
            <v>IQKD115910396</v>
          </cell>
        </row>
        <row r="21">
          <cell r="S21">
            <v>40168</v>
          </cell>
          <cell r="AC21" t="str">
            <v>IQKD641228996</v>
          </cell>
          <cell r="AD21" t="str">
            <v>IQKD584577621</v>
          </cell>
          <cell r="AE21" t="str">
            <v>IQKD532795605</v>
          </cell>
          <cell r="AF21" t="str">
            <v>IQKD346960238</v>
          </cell>
          <cell r="AG21" t="str">
            <v>IQKD303050732</v>
          </cell>
          <cell r="AH21" t="str">
            <v>IQKD271981402</v>
          </cell>
          <cell r="AI21" t="str">
            <v>IQKD247103273</v>
          </cell>
          <cell r="AJ21" t="str">
            <v>IQKD215587996</v>
          </cell>
          <cell r="AK21" t="str">
            <v>IQKD136734786</v>
          </cell>
          <cell r="AL21" t="str">
            <v>IQKD112017406</v>
          </cell>
        </row>
        <row r="22">
          <cell r="S22">
            <v>40169</v>
          </cell>
          <cell r="AC22" t="str">
            <v>IQKD640111680</v>
          </cell>
          <cell r="AD22" t="str">
            <v>IQKD580230901</v>
          </cell>
          <cell r="AE22" t="str">
            <v>IQKD530159326</v>
          </cell>
          <cell r="AF22" t="str">
            <v>IQKD380926307</v>
          </cell>
          <cell r="AG22" t="str">
            <v>IQKD311474570</v>
          </cell>
          <cell r="AH22" t="str">
            <v>IQKD268601219</v>
          </cell>
          <cell r="AI22" t="str">
            <v>IQKD243311306</v>
          </cell>
          <cell r="AJ22" t="str">
            <v>IQKD145378706</v>
          </cell>
          <cell r="AK22" t="str">
            <v>IQKD142694662</v>
          </cell>
          <cell r="AL22" t="str">
            <v>IQKD111278183</v>
          </cell>
        </row>
        <row r="23">
          <cell r="S23">
            <v>40170</v>
          </cell>
          <cell r="AC23" t="str">
            <v>IQKD637712937</v>
          </cell>
          <cell r="AD23" t="str">
            <v>IQKD582455348</v>
          </cell>
          <cell r="AE23" t="str">
            <v>IQKD530159658</v>
          </cell>
          <cell r="AF23" t="str">
            <v>IQKD365478921</v>
          </cell>
          <cell r="AG23" t="str">
            <v>IQKD310960850</v>
          </cell>
          <cell r="AH23" t="str">
            <v>IQKD268666553</v>
          </cell>
          <cell r="AI23" t="str">
            <v>IQKD243311308</v>
          </cell>
          <cell r="AJ23" t="str">
            <v>IQKD215534458</v>
          </cell>
          <cell r="AK23" t="str">
            <v>IQKD118283653</v>
          </cell>
          <cell r="AL23" t="str">
            <v>IQKD109789396</v>
          </cell>
        </row>
        <row r="24">
          <cell r="S24">
            <v>40171</v>
          </cell>
          <cell r="AC24" t="str">
            <v>IQKD637714331</v>
          </cell>
          <cell r="AD24" t="str">
            <v>IQKD581923439</v>
          </cell>
          <cell r="AE24" t="str">
            <v>IQKD532407442</v>
          </cell>
          <cell r="AF24" t="str">
            <v>IQKD378810600</v>
          </cell>
          <cell r="AG24" t="str">
            <v>IQKD308095673</v>
          </cell>
          <cell r="AH24" t="str">
            <v>IQKD269372312</v>
          </cell>
          <cell r="AI24" t="str">
            <v>IQKD243962980</v>
          </cell>
          <cell r="AJ24" t="str">
            <v>IQKD141436575</v>
          </cell>
          <cell r="AK24" t="str">
            <v>IQKD137395435</v>
          </cell>
          <cell r="AL24" t="str">
            <v>IQKD84550876</v>
          </cell>
        </row>
        <row r="25">
          <cell r="S25">
            <v>40175</v>
          </cell>
          <cell r="AC25" t="str">
            <v>IQKD631212214</v>
          </cell>
          <cell r="AD25" t="str">
            <v>IQKD582977109</v>
          </cell>
          <cell r="AE25" t="str">
            <v>IQKD532380126</v>
          </cell>
          <cell r="AF25" t="str">
            <v>IQKD326759972</v>
          </cell>
          <cell r="AG25" t="str">
            <v>IQKD283111131</v>
          </cell>
          <cell r="AH25" t="str">
            <v>IQKD269641433</v>
          </cell>
          <cell r="AI25" t="str">
            <v>IQKD243981798</v>
          </cell>
          <cell r="AJ25" t="str">
            <v>IQKD215289892</v>
          </cell>
          <cell r="AK25" t="str">
            <v>IQKD137395439</v>
          </cell>
          <cell r="AL25" t="str">
            <v>IQKD98795476</v>
          </cell>
        </row>
        <row r="26">
          <cell r="S26">
            <v>40176</v>
          </cell>
          <cell r="AC26" t="str">
            <v>IQKD631202871</v>
          </cell>
          <cell r="AD26" t="str">
            <v>IQKD572737470</v>
          </cell>
          <cell r="AE26" t="str">
            <v>IQKD429349478</v>
          </cell>
          <cell r="AF26" t="str">
            <v>IQKD378109101</v>
          </cell>
          <cell r="AG26" t="str">
            <v>IQKD309743585</v>
          </cell>
          <cell r="AH26" t="str">
            <v>IQKD269396910</v>
          </cell>
          <cell r="AI26" t="str">
            <v>IQKD242119965</v>
          </cell>
          <cell r="AJ26" t="str">
            <v>IQKD214552469</v>
          </cell>
          <cell r="AK26" t="str">
            <v>IQKD138876385</v>
          </cell>
          <cell r="AL26" t="str">
            <v>IQKD109605149</v>
          </cell>
        </row>
        <row r="27">
          <cell r="S27">
            <v>40177</v>
          </cell>
          <cell r="AC27" t="str">
            <v>IQKD637703321</v>
          </cell>
          <cell r="AD27" t="str">
            <v>IQKD558587525</v>
          </cell>
          <cell r="AE27" t="str">
            <v>IQKD423149625</v>
          </cell>
          <cell r="AF27" t="str">
            <v>IQKD374705669</v>
          </cell>
          <cell r="AG27" t="str">
            <v>IQKD306889044</v>
          </cell>
          <cell r="AH27" t="str">
            <v>IQKD268003725</v>
          </cell>
          <cell r="AI27" t="str">
            <v>IQKD241537982</v>
          </cell>
          <cell r="AJ27" t="str">
            <v>IQKD214552543</v>
          </cell>
          <cell r="AK27" t="str">
            <v>IQKD137646313</v>
          </cell>
          <cell r="AL27" t="str">
            <v>IQKD109605085</v>
          </cell>
        </row>
        <row r="28">
          <cell r="S28">
            <v>40178</v>
          </cell>
          <cell r="AC28" t="str">
            <v>IQKD633642702</v>
          </cell>
          <cell r="AD28" t="str">
            <v>IQKD580741194</v>
          </cell>
          <cell r="AE28" t="str">
            <v>IQKD430663511</v>
          </cell>
          <cell r="AF28" t="str">
            <v>IQKD374707121</v>
          </cell>
          <cell r="AG28" t="str">
            <v>IQKD306889045</v>
          </cell>
          <cell r="AH28" t="str">
            <v>IQKD263195141</v>
          </cell>
          <cell r="AI28" t="str">
            <v>IQKD237766462</v>
          </cell>
          <cell r="AJ28" t="str">
            <v>IQKD214970002</v>
          </cell>
          <cell r="AK28" t="str">
            <v>IQKD131055981</v>
          </cell>
          <cell r="AL28" t="str">
            <v>IQKD111273784</v>
          </cell>
        </row>
        <row r="29">
          <cell r="S29">
            <v>40182</v>
          </cell>
          <cell r="AC29" t="str">
            <v>IQKD631759018</v>
          </cell>
          <cell r="AD29" t="str">
            <v>IQKD579972029</v>
          </cell>
          <cell r="AE29" t="str">
            <v>IQKD420082121</v>
          </cell>
          <cell r="AF29" t="str">
            <v>IQKD378084092</v>
          </cell>
          <cell r="AG29" t="str">
            <v>IQKD308070772</v>
          </cell>
          <cell r="AH29" t="str">
            <v>IQKD303155426</v>
          </cell>
          <cell r="AI29" t="str">
            <v>IQKD236492497</v>
          </cell>
          <cell r="AJ29" t="str">
            <v>IQKD214298748</v>
          </cell>
          <cell r="AK29" t="str">
            <v>IQKD134268361</v>
          </cell>
          <cell r="AL29" t="str">
            <v>IQKD111302755</v>
          </cell>
        </row>
        <row r="30">
          <cell r="S30">
            <v>40183</v>
          </cell>
          <cell r="AC30" t="str">
            <v>IQKD593440616</v>
          </cell>
          <cell r="AD30" t="str">
            <v>IQKD572929935</v>
          </cell>
          <cell r="AE30" t="str">
            <v>IQKD429523027</v>
          </cell>
          <cell r="AF30" t="str">
            <v>IQKD375927441</v>
          </cell>
          <cell r="AG30" t="str">
            <v>IQKD304743072</v>
          </cell>
          <cell r="AH30" t="str">
            <v>IQKD263994140</v>
          </cell>
          <cell r="AI30" t="str">
            <v>IQKD235857011</v>
          </cell>
          <cell r="AJ30" t="str">
            <v>IQKD215553102</v>
          </cell>
          <cell r="AK30" t="str">
            <v>IQKD133256292</v>
          </cell>
          <cell r="AL30" t="str">
            <v>IQKD111232223</v>
          </cell>
        </row>
        <row r="31">
          <cell r="S31">
            <v>40184</v>
          </cell>
          <cell r="AC31" t="str">
            <v>IQKD631667496</v>
          </cell>
          <cell r="AD31" t="str">
            <v>IQKD574257960</v>
          </cell>
          <cell r="AE31" t="str">
            <v>IQKD416885652</v>
          </cell>
          <cell r="AF31" t="str">
            <v>IQKD366850669</v>
          </cell>
          <cell r="AG31" t="str">
            <v>IQKD291575860</v>
          </cell>
          <cell r="AH31" t="str">
            <v>IQKD262865003</v>
          </cell>
          <cell r="AI31" t="str">
            <v>IQKD236491607</v>
          </cell>
          <cell r="AJ31" t="str">
            <v>IQKD208444734</v>
          </cell>
          <cell r="AK31" t="str">
            <v>IQKD133181093</v>
          </cell>
          <cell r="AL31" t="str">
            <v>IQKD109104217</v>
          </cell>
        </row>
        <row r="32">
          <cell r="S32">
            <v>40185</v>
          </cell>
          <cell r="AC32" t="str">
            <v>IQKD613268753</v>
          </cell>
          <cell r="AD32" t="str">
            <v>IQKD559011309</v>
          </cell>
          <cell r="AE32" t="str">
            <v>IQKD427540131</v>
          </cell>
          <cell r="AF32" t="str">
            <v>IQKD332692386</v>
          </cell>
          <cell r="AG32" t="str">
            <v>IQKD291578440</v>
          </cell>
          <cell r="AH32" t="str">
            <v>IQKD260260774</v>
          </cell>
          <cell r="AI32" t="str">
            <v>IQKD225799280</v>
          </cell>
          <cell r="AJ32" t="str">
            <v>IQKD214982807</v>
          </cell>
          <cell r="AK32" t="str">
            <v>IQKD129699604</v>
          </cell>
          <cell r="AL32" t="str">
            <v>IQKD109096368</v>
          </cell>
        </row>
        <row r="33">
          <cell r="S33">
            <v>40186</v>
          </cell>
          <cell r="AC33" t="str">
            <v>IQKD629809098</v>
          </cell>
          <cell r="AD33" t="str">
            <v>IQKD579610554</v>
          </cell>
          <cell r="AE33" t="str">
            <v>IQKD427517244</v>
          </cell>
          <cell r="AF33" t="str">
            <v>IQKD322537859</v>
          </cell>
          <cell r="AG33" t="str">
            <v>IQKD293447637</v>
          </cell>
          <cell r="AH33" t="str">
            <v>IQKD262584093</v>
          </cell>
          <cell r="AI33" t="str">
            <v>IQKD240997745</v>
          </cell>
          <cell r="AJ33" t="str">
            <v>IQKD208635442</v>
          </cell>
          <cell r="AK33" t="str">
            <v>IQKD129696862</v>
          </cell>
          <cell r="AL33" t="str">
            <v>IQKD113807982</v>
          </cell>
        </row>
        <row r="34">
          <cell r="S34">
            <v>40189</v>
          </cell>
          <cell r="AC34" t="str">
            <v>IQKD629809101</v>
          </cell>
          <cell r="AD34" t="str">
            <v>IQKD576462758</v>
          </cell>
          <cell r="AE34" t="str">
            <v>IQKD422609132</v>
          </cell>
          <cell r="AF34" t="str">
            <v>IQKD338430235</v>
          </cell>
          <cell r="AG34" t="str">
            <v>IQKD302751032</v>
          </cell>
          <cell r="AH34" t="str">
            <v>IQKD262671822</v>
          </cell>
          <cell r="AI34" t="str">
            <v>IQKD260421529</v>
          </cell>
          <cell r="AJ34" t="str">
            <v>IQKD207321563</v>
          </cell>
          <cell r="AK34" t="str">
            <v>IQKD132821289</v>
          </cell>
          <cell r="AL34" t="str">
            <v>IQKD108795902</v>
          </cell>
        </row>
        <row r="35">
          <cell r="S35">
            <v>40190</v>
          </cell>
          <cell r="AC35" t="str">
            <v>IQKD631832678</v>
          </cell>
          <cell r="AD35" t="str">
            <v>IQKD574364714</v>
          </cell>
          <cell r="AE35" t="str">
            <v>IQKD430940466</v>
          </cell>
          <cell r="AF35" t="str">
            <v>IQKD331200016</v>
          </cell>
          <cell r="AG35" t="str">
            <v>IQKD302219408</v>
          </cell>
          <cell r="AH35" t="str">
            <v>IQKD263466320</v>
          </cell>
          <cell r="AI35" t="str">
            <v>IQKD237540791</v>
          </cell>
          <cell r="AJ35" t="str">
            <v>IQKD208342004</v>
          </cell>
          <cell r="AK35" t="str">
            <v>IQKD117168657</v>
          </cell>
          <cell r="AL35" t="str">
            <v>IQKD108159285</v>
          </cell>
        </row>
        <row r="36">
          <cell r="S36">
            <v>40191</v>
          </cell>
          <cell r="AC36" t="str">
            <v>IQKD631584273</v>
          </cell>
          <cell r="AD36" t="str">
            <v>IQKD574364765</v>
          </cell>
          <cell r="AE36" t="str">
            <v>IQKD428189836</v>
          </cell>
          <cell r="AF36" t="str">
            <v>IQKD328328057</v>
          </cell>
          <cell r="AG36" t="str">
            <v>IQKD293304824</v>
          </cell>
          <cell r="AH36" t="str">
            <v>IQKD264377704</v>
          </cell>
          <cell r="AI36" t="str">
            <v>IQKD237540811</v>
          </cell>
          <cell r="AJ36" t="str">
            <v>IQKD204988025</v>
          </cell>
          <cell r="AK36" t="str">
            <v>IQKD142694578</v>
          </cell>
          <cell r="AL36" t="str">
            <v>IQKD104691150</v>
          </cell>
        </row>
        <row r="37">
          <cell r="S37">
            <v>40192</v>
          </cell>
          <cell r="AC37" t="str">
            <v>IQKD630521181</v>
          </cell>
          <cell r="AD37" t="str">
            <v>IQKD576126210</v>
          </cell>
          <cell r="AE37" t="str">
            <v>IQKD428189846</v>
          </cell>
          <cell r="AF37" t="str">
            <v>IQKD334452561</v>
          </cell>
          <cell r="AG37" t="str">
            <v>IQKD293304825</v>
          </cell>
          <cell r="AH37" t="str">
            <v>IQKD263679989</v>
          </cell>
          <cell r="AI37" t="str">
            <v>IQKD238583846</v>
          </cell>
          <cell r="AJ37" t="str">
            <v>IQKD207018357</v>
          </cell>
          <cell r="AK37" t="str">
            <v>IQKD130290980</v>
          </cell>
          <cell r="AL37" t="str">
            <v>IQKD106852776</v>
          </cell>
        </row>
        <row r="38">
          <cell r="S38">
            <v>40193</v>
          </cell>
          <cell r="AC38" t="str">
            <v>IQKD626527486</v>
          </cell>
          <cell r="AD38" t="str">
            <v>IQKD576056833</v>
          </cell>
          <cell r="AE38" t="str">
            <v>IQKD430658438</v>
          </cell>
          <cell r="AF38" t="str">
            <v>IQKD331635591</v>
          </cell>
          <cell r="AG38" t="str">
            <v>IQKD300902322</v>
          </cell>
          <cell r="AH38" t="str">
            <v>IQKD263271794</v>
          </cell>
          <cell r="AI38" t="str">
            <v>IQKD237764811</v>
          </cell>
          <cell r="AJ38" t="str">
            <v>IQKD183688013</v>
          </cell>
          <cell r="AK38" t="str">
            <v>IQKD130291037</v>
          </cell>
          <cell r="AL38" t="str">
            <v>IQKD104651218</v>
          </cell>
        </row>
        <row r="39">
          <cell r="S39">
            <v>40197</v>
          </cell>
          <cell r="AC39" t="str">
            <v>IQKD610587853</v>
          </cell>
          <cell r="AD39" t="str">
            <v>IQKD574365379</v>
          </cell>
          <cell r="AE39" t="str">
            <v>IQKD430431551</v>
          </cell>
          <cell r="AF39" t="str">
            <v>IQKD331635780</v>
          </cell>
          <cell r="AG39" t="str">
            <v>IQKD300915125</v>
          </cell>
          <cell r="AH39" t="str">
            <v>IQKD261619252</v>
          </cell>
          <cell r="AI39" t="str">
            <v>IQKD237015717</v>
          </cell>
          <cell r="AJ39" t="str">
            <v>IQKD215831755</v>
          </cell>
          <cell r="AK39" t="str">
            <v>IQKD131320476</v>
          </cell>
          <cell r="AL39" t="str">
            <v>IQKD106892388</v>
          </cell>
        </row>
        <row r="40">
          <cell r="S40">
            <v>40198</v>
          </cell>
          <cell r="AC40" t="str">
            <v>IQKD612054852</v>
          </cell>
          <cell r="AD40" t="str">
            <v>IQKD572370111</v>
          </cell>
          <cell r="AE40" t="str">
            <v>IQKD430429360</v>
          </cell>
          <cell r="AF40" t="str">
            <v>IQKD334106039</v>
          </cell>
          <cell r="AG40" t="str">
            <v>IQKD288302112</v>
          </cell>
          <cell r="AH40" t="str">
            <v>IQKD261633309</v>
          </cell>
          <cell r="AI40" t="str">
            <v>IQKD233495894</v>
          </cell>
          <cell r="AJ40" t="str">
            <v>IQKD154208377</v>
          </cell>
          <cell r="AK40" t="str">
            <v>IQKD130222209</v>
          </cell>
          <cell r="AL40" t="str">
            <v>IQKD105855791</v>
          </cell>
        </row>
        <row r="41">
          <cell r="S41">
            <v>40199</v>
          </cell>
          <cell r="AC41" t="str">
            <v>IQKD597568919</v>
          </cell>
          <cell r="AD41" t="str">
            <v>IQKD573330530</v>
          </cell>
          <cell r="AE41" t="str">
            <v>IQKD429959830</v>
          </cell>
          <cell r="AF41" t="str">
            <v>IQKD326615906</v>
          </cell>
          <cell r="AG41" t="str">
            <v>IQKD286677188</v>
          </cell>
          <cell r="AH41" t="str">
            <v>IQKD261614058</v>
          </cell>
          <cell r="AI41" t="str">
            <v>IQKD229037891</v>
          </cell>
          <cell r="AJ41" t="str">
            <v>IQKD207124389</v>
          </cell>
          <cell r="AK41" t="str">
            <v>IQKD129937793</v>
          </cell>
          <cell r="AL41" t="str">
            <v>IQKD84809643</v>
          </cell>
        </row>
        <row r="42">
          <cell r="S42">
            <v>40200</v>
          </cell>
          <cell r="AC42" t="str">
            <v>IQKD609968930</v>
          </cell>
          <cell r="AD42" t="str">
            <v>IQKD561163500</v>
          </cell>
          <cell r="AE42" t="str">
            <v>IQKD429471726</v>
          </cell>
          <cell r="AF42" t="str">
            <v>IQKD317658342</v>
          </cell>
          <cell r="AG42" t="str">
            <v>IQKD278514426</v>
          </cell>
          <cell r="AH42" t="str">
            <v>IQKD261616786</v>
          </cell>
          <cell r="AI42" t="str">
            <v>IQKD212611714</v>
          </cell>
          <cell r="AJ42" t="str">
            <v>IQKD207243840</v>
          </cell>
          <cell r="AK42" t="str">
            <v>IQKD129937794</v>
          </cell>
          <cell r="AL42" t="str">
            <v>IQKD106309192</v>
          </cell>
        </row>
        <row r="43">
          <cell r="S43">
            <v>40203</v>
          </cell>
          <cell r="AC43" t="str">
            <v>IQKD609966830</v>
          </cell>
          <cell r="AD43" t="str">
            <v>IQKD563556635</v>
          </cell>
          <cell r="AE43" t="str">
            <v>IQKD429335285</v>
          </cell>
          <cell r="AF43" t="str">
            <v>IQKD325283671</v>
          </cell>
          <cell r="AG43" t="str">
            <v>IQKD285127035</v>
          </cell>
          <cell r="AH43" t="str">
            <v>IQKD260421528</v>
          </cell>
          <cell r="AI43" t="str">
            <v>IQKD229582536</v>
          </cell>
          <cell r="AJ43" t="str">
            <v>IQKD154117717</v>
          </cell>
          <cell r="AK43" t="str">
            <v>IQKD129937795</v>
          </cell>
          <cell r="AL43" t="str">
            <v>IQKD102399430</v>
          </cell>
        </row>
        <row r="44">
          <cell r="S44">
            <v>40204</v>
          </cell>
          <cell r="AC44" t="str">
            <v>IQKD633824660</v>
          </cell>
          <cell r="AD44" t="str">
            <v>IQKD569181670</v>
          </cell>
          <cell r="AE44" t="str">
            <v>IQKD421325077</v>
          </cell>
          <cell r="AF44" t="str">
            <v>IQKD323677551</v>
          </cell>
          <cell r="AG44" t="str">
            <v>IQKD287546174</v>
          </cell>
          <cell r="AH44" t="str">
            <v>IQKD260519383</v>
          </cell>
          <cell r="AI44" t="str">
            <v>IQKD229582535</v>
          </cell>
          <cell r="AJ44" t="str">
            <v>IQKD206940424</v>
          </cell>
          <cell r="AK44" t="str">
            <v>IQKD129579160</v>
          </cell>
          <cell r="AL44" t="str">
            <v>IQKD102399603</v>
          </cell>
        </row>
        <row r="45">
          <cell r="S45">
            <v>40205</v>
          </cell>
          <cell r="AC45" t="str">
            <v>IQKD600360766</v>
          </cell>
          <cell r="AD45" t="str">
            <v>IQKD560404150</v>
          </cell>
          <cell r="AE45" t="str">
            <v>IQKD409901733</v>
          </cell>
          <cell r="AF45" t="str">
            <v>IQKD323677774</v>
          </cell>
          <cell r="AG45" t="str">
            <v>IQKD278896616</v>
          </cell>
          <cell r="AH45" t="str">
            <v>IQKD260421531</v>
          </cell>
          <cell r="AI45" t="str">
            <v>IQKD224218234</v>
          </cell>
          <cell r="AJ45" t="str">
            <v>IQKD206965822</v>
          </cell>
          <cell r="AK45" t="str">
            <v>IQKD129937788</v>
          </cell>
          <cell r="AL45" t="str">
            <v>IQKD104849519</v>
          </cell>
        </row>
        <row r="46">
          <cell r="S46">
            <v>40206</v>
          </cell>
          <cell r="AC46" t="str">
            <v>IQKD613292750</v>
          </cell>
          <cell r="AD46" t="str">
            <v>IQKD563556634</v>
          </cell>
          <cell r="AE46" t="str">
            <v>IQKD423390918</v>
          </cell>
          <cell r="AF46" t="str">
            <v>IQKD325338466</v>
          </cell>
          <cell r="AG46" t="str">
            <v>IQKD287360763</v>
          </cell>
          <cell r="AH46" t="str">
            <v>IQKD257218838</v>
          </cell>
          <cell r="AI46" t="str">
            <v>IQKD228502106</v>
          </cell>
          <cell r="AJ46" t="str">
            <v>IQKD207042105</v>
          </cell>
          <cell r="AK46" t="str">
            <v>IQKD142694569</v>
          </cell>
          <cell r="AL46" t="str">
            <v>IQKD133093622</v>
          </cell>
        </row>
        <row r="47">
          <cell r="S47">
            <v>40207</v>
          </cell>
          <cell r="AC47" t="str">
            <v>IQKD605407901</v>
          </cell>
          <cell r="AD47" t="str">
            <v>IQKD554455476</v>
          </cell>
          <cell r="AE47" t="str">
            <v>IQKD418031633</v>
          </cell>
          <cell r="AF47" t="str">
            <v>IQKD325755448</v>
          </cell>
          <cell r="AG47" t="str">
            <v>IQKD284929137</v>
          </cell>
          <cell r="AH47" t="str">
            <v>IQKD252144402</v>
          </cell>
          <cell r="AI47" t="str">
            <v>IQKD228655861</v>
          </cell>
          <cell r="AJ47" t="str">
            <v>IQKD204796901</v>
          </cell>
          <cell r="AK47" t="str">
            <v>IQKD118305119</v>
          </cell>
          <cell r="AL47" t="str">
            <v>IQKD106892389</v>
          </cell>
        </row>
        <row r="48">
          <cell r="S48">
            <v>40210</v>
          </cell>
          <cell r="AC48" t="str">
            <v>IQKD600186642</v>
          </cell>
          <cell r="AD48" t="str">
            <v>IQKD557679716</v>
          </cell>
          <cell r="AE48" t="str">
            <v>IQKD418031745</v>
          </cell>
          <cell r="AF48" t="str">
            <v>IQKD319059292</v>
          </cell>
          <cell r="AG48" t="str">
            <v>IQKD283510926</v>
          </cell>
          <cell r="AH48" t="str">
            <v>IQKD257049428</v>
          </cell>
          <cell r="AI48" t="str">
            <v>IQKD215586164</v>
          </cell>
          <cell r="AJ48" t="str">
            <v>IQKD204785349</v>
          </cell>
          <cell r="AK48" t="str">
            <v>IQKD116852722</v>
          </cell>
          <cell r="AL48" t="str">
            <v>IQKD99402068</v>
          </cell>
        </row>
        <row r="49">
          <cell r="S49">
            <v>40211</v>
          </cell>
          <cell r="AC49" t="str">
            <v>IQKD603750771</v>
          </cell>
          <cell r="AD49" t="str">
            <v>IQKD551142503</v>
          </cell>
          <cell r="AE49" t="str">
            <v>IQKD419487128</v>
          </cell>
          <cell r="AF49" t="str">
            <v>IQKD311627781</v>
          </cell>
          <cell r="AG49" t="str">
            <v>IQKD283510929</v>
          </cell>
          <cell r="AH49" t="str">
            <v>IQKD257048827</v>
          </cell>
          <cell r="AI49" t="str">
            <v>IQKD260421530</v>
          </cell>
          <cell r="AJ49" t="str">
            <v>IQKD204785452</v>
          </cell>
          <cell r="AK49" t="str">
            <v>IQKD126827973</v>
          </cell>
          <cell r="AL49" t="str">
            <v>IQKD100364338</v>
          </cell>
        </row>
        <row r="50">
          <cell r="S50">
            <v>40212</v>
          </cell>
          <cell r="AC50" t="str">
            <v>IQKD611052077</v>
          </cell>
          <cell r="AD50" t="str">
            <v>IQKD560451876</v>
          </cell>
          <cell r="AE50" t="str">
            <v>IQKD419541743</v>
          </cell>
          <cell r="AG50" t="str">
            <v>IQKD285248821</v>
          </cell>
          <cell r="AH50" t="str">
            <v>IQKD254866006</v>
          </cell>
          <cell r="AI50" t="str">
            <v>IQKD226990697</v>
          </cell>
          <cell r="AJ50" t="str">
            <v>IQKD206482840</v>
          </cell>
          <cell r="AK50" t="str">
            <v>IQKD126743434</v>
          </cell>
          <cell r="AL50" t="str">
            <v>IQKD133093621</v>
          </cell>
        </row>
        <row r="51">
          <cell r="S51">
            <v>40213</v>
          </cell>
          <cell r="AC51" t="str">
            <v>IQKD611052096</v>
          </cell>
          <cell r="AD51" t="str">
            <v>IQKD555225557</v>
          </cell>
          <cell r="AE51" t="str">
            <v>IQKD412926750</v>
          </cell>
          <cell r="AG51" t="str">
            <v>IQKD284747387</v>
          </cell>
          <cell r="AH51" t="str">
            <v>IQKD254878481</v>
          </cell>
          <cell r="AI51" t="str">
            <v>IQKD226990705</v>
          </cell>
          <cell r="AJ51" t="str">
            <v>IQKD138530046</v>
          </cell>
          <cell r="AK51" t="str">
            <v>IQKD127145390</v>
          </cell>
          <cell r="AL51" t="str">
            <v>IQKD85200936</v>
          </cell>
        </row>
        <row r="52">
          <cell r="S52">
            <v>40214</v>
          </cell>
          <cell r="AC52" t="str">
            <v>IQKD612817497</v>
          </cell>
          <cell r="AD52" t="str">
            <v>IQKD565287675</v>
          </cell>
          <cell r="AE52" t="str">
            <v>IQKD381863317</v>
          </cell>
          <cell r="AG52" t="str">
            <v>IQKD281961179</v>
          </cell>
          <cell r="AH52" t="str">
            <v>IQKD256847868</v>
          </cell>
          <cell r="AI52" t="str">
            <v>IQKD228377058</v>
          </cell>
          <cell r="AJ52" t="str">
            <v>IQKD182364109</v>
          </cell>
          <cell r="AK52" t="str">
            <v>IQKD127921530</v>
          </cell>
          <cell r="AL52" t="str">
            <v>IQKD85200938</v>
          </cell>
        </row>
        <row r="53">
          <cell r="S53">
            <v>40217</v>
          </cell>
          <cell r="AC53" t="str">
            <v>IQKD612273142</v>
          </cell>
          <cell r="AD53" t="str">
            <v>IQKD565469158</v>
          </cell>
          <cell r="AE53" t="str">
            <v>IQKD412596701</v>
          </cell>
          <cell r="AG53" t="str">
            <v>IQKD281967663</v>
          </cell>
          <cell r="AH53" t="str">
            <v>IQKD253030770</v>
          </cell>
          <cell r="AI53" t="str">
            <v>IQKD227948328</v>
          </cell>
          <cell r="AJ53" t="str">
            <v>IQKD143900852</v>
          </cell>
          <cell r="AK53" t="str">
            <v>IQKD127461781</v>
          </cell>
        </row>
        <row r="54">
          <cell r="S54">
            <v>40218</v>
          </cell>
          <cell r="AC54" t="str">
            <v>IQKD612510077</v>
          </cell>
          <cell r="AD54" t="str">
            <v>IQKD621566428</v>
          </cell>
          <cell r="AG54" t="str">
            <v>IQKD280440741</v>
          </cell>
          <cell r="AI54" t="str">
            <v>IQKD225110614</v>
          </cell>
          <cell r="AJ54" t="str">
            <v>IQKD139313394</v>
          </cell>
          <cell r="AK54" t="str">
            <v>IQKD118810879</v>
          </cell>
        </row>
        <row r="55">
          <cell r="S55">
            <v>40219</v>
          </cell>
          <cell r="AC55" t="str">
            <v>IQKD610666411</v>
          </cell>
          <cell r="AD55" t="str">
            <v>IQKD579610555</v>
          </cell>
          <cell r="AJ55" t="str">
            <v>IQKD144947885</v>
          </cell>
          <cell r="AK55" t="str">
            <v>IQKD118810915</v>
          </cell>
        </row>
        <row r="56">
          <cell r="S56">
            <v>40220</v>
          </cell>
          <cell r="AC56" t="str">
            <v>IQKD609792941</v>
          </cell>
          <cell r="AD56" t="str">
            <v>IQKD559563238</v>
          </cell>
          <cell r="AJ56" t="str">
            <v>IQKD144947814</v>
          </cell>
          <cell r="AK56" t="str">
            <v>IQKD126978931</v>
          </cell>
        </row>
        <row r="57">
          <cell r="S57">
            <v>40221</v>
          </cell>
          <cell r="AC57" t="str">
            <v>IQKD606867683</v>
          </cell>
          <cell r="AD57" t="str">
            <v>IQKD559563764</v>
          </cell>
          <cell r="AJ57" t="str">
            <v>IQKD157550195</v>
          </cell>
          <cell r="AK57" t="str">
            <v>IQKD117441852</v>
          </cell>
        </row>
        <row r="58">
          <cell r="S58">
            <v>40225</v>
          </cell>
          <cell r="AC58" t="str">
            <v>IQKD606853094</v>
          </cell>
          <cell r="AD58" t="str">
            <v>IQKD562251276</v>
          </cell>
          <cell r="AJ58" t="str">
            <v>IQKD163318497</v>
          </cell>
          <cell r="AK58" t="str">
            <v>IQKD114307497</v>
          </cell>
        </row>
        <row r="59">
          <cell r="S59">
            <v>40226</v>
          </cell>
          <cell r="AC59" t="str">
            <v>IQKD605690914</v>
          </cell>
          <cell r="AD59" t="str">
            <v>IQKD557726029</v>
          </cell>
          <cell r="AJ59" t="str">
            <v>IQKD170206598</v>
          </cell>
        </row>
        <row r="60">
          <cell r="S60">
            <v>40227</v>
          </cell>
          <cell r="AC60" t="str">
            <v>IQKD605691959</v>
          </cell>
          <cell r="AD60" t="str">
            <v>IQKD549703174</v>
          </cell>
          <cell r="AJ60" t="str">
            <v>IQKD159297813</v>
          </cell>
        </row>
        <row r="61">
          <cell r="S61">
            <v>40228</v>
          </cell>
          <cell r="AC61" t="str">
            <v>IQKD604799662</v>
          </cell>
          <cell r="AD61" t="str">
            <v>IQKD556925684</v>
          </cell>
          <cell r="AJ61" t="str">
            <v>IQKD154117758</v>
          </cell>
        </row>
        <row r="62">
          <cell r="S62">
            <v>40231</v>
          </cell>
          <cell r="AC62" t="str">
            <v>IQKD604717164</v>
          </cell>
          <cell r="AD62" t="str">
            <v>IQKD565469003</v>
          </cell>
        </row>
        <row r="63">
          <cell r="S63">
            <v>40232</v>
          </cell>
          <cell r="AC63" t="str">
            <v>IQKD605201829</v>
          </cell>
          <cell r="AD63" t="str">
            <v>IQKD553714747</v>
          </cell>
        </row>
        <row r="64">
          <cell r="S64">
            <v>40233</v>
          </cell>
          <cell r="AC64" t="str">
            <v>IQKD604404542</v>
          </cell>
          <cell r="AD64" t="str">
            <v>IQKD544876108</v>
          </cell>
        </row>
        <row r="65">
          <cell r="S65">
            <v>40234</v>
          </cell>
          <cell r="AC65" t="str">
            <v>IQKD604449668</v>
          </cell>
          <cell r="AD65" t="str">
            <v>IQKD555080318</v>
          </cell>
        </row>
        <row r="66">
          <cell r="S66">
            <v>40235</v>
          </cell>
          <cell r="AC66" t="str">
            <v>IQKD608863835</v>
          </cell>
          <cell r="AD66" t="str">
            <v>IQKD573330573</v>
          </cell>
        </row>
        <row r="67">
          <cell r="S67">
            <v>40238</v>
          </cell>
          <cell r="AC67" t="str">
            <v>IQKD604448324</v>
          </cell>
          <cell r="AD67" t="str">
            <v>IQKD551055946</v>
          </cell>
        </row>
        <row r="68">
          <cell r="S68">
            <v>40239</v>
          </cell>
          <cell r="AC68" t="str">
            <v>IQKD601291048</v>
          </cell>
          <cell r="AD68" t="str">
            <v>IQKD551055951</v>
          </cell>
        </row>
        <row r="69">
          <cell r="S69">
            <v>40240</v>
          </cell>
          <cell r="AC69" t="str">
            <v>IQKD601291089</v>
          </cell>
          <cell r="AD69" t="str">
            <v>IQKD553468242</v>
          </cell>
        </row>
        <row r="70">
          <cell r="S70">
            <v>40241</v>
          </cell>
          <cell r="AC70" t="str">
            <v>IQKD603786951</v>
          </cell>
          <cell r="AD70" t="str">
            <v>IQKD544112941</v>
          </cell>
        </row>
        <row r="71">
          <cell r="S71">
            <v>40242</v>
          </cell>
          <cell r="AC71" t="str">
            <v>IQKD606598904</v>
          </cell>
          <cell r="AD71" t="str">
            <v>IQKD547074248</v>
          </cell>
        </row>
        <row r="72">
          <cell r="S72">
            <v>40245</v>
          </cell>
          <cell r="AC72" t="str">
            <v>IQKD600807756</v>
          </cell>
          <cell r="AD72" t="str">
            <v>IQKD536879662</v>
          </cell>
        </row>
        <row r="73">
          <cell r="S73">
            <v>40246</v>
          </cell>
          <cell r="AC73" t="str">
            <v>IQKD598313755</v>
          </cell>
          <cell r="AD73" t="str">
            <v>IQKD544107219</v>
          </cell>
        </row>
        <row r="74">
          <cell r="S74">
            <v>40247</v>
          </cell>
          <cell r="AC74" t="str">
            <v>IQKD594855105</v>
          </cell>
        </row>
        <row r="75">
          <cell r="S75">
            <v>40248</v>
          </cell>
          <cell r="AC75" t="str">
            <v>IQKD597478370</v>
          </cell>
        </row>
        <row r="76">
          <cell r="S76">
            <v>40249</v>
          </cell>
          <cell r="AC76" t="str">
            <v>IQKD581570300</v>
          </cell>
        </row>
        <row r="77">
          <cell r="S77">
            <v>40252</v>
          </cell>
          <cell r="AC77" t="str">
            <v>IQKD598667221</v>
          </cell>
        </row>
        <row r="78">
          <cell r="S78">
            <v>40253</v>
          </cell>
          <cell r="AC78" t="str">
            <v>IQKD594924471</v>
          </cell>
        </row>
        <row r="79">
          <cell r="S79">
            <v>40254</v>
          </cell>
        </row>
        <row r="80">
          <cell r="S80">
            <v>40255</v>
          </cell>
        </row>
        <row r="81">
          <cell r="S81">
            <v>40256</v>
          </cell>
        </row>
        <row r="82">
          <cell r="S82">
            <v>40259</v>
          </cell>
        </row>
        <row r="83">
          <cell r="S83">
            <v>40260</v>
          </cell>
        </row>
        <row r="84">
          <cell r="S84">
            <v>40261</v>
          </cell>
        </row>
        <row r="85">
          <cell r="S85">
            <v>40262</v>
          </cell>
        </row>
        <row r="86">
          <cell r="S86">
            <v>40263</v>
          </cell>
        </row>
        <row r="87">
          <cell r="S87">
            <v>40266</v>
          </cell>
        </row>
        <row r="88">
          <cell r="S88">
            <v>40267</v>
          </cell>
        </row>
        <row r="89">
          <cell r="S89">
            <v>40268</v>
          </cell>
        </row>
        <row r="90">
          <cell r="S90">
            <v>40269</v>
          </cell>
        </row>
        <row r="91">
          <cell r="S91">
            <v>40273</v>
          </cell>
        </row>
        <row r="92">
          <cell r="S92">
            <v>40274</v>
          </cell>
        </row>
        <row r="93">
          <cell r="S93">
            <v>40275</v>
          </cell>
        </row>
        <row r="94">
          <cell r="S94">
            <v>40276</v>
          </cell>
        </row>
        <row r="95">
          <cell r="S95">
            <v>40277</v>
          </cell>
        </row>
        <row r="96">
          <cell r="S96">
            <v>40280</v>
          </cell>
        </row>
        <row r="97">
          <cell r="S97">
            <v>40281</v>
          </cell>
        </row>
        <row r="98">
          <cell r="S98">
            <v>40282</v>
          </cell>
        </row>
        <row r="99">
          <cell r="S99">
            <v>40283</v>
          </cell>
        </row>
        <row r="100">
          <cell r="S100">
            <v>40284</v>
          </cell>
        </row>
        <row r="101">
          <cell r="S101">
            <v>40287</v>
          </cell>
        </row>
        <row r="102">
          <cell r="S102">
            <v>40288</v>
          </cell>
        </row>
        <row r="103">
          <cell r="S103">
            <v>40289</v>
          </cell>
        </row>
        <row r="104">
          <cell r="S104">
            <v>40290</v>
          </cell>
        </row>
        <row r="105">
          <cell r="S105">
            <v>40291</v>
          </cell>
        </row>
        <row r="106">
          <cell r="S106">
            <v>40294</v>
          </cell>
        </row>
        <row r="107">
          <cell r="S107">
            <v>40295</v>
          </cell>
        </row>
        <row r="108">
          <cell r="S108">
            <v>40296</v>
          </cell>
        </row>
        <row r="109">
          <cell r="S109">
            <v>40297</v>
          </cell>
        </row>
        <row r="110">
          <cell r="S110">
            <v>40298</v>
          </cell>
        </row>
        <row r="111">
          <cell r="S111">
            <v>40301</v>
          </cell>
        </row>
        <row r="112">
          <cell r="S112">
            <v>40302</v>
          </cell>
        </row>
        <row r="113">
          <cell r="S113">
            <v>40303</v>
          </cell>
        </row>
        <row r="114">
          <cell r="S114">
            <v>40304</v>
          </cell>
        </row>
        <row r="115">
          <cell r="S115">
            <v>40305</v>
          </cell>
        </row>
        <row r="116">
          <cell r="S116">
            <v>40308</v>
          </cell>
        </row>
        <row r="117">
          <cell r="S117">
            <v>40309</v>
          </cell>
        </row>
        <row r="118">
          <cell r="S118">
            <v>40310</v>
          </cell>
        </row>
        <row r="119">
          <cell r="S119">
            <v>40311</v>
          </cell>
        </row>
        <row r="120">
          <cell r="S120">
            <v>40312</v>
          </cell>
        </row>
        <row r="121">
          <cell r="S121">
            <v>40315</v>
          </cell>
        </row>
        <row r="122">
          <cell r="S122">
            <v>40316</v>
          </cell>
        </row>
        <row r="123">
          <cell r="S123">
            <v>40317</v>
          </cell>
        </row>
        <row r="124">
          <cell r="S124">
            <v>40318</v>
          </cell>
        </row>
        <row r="125">
          <cell r="S125">
            <v>40319</v>
          </cell>
        </row>
        <row r="126">
          <cell r="S126">
            <v>40322</v>
          </cell>
        </row>
        <row r="127">
          <cell r="S127">
            <v>40323</v>
          </cell>
        </row>
        <row r="128">
          <cell r="S128">
            <v>40324</v>
          </cell>
        </row>
        <row r="129">
          <cell r="S129">
            <v>40325</v>
          </cell>
        </row>
        <row r="130">
          <cell r="S130">
            <v>40326</v>
          </cell>
        </row>
        <row r="131">
          <cell r="S131">
            <v>40330</v>
          </cell>
        </row>
        <row r="132">
          <cell r="S132">
            <v>40331</v>
          </cell>
        </row>
        <row r="133">
          <cell r="S133">
            <v>40332</v>
          </cell>
        </row>
        <row r="134">
          <cell r="S134">
            <v>40333</v>
          </cell>
        </row>
        <row r="135">
          <cell r="S135">
            <v>40336</v>
          </cell>
        </row>
        <row r="136">
          <cell r="S136">
            <v>40337</v>
          </cell>
        </row>
        <row r="137">
          <cell r="S137">
            <v>40338</v>
          </cell>
        </row>
        <row r="138">
          <cell r="S138">
            <v>40339</v>
          </cell>
        </row>
        <row r="139">
          <cell r="S139">
            <v>40340</v>
          </cell>
        </row>
        <row r="140">
          <cell r="S140">
            <v>40343</v>
          </cell>
        </row>
        <row r="141">
          <cell r="S141">
            <v>40344</v>
          </cell>
        </row>
        <row r="142">
          <cell r="S142">
            <v>40345</v>
          </cell>
        </row>
        <row r="143">
          <cell r="S143">
            <v>40346</v>
          </cell>
        </row>
        <row r="144">
          <cell r="S144">
            <v>40347</v>
          </cell>
        </row>
        <row r="145">
          <cell r="S145">
            <v>40350</v>
          </cell>
        </row>
        <row r="146">
          <cell r="S146">
            <v>40351</v>
          </cell>
        </row>
        <row r="147">
          <cell r="S147">
            <v>40352</v>
          </cell>
        </row>
        <row r="148">
          <cell r="S148">
            <v>40353</v>
          </cell>
        </row>
        <row r="149">
          <cell r="S149">
            <v>40354</v>
          </cell>
        </row>
        <row r="150">
          <cell r="S150">
            <v>40357</v>
          </cell>
        </row>
        <row r="151">
          <cell r="S151">
            <v>40358</v>
          </cell>
        </row>
        <row r="152">
          <cell r="S152">
            <v>40359</v>
          </cell>
        </row>
        <row r="153">
          <cell r="S153">
            <v>40360</v>
          </cell>
        </row>
        <row r="154">
          <cell r="S154">
            <v>40361</v>
          </cell>
        </row>
        <row r="155">
          <cell r="S155">
            <v>40365</v>
          </cell>
        </row>
        <row r="156">
          <cell r="S156">
            <v>40366</v>
          </cell>
        </row>
        <row r="157">
          <cell r="S157">
            <v>40367</v>
          </cell>
        </row>
        <row r="158">
          <cell r="S158">
            <v>40368</v>
          </cell>
        </row>
        <row r="159">
          <cell r="S159">
            <v>40371</v>
          </cell>
        </row>
        <row r="160">
          <cell r="S160">
            <v>40372</v>
          </cell>
        </row>
        <row r="161">
          <cell r="S161">
            <v>40373</v>
          </cell>
        </row>
        <row r="162">
          <cell r="S162">
            <v>40374</v>
          </cell>
        </row>
        <row r="163">
          <cell r="S163">
            <v>40375</v>
          </cell>
        </row>
        <row r="164">
          <cell r="S164">
            <v>40378</v>
          </cell>
        </row>
        <row r="165">
          <cell r="S165">
            <v>40379</v>
          </cell>
        </row>
        <row r="166">
          <cell r="S166">
            <v>40380</v>
          </cell>
        </row>
        <row r="167">
          <cell r="S167">
            <v>40381</v>
          </cell>
        </row>
        <row r="168">
          <cell r="S168">
            <v>40382</v>
          </cell>
        </row>
        <row r="169">
          <cell r="S169">
            <v>40385</v>
          </cell>
        </row>
        <row r="170">
          <cell r="S170">
            <v>40386</v>
          </cell>
        </row>
        <row r="171">
          <cell r="S171">
            <v>40387</v>
          </cell>
        </row>
        <row r="172">
          <cell r="S172">
            <v>40388</v>
          </cell>
        </row>
        <row r="173">
          <cell r="S173">
            <v>40389</v>
          </cell>
        </row>
        <row r="174">
          <cell r="S174">
            <v>40392</v>
          </cell>
        </row>
        <row r="175">
          <cell r="S175">
            <v>40393</v>
          </cell>
        </row>
        <row r="176">
          <cell r="S176">
            <v>40394</v>
          </cell>
        </row>
        <row r="177">
          <cell r="S177">
            <v>40395</v>
          </cell>
        </row>
        <row r="178">
          <cell r="S178">
            <v>40396</v>
          </cell>
        </row>
        <row r="179">
          <cell r="S179">
            <v>40399</v>
          </cell>
        </row>
        <row r="180">
          <cell r="S180">
            <v>40400</v>
          </cell>
        </row>
        <row r="181">
          <cell r="S181">
            <v>40401</v>
          </cell>
        </row>
        <row r="182">
          <cell r="S182">
            <v>40402</v>
          </cell>
        </row>
        <row r="183">
          <cell r="S183">
            <v>40403</v>
          </cell>
        </row>
        <row r="184">
          <cell r="S184">
            <v>40406</v>
          </cell>
        </row>
        <row r="185">
          <cell r="S185">
            <v>40407</v>
          </cell>
        </row>
        <row r="186">
          <cell r="S186">
            <v>40408</v>
          </cell>
        </row>
        <row r="187">
          <cell r="S187">
            <v>40409</v>
          </cell>
        </row>
        <row r="188">
          <cell r="S188">
            <v>40410</v>
          </cell>
        </row>
        <row r="189">
          <cell r="S189">
            <v>40413</v>
          </cell>
        </row>
        <row r="190">
          <cell r="S190">
            <v>40414</v>
          </cell>
        </row>
        <row r="191">
          <cell r="S191">
            <v>40415</v>
          </cell>
        </row>
        <row r="192">
          <cell r="S192">
            <v>40416</v>
          </cell>
        </row>
        <row r="193">
          <cell r="S193">
            <v>40417</v>
          </cell>
        </row>
        <row r="194">
          <cell r="S194">
            <v>40420</v>
          </cell>
        </row>
        <row r="195">
          <cell r="S195">
            <v>40421</v>
          </cell>
        </row>
        <row r="196">
          <cell r="S196">
            <v>40422</v>
          </cell>
        </row>
        <row r="197">
          <cell r="S197">
            <v>40423</v>
          </cell>
        </row>
        <row r="198">
          <cell r="S198">
            <v>40424</v>
          </cell>
        </row>
        <row r="199">
          <cell r="S199">
            <v>40428</v>
          </cell>
        </row>
        <row r="200">
          <cell r="S200">
            <v>40429</v>
          </cell>
        </row>
        <row r="201">
          <cell r="S201">
            <v>40430</v>
          </cell>
        </row>
        <row r="202">
          <cell r="S202">
            <v>40431</v>
          </cell>
        </row>
        <row r="203">
          <cell r="S203">
            <v>40434</v>
          </cell>
        </row>
        <row r="204">
          <cell r="S204">
            <v>40435</v>
          </cell>
        </row>
        <row r="205">
          <cell r="S205">
            <v>40436</v>
          </cell>
        </row>
        <row r="206">
          <cell r="S206">
            <v>40437</v>
          </cell>
        </row>
        <row r="207">
          <cell r="S207">
            <v>40438</v>
          </cell>
        </row>
        <row r="208">
          <cell r="S208">
            <v>40441</v>
          </cell>
        </row>
        <row r="209">
          <cell r="S209">
            <v>40442</v>
          </cell>
        </row>
        <row r="210">
          <cell r="S210">
            <v>40443</v>
          </cell>
        </row>
        <row r="211">
          <cell r="S211">
            <v>40444</v>
          </cell>
        </row>
        <row r="212">
          <cell r="S212">
            <v>40445</v>
          </cell>
        </row>
        <row r="213">
          <cell r="S213">
            <v>40448</v>
          </cell>
        </row>
        <row r="214">
          <cell r="S214">
            <v>40449</v>
          </cell>
        </row>
        <row r="215">
          <cell r="S215">
            <v>40450</v>
          </cell>
        </row>
        <row r="216">
          <cell r="S216">
            <v>40451</v>
          </cell>
        </row>
        <row r="217">
          <cell r="S217">
            <v>40452</v>
          </cell>
        </row>
        <row r="218">
          <cell r="S218">
            <v>40455</v>
          </cell>
        </row>
        <row r="219">
          <cell r="S219">
            <v>40456</v>
          </cell>
        </row>
        <row r="220">
          <cell r="S220">
            <v>40457</v>
          </cell>
        </row>
        <row r="221">
          <cell r="S221">
            <v>40458</v>
          </cell>
        </row>
        <row r="222">
          <cell r="S222">
            <v>40459</v>
          </cell>
        </row>
        <row r="223">
          <cell r="S223">
            <v>40462</v>
          </cell>
        </row>
        <row r="224">
          <cell r="S224">
            <v>40463</v>
          </cell>
        </row>
        <row r="225">
          <cell r="S225">
            <v>40464</v>
          </cell>
        </row>
        <row r="226">
          <cell r="S226">
            <v>40465</v>
          </cell>
        </row>
        <row r="227">
          <cell r="S227">
            <v>40466</v>
          </cell>
        </row>
        <row r="228">
          <cell r="S228">
            <v>40469</v>
          </cell>
        </row>
        <row r="229">
          <cell r="S229">
            <v>40470</v>
          </cell>
        </row>
        <row r="230">
          <cell r="S230">
            <v>40471</v>
          </cell>
        </row>
        <row r="231">
          <cell r="S231">
            <v>40472</v>
          </cell>
        </row>
        <row r="232">
          <cell r="S232">
            <v>40473</v>
          </cell>
        </row>
        <row r="233">
          <cell r="S233">
            <v>40476</v>
          </cell>
        </row>
        <row r="234">
          <cell r="S234">
            <v>40477</v>
          </cell>
        </row>
        <row r="235">
          <cell r="S235">
            <v>40478</v>
          </cell>
        </row>
        <row r="236">
          <cell r="S236">
            <v>40479</v>
          </cell>
        </row>
        <row r="237">
          <cell r="S237">
            <v>40480</v>
          </cell>
        </row>
        <row r="238">
          <cell r="S238">
            <v>40483</v>
          </cell>
        </row>
        <row r="239">
          <cell r="S239">
            <v>40484</v>
          </cell>
        </row>
        <row r="240">
          <cell r="S240">
            <v>40485</v>
          </cell>
        </row>
        <row r="241">
          <cell r="S241">
            <v>40486</v>
          </cell>
        </row>
        <row r="242">
          <cell r="S242">
            <v>40487</v>
          </cell>
        </row>
        <row r="243">
          <cell r="S243">
            <v>40490</v>
          </cell>
        </row>
        <row r="244">
          <cell r="S244">
            <v>40491</v>
          </cell>
        </row>
        <row r="245">
          <cell r="S245">
            <v>40492</v>
          </cell>
        </row>
        <row r="246">
          <cell r="S246">
            <v>40493</v>
          </cell>
        </row>
        <row r="247">
          <cell r="S247">
            <v>40494</v>
          </cell>
        </row>
        <row r="248">
          <cell r="S248">
            <v>40497</v>
          </cell>
        </row>
        <row r="249">
          <cell r="S249">
            <v>40498</v>
          </cell>
        </row>
        <row r="250">
          <cell r="S250">
            <v>40499</v>
          </cell>
        </row>
        <row r="251">
          <cell r="S251">
            <v>40500</v>
          </cell>
        </row>
        <row r="252">
          <cell r="S252">
            <v>40501</v>
          </cell>
        </row>
        <row r="253">
          <cell r="S253">
            <v>40504</v>
          </cell>
        </row>
        <row r="254">
          <cell r="S254">
            <v>40505</v>
          </cell>
        </row>
        <row r="255">
          <cell r="S255">
            <v>40506</v>
          </cell>
        </row>
        <row r="256">
          <cell r="S256">
            <v>40508</v>
          </cell>
        </row>
        <row r="257">
          <cell r="S257">
            <v>40511</v>
          </cell>
        </row>
        <row r="258">
          <cell r="S258">
            <v>40512</v>
          </cell>
        </row>
        <row r="259">
          <cell r="S259">
            <v>40513</v>
          </cell>
        </row>
        <row r="260">
          <cell r="S260">
            <v>40514</v>
          </cell>
        </row>
        <row r="261">
          <cell r="S261">
            <v>40515</v>
          </cell>
        </row>
        <row r="262">
          <cell r="S262">
            <v>40518</v>
          </cell>
        </row>
        <row r="263">
          <cell r="S263">
            <v>40519</v>
          </cell>
        </row>
        <row r="264">
          <cell r="S264">
            <v>40520</v>
          </cell>
        </row>
        <row r="265">
          <cell r="S265">
            <v>40521</v>
          </cell>
        </row>
        <row r="266">
          <cell r="S266">
            <v>40522</v>
          </cell>
        </row>
        <row r="267">
          <cell r="S267">
            <v>40525</v>
          </cell>
        </row>
        <row r="268">
          <cell r="S268">
            <v>40526</v>
          </cell>
        </row>
        <row r="269">
          <cell r="S269">
            <v>40527</v>
          </cell>
        </row>
        <row r="270">
          <cell r="S270">
            <v>40528</v>
          </cell>
        </row>
        <row r="271">
          <cell r="S271">
            <v>40529</v>
          </cell>
        </row>
        <row r="272">
          <cell r="S272">
            <v>40532</v>
          </cell>
        </row>
        <row r="273">
          <cell r="S273">
            <v>40533</v>
          </cell>
        </row>
        <row r="274">
          <cell r="S274">
            <v>40534</v>
          </cell>
        </row>
        <row r="275">
          <cell r="S275">
            <v>40535</v>
          </cell>
        </row>
        <row r="276">
          <cell r="S276">
            <v>40539</v>
          </cell>
        </row>
        <row r="277">
          <cell r="S277">
            <v>40540</v>
          </cell>
        </row>
        <row r="278">
          <cell r="S278">
            <v>40541</v>
          </cell>
        </row>
        <row r="279">
          <cell r="S279">
            <v>40542</v>
          </cell>
        </row>
        <row r="280">
          <cell r="S280">
            <v>40543</v>
          </cell>
        </row>
        <row r="281">
          <cell r="S281">
            <v>40546</v>
          </cell>
        </row>
        <row r="282">
          <cell r="S282">
            <v>40547</v>
          </cell>
        </row>
        <row r="283">
          <cell r="S283">
            <v>40548</v>
          </cell>
        </row>
        <row r="284">
          <cell r="S284">
            <v>40549</v>
          </cell>
        </row>
        <row r="285">
          <cell r="S285">
            <v>40550</v>
          </cell>
        </row>
        <row r="286">
          <cell r="S286">
            <v>40553</v>
          </cell>
        </row>
        <row r="287">
          <cell r="S287">
            <v>40554</v>
          </cell>
        </row>
        <row r="288">
          <cell r="S288">
            <v>40555</v>
          </cell>
        </row>
        <row r="289">
          <cell r="S289">
            <v>40556</v>
          </cell>
        </row>
        <row r="290">
          <cell r="S290">
            <v>40557</v>
          </cell>
        </row>
        <row r="291">
          <cell r="S291">
            <v>40561</v>
          </cell>
        </row>
        <row r="292">
          <cell r="S292">
            <v>40562</v>
          </cell>
        </row>
        <row r="293">
          <cell r="S293">
            <v>40563</v>
          </cell>
        </row>
        <row r="294">
          <cell r="S294">
            <v>40564</v>
          </cell>
        </row>
        <row r="295">
          <cell r="S295">
            <v>40567</v>
          </cell>
        </row>
        <row r="296">
          <cell r="S296">
            <v>40568</v>
          </cell>
        </row>
        <row r="297">
          <cell r="S297">
            <v>40569</v>
          </cell>
        </row>
        <row r="298">
          <cell r="S298">
            <v>40570</v>
          </cell>
        </row>
        <row r="299">
          <cell r="S299">
            <v>40571</v>
          </cell>
        </row>
        <row r="300">
          <cell r="S300">
            <v>40574</v>
          </cell>
        </row>
        <row r="301">
          <cell r="S301">
            <v>40575</v>
          </cell>
        </row>
        <row r="302">
          <cell r="S302">
            <v>40576</v>
          </cell>
        </row>
        <row r="303">
          <cell r="S303">
            <v>40577</v>
          </cell>
        </row>
        <row r="304">
          <cell r="S304">
            <v>40578</v>
          </cell>
        </row>
        <row r="305">
          <cell r="S305">
            <v>40581</v>
          </cell>
        </row>
        <row r="306">
          <cell r="S306">
            <v>40582</v>
          </cell>
        </row>
        <row r="307">
          <cell r="S307">
            <v>40583</v>
          </cell>
        </row>
        <row r="308">
          <cell r="S308">
            <v>40584</v>
          </cell>
        </row>
        <row r="309">
          <cell r="S309">
            <v>40585</v>
          </cell>
        </row>
        <row r="310">
          <cell r="S310">
            <v>40588</v>
          </cell>
        </row>
        <row r="311">
          <cell r="S311">
            <v>40589</v>
          </cell>
        </row>
        <row r="312">
          <cell r="S312">
            <v>40590</v>
          </cell>
        </row>
        <row r="313">
          <cell r="S313">
            <v>40591</v>
          </cell>
        </row>
        <row r="314">
          <cell r="S314">
            <v>40592</v>
          </cell>
        </row>
        <row r="315">
          <cell r="S315">
            <v>40596</v>
          </cell>
        </row>
        <row r="316">
          <cell r="S316">
            <v>40597</v>
          </cell>
        </row>
        <row r="317">
          <cell r="S317">
            <v>40598</v>
          </cell>
        </row>
        <row r="318">
          <cell r="S318">
            <v>40599</v>
          </cell>
        </row>
        <row r="319">
          <cell r="S319">
            <v>40602</v>
          </cell>
        </row>
        <row r="320">
          <cell r="S320">
            <v>40603</v>
          </cell>
        </row>
        <row r="321">
          <cell r="S321">
            <v>40604</v>
          </cell>
        </row>
        <row r="322">
          <cell r="S322">
            <v>40605</v>
          </cell>
        </row>
        <row r="323">
          <cell r="S323">
            <v>40606</v>
          </cell>
        </row>
        <row r="324">
          <cell r="S324">
            <v>40609</v>
          </cell>
        </row>
        <row r="325">
          <cell r="S325">
            <v>40610</v>
          </cell>
        </row>
        <row r="326">
          <cell r="S326">
            <v>40611</v>
          </cell>
        </row>
        <row r="327">
          <cell r="S327">
            <v>40612</v>
          </cell>
        </row>
        <row r="328">
          <cell r="S328">
            <v>40613</v>
          </cell>
        </row>
        <row r="329">
          <cell r="S329">
            <v>40616</v>
          </cell>
        </row>
        <row r="330">
          <cell r="S330">
            <v>40617</v>
          </cell>
        </row>
        <row r="331">
          <cell r="S331">
            <v>40618</v>
          </cell>
        </row>
        <row r="332">
          <cell r="S332">
            <v>40619</v>
          </cell>
        </row>
        <row r="333">
          <cell r="S333">
            <v>40620</v>
          </cell>
        </row>
        <row r="334">
          <cell r="S334">
            <v>40623</v>
          </cell>
        </row>
        <row r="335">
          <cell r="S335">
            <v>40624</v>
          </cell>
        </row>
        <row r="336">
          <cell r="S336">
            <v>40625</v>
          </cell>
        </row>
        <row r="337">
          <cell r="S337">
            <v>40626</v>
          </cell>
        </row>
        <row r="338">
          <cell r="S338">
            <v>40627</v>
          </cell>
        </row>
        <row r="339">
          <cell r="S339">
            <v>40630</v>
          </cell>
        </row>
        <row r="340">
          <cell r="S340">
            <v>40631</v>
          </cell>
        </row>
        <row r="341">
          <cell r="S341">
            <v>40632</v>
          </cell>
        </row>
        <row r="342">
          <cell r="S342">
            <v>40633</v>
          </cell>
        </row>
        <row r="343">
          <cell r="S343">
            <v>40634</v>
          </cell>
        </row>
        <row r="344">
          <cell r="S344">
            <v>40637</v>
          </cell>
        </row>
        <row r="345">
          <cell r="S345">
            <v>40638</v>
          </cell>
        </row>
        <row r="346">
          <cell r="S346">
            <v>40639</v>
          </cell>
        </row>
        <row r="347">
          <cell r="S347">
            <v>40640</v>
          </cell>
        </row>
        <row r="348">
          <cell r="S348">
            <v>40641</v>
          </cell>
        </row>
        <row r="349">
          <cell r="S349">
            <v>40644</v>
          </cell>
        </row>
        <row r="350">
          <cell r="S350">
            <v>40645</v>
          </cell>
        </row>
        <row r="351">
          <cell r="S351">
            <v>40646</v>
          </cell>
        </row>
        <row r="352">
          <cell r="S352">
            <v>40647</v>
          </cell>
        </row>
        <row r="353">
          <cell r="S353">
            <v>40648</v>
          </cell>
        </row>
        <row r="354">
          <cell r="S354">
            <v>40651</v>
          </cell>
        </row>
        <row r="355">
          <cell r="S355">
            <v>40652</v>
          </cell>
        </row>
        <row r="356">
          <cell r="S356">
            <v>40653</v>
          </cell>
        </row>
        <row r="357">
          <cell r="S357">
            <v>40654</v>
          </cell>
        </row>
        <row r="358">
          <cell r="S358">
            <v>40658</v>
          </cell>
        </row>
        <row r="359">
          <cell r="S359">
            <v>40659</v>
          </cell>
        </row>
        <row r="360">
          <cell r="S360">
            <v>40660</v>
          </cell>
        </row>
        <row r="361">
          <cell r="S361">
            <v>40661</v>
          </cell>
        </row>
        <row r="362">
          <cell r="S362">
            <v>40662</v>
          </cell>
        </row>
        <row r="363">
          <cell r="S363">
            <v>40665</v>
          </cell>
        </row>
        <row r="364">
          <cell r="S364">
            <v>40666</v>
          </cell>
        </row>
        <row r="365">
          <cell r="S365">
            <v>40667</v>
          </cell>
        </row>
        <row r="366">
          <cell r="S366">
            <v>40668</v>
          </cell>
        </row>
        <row r="367">
          <cell r="S367">
            <v>40669</v>
          </cell>
        </row>
        <row r="368">
          <cell r="S368">
            <v>40672</v>
          </cell>
        </row>
        <row r="369">
          <cell r="S369">
            <v>40673</v>
          </cell>
        </row>
        <row r="370">
          <cell r="S370">
            <v>40674</v>
          </cell>
        </row>
        <row r="371">
          <cell r="S371">
            <v>40675</v>
          </cell>
        </row>
        <row r="372">
          <cell r="S372">
            <v>40676</v>
          </cell>
        </row>
        <row r="373">
          <cell r="S373">
            <v>40679</v>
          </cell>
        </row>
        <row r="374">
          <cell r="S374">
            <v>40680</v>
          </cell>
        </row>
        <row r="375">
          <cell r="S375">
            <v>40681</v>
          </cell>
        </row>
        <row r="376">
          <cell r="S376">
            <v>40682</v>
          </cell>
        </row>
        <row r="377">
          <cell r="S377">
            <v>40683</v>
          </cell>
        </row>
        <row r="378">
          <cell r="S378">
            <v>40686</v>
          </cell>
        </row>
        <row r="379">
          <cell r="S379">
            <v>40687</v>
          </cell>
        </row>
        <row r="380">
          <cell r="S380">
            <v>40688</v>
          </cell>
        </row>
        <row r="381">
          <cell r="S381">
            <v>40689</v>
          </cell>
        </row>
        <row r="382">
          <cell r="S382">
            <v>40690</v>
          </cell>
        </row>
        <row r="383">
          <cell r="S383">
            <v>40694</v>
          </cell>
        </row>
        <row r="384">
          <cell r="S384">
            <v>40695</v>
          </cell>
        </row>
        <row r="385">
          <cell r="S385">
            <v>40696</v>
          </cell>
        </row>
        <row r="386">
          <cell r="S386">
            <v>40697</v>
          </cell>
        </row>
        <row r="387">
          <cell r="S387">
            <v>40700</v>
          </cell>
        </row>
        <row r="388">
          <cell r="S388">
            <v>40701</v>
          </cell>
        </row>
        <row r="389">
          <cell r="S389">
            <v>40702</v>
          </cell>
        </row>
        <row r="390">
          <cell r="S390">
            <v>40703</v>
          </cell>
        </row>
        <row r="391">
          <cell r="S391">
            <v>40704</v>
          </cell>
        </row>
        <row r="392">
          <cell r="S392">
            <v>40707</v>
          </cell>
        </row>
        <row r="393">
          <cell r="S393">
            <v>40708</v>
          </cell>
        </row>
        <row r="394">
          <cell r="S394">
            <v>40709</v>
          </cell>
        </row>
        <row r="395">
          <cell r="S395">
            <v>40710</v>
          </cell>
        </row>
        <row r="396">
          <cell r="S396">
            <v>40711</v>
          </cell>
        </row>
        <row r="397">
          <cell r="S397">
            <v>40714</v>
          </cell>
        </row>
        <row r="398">
          <cell r="S398">
            <v>40715</v>
          </cell>
        </row>
        <row r="399">
          <cell r="S399">
            <v>40716</v>
          </cell>
        </row>
        <row r="400">
          <cell r="S400">
            <v>40717</v>
          </cell>
        </row>
        <row r="401">
          <cell r="S401">
            <v>40718</v>
          </cell>
        </row>
        <row r="402">
          <cell r="S402">
            <v>40721</v>
          </cell>
        </row>
        <row r="403">
          <cell r="S403">
            <v>40722</v>
          </cell>
        </row>
        <row r="404">
          <cell r="S404">
            <v>40723</v>
          </cell>
        </row>
        <row r="405">
          <cell r="S405">
            <v>40724</v>
          </cell>
        </row>
        <row r="406">
          <cell r="S406">
            <v>40725</v>
          </cell>
        </row>
        <row r="407">
          <cell r="S407">
            <v>40729</v>
          </cell>
        </row>
        <row r="408">
          <cell r="S408">
            <v>40730</v>
          </cell>
        </row>
        <row r="409">
          <cell r="S409">
            <v>40731</v>
          </cell>
        </row>
        <row r="410">
          <cell r="S410">
            <v>40732</v>
          </cell>
        </row>
        <row r="411">
          <cell r="S411">
            <v>40735</v>
          </cell>
        </row>
        <row r="412">
          <cell r="S412">
            <v>40736</v>
          </cell>
        </row>
        <row r="413">
          <cell r="S413">
            <v>40737</v>
          </cell>
        </row>
        <row r="414">
          <cell r="S414">
            <v>40738</v>
          </cell>
        </row>
        <row r="415">
          <cell r="S415">
            <v>40739</v>
          </cell>
        </row>
        <row r="416">
          <cell r="S416">
            <v>40742</v>
          </cell>
        </row>
        <row r="417">
          <cell r="S417">
            <v>40743</v>
          </cell>
        </row>
        <row r="418">
          <cell r="S418">
            <v>40744</v>
          </cell>
        </row>
        <row r="419">
          <cell r="S419">
            <v>40745</v>
          </cell>
        </row>
        <row r="420">
          <cell r="S420">
            <v>40746</v>
          </cell>
        </row>
        <row r="421">
          <cell r="S421">
            <v>40749</v>
          </cell>
        </row>
        <row r="422">
          <cell r="S422">
            <v>40750</v>
          </cell>
        </row>
        <row r="423">
          <cell r="S423">
            <v>40751</v>
          </cell>
        </row>
        <row r="424">
          <cell r="S424">
            <v>40752</v>
          </cell>
        </row>
        <row r="425">
          <cell r="S425">
            <v>40753</v>
          </cell>
        </row>
        <row r="426">
          <cell r="S426">
            <v>40756</v>
          </cell>
        </row>
        <row r="427">
          <cell r="S427">
            <v>40757</v>
          </cell>
        </row>
        <row r="428">
          <cell r="S428">
            <v>40758</v>
          </cell>
        </row>
        <row r="429">
          <cell r="S429">
            <v>40759</v>
          </cell>
        </row>
        <row r="430">
          <cell r="S430">
            <v>40760</v>
          </cell>
        </row>
        <row r="431">
          <cell r="S431">
            <v>40763</v>
          </cell>
        </row>
        <row r="432">
          <cell r="S432">
            <v>40764</v>
          </cell>
        </row>
        <row r="433">
          <cell r="S433">
            <v>40765</v>
          </cell>
        </row>
        <row r="434">
          <cell r="S434">
            <v>40766</v>
          </cell>
        </row>
        <row r="435">
          <cell r="S435">
            <v>40767</v>
          </cell>
        </row>
        <row r="436">
          <cell r="S436">
            <v>40770</v>
          </cell>
        </row>
        <row r="437">
          <cell r="S437">
            <v>40771</v>
          </cell>
        </row>
        <row r="438">
          <cell r="S438">
            <v>40772</v>
          </cell>
        </row>
        <row r="439">
          <cell r="S439">
            <v>40773</v>
          </cell>
        </row>
        <row r="440">
          <cell r="S440">
            <v>40774</v>
          </cell>
        </row>
        <row r="441">
          <cell r="S441">
            <v>40777</v>
          </cell>
        </row>
        <row r="442">
          <cell r="S442">
            <v>40778</v>
          </cell>
        </row>
        <row r="443">
          <cell r="S443">
            <v>40779</v>
          </cell>
        </row>
        <row r="444">
          <cell r="S444">
            <v>40780</v>
          </cell>
        </row>
        <row r="445">
          <cell r="S445">
            <v>40781</v>
          </cell>
        </row>
        <row r="446">
          <cell r="S446">
            <v>40784</v>
          </cell>
        </row>
        <row r="447">
          <cell r="S447">
            <v>40785</v>
          </cell>
        </row>
        <row r="448">
          <cell r="S448">
            <v>40786</v>
          </cell>
        </row>
        <row r="449">
          <cell r="S449">
            <v>40787</v>
          </cell>
        </row>
        <row r="450">
          <cell r="S450">
            <v>40788</v>
          </cell>
        </row>
        <row r="451">
          <cell r="S451">
            <v>40792</v>
          </cell>
        </row>
        <row r="452">
          <cell r="S452">
            <v>40793</v>
          </cell>
        </row>
        <row r="453">
          <cell r="S453">
            <v>40794</v>
          </cell>
        </row>
        <row r="454">
          <cell r="S454">
            <v>40795</v>
          </cell>
        </row>
        <row r="455">
          <cell r="S455">
            <v>40798</v>
          </cell>
        </row>
        <row r="456">
          <cell r="S456">
            <v>40799</v>
          </cell>
        </row>
        <row r="457">
          <cell r="S457">
            <v>40800</v>
          </cell>
        </row>
        <row r="458">
          <cell r="S458">
            <v>40801</v>
          </cell>
        </row>
        <row r="459">
          <cell r="S459">
            <v>40802</v>
          </cell>
        </row>
        <row r="460">
          <cell r="S460">
            <v>40805</v>
          </cell>
        </row>
        <row r="461">
          <cell r="S461">
            <v>40806</v>
          </cell>
        </row>
        <row r="462">
          <cell r="S462">
            <v>40807</v>
          </cell>
        </row>
        <row r="463">
          <cell r="S463">
            <v>40808</v>
          </cell>
        </row>
        <row r="464">
          <cell r="S464">
            <v>40809</v>
          </cell>
        </row>
        <row r="465">
          <cell r="S465">
            <v>40812</v>
          </cell>
        </row>
        <row r="466">
          <cell r="S466">
            <v>40813</v>
          </cell>
        </row>
        <row r="467">
          <cell r="S467">
            <v>40814</v>
          </cell>
        </row>
        <row r="468">
          <cell r="S468">
            <v>40815</v>
          </cell>
        </row>
        <row r="469">
          <cell r="S469">
            <v>40816</v>
          </cell>
        </row>
        <row r="470">
          <cell r="S470">
            <v>40819</v>
          </cell>
        </row>
        <row r="471">
          <cell r="S471">
            <v>40820</v>
          </cell>
        </row>
        <row r="472">
          <cell r="S472">
            <v>40821</v>
          </cell>
        </row>
        <row r="473">
          <cell r="S473">
            <v>40822</v>
          </cell>
        </row>
        <row r="474">
          <cell r="S474">
            <v>40823</v>
          </cell>
        </row>
        <row r="475">
          <cell r="S475">
            <v>40826</v>
          </cell>
        </row>
        <row r="476">
          <cell r="S476">
            <v>40827</v>
          </cell>
        </row>
        <row r="477">
          <cell r="S477">
            <v>40828</v>
          </cell>
        </row>
        <row r="478">
          <cell r="S478">
            <v>40829</v>
          </cell>
        </row>
        <row r="479">
          <cell r="S479">
            <v>40830</v>
          </cell>
        </row>
        <row r="480">
          <cell r="S480">
            <v>40833</v>
          </cell>
        </row>
        <row r="481">
          <cell r="S481">
            <v>40834</v>
          </cell>
        </row>
        <row r="482">
          <cell r="S482">
            <v>40835</v>
          </cell>
        </row>
        <row r="483">
          <cell r="S483">
            <v>40836</v>
          </cell>
        </row>
        <row r="484">
          <cell r="S484">
            <v>40837</v>
          </cell>
        </row>
        <row r="485">
          <cell r="S485">
            <v>40840</v>
          </cell>
        </row>
        <row r="486">
          <cell r="S486">
            <v>40841</v>
          </cell>
        </row>
        <row r="487">
          <cell r="S487">
            <v>40842</v>
          </cell>
        </row>
        <row r="488">
          <cell r="S488">
            <v>40843</v>
          </cell>
        </row>
        <row r="489">
          <cell r="S489">
            <v>40844</v>
          </cell>
        </row>
        <row r="490">
          <cell r="S490">
            <v>40847</v>
          </cell>
        </row>
        <row r="491">
          <cell r="S491">
            <v>40848</v>
          </cell>
        </row>
        <row r="492">
          <cell r="S492">
            <v>40849</v>
          </cell>
        </row>
        <row r="493">
          <cell r="S493">
            <v>40850</v>
          </cell>
        </row>
        <row r="494">
          <cell r="S494">
            <v>40851</v>
          </cell>
        </row>
        <row r="495">
          <cell r="S495">
            <v>40854</v>
          </cell>
        </row>
        <row r="496">
          <cell r="S496">
            <v>40855</v>
          </cell>
        </row>
        <row r="497">
          <cell r="S497">
            <v>40856</v>
          </cell>
        </row>
        <row r="498">
          <cell r="S498">
            <v>40857</v>
          </cell>
        </row>
        <row r="499">
          <cell r="S499">
            <v>40858</v>
          </cell>
        </row>
        <row r="500">
          <cell r="S500">
            <v>40861</v>
          </cell>
        </row>
        <row r="501">
          <cell r="S501">
            <v>40862</v>
          </cell>
        </row>
        <row r="502">
          <cell r="S502">
            <v>40863</v>
          </cell>
        </row>
        <row r="503">
          <cell r="S503">
            <v>40864</v>
          </cell>
        </row>
        <row r="504">
          <cell r="S504">
            <v>40865</v>
          </cell>
        </row>
        <row r="505">
          <cell r="S505">
            <v>40868</v>
          </cell>
        </row>
        <row r="506">
          <cell r="S506">
            <v>40869</v>
          </cell>
        </row>
        <row r="507">
          <cell r="S507">
            <v>40870</v>
          </cell>
        </row>
        <row r="508">
          <cell r="S508">
            <v>40872</v>
          </cell>
        </row>
        <row r="509">
          <cell r="S509">
            <v>40875</v>
          </cell>
        </row>
        <row r="510">
          <cell r="S510">
            <v>40876</v>
          </cell>
        </row>
        <row r="511">
          <cell r="S511">
            <v>40877</v>
          </cell>
        </row>
        <row r="512">
          <cell r="S512">
            <v>40878</v>
          </cell>
        </row>
        <row r="513">
          <cell r="S513">
            <v>40879</v>
          </cell>
        </row>
        <row r="514">
          <cell r="S514">
            <v>40882</v>
          </cell>
        </row>
        <row r="515">
          <cell r="S515">
            <v>40883</v>
          </cell>
        </row>
        <row r="516">
          <cell r="S516">
            <v>40884</v>
          </cell>
        </row>
        <row r="517">
          <cell r="S517">
            <v>40885</v>
          </cell>
        </row>
        <row r="518">
          <cell r="S518">
            <v>40886</v>
          </cell>
        </row>
        <row r="519">
          <cell r="S519">
            <v>40889</v>
          </cell>
        </row>
        <row r="520">
          <cell r="S520">
            <v>40890</v>
          </cell>
        </row>
        <row r="521">
          <cell r="S521">
            <v>40891</v>
          </cell>
        </row>
        <row r="522">
          <cell r="S522">
            <v>40892</v>
          </cell>
        </row>
        <row r="523">
          <cell r="S523">
            <v>40893</v>
          </cell>
        </row>
        <row r="524">
          <cell r="S524">
            <v>40896</v>
          </cell>
        </row>
        <row r="525">
          <cell r="S525">
            <v>40897</v>
          </cell>
        </row>
        <row r="526">
          <cell r="S526">
            <v>40898</v>
          </cell>
        </row>
        <row r="527">
          <cell r="S527">
            <v>40899</v>
          </cell>
        </row>
        <row r="528">
          <cell r="S528">
            <v>40900</v>
          </cell>
        </row>
        <row r="529">
          <cell r="S529">
            <v>40904</v>
          </cell>
        </row>
        <row r="530">
          <cell r="S530">
            <v>40905</v>
          </cell>
        </row>
        <row r="531">
          <cell r="S531">
            <v>40906</v>
          </cell>
        </row>
        <row r="532">
          <cell r="S532">
            <v>40907</v>
          </cell>
        </row>
        <row r="533">
          <cell r="S533">
            <v>40911</v>
          </cell>
        </row>
        <row r="534">
          <cell r="S534">
            <v>40912</v>
          </cell>
        </row>
        <row r="535">
          <cell r="S535">
            <v>40913</v>
          </cell>
        </row>
        <row r="536">
          <cell r="S536">
            <v>40914</v>
          </cell>
        </row>
        <row r="537">
          <cell r="S537">
            <v>40917</v>
          </cell>
        </row>
        <row r="538">
          <cell r="S538">
            <v>40918</v>
          </cell>
        </row>
        <row r="539">
          <cell r="S539">
            <v>40919</v>
          </cell>
        </row>
        <row r="540">
          <cell r="S540">
            <v>40920</v>
          </cell>
        </row>
        <row r="541">
          <cell r="S541">
            <v>40921</v>
          </cell>
        </row>
        <row r="542">
          <cell r="S542">
            <v>40925</v>
          </cell>
        </row>
        <row r="543">
          <cell r="S543">
            <v>40926</v>
          </cell>
        </row>
        <row r="544">
          <cell r="S544">
            <v>40927</v>
          </cell>
        </row>
        <row r="545">
          <cell r="S545">
            <v>40928</v>
          </cell>
        </row>
        <row r="546">
          <cell r="S546">
            <v>40931</v>
          </cell>
        </row>
        <row r="547">
          <cell r="S547">
            <v>40932</v>
          </cell>
        </row>
        <row r="548">
          <cell r="S548">
            <v>40933</v>
          </cell>
        </row>
        <row r="549">
          <cell r="S549">
            <v>40934</v>
          </cell>
        </row>
        <row r="550">
          <cell r="S550">
            <v>40935</v>
          </cell>
        </row>
        <row r="551">
          <cell r="S551">
            <v>40938</v>
          </cell>
        </row>
        <row r="552">
          <cell r="S552">
            <v>40939</v>
          </cell>
        </row>
        <row r="553">
          <cell r="S553">
            <v>40940</v>
          </cell>
        </row>
        <row r="554">
          <cell r="S554">
            <v>40941</v>
          </cell>
        </row>
        <row r="555">
          <cell r="S555">
            <v>40942</v>
          </cell>
        </row>
        <row r="556">
          <cell r="S556">
            <v>40945</v>
          </cell>
        </row>
        <row r="557">
          <cell r="S557">
            <v>40946</v>
          </cell>
        </row>
        <row r="558">
          <cell r="S558">
            <v>40947</v>
          </cell>
        </row>
        <row r="559">
          <cell r="S559">
            <v>40948</v>
          </cell>
        </row>
        <row r="560">
          <cell r="S560">
            <v>40949</v>
          </cell>
        </row>
        <row r="561">
          <cell r="S561">
            <v>40952</v>
          </cell>
        </row>
        <row r="562">
          <cell r="S562">
            <v>40953</v>
          </cell>
        </row>
        <row r="563">
          <cell r="S563">
            <v>40954</v>
          </cell>
        </row>
        <row r="564">
          <cell r="S564">
            <v>40955</v>
          </cell>
        </row>
        <row r="565">
          <cell r="S565">
            <v>40956</v>
          </cell>
        </row>
        <row r="566">
          <cell r="S566">
            <v>40960</v>
          </cell>
        </row>
        <row r="567">
          <cell r="S567">
            <v>40961</v>
          </cell>
        </row>
        <row r="568">
          <cell r="S568">
            <v>40962</v>
          </cell>
        </row>
        <row r="569">
          <cell r="S569">
            <v>40963</v>
          </cell>
        </row>
        <row r="570">
          <cell r="S570">
            <v>40966</v>
          </cell>
        </row>
        <row r="571">
          <cell r="S571">
            <v>40967</v>
          </cell>
        </row>
        <row r="572">
          <cell r="S572">
            <v>40968</v>
          </cell>
        </row>
        <row r="573">
          <cell r="S573">
            <v>40969</v>
          </cell>
        </row>
        <row r="574">
          <cell r="S574">
            <v>40970</v>
          </cell>
        </row>
        <row r="575">
          <cell r="S575">
            <v>40973</v>
          </cell>
        </row>
        <row r="576">
          <cell r="S576">
            <v>40974</v>
          </cell>
        </row>
        <row r="577">
          <cell r="S577">
            <v>40975</v>
          </cell>
        </row>
        <row r="578">
          <cell r="S578">
            <v>40976</v>
          </cell>
        </row>
        <row r="579">
          <cell r="S579">
            <v>40977</v>
          </cell>
        </row>
        <row r="580">
          <cell r="S580">
            <v>40980</v>
          </cell>
        </row>
        <row r="581">
          <cell r="S581">
            <v>40981</v>
          </cell>
        </row>
        <row r="582">
          <cell r="S582">
            <v>40982</v>
          </cell>
        </row>
        <row r="583">
          <cell r="S583">
            <v>40983</v>
          </cell>
        </row>
        <row r="584">
          <cell r="S584">
            <v>40984</v>
          </cell>
        </row>
        <row r="585">
          <cell r="S585">
            <v>40987</v>
          </cell>
        </row>
        <row r="586">
          <cell r="S586">
            <v>40988</v>
          </cell>
        </row>
        <row r="587">
          <cell r="S587">
            <v>40989</v>
          </cell>
        </row>
        <row r="588">
          <cell r="S588">
            <v>40990</v>
          </cell>
        </row>
        <row r="589">
          <cell r="S589">
            <v>40991</v>
          </cell>
        </row>
        <row r="590">
          <cell r="S590">
            <v>40994</v>
          </cell>
        </row>
        <row r="591">
          <cell r="S591">
            <v>40995</v>
          </cell>
        </row>
        <row r="592">
          <cell r="S592">
            <v>40996</v>
          </cell>
        </row>
        <row r="593">
          <cell r="S593">
            <v>40997</v>
          </cell>
        </row>
        <row r="594">
          <cell r="S594">
            <v>40998</v>
          </cell>
        </row>
        <row r="595">
          <cell r="S595">
            <v>41001</v>
          </cell>
        </row>
        <row r="596">
          <cell r="S596">
            <v>41002</v>
          </cell>
        </row>
        <row r="597">
          <cell r="S597">
            <v>41003</v>
          </cell>
        </row>
        <row r="598">
          <cell r="S598">
            <v>41004</v>
          </cell>
        </row>
        <row r="599">
          <cell r="S599">
            <v>41008</v>
          </cell>
        </row>
        <row r="600">
          <cell r="S600">
            <v>41009</v>
          </cell>
        </row>
        <row r="601">
          <cell r="S601">
            <v>41010</v>
          </cell>
        </row>
        <row r="602">
          <cell r="S602">
            <v>41011</v>
          </cell>
        </row>
        <row r="603">
          <cell r="S603">
            <v>41012</v>
          </cell>
        </row>
        <row r="604">
          <cell r="S604">
            <v>41015</v>
          </cell>
        </row>
        <row r="605">
          <cell r="S605">
            <v>41016</v>
          </cell>
        </row>
        <row r="606">
          <cell r="S606">
            <v>41017</v>
          </cell>
        </row>
        <row r="607">
          <cell r="S607">
            <v>41018</v>
          </cell>
        </row>
        <row r="608">
          <cell r="S608">
            <v>41019</v>
          </cell>
        </row>
        <row r="609">
          <cell r="S609">
            <v>41022</v>
          </cell>
        </row>
        <row r="610">
          <cell r="S610">
            <v>41023</v>
          </cell>
        </row>
        <row r="611">
          <cell r="S611">
            <v>41024</v>
          </cell>
        </row>
        <row r="612">
          <cell r="S612">
            <v>41025</v>
          </cell>
        </row>
        <row r="613">
          <cell r="S613">
            <v>41026</v>
          </cell>
        </row>
        <row r="614">
          <cell r="S614">
            <v>41029</v>
          </cell>
        </row>
        <row r="615">
          <cell r="S615">
            <v>41030</v>
          </cell>
        </row>
        <row r="616">
          <cell r="S616">
            <v>41031</v>
          </cell>
        </row>
        <row r="617">
          <cell r="S617">
            <v>41032</v>
          </cell>
        </row>
        <row r="618">
          <cell r="S618">
            <v>41033</v>
          </cell>
        </row>
        <row r="619">
          <cell r="S619">
            <v>41036</v>
          </cell>
        </row>
        <row r="620">
          <cell r="S620">
            <v>41037</v>
          </cell>
        </row>
        <row r="621">
          <cell r="S621">
            <v>41038</v>
          </cell>
        </row>
        <row r="622">
          <cell r="S622">
            <v>41039</v>
          </cell>
        </row>
        <row r="623">
          <cell r="S623">
            <v>41040</v>
          </cell>
        </row>
        <row r="624">
          <cell r="S624">
            <v>41043</v>
          </cell>
        </row>
        <row r="625">
          <cell r="S625">
            <v>41044</v>
          </cell>
        </row>
        <row r="626">
          <cell r="S626">
            <v>41045</v>
          </cell>
        </row>
        <row r="627">
          <cell r="S627">
            <v>41046</v>
          </cell>
        </row>
        <row r="628">
          <cell r="S628">
            <v>41047</v>
          </cell>
        </row>
        <row r="629">
          <cell r="S629">
            <v>41050</v>
          </cell>
        </row>
        <row r="630">
          <cell r="S630">
            <v>41051</v>
          </cell>
        </row>
        <row r="631">
          <cell r="S631">
            <v>41052</v>
          </cell>
        </row>
        <row r="632">
          <cell r="S632">
            <v>41053</v>
          </cell>
        </row>
        <row r="633">
          <cell r="S633">
            <v>41054</v>
          </cell>
        </row>
        <row r="634">
          <cell r="S634">
            <v>41058</v>
          </cell>
        </row>
        <row r="635">
          <cell r="S635">
            <v>41059</v>
          </cell>
        </row>
        <row r="636">
          <cell r="S636">
            <v>41060</v>
          </cell>
        </row>
        <row r="637">
          <cell r="S637">
            <v>41061</v>
          </cell>
        </row>
        <row r="638">
          <cell r="S638">
            <v>41064</v>
          </cell>
        </row>
        <row r="639">
          <cell r="S639">
            <v>41065</v>
          </cell>
        </row>
        <row r="640">
          <cell r="S640">
            <v>41066</v>
          </cell>
        </row>
        <row r="641">
          <cell r="S641">
            <v>41067</v>
          </cell>
        </row>
        <row r="642">
          <cell r="S642">
            <v>41068</v>
          </cell>
        </row>
        <row r="643">
          <cell r="S643">
            <v>41071</v>
          </cell>
        </row>
        <row r="644">
          <cell r="S644">
            <v>41072</v>
          </cell>
        </row>
        <row r="645">
          <cell r="S645">
            <v>41073</v>
          </cell>
        </row>
        <row r="646">
          <cell r="S646">
            <v>41074</v>
          </cell>
        </row>
        <row r="647">
          <cell r="S647">
            <v>41075</v>
          </cell>
        </row>
        <row r="648">
          <cell r="S648">
            <v>41078</v>
          </cell>
        </row>
        <row r="649">
          <cell r="S649">
            <v>41079</v>
          </cell>
        </row>
        <row r="650">
          <cell r="S650">
            <v>41080</v>
          </cell>
        </row>
        <row r="651">
          <cell r="S651">
            <v>41081</v>
          </cell>
        </row>
        <row r="652">
          <cell r="S652">
            <v>41082</v>
          </cell>
        </row>
        <row r="653">
          <cell r="S653">
            <v>41085</v>
          </cell>
        </row>
        <row r="654">
          <cell r="S654">
            <v>41086</v>
          </cell>
        </row>
        <row r="655">
          <cell r="S655">
            <v>41087</v>
          </cell>
        </row>
        <row r="656">
          <cell r="S656">
            <v>41088</v>
          </cell>
        </row>
        <row r="657">
          <cell r="S657">
            <v>41089</v>
          </cell>
        </row>
        <row r="658">
          <cell r="S658">
            <v>41092</v>
          </cell>
        </row>
        <row r="659">
          <cell r="S659">
            <v>41093</v>
          </cell>
        </row>
        <row r="660">
          <cell r="S660">
            <v>41095</v>
          </cell>
        </row>
        <row r="661">
          <cell r="S661">
            <v>41096</v>
          </cell>
        </row>
        <row r="662">
          <cell r="S662">
            <v>41099</v>
          </cell>
        </row>
        <row r="663">
          <cell r="S663">
            <v>41100</v>
          </cell>
        </row>
        <row r="664">
          <cell r="S664">
            <v>41101</v>
          </cell>
        </row>
        <row r="665">
          <cell r="S665">
            <v>41102</v>
          </cell>
        </row>
        <row r="666">
          <cell r="S666">
            <v>41103</v>
          </cell>
        </row>
        <row r="667">
          <cell r="S667">
            <v>41106</v>
          </cell>
        </row>
        <row r="668">
          <cell r="S668">
            <v>41107</v>
          </cell>
        </row>
        <row r="669">
          <cell r="S669">
            <v>41108</v>
          </cell>
        </row>
        <row r="670">
          <cell r="S670">
            <v>41109</v>
          </cell>
        </row>
        <row r="671">
          <cell r="S671">
            <v>41110</v>
          </cell>
        </row>
        <row r="672">
          <cell r="S672">
            <v>41113</v>
          </cell>
        </row>
        <row r="673">
          <cell r="S673">
            <v>41114</v>
          </cell>
        </row>
        <row r="674">
          <cell r="S674">
            <v>41115</v>
          </cell>
        </row>
        <row r="675">
          <cell r="S675">
            <v>41116</v>
          </cell>
        </row>
        <row r="676">
          <cell r="S676">
            <v>41117</v>
          </cell>
        </row>
        <row r="677">
          <cell r="S677">
            <v>41120</v>
          </cell>
        </row>
        <row r="678">
          <cell r="S678">
            <v>41121</v>
          </cell>
        </row>
        <row r="679">
          <cell r="S679">
            <v>41122</v>
          </cell>
        </row>
        <row r="680">
          <cell r="S680">
            <v>41123</v>
          </cell>
        </row>
        <row r="681">
          <cell r="S681">
            <v>41124</v>
          </cell>
        </row>
        <row r="682">
          <cell r="S682">
            <v>41127</v>
          </cell>
        </row>
        <row r="683">
          <cell r="S683">
            <v>41128</v>
          </cell>
        </row>
        <row r="684">
          <cell r="S684">
            <v>41129</v>
          </cell>
        </row>
        <row r="685">
          <cell r="S685">
            <v>41130</v>
          </cell>
        </row>
        <row r="686">
          <cell r="S686">
            <v>41131</v>
          </cell>
        </row>
        <row r="687">
          <cell r="S687">
            <v>41134</v>
          </cell>
        </row>
        <row r="688">
          <cell r="S688">
            <v>41135</v>
          </cell>
        </row>
        <row r="689">
          <cell r="S689">
            <v>41136</v>
          </cell>
        </row>
        <row r="690">
          <cell r="S690">
            <v>41137</v>
          </cell>
        </row>
        <row r="691">
          <cell r="S691">
            <v>41138</v>
          </cell>
        </row>
        <row r="692">
          <cell r="S692">
            <v>41141</v>
          </cell>
        </row>
        <row r="693">
          <cell r="S693">
            <v>41142</v>
          </cell>
        </row>
        <row r="694">
          <cell r="S694">
            <v>41143</v>
          </cell>
        </row>
        <row r="695">
          <cell r="S695">
            <v>41144</v>
          </cell>
        </row>
        <row r="696">
          <cell r="S696">
            <v>41145</v>
          </cell>
        </row>
        <row r="697">
          <cell r="S697">
            <v>41148</v>
          </cell>
        </row>
        <row r="698">
          <cell r="S698">
            <v>41149</v>
          </cell>
        </row>
        <row r="699">
          <cell r="S699">
            <v>41150</v>
          </cell>
        </row>
        <row r="700">
          <cell r="S700">
            <v>41151</v>
          </cell>
        </row>
        <row r="701">
          <cell r="S701">
            <v>41152</v>
          </cell>
        </row>
        <row r="702">
          <cell r="S702">
            <v>41156</v>
          </cell>
        </row>
        <row r="703">
          <cell r="S703">
            <v>41157</v>
          </cell>
        </row>
        <row r="704">
          <cell r="S704">
            <v>41158</v>
          </cell>
        </row>
        <row r="705">
          <cell r="S705">
            <v>41159</v>
          </cell>
        </row>
        <row r="706">
          <cell r="S706">
            <v>41162</v>
          </cell>
        </row>
        <row r="707">
          <cell r="S707">
            <v>41163</v>
          </cell>
        </row>
        <row r="708">
          <cell r="S708">
            <v>41164</v>
          </cell>
        </row>
        <row r="709">
          <cell r="S709">
            <v>41165</v>
          </cell>
        </row>
        <row r="710">
          <cell r="S710">
            <v>41166</v>
          </cell>
        </row>
        <row r="711">
          <cell r="S711">
            <v>41169</v>
          </cell>
        </row>
        <row r="712">
          <cell r="S712">
            <v>41170</v>
          </cell>
        </row>
        <row r="713">
          <cell r="S713">
            <v>41171</v>
          </cell>
        </row>
        <row r="714">
          <cell r="S714">
            <v>41172</v>
          </cell>
        </row>
        <row r="715">
          <cell r="S715">
            <v>41173</v>
          </cell>
        </row>
        <row r="716">
          <cell r="S716">
            <v>41176</v>
          </cell>
        </row>
        <row r="717">
          <cell r="S717">
            <v>41177</v>
          </cell>
        </row>
        <row r="718">
          <cell r="S718">
            <v>41178</v>
          </cell>
        </row>
        <row r="719">
          <cell r="S719">
            <v>41179</v>
          </cell>
        </row>
        <row r="720">
          <cell r="S720">
            <v>41180</v>
          </cell>
        </row>
        <row r="721">
          <cell r="S721">
            <v>41183</v>
          </cell>
        </row>
        <row r="722">
          <cell r="S722">
            <v>41184</v>
          </cell>
        </row>
        <row r="723">
          <cell r="S723">
            <v>41185</v>
          </cell>
        </row>
        <row r="724">
          <cell r="S724">
            <v>41186</v>
          </cell>
        </row>
        <row r="725">
          <cell r="S725">
            <v>41187</v>
          </cell>
        </row>
        <row r="726">
          <cell r="S726">
            <v>41190</v>
          </cell>
        </row>
        <row r="727">
          <cell r="S727">
            <v>41191</v>
          </cell>
        </row>
        <row r="728">
          <cell r="S728">
            <v>41192</v>
          </cell>
        </row>
        <row r="729">
          <cell r="S729">
            <v>41193</v>
          </cell>
        </row>
        <row r="730">
          <cell r="S730">
            <v>41194</v>
          </cell>
        </row>
        <row r="731">
          <cell r="S731">
            <v>41197</v>
          </cell>
        </row>
        <row r="732">
          <cell r="S732">
            <v>41198</v>
          </cell>
        </row>
        <row r="733">
          <cell r="S733">
            <v>41199</v>
          </cell>
        </row>
        <row r="734">
          <cell r="S734">
            <v>41200</v>
          </cell>
        </row>
        <row r="735">
          <cell r="S735">
            <v>41201</v>
          </cell>
        </row>
        <row r="736">
          <cell r="S736">
            <v>41204</v>
          </cell>
        </row>
        <row r="737">
          <cell r="S737">
            <v>41205</v>
          </cell>
        </row>
        <row r="738">
          <cell r="S738">
            <v>41206</v>
          </cell>
        </row>
        <row r="739">
          <cell r="S739">
            <v>41207</v>
          </cell>
        </row>
        <row r="740">
          <cell r="S740">
            <v>41208</v>
          </cell>
        </row>
        <row r="741">
          <cell r="S741">
            <v>41213</v>
          </cell>
        </row>
        <row r="742">
          <cell r="S742">
            <v>41214</v>
          </cell>
        </row>
        <row r="743">
          <cell r="S743">
            <v>41215</v>
          </cell>
        </row>
        <row r="744">
          <cell r="S744">
            <v>41218</v>
          </cell>
        </row>
        <row r="745">
          <cell r="S745">
            <v>41219</v>
          </cell>
        </row>
        <row r="746">
          <cell r="S746">
            <v>41220</v>
          </cell>
        </row>
        <row r="747">
          <cell r="S747">
            <v>41221</v>
          </cell>
        </row>
        <row r="748">
          <cell r="S748">
            <v>41222</v>
          </cell>
        </row>
        <row r="749">
          <cell r="S749">
            <v>41225</v>
          </cell>
        </row>
        <row r="750">
          <cell r="S750">
            <v>41226</v>
          </cell>
        </row>
        <row r="751">
          <cell r="S751">
            <v>41227</v>
          </cell>
        </row>
        <row r="752">
          <cell r="S752">
            <v>41228</v>
          </cell>
        </row>
        <row r="753">
          <cell r="S753">
            <v>41229</v>
          </cell>
        </row>
        <row r="754">
          <cell r="S754">
            <v>41232</v>
          </cell>
        </row>
        <row r="755">
          <cell r="S755">
            <v>41233</v>
          </cell>
        </row>
        <row r="756">
          <cell r="S756">
            <v>41234</v>
          </cell>
        </row>
        <row r="757">
          <cell r="S757">
            <v>41236</v>
          </cell>
        </row>
        <row r="758">
          <cell r="S758">
            <v>41239</v>
          </cell>
        </row>
        <row r="759">
          <cell r="S759">
            <v>41240</v>
          </cell>
        </row>
        <row r="760">
          <cell r="S760">
            <v>41241</v>
          </cell>
        </row>
        <row r="761">
          <cell r="S761">
            <v>41242</v>
          </cell>
        </row>
        <row r="762">
          <cell r="S762">
            <v>41243</v>
          </cell>
        </row>
        <row r="763">
          <cell r="S763">
            <v>41246</v>
          </cell>
        </row>
        <row r="764">
          <cell r="S764">
            <v>41247</v>
          </cell>
        </row>
        <row r="765">
          <cell r="S765">
            <v>41248</v>
          </cell>
        </row>
        <row r="766">
          <cell r="S766">
            <v>41249</v>
          </cell>
        </row>
        <row r="767">
          <cell r="S767">
            <v>41250</v>
          </cell>
        </row>
        <row r="768">
          <cell r="S768">
            <v>41253</v>
          </cell>
        </row>
        <row r="769">
          <cell r="S769">
            <v>41254</v>
          </cell>
        </row>
        <row r="770">
          <cell r="S770">
            <v>41255</v>
          </cell>
        </row>
        <row r="771">
          <cell r="S771">
            <v>41256</v>
          </cell>
        </row>
        <row r="772">
          <cell r="S772">
            <v>41257</v>
          </cell>
        </row>
        <row r="773">
          <cell r="S773">
            <v>41260</v>
          </cell>
        </row>
        <row r="774">
          <cell r="S774">
            <v>41261</v>
          </cell>
        </row>
        <row r="775">
          <cell r="S775">
            <v>41262</v>
          </cell>
        </row>
        <row r="776">
          <cell r="S776">
            <v>41263</v>
          </cell>
        </row>
        <row r="777">
          <cell r="S777">
            <v>41264</v>
          </cell>
        </row>
        <row r="778">
          <cell r="S778">
            <v>41267</v>
          </cell>
        </row>
        <row r="779">
          <cell r="S779">
            <v>41269</v>
          </cell>
        </row>
        <row r="780">
          <cell r="S780">
            <v>41270</v>
          </cell>
        </row>
        <row r="781">
          <cell r="S781">
            <v>41271</v>
          </cell>
        </row>
        <row r="782">
          <cell r="S782">
            <v>41274</v>
          </cell>
        </row>
        <row r="783">
          <cell r="S783">
            <v>41276</v>
          </cell>
        </row>
        <row r="784">
          <cell r="S784">
            <v>41277</v>
          </cell>
        </row>
        <row r="785">
          <cell r="S785">
            <v>41278</v>
          </cell>
        </row>
        <row r="786">
          <cell r="S786">
            <v>41281</v>
          </cell>
        </row>
        <row r="787">
          <cell r="S787">
            <v>41282</v>
          </cell>
        </row>
        <row r="788">
          <cell r="S788">
            <v>41283</v>
          </cell>
        </row>
        <row r="789">
          <cell r="S789">
            <v>41284</v>
          </cell>
        </row>
        <row r="790">
          <cell r="S790">
            <v>41285</v>
          </cell>
        </row>
        <row r="791">
          <cell r="S791">
            <v>41288</v>
          </cell>
        </row>
        <row r="792">
          <cell r="S792">
            <v>41289</v>
          </cell>
        </row>
        <row r="793">
          <cell r="S793">
            <v>41290</v>
          </cell>
        </row>
        <row r="794">
          <cell r="S794">
            <v>41291</v>
          </cell>
        </row>
        <row r="795">
          <cell r="S795">
            <v>41292</v>
          </cell>
        </row>
        <row r="796">
          <cell r="S796">
            <v>41296</v>
          </cell>
        </row>
        <row r="797">
          <cell r="S797">
            <v>41297</v>
          </cell>
        </row>
        <row r="798">
          <cell r="S798">
            <v>41298</v>
          </cell>
        </row>
        <row r="799">
          <cell r="S799">
            <v>41299</v>
          </cell>
        </row>
        <row r="800">
          <cell r="S800">
            <v>41302</v>
          </cell>
        </row>
        <row r="801">
          <cell r="S801">
            <v>41303</v>
          </cell>
        </row>
        <row r="802">
          <cell r="S802">
            <v>41304</v>
          </cell>
        </row>
        <row r="803">
          <cell r="S803">
            <v>41305</v>
          </cell>
        </row>
        <row r="804">
          <cell r="S804">
            <v>41306</v>
          </cell>
        </row>
        <row r="805">
          <cell r="S805">
            <v>41309</v>
          </cell>
        </row>
        <row r="806">
          <cell r="S806">
            <v>41310</v>
          </cell>
        </row>
        <row r="807">
          <cell r="S807">
            <v>41311</v>
          </cell>
        </row>
        <row r="808">
          <cell r="S808">
            <v>41312</v>
          </cell>
        </row>
        <row r="809">
          <cell r="S809">
            <v>41313</v>
          </cell>
        </row>
        <row r="810">
          <cell r="S810">
            <v>41316</v>
          </cell>
        </row>
        <row r="811">
          <cell r="S811">
            <v>41317</v>
          </cell>
        </row>
        <row r="812">
          <cell r="S812">
            <v>41318</v>
          </cell>
        </row>
        <row r="813">
          <cell r="S813">
            <v>41319</v>
          </cell>
        </row>
        <row r="814">
          <cell r="S814">
            <v>41320</v>
          </cell>
        </row>
        <row r="815">
          <cell r="S815">
            <v>41324</v>
          </cell>
        </row>
        <row r="816">
          <cell r="S816">
            <v>41325</v>
          </cell>
        </row>
        <row r="817">
          <cell r="S817">
            <v>41326</v>
          </cell>
        </row>
        <row r="818">
          <cell r="S818">
            <v>41327</v>
          </cell>
        </row>
        <row r="819">
          <cell r="S819">
            <v>41330</v>
          </cell>
        </row>
        <row r="820">
          <cell r="S820">
            <v>41331</v>
          </cell>
        </row>
        <row r="821">
          <cell r="S821">
            <v>41332</v>
          </cell>
        </row>
        <row r="822">
          <cell r="S822">
            <v>41333</v>
          </cell>
        </row>
        <row r="823">
          <cell r="S823">
            <v>41334</v>
          </cell>
        </row>
        <row r="824">
          <cell r="S824">
            <v>41337</v>
          </cell>
        </row>
        <row r="825">
          <cell r="S825">
            <v>41338</v>
          </cell>
        </row>
        <row r="826">
          <cell r="S826">
            <v>41339</v>
          </cell>
        </row>
        <row r="827">
          <cell r="S827">
            <v>41340</v>
          </cell>
        </row>
        <row r="828">
          <cell r="S828">
            <v>41341</v>
          </cell>
        </row>
        <row r="829">
          <cell r="S829">
            <v>41344</v>
          </cell>
        </row>
        <row r="830">
          <cell r="S830">
            <v>41345</v>
          </cell>
        </row>
        <row r="831">
          <cell r="S831">
            <v>41346</v>
          </cell>
        </row>
        <row r="832">
          <cell r="S832">
            <v>41347</v>
          </cell>
        </row>
        <row r="833">
          <cell r="S833">
            <v>41348</v>
          </cell>
        </row>
        <row r="834">
          <cell r="S834">
            <v>41351</v>
          </cell>
        </row>
        <row r="835">
          <cell r="S835">
            <v>41352</v>
          </cell>
        </row>
        <row r="836">
          <cell r="S836">
            <v>41353</v>
          </cell>
        </row>
        <row r="837">
          <cell r="S837">
            <v>41354</v>
          </cell>
        </row>
        <row r="838">
          <cell r="S838">
            <v>41355</v>
          </cell>
        </row>
        <row r="839">
          <cell r="S839">
            <v>41358</v>
          </cell>
        </row>
        <row r="840">
          <cell r="S840">
            <v>41359</v>
          </cell>
        </row>
        <row r="841">
          <cell r="S841">
            <v>41360</v>
          </cell>
        </row>
        <row r="842">
          <cell r="S842">
            <v>41361</v>
          </cell>
        </row>
        <row r="843">
          <cell r="S843">
            <v>41365</v>
          </cell>
        </row>
        <row r="844">
          <cell r="S844">
            <v>41366</v>
          </cell>
        </row>
        <row r="845">
          <cell r="S845">
            <v>41367</v>
          </cell>
        </row>
        <row r="846">
          <cell r="S846">
            <v>41368</v>
          </cell>
        </row>
        <row r="847">
          <cell r="S847">
            <v>41369</v>
          </cell>
        </row>
        <row r="848">
          <cell r="S848">
            <v>41372</v>
          </cell>
        </row>
        <row r="849">
          <cell r="S849">
            <v>41373</v>
          </cell>
        </row>
        <row r="850">
          <cell r="S850">
            <v>41374</v>
          </cell>
        </row>
        <row r="851">
          <cell r="S851">
            <v>41375</v>
          </cell>
        </row>
        <row r="852">
          <cell r="S852">
            <v>41376</v>
          </cell>
        </row>
        <row r="853">
          <cell r="S853">
            <v>41379</v>
          </cell>
        </row>
        <row r="854">
          <cell r="S854">
            <v>41380</v>
          </cell>
        </row>
        <row r="855">
          <cell r="S855">
            <v>41381</v>
          </cell>
        </row>
        <row r="856">
          <cell r="S856">
            <v>41382</v>
          </cell>
        </row>
        <row r="857">
          <cell r="S857">
            <v>41383</v>
          </cell>
        </row>
        <row r="858">
          <cell r="S858">
            <v>41386</v>
          </cell>
        </row>
        <row r="859">
          <cell r="S859">
            <v>41387</v>
          </cell>
        </row>
        <row r="860">
          <cell r="S860">
            <v>41388</v>
          </cell>
        </row>
        <row r="861">
          <cell r="S861">
            <v>41389</v>
          </cell>
        </row>
        <row r="862">
          <cell r="S862">
            <v>41390</v>
          </cell>
        </row>
        <row r="863">
          <cell r="S863">
            <v>41393</v>
          </cell>
        </row>
        <row r="864">
          <cell r="S864">
            <v>41394</v>
          </cell>
        </row>
        <row r="865">
          <cell r="S865">
            <v>41395</v>
          </cell>
        </row>
        <row r="866">
          <cell r="S866">
            <v>41396</v>
          </cell>
        </row>
        <row r="867">
          <cell r="S867">
            <v>41397</v>
          </cell>
        </row>
        <row r="868">
          <cell r="S868">
            <v>41400</v>
          </cell>
        </row>
        <row r="869">
          <cell r="S869">
            <v>41401</v>
          </cell>
        </row>
        <row r="870">
          <cell r="S870">
            <v>41402</v>
          </cell>
        </row>
        <row r="871">
          <cell r="S871">
            <v>41403</v>
          </cell>
        </row>
        <row r="872">
          <cell r="S872">
            <v>41404</v>
          </cell>
        </row>
        <row r="873">
          <cell r="S873">
            <v>41407</v>
          </cell>
        </row>
        <row r="874">
          <cell r="S874">
            <v>41408</v>
          </cell>
        </row>
        <row r="875">
          <cell r="S875">
            <v>41409</v>
          </cell>
        </row>
        <row r="876">
          <cell r="S876">
            <v>41410</v>
          </cell>
        </row>
        <row r="877">
          <cell r="S877">
            <v>41411</v>
          </cell>
        </row>
        <row r="878">
          <cell r="S878">
            <v>41414</v>
          </cell>
        </row>
        <row r="879">
          <cell r="S879">
            <v>41415</v>
          </cell>
        </row>
        <row r="880">
          <cell r="S880">
            <v>41416</v>
          </cell>
        </row>
        <row r="881">
          <cell r="S881">
            <v>41417</v>
          </cell>
        </row>
        <row r="882">
          <cell r="S882">
            <v>41418</v>
          </cell>
        </row>
        <row r="883">
          <cell r="S883">
            <v>41422</v>
          </cell>
        </row>
        <row r="884">
          <cell r="S884">
            <v>41423</v>
          </cell>
        </row>
        <row r="885">
          <cell r="S885">
            <v>41424</v>
          </cell>
        </row>
        <row r="886">
          <cell r="S886">
            <v>41425</v>
          </cell>
        </row>
        <row r="887">
          <cell r="S887">
            <v>41428</v>
          </cell>
        </row>
        <row r="888">
          <cell r="S888">
            <v>41429</v>
          </cell>
        </row>
        <row r="889">
          <cell r="S889">
            <v>41430</v>
          </cell>
        </row>
        <row r="890">
          <cell r="S890">
            <v>41431</v>
          </cell>
        </row>
        <row r="891">
          <cell r="S891">
            <v>41432</v>
          </cell>
        </row>
        <row r="892">
          <cell r="S892">
            <v>41435</v>
          </cell>
        </row>
        <row r="893">
          <cell r="S893">
            <v>41436</v>
          </cell>
        </row>
        <row r="894">
          <cell r="S894">
            <v>41437</v>
          </cell>
        </row>
        <row r="895">
          <cell r="S895">
            <v>41438</v>
          </cell>
        </row>
        <row r="896">
          <cell r="S896">
            <v>41439</v>
          </cell>
        </row>
        <row r="897">
          <cell r="S897">
            <v>41442</v>
          </cell>
        </row>
        <row r="898">
          <cell r="S898">
            <v>41443</v>
          </cell>
        </row>
        <row r="899">
          <cell r="S899">
            <v>41444</v>
          </cell>
        </row>
        <row r="900">
          <cell r="S900">
            <v>41445</v>
          </cell>
        </row>
        <row r="901">
          <cell r="S901">
            <v>41446</v>
          </cell>
        </row>
        <row r="902">
          <cell r="S902">
            <v>41449</v>
          </cell>
        </row>
        <row r="903">
          <cell r="S903">
            <v>41450</v>
          </cell>
        </row>
        <row r="904">
          <cell r="S904">
            <v>41451</v>
          </cell>
        </row>
        <row r="905">
          <cell r="S905">
            <v>41452</v>
          </cell>
        </row>
        <row r="906">
          <cell r="S906">
            <v>41453</v>
          </cell>
        </row>
        <row r="907">
          <cell r="S907">
            <v>41456</v>
          </cell>
        </row>
        <row r="908">
          <cell r="S908">
            <v>41457</v>
          </cell>
        </row>
        <row r="909">
          <cell r="S909">
            <v>41458</v>
          </cell>
        </row>
        <row r="910">
          <cell r="S910">
            <v>41460</v>
          </cell>
        </row>
        <row r="911">
          <cell r="S911">
            <v>41463</v>
          </cell>
        </row>
        <row r="912">
          <cell r="S912">
            <v>41464</v>
          </cell>
        </row>
        <row r="913">
          <cell r="S913">
            <v>41465</v>
          </cell>
        </row>
        <row r="914">
          <cell r="S914">
            <v>41466</v>
          </cell>
        </row>
        <row r="915">
          <cell r="S915">
            <v>41467</v>
          </cell>
        </row>
        <row r="916">
          <cell r="S916">
            <v>41470</v>
          </cell>
        </row>
        <row r="917">
          <cell r="S917">
            <v>41471</v>
          </cell>
        </row>
        <row r="918">
          <cell r="S918">
            <v>41472</v>
          </cell>
        </row>
        <row r="919">
          <cell r="S919">
            <v>41473</v>
          </cell>
        </row>
        <row r="920">
          <cell r="S920">
            <v>41474</v>
          </cell>
        </row>
        <row r="921">
          <cell r="S921">
            <v>41477</v>
          </cell>
        </row>
        <row r="922">
          <cell r="S922">
            <v>41478</v>
          </cell>
        </row>
        <row r="923">
          <cell r="S923">
            <v>41479</v>
          </cell>
        </row>
        <row r="924">
          <cell r="S924">
            <v>41480</v>
          </cell>
        </row>
        <row r="925">
          <cell r="S925">
            <v>41481</v>
          </cell>
        </row>
        <row r="926">
          <cell r="S926">
            <v>41484</v>
          </cell>
        </row>
        <row r="927">
          <cell r="S927">
            <v>41485</v>
          </cell>
        </row>
        <row r="928">
          <cell r="S928">
            <v>41486</v>
          </cell>
        </row>
        <row r="929">
          <cell r="S929">
            <v>41487</v>
          </cell>
        </row>
        <row r="930">
          <cell r="S930">
            <v>41488</v>
          </cell>
        </row>
        <row r="931">
          <cell r="S931">
            <v>41491</v>
          </cell>
        </row>
        <row r="932">
          <cell r="S932">
            <v>41492</v>
          </cell>
        </row>
        <row r="933">
          <cell r="S933">
            <v>41493</v>
          </cell>
        </row>
        <row r="934">
          <cell r="S934">
            <v>41494</v>
          </cell>
        </row>
        <row r="935">
          <cell r="S935">
            <v>41495</v>
          </cell>
        </row>
        <row r="936">
          <cell r="S936">
            <v>41498</v>
          </cell>
        </row>
        <row r="937">
          <cell r="S937">
            <v>41499</v>
          </cell>
        </row>
        <row r="938">
          <cell r="S938">
            <v>41500</v>
          </cell>
        </row>
        <row r="939">
          <cell r="S939">
            <v>41501</v>
          </cell>
        </row>
        <row r="940">
          <cell r="S940">
            <v>41502</v>
          </cell>
        </row>
        <row r="941">
          <cell r="S941">
            <v>41505</v>
          </cell>
        </row>
        <row r="942">
          <cell r="S942">
            <v>41506</v>
          </cell>
        </row>
        <row r="943">
          <cell r="S943">
            <v>41507</v>
          </cell>
        </row>
        <row r="944">
          <cell r="S944">
            <v>41508</v>
          </cell>
        </row>
        <row r="945">
          <cell r="S945">
            <v>41509</v>
          </cell>
        </row>
        <row r="946">
          <cell r="S946">
            <v>41512</v>
          </cell>
        </row>
        <row r="947">
          <cell r="S947">
            <v>41513</v>
          </cell>
        </row>
        <row r="948">
          <cell r="S948">
            <v>41514</v>
          </cell>
        </row>
        <row r="949">
          <cell r="S949">
            <v>41515</v>
          </cell>
        </row>
        <row r="950">
          <cell r="S950">
            <v>41516</v>
          </cell>
        </row>
        <row r="951">
          <cell r="S951">
            <v>41520</v>
          </cell>
        </row>
        <row r="952">
          <cell r="S952">
            <v>41521</v>
          </cell>
        </row>
        <row r="953">
          <cell r="S953">
            <v>41522</v>
          </cell>
        </row>
        <row r="954">
          <cell r="S954">
            <v>41523</v>
          </cell>
        </row>
        <row r="955">
          <cell r="S955">
            <v>41526</v>
          </cell>
        </row>
        <row r="956">
          <cell r="S956">
            <v>41527</v>
          </cell>
        </row>
        <row r="957">
          <cell r="S957">
            <v>41528</v>
          </cell>
        </row>
        <row r="958">
          <cell r="S958">
            <v>41529</v>
          </cell>
        </row>
        <row r="959">
          <cell r="S959">
            <v>41530</v>
          </cell>
        </row>
        <row r="960">
          <cell r="S960">
            <v>41533</v>
          </cell>
        </row>
        <row r="961">
          <cell r="S961">
            <v>41534</v>
          </cell>
        </row>
        <row r="962">
          <cell r="S962">
            <v>41535</v>
          </cell>
        </row>
        <row r="963">
          <cell r="S963">
            <v>41536</v>
          </cell>
        </row>
        <row r="964">
          <cell r="S964">
            <v>41537</v>
          </cell>
        </row>
        <row r="965">
          <cell r="S965">
            <v>41540</v>
          </cell>
        </row>
        <row r="966">
          <cell r="S966">
            <v>41541</v>
          </cell>
        </row>
        <row r="967">
          <cell r="S967">
            <v>41542</v>
          </cell>
        </row>
        <row r="968">
          <cell r="S968">
            <v>41543</v>
          </cell>
        </row>
        <row r="969">
          <cell r="S969">
            <v>41544</v>
          </cell>
        </row>
        <row r="970">
          <cell r="S970">
            <v>41547</v>
          </cell>
        </row>
        <row r="971">
          <cell r="S971">
            <v>41548</v>
          </cell>
        </row>
        <row r="972">
          <cell r="S972">
            <v>41549</v>
          </cell>
        </row>
        <row r="973">
          <cell r="S973">
            <v>41550</v>
          </cell>
        </row>
        <row r="974">
          <cell r="S974">
            <v>41551</v>
          </cell>
        </row>
        <row r="975">
          <cell r="S975">
            <v>41554</v>
          </cell>
        </row>
        <row r="976">
          <cell r="S976">
            <v>41555</v>
          </cell>
        </row>
        <row r="977">
          <cell r="S977">
            <v>41556</v>
          </cell>
        </row>
        <row r="978">
          <cell r="S978">
            <v>41557</v>
          </cell>
        </row>
        <row r="979">
          <cell r="S979">
            <v>41558</v>
          </cell>
        </row>
        <row r="980">
          <cell r="S980">
            <v>41561</v>
          </cell>
        </row>
        <row r="981">
          <cell r="S981">
            <v>41562</v>
          </cell>
        </row>
        <row r="982">
          <cell r="S982">
            <v>41563</v>
          </cell>
        </row>
        <row r="983">
          <cell r="S983">
            <v>41564</v>
          </cell>
        </row>
        <row r="984">
          <cell r="S984">
            <v>41565</v>
          </cell>
        </row>
        <row r="985">
          <cell r="S985">
            <v>41568</v>
          </cell>
        </row>
        <row r="986">
          <cell r="S986">
            <v>41569</v>
          </cell>
        </row>
        <row r="987">
          <cell r="S987">
            <v>41570</v>
          </cell>
        </row>
        <row r="988">
          <cell r="S988">
            <v>41571</v>
          </cell>
        </row>
        <row r="989">
          <cell r="S989">
            <v>41572</v>
          </cell>
        </row>
        <row r="990">
          <cell r="S990">
            <v>41575</v>
          </cell>
        </row>
        <row r="991">
          <cell r="S991">
            <v>41576</v>
          </cell>
        </row>
        <row r="992">
          <cell r="S992">
            <v>41577</v>
          </cell>
        </row>
        <row r="993">
          <cell r="S993">
            <v>41578</v>
          </cell>
        </row>
        <row r="994">
          <cell r="S994">
            <v>41579</v>
          </cell>
        </row>
        <row r="995">
          <cell r="S995">
            <v>41582</v>
          </cell>
        </row>
        <row r="996">
          <cell r="S996">
            <v>41583</v>
          </cell>
        </row>
        <row r="997">
          <cell r="S997">
            <v>41584</v>
          </cell>
        </row>
        <row r="998">
          <cell r="S998">
            <v>41585</v>
          </cell>
        </row>
        <row r="999">
          <cell r="S999">
            <v>41586</v>
          </cell>
        </row>
        <row r="1000">
          <cell r="S1000">
            <v>41589</v>
          </cell>
        </row>
        <row r="1001">
          <cell r="S1001">
            <v>41590</v>
          </cell>
        </row>
        <row r="1002">
          <cell r="S1002">
            <v>41591</v>
          </cell>
        </row>
        <row r="1003">
          <cell r="S1003">
            <v>41592</v>
          </cell>
        </row>
        <row r="1004">
          <cell r="S1004">
            <v>41593</v>
          </cell>
        </row>
        <row r="1005">
          <cell r="S1005">
            <v>41596</v>
          </cell>
        </row>
        <row r="1006">
          <cell r="S1006">
            <v>41597</v>
          </cell>
        </row>
        <row r="1007">
          <cell r="S1007">
            <v>41598</v>
          </cell>
        </row>
        <row r="1008">
          <cell r="S1008">
            <v>41599</v>
          </cell>
        </row>
        <row r="1009">
          <cell r="S1009">
            <v>41600</v>
          </cell>
        </row>
        <row r="1010">
          <cell r="S1010">
            <v>41603</v>
          </cell>
        </row>
        <row r="1011">
          <cell r="S1011">
            <v>41604</v>
          </cell>
        </row>
        <row r="1012">
          <cell r="S1012">
            <v>41605</v>
          </cell>
        </row>
        <row r="1013">
          <cell r="S1013">
            <v>41607</v>
          </cell>
        </row>
        <row r="1014">
          <cell r="S1014">
            <v>41610</v>
          </cell>
        </row>
        <row r="1015">
          <cell r="S1015">
            <v>41611</v>
          </cell>
        </row>
        <row r="1016">
          <cell r="S1016">
            <v>41612</v>
          </cell>
        </row>
        <row r="1017">
          <cell r="S1017">
            <v>41613</v>
          </cell>
        </row>
        <row r="1018">
          <cell r="S1018">
            <v>41614</v>
          </cell>
        </row>
        <row r="1019">
          <cell r="S1019">
            <v>41617</v>
          </cell>
        </row>
        <row r="1020">
          <cell r="S1020">
            <v>41618</v>
          </cell>
        </row>
        <row r="1021">
          <cell r="S1021">
            <v>41619</v>
          </cell>
        </row>
        <row r="1022">
          <cell r="S1022">
            <v>41620</v>
          </cell>
        </row>
        <row r="1023">
          <cell r="S1023">
            <v>41621</v>
          </cell>
        </row>
        <row r="1024">
          <cell r="S1024">
            <v>41624</v>
          </cell>
        </row>
        <row r="1025">
          <cell r="S1025">
            <v>41625</v>
          </cell>
        </row>
        <row r="1026">
          <cell r="S1026">
            <v>41626</v>
          </cell>
        </row>
        <row r="1027">
          <cell r="S1027">
            <v>41627</v>
          </cell>
        </row>
        <row r="1028">
          <cell r="S1028">
            <v>41628</v>
          </cell>
        </row>
        <row r="1029">
          <cell r="S1029">
            <v>41631</v>
          </cell>
        </row>
        <row r="1030">
          <cell r="S1030">
            <v>41632</v>
          </cell>
        </row>
        <row r="1031">
          <cell r="S1031">
            <v>41634</v>
          </cell>
        </row>
        <row r="1032">
          <cell r="S1032">
            <v>41635</v>
          </cell>
        </row>
        <row r="1033">
          <cell r="S1033">
            <v>41638</v>
          </cell>
        </row>
        <row r="1034">
          <cell r="S1034">
            <v>41639</v>
          </cell>
        </row>
        <row r="1035">
          <cell r="S1035">
            <v>41641</v>
          </cell>
        </row>
        <row r="1036">
          <cell r="S1036">
            <v>41642</v>
          </cell>
        </row>
        <row r="1037">
          <cell r="S1037">
            <v>41645</v>
          </cell>
        </row>
        <row r="1038">
          <cell r="S1038">
            <v>41646</v>
          </cell>
        </row>
        <row r="1039">
          <cell r="S1039">
            <v>41647</v>
          </cell>
        </row>
        <row r="1040">
          <cell r="S1040">
            <v>41648</v>
          </cell>
        </row>
        <row r="1041">
          <cell r="S1041">
            <v>41649</v>
          </cell>
        </row>
        <row r="1042">
          <cell r="S1042">
            <v>41652</v>
          </cell>
        </row>
        <row r="1043">
          <cell r="S1043">
            <v>41653</v>
          </cell>
        </row>
        <row r="1044">
          <cell r="S1044">
            <v>41654</v>
          </cell>
        </row>
        <row r="1045">
          <cell r="S1045">
            <v>41655</v>
          </cell>
        </row>
        <row r="1046">
          <cell r="S1046">
            <v>41656</v>
          </cell>
        </row>
        <row r="1047">
          <cell r="S1047">
            <v>41660</v>
          </cell>
        </row>
        <row r="1048">
          <cell r="S1048">
            <v>41661</v>
          </cell>
        </row>
        <row r="1049">
          <cell r="S1049">
            <v>41662</v>
          </cell>
        </row>
        <row r="1050">
          <cell r="S1050">
            <v>41663</v>
          </cell>
        </row>
        <row r="1051">
          <cell r="S1051">
            <v>41666</v>
          </cell>
        </row>
        <row r="1052">
          <cell r="S1052">
            <v>41667</v>
          </cell>
        </row>
        <row r="1053">
          <cell r="S1053">
            <v>41668</v>
          </cell>
        </row>
        <row r="1054">
          <cell r="S1054">
            <v>41669</v>
          </cell>
        </row>
        <row r="1055">
          <cell r="S1055">
            <v>41670</v>
          </cell>
        </row>
        <row r="1056">
          <cell r="S1056">
            <v>41673</v>
          </cell>
        </row>
        <row r="1057">
          <cell r="S1057">
            <v>41674</v>
          </cell>
        </row>
        <row r="1058">
          <cell r="S1058">
            <v>41675</v>
          </cell>
        </row>
        <row r="1059">
          <cell r="S1059">
            <v>41676</v>
          </cell>
        </row>
        <row r="1060">
          <cell r="S1060">
            <v>41677</v>
          </cell>
        </row>
        <row r="1061">
          <cell r="S1061">
            <v>41680</v>
          </cell>
        </row>
        <row r="1062">
          <cell r="S1062">
            <v>41681</v>
          </cell>
        </row>
        <row r="1063">
          <cell r="S1063">
            <v>41682</v>
          </cell>
        </row>
        <row r="1064">
          <cell r="S1064">
            <v>41683</v>
          </cell>
        </row>
        <row r="1065">
          <cell r="S1065">
            <v>41684</v>
          </cell>
        </row>
        <row r="1066">
          <cell r="S1066">
            <v>41688</v>
          </cell>
        </row>
        <row r="1067">
          <cell r="S1067">
            <v>41689</v>
          </cell>
        </row>
        <row r="1068">
          <cell r="S1068">
            <v>41690</v>
          </cell>
        </row>
        <row r="1069">
          <cell r="S1069">
            <v>41691</v>
          </cell>
        </row>
        <row r="1070">
          <cell r="S1070">
            <v>41694</v>
          </cell>
        </row>
        <row r="1071">
          <cell r="S1071">
            <v>41695</v>
          </cell>
        </row>
        <row r="1072">
          <cell r="S1072">
            <v>41696</v>
          </cell>
        </row>
        <row r="1073">
          <cell r="S1073">
            <v>41697</v>
          </cell>
        </row>
        <row r="1074">
          <cell r="S1074">
            <v>41698</v>
          </cell>
        </row>
        <row r="1075">
          <cell r="S1075">
            <v>41701</v>
          </cell>
        </row>
        <row r="1076">
          <cell r="S1076">
            <v>41702</v>
          </cell>
        </row>
        <row r="1077">
          <cell r="S1077">
            <v>41703</v>
          </cell>
        </row>
        <row r="1078">
          <cell r="S1078">
            <v>41704</v>
          </cell>
        </row>
        <row r="1079">
          <cell r="S1079">
            <v>41705</v>
          </cell>
        </row>
        <row r="1080">
          <cell r="S1080">
            <v>41708</v>
          </cell>
        </row>
        <row r="1081">
          <cell r="S1081">
            <v>41709</v>
          </cell>
        </row>
        <row r="1082">
          <cell r="S1082">
            <v>41710</v>
          </cell>
        </row>
        <row r="1083">
          <cell r="S1083">
            <v>41711</v>
          </cell>
        </row>
        <row r="1084">
          <cell r="S1084">
            <v>41712</v>
          </cell>
        </row>
        <row r="1085">
          <cell r="S1085">
            <v>41715</v>
          </cell>
        </row>
        <row r="1086">
          <cell r="S1086">
            <v>41716</v>
          </cell>
        </row>
        <row r="1087">
          <cell r="S1087">
            <v>41717</v>
          </cell>
        </row>
        <row r="1088">
          <cell r="S1088">
            <v>41718</v>
          </cell>
        </row>
        <row r="1089">
          <cell r="S1089">
            <v>41719</v>
          </cell>
        </row>
        <row r="1090">
          <cell r="S1090">
            <v>41722</v>
          </cell>
        </row>
        <row r="1091">
          <cell r="S1091">
            <v>41723</v>
          </cell>
        </row>
        <row r="1092">
          <cell r="S1092">
            <v>41724</v>
          </cell>
        </row>
        <row r="1093">
          <cell r="S1093">
            <v>41725</v>
          </cell>
        </row>
        <row r="1094">
          <cell r="S1094">
            <v>41726</v>
          </cell>
        </row>
        <row r="1095">
          <cell r="S1095">
            <v>41729</v>
          </cell>
        </row>
        <row r="1096">
          <cell r="S1096">
            <v>41730</v>
          </cell>
        </row>
        <row r="1097">
          <cell r="S1097">
            <v>41731</v>
          </cell>
        </row>
        <row r="1098">
          <cell r="S1098">
            <v>41732</v>
          </cell>
        </row>
        <row r="1099">
          <cell r="S1099">
            <v>41733</v>
          </cell>
        </row>
        <row r="1100">
          <cell r="S1100">
            <v>41736</v>
          </cell>
        </row>
        <row r="1101">
          <cell r="S1101">
            <v>41737</v>
          </cell>
        </row>
        <row r="1102">
          <cell r="S1102">
            <v>41738</v>
          </cell>
        </row>
        <row r="1103">
          <cell r="S1103">
            <v>41739</v>
          </cell>
        </row>
        <row r="1104">
          <cell r="S1104">
            <v>41740</v>
          </cell>
        </row>
        <row r="1105">
          <cell r="S1105">
            <v>41743</v>
          </cell>
        </row>
        <row r="1106">
          <cell r="S1106">
            <v>41744</v>
          </cell>
        </row>
        <row r="1107">
          <cell r="S1107">
            <v>41745</v>
          </cell>
        </row>
        <row r="1108">
          <cell r="S1108">
            <v>41746</v>
          </cell>
        </row>
        <row r="1109">
          <cell r="S1109">
            <v>41750</v>
          </cell>
        </row>
        <row r="1110">
          <cell r="S1110">
            <v>41751</v>
          </cell>
        </row>
        <row r="1111">
          <cell r="S1111">
            <v>41752</v>
          </cell>
        </row>
        <row r="1112">
          <cell r="S1112">
            <v>41753</v>
          </cell>
        </row>
        <row r="1113">
          <cell r="S1113">
            <v>41754</v>
          </cell>
        </row>
        <row r="1114">
          <cell r="S1114">
            <v>41757</v>
          </cell>
        </row>
        <row r="1115">
          <cell r="S1115">
            <v>41758</v>
          </cell>
        </row>
        <row r="1116">
          <cell r="S1116">
            <v>41759</v>
          </cell>
        </row>
        <row r="1117">
          <cell r="S1117">
            <v>41760</v>
          </cell>
        </row>
        <row r="1118">
          <cell r="S1118">
            <v>41761</v>
          </cell>
        </row>
        <row r="1119">
          <cell r="S1119">
            <v>41764</v>
          </cell>
        </row>
        <row r="1120">
          <cell r="S1120">
            <v>41765</v>
          </cell>
        </row>
        <row r="1121">
          <cell r="S1121">
            <v>41766</v>
          </cell>
        </row>
        <row r="1122">
          <cell r="S1122">
            <v>41767</v>
          </cell>
        </row>
        <row r="1123">
          <cell r="S1123">
            <v>41768</v>
          </cell>
        </row>
        <row r="1124">
          <cell r="S1124">
            <v>41771</v>
          </cell>
        </row>
        <row r="1125">
          <cell r="S1125">
            <v>41772</v>
          </cell>
        </row>
        <row r="1126">
          <cell r="S1126">
            <v>41773</v>
          </cell>
        </row>
        <row r="1127">
          <cell r="S1127">
            <v>41774</v>
          </cell>
        </row>
        <row r="1128">
          <cell r="S1128">
            <v>41775</v>
          </cell>
        </row>
        <row r="1129">
          <cell r="S1129">
            <v>41778</v>
          </cell>
        </row>
        <row r="1130">
          <cell r="S1130">
            <v>41779</v>
          </cell>
        </row>
        <row r="1131">
          <cell r="S1131">
            <v>41780</v>
          </cell>
        </row>
        <row r="1132">
          <cell r="S1132">
            <v>41781</v>
          </cell>
        </row>
        <row r="1133">
          <cell r="S1133">
            <v>41782</v>
          </cell>
        </row>
        <row r="1134">
          <cell r="S1134">
            <v>41786</v>
          </cell>
        </row>
        <row r="1135">
          <cell r="S1135">
            <v>41787</v>
          </cell>
        </row>
        <row r="1136">
          <cell r="S1136">
            <v>41788</v>
          </cell>
        </row>
        <row r="1137">
          <cell r="S1137">
            <v>41789</v>
          </cell>
        </row>
        <row r="1138">
          <cell r="S1138">
            <v>41792</v>
          </cell>
        </row>
        <row r="1139">
          <cell r="S1139">
            <v>41793</v>
          </cell>
        </row>
        <row r="1140">
          <cell r="S1140">
            <v>41794</v>
          </cell>
        </row>
        <row r="1141">
          <cell r="S1141">
            <v>41795</v>
          </cell>
        </row>
        <row r="1142">
          <cell r="S1142">
            <v>41796</v>
          </cell>
        </row>
        <row r="1143">
          <cell r="S1143">
            <v>41799</v>
          </cell>
        </row>
        <row r="1144">
          <cell r="S1144">
            <v>41800</v>
          </cell>
        </row>
        <row r="1145">
          <cell r="S1145">
            <v>41801</v>
          </cell>
        </row>
        <row r="1146">
          <cell r="S1146">
            <v>41802</v>
          </cell>
        </row>
        <row r="1147">
          <cell r="S1147">
            <v>41803</v>
          </cell>
        </row>
        <row r="1148">
          <cell r="S1148">
            <v>41806</v>
          </cell>
        </row>
        <row r="1149">
          <cell r="S1149">
            <v>41807</v>
          </cell>
        </row>
        <row r="1150">
          <cell r="S1150">
            <v>41808</v>
          </cell>
        </row>
        <row r="1151">
          <cell r="S1151">
            <v>41809</v>
          </cell>
        </row>
        <row r="1152">
          <cell r="S1152">
            <v>41810</v>
          </cell>
        </row>
        <row r="1153">
          <cell r="S1153">
            <v>41813</v>
          </cell>
        </row>
        <row r="1154">
          <cell r="S1154">
            <v>41814</v>
          </cell>
        </row>
        <row r="1155">
          <cell r="S1155">
            <v>41815</v>
          </cell>
        </row>
        <row r="1156">
          <cell r="S1156">
            <v>41816</v>
          </cell>
        </row>
        <row r="1157">
          <cell r="S1157">
            <v>41817</v>
          </cell>
        </row>
        <row r="1158">
          <cell r="S1158">
            <v>41820</v>
          </cell>
        </row>
        <row r="1159">
          <cell r="S1159">
            <v>41821</v>
          </cell>
        </row>
        <row r="1160">
          <cell r="S1160">
            <v>41822</v>
          </cell>
        </row>
        <row r="1161">
          <cell r="S1161">
            <v>41823</v>
          </cell>
        </row>
        <row r="1162">
          <cell r="S1162">
            <v>41827</v>
          </cell>
        </row>
        <row r="1163">
          <cell r="S1163">
            <v>41828</v>
          </cell>
        </row>
        <row r="1164">
          <cell r="S1164">
            <v>41829</v>
          </cell>
        </row>
        <row r="1165">
          <cell r="S1165">
            <v>41830</v>
          </cell>
        </row>
        <row r="1166">
          <cell r="S1166">
            <v>41831</v>
          </cell>
        </row>
        <row r="1167">
          <cell r="S1167">
            <v>41834</v>
          </cell>
        </row>
        <row r="1168">
          <cell r="S1168">
            <v>41835</v>
          </cell>
        </row>
        <row r="1169">
          <cell r="S1169">
            <v>41836</v>
          </cell>
        </row>
        <row r="1170">
          <cell r="S1170">
            <v>41837</v>
          </cell>
        </row>
        <row r="1171">
          <cell r="S1171">
            <v>41838</v>
          </cell>
        </row>
        <row r="1172">
          <cell r="S1172">
            <v>41841</v>
          </cell>
        </row>
        <row r="1173">
          <cell r="S1173">
            <v>41842</v>
          </cell>
        </row>
        <row r="1174">
          <cell r="S1174">
            <v>41843</v>
          </cell>
        </row>
        <row r="1175">
          <cell r="S1175">
            <v>41844</v>
          </cell>
        </row>
        <row r="1176">
          <cell r="S1176">
            <v>41845</v>
          </cell>
        </row>
        <row r="1177">
          <cell r="S1177">
            <v>41848</v>
          </cell>
        </row>
        <row r="1178">
          <cell r="S1178">
            <v>41849</v>
          </cell>
        </row>
        <row r="1179">
          <cell r="S1179">
            <v>41850</v>
          </cell>
        </row>
        <row r="1180">
          <cell r="S1180">
            <v>41851</v>
          </cell>
        </row>
        <row r="1181">
          <cell r="S1181">
            <v>41852</v>
          </cell>
        </row>
        <row r="1182">
          <cell r="S1182">
            <v>41855</v>
          </cell>
        </row>
        <row r="1183">
          <cell r="S1183">
            <v>41856</v>
          </cell>
        </row>
        <row r="1184">
          <cell r="S1184">
            <v>41857</v>
          </cell>
        </row>
        <row r="1185">
          <cell r="S1185">
            <v>41858</v>
          </cell>
        </row>
        <row r="1186">
          <cell r="S1186">
            <v>41859</v>
          </cell>
        </row>
        <row r="1187">
          <cell r="S1187">
            <v>41862</v>
          </cell>
        </row>
        <row r="1188">
          <cell r="S1188">
            <v>41863</v>
          </cell>
        </row>
        <row r="1189">
          <cell r="S1189">
            <v>41864</v>
          </cell>
        </row>
        <row r="1190">
          <cell r="S1190">
            <v>41865</v>
          </cell>
        </row>
        <row r="1191">
          <cell r="S1191">
            <v>41866</v>
          </cell>
        </row>
        <row r="1192">
          <cell r="S1192">
            <v>41869</v>
          </cell>
        </row>
        <row r="1193">
          <cell r="S1193">
            <v>41870</v>
          </cell>
        </row>
        <row r="1194">
          <cell r="S1194">
            <v>41871</v>
          </cell>
        </row>
        <row r="1195">
          <cell r="S1195">
            <v>41872</v>
          </cell>
        </row>
        <row r="1196">
          <cell r="S1196">
            <v>41873</v>
          </cell>
        </row>
        <row r="1197">
          <cell r="S1197">
            <v>41876</v>
          </cell>
        </row>
        <row r="1198">
          <cell r="S1198">
            <v>41877</v>
          </cell>
        </row>
        <row r="1199">
          <cell r="S1199">
            <v>41878</v>
          </cell>
        </row>
        <row r="1200">
          <cell r="S1200">
            <v>41879</v>
          </cell>
        </row>
        <row r="1201">
          <cell r="S1201">
            <v>41880</v>
          </cell>
        </row>
        <row r="1202">
          <cell r="S1202">
            <v>41884</v>
          </cell>
        </row>
        <row r="1203">
          <cell r="S1203">
            <v>41885</v>
          </cell>
        </row>
        <row r="1204">
          <cell r="S1204">
            <v>41886</v>
          </cell>
        </row>
        <row r="1205">
          <cell r="S1205">
            <v>41887</v>
          </cell>
        </row>
        <row r="1206">
          <cell r="S1206">
            <v>41890</v>
          </cell>
        </row>
        <row r="1207">
          <cell r="S1207">
            <v>41891</v>
          </cell>
        </row>
        <row r="1208">
          <cell r="S1208">
            <v>41892</v>
          </cell>
        </row>
        <row r="1209">
          <cell r="S1209">
            <v>41893</v>
          </cell>
        </row>
        <row r="1210">
          <cell r="S1210">
            <v>41894</v>
          </cell>
        </row>
        <row r="1211">
          <cell r="S1211">
            <v>41897</v>
          </cell>
        </row>
        <row r="1212">
          <cell r="S1212">
            <v>41898</v>
          </cell>
        </row>
        <row r="1213">
          <cell r="S1213">
            <v>41899</v>
          </cell>
        </row>
        <row r="1214">
          <cell r="S1214">
            <v>41900</v>
          </cell>
        </row>
        <row r="1215">
          <cell r="S1215">
            <v>41901</v>
          </cell>
        </row>
        <row r="1216">
          <cell r="S1216">
            <v>41904</v>
          </cell>
        </row>
        <row r="1217">
          <cell r="S1217">
            <v>41905</v>
          </cell>
        </row>
        <row r="1218">
          <cell r="S1218">
            <v>41906</v>
          </cell>
        </row>
        <row r="1219">
          <cell r="S1219">
            <v>41907</v>
          </cell>
        </row>
        <row r="1220">
          <cell r="S1220">
            <v>41908</v>
          </cell>
        </row>
        <row r="1221">
          <cell r="S1221">
            <v>41911</v>
          </cell>
        </row>
        <row r="1222">
          <cell r="S1222">
            <v>41912</v>
          </cell>
        </row>
        <row r="1223">
          <cell r="S1223">
            <v>41913</v>
          </cell>
        </row>
        <row r="1224">
          <cell r="S1224">
            <v>41914</v>
          </cell>
        </row>
        <row r="1225">
          <cell r="S1225">
            <v>41915</v>
          </cell>
        </row>
        <row r="1226">
          <cell r="S1226">
            <v>41918</v>
          </cell>
        </row>
        <row r="1227">
          <cell r="S1227">
            <v>41919</v>
          </cell>
        </row>
        <row r="1228">
          <cell r="S1228">
            <v>41920</v>
          </cell>
        </row>
        <row r="1229">
          <cell r="S1229">
            <v>41921</v>
          </cell>
        </row>
        <row r="1230">
          <cell r="S1230">
            <v>41922</v>
          </cell>
        </row>
        <row r="1231">
          <cell r="S1231">
            <v>41925</v>
          </cell>
        </row>
        <row r="1232">
          <cell r="S1232">
            <v>41926</v>
          </cell>
        </row>
        <row r="1233">
          <cell r="S1233">
            <v>41927</v>
          </cell>
        </row>
        <row r="1234">
          <cell r="S1234">
            <v>41928</v>
          </cell>
        </row>
        <row r="1235">
          <cell r="S1235">
            <v>41929</v>
          </cell>
        </row>
        <row r="1236">
          <cell r="S1236">
            <v>41932</v>
          </cell>
        </row>
        <row r="1237">
          <cell r="S1237">
            <v>41933</v>
          </cell>
        </row>
        <row r="1238">
          <cell r="S1238">
            <v>41934</v>
          </cell>
        </row>
        <row r="1239">
          <cell r="S1239">
            <v>41935</v>
          </cell>
        </row>
        <row r="1240">
          <cell r="S1240">
            <v>41936</v>
          </cell>
        </row>
        <row r="1241">
          <cell r="S1241">
            <v>41939</v>
          </cell>
        </row>
        <row r="1242">
          <cell r="S1242">
            <v>41940</v>
          </cell>
        </row>
        <row r="1243">
          <cell r="S1243">
            <v>41941</v>
          </cell>
        </row>
        <row r="1244">
          <cell r="S1244">
            <v>41942</v>
          </cell>
        </row>
        <row r="1245">
          <cell r="S1245">
            <v>41943</v>
          </cell>
        </row>
        <row r="1246">
          <cell r="S1246">
            <v>41946</v>
          </cell>
        </row>
        <row r="1247">
          <cell r="S1247">
            <v>41947</v>
          </cell>
        </row>
        <row r="1248">
          <cell r="S1248">
            <v>41948</v>
          </cell>
        </row>
        <row r="1249">
          <cell r="S1249">
            <v>41949</v>
          </cell>
        </row>
        <row r="1250">
          <cell r="S1250">
            <v>41950</v>
          </cell>
        </row>
        <row r="1251">
          <cell r="S1251">
            <v>41953</v>
          </cell>
        </row>
        <row r="1252">
          <cell r="S1252">
            <v>41954</v>
          </cell>
        </row>
        <row r="1253">
          <cell r="S1253">
            <v>41955</v>
          </cell>
        </row>
        <row r="1254">
          <cell r="S1254">
            <v>41956</v>
          </cell>
        </row>
        <row r="1255">
          <cell r="S1255">
            <v>41957</v>
          </cell>
        </row>
        <row r="1256">
          <cell r="S1256">
            <v>41960</v>
          </cell>
        </row>
        <row r="1257">
          <cell r="S1257">
            <v>41961</v>
          </cell>
        </row>
        <row r="1258">
          <cell r="S1258">
            <v>41962</v>
          </cell>
        </row>
        <row r="1259">
          <cell r="S1259">
            <v>41963</v>
          </cell>
        </row>
        <row r="1260">
          <cell r="S1260">
            <v>41964</v>
          </cell>
        </row>
        <row r="1261">
          <cell r="S1261">
            <v>41967</v>
          </cell>
        </row>
        <row r="1262">
          <cell r="S1262">
            <v>41968</v>
          </cell>
        </row>
        <row r="1263">
          <cell r="S1263">
            <v>41969</v>
          </cell>
        </row>
        <row r="1264">
          <cell r="S1264">
            <v>41971</v>
          </cell>
        </row>
        <row r="1265">
          <cell r="S1265">
            <v>41974</v>
          </cell>
        </row>
        <row r="1266">
          <cell r="S1266">
            <v>41975</v>
          </cell>
        </row>
        <row r="1267">
          <cell r="S1267">
            <v>41976</v>
          </cell>
        </row>
        <row r="1268">
          <cell r="S1268">
            <v>41977</v>
          </cell>
        </row>
        <row r="1269">
          <cell r="S1269">
            <v>41978</v>
          </cell>
        </row>
        <row r="1270">
          <cell r="S1270">
            <v>41981</v>
          </cell>
        </row>
        <row r="1271">
          <cell r="S1271">
            <v>41982</v>
          </cell>
        </row>
        <row r="1272">
          <cell r="S1272">
            <v>41983</v>
          </cell>
        </row>
        <row r="1273">
          <cell r="S1273">
            <v>41984</v>
          </cell>
        </row>
        <row r="1274">
          <cell r="S1274">
            <v>41985</v>
          </cell>
        </row>
        <row r="1275">
          <cell r="S1275">
            <v>41988</v>
          </cell>
        </row>
        <row r="1276">
          <cell r="S1276">
            <v>41989</v>
          </cell>
        </row>
        <row r="1277">
          <cell r="S1277">
            <v>41990</v>
          </cell>
        </row>
        <row r="1278">
          <cell r="S1278">
            <v>41991</v>
          </cell>
        </row>
        <row r="1279">
          <cell r="S1279">
            <v>41992</v>
          </cell>
        </row>
        <row r="1280">
          <cell r="S1280">
            <v>41995</v>
          </cell>
        </row>
        <row r="1281">
          <cell r="S1281">
            <v>41996</v>
          </cell>
        </row>
        <row r="1282">
          <cell r="S1282">
            <v>41997</v>
          </cell>
        </row>
        <row r="1283">
          <cell r="S1283">
            <v>41999</v>
          </cell>
        </row>
        <row r="1284">
          <cell r="S1284">
            <v>42002</v>
          </cell>
        </row>
        <row r="1285">
          <cell r="S1285">
            <v>42003</v>
          </cell>
        </row>
        <row r="1286">
          <cell r="S1286">
            <v>42004</v>
          </cell>
        </row>
        <row r="1287">
          <cell r="S1287">
            <v>42006</v>
          </cell>
        </row>
        <row r="1288">
          <cell r="S1288">
            <v>42009</v>
          </cell>
        </row>
        <row r="1289">
          <cell r="S1289">
            <v>42010</v>
          </cell>
        </row>
        <row r="1290">
          <cell r="S1290">
            <v>42011</v>
          </cell>
        </row>
        <row r="1291">
          <cell r="S1291">
            <v>42012</v>
          </cell>
        </row>
        <row r="1292">
          <cell r="S1292">
            <v>42013</v>
          </cell>
        </row>
        <row r="1293">
          <cell r="S1293">
            <v>42016</v>
          </cell>
        </row>
        <row r="1294">
          <cell r="S1294">
            <v>42017</v>
          </cell>
        </row>
        <row r="1295">
          <cell r="S1295">
            <v>42018</v>
          </cell>
        </row>
        <row r="1296">
          <cell r="S1296">
            <v>42019</v>
          </cell>
        </row>
        <row r="1297">
          <cell r="S1297">
            <v>42020</v>
          </cell>
        </row>
        <row r="1298">
          <cell r="S1298">
            <v>42024</v>
          </cell>
        </row>
        <row r="1299">
          <cell r="S1299">
            <v>42025</v>
          </cell>
        </row>
        <row r="1300">
          <cell r="S1300">
            <v>42026</v>
          </cell>
        </row>
        <row r="1301">
          <cell r="S1301">
            <v>42027</v>
          </cell>
        </row>
        <row r="1302">
          <cell r="S1302">
            <v>42030</v>
          </cell>
        </row>
        <row r="1303">
          <cell r="S1303">
            <v>42031</v>
          </cell>
        </row>
        <row r="1304">
          <cell r="S1304">
            <v>42032</v>
          </cell>
        </row>
        <row r="1305">
          <cell r="S1305">
            <v>42033</v>
          </cell>
        </row>
        <row r="1306">
          <cell r="S1306">
            <v>42034</v>
          </cell>
        </row>
        <row r="1307">
          <cell r="S1307">
            <v>42037</v>
          </cell>
        </row>
        <row r="1308">
          <cell r="S1308">
            <v>42038</v>
          </cell>
        </row>
        <row r="1309">
          <cell r="S1309">
            <v>42039</v>
          </cell>
        </row>
        <row r="1310">
          <cell r="S1310">
            <v>42040</v>
          </cell>
        </row>
        <row r="1311">
          <cell r="S1311">
            <v>42041</v>
          </cell>
        </row>
        <row r="1312">
          <cell r="S1312">
            <v>42044</v>
          </cell>
        </row>
        <row r="1313">
          <cell r="S1313">
            <v>42045</v>
          </cell>
        </row>
        <row r="1314">
          <cell r="S1314">
            <v>42046</v>
          </cell>
        </row>
        <row r="1315">
          <cell r="S1315">
            <v>42047</v>
          </cell>
        </row>
        <row r="1316">
          <cell r="S1316">
            <v>42048</v>
          </cell>
        </row>
        <row r="1317">
          <cell r="S1317">
            <v>42052</v>
          </cell>
        </row>
        <row r="1318">
          <cell r="S1318">
            <v>42053</v>
          </cell>
        </row>
        <row r="1319">
          <cell r="S1319">
            <v>42054</v>
          </cell>
        </row>
        <row r="1320">
          <cell r="S1320">
            <v>42055</v>
          </cell>
        </row>
        <row r="1321">
          <cell r="S1321">
            <v>42058</v>
          </cell>
        </row>
        <row r="1322">
          <cell r="S1322">
            <v>42059</v>
          </cell>
        </row>
        <row r="1323">
          <cell r="S1323">
            <v>42060</v>
          </cell>
        </row>
        <row r="1324">
          <cell r="S1324">
            <v>42061</v>
          </cell>
        </row>
        <row r="1325">
          <cell r="S1325">
            <v>42062</v>
          </cell>
        </row>
        <row r="1326">
          <cell r="S1326">
            <v>42065</v>
          </cell>
        </row>
        <row r="1327">
          <cell r="S1327">
            <v>42066</v>
          </cell>
        </row>
        <row r="1328">
          <cell r="S1328">
            <v>42067</v>
          </cell>
        </row>
        <row r="1329">
          <cell r="S1329">
            <v>42068</v>
          </cell>
        </row>
        <row r="1330">
          <cell r="S1330">
            <v>42069</v>
          </cell>
        </row>
        <row r="1331">
          <cell r="S1331">
            <v>42072</v>
          </cell>
        </row>
        <row r="1332">
          <cell r="S1332">
            <v>42073</v>
          </cell>
        </row>
        <row r="1333">
          <cell r="S1333">
            <v>42074</v>
          </cell>
        </row>
        <row r="1334">
          <cell r="S1334">
            <v>42075</v>
          </cell>
        </row>
        <row r="1335">
          <cell r="S1335">
            <v>42076</v>
          </cell>
        </row>
        <row r="1336">
          <cell r="S1336">
            <v>42079</v>
          </cell>
        </row>
        <row r="1337">
          <cell r="S1337">
            <v>42080</v>
          </cell>
        </row>
        <row r="1338">
          <cell r="S1338">
            <v>42081</v>
          </cell>
        </row>
        <row r="1339">
          <cell r="S1339">
            <v>42082</v>
          </cell>
        </row>
        <row r="1340">
          <cell r="S1340">
            <v>42083</v>
          </cell>
        </row>
        <row r="1341">
          <cell r="S1341">
            <v>42086</v>
          </cell>
        </row>
        <row r="1342">
          <cell r="S1342">
            <v>42087</v>
          </cell>
        </row>
        <row r="1343">
          <cell r="S1343">
            <v>42088</v>
          </cell>
        </row>
        <row r="1344">
          <cell r="S1344">
            <v>42089</v>
          </cell>
        </row>
        <row r="1345">
          <cell r="S1345">
            <v>42090</v>
          </cell>
        </row>
        <row r="1346">
          <cell r="S1346">
            <v>42093</v>
          </cell>
        </row>
        <row r="1347">
          <cell r="S1347">
            <v>42094</v>
          </cell>
        </row>
        <row r="1348">
          <cell r="S1348">
            <v>42095</v>
          </cell>
        </row>
        <row r="1349">
          <cell r="S1349">
            <v>42096</v>
          </cell>
        </row>
        <row r="1350">
          <cell r="S1350">
            <v>42100</v>
          </cell>
        </row>
        <row r="1351">
          <cell r="S1351">
            <v>42101</v>
          </cell>
        </row>
        <row r="1352">
          <cell r="S1352">
            <v>42102</v>
          </cell>
        </row>
        <row r="1353">
          <cell r="S1353">
            <v>42103</v>
          </cell>
        </row>
        <row r="1354">
          <cell r="S1354">
            <v>42104</v>
          </cell>
        </row>
        <row r="1355">
          <cell r="S1355">
            <v>42107</v>
          </cell>
        </row>
        <row r="1356">
          <cell r="S1356">
            <v>42108</v>
          </cell>
        </row>
        <row r="1357">
          <cell r="S1357">
            <v>42109</v>
          </cell>
        </row>
        <row r="1358">
          <cell r="S1358">
            <v>42110</v>
          </cell>
        </row>
        <row r="1359">
          <cell r="S1359">
            <v>42111</v>
          </cell>
        </row>
        <row r="1360">
          <cell r="S1360">
            <v>42114</v>
          </cell>
        </row>
        <row r="1361">
          <cell r="S1361">
            <v>42115</v>
          </cell>
        </row>
        <row r="1362">
          <cell r="S1362">
            <v>42116</v>
          </cell>
        </row>
        <row r="1363">
          <cell r="S1363">
            <v>42117</v>
          </cell>
        </row>
        <row r="1364">
          <cell r="S1364">
            <v>42118</v>
          </cell>
        </row>
        <row r="1365">
          <cell r="S1365">
            <v>42121</v>
          </cell>
        </row>
        <row r="1366">
          <cell r="S1366">
            <v>42122</v>
          </cell>
        </row>
        <row r="1367">
          <cell r="S1367">
            <v>42123</v>
          </cell>
        </row>
        <row r="1368">
          <cell r="S1368">
            <v>42124</v>
          </cell>
        </row>
        <row r="1369">
          <cell r="S1369">
            <v>42125</v>
          </cell>
        </row>
        <row r="1370">
          <cell r="S1370">
            <v>42128</v>
          </cell>
        </row>
        <row r="1371">
          <cell r="S1371">
            <v>42129</v>
          </cell>
        </row>
        <row r="1372">
          <cell r="S1372">
            <v>42130</v>
          </cell>
        </row>
        <row r="1373">
          <cell r="S1373">
            <v>42131</v>
          </cell>
        </row>
        <row r="1374">
          <cell r="S1374">
            <v>42132</v>
          </cell>
        </row>
        <row r="1375">
          <cell r="S1375">
            <v>42135</v>
          </cell>
        </row>
        <row r="1376">
          <cell r="S1376">
            <v>42136</v>
          </cell>
        </row>
        <row r="1377">
          <cell r="S1377">
            <v>42137</v>
          </cell>
        </row>
        <row r="1378">
          <cell r="S1378">
            <v>42138</v>
          </cell>
        </row>
        <row r="1379">
          <cell r="S1379">
            <v>42139</v>
          </cell>
        </row>
        <row r="1380">
          <cell r="S1380">
            <v>42142</v>
          </cell>
        </row>
        <row r="1381">
          <cell r="S1381">
            <v>42143</v>
          </cell>
        </row>
        <row r="1382">
          <cell r="S1382">
            <v>42144</v>
          </cell>
        </row>
        <row r="1383">
          <cell r="S1383">
            <v>42145</v>
          </cell>
        </row>
        <row r="1384">
          <cell r="S1384">
            <v>42146</v>
          </cell>
        </row>
        <row r="1385">
          <cell r="S1385">
            <v>42150</v>
          </cell>
        </row>
        <row r="1386">
          <cell r="S1386">
            <v>42151</v>
          </cell>
        </row>
        <row r="1387">
          <cell r="S1387">
            <v>42152</v>
          </cell>
        </row>
        <row r="1388">
          <cell r="S1388">
            <v>42153</v>
          </cell>
        </row>
        <row r="1389">
          <cell r="S1389">
            <v>42156</v>
          </cell>
        </row>
        <row r="1390">
          <cell r="S1390">
            <v>42157</v>
          </cell>
        </row>
        <row r="1391">
          <cell r="S1391">
            <v>42158</v>
          </cell>
        </row>
        <row r="1392">
          <cell r="S1392">
            <v>42159</v>
          </cell>
        </row>
        <row r="1393">
          <cell r="S1393">
            <v>42160</v>
          </cell>
        </row>
        <row r="1394">
          <cell r="S1394">
            <v>42163</v>
          </cell>
        </row>
        <row r="1395">
          <cell r="S1395">
            <v>42164</v>
          </cell>
        </row>
        <row r="1396">
          <cell r="S1396">
            <v>42165</v>
          </cell>
        </row>
        <row r="1397">
          <cell r="S1397">
            <v>42166</v>
          </cell>
        </row>
        <row r="1398">
          <cell r="S1398">
            <v>42167</v>
          </cell>
        </row>
        <row r="1399">
          <cell r="S1399">
            <v>42170</v>
          </cell>
        </row>
        <row r="1400">
          <cell r="S1400">
            <v>42171</v>
          </cell>
        </row>
        <row r="1401">
          <cell r="S1401">
            <v>42172</v>
          </cell>
        </row>
        <row r="1402">
          <cell r="S1402">
            <v>42173</v>
          </cell>
        </row>
        <row r="1403">
          <cell r="S1403">
            <v>42174</v>
          </cell>
        </row>
        <row r="1404">
          <cell r="S1404">
            <v>42177</v>
          </cell>
        </row>
        <row r="1405">
          <cell r="S1405">
            <v>42178</v>
          </cell>
        </row>
        <row r="1406">
          <cell r="S1406">
            <v>42179</v>
          </cell>
        </row>
        <row r="1407">
          <cell r="S1407">
            <v>42180</v>
          </cell>
        </row>
        <row r="1408">
          <cell r="S1408">
            <v>42181</v>
          </cell>
        </row>
        <row r="1409">
          <cell r="S1409">
            <v>42184</v>
          </cell>
        </row>
        <row r="1410">
          <cell r="S1410">
            <v>42185</v>
          </cell>
        </row>
        <row r="1411">
          <cell r="S1411">
            <v>42186</v>
          </cell>
        </row>
        <row r="1412">
          <cell r="S1412">
            <v>42187</v>
          </cell>
        </row>
        <row r="1413">
          <cell r="S1413">
            <v>42191</v>
          </cell>
        </row>
        <row r="1414">
          <cell r="S1414">
            <v>42192</v>
          </cell>
        </row>
        <row r="1415">
          <cell r="S1415">
            <v>42193</v>
          </cell>
        </row>
        <row r="1416">
          <cell r="S1416">
            <v>42194</v>
          </cell>
        </row>
        <row r="1417">
          <cell r="S1417">
            <v>42195</v>
          </cell>
        </row>
        <row r="1418">
          <cell r="S1418">
            <v>42198</v>
          </cell>
        </row>
        <row r="1419">
          <cell r="S1419">
            <v>42199</v>
          </cell>
        </row>
        <row r="1420">
          <cell r="S1420">
            <v>42200</v>
          </cell>
        </row>
        <row r="1421">
          <cell r="S1421">
            <v>42201</v>
          </cell>
        </row>
        <row r="1422">
          <cell r="S1422">
            <v>42202</v>
          </cell>
        </row>
        <row r="1423">
          <cell r="S1423">
            <v>42205</v>
          </cell>
        </row>
        <row r="1424">
          <cell r="S1424">
            <v>42206</v>
          </cell>
        </row>
        <row r="1425">
          <cell r="S1425">
            <v>42207</v>
          </cell>
        </row>
        <row r="1426">
          <cell r="S1426">
            <v>42208</v>
          </cell>
        </row>
        <row r="1427">
          <cell r="S1427">
            <v>42209</v>
          </cell>
        </row>
        <row r="1428">
          <cell r="S1428">
            <v>42212</v>
          </cell>
        </row>
        <row r="1429">
          <cell r="S1429">
            <v>42213</v>
          </cell>
        </row>
        <row r="1430">
          <cell r="S1430">
            <v>42214</v>
          </cell>
        </row>
        <row r="1431">
          <cell r="S1431">
            <v>42215</v>
          </cell>
        </row>
        <row r="1432">
          <cell r="S1432">
            <v>42216</v>
          </cell>
        </row>
        <row r="1433">
          <cell r="S1433">
            <v>42219</v>
          </cell>
        </row>
        <row r="1434">
          <cell r="S1434">
            <v>42220</v>
          </cell>
        </row>
        <row r="1435">
          <cell r="S1435">
            <v>42221</v>
          </cell>
        </row>
        <row r="1436">
          <cell r="S1436">
            <v>42222</v>
          </cell>
        </row>
        <row r="1437">
          <cell r="S1437">
            <v>42223</v>
          </cell>
        </row>
        <row r="1438">
          <cell r="S1438">
            <v>42226</v>
          </cell>
        </row>
        <row r="1439">
          <cell r="S1439">
            <v>42227</v>
          </cell>
        </row>
        <row r="1440">
          <cell r="S1440">
            <v>42228</v>
          </cell>
        </row>
        <row r="1441">
          <cell r="S1441">
            <v>42229</v>
          </cell>
        </row>
        <row r="1442">
          <cell r="S1442">
            <v>42230</v>
          </cell>
        </row>
        <row r="1443">
          <cell r="S1443">
            <v>42233</v>
          </cell>
        </row>
        <row r="1444">
          <cell r="S1444">
            <v>42234</v>
          </cell>
        </row>
        <row r="1445">
          <cell r="S1445">
            <v>42235</v>
          </cell>
        </row>
        <row r="1446">
          <cell r="S1446">
            <v>42236</v>
          </cell>
        </row>
        <row r="1447">
          <cell r="S1447">
            <v>42237</v>
          </cell>
        </row>
        <row r="1448">
          <cell r="S1448">
            <v>42240</v>
          </cell>
        </row>
        <row r="1449">
          <cell r="S1449">
            <v>42241</v>
          </cell>
        </row>
        <row r="1450">
          <cell r="S1450">
            <v>42242</v>
          </cell>
        </row>
        <row r="1451">
          <cell r="S1451">
            <v>42243</v>
          </cell>
        </row>
        <row r="1452">
          <cell r="S1452">
            <v>42244</v>
          </cell>
        </row>
        <row r="1453">
          <cell r="S1453">
            <v>42247</v>
          </cell>
        </row>
        <row r="1454">
          <cell r="S1454">
            <v>42248</v>
          </cell>
        </row>
        <row r="1455">
          <cell r="S1455">
            <v>42249</v>
          </cell>
        </row>
        <row r="1456">
          <cell r="S1456">
            <v>42250</v>
          </cell>
        </row>
        <row r="1457">
          <cell r="S1457">
            <v>42251</v>
          </cell>
        </row>
        <row r="1458">
          <cell r="S1458">
            <v>42255</v>
          </cell>
        </row>
        <row r="1459">
          <cell r="S1459">
            <v>42256</v>
          </cell>
        </row>
        <row r="1460">
          <cell r="S1460">
            <v>42257</v>
          </cell>
        </row>
        <row r="1461">
          <cell r="S1461">
            <v>42258</v>
          </cell>
        </row>
        <row r="1462">
          <cell r="S1462">
            <v>42261</v>
          </cell>
        </row>
        <row r="1463">
          <cell r="S1463">
            <v>42262</v>
          </cell>
        </row>
        <row r="1464">
          <cell r="S1464">
            <v>42263</v>
          </cell>
        </row>
        <row r="1465">
          <cell r="S1465">
            <v>42264</v>
          </cell>
        </row>
        <row r="1466">
          <cell r="S1466">
            <v>42265</v>
          </cell>
        </row>
        <row r="1467">
          <cell r="S1467">
            <v>42268</v>
          </cell>
        </row>
        <row r="1468">
          <cell r="S1468">
            <v>42269</v>
          </cell>
        </row>
        <row r="1469">
          <cell r="S1469">
            <v>42270</v>
          </cell>
        </row>
        <row r="1470">
          <cell r="S1470">
            <v>42271</v>
          </cell>
        </row>
        <row r="1471">
          <cell r="S1471">
            <v>42272</v>
          </cell>
        </row>
        <row r="1472">
          <cell r="S1472">
            <v>42275</v>
          </cell>
        </row>
        <row r="1473">
          <cell r="S1473">
            <v>42276</v>
          </cell>
        </row>
        <row r="1474">
          <cell r="S1474">
            <v>42277</v>
          </cell>
        </row>
        <row r="1475">
          <cell r="S1475">
            <v>42278</v>
          </cell>
        </row>
        <row r="1476">
          <cell r="S1476">
            <v>42279</v>
          </cell>
        </row>
        <row r="1477">
          <cell r="S1477">
            <v>42282</v>
          </cell>
        </row>
        <row r="1478">
          <cell r="S1478">
            <v>42283</v>
          </cell>
        </row>
        <row r="1479">
          <cell r="S1479">
            <v>42284</v>
          </cell>
        </row>
        <row r="1480">
          <cell r="S1480">
            <v>42285</v>
          </cell>
        </row>
        <row r="1481">
          <cell r="S1481">
            <v>42286</v>
          </cell>
        </row>
        <row r="1482">
          <cell r="S1482">
            <v>42289</v>
          </cell>
        </row>
        <row r="1483">
          <cell r="S1483">
            <v>42290</v>
          </cell>
        </row>
        <row r="1484">
          <cell r="S1484">
            <v>42291</v>
          </cell>
        </row>
        <row r="1485">
          <cell r="S1485">
            <v>42292</v>
          </cell>
        </row>
        <row r="1486">
          <cell r="S1486">
            <v>42293</v>
          </cell>
        </row>
        <row r="1487">
          <cell r="S1487">
            <v>42296</v>
          </cell>
        </row>
        <row r="1488">
          <cell r="S1488">
            <v>42297</v>
          </cell>
        </row>
        <row r="1489">
          <cell r="S1489">
            <v>42298</v>
          </cell>
        </row>
        <row r="1490">
          <cell r="S1490">
            <v>42299</v>
          </cell>
        </row>
        <row r="1491">
          <cell r="S1491">
            <v>42300</v>
          </cell>
        </row>
        <row r="1492">
          <cell r="S1492">
            <v>42303</v>
          </cell>
        </row>
        <row r="1493">
          <cell r="S1493">
            <v>42304</v>
          </cell>
        </row>
        <row r="1494">
          <cell r="S1494">
            <v>42305</v>
          </cell>
        </row>
        <row r="1495">
          <cell r="S1495">
            <v>42306</v>
          </cell>
        </row>
        <row r="1496">
          <cell r="S1496">
            <v>42307</v>
          </cell>
        </row>
        <row r="1497">
          <cell r="S1497">
            <v>42310</v>
          </cell>
        </row>
        <row r="1498">
          <cell r="S1498">
            <v>42311</v>
          </cell>
        </row>
        <row r="1499">
          <cell r="S1499">
            <v>42312</v>
          </cell>
        </row>
        <row r="1500">
          <cell r="S1500">
            <v>42313</v>
          </cell>
        </row>
        <row r="1501">
          <cell r="S1501">
            <v>42314</v>
          </cell>
        </row>
        <row r="1502">
          <cell r="S1502">
            <v>42317</v>
          </cell>
        </row>
        <row r="1503">
          <cell r="S1503">
            <v>42318</v>
          </cell>
        </row>
        <row r="1504">
          <cell r="S1504">
            <v>42319</v>
          </cell>
        </row>
        <row r="1505">
          <cell r="S1505">
            <v>42320</v>
          </cell>
        </row>
        <row r="1506">
          <cell r="S1506">
            <v>42321</v>
          </cell>
        </row>
        <row r="1507">
          <cell r="S1507">
            <v>42324</v>
          </cell>
        </row>
        <row r="1508">
          <cell r="S1508">
            <v>42325</v>
          </cell>
        </row>
        <row r="1509">
          <cell r="S1509">
            <v>42326</v>
          </cell>
        </row>
        <row r="1510">
          <cell r="S1510">
            <v>42327</v>
          </cell>
        </row>
        <row r="1511">
          <cell r="S1511">
            <v>42328</v>
          </cell>
        </row>
        <row r="1512">
          <cell r="S1512">
            <v>42331</v>
          </cell>
        </row>
        <row r="1513">
          <cell r="S1513">
            <v>42332</v>
          </cell>
        </row>
        <row r="1514">
          <cell r="S1514">
            <v>42333</v>
          </cell>
        </row>
        <row r="1515">
          <cell r="S1515">
            <v>42335</v>
          </cell>
        </row>
        <row r="1516">
          <cell r="S1516">
            <v>42338</v>
          </cell>
        </row>
        <row r="1517">
          <cell r="S1517">
            <v>42339</v>
          </cell>
        </row>
        <row r="1518">
          <cell r="S1518">
            <v>42340</v>
          </cell>
        </row>
        <row r="1519">
          <cell r="S1519">
            <v>42341</v>
          </cell>
        </row>
        <row r="1520">
          <cell r="S1520">
            <v>42342</v>
          </cell>
        </row>
        <row r="1521">
          <cell r="S1521">
            <v>42345</v>
          </cell>
        </row>
        <row r="1522">
          <cell r="S1522">
            <v>42346</v>
          </cell>
        </row>
        <row r="1523">
          <cell r="S1523">
            <v>42347</v>
          </cell>
        </row>
        <row r="1524">
          <cell r="S1524">
            <v>42348</v>
          </cell>
        </row>
        <row r="1525">
          <cell r="S1525">
            <v>42349</v>
          </cell>
        </row>
        <row r="1526">
          <cell r="S1526">
            <v>42352</v>
          </cell>
        </row>
        <row r="1527">
          <cell r="S1527">
            <v>42353</v>
          </cell>
        </row>
        <row r="1528">
          <cell r="S1528">
            <v>42354</v>
          </cell>
        </row>
        <row r="1529">
          <cell r="S1529">
            <v>42355</v>
          </cell>
        </row>
        <row r="1530">
          <cell r="S1530">
            <v>42356</v>
          </cell>
        </row>
        <row r="1531">
          <cell r="S1531">
            <v>42359</v>
          </cell>
        </row>
        <row r="1532">
          <cell r="S1532">
            <v>42360</v>
          </cell>
        </row>
        <row r="1533">
          <cell r="S1533">
            <v>42361</v>
          </cell>
        </row>
        <row r="1534">
          <cell r="S1534">
            <v>42362</v>
          </cell>
        </row>
        <row r="1535">
          <cell r="S1535">
            <v>42366</v>
          </cell>
        </row>
        <row r="1536">
          <cell r="S1536">
            <v>42367</v>
          </cell>
        </row>
        <row r="1537">
          <cell r="S1537">
            <v>42368</v>
          </cell>
        </row>
        <row r="1538">
          <cell r="S1538">
            <v>42369</v>
          </cell>
        </row>
        <row r="1539">
          <cell r="S1539">
            <v>42373</v>
          </cell>
        </row>
        <row r="1540">
          <cell r="S1540">
            <v>42374</v>
          </cell>
        </row>
        <row r="1541">
          <cell r="S1541">
            <v>42375</v>
          </cell>
        </row>
        <row r="1542">
          <cell r="S1542">
            <v>42376</v>
          </cell>
        </row>
        <row r="1543">
          <cell r="S1543">
            <v>42377</v>
          </cell>
        </row>
        <row r="1544">
          <cell r="S1544">
            <v>42380</v>
          </cell>
        </row>
        <row r="1545">
          <cell r="S1545">
            <v>42381</v>
          </cell>
        </row>
        <row r="1546">
          <cell r="S1546">
            <v>42382</v>
          </cell>
        </row>
        <row r="1547">
          <cell r="S1547">
            <v>42383</v>
          </cell>
        </row>
        <row r="1548">
          <cell r="S1548">
            <v>42384</v>
          </cell>
        </row>
        <row r="1549">
          <cell r="S1549">
            <v>42388</v>
          </cell>
        </row>
        <row r="1550">
          <cell r="S1550">
            <v>42389</v>
          </cell>
        </row>
        <row r="1551">
          <cell r="S1551">
            <v>42390</v>
          </cell>
        </row>
        <row r="1552">
          <cell r="S1552">
            <v>42391</v>
          </cell>
        </row>
        <row r="1553">
          <cell r="S1553">
            <v>42394</v>
          </cell>
        </row>
        <row r="1554">
          <cell r="S1554">
            <v>42395</v>
          </cell>
        </row>
        <row r="1555">
          <cell r="S1555">
            <v>42396</v>
          </cell>
        </row>
        <row r="1556">
          <cell r="S1556">
            <v>42397</v>
          </cell>
        </row>
        <row r="1557">
          <cell r="S1557">
            <v>42398</v>
          </cell>
        </row>
        <row r="1558">
          <cell r="S1558">
            <v>42401</v>
          </cell>
        </row>
        <row r="1559">
          <cell r="S1559">
            <v>42402</v>
          </cell>
        </row>
        <row r="1560">
          <cell r="S1560">
            <v>42403</v>
          </cell>
        </row>
        <row r="1561">
          <cell r="S1561">
            <v>42404</v>
          </cell>
        </row>
        <row r="1562">
          <cell r="S1562">
            <v>42405</v>
          </cell>
        </row>
        <row r="1563">
          <cell r="S1563">
            <v>42408</v>
          </cell>
        </row>
        <row r="1564">
          <cell r="S1564">
            <v>42409</v>
          </cell>
        </row>
        <row r="1565">
          <cell r="S1565">
            <v>42410</v>
          </cell>
        </row>
        <row r="1566">
          <cell r="S1566">
            <v>42411</v>
          </cell>
        </row>
        <row r="1567">
          <cell r="S1567">
            <v>42412</v>
          </cell>
        </row>
        <row r="1568">
          <cell r="S1568">
            <v>42416</v>
          </cell>
        </row>
        <row r="1569">
          <cell r="S1569">
            <v>42417</v>
          </cell>
        </row>
        <row r="1570">
          <cell r="S1570">
            <v>42418</v>
          </cell>
        </row>
        <row r="1571">
          <cell r="S1571">
            <v>42419</v>
          </cell>
        </row>
        <row r="1572">
          <cell r="S1572">
            <v>42422</v>
          </cell>
        </row>
        <row r="1573">
          <cell r="S1573">
            <v>42423</v>
          </cell>
        </row>
        <row r="1574">
          <cell r="S1574">
            <v>42424</v>
          </cell>
        </row>
        <row r="1575">
          <cell r="S1575">
            <v>42425</v>
          </cell>
        </row>
        <row r="1576">
          <cell r="S1576">
            <v>42426</v>
          </cell>
        </row>
        <row r="1577">
          <cell r="S1577">
            <v>42429</v>
          </cell>
        </row>
        <row r="1578">
          <cell r="S1578">
            <v>42430</v>
          </cell>
        </row>
        <row r="1579">
          <cell r="S1579">
            <v>42431</v>
          </cell>
        </row>
        <row r="1580">
          <cell r="S1580">
            <v>42432</v>
          </cell>
        </row>
        <row r="1581">
          <cell r="S1581">
            <v>42433</v>
          </cell>
        </row>
        <row r="1582">
          <cell r="S1582">
            <v>42436</v>
          </cell>
        </row>
        <row r="1583">
          <cell r="S1583">
            <v>42437</v>
          </cell>
        </row>
        <row r="1584">
          <cell r="S1584">
            <v>42438</v>
          </cell>
        </row>
        <row r="1585">
          <cell r="S1585">
            <v>42439</v>
          </cell>
        </row>
        <row r="1586">
          <cell r="S1586">
            <v>42440</v>
          </cell>
        </row>
        <row r="1587">
          <cell r="S1587">
            <v>42443</v>
          </cell>
        </row>
        <row r="1588">
          <cell r="S1588">
            <v>42444</v>
          </cell>
        </row>
        <row r="1589">
          <cell r="S1589">
            <v>42445</v>
          </cell>
        </row>
        <row r="1590">
          <cell r="S1590">
            <v>42446</v>
          </cell>
        </row>
        <row r="1591">
          <cell r="S1591">
            <v>42447</v>
          </cell>
        </row>
        <row r="1592">
          <cell r="S1592">
            <v>42450</v>
          </cell>
        </row>
        <row r="1593">
          <cell r="S1593">
            <v>42451</v>
          </cell>
        </row>
        <row r="1594">
          <cell r="S1594">
            <v>42452</v>
          </cell>
        </row>
        <row r="1595">
          <cell r="S1595">
            <v>42453</v>
          </cell>
        </row>
        <row r="1596">
          <cell r="S1596">
            <v>42457</v>
          </cell>
        </row>
        <row r="1597">
          <cell r="S1597">
            <v>42458</v>
          </cell>
        </row>
        <row r="1598">
          <cell r="S1598">
            <v>42459</v>
          </cell>
        </row>
        <row r="1599">
          <cell r="S1599">
            <v>42460</v>
          </cell>
        </row>
        <row r="1600">
          <cell r="S1600">
            <v>42461</v>
          </cell>
        </row>
        <row r="1601">
          <cell r="S1601">
            <v>42464</v>
          </cell>
        </row>
        <row r="1602">
          <cell r="S1602">
            <v>42465</v>
          </cell>
        </row>
        <row r="1603">
          <cell r="S1603">
            <v>42466</v>
          </cell>
        </row>
        <row r="1604">
          <cell r="S1604">
            <v>42467</v>
          </cell>
        </row>
        <row r="1605">
          <cell r="S1605">
            <v>42468</v>
          </cell>
        </row>
        <row r="1606">
          <cell r="S1606">
            <v>42471</v>
          </cell>
        </row>
        <row r="1607">
          <cell r="S1607">
            <v>42472</v>
          </cell>
        </row>
        <row r="1608">
          <cell r="S1608">
            <v>42473</v>
          </cell>
        </row>
        <row r="1609">
          <cell r="S1609">
            <v>42474</v>
          </cell>
        </row>
        <row r="1610">
          <cell r="S1610">
            <v>42475</v>
          </cell>
        </row>
        <row r="1611">
          <cell r="S1611">
            <v>42478</v>
          </cell>
        </row>
        <row r="1612">
          <cell r="S1612">
            <v>42479</v>
          </cell>
        </row>
        <row r="1613">
          <cell r="S1613">
            <v>42480</v>
          </cell>
        </row>
        <row r="1614">
          <cell r="S1614">
            <v>42481</v>
          </cell>
        </row>
        <row r="1615">
          <cell r="S1615">
            <v>42482</v>
          </cell>
        </row>
        <row r="1616">
          <cell r="S1616">
            <v>42485</v>
          </cell>
        </row>
        <row r="1617">
          <cell r="S1617">
            <v>42486</v>
          </cell>
        </row>
        <row r="1618">
          <cell r="S1618">
            <v>42487</v>
          </cell>
        </row>
        <row r="1619">
          <cell r="S1619">
            <v>42488</v>
          </cell>
        </row>
        <row r="1620">
          <cell r="S1620">
            <v>42489</v>
          </cell>
        </row>
        <row r="1621">
          <cell r="S1621">
            <v>42492</v>
          </cell>
        </row>
        <row r="1622">
          <cell r="S1622">
            <v>42493</v>
          </cell>
        </row>
        <row r="1623">
          <cell r="S1623">
            <v>42494</v>
          </cell>
        </row>
        <row r="1624">
          <cell r="S1624">
            <v>42495</v>
          </cell>
        </row>
        <row r="1625">
          <cell r="S1625">
            <v>42496</v>
          </cell>
        </row>
        <row r="1626">
          <cell r="S1626">
            <v>42499</v>
          </cell>
        </row>
        <row r="1627">
          <cell r="S1627">
            <v>42500</v>
          </cell>
        </row>
        <row r="1628">
          <cell r="S1628">
            <v>42501</v>
          </cell>
        </row>
        <row r="1629">
          <cell r="S1629">
            <v>42502</v>
          </cell>
        </row>
        <row r="1630">
          <cell r="S1630">
            <v>42503</v>
          </cell>
        </row>
        <row r="1631">
          <cell r="S1631">
            <v>42506</v>
          </cell>
        </row>
        <row r="1632">
          <cell r="S1632">
            <v>42507</v>
          </cell>
        </row>
        <row r="1633">
          <cell r="S1633">
            <v>42508</v>
          </cell>
        </row>
        <row r="1634">
          <cell r="S1634">
            <v>42509</v>
          </cell>
        </row>
        <row r="1635">
          <cell r="S1635">
            <v>42510</v>
          </cell>
        </row>
        <row r="1636">
          <cell r="S1636">
            <v>42513</v>
          </cell>
        </row>
        <row r="1637">
          <cell r="S1637">
            <v>42514</v>
          </cell>
        </row>
        <row r="1638">
          <cell r="S1638">
            <v>42515</v>
          </cell>
        </row>
        <row r="1639">
          <cell r="S1639">
            <v>42516</v>
          </cell>
        </row>
        <row r="1640">
          <cell r="S1640">
            <v>42517</v>
          </cell>
        </row>
        <row r="1641">
          <cell r="S1641">
            <v>42521</v>
          </cell>
        </row>
        <row r="1642">
          <cell r="S1642">
            <v>42522</v>
          </cell>
        </row>
        <row r="1643">
          <cell r="S1643">
            <v>42523</v>
          </cell>
        </row>
        <row r="1644">
          <cell r="S1644">
            <v>42524</v>
          </cell>
        </row>
        <row r="1645">
          <cell r="S1645">
            <v>42527</v>
          </cell>
        </row>
        <row r="1646">
          <cell r="S1646">
            <v>42528</v>
          </cell>
        </row>
        <row r="1647">
          <cell r="S1647">
            <v>42529</v>
          </cell>
        </row>
        <row r="1648">
          <cell r="S1648">
            <v>42530</v>
          </cell>
        </row>
        <row r="1649">
          <cell r="S1649">
            <v>42531</v>
          </cell>
        </row>
        <row r="1650">
          <cell r="S1650">
            <v>42534</v>
          </cell>
        </row>
        <row r="1651">
          <cell r="S1651">
            <v>42535</v>
          </cell>
        </row>
        <row r="1652">
          <cell r="S1652">
            <v>42536</v>
          </cell>
        </row>
        <row r="1653">
          <cell r="S1653">
            <v>42537</v>
          </cell>
        </row>
        <row r="1654">
          <cell r="S1654">
            <v>42538</v>
          </cell>
        </row>
        <row r="1655">
          <cell r="S1655">
            <v>42541</v>
          </cell>
        </row>
        <row r="1656">
          <cell r="S1656">
            <v>42542</v>
          </cell>
        </row>
        <row r="1657">
          <cell r="S1657">
            <v>42543</v>
          </cell>
        </row>
        <row r="1658">
          <cell r="S1658">
            <v>42544</v>
          </cell>
        </row>
        <row r="1659">
          <cell r="S1659">
            <v>42545</v>
          </cell>
        </row>
        <row r="1660">
          <cell r="S1660">
            <v>42548</v>
          </cell>
        </row>
        <row r="1661">
          <cell r="S1661">
            <v>42549</v>
          </cell>
        </row>
        <row r="1662">
          <cell r="S1662">
            <v>42550</v>
          </cell>
        </row>
        <row r="1663">
          <cell r="S1663">
            <v>42551</v>
          </cell>
        </row>
        <row r="1664">
          <cell r="S1664">
            <v>42552</v>
          </cell>
        </row>
        <row r="1665">
          <cell r="S1665">
            <v>42556</v>
          </cell>
        </row>
        <row r="1666">
          <cell r="S1666">
            <v>42557</v>
          </cell>
        </row>
        <row r="1667">
          <cell r="S1667">
            <v>42558</v>
          </cell>
        </row>
        <row r="1668">
          <cell r="S1668">
            <v>42559</v>
          </cell>
        </row>
        <row r="1669">
          <cell r="S1669">
            <v>42562</v>
          </cell>
        </row>
        <row r="1670">
          <cell r="S1670">
            <v>42563</v>
          </cell>
        </row>
        <row r="1671">
          <cell r="S1671">
            <v>42564</v>
          </cell>
        </row>
        <row r="1672">
          <cell r="S1672">
            <v>42565</v>
          </cell>
        </row>
        <row r="1673">
          <cell r="S1673">
            <v>42566</v>
          </cell>
        </row>
        <row r="1674">
          <cell r="S1674">
            <v>42569</v>
          </cell>
        </row>
        <row r="1675">
          <cell r="S1675">
            <v>42570</v>
          </cell>
        </row>
        <row r="1676">
          <cell r="S1676">
            <v>42571</v>
          </cell>
        </row>
        <row r="1677">
          <cell r="S1677">
            <v>42572</v>
          </cell>
        </row>
        <row r="1678">
          <cell r="S1678">
            <v>42573</v>
          </cell>
        </row>
        <row r="1679">
          <cell r="S1679">
            <v>42576</v>
          </cell>
        </row>
        <row r="1680">
          <cell r="S1680">
            <v>42577</v>
          </cell>
        </row>
        <row r="1681">
          <cell r="S1681">
            <v>42578</v>
          </cell>
        </row>
        <row r="1682">
          <cell r="S1682">
            <v>42579</v>
          </cell>
        </row>
        <row r="1683">
          <cell r="S1683">
            <v>42580</v>
          </cell>
        </row>
        <row r="1684">
          <cell r="S1684">
            <v>42583</v>
          </cell>
        </row>
        <row r="1685">
          <cell r="S1685">
            <v>42584</v>
          </cell>
        </row>
        <row r="1686">
          <cell r="S1686">
            <v>42585</v>
          </cell>
        </row>
        <row r="1687">
          <cell r="S1687">
            <v>42586</v>
          </cell>
        </row>
        <row r="1688">
          <cell r="S1688">
            <v>42587</v>
          </cell>
        </row>
        <row r="1689">
          <cell r="S1689">
            <v>42590</v>
          </cell>
        </row>
        <row r="1690">
          <cell r="S1690">
            <v>42591</v>
          </cell>
        </row>
        <row r="1691">
          <cell r="S1691">
            <v>42592</v>
          </cell>
        </row>
        <row r="1692">
          <cell r="S1692">
            <v>42593</v>
          </cell>
        </row>
        <row r="1693">
          <cell r="S1693">
            <v>42594</v>
          </cell>
        </row>
        <row r="1694">
          <cell r="S1694">
            <v>42597</v>
          </cell>
        </row>
        <row r="1695">
          <cell r="S1695">
            <v>42598</v>
          </cell>
        </row>
        <row r="1696">
          <cell r="S1696">
            <v>42599</v>
          </cell>
        </row>
        <row r="1697">
          <cell r="S1697">
            <v>42600</v>
          </cell>
        </row>
        <row r="1698">
          <cell r="S1698">
            <v>42601</v>
          </cell>
        </row>
        <row r="1699">
          <cell r="S1699">
            <v>42604</v>
          </cell>
        </row>
        <row r="1700">
          <cell r="S1700">
            <v>42605</v>
          </cell>
        </row>
        <row r="1701">
          <cell r="S1701">
            <v>42606</v>
          </cell>
        </row>
        <row r="1702">
          <cell r="S1702">
            <v>42607</v>
          </cell>
        </row>
        <row r="1703">
          <cell r="S1703">
            <v>42608</v>
          </cell>
        </row>
        <row r="1704">
          <cell r="S1704">
            <v>42611</v>
          </cell>
        </row>
        <row r="1705">
          <cell r="S1705">
            <v>42612</v>
          </cell>
        </row>
        <row r="1706">
          <cell r="S1706">
            <v>42613</v>
          </cell>
        </row>
        <row r="1707">
          <cell r="S1707">
            <v>42614</v>
          </cell>
        </row>
        <row r="1708">
          <cell r="S1708">
            <v>42615</v>
          </cell>
        </row>
        <row r="1709">
          <cell r="S1709">
            <v>42619</v>
          </cell>
        </row>
        <row r="1710">
          <cell r="S1710">
            <v>42620</v>
          </cell>
        </row>
        <row r="1711">
          <cell r="S1711">
            <v>42621</v>
          </cell>
        </row>
        <row r="1712">
          <cell r="S1712">
            <v>42622</v>
          </cell>
        </row>
        <row r="1713">
          <cell r="S1713">
            <v>42625</v>
          </cell>
        </row>
        <row r="1714">
          <cell r="S1714">
            <v>42626</v>
          </cell>
        </row>
        <row r="1715">
          <cell r="S1715">
            <v>42627</v>
          </cell>
        </row>
        <row r="1716">
          <cell r="S1716">
            <v>42628</v>
          </cell>
        </row>
        <row r="1717">
          <cell r="S1717">
            <v>42629</v>
          </cell>
        </row>
        <row r="1718">
          <cell r="S1718">
            <v>42632</v>
          </cell>
        </row>
        <row r="1719">
          <cell r="S1719">
            <v>42633</v>
          </cell>
        </row>
        <row r="1720">
          <cell r="S1720">
            <v>42634</v>
          </cell>
        </row>
        <row r="1721">
          <cell r="S1721">
            <v>42635</v>
          </cell>
        </row>
        <row r="1722">
          <cell r="S1722">
            <v>42636</v>
          </cell>
        </row>
        <row r="1723">
          <cell r="S1723">
            <v>42639</v>
          </cell>
        </row>
        <row r="1724">
          <cell r="S1724">
            <v>42640</v>
          </cell>
        </row>
        <row r="1725">
          <cell r="S1725">
            <v>42641</v>
          </cell>
        </row>
        <row r="1726">
          <cell r="S1726">
            <v>42642</v>
          </cell>
        </row>
        <row r="1727">
          <cell r="S1727">
            <v>42643</v>
          </cell>
        </row>
        <row r="1728">
          <cell r="S1728">
            <v>42646</v>
          </cell>
        </row>
        <row r="1729">
          <cell r="S1729">
            <v>42647</v>
          </cell>
        </row>
        <row r="1730">
          <cell r="S1730">
            <v>42648</v>
          </cell>
        </row>
        <row r="1731">
          <cell r="S1731">
            <v>42649</v>
          </cell>
        </row>
        <row r="1732">
          <cell r="S1732">
            <v>42650</v>
          </cell>
        </row>
        <row r="1733">
          <cell r="S1733">
            <v>42653</v>
          </cell>
        </row>
        <row r="1734">
          <cell r="S1734">
            <v>42654</v>
          </cell>
        </row>
        <row r="1735">
          <cell r="S1735">
            <v>42655</v>
          </cell>
        </row>
        <row r="1736">
          <cell r="S1736">
            <v>42656</v>
          </cell>
        </row>
        <row r="1737">
          <cell r="S1737">
            <v>42657</v>
          </cell>
        </row>
        <row r="1738">
          <cell r="S1738">
            <v>42660</v>
          </cell>
        </row>
        <row r="1739">
          <cell r="S1739">
            <v>42661</v>
          </cell>
        </row>
        <row r="1740">
          <cell r="S1740">
            <v>42662</v>
          </cell>
        </row>
        <row r="1741">
          <cell r="S1741">
            <v>42663</v>
          </cell>
        </row>
        <row r="1742">
          <cell r="S1742">
            <v>42664</v>
          </cell>
        </row>
        <row r="1743">
          <cell r="S1743">
            <v>42667</v>
          </cell>
        </row>
        <row r="1744">
          <cell r="S1744">
            <v>42668</v>
          </cell>
        </row>
        <row r="1745">
          <cell r="S1745">
            <v>42669</v>
          </cell>
        </row>
        <row r="1746">
          <cell r="S1746">
            <v>42670</v>
          </cell>
        </row>
        <row r="1747">
          <cell r="S1747">
            <v>42671</v>
          </cell>
        </row>
        <row r="1748">
          <cell r="S1748">
            <v>42674</v>
          </cell>
        </row>
        <row r="1749">
          <cell r="S1749">
            <v>42675</v>
          </cell>
        </row>
        <row r="1750">
          <cell r="S1750">
            <v>42676</v>
          </cell>
        </row>
        <row r="1751">
          <cell r="S1751">
            <v>42677</v>
          </cell>
        </row>
        <row r="1752">
          <cell r="S1752">
            <v>42678</v>
          </cell>
        </row>
        <row r="1753">
          <cell r="S1753">
            <v>42681</v>
          </cell>
        </row>
        <row r="1754">
          <cell r="S1754">
            <v>42682</v>
          </cell>
        </row>
        <row r="1755">
          <cell r="S1755">
            <v>42683</v>
          </cell>
        </row>
        <row r="1756">
          <cell r="S1756">
            <v>42684</v>
          </cell>
        </row>
        <row r="1757">
          <cell r="S1757">
            <v>42685</v>
          </cell>
        </row>
        <row r="1758">
          <cell r="S1758">
            <v>42688</v>
          </cell>
        </row>
        <row r="1759">
          <cell r="S1759">
            <v>42689</v>
          </cell>
        </row>
        <row r="1760">
          <cell r="S1760">
            <v>42690</v>
          </cell>
        </row>
        <row r="1761">
          <cell r="S1761">
            <v>42691</v>
          </cell>
        </row>
        <row r="1762">
          <cell r="S1762">
            <v>42692</v>
          </cell>
        </row>
        <row r="1763">
          <cell r="S1763">
            <v>42695</v>
          </cell>
        </row>
        <row r="1764">
          <cell r="S1764">
            <v>42696</v>
          </cell>
        </row>
        <row r="1765">
          <cell r="S1765">
            <v>42697</v>
          </cell>
        </row>
        <row r="1766">
          <cell r="S1766">
            <v>42699</v>
          </cell>
        </row>
        <row r="1767">
          <cell r="S1767">
            <v>42702</v>
          </cell>
        </row>
        <row r="1768">
          <cell r="S1768">
            <v>42703</v>
          </cell>
        </row>
        <row r="1769">
          <cell r="S1769">
            <v>42704</v>
          </cell>
        </row>
        <row r="1770">
          <cell r="S1770">
            <v>42705</v>
          </cell>
        </row>
        <row r="1771">
          <cell r="S1771">
            <v>42706</v>
          </cell>
        </row>
        <row r="1772">
          <cell r="S1772">
            <v>42709</v>
          </cell>
        </row>
        <row r="1773">
          <cell r="S1773">
            <v>42710</v>
          </cell>
        </row>
        <row r="1774">
          <cell r="S1774">
            <v>42711</v>
          </cell>
        </row>
        <row r="1775">
          <cell r="S1775">
            <v>42712</v>
          </cell>
        </row>
        <row r="1776">
          <cell r="S1776">
            <v>42713</v>
          </cell>
        </row>
        <row r="1777">
          <cell r="S1777">
            <v>42716</v>
          </cell>
        </row>
        <row r="1778">
          <cell r="S1778">
            <v>42717</v>
          </cell>
        </row>
        <row r="1779">
          <cell r="S1779">
            <v>42718</v>
          </cell>
        </row>
        <row r="1780">
          <cell r="S1780">
            <v>42719</v>
          </cell>
        </row>
        <row r="1781">
          <cell r="S1781">
            <v>42720</v>
          </cell>
        </row>
        <row r="1782">
          <cell r="S1782">
            <v>42723</v>
          </cell>
        </row>
        <row r="1783">
          <cell r="S1783">
            <v>42724</v>
          </cell>
        </row>
        <row r="1784">
          <cell r="S1784">
            <v>42725</v>
          </cell>
        </row>
        <row r="1785">
          <cell r="S1785">
            <v>42726</v>
          </cell>
        </row>
        <row r="1786">
          <cell r="S1786">
            <v>42727</v>
          </cell>
        </row>
        <row r="1787">
          <cell r="S1787">
            <v>42731</v>
          </cell>
        </row>
        <row r="1788">
          <cell r="S1788">
            <v>42732</v>
          </cell>
        </row>
        <row r="1789">
          <cell r="S1789">
            <v>42733</v>
          </cell>
        </row>
        <row r="1790">
          <cell r="S1790">
            <v>42734</v>
          </cell>
        </row>
        <row r="1791">
          <cell r="S1791">
            <v>42738</v>
          </cell>
        </row>
        <row r="1792">
          <cell r="S1792">
            <v>42739</v>
          </cell>
        </row>
        <row r="1793">
          <cell r="S1793">
            <v>42740</v>
          </cell>
        </row>
        <row r="1794">
          <cell r="S1794">
            <v>42741</v>
          </cell>
        </row>
        <row r="1795">
          <cell r="S1795">
            <v>42744</v>
          </cell>
        </row>
        <row r="1796">
          <cell r="S1796">
            <v>42745</v>
          </cell>
        </row>
        <row r="1797">
          <cell r="S1797">
            <v>42746</v>
          </cell>
        </row>
        <row r="1798">
          <cell r="S1798">
            <v>42747</v>
          </cell>
        </row>
        <row r="1799">
          <cell r="S1799">
            <v>42748</v>
          </cell>
        </row>
        <row r="1800">
          <cell r="S1800">
            <v>42752</v>
          </cell>
        </row>
        <row r="1801">
          <cell r="S1801">
            <v>42753</v>
          </cell>
        </row>
        <row r="1802">
          <cell r="S1802">
            <v>42754</v>
          </cell>
        </row>
        <row r="1803">
          <cell r="S1803">
            <v>42755</v>
          </cell>
        </row>
        <row r="1804">
          <cell r="S1804">
            <v>42758</v>
          </cell>
        </row>
        <row r="1805">
          <cell r="S1805">
            <v>42759</v>
          </cell>
        </row>
        <row r="1806">
          <cell r="S1806">
            <v>42760</v>
          </cell>
        </row>
        <row r="1807">
          <cell r="S1807">
            <v>42761</v>
          </cell>
        </row>
        <row r="1808">
          <cell r="S1808">
            <v>42762</v>
          </cell>
        </row>
        <row r="1809">
          <cell r="S1809">
            <v>42765</v>
          </cell>
        </row>
        <row r="1810">
          <cell r="S1810">
            <v>42766</v>
          </cell>
        </row>
        <row r="1811">
          <cell r="S1811">
            <v>42767</v>
          </cell>
        </row>
        <row r="1812">
          <cell r="S1812">
            <v>42768</v>
          </cell>
        </row>
        <row r="1813">
          <cell r="S1813">
            <v>42769</v>
          </cell>
        </row>
        <row r="1814">
          <cell r="S1814">
            <v>42772</v>
          </cell>
        </row>
        <row r="1815">
          <cell r="S1815">
            <v>42773</v>
          </cell>
        </row>
        <row r="1816">
          <cell r="S1816">
            <v>42774</v>
          </cell>
        </row>
        <row r="1817">
          <cell r="S1817">
            <v>42775</v>
          </cell>
        </row>
        <row r="1818">
          <cell r="S1818">
            <v>42776</v>
          </cell>
        </row>
        <row r="1819">
          <cell r="S1819">
            <v>42779</v>
          </cell>
        </row>
        <row r="1820">
          <cell r="S1820">
            <v>42780</v>
          </cell>
        </row>
        <row r="1821">
          <cell r="S1821">
            <v>42781</v>
          </cell>
        </row>
        <row r="1822">
          <cell r="S1822">
            <v>42782</v>
          </cell>
        </row>
        <row r="1823">
          <cell r="S1823">
            <v>42783</v>
          </cell>
        </row>
        <row r="1824">
          <cell r="S1824">
            <v>42787</v>
          </cell>
        </row>
        <row r="1825">
          <cell r="S1825">
            <v>42788</v>
          </cell>
        </row>
        <row r="1826">
          <cell r="S1826">
            <v>42789</v>
          </cell>
        </row>
        <row r="1827">
          <cell r="S1827">
            <v>42790</v>
          </cell>
        </row>
        <row r="1828">
          <cell r="S1828">
            <v>42793</v>
          </cell>
        </row>
        <row r="1829">
          <cell r="S1829">
            <v>42794</v>
          </cell>
        </row>
        <row r="1830">
          <cell r="S1830">
            <v>42795</v>
          </cell>
        </row>
        <row r="1831">
          <cell r="S1831">
            <v>42796</v>
          </cell>
        </row>
        <row r="1832">
          <cell r="S1832">
            <v>42797</v>
          </cell>
        </row>
        <row r="1833">
          <cell r="S1833">
            <v>42800</v>
          </cell>
        </row>
        <row r="1834">
          <cell r="S1834">
            <v>42801</v>
          </cell>
        </row>
        <row r="1835">
          <cell r="S1835">
            <v>42802</v>
          </cell>
        </row>
        <row r="1836">
          <cell r="S1836">
            <v>42803</v>
          </cell>
        </row>
        <row r="1837">
          <cell r="S1837">
            <v>42804</v>
          </cell>
        </row>
        <row r="1838">
          <cell r="S1838">
            <v>42807</v>
          </cell>
        </row>
        <row r="1839">
          <cell r="S1839">
            <v>42808</v>
          </cell>
        </row>
        <row r="1840">
          <cell r="S1840">
            <v>42809</v>
          </cell>
        </row>
        <row r="1841">
          <cell r="S1841">
            <v>42810</v>
          </cell>
        </row>
        <row r="1842">
          <cell r="S1842">
            <v>42811</v>
          </cell>
        </row>
        <row r="1843">
          <cell r="S1843">
            <v>42814</v>
          </cell>
        </row>
        <row r="1844">
          <cell r="S1844">
            <v>42815</v>
          </cell>
        </row>
        <row r="1845">
          <cell r="S1845">
            <v>42816</v>
          </cell>
        </row>
        <row r="1846">
          <cell r="S1846">
            <v>42817</v>
          </cell>
        </row>
        <row r="1847">
          <cell r="S1847">
            <v>42818</v>
          </cell>
        </row>
        <row r="1848">
          <cell r="S1848">
            <v>42821</v>
          </cell>
        </row>
        <row r="1849">
          <cell r="S1849">
            <v>42822</v>
          </cell>
        </row>
        <row r="1850">
          <cell r="S1850">
            <v>42823</v>
          </cell>
        </row>
        <row r="1851">
          <cell r="S1851">
            <v>42824</v>
          </cell>
        </row>
        <row r="1852">
          <cell r="S1852">
            <v>42825</v>
          </cell>
        </row>
        <row r="1853">
          <cell r="S1853">
            <v>42828</v>
          </cell>
        </row>
        <row r="1854">
          <cell r="S1854">
            <v>42829</v>
          </cell>
        </row>
        <row r="1855">
          <cell r="S1855">
            <v>42830</v>
          </cell>
        </row>
        <row r="1856">
          <cell r="S1856">
            <v>42831</v>
          </cell>
        </row>
        <row r="1857">
          <cell r="S1857">
            <v>42832</v>
          </cell>
        </row>
        <row r="1858">
          <cell r="S1858">
            <v>42835</v>
          </cell>
        </row>
        <row r="1859">
          <cell r="S1859">
            <v>42836</v>
          </cell>
        </row>
        <row r="1860">
          <cell r="S1860">
            <v>42837</v>
          </cell>
        </row>
        <row r="1861">
          <cell r="S1861">
            <v>42838</v>
          </cell>
        </row>
        <row r="1862">
          <cell r="S1862">
            <v>42842</v>
          </cell>
        </row>
        <row r="1863">
          <cell r="S1863">
            <v>42843</v>
          </cell>
        </row>
        <row r="1864">
          <cell r="S1864">
            <v>42844</v>
          </cell>
        </row>
        <row r="1865">
          <cell r="S1865">
            <v>42845</v>
          </cell>
        </row>
        <row r="1866">
          <cell r="S1866">
            <v>42846</v>
          </cell>
        </row>
        <row r="1867">
          <cell r="S1867">
            <v>42849</v>
          </cell>
        </row>
        <row r="1868">
          <cell r="S1868">
            <v>42850</v>
          </cell>
        </row>
        <row r="1869">
          <cell r="S1869">
            <v>42851</v>
          </cell>
        </row>
        <row r="1870">
          <cell r="S1870">
            <v>42852</v>
          </cell>
        </row>
        <row r="1871">
          <cell r="S1871">
            <v>42853</v>
          </cell>
        </row>
        <row r="1872">
          <cell r="S1872">
            <v>42856</v>
          </cell>
        </row>
        <row r="1873">
          <cell r="S1873">
            <v>42857</v>
          </cell>
        </row>
        <row r="1874">
          <cell r="S1874">
            <v>42858</v>
          </cell>
        </row>
        <row r="1875">
          <cell r="S1875">
            <v>42859</v>
          </cell>
        </row>
        <row r="1876">
          <cell r="S1876">
            <v>42860</v>
          </cell>
        </row>
        <row r="1877">
          <cell r="S1877">
            <v>42863</v>
          </cell>
        </row>
        <row r="1878">
          <cell r="S1878">
            <v>42864</v>
          </cell>
        </row>
        <row r="1879">
          <cell r="S1879">
            <v>42865</v>
          </cell>
        </row>
        <row r="1880">
          <cell r="S1880">
            <v>42866</v>
          </cell>
        </row>
        <row r="1881">
          <cell r="S1881">
            <v>42867</v>
          </cell>
        </row>
        <row r="1882">
          <cell r="S1882">
            <v>42870</v>
          </cell>
        </row>
        <row r="1883">
          <cell r="S1883">
            <v>42871</v>
          </cell>
        </row>
        <row r="1884">
          <cell r="S1884">
            <v>42872</v>
          </cell>
        </row>
        <row r="1885">
          <cell r="S1885">
            <v>42873</v>
          </cell>
        </row>
        <row r="1886">
          <cell r="S1886">
            <v>42874</v>
          </cell>
        </row>
        <row r="1887">
          <cell r="S1887">
            <v>42877</v>
          </cell>
        </row>
        <row r="1888">
          <cell r="S1888">
            <v>42878</v>
          </cell>
        </row>
        <row r="1889">
          <cell r="S1889">
            <v>42879</v>
          </cell>
        </row>
        <row r="1890">
          <cell r="S1890">
            <v>42880</v>
          </cell>
        </row>
        <row r="1891">
          <cell r="S1891">
            <v>42881</v>
          </cell>
        </row>
        <row r="1892">
          <cell r="S1892">
            <v>42885</v>
          </cell>
        </row>
        <row r="1893">
          <cell r="S1893">
            <v>42886</v>
          </cell>
        </row>
        <row r="1894">
          <cell r="S1894">
            <v>42887</v>
          </cell>
        </row>
        <row r="1895">
          <cell r="S1895">
            <v>42888</v>
          </cell>
        </row>
        <row r="1896">
          <cell r="S1896">
            <v>42891</v>
          </cell>
        </row>
        <row r="1897">
          <cell r="S1897">
            <v>42892</v>
          </cell>
        </row>
        <row r="1898">
          <cell r="S1898">
            <v>42893</v>
          </cell>
        </row>
        <row r="1899">
          <cell r="S1899">
            <v>42894</v>
          </cell>
        </row>
        <row r="1900">
          <cell r="S1900">
            <v>42895</v>
          </cell>
        </row>
        <row r="1901">
          <cell r="S1901">
            <v>42898</v>
          </cell>
        </row>
        <row r="1902">
          <cell r="S1902">
            <v>42899</v>
          </cell>
        </row>
        <row r="1903">
          <cell r="S1903">
            <v>42900</v>
          </cell>
        </row>
        <row r="1904">
          <cell r="S1904">
            <v>42901</v>
          </cell>
        </row>
        <row r="1905">
          <cell r="S1905">
            <v>42902</v>
          </cell>
        </row>
        <row r="1906">
          <cell r="S1906">
            <v>42905</v>
          </cell>
        </row>
        <row r="1907">
          <cell r="S1907">
            <v>42906</v>
          </cell>
        </row>
        <row r="1908">
          <cell r="S1908">
            <v>42907</v>
          </cell>
        </row>
        <row r="1909">
          <cell r="S1909">
            <v>42908</v>
          </cell>
        </row>
        <row r="1910">
          <cell r="S1910">
            <v>42909</v>
          </cell>
        </row>
        <row r="1911">
          <cell r="S1911">
            <v>42912</v>
          </cell>
        </row>
        <row r="1912">
          <cell r="S1912">
            <v>42913</v>
          </cell>
        </row>
        <row r="1913">
          <cell r="S1913">
            <v>42914</v>
          </cell>
        </row>
        <row r="1914">
          <cell r="S1914">
            <v>42915</v>
          </cell>
        </row>
        <row r="1915">
          <cell r="S1915">
            <v>42916</v>
          </cell>
        </row>
        <row r="1916">
          <cell r="S1916">
            <v>42919</v>
          </cell>
        </row>
        <row r="1917">
          <cell r="S1917">
            <v>42921</v>
          </cell>
        </row>
        <row r="1918">
          <cell r="S1918">
            <v>42922</v>
          </cell>
        </row>
        <row r="1919">
          <cell r="S1919">
            <v>42923</v>
          </cell>
        </row>
        <row r="1920">
          <cell r="S1920">
            <v>42926</v>
          </cell>
        </row>
        <row r="1921">
          <cell r="S1921">
            <v>42927</v>
          </cell>
        </row>
        <row r="1922">
          <cell r="S1922">
            <v>42928</v>
          </cell>
        </row>
        <row r="1923">
          <cell r="S1923">
            <v>42929</v>
          </cell>
        </row>
        <row r="1924">
          <cell r="S1924">
            <v>42930</v>
          </cell>
        </row>
        <row r="1925">
          <cell r="S1925">
            <v>42933</v>
          </cell>
        </row>
        <row r="1926">
          <cell r="S1926">
            <v>42934</v>
          </cell>
        </row>
        <row r="1927">
          <cell r="S1927">
            <v>42935</v>
          </cell>
        </row>
        <row r="1928">
          <cell r="S1928">
            <v>42936</v>
          </cell>
        </row>
        <row r="1929">
          <cell r="S1929">
            <v>42937</v>
          </cell>
        </row>
        <row r="1930">
          <cell r="S1930">
            <v>42940</v>
          </cell>
        </row>
        <row r="1931">
          <cell r="S1931">
            <v>42941</v>
          </cell>
        </row>
        <row r="1932">
          <cell r="S1932">
            <v>42942</v>
          </cell>
        </row>
        <row r="1933">
          <cell r="S1933">
            <v>42943</v>
          </cell>
        </row>
        <row r="1934">
          <cell r="S1934">
            <v>42944</v>
          </cell>
        </row>
        <row r="1935">
          <cell r="S1935">
            <v>42947</v>
          </cell>
        </row>
        <row r="1936">
          <cell r="S1936">
            <v>42948</v>
          </cell>
        </row>
        <row r="1937">
          <cell r="S1937">
            <v>42949</v>
          </cell>
        </row>
        <row r="1938">
          <cell r="S1938">
            <v>42950</v>
          </cell>
        </row>
        <row r="1939">
          <cell r="S1939">
            <v>42951</v>
          </cell>
        </row>
        <row r="1940">
          <cell r="S1940">
            <v>42954</v>
          </cell>
        </row>
        <row r="1941">
          <cell r="S1941">
            <v>42955</v>
          </cell>
        </row>
        <row r="1942">
          <cell r="S1942">
            <v>42956</v>
          </cell>
        </row>
        <row r="1943">
          <cell r="S1943">
            <v>42957</v>
          </cell>
        </row>
        <row r="1944">
          <cell r="S1944">
            <v>42958</v>
          </cell>
        </row>
        <row r="1945">
          <cell r="S1945">
            <v>42961</v>
          </cell>
        </row>
        <row r="1946">
          <cell r="S1946">
            <v>42962</v>
          </cell>
        </row>
        <row r="1947">
          <cell r="S1947">
            <v>42963</v>
          </cell>
        </row>
        <row r="1948">
          <cell r="S1948">
            <v>42964</v>
          </cell>
        </row>
        <row r="1949">
          <cell r="S1949">
            <v>42965</v>
          </cell>
        </row>
        <row r="1950">
          <cell r="S1950">
            <v>42968</v>
          </cell>
        </row>
        <row r="1951">
          <cell r="S1951">
            <v>42969</v>
          </cell>
        </row>
        <row r="1952">
          <cell r="S1952">
            <v>42970</v>
          </cell>
        </row>
        <row r="1953">
          <cell r="S1953">
            <v>42971</v>
          </cell>
        </row>
        <row r="1954">
          <cell r="S1954">
            <v>42972</v>
          </cell>
        </row>
        <row r="1955">
          <cell r="S1955">
            <v>42975</v>
          </cell>
        </row>
        <row r="1956">
          <cell r="S1956">
            <v>42976</v>
          </cell>
        </row>
        <row r="1957">
          <cell r="S1957">
            <v>42977</v>
          </cell>
        </row>
        <row r="1958">
          <cell r="S1958">
            <v>42978</v>
          </cell>
        </row>
        <row r="1959">
          <cell r="S1959">
            <v>42979</v>
          </cell>
        </row>
        <row r="1960">
          <cell r="S1960">
            <v>42983</v>
          </cell>
        </row>
        <row r="1961">
          <cell r="S1961">
            <v>42984</v>
          </cell>
        </row>
        <row r="1962">
          <cell r="S1962">
            <v>42985</v>
          </cell>
        </row>
        <row r="1963">
          <cell r="S1963">
            <v>42986</v>
          </cell>
        </row>
        <row r="1964">
          <cell r="S1964">
            <v>42989</v>
          </cell>
        </row>
        <row r="1965">
          <cell r="S1965">
            <v>42990</v>
          </cell>
        </row>
        <row r="1966">
          <cell r="S1966">
            <v>42991</v>
          </cell>
        </row>
        <row r="1967">
          <cell r="S1967">
            <v>42992</v>
          </cell>
        </row>
        <row r="1968">
          <cell r="S1968">
            <v>42993</v>
          </cell>
        </row>
        <row r="1969">
          <cell r="S1969">
            <v>42996</v>
          </cell>
        </row>
        <row r="1970">
          <cell r="S1970">
            <v>42997</v>
          </cell>
        </row>
        <row r="1971">
          <cell r="S1971">
            <v>42998</v>
          </cell>
        </row>
        <row r="1972">
          <cell r="S1972">
            <v>42999</v>
          </cell>
        </row>
        <row r="1973">
          <cell r="S1973">
            <v>43000</v>
          </cell>
        </row>
        <row r="1974">
          <cell r="S1974">
            <v>43003</v>
          </cell>
        </row>
        <row r="1975">
          <cell r="S1975">
            <v>43004</v>
          </cell>
        </row>
        <row r="1976">
          <cell r="S1976">
            <v>43005</v>
          </cell>
        </row>
        <row r="1977">
          <cell r="S1977">
            <v>43006</v>
          </cell>
        </row>
        <row r="1978">
          <cell r="S1978">
            <v>43007</v>
          </cell>
        </row>
        <row r="1979">
          <cell r="S1979">
            <v>43010</v>
          </cell>
        </row>
        <row r="1980">
          <cell r="S1980">
            <v>43011</v>
          </cell>
        </row>
        <row r="1981">
          <cell r="S1981">
            <v>43012</v>
          </cell>
        </row>
        <row r="1982">
          <cell r="S1982">
            <v>43013</v>
          </cell>
        </row>
        <row r="1983">
          <cell r="S1983">
            <v>43014</v>
          </cell>
        </row>
        <row r="1984">
          <cell r="S1984">
            <v>43017</v>
          </cell>
        </row>
        <row r="1985">
          <cell r="S1985">
            <v>43018</v>
          </cell>
        </row>
        <row r="1986">
          <cell r="S1986">
            <v>43019</v>
          </cell>
        </row>
        <row r="1987">
          <cell r="S1987">
            <v>43020</v>
          </cell>
        </row>
        <row r="1988">
          <cell r="S1988">
            <v>43021</v>
          </cell>
        </row>
        <row r="1989">
          <cell r="S1989">
            <v>43024</v>
          </cell>
        </row>
        <row r="1990">
          <cell r="S1990">
            <v>43025</v>
          </cell>
        </row>
        <row r="1991">
          <cell r="S1991">
            <v>43026</v>
          </cell>
        </row>
        <row r="1992">
          <cell r="S1992">
            <v>43027</v>
          </cell>
        </row>
        <row r="1993">
          <cell r="S1993">
            <v>43028</v>
          </cell>
        </row>
        <row r="1994">
          <cell r="S1994">
            <v>43031</v>
          </cell>
        </row>
        <row r="1995">
          <cell r="S1995">
            <v>43032</v>
          </cell>
        </row>
        <row r="1996">
          <cell r="S1996">
            <v>43033</v>
          </cell>
        </row>
        <row r="1997">
          <cell r="S1997">
            <v>43034</v>
          </cell>
        </row>
        <row r="1998">
          <cell r="S1998">
            <v>43035</v>
          </cell>
        </row>
        <row r="1999">
          <cell r="S1999">
            <v>43038</v>
          </cell>
        </row>
        <row r="2000">
          <cell r="S2000">
            <v>43039</v>
          </cell>
        </row>
        <row r="2001">
          <cell r="S2001">
            <v>43040</v>
          </cell>
        </row>
        <row r="2002">
          <cell r="S2002">
            <v>43041</v>
          </cell>
        </row>
        <row r="2003">
          <cell r="S2003">
            <v>43042</v>
          </cell>
        </row>
        <row r="2004">
          <cell r="S2004">
            <v>43045</v>
          </cell>
        </row>
        <row r="2005">
          <cell r="S2005">
            <v>43046</v>
          </cell>
        </row>
        <row r="2006">
          <cell r="S2006">
            <v>43047</v>
          </cell>
        </row>
        <row r="2007">
          <cell r="S2007">
            <v>43048</v>
          </cell>
        </row>
        <row r="2008">
          <cell r="S2008">
            <v>43049</v>
          </cell>
        </row>
        <row r="2009">
          <cell r="S2009">
            <v>43052</v>
          </cell>
        </row>
        <row r="2010">
          <cell r="S2010">
            <v>43053</v>
          </cell>
        </row>
        <row r="2011">
          <cell r="S2011">
            <v>43054</v>
          </cell>
        </row>
        <row r="2012">
          <cell r="S2012">
            <v>43055</v>
          </cell>
        </row>
        <row r="2013">
          <cell r="S2013">
            <v>43056</v>
          </cell>
        </row>
        <row r="2014">
          <cell r="S2014">
            <v>43059</v>
          </cell>
        </row>
        <row r="2015">
          <cell r="S2015">
            <v>43060</v>
          </cell>
        </row>
        <row r="2016">
          <cell r="S2016">
            <v>43061</v>
          </cell>
        </row>
        <row r="2017">
          <cell r="S2017">
            <v>43063</v>
          </cell>
        </row>
        <row r="2018">
          <cell r="S2018">
            <v>43066</v>
          </cell>
        </row>
        <row r="2019">
          <cell r="S2019">
            <v>43067</v>
          </cell>
        </row>
        <row r="2020">
          <cell r="S2020">
            <v>43068</v>
          </cell>
        </row>
        <row r="2021">
          <cell r="S2021">
            <v>43069</v>
          </cell>
        </row>
        <row r="2022">
          <cell r="S2022">
            <v>43070</v>
          </cell>
        </row>
        <row r="2023">
          <cell r="S2023">
            <v>43073</v>
          </cell>
        </row>
        <row r="2024">
          <cell r="S2024">
            <v>43074</v>
          </cell>
        </row>
        <row r="2025">
          <cell r="S2025">
            <v>43075</v>
          </cell>
        </row>
        <row r="2026">
          <cell r="S2026">
            <v>43076</v>
          </cell>
        </row>
        <row r="2027">
          <cell r="S2027">
            <v>43077</v>
          </cell>
        </row>
        <row r="2028">
          <cell r="S2028">
            <v>43080</v>
          </cell>
        </row>
        <row r="2029">
          <cell r="S2029">
            <v>43081</v>
          </cell>
        </row>
        <row r="2030">
          <cell r="S2030">
            <v>43082</v>
          </cell>
        </row>
        <row r="2031">
          <cell r="S2031">
            <v>43083</v>
          </cell>
        </row>
        <row r="2032">
          <cell r="S2032">
            <v>43084</v>
          </cell>
        </row>
        <row r="2033">
          <cell r="S2033">
            <v>43087</v>
          </cell>
        </row>
        <row r="2034">
          <cell r="S2034">
            <v>43088</v>
          </cell>
        </row>
        <row r="2035">
          <cell r="S2035">
            <v>43089</v>
          </cell>
        </row>
        <row r="2036">
          <cell r="S2036">
            <v>43090</v>
          </cell>
        </row>
        <row r="2037">
          <cell r="S2037">
            <v>43091</v>
          </cell>
        </row>
        <row r="2038">
          <cell r="S2038">
            <v>43095</v>
          </cell>
        </row>
        <row r="2039">
          <cell r="S2039">
            <v>43096</v>
          </cell>
        </row>
        <row r="2040">
          <cell r="S2040">
            <v>43097</v>
          </cell>
        </row>
        <row r="2041">
          <cell r="S2041">
            <v>43098</v>
          </cell>
        </row>
        <row r="2042">
          <cell r="S2042">
            <v>43102</v>
          </cell>
        </row>
        <row r="2043">
          <cell r="S2043">
            <v>43103</v>
          </cell>
        </row>
        <row r="2044">
          <cell r="S2044">
            <v>43104</v>
          </cell>
        </row>
        <row r="2045">
          <cell r="S2045">
            <v>43105</v>
          </cell>
        </row>
        <row r="2046">
          <cell r="S2046">
            <v>43108</v>
          </cell>
        </row>
        <row r="2047">
          <cell r="S2047">
            <v>43109</v>
          </cell>
        </row>
        <row r="2048">
          <cell r="S2048">
            <v>43110</v>
          </cell>
        </row>
        <row r="2049">
          <cell r="S2049">
            <v>43111</v>
          </cell>
        </row>
        <row r="2050">
          <cell r="S2050">
            <v>43112</v>
          </cell>
        </row>
        <row r="2051">
          <cell r="S2051">
            <v>43116</v>
          </cell>
        </row>
        <row r="2052">
          <cell r="S2052">
            <v>43117</v>
          </cell>
        </row>
        <row r="2053">
          <cell r="S2053">
            <v>43118</v>
          </cell>
        </row>
        <row r="2054">
          <cell r="S2054">
            <v>43119</v>
          </cell>
        </row>
        <row r="2055">
          <cell r="S2055">
            <v>43122</v>
          </cell>
        </row>
        <row r="2056">
          <cell r="S2056">
            <v>43123</v>
          </cell>
        </row>
        <row r="2057">
          <cell r="S2057">
            <v>43124</v>
          </cell>
        </row>
        <row r="2058">
          <cell r="S2058">
            <v>43125</v>
          </cell>
        </row>
        <row r="2059">
          <cell r="S2059">
            <v>43126</v>
          </cell>
        </row>
        <row r="2060">
          <cell r="S2060">
            <v>43129</v>
          </cell>
        </row>
        <row r="2061">
          <cell r="S2061">
            <v>43130</v>
          </cell>
        </row>
        <row r="2062">
          <cell r="S2062">
            <v>43131</v>
          </cell>
        </row>
        <row r="2063">
          <cell r="S2063">
            <v>43132</v>
          </cell>
        </row>
        <row r="2064">
          <cell r="S2064">
            <v>43133</v>
          </cell>
        </row>
        <row r="2065">
          <cell r="S2065">
            <v>43136</v>
          </cell>
        </row>
        <row r="2066">
          <cell r="S2066">
            <v>43137</v>
          </cell>
        </row>
        <row r="2067">
          <cell r="S2067">
            <v>43138</v>
          </cell>
        </row>
        <row r="2068">
          <cell r="S2068">
            <v>43139</v>
          </cell>
        </row>
        <row r="2069">
          <cell r="S2069">
            <v>43140</v>
          </cell>
        </row>
        <row r="2070">
          <cell r="S2070">
            <v>43143</v>
          </cell>
        </row>
        <row r="2071">
          <cell r="S2071">
            <v>43144</v>
          </cell>
        </row>
        <row r="2072">
          <cell r="S2072">
            <v>43145</v>
          </cell>
        </row>
        <row r="2073">
          <cell r="S2073">
            <v>43146</v>
          </cell>
        </row>
        <row r="2074">
          <cell r="S2074">
            <v>43147</v>
          </cell>
        </row>
        <row r="2075">
          <cell r="S2075">
            <v>43151</v>
          </cell>
        </row>
        <row r="2076">
          <cell r="S2076">
            <v>43152</v>
          </cell>
        </row>
        <row r="2077">
          <cell r="S2077">
            <v>43153</v>
          </cell>
        </row>
        <row r="2078">
          <cell r="S2078">
            <v>43154</v>
          </cell>
        </row>
        <row r="2079">
          <cell r="S2079">
            <v>43157</v>
          </cell>
        </row>
        <row r="2080">
          <cell r="S2080">
            <v>43158</v>
          </cell>
        </row>
        <row r="2081">
          <cell r="S2081">
            <v>43159</v>
          </cell>
        </row>
        <row r="2082">
          <cell r="S2082">
            <v>43160</v>
          </cell>
        </row>
        <row r="2083">
          <cell r="S2083">
            <v>43161</v>
          </cell>
        </row>
        <row r="2084">
          <cell r="S2084">
            <v>43164</v>
          </cell>
        </row>
        <row r="2085">
          <cell r="S2085">
            <v>43165</v>
          </cell>
        </row>
        <row r="2086">
          <cell r="S2086">
            <v>43166</v>
          </cell>
        </row>
        <row r="2087">
          <cell r="S2087">
            <v>43167</v>
          </cell>
        </row>
        <row r="2088">
          <cell r="S2088">
            <v>43168</v>
          </cell>
        </row>
        <row r="2089">
          <cell r="S2089">
            <v>43171</v>
          </cell>
        </row>
        <row r="2090">
          <cell r="S2090">
            <v>43172</v>
          </cell>
        </row>
        <row r="2091">
          <cell r="S2091">
            <v>43173</v>
          </cell>
        </row>
        <row r="2092">
          <cell r="S2092">
            <v>43174</v>
          </cell>
        </row>
        <row r="2093">
          <cell r="S2093">
            <v>43175</v>
          </cell>
        </row>
        <row r="2094">
          <cell r="S2094">
            <v>43178</v>
          </cell>
        </row>
        <row r="2095">
          <cell r="S2095">
            <v>43179</v>
          </cell>
        </row>
        <row r="2096">
          <cell r="S2096">
            <v>43180</v>
          </cell>
        </row>
        <row r="2097">
          <cell r="S2097">
            <v>43181</v>
          </cell>
        </row>
        <row r="2098">
          <cell r="S2098">
            <v>43182</v>
          </cell>
        </row>
        <row r="2099">
          <cell r="S2099">
            <v>43185</v>
          </cell>
        </row>
        <row r="2100">
          <cell r="S2100">
            <v>43186</v>
          </cell>
        </row>
        <row r="2101">
          <cell r="S2101">
            <v>43187</v>
          </cell>
        </row>
        <row r="2102">
          <cell r="S2102">
            <v>43188</v>
          </cell>
        </row>
        <row r="2103">
          <cell r="S2103">
            <v>43192</v>
          </cell>
        </row>
        <row r="2104">
          <cell r="S2104">
            <v>43193</v>
          </cell>
        </row>
        <row r="2105">
          <cell r="S2105">
            <v>43194</v>
          </cell>
        </row>
        <row r="2106">
          <cell r="S2106">
            <v>43195</v>
          </cell>
        </row>
        <row r="2107">
          <cell r="S2107">
            <v>43196</v>
          </cell>
        </row>
        <row r="2108">
          <cell r="S2108">
            <v>43199</v>
          </cell>
        </row>
        <row r="2109">
          <cell r="S2109">
            <v>43200</v>
          </cell>
        </row>
        <row r="2110">
          <cell r="S2110">
            <v>43201</v>
          </cell>
        </row>
        <row r="2111">
          <cell r="S2111">
            <v>43202</v>
          </cell>
        </row>
        <row r="2112">
          <cell r="S2112">
            <v>43203</v>
          </cell>
        </row>
        <row r="2113">
          <cell r="S2113">
            <v>43206</v>
          </cell>
        </row>
        <row r="2114">
          <cell r="S2114">
            <v>43207</v>
          </cell>
        </row>
        <row r="2115">
          <cell r="S2115">
            <v>43208</v>
          </cell>
        </row>
        <row r="2116">
          <cell r="S2116">
            <v>43209</v>
          </cell>
        </row>
        <row r="2117">
          <cell r="S2117">
            <v>43210</v>
          </cell>
        </row>
        <row r="2118">
          <cell r="S2118">
            <v>43213</v>
          </cell>
        </row>
        <row r="2119">
          <cell r="S2119">
            <v>43214</v>
          </cell>
        </row>
        <row r="2120">
          <cell r="S2120">
            <v>43215</v>
          </cell>
        </row>
        <row r="2121">
          <cell r="S2121">
            <v>43216</v>
          </cell>
        </row>
        <row r="2122">
          <cell r="S2122">
            <v>43217</v>
          </cell>
        </row>
        <row r="2123">
          <cell r="S2123">
            <v>43220</v>
          </cell>
        </row>
        <row r="2124">
          <cell r="S2124">
            <v>43221</v>
          </cell>
        </row>
        <row r="2125">
          <cell r="S2125">
            <v>43222</v>
          </cell>
        </row>
        <row r="2126">
          <cell r="S2126">
            <v>43223</v>
          </cell>
        </row>
        <row r="2127">
          <cell r="S2127">
            <v>43224</v>
          </cell>
        </row>
        <row r="2128">
          <cell r="S2128">
            <v>43227</v>
          </cell>
        </row>
        <row r="2129">
          <cell r="S2129">
            <v>43228</v>
          </cell>
        </row>
        <row r="2130">
          <cell r="S2130">
            <v>43229</v>
          </cell>
        </row>
        <row r="2131">
          <cell r="S2131">
            <v>43230</v>
          </cell>
        </row>
        <row r="2132">
          <cell r="S2132">
            <v>43231</v>
          </cell>
        </row>
        <row r="2133">
          <cell r="S2133">
            <v>43234</v>
          </cell>
        </row>
        <row r="2134">
          <cell r="S2134">
            <v>43235</v>
          </cell>
        </row>
        <row r="2135">
          <cell r="S2135">
            <v>43236</v>
          </cell>
        </row>
        <row r="2136">
          <cell r="S2136">
            <v>43237</v>
          </cell>
        </row>
        <row r="2137">
          <cell r="S2137">
            <v>43238</v>
          </cell>
        </row>
        <row r="2138">
          <cell r="S2138">
            <v>43241</v>
          </cell>
        </row>
        <row r="2139">
          <cell r="S2139">
            <v>43242</v>
          </cell>
        </row>
        <row r="2140">
          <cell r="S2140">
            <v>43243</v>
          </cell>
        </row>
        <row r="2141">
          <cell r="S2141">
            <v>43244</v>
          </cell>
        </row>
        <row r="2142">
          <cell r="S2142">
            <v>43245</v>
          </cell>
        </row>
        <row r="2143">
          <cell r="S2143">
            <v>43249</v>
          </cell>
        </row>
        <row r="2144">
          <cell r="S2144">
            <v>43250</v>
          </cell>
        </row>
        <row r="2145">
          <cell r="S2145">
            <v>43251</v>
          </cell>
        </row>
        <row r="2146">
          <cell r="S2146">
            <v>43252</v>
          </cell>
        </row>
        <row r="2147">
          <cell r="S2147">
            <v>43255</v>
          </cell>
        </row>
        <row r="2148">
          <cell r="S2148">
            <v>43256</v>
          </cell>
        </row>
        <row r="2149">
          <cell r="S2149">
            <v>43257</v>
          </cell>
        </row>
        <row r="2150">
          <cell r="S2150">
            <v>43258</v>
          </cell>
        </row>
        <row r="2151">
          <cell r="S2151">
            <v>43259</v>
          </cell>
        </row>
        <row r="2152">
          <cell r="S2152">
            <v>43262</v>
          </cell>
        </row>
        <row r="2153">
          <cell r="S2153">
            <v>43263</v>
          </cell>
        </row>
        <row r="2154">
          <cell r="S2154">
            <v>43264</v>
          </cell>
        </row>
        <row r="2155">
          <cell r="S2155">
            <v>43265</v>
          </cell>
        </row>
        <row r="2156">
          <cell r="S2156">
            <v>43266</v>
          </cell>
        </row>
        <row r="2157">
          <cell r="S2157">
            <v>43269</v>
          </cell>
        </row>
        <row r="2158">
          <cell r="S2158">
            <v>43270</v>
          </cell>
        </row>
        <row r="2159">
          <cell r="S2159">
            <v>43271</v>
          </cell>
        </row>
        <row r="2160">
          <cell r="S2160">
            <v>43272</v>
          </cell>
        </row>
        <row r="2161">
          <cell r="S2161">
            <v>43273</v>
          </cell>
        </row>
        <row r="2162">
          <cell r="S2162">
            <v>43276</v>
          </cell>
        </row>
        <row r="2163">
          <cell r="S2163">
            <v>43277</v>
          </cell>
        </row>
        <row r="2164">
          <cell r="S2164">
            <v>43278</v>
          </cell>
        </row>
        <row r="2165">
          <cell r="S2165">
            <v>43279</v>
          </cell>
        </row>
        <row r="2166">
          <cell r="S2166">
            <v>43280</v>
          </cell>
        </row>
        <row r="2167">
          <cell r="S2167">
            <v>43283</v>
          </cell>
        </row>
        <row r="2168">
          <cell r="S2168">
            <v>43284</v>
          </cell>
        </row>
        <row r="2169">
          <cell r="S2169">
            <v>43286</v>
          </cell>
        </row>
        <row r="2170">
          <cell r="S2170">
            <v>43287</v>
          </cell>
        </row>
        <row r="2171">
          <cell r="S2171">
            <v>43290</v>
          </cell>
        </row>
        <row r="2172">
          <cell r="S2172">
            <v>43291</v>
          </cell>
        </row>
        <row r="2173">
          <cell r="S2173">
            <v>43292</v>
          </cell>
        </row>
        <row r="2174">
          <cell r="S2174">
            <v>43293</v>
          </cell>
        </row>
        <row r="2175">
          <cell r="S2175">
            <v>43294</v>
          </cell>
        </row>
        <row r="2176">
          <cell r="S2176">
            <v>43297</v>
          </cell>
        </row>
        <row r="2177">
          <cell r="S2177">
            <v>43298</v>
          </cell>
        </row>
        <row r="2178">
          <cell r="S2178">
            <v>43299</v>
          </cell>
        </row>
        <row r="2179">
          <cell r="S2179">
            <v>43300</v>
          </cell>
        </row>
        <row r="2180">
          <cell r="S2180">
            <v>43301</v>
          </cell>
        </row>
        <row r="2181">
          <cell r="S2181">
            <v>43304</v>
          </cell>
        </row>
        <row r="2182">
          <cell r="S2182">
            <v>43305</v>
          </cell>
        </row>
        <row r="2183">
          <cell r="S2183">
            <v>43306</v>
          </cell>
        </row>
        <row r="2184">
          <cell r="S2184">
            <v>43307</v>
          </cell>
        </row>
        <row r="2185">
          <cell r="S2185">
            <v>43308</v>
          </cell>
        </row>
        <row r="2186">
          <cell r="S2186">
            <v>43311</v>
          </cell>
        </row>
        <row r="2187">
          <cell r="S2187">
            <v>43312</v>
          </cell>
        </row>
        <row r="2188">
          <cell r="S2188">
            <v>43313</v>
          </cell>
        </row>
        <row r="2189">
          <cell r="S2189">
            <v>43314</v>
          </cell>
        </row>
        <row r="2190">
          <cell r="S2190">
            <v>43315</v>
          </cell>
        </row>
        <row r="2191">
          <cell r="S2191">
            <v>43318</v>
          </cell>
        </row>
        <row r="2192">
          <cell r="S2192">
            <v>43319</v>
          </cell>
        </row>
        <row r="2193">
          <cell r="S2193">
            <v>43320</v>
          </cell>
        </row>
        <row r="2194">
          <cell r="S2194">
            <v>43321</v>
          </cell>
        </row>
        <row r="2195">
          <cell r="S2195">
            <v>43322</v>
          </cell>
        </row>
        <row r="2196">
          <cell r="S2196">
            <v>43325</v>
          </cell>
        </row>
        <row r="2197">
          <cell r="S2197">
            <v>43326</v>
          </cell>
        </row>
        <row r="2198">
          <cell r="S2198">
            <v>43327</v>
          </cell>
        </row>
        <row r="2199">
          <cell r="S2199">
            <v>43328</v>
          </cell>
        </row>
        <row r="2200">
          <cell r="S2200">
            <v>43329</v>
          </cell>
        </row>
        <row r="2201">
          <cell r="S2201">
            <v>43332</v>
          </cell>
        </row>
        <row r="2202">
          <cell r="S2202">
            <v>43333</v>
          </cell>
        </row>
        <row r="2203">
          <cell r="S2203">
            <v>43334</v>
          </cell>
        </row>
        <row r="2204">
          <cell r="S2204">
            <v>43335</v>
          </cell>
        </row>
        <row r="2205">
          <cell r="S2205">
            <v>43336</v>
          </cell>
        </row>
        <row r="2206">
          <cell r="S2206">
            <v>43339</v>
          </cell>
        </row>
        <row r="2207">
          <cell r="S2207">
            <v>43340</v>
          </cell>
        </row>
        <row r="2208">
          <cell r="S2208">
            <v>43341</v>
          </cell>
        </row>
        <row r="2209">
          <cell r="S2209">
            <v>43342</v>
          </cell>
        </row>
        <row r="2210">
          <cell r="S2210">
            <v>43343</v>
          </cell>
        </row>
        <row r="2211">
          <cell r="S2211">
            <v>43347</v>
          </cell>
        </row>
        <row r="2212">
          <cell r="S2212">
            <v>43348</v>
          </cell>
        </row>
        <row r="2213">
          <cell r="S2213">
            <v>43349</v>
          </cell>
        </row>
        <row r="2214">
          <cell r="S2214">
            <v>43350</v>
          </cell>
        </row>
        <row r="2215">
          <cell r="S2215">
            <v>43353</v>
          </cell>
        </row>
        <row r="2216">
          <cell r="S2216">
            <v>43354</v>
          </cell>
        </row>
        <row r="2217">
          <cell r="S2217">
            <v>43355</v>
          </cell>
        </row>
        <row r="2218">
          <cell r="S2218">
            <v>43356</v>
          </cell>
        </row>
        <row r="2219">
          <cell r="S2219">
            <v>43357</v>
          </cell>
        </row>
        <row r="2220">
          <cell r="S2220">
            <v>43360</v>
          </cell>
        </row>
        <row r="2221">
          <cell r="S2221">
            <v>43361</v>
          </cell>
        </row>
        <row r="2222">
          <cell r="S2222">
            <v>43362</v>
          </cell>
        </row>
        <row r="2223">
          <cell r="S2223">
            <v>43363</v>
          </cell>
        </row>
        <row r="2224">
          <cell r="S2224">
            <v>43364</v>
          </cell>
        </row>
        <row r="2225">
          <cell r="S2225">
            <v>43367</v>
          </cell>
        </row>
        <row r="2226">
          <cell r="S2226">
            <v>43368</v>
          </cell>
        </row>
        <row r="2227">
          <cell r="S2227">
            <v>43369</v>
          </cell>
        </row>
        <row r="2228">
          <cell r="S2228">
            <v>43370</v>
          </cell>
        </row>
        <row r="2229">
          <cell r="S2229">
            <v>43371</v>
          </cell>
        </row>
        <row r="2230">
          <cell r="S2230">
            <v>43374</v>
          </cell>
        </row>
        <row r="2231">
          <cell r="S2231">
            <v>43375</v>
          </cell>
        </row>
        <row r="2232">
          <cell r="S2232">
            <v>43376</v>
          </cell>
        </row>
        <row r="2233">
          <cell r="S2233">
            <v>43377</v>
          </cell>
        </row>
        <row r="2234">
          <cell r="S2234">
            <v>43378</v>
          </cell>
        </row>
        <row r="2235">
          <cell r="S2235">
            <v>43381</v>
          </cell>
        </row>
        <row r="2236">
          <cell r="S2236">
            <v>43382</v>
          </cell>
        </row>
        <row r="2237">
          <cell r="S2237">
            <v>43383</v>
          </cell>
        </row>
        <row r="2238">
          <cell r="S2238">
            <v>43384</v>
          </cell>
        </row>
        <row r="2239">
          <cell r="S2239">
            <v>43385</v>
          </cell>
        </row>
        <row r="2240">
          <cell r="S2240">
            <v>43388</v>
          </cell>
        </row>
        <row r="2241">
          <cell r="S2241">
            <v>43389</v>
          </cell>
        </row>
        <row r="2242">
          <cell r="S2242">
            <v>43390</v>
          </cell>
        </row>
        <row r="2243">
          <cell r="S2243">
            <v>43391</v>
          </cell>
        </row>
        <row r="2244">
          <cell r="S2244">
            <v>43392</v>
          </cell>
        </row>
        <row r="2245">
          <cell r="S2245">
            <v>43395</v>
          </cell>
        </row>
        <row r="2246">
          <cell r="S2246">
            <v>43396</v>
          </cell>
        </row>
        <row r="2247">
          <cell r="S2247">
            <v>43397</v>
          </cell>
        </row>
        <row r="2248">
          <cell r="S2248">
            <v>43398</v>
          </cell>
        </row>
        <row r="2249">
          <cell r="S2249">
            <v>43399</v>
          </cell>
        </row>
        <row r="2250">
          <cell r="S2250">
            <v>43402</v>
          </cell>
        </row>
        <row r="2251">
          <cell r="S2251">
            <v>43403</v>
          </cell>
        </row>
        <row r="2252">
          <cell r="S2252">
            <v>43404</v>
          </cell>
        </row>
        <row r="2253">
          <cell r="S2253">
            <v>43405</v>
          </cell>
        </row>
        <row r="2254">
          <cell r="S2254">
            <v>43406</v>
          </cell>
        </row>
        <row r="2255">
          <cell r="S2255">
            <v>43409</v>
          </cell>
        </row>
        <row r="2256">
          <cell r="S2256">
            <v>43410</v>
          </cell>
        </row>
        <row r="2257">
          <cell r="S2257">
            <v>43411</v>
          </cell>
        </row>
        <row r="2258">
          <cell r="S2258">
            <v>43412</v>
          </cell>
        </row>
        <row r="2259">
          <cell r="S2259">
            <v>43413</v>
          </cell>
        </row>
        <row r="2260">
          <cell r="S2260">
            <v>43416</v>
          </cell>
        </row>
        <row r="2261">
          <cell r="S2261">
            <v>43417</v>
          </cell>
        </row>
        <row r="2262">
          <cell r="S2262">
            <v>43418</v>
          </cell>
        </row>
        <row r="2263">
          <cell r="S2263">
            <v>43419</v>
          </cell>
        </row>
        <row r="2264">
          <cell r="S2264">
            <v>43420</v>
          </cell>
        </row>
        <row r="2265">
          <cell r="S2265">
            <v>43423</v>
          </cell>
        </row>
        <row r="2266">
          <cell r="S2266">
            <v>43424</v>
          </cell>
        </row>
        <row r="2267">
          <cell r="S2267">
            <v>43425</v>
          </cell>
        </row>
        <row r="2268">
          <cell r="S2268">
            <v>43427</v>
          </cell>
        </row>
        <row r="2269">
          <cell r="S2269">
            <v>43430</v>
          </cell>
        </row>
        <row r="2270">
          <cell r="S2270">
            <v>43431</v>
          </cell>
        </row>
        <row r="2271">
          <cell r="S2271">
            <v>43432</v>
          </cell>
        </row>
        <row r="2272">
          <cell r="S2272">
            <v>43433</v>
          </cell>
        </row>
        <row r="2273">
          <cell r="S2273">
            <v>43434</v>
          </cell>
        </row>
        <row r="2274">
          <cell r="S2274">
            <v>43437</v>
          </cell>
        </row>
        <row r="2275">
          <cell r="S2275">
            <v>43438</v>
          </cell>
        </row>
        <row r="2276">
          <cell r="S2276">
            <v>43440</v>
          </cell>
        </row>
        <row r="2277">
          <cell r="S2277">
            <v>43441</v>
          </cell>
        </row>
        <row r="2278">
          <cell r="S2278">
            <v>43444</v>
          </cell>
        </row>
        <row r="2279">
          <cell r="S2279">
            <v>43445</v>
          </cell>
        </row>
        <row r="2280">
          <cell r="S2280">
            <v>43446</v>
          </cell>
        </row>
        <row r="2281">
          <cell r="S2281">
            <v>43447</v>
          </cell>
        </row>
        <row r="2282">
          <cell r="S2282">
            <v>43448</v>
          </cell>
        </row>
        <row r="2283">
          <cell r="S2283">
            <v>43451</v>
          </cell>
        </row>
        <row r="2284">
          <cell r="S2284">
            <v>43452</v>
          </cell>
        </row>
        <row r="2285">
          <cell r="S2285">
            <v>43453</v>
          </cell>
        </row>
        <row r="2286">
          <cell r="S2286">
            <v>43454</v>
          </cell>
        </row>
        <row r="2287">
          <cell r="S2287">
            <v>43455</v>
          </cell>
        </row>
        <row r="2288">
          <cell r="S2288">
            <v>43458</v>
          </cell>
        </row>
        <row r="2289">
          <cell r="S2289">
            <v>43460</v>
          </cell>
        </row>
        <row r="2290">
          <cell r="S2290">
            <v>43461</v>
          </cell>
        </row>
        <row r="2291">
          <cell r="S2291">
            <v>43462</v>
          </cell>
        </row>
        <row r="2292">
          <cell r="S2292">
            <v>43465</v>
          </cell>
        </row>
        <row r="2293">
          <cell r="S2293">
            <v>43467</v>
          </cell>
        </row>
        <row r="2294">
          <cell r="S2294">
            <v>43468</v>
          </cell>
        </row>
        <row r="2295">
          <cell r="S2295">
            <v>43469</v>
          </cell>
        </row>
        <row r="2296">
          <cell r="S2296">
            <v>43472</v>
          </cell>
        </row>
        <row r="2297">
          <cell r="S2297">
            <v>43473</v>
          </cell>
        </row>
        <row r="2298">
          <cell r="S2298">
            <v>43474</v>
          </cell>
        </row>
        <row r="2299">
          <cell r="S2299">
            <v>43475</v>
          </cell>
        </row>
        <row r="2300">
          <cell r="S2300">
            <v>43476</v>
          </cell>
        </row>
        <row r="2301">
          <cell r="S2301">
            <v>43479</v>
          </cell>
        </row>
        <row r="2302">
          <cell r="S2302">
            <v>43480</v>
          </cell>
        </row>
        <row r="2303">
          <cell r="S2303">
            <v>43481</v>
          </cell>
        </row>
        <row r="2304">
          <cell r="S2304">
            <v>43482</v>
          </cell>
        </row>
        <row r="2305">
          <cell r="S2305">
            <v>43483</v>
          </cell>
        </row>
        <row r="2306">
          <cell r="S2306">
            <v>43487</v>
          </cell>
        </row>
        <row r="2307">
          <cell r="S2307">
            <v>43488</v>
          </cell>
        </row>
        <row r="2308">
          <cell r="S2308">
            <v>43489</v>
          </cell>
        </row>
        <row r="2309">
          <cell r="S2309">
            <v>43490</v>
          </cell>
        </row>
        <row r="2310">
          <cell r="S2310">
            <v>43493</v>
          </cell>
        </row>
        <row r="2311">
          <cell r="S2311">
            <v>43494</v>
          </cell>
        </row>
        <row r="2312">
          <cell r="S2312">
            <v>43495</v>
          </cell>
        </row>
        <row r="2313">
          <cell r="S2313">
            <v>43496</v>
          </cell>
        </row>
        <row r="2314">
          <cell r="S2314">
            <v>43497</v>
          </cell>
        </row>
        <row r="2315">
          <cell r="S2315">
            <v>43500</v>
          </cell>
        </row>
        <row r="2316">
          <cell r="S2316">
            <v>43501</v>
          </cell>
        </row>
        <row r="2317">
          <cell r="S2317">
            <v>43502</v>
          </cell>
        </row>
        <row r="2318">
          <cell r="S2318">
            <v>43503</v>
          </cell>
        </row>
        <row r="2319">
          <cell r="S2319">
            <v>43504</v>
          </cell>
        </row>
        <row r="2320">
          <cell r="S2320">
            <v>43507</v>
          </cell>
        </row>
        <row r="2321">
          <cell r="S2321">
            <v>43508</v>
          </cell>
        </row>
        <row r="2322">
          <cell r="S2322">
            <v>43509</v>
          </cell>
        </row>
        <row r="2323">
          <cell r="S2323">
            <v>43510</v>
          </cell>
        </row>
        <row r="2324">
          <cell r="S2324">
            <v>43511</v>
          </cell>
        </row>
        <row r="2325">
          <cell r="S2325">
            <v>43515</v>
          </cell>
        </row>
        <row r="2326">
          <cell r="S2326">
            <v>43516</v>
          </cell>
        </row>
        <row r="2327">
          <cell r="S2327">
            <v>43517</v>
          </cell>
        </row>
        <row r="2328">
          <cell r="S2328">
            <v>43518</v>
          </cell>
        </row>
        <row r="2329">
          <cell r="S2329">
            <v>43521</v>
          </cell>
        </row>
        <row r="2330">
          <cell r="S2330">
            <v>43522</v>
          </cell>
        </row>
        <row r="2331">
          <cell r="S2331">
            <v>43523</v>
          </cell>
        </row>
        <row r="2332">
          <cell r="S2332">
            <v>43524</v>
          </cell>
        </row>
        <row r="2333">
          <cell r="S2333">
            <v>43525</v>
          </cell>
        </row>
        <row r="2334">
          <cell r="S2334">
            <v>43528</v>
          </cell>
        </row>
        <row r="2335">
          <cell r="S2335">
            <v>43529</v>
          </cell>
        </row>
        <row r="2336">
          <cell r="S2336">
            <v>43530</v>
          </cell>
        </row>
        <row r="2337">
          <cell r="S2337">
            <v>43531</v>
          </cell>
        </row>
        <row r="2338">
          <cell r="S2338">
            <v>43532</v>
          </cell>
        </row>
        <row r="2339">
          <cell r="S2339">
            <v>43535</v>
          </cell>
        </row>
        <row r="2340">
          <cell r="S2340">
            <v>43536</v>
          </cell>
        </row>
        <row r="2341">
          <cell r="S2341">
            <v>43537</v>
          </cell>
        </row>
        <row r="2342">
          <cell r="S2342">
            <v>43538</v>
          </cell>
        </row>
        <row r="2343">
          <cell r="S2343">
            <v>43539</v>
          </cell>
        </row>
        <row r="2344">
          <cell r="S2344">
            <v>43542</v>
          </cell>
        </row>
        <row r="2345">
          <cell r="S2345">
            <v>43543</v>
          </cell>
        </row>
        <row r="2346">
          <cell r="S2346">
            <v>43544</v>
          </cell>
        </row>
        <row r="2347">
          <cell r="S2347">
            <v>43545</v>
          </cell>
        </row>
        <row r="2348">
          <cell r="S2348">
            <v>43546</v>
          </cell>
        </row>
        <row r="2349">
          <cell r="S2349">
            <v>43549</v>
          </cell>
        </row>
        <row r="2350">
          <cell r="S2350">
            <v>43550</v>
          </cell>
        </row>
        <row r="2351">
          <cell r="S2351">
            <v>43551</v>
          </cell>
        </row>
        <row r="2352">
          <cell r="S2352">
            <v>43552</v>
          </cell>
        </row>
        <row r="2353">
          <cell r="S2353">
            <v>43553</v>
          </cell>
        </row>
        <row r="2354">
          <cell r="S2354">
            <v>43556</v>
          </cell>
        </row>
        <row r="2355">
          <cell r="S2355">
            <v>43557</v>
          </cell>
        </row>
        <row r="2356">
          <cell r="S2356">
            <v>43558</v>
          </cell>
        </row>
        <row r="2357">
          <cell r="S2357">
            <v>43559</v>
          </cell>
        </row>
        <row r="2358">
          <cell r="S2358">
            <v>43560</v>
          </cell>
        </row>
        <row r="2359">
          <cell r="S2359">
            <v>43563</v>
          </cell>
        </row>
        <row r="2360">
          <cell r="S2360">
            <v>43564</v>
          </cell>
        </row>
        <row r="2361">
          <cell r="S2361">
            <v>43565</v>
          </cell>
        </row>
        <row r="2362">
          <cell r="S2362">
            <v>43566</v>
          </cell>
        </row>
        <row r="2363">
          <cell r="S2363">
            <v>43567</v>
          </cell>
        </row>
        <row r="2364">
          <cell r="S2364">
            <v>43570</v>
          </cell>
        </row>
        <row r="2365">
          <cell r="S2365">
            <v>43571</v>
          </cell>
        </row>
        <row r="2366">
          <cell r="S2366">
            <v>43572</v>
          </cell>
        </row>
        <row r="2367">
          <cell r="S2367">
            <v>43573</v>
          </cell>
        </row>
        <row r="2368">
          <cell r="S2368">
            <v>43577</v>
          </cell>
        </row>
        <row r="2369">
          <cell r="S2369">
            <v>43578</v>
          </cell>
        </row>
        <row r="2370">
          <cell r="S2370">
            <v>43579</v>
          </cell>
        </row>
        <row r="2371">
          <cell r="S2371">
            <v>43580</v>
          </cell>
        </row>
        <row r="2372">
          <cell r="S2372">
            <v>43581</v>
          </cell>
        </row>
        <row r="2373">
          <cell r="S2373">
            <v>43584</v>
          </cell>
        </row>
        <row r="2374">
          <cell r="S2374">
            <v>43585</v>
          </cell>
        </row>
        <row r="2375">
          <cell r="S2375">
            <v>43586</v>
          </cell>
        </row>
        <row r="2376">
          <cell r="S2376">
            <v>43587</v>
          </cell>
        </row>
        <row r="2377">
          <cell r="S2377">
            <v>43588</v>
          </cell>
        </row>
        <row r="2378">
          <cell r="S2378">
            <v>43591</v>
          </cell>
        </row>
        <row r="2379">
          <cell r="S2379">
            <v>43592</v>
          </cell>
        </row>
        <row r="2380">
          <cell r="S2380">
            <v>43593</v>
          </cell>
        </row>
        <row r="2381">
          <cell r="S2381">
            <v>43594</v>
          </cell>
        </row>
        <row r="2382">
          <cell r="S2382">
            <v>43595</v>
          </cell>
        </row>
        <row r="2383">
          <cell r="S2383">
            <v>43598</v>
          </cell>
        </row>
        <row r="2384">
          <cell r="S2384">
            <v>43599</v>
          </cell>
        </row>
        <row r="2385">
          <cell r="S2385">
            <v>43600</v>
          </cell>
        </row>
        <row r="2386">
          <cell r="S2386">
            <v>43601</v>
          </cell>
        </row>
        <row r="2387">
          <cell r="S2387">
            <v>43602</v>
          </cell>
        </row>
        <row r="2388">
          <cell r="S2388">
            <v>43605</v>
          </cell>
        </row>
        <row r="2389">
          <cell r="S2389">
            <v>43606</v>
          </cell>
        </row>
        <row r="2390">
          <cell r="S2390">
            <v>43607</v>
          </cell>
        </row>
        <row r="2391">
          <cell r="S2391">
            <v>43608</v>
          </cell>
        </row>
        <row r="2392">
          <cell r="S2392">
            <v>43609</v>
          </cell>
        </row>
        <row r="2393">
          <cell r="S2393">
            <v>43613</v>
          </cell>
        </row>
        <row r="2394">
          <cell r="S2394">
            <v>43614</v>
          </cell>
        </row>
        <row r="2395">
          <cell r="S2395">
            <v>43615</v>
          </cell>
        </row>
        <row r="2396">
          <cell r="S2396">
            <v>43616</v>
          </cell>
        </row>
        <row r="2397">
          <cell r="S2397">
            <v>43619</v>
          </cell>
        </row>
        <row r="2398">
          <cell r="S2398">
            <v>43620</v>
          </cell>
        </row>
        <row r="2399">
          <cell r="S2399">
            <v>43621</v>
          </cell>
        </row>
        <row r="2400">
          <cell r="S2400">
            <v>43622</v>
          </cell>
        </row>
        <row r="2401">
          <cell r="S2401">
            <v>43623</v>
          </cell>
        </row>
        <row r="2402">
          <cell r="S2402">
            <v>43626</v>
          </cell>
        </row>
        <row r="2403">
          <cell r="S2403">
            <v>43627</v>
          </cell>
        </row>
        <row r="2404">
          <cell r="S2404">
            <v>43628</v>
          </cell>
        </row>
        <row r="2405">
          <cell r="S2405">
            <v>43629</v>
          </cell>
        </row>
        <row r="2406">
          <cell r="S2406">
            <v>43630</v>
          </cell>
        </row>
        <row r="2407">
          <cell r="S2407">
            <v>43633</v>
          </cell>
        </row>
        <row r="2408">
          <cell r="S2408">
            <v>43634</v>
          </cell>
        </row>
        <row r="2409">
          <cell r="S2409">
            <v>43635</v>
          </cell>
        </row>
        <row r="2410">
          <cell r="S2410">
            <v>43636</v>
          </cell>
        </row>
        <row r="2411">
          <cell r="S2411">
            <v>43637</v>
          </cell>
        </row>
        <row r="2412">
          <cell r="S2412">
            <v>43640</v>
          </cell>
        </row>
        <row r="2413">
          <cell r="S2413">
            <v>43641</v>
          </cell>
        </row>
        <row r="2414">
          <cell r="S2414">
            <v>43642</v>
          </cell>
        </row>
        <row r="2415">
          <cell r="S2415">
            <v>43643</v>
          </cell>
        </row>
        <row r="2416">
          <cell r="S2416">
            <v>43644</v>
          </cell>
        </row>
        <row r="2417">
          <cell r="S2417">
            <v>43647</v>
          </cell>
        </row>
        <row r="2418">
          <cell r="S2418">
            <v>43648</v>
          </cell>
        </row>
        <row r="2419">
          <cell r="S2419">
            <v>43649</v>
          </cell>
        </row>
        <row r="2420">
          <cell r="S2420">
            <v>43651</v>
          </cell>
        </row>
        <row r="2421">
          <cell r="S2421">
            <v>43654</v>
          </cell>
        </row>
        <row r="2422">
          <cell r="S2422">
            <v>43655</v>
          </cell>
        </row>
        <row r="2423">
          <cell r="S2423">
            <v>43656</v>
          </cell>
        </row>
        <row r="2424">
          <cell r="S2424">
            <v>43657</v>
          </cell>
        </row>
        <row r="2425">
          <cell r="S2425">
            <v>43658</v>
          </cell>
        </row>
        <row r="2426">
          <cell r="S2426">
            <v>43661</v>
          </cell>
        </row>
        <row r="2427">
          <cell r="S2427">
            <v>43662</v>
          </cell>
        </row>
        <row r="2428">
          <cell r="S2428">
            <v>43663</v>
          </cell>
        </row>
        <row r="2429">
          <cell r="S2429">
            <v>43664</v>
          </cell>
        </row>
        <row r="2430">
          <cell r="S2430">
            <v>43665</v>
          </cell>
        </row>
        <row r="2431">
          <cell r="S2431">
            <v>43668</v>
          </cell>
        </row>
        <row r="2432">
          <cell r="S2432">
            <v>43669</v>
          </cell>
        </row>
        <row r="2433">
          <cell r="S2433">
            <v>43670</v>
          </cell>
        </row>
        <row r="2434">
          <cell r="S2434">
            <v>43671</v>
          </cell>
        </row>
        <row r="2435">
          <cell r="S2435">
            <v>43672</v>
          </cell>
        </row>
        <row r="2436">
          <cell r="S2436">
            <v>43675</v>
          </cell>
        </row>
        <row r="2437">
          <cell r="S2437">
            <v>43676</v>
          </cell>
        </row>
        <row r="2438">
          <cell r="S2438">
            <v>43677</v>
          </cell>
        </row>
        <row r="2439">
          <cell r="S2439">
            <v>43678</v>
          </cell>
        </row>
        <row r="2440">
          <cell r="S2440">
            <v>43679</v>
          </cell>
        </row>
        <row r="2441">
          <cell r="S2441">
            <v>43682</v>
          </cell>
        </row>
        <row r="2442">
          <cell r="S2442">
            <v>43683</v>
          </cell>
        </row>
        <row r="2443">
          <cell r="S2443">
            <v>43684</v>
          </cell>
        </row>
        <row r="2444">
          <cell r="S2444">
            <v>43685</v>
          </cell>
        </row>
        <row r="2445">
          <cell r="S2445">
            <v>43686</v>
          </cell>
        </row>
        <row r="2446">
          <cell r="S2446">
            <v>43689</v>
          </cell>
        </row>
        <row r="2447">
          <cell r="S2447">
            <v>43690</v>
          </cell>
        </row>
        <row r="2448">
          <cell r="S2448">
            <v>43691</v>
          </cell>
        </row>
        <row r="2449">
          <cell r="S2449">
            <v>43692</v>
          </cell>
        </row>
        <row r="2450">
          <cell r="S2450">
            <v>43693</v>
          </cell>
        </row>
        <row r="2451">
          <cell r="S2451">
            <v>43696</v>
          </cell>
        </row>
        <row r="2452">
          <cell r="S2452">
            <v>43697</v>
          </cell>
        </row>
        <row r="2453">
          <cell r="S2453">
            <v>43698</v>
          </cell>
        </row>
        <row r="2454">
          <cell r="S2454">
            <v>43699</v>
          </cell>
        </row>
        <row r="2455">
          <cell r="S2455">
            <v>43700</v>
          </cell>
        </row>
        <row r="2456">
          <cell r="S2456">
            <v>43703</v>
          </cell>
        </row>
        <row r="2457">
          <cell r="S2457">
            <v>43704</v>
          </cell>
        </row>
        <row r="2458">
          <cell r="S2458">
            <v>43705</v>
          </cell>
        </row>
        <row r="2459">
          <cell r="S2459">
            <v>43706</v>
          </cell>
        </row>
        <row r="2460">
          <cell r="S2460">
            <v>43707</v>
          </cell>
        </row>
        <row r="2461">
          <cell r="S2461">
            <v>43711</v>
          </cell>
        </row>
        <row r="2462">
          <cell r="S2462">
            <v>43712</v>
          </cell>
        </row>
        <row r="2463">
          <cell r="S2463">
            <v>43713</v>
          </cell>
        </row>
        <row r="2464">
          <cell r="S2464">
            <v>43714</v>
          </cell>
        </row>
        <row r="2465">
          <cell r="S2465">
            <v>43717</v>
          </cell>
        </row>
        <row r="2466">
          <cell r="S2466">
            <v>43718</v>
          </cell>
        </row>
        <row r="2467">
          <cell r="S2467">
            <v>43719</v>
          </cell>
        </row>
        <row r="2468">
          <cell r="S2468">
            <v>43720</v>
          </cell>
        </row>
        <row r="2469">
          <cell r="S2469">
            <v>43721</v>
          </cell>
        </row>
        <row r="2470">
          <cell r="S2470">
            <v>43724</v>
          </cell>
        </row>
        <row r="2471">
          <cell r="S2471">
            <v>43725</v>
          </cell>
        </row>
        <row r="2472">
          <cell r="S2472">
            <v>43726</v>
          </cell>
        </row>
        <row r="2473">
          <cell r="S2473">
            <v>43727</v>
          </cell>
        </row>
        <row r="2474">
          <cell r="S2474">
            <v>43728</v>
          </cell>
        </row>
        <row r="2475">
          <cell r="S2475">
            <v>43731</v>
          </cell>
        </row>
        <row r="2476">
          <cell r="S2476">
            <v>43732</v>
          </cell>
        </row>
        <row r="2477">
          <cell r="S2477">
            <v>43733</v>
          </cell>
        </row>
        <row r="2478">
          <cell r="S2478">
            <v>43734</v>
          </cell>
        </row>
        <row r="2479">
          <cell r="S2479">
            <v>43735</v>
          </cell>
        </row>
        <row r="2480">
          <cell r="S2480">
            <v>43738</v>
          </cell>
        </row>
        <row r="2481">
          <cell r="S2481">
            <v>43739</v>
          </cell>
        </row>
        <row r="2482">
          <cell r="S2482">
            <v>43740</v>
          </cell>
        </row>
        <row r="2483">
          <cell r="S2483">
            <v>43741</v>
          </cell>
        </row>
        <row r="2484">
          <cell r="S2484">
            <v>43742</v>
          </cell>
        </row>
        <row r="2485">
          <cell r="S2485">
            <v>43745</v>
          </cell>
        </row>
        <row r="2486">
          <cell r="S2486">
            <v>43746</v>
          </cell>
        </row>
        <row r="2487">
          <cell r="S2487">
            <v>43747</v>
          </cell>
        </row>
        <row r="2488">
          <cell r="S2488">
            <v>43748</v>
          </cell>
        </row>
        <row r="2489">
          <cell r="S2489">
            <v>43749</v>
          </cell>
        </row>
        <row r="2490">
          <cell r="S2490">
            <v>43752</v>
          </cell>
        </row>
        <row r="2491">
          <cell r="S2491">
            <v>43753</v>
          </cell>
        </row>
        <row r="2492">
          <cell r="S2492">
            <v>43754</v>
          </cell>
        </row>
        <row r="2493">
          <cell r="S2493">
            <v>43755</v>
          </cell>
        </row>
        <row r="2494">
          <cell r="S2494">
            <v>43756</v>
          </cell>
        </row>
        <row r="2495">
          <cell r="S2495">
            <v>43759</v>
          </cell>
        </row>
        <row r="2496">
          <cell r="S2496">
            <v>43760</v>
          </cell>
        </row>
        <row r="2497">
          <cell r="S2497">
            <v>43761</v>
          </cell>
        </row>
        <row r="2498">
          <cell r="S2498">
            <v>43762</v>
          </cell>
        </row>
        <row r="2499">
          <cell r="S2499">
            <v>43763</v>
          </cell>
        </row>
        <row r="2500">
          <cell r="S2500">
            <v>43766</v>
          </cell>
        </row>
        <row r="2501">
          <cell r="S2501">
            <v>43767</v>
          </cell>
        </row>
        <row r="2502">
          <cell r="S2502">
            <v>43768</v>
          </cell>
        </row>
        <row r="2503">
          <cell r="S2503">
            <v>43769</v>
          </cell>
        </row>
        <row r="2504">
          <cell r="S2504">
            <v>43770</v>
          </cell>
        </row>
        <row r="2505">
          <cell r="S2505">
            <v>43773</v>
          </cell>
        </row>
        <row r="2506">
          <cell r="S2506">
            <v>43774</v>
          </cell>
        </row>
        <row r="2507">
          <cell r="S2507">
            <v>43775</v>
          </cell>
        </row>
        <row r="2508">
          <cell r="S2508">
            <v>43776</v>
          </cell>
        </row>
        <row r="2509">
          <cell r="S2509">
            <v>43777</v>
          </cell>
        </row>
        <row r="2510">
          <cell r="S2510">
            <v>43780</v>
          </cell>
        </row>
        <row r="2511">
          <cell r="S2511">
            <v>43781</v>
          </cell>
        </row>
        <row r="2512">
          <cell r="S2512">
            <v>43782</v>
          </cell>
        </row>
        <row r="2513">
          <cell r="S2513">
            <v>43783</v>
          </cell>
        </row>
        <row r="2514">
          <cell r="S2514">
            <v>43784</v>
          </cell>
        </row>
        <row r="2515">
          <cell r="S2515">
            <v>43787</v>
          </cell>
        </row>
        <row r="2516">
          <cell r="S2516">
            <v>43788</v>
          </cell>
        </row>
        <row r="2517">
          <cell r="S2517">
            <v>43789</v>
          </cell>
        </row>
        <row r="2518">
          <cell r="S2518">
            <v>43790</v>
          </cell>
        </row>
        <row r="2519">
          <cell r="S2519">
            <v>43791</v>
          </cell>
        </row>
        <row r="2520">
          <cell r="S2520">
            <v>43794</v>
          </cell>
        </row>
        <row r="2521">
          <cell r="S2521">
            <v>43795</v>
          </cell>
        </row>
        <row r="2522">
          <cell r="S2522">
            <v>43796</v>
          </cell>
        </row>
        <row r="2523">
          <cell r="S2523">
            <v>43798</v>
          </cell>
        </row>
        <row r="2524">
          <cell r="S2524">
            <v>43801</v>
          </cell>
        </row>
        <row r="2525">
          <cell r="S2525">
            <v>43802</v>
          </cell>
        </row>
        <row r="2526">
          <cell r="S2526">
            <v>43803</v>
          </cell>
        </row>
        <row r="2527">
          <cell r="S2527">
            <v>43804</v>
          </cell>
        </row>
        <row r="2528">
          <cell r="S2528">
            <v>43805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venue Build"/>
      <sheetName val="Production Volumes"/>
      <sheetName val="Guidance"/>
      <sheetName val="Financials"/>
      <sheetName val="Derivatives"/>
      <sheetName val="Debt"/>
      <sheetName val="Viper"/>
      <sheetName val="Valuation&gt;&gt;&gt;"/>
      <sheetName val="DCF"/>
      <sheetName val="SOTP"/>
      <sheetName val="Relative Multiples"/>
      <sheetName val="Standalone"/>
      <sheetName val="Research &gt;&gt;&gt;"/>
      <sheetName val="Oil Prices &amp; Fwd Curve"/>
      <sheetName val="Primer"/>
      <sheetName val="Chart"/>
      <sheetName val="To-Dos"/>
    </sheetNames>
    <sheetDataSet>
      <sheetData sheetId="0">
        <row r="4">
          <cell r="W4">
            <v>2</v>
          </cell>
          <cell r="AH4">
            <v>3</v>
          </cell>
        </row>
      </sheetData>
      <sheetData sheetId="1"/>
      <sheetData sheetId="2"/>
      <sheetData sheetId="3"/>
      <sheetData sheetId="4">
        <row r="1">
          <cell r="A1" t="str">
            <v>Diamondback Energy, Inc.</v>
          </cell>
        </row>
      </sheetData>
      <sheetData sheetId="5">
        <row r="132">
          <cell r="E132">
            <v>-816.39268112233538</v>
          </cell>
        </row>
      </sheetData>
      <sheetData sheetId="6">
        <row r="2">
          <cell r="W2" t="str">
            <v>ON</v>
          </cell>
        </row>
      </sheetData>
      <sheetData sheetId="7"/>
      <sheetData sheetId="8"/>
      <sheetData sheetId="9"/>
      <sheetData sheetId="10"/>
      <sheetData sheetId="11">
        <row r="32">
          <cell r="HG32">
            <v>13.2476061563142</v>
          </cell>
        </row>
      </sheetData>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Financials"/>
      <sheetName val="Segment Financials"/>
      <sheetName val="Streaming Numbers"/>
      <sheetName val="SOTP"/>
      <sheetName val="DCF"/>
      <sheetName val="Debt"/>
      <sheetName val="Peer Analysis New"/>
      <sheetName val="Charts"/>
      <sheetName val="To-Dos"/>
      <sheetName val="Consensus Summary"/>
      <sheetName val="Research&gt;&gt;"/>
      <sheetName val="Simon &amp; Schuster - Bertelsmann"/>
      <sheetName val="Streaming"/>
      <sheetName val="Content"/>
      <sheetName val="Accounting Estimates"/>
      <sheetName val="Peer Analysis"/>
      <sheetName val="Segment Research"/>
      <sheetName val="Competitor Analysis"/>
      <sheetName val="Deals"/>
      <sheetName val="Recession Performance"/>
      <sheetName val="Historical Stock Prices"/>
    </sheetNames>
    <sheetDataSet>
      <sheetData sheetId="0" refreshError="1"/>
      <sheetData sheetId="1" refreshError="1"/>
      <sheetData sheetId="2" refreshError="1"/>
      <sheetData sheetId="3" refreshError="1"/>
      <sheetData sheetId="4" refreshError="1"/>
      <sheetData sheetId="5">
        <row r="9">
          <cell r="R9">
            <v>1</v>
          </cell>
        </row>
        <row r="13">
          <cell r="R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Guidance"/>
      <sheetName val="Financials"/>
      <sheetName val="Debt"/>
      <sheetName val="DCF"/>
      <sheetName val="Power Generation Portfolio"/>
      <sheetName val="Reporting Update"/>
      <sheetName val="Revenue Build"/>
      <sheetName val="Market Prices"/>
      <sheetName val="All Co"/>
      <sheetName val="Peer Capacity Analysis  (2)"/>
      <sheetName val="Peer Analysiss"/>
      <sheetName val="TSR List"/>
      <sheetName val="New Peers"/>
      <sheetName val="Consensus Summary TR"/>
      <sheetName val="Forward EVEBITDA"/>
      <sheetName val="Chart Forward EVEBITDA"/>
      <sheetName val="Consensus Summary"/>
      <sheetName val="Revenue, Volumes &amp; COGS"/>
      <sheetName val="Segment Financials"/>
      <sheetName val="Controls"/>
      <sheetName val="1Q20 Earnings Call"/>
      <sheetName val="STEO May20"/>
      <sheetName val="Pension"/>
      <sheetName val="Terms"/>
      <sheetName val="Segment Research"/>
      <sheetName val="Peer Analysis"/>
      <sheetName val="TSR decomposition"/>
      <sheetName val="Forward EV Revenue"/>
      <sheetName val="Chart EV Revenue"/>
      <sheetName val="Forward PE"/>
      <sheetName val="Chart Forward PE"/>
      <sheetName val="Peer Capacity Analysis "/>
    </sheetNames>
    <sheetDataSet>
      <sheetData sheetId="0">
        <row r="3">
          <cell r="V3">
            <v>2</v>
          </cell>
        </row>
      </sheetData>
      <sheetData sheetId="1"/>
      <sheetData sheetId="2"/>
      <sheetData sheetId="3"/>
      <sheetData sheetId="4"/>
      <sheetData sheetId="5"/>
      <sheetData sheetId="6"/>
      <sheetData sheetId="7"/>
      <sheetData sheetId="8">
        <row r="3">
          <cell r="X3">
            <v>0</v>
          </cell>
        </row>
      </sheetData>
      <sheetData sheetId="9"/>
      <sheetData sheetId="10">
        <row r="185">
          <cell r="E185">
            <v>2008</v>
          </cell>
        </row>
      </sheetData>
      <sheetData sheetId="11">
        <row r="2">
          <cell r="G2">
            <v>0</v>
          </cell>
        </row>
      </sheetData>
      <sheetData sheetId="12"/>
      <sheetData sheetId="13">
        <row r="3">
          <cell r="H3">
            <v>1</v>
          </cell>
        </row>
      </sheetData>
      <sheetData sheetId="14">
        <row r="3">
          <cell r="N3">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4">
          <cell r="M4">
            <v>1</v>
          </cell>
        </row>
      </sheetData>
      <sheetData sheetId="28"/>
      <sheetData sheetId="29"/>
      <sheetData sheetId="30"/>
      <sheetData sheetId="31"/>
      <sheetData sheetId="3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Segments"/>
      <sheetName val="Financials"/>
      <sheetName val="DCF"/>
      <sheetName val="Debt"/>
      <sheetName val="Variance Q4'22"/>
      <sheetName val="Consensus Summary"/>
      <sheetName val="GPU"/>
      <sheetName val="Industry Capex"/>
      <sheetName val="Capex Charts"/>
      <sheetName val="Market Share"/>
      <sheetName val="Charts"/>
      <sheetName val="Chart EV-EBITDA"/>
      <sheetName val="Peer Analysis"/>
      <sheetName val="WACC Calculation"/>
      <sheetName val="Primer"/>
      <sheetName val="Historical EBITDA Est"/>
      <sheetName val="Forward EV-EBITDA"/>
      <sheetName val="FX"/>
      <sheetName val="To Dos"/>
      <sheetName val="Forward PE"/>
      <sheetName val="Chart Forward PE"/>
      <sheetName val="Forward EV Revenue"/>
      <sheetName val="Chart EV Revenue"/>
    </sheetNames>
    <sheetDataSet>
      <sheetData sheetId="0"/>
      <sheetData sheetId="1"/>
      <sheetData sheetId="2"/>
      <sheetData sheetId="3">
        <row r="3">
          <cell r="G3">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WACC"/>
      <sheetName val="Sheet1"/>
      <sheetName val="Fixed Line Mkt"/>
      <sheetName val="Cash Flow"/>
      <sheetName val="upside_downside"/>
      <sheetName val="Income Statement"/>
      <sheetName val="Balance Sheet"/>
      <sheetName val="Valsum"/>
      <sheetName val="Operating Leases tagged"/>
      <sheetName val="DCF"/>
      <sheetName val="OP"/>
      <sheetName val="Inputs"/>
      <sheetName val="MWA RR"/>
      <sheetName val="Summary"/>
      <sheetName val="IS"/>
      <sheetName val="exh 11"/>
      <sheetName val="exh 14"/>
      <sheetName val="exh 12"/>
      <sheetName val="exh 10"/>
      <sheetName val="exh 1 and 5"/>
      <sheetName val="exh 15"/>
      <sheetName val="exh 3"/>
      <sheetName val="exh 9"/>
      <sheetName val="Good 12-00 (2)"/>
      <sheetName val="Good 11-36"/>
      <sheetName val="Good 11-50"/>
      <sheetName val="Sheet3 (5)"/>
      <sheetName val="Total_Production"/>
      <sheetName val="RFS"/>
      <sheetName val="Corn_Uses"/>
      <sheetName val="US_Production"/>
      <sheetName val="Risk-Reward_View_Chart"/>
      <sheetName val="variables"/>
      <sheetName val="IS Quarterly"/>
      <sheetName val="Sheet1 (2)"/>
      <sheetName val="1Q11 Preview"/>
      <sheetName val="2Q11 Preview"/>
      <sheetName val="Model"/>
      <sheetName val="Intrinsic Value"/>
      <sheetName val="Rev by Geo"/>
      <sheetName val="Report template"/>
      <sheetName val="Model (WIP)"/>
      <sheetName val="sales bkd"/>
      <sheetName val="Exclusion List"/>
      <sheetName val="fin"/>
      <sheetName val="Presentation"/>
      <sheetName val="Valuation"/>
      <sheetName val="Relative Valuation table_OLD"/>
      <sheetName val="Report (2)"/>
      <sheetName val="Margin Chart"/>
      <sheetName val="Buyback Chart"/>
      <sheetName val="CFS"/>
      <sheetName val="DCF_Residual Inc 09"/>
      <sheetName val="DCF_Residual Inc"/>
      <sheetName val="BS"/>
      <sheetName val="REIT metrics"/>
      <sheetName val="KPN"/>
      <sheetName val="Real"/>
      <sheetName val="PB"/>
      <sheetName val="EVEBITDA"/>
      <sheetName val="EVEBITDA (2)"/>
      <sheetName val="PE"/>
      <sheetName val="ChatData(C)"/>
      <sheetName val="Market shr summary"/>
      <sheetName val="Customer breakdown"/>
      <sheetName val="Sales Breakdown"/>
      <sheetName val="Sheet3"/>
      <sheetName val="Projections"/>
      <sheetName val="PXP"/>
      <sheetName val="EARNINGS"/>
      <sheetName val="New Source Charts"/>
      <sheetName val="Modelware"/>
      <sheetName val="Segment ROCE"/>
      <sheetName val="COP"/>
      <sheetName val="R&amp;MIS"/>
      <sheetName val="E&amp;P Growth &amp; Returns"/>
      <sheetName val="BUSINESS"/>
      <sheetName val="Ace-Out"/>
      <sheetName val="AFFILIATES (2)"/>
      <sheetName val="Scenario"/>
      <sheetName val="Trading Stats"/>
      <sheetName val="Liens data"/>
      <sheetName val="Grille"/>
      <sheetName val="Financials - Presentation"/>
      <sheetName val="Geographic Breakout"/>
      <sheetName val="Portfolio Manager's Snapshot"/>
      <sheetName val="GAP"/>
      <sheetName val="Quarterly Financial Model"/>
      <sheetName val="Inc Stmt"/>
    </sheetNames>
    <sheetDataSet>
      <sheetData sheetId="0" refreshError="1">
        <row r="14">
          <cell r="AR14">
            <v>28</v>
          </cell>
        </row>
        <row r="15">
          <cell r="AR15">
            <v>5</v>
          </cell>
        </row>
        <row r="16">
          <cell r="AR16">
            <v>14</v>
          </cell>
        </row>
        <row r="17">
          <cell r="AR17">
            <v>6</v>
          </cell>
        </row>
        <row r="18">
          <cell r="AR18">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4">
          <cell r="E164">
            <v>1247</v>
          </cell>
          <cell r="F164">
            <v>1807</v>
          </cell>
          <cell r="G164">
            <v>2812</v>
          </cell>
          <cell r="H164">
            <v>2828</v>
          </cell>
          <cell r="I164">
            <v>6670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DCF"/>
      <sheetName val="Financials"/>
      <sheetName val="Segment Snapshot"/>
      <sheetName val="Comp"/>
      <sheetName val="Peer Analysiss"/>
      <sheetName val="Debt"/>
      <sheetName val="TSR List"/>
      <sheetName val="Historical Consolidated"/>
      <sheetName val="TSR decomposition"/>
      <sheetName val="ahihih"/>
      <sheetName val="New Peers"/>
      <sheetName val="Forward EV-EBITDA"/>
      <sheetName val="Peer Analysis"/>
      <sheetName val="SOTP"/>
      <sheetName val="Consensus Summary TR"/>
      <sheetName val="Construction Spending"/>
      <sheetName val="WACC Calculation"/>
      <sheetName val="Chart EV-EBITDA (2)"/>
      <sheetName val="Other Pulls"/>
      <sheetName val="Chart EV-EBITDA"/>
      <sheetName val="Forward EV Revenue"/>
      <sheetName val="Chart EV Revenue"/>
      <sheetName val="Forward PE"/>
      <sheetName val="Chart Forward PE"/>
      <sheetName val="Consensus Summary"/>
      <sheetName val="Pension"/>
      <sheetName val="Segment Research &gt;&gt;"/>
      <sheetName val="Business Overview"/>
      <sheetName val="AFP"/>
      <sheetName val="AM"/>
      <sheetName val="CI"/>
      <sheetName val="Fibers"/>
      <sheetName val="By Segment"/>
      <sheetName val="Historical Segment"/>
      <sheetName val="AFP (Factset Multiple)"/>
      <sheetName val="AM (Factset Multiple)"/>
    </sheetNames>
    <sheetDataSet>
      <sheetData sheetId="0" refreshError="1"/>
      <sheetData sheetId="1" refreshError="1"/>
      <sheetData sheetId="2">
        <row r="245">
          <cell r="AG245">
            <v>740.6</v>
          </cell>
        </row>
        <row r="273">
          <cell r="AG273">
            <v>74.06</v>
          </cell>
        </row>
        <row r="426">
          <cell r="AG426">
            <v>719.1</v>
          </cell>
          <cell r="AQ426">
            <v>2443</v>
          </cell>
          <cell r="AR426">
            <v>2090</v>
          </cell>
          <cell r="AS426">
            <v>2849</v>
          </cell>
        </row>
        <row r="454">
          <cell r="AG454">
            <v>57.528000000000006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Revenue"/>
      <sheetName val="BC Data Page"/>
      <sheetName val="advolKP"/>
      <sheetName val="DCF"/>
      <sheetName val="WYE Revenue"/>
      <sheetName val="Cookbook"/>
      <sheetName val="Geos"/>
      <sheetName val="OFF-UTIL.XLS"/>
      <sheetName val="Cost"/>
      <sheetName val="main"/>
      <sheetName val="acquisition history"/>
      <sheetName val="INTCWKSH"/>
      <sheetName val="Qtrly"/>
      <sheetName val="I S"/>
      <sheetName val="Stock Price"/>
      <sheetName val="JET Merger Model"/>
    </sheetNames>
    <sheetDataSet>
      <sheetData sheetId="0" refreshError="1"/>
      <sheetData sheetId="1"/>
      <sheetData sheetId="2" refreshError="1"/>
      <sheetData sheetId="3" refreshError="1">
        <row r="1">
          <cell r="B1" t="str">
            <v>n</v>
          </cell>
        </row>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nks Fix"/>
      <sheetName val="Edge 10797 Drilling Inventory"/>
      <sheetName val="corp profile"/>
      <sheetName val="#REF"/>
      <sheetName val="D"/>
      <sheetName val="Income Statement"/>
      <sheetName val="Projections"/>
      <sheetName val="c"/>
      <sheetName val="Canada"/>
      <sheetName val="Model"/>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lyondellbasell.com/en/news-events/products--technology-news/lyondellbasell-makes-decision-to-progress-advanced-recycling-plant-in-wesseling-germany/"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reuters://screen/verb=Open/URL=cpurl%3A%2F%2Fviews.cp.%2FApps%2FTemplateLibrary?textsearch=total%20return" TargetMode="Externa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http://s21.q4cdn.com/813101928/files/doc_presentations/2018/11/19/DuPont-Investor-Day-Business-Presentations.pdf?mod=article_inline"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sherwin-williams.com/" TargetMode="External"/><Relationship Id="rId3" Type="http://schemas.openxmlformats.org/officeDocument/2006/relationships/hyperlink" Target="http://www.cbondsystems.com/" TargetMode="External"/><Relationship Id="rId7" Type="http://schemas.openxmlformats.org/officeDocument/2006/relationships/hyperlink" Target="http://www.rayonieram.com/" TargetMode="External"/><Relationship Id="rId2" Type="http://schemas.openxmlformats.org/officeDocument/2006/relationships/hyperlink" Target="http://www.alpek.com/" TargetMode="External"/><Relationship Id="rId1" Type="http://schemas.openxmlformats.org/officeDocument/2006/relationships/hyperlink" Target="http://www.advbiomaterials.com/" TargetMode="External"/><Relationship Id="rId6" Type="http://schemas.openxmlformats.org/officeDocument/2006/relationships/hyperlink" Target="http://www.kraton.com/" TargetMode="External"/><Relationship Id="rId11" Type="http://schemas.openxmlformats.org/officeDocument/2006/relationships/hyperlink" Target="http://www.hbfuller.com/" TargetMode="External"/><Relationship Id="rId5" Type="http://schemas.openxmlformats.org/officeDocument/2006/relationships/hyperlink" Target="http://www.huntsman.com/" TargetMode="External"/><Relationship Id="rId10" Type="http://schemas.openxmlformats.org/officeDocument/2006/relationships/hyperlink" Target="http://www.westlake.com/" TargetMode="External"/><Relationship Id="rId4" Type="http://schemas.openxmlformats.org/officeDocument/2006/relationships/hyperlink" Target="http://www.hitcase.com/" TargetMode="External"/><Relationship Id="rId9" Type="http://schemas.openxmlformats.org/officeDocument/2006/relationships/hyperlink" Target="http://www.trinseo.com/" TargetMode="External"/></Relationships>
</file>

<file path=xl/worksheets/_rels/sheet39.xml.rels><?xml version="1.0" encoding="UTF-8" standalone="yes"?>
<Relationships xmlns="http://schemas.openxmlformats.org/package/2006/relationships"><Relationship Id="rId13" Type="http://schemas.openxmlformats.org/officeDocument/2006/relationships/hyperlink" Target="http://www.eastman.com/" TargetMode="External"/><Relationship Id="rId18" Type="http://schemas.openxmlformats.org/officeDocument/2006/relationships/hyperlink" Target="http://www.gcpat.com/" TargetMode="External"/><Relationship Id="rId26" Type="http://schemas.openxmlformats.org/officeDocument/2006/relationships/hyperlink" Target="http://www.kronostio2.com/" TargetMode="External"/><Relationship Id="rId39" Type="http://schemas.openxmlformats.org/officeDocument/2006/relationships/hyperlink" Target="http://www.scottsmiraclegro.com/" TargetMode="External"/><Relationship Id="rId21" Type="http://schemas.openxmlformats.org/officeDocument/2006/relationships/hyperlink" Target="http://www.ingevity.com/" TargetMode="External"/><Relationship Id="rId34" Type="http://schemas.openxmlformats.org/officeDocument/2006/relationships/hyperlink" Target="http://www.pqcorp.com/" TargetMode="External"/><Relationship Id="rId42" Type="http://schemas.openxmlformats.org/officeDocument/2006/relationships/hyperlink" Target="http://www.stepan.com/" TargetMode="External"/><Relationship Id="rId47" Type="http://schemas.openxmlformats.org/officeDocument/2006/relationships/hyperlink" Target="http://www.grace.com/" TargetMode="External"/><Relationship Id="rId7" Type="http://schemas.openxmlformats.org/officeDocument/2006/relationships/hyperlink" Target="http://www.cabotcmp.com/" TargetMode="External"/><Relationship Id="rId2" Type="http://schemas.openxmlformats.org/officeDocument/2006/relationships/hyperlink" Target="http://www.albemarle.com/" TargetMode="External"/><Relationship Id="rId16" Type="http://schemas.openxmlformats.org/officeDocument/2006/relationships/hyperlink" Target="http://www.ferro.com/" TargetMode="External"/><Relationship Id="rId29" Type="http://schemas.openxmlformats.org/officeDocument/2006/relationships/hyperlink" Target="http://www.newmarket.com/" TargetMode="External"/><Relationship Id="rId1" Type="http://schemas.openxmlformats.org/officeDocument/2006/relationships/hyperlink" Target="http://www.advansix.com/" TargetMode="External"/><Relationship Id="rId6" Type="http://schemas.openxmlformats.org/officeDocument/2006/relationships/hyperlink" Target="http://www.balchem.com/" TargetMode="External"/><Relationship Id="rId11" Type="http://schemas.openxmlformats.org/officeDocument/2006/relationships/hyperlink" Target="http://www.corteva.com/" TargetMode="External"/><Relationship Id="rId24" Type="http://schemas.openxmlformats.org/officeDocument/2006/relationships/hyperlink" Target="http://www.iff.com/" TargetMode="External"/><Relationship Id="rId32" Type="http://schemas.openxmlformats.org/officeDocument/2006/relationships/hyperlink" Target="http://www.polyone.com/" TargetMode="External"/><Relationship Id="rId37" Type="http://schemas.openxmlformats.org/officeDocument/2006/relationships/hyperlink" Target="http://www.rogerscorporation.com/" TargetMode="External"/><Relationship Id="rId40" Type="http://schemas.openxmlformats.org/officeDocument/2006/relationships/hyperlink" Target="http://www.sensient.com/" TargetMode="External"/><Relationship Id="rId45" Type="http://schemas.openxmlformats.org/officeDocument/2006/relationships/hyperlink" Target="http://www.valvoline.com/" TargetMode="External"/><Relationship Id="rId5" Type="http://schemas.openxmlformats.org/officeDocument/2006/relationships/hyperlink" Target="http://www.axaltacoatingsystems.com/" TargetMode="External"/><Relationship Id="rId15" Type="http://schemas.openxmlformats.org/officeDocument/2006/relationships/hyperlink" Target="http://www.elementsolutionsinc.com/" TargetMode="External"/><Relationship Id="rId23" Type="http://schemas.openxmlformats.org/officeDocument/2006/relationships/hyperlink" Target="http://www.innospecinc.com/" TargetMode="External"/><Relationship Id="rId28" Type="http://schemas.openxmlformats.org/officeDocument/2006/relationships/hyperlink" Target="http://www.mosaicco.com/" TargetMode="External"/><Relationship Id="rId36" Type="http://schemas.openxmlformats.org/officeDocument/2006/relationships/hyperlink" Target="http://www.rayonieram.com/" TargetMode="External"/><Relationship Id="rId10" Type="http://schemas.openxmlformats.org/officeDocument/2006/relationships/hyperlink" Target="http://www.chemours.com/" TargetMode="External"/><Relationship Id="rId19" Type="http://schemas.openxmlformats.org/officeDocument/2006/relationships/hyperlink" Target="http://www.hbfuller.com/" TargetMode="External"/><Relationship Id="rId31" Type="http://schemas.openxmlformats.org/officeDocument/2006/relationships/hyperlink" Target="http://www.omnova.com/" TargetMode="External"/><Relationship Id="rId44" Type="http://schemas.openxmlformats.org/officeDocument/2006/relationships/hyperlink" Target="http://www.valhi.net/" TargetMode="External"/><Relationship Id="rId4" Type="http://schemas.openxmlformats.org/officeDocument/2006/relationships/hyperlink" Target="http://www.ashland.com/" TargetMode="External"/><Relationship Id="rId9" Type="http://schemas.openxmlformats.org/officeDocument/2006/relationships/hyperlink" Target="http://www.cfindustries.com/" TargetMode="External"/><Relationship Id="rId14" Type="http://schemas.openxmlformats.org/officeDocument/2006/relationships/hyperlink" Target="http://www.ecolab.com/" TargetMode="External"/><Relationship Id="rId22" Type="http://schemas.openxmlformats.org/officeDocument/2006/relationships/hyperlink" Target="http://www.innophos.com/" TargetMode="External"/><Relationship Id="rId27" Type="http://schemas.openxmlformats.org/officeDocument/2006/relationships/hyperlink" Target="http://www.materion.com/" TargetMode="External"/><Relationship Id="rId30" Type="http://schemas.openxmlformats.org/officeDocument/2006/relationships/hyperlink" Target="http://www.nutrien.com/" TargetMode="External"/><Relationship Id="rId35" Type="http://schemas.openxmlformats.org/officeDocument/2006/relationships/hyperlink" Target="http://www.quakerchem.com/" TargetMode="External"/><Relationship Id="rId43" Type="http://schemas.openxmlformats.org/officeDocument/2006/relationships/hyperlink" Target="http://www.trinseo.com/" TargetMode="External"/><Relationship Id="rId48" Type="http://schemas.openxmlformats.org/officeDocument/2006/relationships/hyperlink" Target="http://www.westlake.com/" TargetMode="External"/><Relationship Id="rId8" Type="http://schemas.openxmlformats.org/officeDocument/2006/relationships/hyperlink" Target="http://www.cesenergysolutions.com/" TargetMode="External"/><Relationship Id="rId3" Type="http://schemas.openxmlformats.org/officeDocument/2006/relationships/hyperlink" Target="http://www.alpek.com/" TargetMode="External"/><Relationship Id="rId12" Type="http://schemas.openxmlformats.org/officeDocument/2006/relationships/hyperlink" Target="http://www.dupont.com/" TargetMode="External"/><Relationship Id="rId17" Type="http://schemas.openxmlformats.org/officeDocument/2006/relationships/hyperlink" Target="http://www.fmc.com/" TargetMode="External"/><Relationship Id="rId25" Type="http://schemas.openxmlformats.org/officeDocument/2006/relationships/hyperlink" Target="http://www.kraton.com/" TargetMode="External"/><Relationship Id="rId33" Type="http://schemas.openxmlformats.org/officeDocument/2006/relationships/hyperlink" Target="http://www.ppg.com/" TargetMode="External"/><Relationship Id="rId38" Type="http://schemas.openxmlformats.org/officeDocument/2006/relationships/hyperlink" Target="http://www.rpminc.com/" TargetMode="External"/><Relationship Id="rId46" Type="http://schemas.openxmlformats.org/officeDocument/2006/relationships/hyperlink" Target="http://www.versummaterials.com/" TargetMode="External"/><Relationship Id="rId20" Type="http://schemas.openxmlformats.org/officeDocument/2006/relationships/hyperlink" Target="http://www.huntsman.com/" TargetMode="External"/><Relationship Id="rId41" Type="http://schemas.openxmlformats.org/officeDocument/2006/relationships/hyperlink" Target="http://www.sherwin-william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EAF-146F-4643-BD44-3F1D9C635155}">
  <sheetPr codeName="Sheet1">
    <pageSetUpPr fitToPage="1"/>
  </sheetPr>
  <dimension ref="A1:BO188"/>
  <sheetViews>
    <sheetView showGridLines="0" zoomScaleNormal="100" workbookViewId="0">
      <pane xSplit="4" ySplit="7" topLeftCell="E8" activePane="bottomRight" state="frozen"/>
      <selection pane="topRight" activeCell="E1" sqref="E1"/>
      <selection pane="bottomLeft" activeCell="A7" sqref="A7"/>
      <selection pane="bottomRight" activeCell="E8" sqref="E8"/>
    </sheetView>
  </sheetViews>
  <sheetFormatPr defaultColWidth="11.53125" defaultRowHeight="11.25" customHeight="1" outlineLevelCol="1"/>
  <cols>
    <col min="1" max="2" width="1.796875" style="217" customWidth="1"/>
    <col min="3" max="3" width="35.796875" style="217" customWidth="1"/>
    <col min="4" max="4" width="9.19921875" style="217" customWidth="1"/>
    <col min="5" max="33" width="10.19921875" style="217" customWidth="1" outlineLevel="1"/>
    <col min="34" max="37" width="10.19921875" style="217" customWidth="1"/>
    <col min="38" max="46" width="10.19921875" style="217" hidden="1" customWidth="1" outlineLevel="1"/>
    <col min="47" max="47" width="10.19921875" style="217" customWidth="1" collapsed="1"/>
    <col min="48" max="50" width="10.19921875" style="217" customWidth="1"/>
    <col min="51" max="54" width="11.53125" style="217" hidden="1" customWidth="1" outlineLevel="1"/>
    <col min="55" max="56" width="12.46484375" style="217" hidden="1" customWidth="1" outlineLevel="1"/>
    <col min="57" max="57" width="11.53125" style="217" collapsed="1"/>
    <col min="58" max="16384" width="11.53125" style="217"/>
  </cols>
  <sheetData>
    <row r="1" spans="1:67" ht="11.25" customHeight="1">
      <c r="A1" s="219" t="str">
        <f>Financials!A1</f>
        <v>Eastman Chemical Co.</v>
      </c>
    </row>
    <row r="2" spans="1:67" ht="11.25" customHeight="1">
      <c r="M2" s="238"/>
      <c r="N2" s="238"/>
      <c r="AP2" s="306"/>
    </row>
    <row r="3" spans="1:67" ht="11.25" customHeight="1">
      <c r="A3" s="219" t="s">
        <v>577</v>
      </c>
      <c r="R3" s="338"/>
      <c r="AP3" s="306"/>
    </row>
    <row r="4" spans="1:67" ht="11.25" customHeight="1">
      <c r="F4" s="306"/>
      <c r="AN4" s="306"/>
    </row>
    <row r="6" spans="1:67" ht="11.25" customHeight="1">
      <c r="B6" s="305"/>
      <c r="C6" s="277"/>
      <c r="D6" s="277"/>
      <c r="E6" s="277">
        <f>YEAR($H$7)</f>
        <v>2016</v>
      </c>
      <c r="F6" s="276">
        <f>YEAR($H$7)</f>
        <v>2016</v>
      </c>
      <c r="G6" s="275">
        <f>YEAR($H$7)</f>
        <v>2016</v>
      </c>
      <c r="H6" s="274">
        <f>YEAR($H$7)</f>
        <v>2016</v>
      </c>
      <c r="I6" s="277">
        <f>YEAR($L$7)</f>
        <v>2017</v>
      </c>
      <c r="J6" s="276">
        <f>YEAR($L$7)</f>
        <v>2017</v>
      </c>
      <c r="K6" s="275">
        <f>YEAR($L$7)</f>
        <v>2017</v>
      </c>
      <c r="L6" s="274">
        <f>YEAR($L$7)</f>
        <v>2017</v>
      </c>
      <c r="M6" s="277">
        <f>YEAR($P$7)</f>
        <v>2018</v>
      </c>
      <c r="N6" s="276">
        <f>YEAR($P$7)</f>
        <v>2018</v>
      </c>
      <c r="O6" s="275">
        <f>YEAR($P$7)</f>
        <v>2018</v>
      </c>
      <c r="P6" s="274">
        <f>YEAR($P$7)</f>
        <v>2018</v>
      </c>
      <c r="Q6" s="277">
        <f>YEAR($T$7)</f>
        <v>2019</v>
      </c>
      <c r="R6" s="276">
        <f>YEAR($T$7)</f>
        <v>2019</v>
      </c>
      <c r="S6" s="275">
        <f>YEAR($T$7)</f>
        <v>2019</v>
      </c>
      <c r="T6" s="274">
        <f>YEAR($T$7)</f>
        <v>2019</v>
      </c>
      <c r="U6" s="277">
        <f>YEAR($X$7)</f>
        <v>2020</v>
      </c>
      <c r="V6" s="276">
        <f>YEAR($X$7)</f>
        <v>2020</v>
      </c>
      <c r="W6" s="275">
        <f>YEAR($X$7)</f>
        <v>2020</v>
      </c>
      <c r="X6" s="274">
        <f>YEAR($X$7)</f>
        <v>2020</v>
      </c>
      <c r="Y6" s="277">
        <f>YEAR($Y$7)</f>
        <v>2021</v>
      </c>
      <c r="Z6" s="276">
        <f>YEAR($Y$7)</f>
        <v>2021</v>
      </c>
      <c r="AA6" s="275">
        <f>YEAR($Y$7)</f>
        <v>2021</v>
      </c>
      <c r="AB6" s="274">
        <f>YEAR($Y$7)</f>
        <v>2021</v>
      </c>
      <c r="AC6" s="277">
        <f>YEAR(AC7)</f>
        <v>2022</v>
      </c>
      <c r="AD6" s="276">
        <f>YEAR(AD7)</f>
        <v>2022</v>
      </c>
      <c r="AE6" s="275">
        <f>YEAR(AE7)</f>
        <v>2022</v>
      </c>
      <c r="AF6" s="274">
        <f>YEAR(AF7)</f>
        <v>2022</v>
      </c>
      <c r="AG6" s="277">
        <f>YEAR(AG7)</f>
        <v>2023</v>
      </c>
      <c r="AH6" s="276">
        <f t="shared" ref="AH6:AJ6" si="0">YEAR(AH7)</f>
        <v>2023</v>
      </c>
      <c r="AI6" s="275">
        <f t="shared" si="0"/>
        <v>2023</v>
      </c>
      <c r="AJ6" s="274">
        <f t="shared" si="0"/>
        <v>2023</v>
      </c>
      <c r="AL6" s="304">
        <f t="shared" ref="AL6:AX6" si="1">YEAR(AL7)</f>
        <v>2014</v>
      </c>
      <c r="AM6" s="304">
        <f t="shared" si="1"/>
        <v>2015</v>
      </c>
      <c r="AN6" s="304">
        <f t="shared" si="1"/>
        <v>2016</v>
      </c>
      <c r="AO6" s="304">
        <f t="shared" si="1"/>
        <v>2017</v>
      </c>
      <c r="AP6" s="304">
        <f t="shared" si="1"/>
        <v>2018</v>
      </c>
      <c r="AQ6" s="304">
        <f t="shared" si="1"/>
        <v>2019</v>
      </c>
      <c r="AR6" s="304">
        <f t="shared" si="1"/>
        <v>2020</v>
      </c>
      <c r="AS6" s="304">
        <f t="shared" si="1"/>
        <v>2021</v>
      </c>
      <c r="AT6" s="304">
        <f t="shared" si="1"/>
        <v>2022</v>
      </c>
      <c r="AU6" s="302">
        <f t="shared" si="1"/>
        <v>2023</v>
      </c>
      <c r="AV6" s="303">
        <f t="shared" si="1"/>
        <v>2024</v>
      </c>
      <c r="AW6" s="303">
        <f t="shared" si="1"/>
        <v>2025</v>
      </c>
      <c r="AX6" s="303">
        <f t="shared" si="1"/>
        <v>2026</v>
      </c>
      <c r="AY6" s="1536"/>
      <c r="AZ6" s="1536"/>
      <c r="BA6" s="1536"/>
      <c r="BB6" s="1536"/>
      <c r="BC6" s="1536"/>
      <c r="BD6" s="749"/>
      <c r="BE6" s="301"/>
      <c r="BF6" s="301"/>
      <c r="BG6" s="301"/>
      <c r="BH6" s="301"/>
      <c r="BI6" s="301"/>
      <c r="BJ6" s="301"/>
      <c r="BK6" s="301"/>
      <c r="BL6" s="301"/>
      <c r="BM6" s="301"/>
      <c r="BN6" s="301"/>
      <c r="BO6" s="301"/>
    </row>
    <row r="7" spans="1:67" ht="11.25" customHeight="1">
      <c r="B7" s="269"/>
      <c r="C7" s="266"/>
      <c r="D7" s="266"/>
      <c r="E7" s="266">
        <v>42460</v>
      </c>
      <c r="F7" s="266">
        <f t="shared" ref="F7:T7" si="2">EOMONTH(E7,3)</f>
        <v>42551</v>
      </c>
      <c r="G7" s="266">
        <f t="shared" si="2"/>
        <v>42643</v>
      </c>
      <c r="H7" s="266">
        <f t="shared" si="2"/>
        <v>42735</v>
      </c>
      <c r="I7" s="266">
        <f t="shared" si="2"/>
        <v>42825</v>
      </c>
      <c r="J7" s="266">
        <f t="shared" si="2"/>
        <v>42916</v>
      </c>
      <c r="K7" s="266">
        <f t="shared" si="2"/>
        <v>43008</v>
      </c>
      <c r="L7" s="266">
        <f t="shared" si="2"/>
        <v>43100</v>
      </c>
      <c r="M7" s="266">
        <f t="shared" si="2"/>
        <v>43190</v>
      </c>
      <c r="N7" s="266">
        <f t="shared" si="2"/>
        <v>43281</v>
      </c>
      <c r="O7" s="266">
        <f t="shared" si="2"/>
        <v>43373</v>
      </c>
      <c r="P7" s="266">
        <f t="shared" si="2"/>
        <v>43465</v>
      </c>
      <c r="Q7" s="266">
        <f t="shared" si="2"/>
        <v>43555</v>
      </c>
      <c r="R7" s="266">
        <f t="shared" si="2"/>
        <v>43646</v>
      </c>
      <c r="S7" s="266">
        <f t="shared" si="2"/>
        <v>43738</v>
      </c>
      <c r="T7" s="266">
        <f t="shared" si="2"/>
        <v>43830</v>
      </c>
      <c r="U7" s="266">
        <f t="shared" ref="U7:AG7" si="3">EOMONTH(T7,3)</f>
        <v>43921</v>
      </c>
      <c r="V7" s="266">
        <f t="shared" si="3"/>
        <v>44012</v>
      </c>
      <c r="W7" s="266">
        <f t="shared" si="3"/>
        <v>44104</v>
      </c>
      <c r="X7" s="266">
        <f t="shared" si="3"/>
        <v>44196</v>
      </c>
      <c r="Y7" s="266">
        <f t="shared" si="3"/>
        <v>44286</v>
      </c>
      <c r="Z7" s="266">
        <f t="shared" si="3"/>
        <v>44377</v>
      </c>
      <c r="AA7" s="266">
        <f t="shared" si="3"/>
        <v>44469</v>
      </c>
      <c r="AB7" s="266">
        <f t="shared" si="3"/>
        <v>44561</v>
      </c>
      <c r="AC7" s="266">
        <f t="shared" si="3"/>
        <v>44651</v>
      </c>
      <c r="AD7" s="266">
        <f t="shared" si="3"/>
        <v>44742</v>
      </c>
      <c r="AE7" s="266">
        <f t="shared" si="3"/>
        <v>44834</v>
      </c>
      <c r="AF7" s="266">
        <f t="shared" si="3"/>
        <v>44926</v>
      </c>
      <c r="AG7" s="266">
        <f t="shared" si="3"/>
        <v>45016</v>
      </c>
      <c r="AH7" s="266">
        <f t="shared" ref="AH7" si="4">EOMONTH(AG7,3)</f>
        <v>45107</v>
      </c>
      <c r="AI7" s="266">
        <f t="shared" ref="AI7" si="5">EOMONTH(AH7,3)</f>
        <v>45199</v>
      </c>
      <c r="AJ7" s="266">
        <f t="shared" ref="AJ7" si="6">EOMONTH(AI7,3)</f>
        <v>45291</v>
      </c>
      <c r="AL7" s="266">
        <v>42004</v>
      </c>
      <c r="AM7" s="266">
        <f t="shared" ref="AM7:AU7" si="7">EOMONTH(AL7,12)</f>
        <v>42369</v>
      </c>
      <c r="AN7" s="266">
        <f t="shared" si="7"/>
        <v>42735</v>
      </c>
      <c r="AO7" s="266">
        <f t="shared" si="7"/>
        <v>43100</v>
      </c>
      <c r="AP7" s="266">
        <f t="shared" si="7"/>
        <v>43465</v>
      </c>
      <c r="AQ7" s="266">
        <f t="shared" si="7"/>
        <v>43830</v>
      </c>
      <c r="AR7" s="266">
        <f t="shared" si="7"/>
        <v>44196</v>
      </c>
      <c r="AS7" s="266">
        <f t="shared" si="7"/>
        <v>44561</v>
      </c>
      <c r="AT7" s="266">
        <f t="shared" si="7"/>
        <v>44926</v>
      </c>
      <c r="AU7" s="266">
        <f t="shared" si="7"/>
        <v>45291</v>
      </c>
      <c r="AV7" s="266">
        <f>EOMONTH(AU7,12)</f>
        <v>45657</v>
      </c>
      <c r="AW7" s="266">
        <f>EOMONTH(AV7,12)</f>
        <v>46022</v>
      </c>
      <c r="AX7" s="266">
        <f>EOMONTH(AW7,12)</f>
        <v>46387</v>
      </c>
      <c r="AY7" s="1540"/>
      <c r="AZ7" s="1541"/>
      <c r="BA7" s="1541"/>
      <c r="BB7" s="1541"/>
      <c r="BC7" s="1541"/>
      <c r="BD7" s="746"/>
      <c r="BE7" s="261"/>
      <c r="BF7" s="261"/>
      <c r="BG7" s="261"/>
      <c r="BH7" s="261"/>
      <c r="BI7" s="261"/>
      <c r="BJ7" s="261"/>
      <c r="BK7" s="261"/>
      <c r="BL7" s="261"/>
      <c r="BM7" s="261"/>
      <c r="BN7" s="261"/>
      <c r="BO7" s="261"/>
    </row>
    <row r="9" spans="1:67" ht="11.25" customHeight="1">
      <c r="B9" s="300" t="s">
        <v>14</v>
      </c>
      <c r="C9" s="299" t="s">
        <v>15</v>
      </c>
      <c r="D9" s="298"/>
      <c r="E9" s="298" t="s">
        <v>571</v>
      </c>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L9" s="298"/>
      <c r="AM9" s="298"/>
      <c r="AN9" s="298"/>
      <c r="AO9" s="298"/>
      <c r="AP9" s="298"/>
      <c r="AQ9" s="298"/>
      <c r="AR9" s="298"/>
      <c r="AS9" s="298"/>
      <c r="AT9" s="298"/>
      <c r="AU9" s="298"/>
      <c r="AV9" s="298"/>
      <c r="AW9" s="298"/>
      <c r="AX9" s="298"/>
      <c r="AY9" s="298"/>
      <c r="AZ9" s="298"/>
      <c r="BA9" s="298"/>
      <c r="BB9" s="298"/>
      <c r="BC9" s="298"/>
      <c r="BD9" s="298"/>
    </row>
    <row r="10" spans="1:67" ht="5.2" customHeight="1">
      <c r="B10" s="219"/>
      <c r="C10" s="428"/>
    </row>
    <row r="11" spans="1:67" ht="11.25" customHeight="1">
      <c r="B11" s="219"/>
      <c r="C11" s="428" t="s">
        <v>1088</v>
      </c>
    </row>
    <row r="12" spans="1:67" ht="5.2" customHeight="1">
      <c r="B12" s="219"/>
      <c r="C12" s="428"/>
    </row>
    <row r="13" spans="1:67" ht="11.25" customHeight="1">
      <c r="B13" s="219" t="s">
        <v>14</v>
      </c>
      <c r="C13" s="428" t="str">
        <f>+Financials!C249</f>
        <v>Additives &amp; Functional Products</v>
      </c>
    </row>
    <row r="14" spans="1:67" ht="5.2" customHeight="1">
      <c r="B14" s="219"/>
      <c r="C14" s="219"/>
    </row>
    <row r="15" spans="1:67" ht="11.25" customHeight="1">
      <c r="B15" s="219"/>
      <c r="C15" s="217" t="str">
        <f>Financials!C254</f>
        <v>Acquired business effect</v>
      </c>
      <c r="I15" s="426">
        <f>Financials!I263</f>
        <v>0</v>
      </c>
      <c r="J15" s="426">
        <f>Financials!J263</f>
        <v>0</v>
      </c>
      <c r="K15" s="426">
        <f>Financials!K263</f>
        <v>0</v>
      </c>
      <c r="L15" s="426">
        <f>Financials!L263</f>
        <v>0</v>
      </c>
      <c r="M15" s="426">
        <f>Financials!M263</f>
        <v>0</v>
      </c>
      <c r="N15" s="426">
        <f>Financials!N263</f>
        <v>0</v>
      </c>
      <c r="O15" s="426">
        <f>Financials!O263</f>
        <v>0</v>
      </c>
      <c r="P15" s="426">
        <f>Financials!P263</f>
        <v>0</v>
      </c>
      <c r="Q15" s="426">
        <f>Financials!Q263</f>
        <v>0</v>
      </c>
      <c r="R15" s="426">
        <f>Financials!R263</f>
        <v>0</v>
      </c>
      <c r="S15" s="426">
        <f>Financials!S263</f>
        <v>0</v>
      </c>
      <c r="T15" s="426">
        <f>Financials!T263</f>
        <v>0</v>
      </c>
      <c r="U15" s="426">
        <f>Financials!U263</f>
        <v>0</v>
      </c>
      <c r="V15" s="426">
        <f>Financials!V263</f>
        <v>0</v>
      </c>
      <c r="W15" s="426">
        <f>Financials!W263</f>
        <v>0</v>
      </c>
      <c r="X15" s="426">
        <f>Financials!X263</f>
        <v>0</v>
      </c>
      <c r="Y15" s="426">
        <f>Financials!Y263</f>
        <v>0</v>
      </c>
      <c r="Z15" s="426">
        <f>Financials!Z263</f>
        <v>0</v>
      </c>
      <c r="AA15" s="426">
        <f>Financials!AA263</f>
        <v>0</v>
      </c>
      <c r="AB15" s="426">
        <f>Financials!AB263</f>
        <v>0</v>
      </c>
      <c r="AC15" s="426">
        <f>Financials!AC263</f>
        <v>0</v>
      </c>
      <c r="AD15" s="426">
        <f>Financials!AD263</f>
        <v>0</v>
      </c>
      <c r="AE15" s="426">
        <f>Financials!AE263</f>
        <v>0</v>
      </c>
      <c r="AF15" s="426">
        <f>Financials!AF263</f>
        <v>0</v>
      </c>
      <c r="AG15" s="426">
        <f ca="1">Financials!AG263</f>
        <v>0</v>
      </c>
      <c r="AH15" s="238">
        <f>CHOOSE(Case,AH16,AH17,AH18)</f>
        <v>0</v>
      </c>
      <c r="AI15" s="238">
        <f>CHOOSE(Case,AI16,AI17,AI18)</f>
        <v>0</v>
      </c>
      <c r="AJ15" s="238">
        <f>CHOOSE(Case,AJ16,AJ17,AJ18)</f>
        <v>0</v>
      </c>
      <c r="AL15" s="426">
        <f>Financials!AL263</f>
        <v>0</v>
      </c>
      <c r="AM15" s="426">
        <f>Financials!AM263</f>
        <v>0.28409090909090912</v>
      </c>
      <c r="AN15" s="426">
        <f>Financials!AN263</f>
        <v>0</v>
      </c>
      <c r="AO15" s="426">
        <f>Financials!AO263</f>
        <v>0</v>
      </c>
      <c r="AP15" s="426">
        <f>Financials!AP263</f>
        <v>0</v>
      </c>
      <c r="AQ15" s="426">
        <f>Financials!AQ263</f>
        <v>0</v>
      </c>
      <c r="AR15" s="426">
        <f>Financials!AR263</f>
        <v>0</v>
      </c>
      <c r="AS15" s="426">
        <f>Financials!AS263</f>
        <v>0</v>
      </c>
      <c r="AT15" s="426">
        <f>Financials!AT263</f>
        <v>0</v>
      </c>
      <c r="AU15" s="426">
        <f ca="1">Financials!AU263</f>
        <v>0</v>
      </c>
      <c r="AV15" s="238">
        <f>CHOOSE(Case,AV16,AV17,AV18)</f>
        <v>0</v>
      </c>
      <c r="AW15" s="238">
        <f>CHOOSE(Case,AW16,AW17,AW18)</f>
        <v>0</v>
      </c>
      <c r="AX15" s="238">
        <f>CHOOSE(Case,AX16,AX17,AX18)</f>
        <v>0</v>
      </c>
      <c r="AY15" s="1537"/>
      <c r="AZ15" s="1537"/>
      <c r="BA15" s="1537"/>
      <c r="BB15" s="1537"/>
      <c r="BC15" s="1537"/>
      <c r="BD15" s="737"/>
    </row>
    <row r="16" spans="1:67" ht="11.25" customHeight="1">
      <c r="B16" s="219"/>
      <c r="C16" s="425" t="s">
        <v>570</v>
      </c>
      <c r="AH16" s="297">
        <v>0</v>
      </c>
      <c r="AI16" s="297">
        <v>0</v>
      </c>
      <c r="AJ16" s="297">
        <v>0</v>
      </c>
      <c r="AV16" s="297">
        <v>0</v>
      </c>
      <c r="AW16" s="297">
        <v>0</v>
      </c>
      <c r="AX16" s="297">
        <v>0</v>
      </c>
      <c r="AY16" s="1537"/>
      <c r="AZ16" s="1537"/>
      <c r="BA16" s="1537"/>
      <c r="BB16" s="1537"/>
      <c r="BC16" s="1537"/>
      <c r="BD16" s="737"/>
    </row>
    <row r="17" spans="2:56" ht="11.25" customHeight="1">
      <c r="B17" s="219"/>
      <c r="C17" s="425" t="s">
        <v>575</v>
      </c>
      <c r="AH17" s="297">
        <v>0</v>
      </c>
      <c r="AI17" s="297">
        <v>0</v>
      </c>
      <c r="AJ17" s="297">
        <v>0</v>
      </c>
      <c r="AV17" s="297">
        <v>0</v>
      </c>
      <c r="AW17" s="297">
        <v>0</v>
      </c>
      <c r="AX17" s="297">
        <v>0</v>
      </c>
      <c r="AY17" s="1537"/>
      <c r="AZ17" s="1537"/>
      <c r="BA17" s="1537"/>
      <c r="BB17" s="1537"/>
      <c r="BC17" s="1537"/>
      <c r="BD17" s="737"/>
    </row>
    <row r="18" spans="2:56" ht="11.25" customHeight="1">
      <c r="B18" s="219"/>
      <c r="C18" s="425" t="s">
        <v>569</v>
      </c>
      <c r="AH18" s="297">
        <v>0</v>
      </c>
      <c r="AI18" s="297">
        <v>0</v>
      </c>
      <c r="AJ18" s="297">
        <v>0</v>
      </c>
      <c r="AV18" s="297">
        <v>0</v>
      </c>
      <c r="AW18" s="297">
        <v>0</v>
      </c>
      <c r="AX18" s="297">
        <v>0</v>
      </c>
      <c r="AY18" s="1537"/>
      <c r="AZ18" s="1537"/>
      <c r="BA18" s="1537"/>
      <c r="BB18" s="1537"/>
      <c r="BC18" s="1537"/>
      <c r="BD18" s="737"/>
    </row>
    <row r="19" spans="2:56" ht="11.25" customHeight="1">
      <c r="B19" s="219"/>
    </row>
    <row r="20" spans="2:56" ht="11.25" customHeight="1">
      <c r="B20" s="219"/>
      <c r="C20" s="217" t="str">
        <f>Financials!C255</f>
        <v>Volume / product mix effect</v>
      </c>
      <c r="H20" s="426"/>
      <c r="I20" s="426">
        <f>Financials!I264</f>
        <v>8.1411126187245594E-2</v>
      </c>
      <c r="J20" s="426">
        <f>Financials!J264</f>
        <v>7.1428571428571425E-2</v>
      </c>
      <c r="K20" s="426">
        <f>Financials!K264</f>
        <v>0.1422872340425532</v>
      </c>
      <c r="L20" s="426">
        <f>Financials!L264</f>
        <v>0.12638888888888888</v>
      </c>
      <c r="M20" s="426">
        <f>Financials!M264</f>
        <v>0.10478654592496765</v>
      </c>
      <c r="N20" s="426">
        <f>Financials!N264</f>
        <v>8.1927710843373497E-2</v>
      </c>
      <c r="O20" s="426">
        <f>Financials!O264</f>
        <v>1.4672686230248307E-2</v>
      </c>
      <c r="P20" s="426">
        <f>Financials!P264</f>
        <v>-1.288056206088993E-2</v>
      </c>
      <c r="Q20" s="426">
        <f>Financials!Q264</f>
        <v>0</v>
      </c>
      <c r="R20" s="426">
        <f>Financials!R264</f>
        <v>0</v>
      </c>
      <c r="S20" s="426">
        <f>Financials!S264</f>
        <v>0</v>
      </c>
      <c r="T20" s="426">
        <f>Financials!T264</f>
        <v>0</v>
      </c>
      <c r="U20" s="426">
        <f>Financials!U264</f>
        <v>0</v>
      </c>
      <c r="V20" s="426">
        <f>Financials!V264</f>
        <v>0</v>
      </c>
      <c r="W20" s="426">
        <f>Financials!W264</f>
        <v>0</v>
      </c>
      <c r="X20" s="426">
        <f>Financials!X264</f>
        <v>0</v>
      </c>
      <c r="Y20" s="426">
        <f>Financials!Y264</f>
        <v>0</v>
      </c>
      <c r="Z20" s="426">
        <f>Financials!Z264</f>
        <v>0</v>
      </c>
      <c r="AA20" s="426">
        <f>Financials!AA264</f>
        <v>0</v>
      </c>
      <c r="AB20" s="426">
        <f>Financials!AB264</f>
        <v>0</v>
      </c>
      <c r="AC20" s="426">
        <f>Financials!AC264</f>
        <v>0</v>
      </c>
      <c r="AD20" s="426">
        <f>Financials!AD264</f>
        <v>0</v>
      </c>
      <c r="AE20" s="426">
        <f>Financials!AE264</f>
        <v>0</v>
      </c>
      <c r="AF20" s="426">
        <f>Financials!AF264</f>
        <v>0</v>
      </c>
      <c r="AG20" s="426">
        <f>Financials!AG264</f>
        <v>-0.14623172103487064</v>
      </c>
      <c r="AH20" s="238">
        <f>CHOOSE(Case,AH21,AH22,AH23)</f>
        <v>-0.08</v>
      </c>
      <c r="AI20" s="238">
        <f>CHOOSE(Case,AI21,AI22,AI23)</f>
        <v>-0.08</v>
      </c>
      <c r="AJ20" s="238">
        <f>CHOOSE(Case,AJ21,AJ22,AJ23)</f>
        <v>-0.05</v>
      </c>
      <c r="AL20" s="426">
        <f>Financials!AL264</f>
        <v>0</v>
      </c>
      <c r="AM20" s="426">
        <f>Financials!AM264</f>
        <v>-1.6287878787878789E-2</v>
      </c>
      <c r="AN20" s="426">
        <f>Financials!AN264</f>
        <v>1.4561570117125673E-2</v>
      </c>
      <c r="AO20" s="426">
        <f>Financials!AO264</f>
        <v>0.10506881503860356</v>
      </c>
      <c r="AP20" s="426">
        <f>Financials!AP264</f>
        <v>4.5169009871373018E-2</v>
      </c>
      <c r="AQ20" s="426">
        <f>Financials!AQ264</f>
        <v>0</v>
      </c>
      <c r="AR20" s="426">
        <f>Financials!AR264</f>
        <v>0</v>
      </c>
      <c r="AS20" s="426">
        <f>Financials!AS264</f>
        <v>0</v>
      </c>
      <c r="AT20" s="426">
        <f>Financials!AT264</f>
        <v>0</v>
      </c>
      <c r="AU20" s="426">
        <f>Financials!AU264</f>
        <v>-9.0417266187050371E-2</v>
      </c>
      <c r="AV20" s="238">
        <f>CHOOSE(Case,AV21,AV22,AV23)</f>
        <v>0.02</v>
      </c>
      <c r="AW20" s="238">
        <f>CHOOSE(Case,AW21,AW22,AW23)</f>
        <v>0.02</v>
      </c>
      <c r="AX20" s="238">
        <f>CHOOSE(Case,AX21,AX22,AX23)</f>
        <v>0.02</v>
      </c>
      <c r="AY20" s="1537"/>
      <c r="AZ20" s="1537"/>
      <c r="BA20" s="1537"/>
      <c r="BB20" s="1537"/>
      <c r="BC20" s="1537"/>
      <c r="BD20" s="737"/>
    </row>
    <row r="21" spans="2:56" ht="11.25" customHeight="1">
      <c r="B21" s="219"/>
      <c r="C21" s="425" t="s">
        <v>570</v>
      </c>
      <c r="AH21" s="297">
        <f t="shared" ref="AH21:AJ21" si="8">+AH22+2%</f>
        <v>-0.06</v>
      </c>
      <c r="AI21" s="297">
        <f t="shared" si="8"/>
        <v>-0.06</v>
      </c>
      <c r="AJ21" s="297">
        <f t="shared" si="8"/>
        <v>-3.0000000000000002E-2</v>
      </c>
      <c r="AV21" s="297">
        <f>+AV22+0.5%</f>
        <v>2.5000000000000001E-2</v>
      </c>
      <c r="AW21" s="297">
        <f>+AW22+0.5%</f>
        <v>2.5000000000000001E-2</v>
      </c>
      <c r="AX21" s="297">
        <f>+AX22+0.5%</f>
        <v>2.5000000000000001E-2</v>
      </c>
      <c r="AY21" s="1537"/>
      <c r="AZ21" s="1537"/>
      <c r="BA21" s="1537"/>
      <c r="BB21" s="1537"/>
      <c r="BC21" s="1537"/>
      <c r="BD21" s="737"/>
    </row>
    <row r="22" spans="2:56" ht="11.25" customHeight="1">
      <c r="B22" s="219"/>
      <c r="C22" s="425" t="s">
        <v>575</v>
      </c>
      <c r="AH22" s="297">
        <v>-0.08</v>
      </c>
      <c r="AI22" s="297">
        <v>-0.08</v>
      </c>
      <c r="AJ22" s="297">
        <v>-0.05</v>
      </c>
      <c r="AV22" s="297">
        <v>0.02</v>
      </c>
      <c r="AW22" s="297">
        <v>0.02</v>
      </c>
      <c r="AX22" s="297">
        <v>0.02</v>
      </c>
      <c r="AY22" s="1537"/>
      <c r="AZ22" s="1537"/>
      <c r="BA22" s="1537"/>
      <c r="BB22" s="1537"/>
      <c r="BC22" s="1537"/>
      <c r="BD22" s="737"/>
    </row>
    <row r="23" spans="2:56" ht="11.25" customHeight="1">
      <c r="B23" s="219"/>
      <c r="C23" s="425" t="s">
        <v>569</v>
      </c>
      <c r="AH23" s="297">
        <f t="shared" ref="AH23:AJ23" si="9">+AH22-4%</f>
        <v>-0.12</v>
      </c>
      <c r="AI23" s="297">
        <f t="shared" si="9"/>
        <v>-0.12</v>
      </c>
      <c r="AJ23" s="297">
        <f t="shared" si="9"/>
        <v>-0.09</v>
      </c>
      <c r="AV23" s="297">
        <f>+AV22-1%</f>
        <v>0.01</v>
      </c>
      <c r="AW23" s="297">
        <f>+AW22-1%</f>
        <v>0.01</v>
      </c>
      <c r="AX23" s="297">
        <f>+AX22-1%</f>
        <v>0.01</v>
      </c>
      <c r="AY23" s="1537"/>
      <c r="AZ23" s="1537"/>
      <c r="BA23" s="1537"/>
      <c r="BB23" s="1537"/>
      <c r="BC23" s="1537"/>
      <c r="BD23" s="737"/>
    </row>
    <row r="24" spans="2:56" ht="11.25" customHeight="1">
      <c r="B24" s="219"/>
      <c r="C24" s="425"/>
      <c r="AY24" s="603"/>
      <c r="AZ24" s="603"/>
      <c r="BA24" s="603"/>
      <c r="BB24" s="603"/>
      <c r="BC24" s="603"/>
      <c r="BD24" s="603"/>
    </row>
    <row r="25" spans="2:56" ht="11.25" customHeight="1">
      <c r="B25" s="219"/>
      <c r="C25" s="217" t="str">
        <f>Financials!C256</f>
        <v>Price effect</v>
      </c>
      <c r="I25" s="426">
        <f>Financials!I265</f>
        <v>-2.0352781546811399E-2</v>
      </c>
      <c r="J25" s="426">
        <f>Financials!J265</f>
        <v>2.2077922077922078E-2</v>
      </c>
      <c r="K25" s="426">
        <f>Financials!K265</f>
        <v>2.3936170212765957E-2</v>
      </c>
      <c r="L25" s="426">
        <f>Financials!L265</f>
        <v>3.4722222222222224E-2</v>
      </c>
      <c r="M25" s="426">
        <f>Financials!M265</f>
        <v>5.5627425614489003E-2</v>
      </c>
      <c r="N25" s="426">
        <f>Financials!N265</f>
        <v>2.1686746987951807E-2</v>
      </c>
      <c r="O25" s="426">
        <f>Financials!O265</f>
        <v>2.0316027088036117E-2</v>
      </c>
      <c r="P25" s="426">
        <f>Financials!P265</f>
        <v>2.224824355971897E-2</v>
      </c>
      <c r="Q25" s="426">
        <f>Financials!Q265</f>
        <v>0</v>
      </c>
      <c r="R25" s="426">
        <f>Financials!R265</f>
        <v>0</v>
      </c>
      <c r="S25" s="426">
        <f>Financials!S265</f>
        <v>0</v>
      </c>
      <c r="T25" s="426">
        <f>Financials!T265</f>
        <v>0</v>
      </c>
      <c r="U25" s="426">
        <f>Financials!U265</f>
        <v>0</v>
      </c>
      <c r="V25" s="426">
        <f>Financials!V265</f>
        <v>0</v>
      </c>
      <c r="W25" s="426">
        <f>Financials!W265</f>
        <v>0</v>
      </c>
      <c r="X25" s="426">
        <f>Financials!X265</f>
        <v>0</v>
      </c>
      <c r="Y25" s="426">
        <f>Financials!Y265</f>
        <v>0</v>
      </c>
      <c r="Z25" s="426">
        <f>Financials!Z265</f>
        <v>0</v>
      </c>
      <c r="AA25" s="426">
        <f>Financials!AA265</f>
        <v>0</v>
      </c>
      <c r="AB25" s="426">
        <f>Financials!AB265</f>
        <v>0</v>
      </c>
      <c r="AC25" s="426">
        <f>Financials!AC265</f>
        <v>0</v>
      </c>
      <c r="AD25" s="426">
        <f>Financials!AD265</f>
        <v>0</v>
      </c>
      <c r="AE25" s="426">
        <f>Financials!AE265</f>
        <v>0</v>
      </c>
      <c r="AF25" s="426">
        <f>Financials!AF265</f>
        <v>0</v>
      </c>
      <c r="AG25" s="426">
        <f>Financials!AG265</f>
        <v>3.8245219347581551E-2</v>
      </c>
      <c r="AH25" s="238">
        <f>CHOOSE(Case,AH26,AH27,AH28)</f>
        <v>0.02</v>
      </c>
      <c r="AI25" s="238">
        <f>CHOOSE(Case,AI26,AI27,AI28)</f>
        <v>0.02</v>
      </c>
      <c r="AJ25" s="238">
        <f>CHOOSE(Case,AJ26,AJ27,AJ28)</f>
        <v>0.02</v>
      </c>
      <c r="AL25" s="426">
        <f>Financials!AL265</f>
        <v>0</v>
      </c>
      <c r="AM25" s="426">
        <f>Financials!AM265</f>
        <v>-3.6742424242424243E-2</v>
      </c>
      <c r="AN25" s="426">
        <f>Financials!AN265</f>
        <v>-6.7742956631845527E-2</v>
      </c>
      <c r="AO25" s="426">
        <f>Financials!AO265</f>
        <v>1.5105740181268883E-2</v>
      </c>
      <c r="AP25" s="426">
        <f>Financials!AP265</f>
        <v>2.9314986539036792E-2</v>
      </c>
      <c r="AQ25" s="426">
        <f>Financials!AQ265</f>
        <v>0</v>
      </c>
      <c r="AR25" s="426">
        <f>Financials!AR265</f>
        <v>0</v>
      </c>
      <c r="AS25" s="426">
        <f>Financials!AS265</f>
        <v>0</v>
      </c>
      <c r="AT25" s="426">
        <f>Financials!AT265</f>
        <v>0</v>
      </c>
      <c r="AU25" s="426">
        <f>Financials!AU265</f>
        <v>2.4667625899280579E-2</v>
      </c>
      <c r="AV25" s="238">
        <f>CHOOSE(Case,AV26,AV27,AV28)</f>
        <v>0.01</v>
      </c>
      <c r="AW25" s="238">
        <f>CHOOSE(Case,AW26,AW27,AW28)</f>
        <v>0.01</v>
      </c>
      <c r="AX25" s="238">
        <f>CHOOSE(Case,AX26,AX27,AX28)</f>
        <v>0.01</v>
      </c>
      <c r="AY25" s="1537"/>
      <c r="AZ25" s="1537"/>
      <c r="BA25" s="1537"/>
      <c r="BB25" s="1537"/>
      <c r="BC25" s="1537"/>
      <c r="BD25" s="737"/>
    </row>
    <row r="26" spans="2:56" ht="11.25" customHeight="1">
      <c r="B26" s="219"/>
      <c r="C26" s="425" t="s">
        <v>570</v>
      </c>
      <c r="AH26" s="297">
        <f t="shared" ref="AH26:AJ26" si="10">+AH27+1%</f>
        <v>0.03</v>
      </c>
      <c r="AI26" s="297">
        <f t="shared" si="10"/>
        <v>0.03</v>
      </c>
      <c r="AJ26" s="297">
        <f t="shared" si="10"/>
        <v>0.03</v>
      </c>
      <c r="AV26" s="297">
        <f>+AV27+0.5%</f>
        <v>1.4999999999999999E-2</v>
      </c>
      <c r="AW26" s="297">
        <f>+AW27+0.5%</f>
        <v>1.4999999999999999E-2</v>
      </c>
      <c r="AX26" s="297">
        <f>+AX27+0.5%</f>
        <v>1.4999999999999999E-2</v>
      </c>
      <c r="AY26" s="1537"/>
      <c r="AZ26" s="1537"/>
      <c r="BA26" s="1537"/>
      <c r="BB26" s="1537"/>
      <c r="BC26" s="1537"/>
      <c r="BD26" s="737"/>
    </row>
    <row r="27" spans="2:56" ht="11.25" customHeight="1">
      <c r="B27" s="219"/>
      <c r="C27" s="425" t="s">
        <v>575</v>
      </c>
      <c r="AH27" s="297">
        <v>0.02</v>
      </c>
      <c r="AI27" s="297">
        <v>0.02</v>
      </c>
      <c r="AJ27" s="297">
        <v>0.02</v>
      </c>
      <c r="AV27" s="297">
        <v>0.01</v>
      </c>
      <c r="AW27" s="297">
        <v>0.01</v>
      </c>
      <c r="AX27" s="297">
        <v>0.01</v>
      </c>
      <c r="AY27" s="1537"/>
      <c r="AZ27" s="1537"/>
      <c r="BA27" s="1537"/>
      <c r="BB27" s="1537"/>
      <c r="BC27" s="1537"/>
      <c r="BD27" s="737"/>
    </row>
    <row r="28" spans="2:56" ht="11.25" customHeight="1">
      <c r="B28" s="219"/>
      <c r="C28" s="425" t="s">
        <v>569</v>
      </c>
      <c r="AH28" s="297">
        <f t="shared" ref="AH28:AJ28" si="11">+AH27-2%</f>
        <v>0</v>
      </c>
      <c r="AI28" s="297">
        <f t="shared" si="11"/>
        <v>0</v>
      </c>
      <c r="AJ28" s="297">
        <f t="shared" si="11"/>
        <v>0</v>
      </c>
      <c r="AV28" s="297">
        <f>+AV27-1%</f>
        <v>0</v>
      </c>
      <c r="AW28" s="297">
        <f>+AW27-1%</f>
        <v>0</v>
      </c>
      <c r="AX28" s="297">
        <f>+AX27-1%</f>
        <v>0</v>
      </c>
      <c r="AY28" s="1537"/>
      <c r="AZ28" s="1537"/>
      <c r="BA28" s="1537"/>
      <c r="BB28" s="1537"/>
      <c r="BC28" s="1537"/>
      <c r="BD28" s="737"/>
    </row>
    <row r="29" spans="2:56" ht="11.25" customHeight="1">
      <c r="B29" s="219"/>
    </row>
    <row r="30" spans="2:56" ht="11.25" customHeight="1">
      <c r="B30" s="219"/>
      <c r="C30" s="217" t="str">
        <f>Financials!C257</f>
        <v>Exchange rate effect</v>
      </c>
      <c r="I30" s="426">
        <f>Financials!I266</f>
        <v>-1.2211668928086838E-2</v>
      </c>
      <c r="J30" s="426">
        <f>Financials!J266</f>
        <v>-1.5584415584415584E-2</v>
      </c>
      <c r="K30" s="426">
        <f>Financials!K266</f>
        <v>1.1968085106382979E-2</v>
      </c>
      <c r="L30" s="426">
        <f>Financials!L266</f>
        <v>2.5000000000000001E-2</v>
      </c>
      <c r="M30" s="426">
        <f>Financials!M266</f>
        <v>5.4333764553686936E-2</v>
      </c>
      <c r="N30" s="426">
        <f>Financials!N266</f>
        <v>3.1325301204819279E-2</v>
      </c>
      <c r="O30" s="426">
        <f>Financials!O266</f>
        <v>-2.257336343115124E-3</v>
      </c>
      <c r="P30" s="426">
        <f>Financials!P266</f>
        <v>-1.288056206088993E-2</v>
      </c>
      <c r="Q30" s="426">
        <f>Financials!Q266</f>
        <v>0</v>
      </c>
      <c r="R30" s="426">
        <f>Financials!R266</f>
        <v>0</v>
      </c>
      <c r="S30" s="426">
        <f>Financials!S266</f>
        <v>0</v>
      </c>
      <c r="T30" s="426">
        <f>Financials!T266</f>
        <v>0</v>
      </c>
      <c r="U30" s="426">
        <f>Financials!U266</f>
        <v>0</v>
      </c>
      <c r="V30" s="426">
        <f>Financials!V266</f>
        <v>0</v>
      </c>
      <c r="W30" s="426">
        <f>Financials!W266</f>
        <v>0</v>
      </c>
      <c r="X30" s="426">
        <f>Financials!X266</f>
        <v>0</v>
      </c>
      <c r="Y30" s="426">
        <f>Financials!Y266</f>
        <v>0</v>
      </c>
      <c r="Z30" s="426">
        <f>Financials!Z266</f>
        <v>0</v>
      </c>
      <c r="AA30" s="426">
        <f>Financials!AA266</f>
        <v>0</v>
      </c>
      <c r="AB30" s="426">
        <f>Financials!AB266</f>
        <v>0</v>
      </c>
      <c r="AC30" s="426">
        <f>Financials!AC266</f>
        <v>0</v>
      </c>
      <c r="AD30" s="426">
        <f>Financials!AD266</f>
        <v>0</v>
      </c>
      <c r="AE30" s="426">
        <f>Financials!AE266</f>
        <v>0</v>
      </c>
      <c r="AF30" s="426">
        <f>Financials!AF266</f>
        <v>0</v>
      </c>
      <c r="AG30" s="426">
        <f>Financials!AG266</f>
        <v>-1.799775028121485E-2</v>
      </c>
      <c r="AH30" s="238">
        <f>CHOOSE(Case,AH31,AH32,AH33)</f>
        <v>0</v>
      </c>
      <c r="AI30" s="238">
        <f>CHOOSE(Case,AI31,AI32,AI33)</f>
        <v>0</v>
      </c>
      <c r="AJ30" s="238">
        <f>CHOOSE(Case,AJ31,AJ32,AJ33)</f>
        <v>0</v>
      </c>
      <c r="AL30" s="426">
        <f>Financials!AL266</f>
        <v>0</v>
      </c>
      <c r="AM30" s="426">
        <f>Financials!AM266</f>
        <v>-3.446969696969697E-2</v>
      </c>
      <c r="AN30" s="426">
        <f>Financials!AN266</f>
        <v>-3.7986704653371322E-3</v>
      </c>
      <c r="AO30" s="426">
        <f>Financials!AO266</f>
        <v>2.014098690835851E-3</v>
      </c>
      <c r="AP30" s="426">
        <f>Financials!AP266</f>
        <v>1.6452288363745141E-2</v>
      </c>
      <c r="AQ30" s="426">
        <f>Financials!AQ266</f>
        <v>0</v>
      </c>
      <c r="AR30" s="426">
        <f>Financials!AR266</f>
        <v>0</v>
      </c>
      <c r="AS30" s="426">
        <f>Financials!AS266</f>
        <v>0</v>
      </c>
      <c r="AT30" s="426">
        <f>Financials!AT266</f>
        <v>0</v>
      </c>
      <c r="AU30" s="426">
        <f>Financials!AU266</f>
        <v>-4.6043165467625899E-3</v>
      </c>
      <c r="AV30" s="238">
        <f>CHOOSE(Case,AV31,AV32,AV33)</f>
        <v>0</v>
      </c>
      <c r="AW30" s="238">
        <f>CHOOSE(Case,AW31,AW32,AW33)</f>
        <v>0</v>
      </c>
      <c r="AX30" s="238">
        <f>CHOOSE(Case,AX31,AX32,AX33)</f>
        <v>0</v>
      </c>
      <c r="AY30" s="1537"/>
      <c r="AZ30" s="1537"/>
      <c r="BA30" s="1537"/>
      <c r="BB30" s="1537"/>
      <c r="BC30" s="1537"/>
      <c r="BD30" s="737"/>
    </row>
    <row r="31" spans="2:56" ht="11.25" customHeight="1">
      <c r="B31" s="219"/>
      <c r="C31" s="425" t="s">
        <v>570</v>
      </c>
      <c r="AH31" s="297">
        <f t="shared" ref="AH31:AJ31" si="12">+AH32+0.5%</f>
        <v>5.0000000000000001E-3</v>
      </c>
      <c r="AI31" s="297">
        <f t="shared" si="12"/>
        <v>5.0000000000000001E-3</v>
      </c>
      <c r="AJ31" s="297">
        <f t="shared" si="12"/>
        <v>5.0000000000000001E-3</v>
      </c>
      <c r="AV31" s="297">
        <f>+AV32+0.5%</f>
        <v>5.0000000000000001E-3</v>
      </c>
      <c r="AW31" s="297">
        <f>+AW32+0.5%</f>
        <v>5.0000000000000001E-3</v>
      </c>
      <c r="AX31" s="297">
        <f>+AX32+0.5%</f>
        <v>5.0000000000000001E-3</v>
      </c>
      <c r="AY31" s="1537"/>
      <c r="AZ31" s="1537"/>
      <c r="BA31" s="1537"/>
      <c r="BB31" s="1537"/>
      <c r="BC31" s="1537"/>
      <c r="BD31" s="737"/>
    </row>
    <row r="32" spans="2:56" ht="11.25" customHeight="1">
      <c r="B32" s="219"/>
      <c r="C32" s="425" t="s">
        <v>575</v>
      </c>
      <c r="AH32" s="297">
        <v>0</v>
      </c>
      <c r="AI32" s="297">
        <v>0</v>
      </c>
      <c r="AJ32" s="297">
        <v>0</v>
      </c>
      <c r="AV32" s="297">
        <v>0</v>
      </c>
      <c r="AW32" s="297">
        <v>0</v>
      </c>
      <c r="AX32" s="297">
        <v>0</v>
      </c>
      <c r="AY32" s="1537"/>
      <c r="AZ32" s="1537"/>
      <c r="BA32" s="1537"/>
      <c r="BB32" s="1537"/>
      <c r="BC32" s="1537"/>
      <c r="BD32" s="737"/>
    </row>
    <row r="33" spans="2:56" ht="11.25" customHeight="1">
      <c r="B33" s="219"/>
      <c r="C33" s="425" t="s">
        <v>569</v>
      </c>
      <c r="AH33" s="297">
        <f t="shared" ref="AH33:AJ33" si="13">+AH32-1%</f>
        <v>-0.01</v>
      </c>
      <c r="AI33" s="297">
        <f t="shared" si="13"/>
        <v>-0.01</v>
      </c>
      <c r="AJ33" s="297">
        <f t="shared" si="13"/>
        <v>-0.01</v>
      </c>
      <c r="AV33" s="297">
        <f>+AV32-1%</f>
        <v>-0.01</v>
      </c>
      <c r="AW33" s="297">
        <f>+AW32-1%</f>
        <v>-0.01</v>
      </c>
      <c r="AX33" s="297">
        <f>+AX32-1%</f>
        <v>-0.01</v>
      </c>
      <c r="AY33" s="1537"/>
      <c r="AZ33" s="1537"/>
      <c r="BA33" s="1537"/>
      <c r="BB33" s="1537"/>
      <c r="BC33" s="1537"/>
      <c r="BD33" s="737"/>
    </row>
    <row r="34" spans="2:56" ht="11.25" customHeight="1">
      <c r="B34" s="219"/>
      <c r="C34" s="428"/>
    </row>
    <row r="35" spans="2:56" ht="11.25" customHeight="1">
      <c r="B35" s="219"/>
      <c r="C35" s="217" t="s">
        <v>715</v>
      </c>
      <c r="E35" s="426">
        <f>+Financials!E280</f>
        <v>0.20488466757123475</v>
      </c>
      <c r="F35" s="426">
        <f>+Financials!F280</f>
        <v>0.21818181818181817</v>
      </c>
      <c r="G35" s="426">
        <f>+Financials!G280</f>
        <v>0.21276595744680851</v>
      </c>
      <c r="H35" s="426">
        <f>+Financials!H280</f>
        <v>0.18333333333333332</v>
      </c>
      <c r="I35" s="426">
        <f>+Financials!I280</f>
        <v>0.19793014230271669</v>
      </c>
      <c r="J35" s="426">
        <f>+Financials!J280</f>
        <v>0.19397590361445782</v>
      </c>
      <c r="K35" s="426">
        <f>+Financials!K280</f>
        <v>0.20993227990970656</v>
      </c>
      <c r="L35" s="426">
        <f>+Financials!L280</f>
        <v>0.18852459016393441</v>
      </c>
      <c r="M35" s="426">
        <f>+Financials!M280</f>
        <v>0.18956336528221512</v>
      </c>
      <c r="N35" s="426">
        <f>+Financials!N280</f>
        <v>0.19957537154989385</v>
      </c>
      <c r="O35" s="426">
        <f>+Financials!O280</f>
        <v>0.1989071038251366</v>
      </c>
      <c r="P35" s="426">
        <f>+Financials!P280</f>
        <v>0.1445358401880141</v>
      </c>
      <c r="Q35" s="426">
        <f>+Financials!Q280</f>
        <v>0.18923076923076923</v>
      </c>
      <c r="R35" s="426">
        <f>+Financials!R280</f>
        <v>0.19741100323624594</v>
      </c>
      <c r="S35" s="426">
        <f>+Financials!S280</f>
        <v>0.19063004846526657</v>
      </c>
      <c r="T35" s="426">
        <f>+Financials!T280</f>
        <v>0.1619718309859155</v>
      </c>
      <c r="U35" s="426">
        <f>+Financials!U280</f>
        <v>0.21540880503144655</v>
      </c>
      <c r="V35" s="426">
        <f>+Financials!V280</f>
        <v>0.18342151675485008</v>
      </c>
      <c r="W35" s="426">
        <f>+Financials!W280</f>
        <v>0.17422867513611615</v>
      </c>
      <c r="X35" s="426">
        <f>+Financials!X280</f>
        <v>0.18027210884353742</v>
      </c>
      <c r="Y35" s="426">
        <f>+Financials!Y280</f>
        <v>0.18452380952380953</v>
      </c>
      <c r="Z35" s="426">
        <f>+Financials!Z280</f>
        <v>0.16066481994459833</v>
      </c>
      <c r="AA35" s="426">
        <f>+Financials!AA280</f>
        <v>0.16903225806451613</v>
      </c>
      <c r="AB35" s="426">
        <f>+Financials!AB280</f>
        <v>0.14487179487179488</v>
      </c>
      <c r="AC35" s="426">
        <f>+Financials!AC280</f>
        <v>0.18785151856017998</v>
      </c>
      <c r="AD35" s="426">
        <f>+Financials!AD280</f>
        <v>0.17316017316017315</v>
      </c>
      <c r="AE35" s="426">
        <f>+Financials!AE280</f>
        <v>0.15783664459161148</v>
      </c>
      <c r="AF35" s="426">
        <f>+Financials!AF280</f>
        <v>0.10052910052910052</v>
      </c>
      <c r="AG35" s="426">
        <f>+Financials!AG280</f>
        <v>0.15958815958815958</v>
      </c>
      <c r="AH35" s="238">
        <f>CHOOSE(Case,AH36,AH37,AH38)</f>
        <v>0.16</v>
      </c>
      <c r="AI35" s="238">
        <f>CHOOSE(Case,AI36,AI37,AI38)</f>
        <v>0.16</v>
      </c>
      <c r="AJ35" s="238">
        <f>CHOOSE(Case,AJ36,AJ37,AJ38)</f>
        <v>0.16</v>
      </c>
      <c r="AL35" s="426">
        <f>+Financials!AL280</f>
        <v>0.20416666666666666</v>
      </c>
      <c r="AM35" s="426">
        <f>+Financials!AM280</f>
        <v>0.20892687559354226</v>
      </c>
      <c r="AN35" s="426">
        <f>+Financials!AN280</f>
        <v>0.20510238335011749</v>
      </c>
      <c r="AO35" s="426">
        <f>+Financials!AO280</f>
        <v>0.19772659288064612</v>
      </c>
      <c r="AP35" s="426">
        <f>+Financials!AP280</f>
        <v>0.18398683849739511</v>
      </c>
      <c r="AQ35" s="426">
        <f>+Financials!AQ280</f>
        <v>0.18533604887983707</v>
      </c>
      <c r="AR35" s="426">
        <f>+Financials!AR280</f>
        <v>0.18915456874466269</v>
      </c>
      <c r="AS35" s="426">
        <f>+Financials!AS280</f>
        <v>0.16412343167175314</v>
      </c>
      <c r="AT35" s="426">
        <f>+Financials!AT280</f>
        <v>0.15712230215827339</v>
      </c>
      <c r="AU35" s="426">
        <f>+Financials!AU280</f>
        <v>0.15990094473954658</v>
      </c>
      <c r="AV35" s="238">
        <f>CHOOSE(Case,AV36,AV37,AV38)</f>
        <v>0.15</v>
      </c>
      <c r="AW35" s="238">
        <f>CHOOSE(Case,AW36,AW37,AW38)</f>
        <v>0.16</v>
      </c>
      <c r="AX35" s="238">
        <f>CHOOSE(Case,AX36,AX37,AX38)</f>
        <v>0.16</v>
      </c>
      <c r="AY35" s="1537"/>
      <c r="AZ35" s="1537"/>
      <c r="BA35" s="1537"/>
      <c r="BB35" s="1537"/>
      <c r="BC35" s="1537"/>
      <c r="BD35" s="737"/>
    </row>
    <row r="36" spans="2:56" ht="11.25" customHeight="1">
      <c r="B36" s="219"/>
      <c r="C36" s="425" t="s">
        <v>570</v>
      </c>
      <c r="AH36" s="297">
        <f t="shared" ref="AH36:AJ36" si="14">+AH37+0.01</f>
        <v>0.17</v>
      </c>
      <c r="AI36" s="297">
        <f t="shared" si="14"/>
        <v>0.17</v>
      </c>
      <c r="AJ36" s="297">
        <f t="shared" si="14"/>
        <v>0.17</v>
      </c>
      <c r="AV36" s="297">
        <f>+AV37+0.01</f>
        <v>0.16</v>
      </c>
      <c r="AW36" s="297">
        <f>+AW37+0.01</f>
        <v>0.17</v>
      </c>
      <c r="AX36" s="297">
        <f>+AX37+0.01</f>
        <v>0.17</v>
      </c>
      <c r="AY36" s="1537"/>
      <c r="AZ36" s="1537"/>
      <c r="BA36" s="1537"/>
      <c r="BB36" s="1537"/>
      <c r="BC36" s="1537"/>
      <c r="BD36" s="737"/>
    </row>
    <row r="37" spans="2:56" ht="11.25" customHeight="1">
      <c r="B37" s="219"/>
      <c r="C37" s="425" t="s">
        <v>575</v>
      </c>
      <c r="AH37" s="297">
        <v>0.16</v>
      </c>
      <c r="AI37" s="297">
        <v>0.16</v>
      </c>
      <c r="AJ37" s="297">
        <v>0.16</v>
      </c>
      <c r="AV37" s="297">
        <v>0.15</v>
      </c>
      <c r="AW37" s="297">
        <v>0.16</v>
      </c>
      <c r="AX37" s="297">
        <v>0.16</v>
      </c>
      <c r="AY37" s="1537"/>
      <c r="AZ37" s="1537"/>
      <c r="BA37" s="1537"/>
      <c r="BB37" s="1537"/>
      <c r="BC37" s="1537"/>
      <c r="BD37" s="737"/>
    </row>
    <row r="38" spans="2:56" ht="11.25" customHeight="1">
      <c r="B38" s="219"/>
      <c r="C38" s="425" t="s">
        <v>569</v>
      </c>
      <c r="AH38" s="297">
        <f t="shared" ref="AH38:AJ38" si="15">+AH37-0.02</f>
        <v>0.14000000000000001</v>
      </c>
      <c r="AI38" s="297">
        <f t="shared" si="15"/>
        <v>0.14000000000000001</v>
      </c>
      <c r="AJ38" s="297">
        <f t="shared" si="15"/>
        <v>0.14000000000000001</v>
      </c>
      <c r="AV38" s="297">
        <f>+AV37-0.015</f>
        <v>0.13500000000000001</v>
      </c>
      <c r="AW38" s="297">
        <f>+AW37-0.015</f>
        <v>0.14500000000000002</v>
      </c>
      <c r="AX38" s="297">
        <f>+AX37-0.015</f>
        <v>0.14500000000000002</v>
      </c>
      <c r="AY38" s="1537"/>
      <c r="AZ38" s="1537"/>
      <c r="BA38" s="1537"/>
      <c r="BB38" s="1537"/>
      <c r="BC38" s="1537"/>
      <c r="BD38" s="737"/>
    </row>
    <row r="39" spans="2:56" ht="11.25" customHeight="1">
      <c r="B39" s="219"/>
      <c r="C39" s="428"/>
    </row>
    <row r="40" spans="2:56" ht="11.25" customHeight="1">
      <c r="B40" s="219" t="s">
        <v>14</v>
      </c>
      <c r="C40" s="428" t="str">
        <f>Financials!C351</f>
        <v>Advanced Materials</v>
      </c>
    </row>
    <row r="41" spans="2:56" ht="5.2" customHeight="1">
      <c r="B41" s="219"/>
      <c r="C41" s="219"/>
    </row>
    <row r="42" spans="2:56" ht="11.25" customHeight="1">
      <c r="B42" s="219"/>
      <c r="C42" s="217" t="str">
        <f>C15</f>
        <v>Acquired business effect</v>
      </c>
      <c r="I42" s="426">
        <f>Financials!I365</f>
        <v>0</v>
      </c>
      <c r="J42" s="426">
        <f>Financials!J365</f>
        <v>0</v>
      </c>
      <c r="K42" s="426">
        <f>Financials!K365</f>
        <v>0</v>
      </c>
      <c r="L42" s="426">
        <f>Financials!L365</f>
        <v>0</v>
      </c>
      <c r="M42" s="426">
        <f>Financials!M365</f>
        <v>0</v>
      </c>
      <c r="N42" s="426">
        <f>Financials!N365</f>
        <v>0</v>
      </c>
      <c r="O42" s="426">
        <f>Financials!O365</f>
        <v>0</v>
      </c>
      <c r="P42" s="426">
        <f>Financials!P365</f>
        <v>0</v>
      </c>
      <c r="Q42" s="426">
        <f>Financials!Q365</f>
        <v>0</v>
      </c>
      <c r="R42" s="426">
        <f>Financials!R365</f>
        <v>0</v>
      </c>
      <c r="S42" s="426">
        <f>Financials!S365</f>
        <v>0</v>
      </c>
      <c r="T42" s="426">
        <f>Financials!T365</f>
        <v>0</v>
      </c>
      <c r="U42" s="426">
        <f>Financials!U365</f>
        <v>0</v>
      </c>
      <c r="V42" s="426">
        <f>Financials!V365</f>
        <v>0</v>
      </c>
      <c r="W42" s="426">
        <f>Financials!W365</f>
        <v>0</v>
      </c>
      <c r="X42" s="426">
        <f>Financials!X365</f>
        <v>0</v>
      </c>
      <c r="Y42" s="426">
        <f>Financials!Y365</f>
        <v>0</v>
      </c>
      <c r="Z42" s="426">
        <f>Financials!Z365</f>
        <v>0</v>
      </c>
      <c r="AA42" s="426">
        <f>Financials!AA365</f>
        <v>0</v>
      </c>
      <c r="AB42" s="426">
        <f>Financials!AB365</f>
        <v>0</v>
      </c>
      <c r="AC42" s="426">
        <f>Financials!AC365</f>
        <v>0</v>
      </c>
      <c r="AD42" s="426">
        <f>Financials!AD365</f>
        <v>0</v>
      </c>
      <c r="AE42" s="426">
        <f>Financials!AE365</f>
        <v>0</v>
      </c>
      <c r="AF42" s="426">
        <f>Financials!AF365</f>
        <v>0</v>
      </c>
      <c r="AG42" s="426">
        <f>Financials!AG365</f>
        <v>0</v>
      </c>
      <c r="AH42" s="238">
        <f>CHOOSE(Case,AH43,AH44,AH45)</f>
        <v>0</v>
      </c>
      <c r="AI42" s="238">
        <f>CHOOSE(Case,AI43,AI44,AI45)</f>
        <v>0</v>
      </c>
      <c r="AJ42" s="238">
        <f>CHOOSE(Case,AJ43,AJ44,AJ45)</f>
        <v>0</v>
      </c>
      <c r="AL42" s="426">
        <f>Financials!AL365</f>
        <v>0</v>
      </c>
      <c r="AM42" s="426">
        <f>Financials!AM365</f>
        <v>5.1724137931034482E-2</v>
      </c>
      <c r="AN42" s="426">
        <f>Financials!AN365</f>
        <v>0</v>
      </c>
      <c r="AO42" s="426">
        <f>Financials!AO365</f>
        <v>0</v>
      </c>
      <c r="AP42" s="426">
        <f>Financials!AP365</f>
        <v>0</v>
      </c>
      <c r="AQ42" s="426">
        <f>Financials!AQ365</f>
        <v>0</v>
      </c>
      <c r="AR42" s="426">
        <f>Financials!AR365</f>
        <v>0</v>
      </c>
      <c r="AS42" s="426">
        <f>Financials!AS365</f>
        <v>0</v>
      </c>
      <c r="AT42" s="426">
        <f>Financials!AT365</f>
        <v>0</v>
      </c>
      <c r="AU42" s="426">
        <f>Financials!AU365</f>
        <v>0</v>
      </c>
      <c r="AV42" s="238">
        <f>CHOOSE(Case,AV43,AV44,AV45)</f>
        <v>0</v>
      </c>
      <c r="AW42" s="238">
        <f>CHOOSE(Case,AW43,AW44,AW45)</f>
        <v>0</v>
      </c>
      <c r="AX42" s="238">
        <f>CHOOSE(Case,AX43,AX44,AX45)</f>
        <v>0</v>
      </c>
    </row>
    <row r="43" spans="2:56" ht="11.25" customHeight="1">
      <c r="B43" s="219"/>
      <c r="C43" s="425" t="s">
        <v>570</v>
      </c>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297">
        <v>0</v>
      </c>
      <c r="AI43" s="297">
        <v>0</v>
      </c>
      <c r="AJ43" s="297">
        <v>0</v>
      </c>
      <c r="AL43" s="426"/>
      <c r="AM43" s="426"/>
      <c r="AN43" s="426"/>
      <c r="AO43" s="426"/>
      <c r="AP43" s="426"/>
      <c r="AQ43" s="426"/>
      <c r="AR43" s="426"/>
      <c r="AS43" s="426"/>
      <c r="AT43" s="426"/>
      <c r="AU43" s="426"/>
      <c r="AV43" s="297">
        <v>0</v>
      </c>
      <c r="AW43" s="297">
        <v>0</v>
      </c>
      <c r="AX43" s="297">
        <v>0</v>
      </c>
    </row>
    <row r="44" spans="2:56" ht="11.25" customHeight="1">
      <c r="B44" s="219"/>
      <c r="C44" s="425" t="s">
        <v>575</v>
      </c>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297">
        <v>0</v>
      </c>
      <c r="AI44" s="297">
        <v>0</v>
      </c>
      <c r="AJ44" s="297">
        <v>0</v>
      </c>
      <c r="AL44" s="426"/>
      <c r="AM44" s="426"/>
      <c r="AN44" s="426"/>
      <c r="AO44" s="426"/>
      <c r="AP44" s="426"/>
      <c r="AQ44" s="426"/>
      <c r="AR44" s="426"/>
      <c r="AS44" s="426"/>
      <c r="AT44" s="426"/>
      <c r="AU44" s="426"/>
      <c r="AV44" s="297">
        <v>0</v>
      </c>
      <c r="AW44" s="297">
        <v>0</v>
      </c>
      <c r="AX44" s="297">
        <v>0</v>
      </c>
    </row>
    <row r="45" spans="2:56" ht="11.25" customHeight="1">
      <c r="B45" s="219"/>
      <c r="C45" s="425" t="s">
        <v>569</v>
      </c>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297">
        <v>0</v>
      </c>
      <c r="AI45" s="297">
        <v>0</v>
      </c>
      <c r="AJ45" s="297">
        <v>0</v>
      </c>
      <c r="AL45" s="426"/>
      <c r="AM45" s="426"/>
      <c r="AN45" s="426"/>
      <c r="AO45" s="426"/>
      <c r="AP45" s="426"/>
      <c r="AQ45" s="426"/>
      <c r="AR45" s="426"/>
      <c r="AS45" s="426"/>
      <c r="AT45" s="426"/>
      <c r="AU45" s="426"/>
      <c r="AV45" s="297">
        <v>0</v>
      </c>
      <c r="AW45" s="297">
        <v>0</v>
      </c>
      <c r="AX45" s="297">
        <v>0</v>
      </c>
    </row>
    <row r="46" spans="2:56" ht="11.25" customHeight="1">
      <c r="B46" s="219"/>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L46" s="426"/>
      <c r="AM46" s="426"/>
      <c r="AN46" s="426"/>
      <c r="AO46" s="426"/>
      <c r="AP46" s="426"/>
      <c r="AQ46" s="426"/>
      <c r="AR46" s="426"/>
      <c r="AS46" s="426"/>
      <c r="AT46" s="426"/>
      <c r="AU46" s="426"/>
    </row>
    <row r="47" spans="2:56" ht="11.25" customHeight="1">
      <c r="B47" s="219"/>
      <c r="C47" s="217" t="str">
        <f>C20</f>
        <v>Volume / product mix effect</v>
      </c>
      <c r="I47" s="426">
        <f>Financials!I366</f>
        <v>9.5076400679117143E-2</v>
      </c>
      <c r="J47" s="426">
        <f>Financials!J366</f>
        <v>2.3219814241486069E-2</v>
      </c>
      <c r="K47" s="426">
        <f>Financials!K366</f>
        <v>1.2539184952978056E-2</v>
      </c>
      <c r="L47" s="426">
        <f>Financials!L366</f>
        <v>5.8219178082191778E-2</v>
      </c>
      <c r="M47" s="426">
        <f>Financials!M366</f>
        <v>4.5741324921135647E-2</v>
      </c>
      <c r="N47" s="426">
        <f>Financials!N366</f>
        <v>8.8280060882800604E-2</v>
      </c>
      <c r="O47" s="426">
        <f>Financials!O366</f>
        <v>8.9783281733746126E-2</v>
      </c>
      <c r="P47" s="426">
        <f>Financials!P366</f>
        <v>-2.3622047244094488E-2</v>
      </c>
      <c r="Q47" s="426">
        <f>Financials!Q366</f>
        <v>-4.1847041847041848E-2</v>
      </c>
      <c r="R47" s="426">
        <f>Financials!R366</f>
        <v>-3.292181069958848E-2</v>
      </c>
      <c r="S47" s="426">
        <f>Financials!S366</f>
        <v>4.2313117066290554E-3</v>
      </c>
      <c r="T47" s="426">
        <f>Financials!T366</f>
        <v>4.0064102564102567E-2</v>
      </c>
      <c r="U47" s="426">
        <f>Financials!U366</f>
        <v>-2.5875190258751901E-2</v>
      </c>
      <c r="V47" s="426">
        <f>Financials!V366</f>
        <v>-0.15660919540229884</v>
      </c>
      <c r="W47" s="426">
        <f>Financials!W366</f>
        <v>-2.2955523672883789E-2</v>
      </c>
      <c r="X47" s="426">
        <f>Financials!X366</f>
        <v>6.4263322884012541E-2</v>
      </c>
      <c r="Y47" s="426">
        <f>Financials!Y366</f>
        <v>0.15121951219512195</v>
      </c>
      <c r="Z47" s="426">
        <f>Financials!Z366</f>
        <v>0.31216931216931215</v>
      </c>
      <c r="AA47" s="426">
        <f>Financials!AA366</f>
        <v>9.880239520958084E-2</v>
      </c>
      <c r="AB47" s="426">
        <f>Financials!AB366</f>
        <v>0.10385756676557864</v>
      </c>
      <c r="AC47" s="426">
        <f>Financials!AC366</f>
        <v>-5.4469273743016758E-2</v>
      </c>
      <c r="AD47" s="426">
        <f>Financials!AD366</f>
        <v>-1.3003901170351105E-2</v>
      </c>
      <c r="AE47" s="426">
        <f>Financials!AE366</f>
        <v>3.1168831168831169E-2</v>
      </c>
      <c r="AF47" s="426">
        <f>Financials!AF366</f>
        <v>-0.13212435233160622</v>
      </c>
      <c r="AG47" s="426">
        <f>Financials!AG366</f>
        <v>-5.563093622795115E-2</v>
      </c>
      <c r="AH47" s="238">
        <f>CHOOSE(Case,AH48,AH49,AH50)</f>
        <v>-0.02</v>
      </c>
      <c r="AI47" s="238">
        <f>CHOOSE(Case,AI48,AI49,AI50)</f>
        <v>0.05</v>
      </c>
      <c r="AJ47" s="238">
        <f>CHOOSE(Case,AJ48,AJ49,AJ50)</f>
        <v>0.1</v>
      </c>
      <c r="AL47" s="426">
        <f>Financials!AL366</f>
        <v>0</v>
      </c>
      <c r="AM47" s="426">
        <f>Financials!AM366</f>
        <v>3.700588730025231E-2</v>
      </c>
      <c r="AN47" s="426">
        <f>Financials!AN366</f>
        <v>4.9295774647887321E-2</v>
      </c>
      <c r="AO47" s="426">
        <f>Financials!AO366</f>
        <v>4.599104599104599E-2</v>
      </c>
      <c r="AP47" s="426">
        <f>Financials!AP366</f>
        <v>5.0544323483670293E-2</v>
      </c>
      <c r="AQ47" s="426">
        <f>Financials!AQ366</f>
        <v>-9.0744101633393835E-3</v>
      </c>
      <c r="AR47" s="426">
        <f>Financials!AR366</f>
        <v>-3.757440476190476E-2</v>
      </c>
      <c r="AS47" s="426">
        <f>Financials!AS366</f>
        <v>0.16085578446909668</v>
      </c>
      <c r="AT47" s="426">
        <f>Financials!AT366</f>
        <v>-4.1955731747604891E-2</v>
      </c>
      <c r="AU47" s="426">
        <f>Financials!AU366</f>
        <v>1.8734019332709701E-2</v>
      </c>
      <c r="AV47" s="238">
        <f>CHOOSE(Case,AV48,AV49,AV50)</f>
        <v>0.05</v>
      </c>
      <c r="AW47" s="238">
        <f>CHOOSE(Case,AW48,AW49,AW50)</f>
        <v>0.04</v>
      </c>
      <c r="AX47" s="238">
        <f>CHOOSE(Case,AX48,AX49,AX50)</f>
        <v>2.5000000000000001E-2</v>
      </c>
      <c r="AY47" s="1538"/>
      <c r="AZ47" s="1539"/>
      <c r="BA47" s="1539"/>
      <c r="BB47" s="1539"/>
      <c r="BC47" s="1539"/>
      <c r="BD47" s="739"/>
    </row>
    <row r="48" spans="2:56" ht="11.25" customHeight="1">
      <c r="B48" s="219"/>
      <c r="C48" s="425" t="s">
        <v>570</v>
      </c>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297">
        <f t="shared" ref="AH48:AJ48" si="16">+AH49+0.7%</f>
        <v>-1.3000000000000001E-2</v>
      </c>
      <c r="AI48" s="297">
        <f t="shared" si="16"/>
        <v>5.7000000000000002E-2</v>
      </c>
      <c r="AJ48" s="297">
        <f t="shared" si="16"/>
        <v>0.10700000000000001</v>
      </c>
      <c r="AL48" s="426"/>
      <c r="AM48" s="426"/>
      <c r="AN48" s="426"/>
      <c r="AO48" s="426"/>
      <c r="AP48" s="426"/>
      <c r="AQ48" s="426"/>
      <c r="AR48" s="426"/>
      <c r="AS48" s="426"/>
      <c r="AT48" s="426"/>
      <c r="AU48" s="426"/>
      <c r="AV48" s="297">
        <f>+AV49+1%</f>
        <v>6.0000000000000005E-2</v>
      </c>
      <c r="AW48" s="297">
        <f>+AW49+1%</f>
        <v>0.05</v>
      </c>
      <c r="AX48" s="297">
        <f>+AX49+1%</f>
        <v>3.5000000000000003E-2</v>
      </c>
      <c r="AY48" s="1539"/>
      <c r="AZ48" s="1539"/>
      <c r="BA48" s="1539"/>
      <c r="BB48" s="1539"/>
      <c r="BC48" s="1539"/>
      <c r="BD48" s="739"/>
    </row>
    <row r="49" spans="2:56" ht="11.25" customHeight="1">
      <c r="B49" s="219"/>
      <c r="C49" s="425" t="s">
        <v>575</v>
      </c>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297">
        <v>-0.02</v>
      </c>
      <c r="AI49" s="297">
        <v>0.05</v>
      </c>
      <c r="AJ49" s="297">
        <v>0.1</v>
      </c>
      <c r="AL49" s="426"/>
      <c r="AM49" s="426"/>
      <c r="AN49" s="426"/>
      <c r="AO49" s="426"/>
      <c r="AP49" s="426"/>
      <c r="AQ49" s="426"/>
      <c r="AR49" s="426"/>
      <c r="AS49" s="426"/>
      <c r="AT49" s="426"/>
      <c r="AU49" s="426"/>
      <c r="AV49" s="297">
        <v>0.05</v>
      </c>
      <c r="AW49" s="297">
        <v>0.04</v>
      </c>
      <c r="AX49" s="297">
        <v>2.5000000000000001E-2</v>
      </c>
      <c r="AY49" s="1539"/>
      <c r="AZ49" s="1539"/>
      <c r="BA49" s="1539"/>
      <c r="BB49" s="1539"/>
      <c r="BC49" s="1539"/>
      <c r="BD49" s="739"/>
    </row>
    <row r="50" spans="2:56" ht="11.25" customHeight="1">
      <c r="B50" s="219"/>
      <c r="C50" s="425" t="s">
        <v>569</v>
      </c>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297">
        <f t="shared" ref="AH50:AJ50" si="17">+AH49-3%</f>
        <v>-0.05</v>
      </c>
      <c r="AI50" s="297">
        <f t="shared" si="17"/>
        <v>2.0000000000000004E-2</v>
      </c>
      <c r="AJ50" s="297">
        <f t="shared" si="17"/>
        <v>7.0000000000000007E-2</v>
      </c>
      <c r="AL50" s="426"/>
      <c r="AM50" s="426"/>
      <c r="AN50" s="426"/>
      <c r="AO50" s="426"/>
      <c r="AP50" s="426"/>
      <c r="AQ50" s="426"/>
      <c r="AR50" s="426"/>
      <c r="AS50" s="426"/>
      <c r="AT50" s="426"/>
      <c r="AU50" s="426"/>
      <c r="AV50" s="297">
        <f>+AV49-2%</f>
        <v>3.0000000000000002E-2</v>
      </c>
      <c r="AW50" s="297">
        <f>+AW49-2%</f>
        <v>0.02</v>
      </c>
      <c r="AX50" s="297">
        <f>+AX49-2%</f>
        <v>5.000000000000001E-3</v>
      </c>
      <c r="AY50" s="1539"/>
      <c r="AZ50" s="1539"/>
      <c r="BA50" s="1539"/>
      <c r="BB50" s="1539"/>
      <c r="BC50" s="1539"/>
      <c r="BD50" s="739"/>
    </row>
    <row r="51" spans="2:56" ht="11.25" customHeight="1">
      <c r="B51" s="219"/>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L51" s="426"/>
      <c r="AM51" s="426"/>
      <c r="AN51" s="426"/>
      <c r="AO51" s="426"/>
      <c r="AP51" s="426"/>
      <c r="AQ51" s="426"/>
      <c r="AR51" s="426"/>
      <c r="AS51" s="426"/>
      <c r="AT51" s="426"/>
      <c r="AU51" s="426"/>
    </row>
    <row r="52" spans="2:56" ht="11.25" customHeight="1">
      <c r="B52" s="219"/>
      <c r="C52" s="217" t="str">
        <f>C25</f>
        <v>Price effect</v>
      </c>
      <c r="I52" s="426">
        <f>Financials!I367</f>
        <v>-1.0186757215619695E-2</v>
      </c>
      <c r="J52" s="426">
        <f>Financials!J367</f>
        <v>3.0959752321981426E-3</v>
      </c>
      <c r="K52" s="426">
        <f>Financials!K367</f>
        <v>-3.134796238244514E-3</v>
      </c>
      <c r="L52" s="426">
        <f>Financials!L367</f>
        <v>1.1986301369863013E-2</v>
      </c>
      <c r="M52" s="426">
        <f>Financials!M367</f>
        <v>1.1041009463722398E-2</v>
      </c>
      <c r="N52" s="426">
        <f>Financials!N367</f>
        <v>-3.0441400304414001E-3</v>
      </c>
      <c r="O52" s="426">
        <f>Financials!O367</f>
        <v>1.0835913312693499E-2</v>
      </c>
      <c r="P52" s="426">
        <f>Financials!P367</f>
        <v>1.5748031496062992E-2</v>
      </c>
      <c r="Q52" s="426">
        <f>Financials!Q367</f>
        <v>1.1544011544011544E-2</v>
      </c>
      <c r="R52" s="426">
        <f>Financials!R367</f>
        <v>6.8587105624142658E-3</v>
      </c>
      <c r="S52" s="426">
        <f>Financials!S367</f>
        <v>-1.1283497884344146E-2</v>
      </c>
      <c r="T52" s="426">
        <f>Financials!T367</f>
        <v>-8.0128205128205121E-3</v>
      </c>
      <c r="U52" s="426">
        <f>Financials!U367</f>
        <v>-2.8919330289193301E-2</v>
      </c>
      <c r="V52" s="426">
        <f>Financials!V367</f>
        <v>-2.1551724137931036E-2</v>
      </c>
      <c r="W52" s="426">
        <f>Financials!W367</f>
        <v>-2.5824964131994262E-2</v>
      </c>
      <c r="X52" s="426">
        <f>Financials!X367</f>
        <v>-2.3510971786833857E-2</v>
      </c>
      <c r="Y52" s="426">
        <f>Financials!Y367</f>
        <v>-1.3008130081300813E-2</v>
      </c>
      <c r="Z52" s="426">
        <f>Financials!Z367</f>
        <v>1.5873015873015872E-2</v>
      </c>
      <c r="AA52" s="426">
        <f>Financials!AA367</f>
        <v>4.3413173652694613E-2</v>
      </c>
      <c r="AB52" s="426">
        <f>Financials!AB367</f>
        <v>4.0059347181008904E-2</v>
      </c>
      <c r="AC52" s="426">
        <f>Financials!AC367</f>
        <v>9.6368715083798878E-2</v>
      </c>
      <c r="AD52" s="426">
        <f>Financials!AD367</f>
        <v>0.13394018205461639</v>
      </c>
      <c r="AE52" s="426">
        <f>Financials!AE367</f>
        <v>0.15974025974025974</v>
      </c>
      <c r="AF52" s="426">
        <f>Financials!AF367</f>
        <v>0.12435233160621761</v>
      </c>
      <c r="AG52" s="426">
        <f>Financials!AG367</f>
        <v>9.0909090909090912E-2</v>
      </c>
      <c r="AH52" s="238">
        <f>CHOOSE(Case,AH53,AH54,AH55)</f>
        <v>0.01</v>
      </c>
      <c r="AI52" s="238">
        <f>CHOOSE(Case,AI53,AI54,AI55)</f>
        <v>0.01</v>
      </c>
      <c r="AJ52" s="238">
        <f>CHOOSE(Case,AJ53,AJ54,AJ55)</f>
        <v>0.01</v>
      </c>
      <c r="AL52" s="426">
        <f>Financials!AL367</f>
        <v>0</v>
      </c>
      <c r="AM52" s="426">
        <f>Financials!AM367</f>
        <v>-3.5323801513877207E-2</v>
      </c>
      <c r="AN52" s="426">
        <f>Financials!AN367</f>
        <v>-2.775476387738194E-2</v>
      </c>
      <c r="AO52" s="426">
        <f>Financials!AO367</f>
        <v>4.0700040700040698E-4</v>
      </c>
      <c r="AP52" s="426">
        <f>Financials!AP367</f>
        <v>8.553654743390357E-3</v>
      </c>
      <c r="AQ52" s="426">
        <f>Financials!AQ367</f>
        <v>0</v>
      </c>
      <c r="AR52" s="426">
        <f>Financials!AR367</f>
        <v>-2.492559523809524E-2</v>
      </c>
      <c r="AS52" s="426">
        <f>Financials!AS367</f>
        <v>2.2583201267828843E-2</v>
      </c>
      <c r="AT52" s="426">
        <f>Financials!AT367</f>
        <v>0.12917079616782293</v>
      </c>
      <c r="AU52" s="426">
        <f>Financials!AU367</f>
        <v>2.8593701278453384E-2</v>
      </c>
      <c r="AV52" s="238">
        <f>CHOOSE(Case,AV53,AV54,AV55)</f>
        <v>0.02</v>
      </c>
      <c r="AW52" s="238">
        <f>CHOOSE(Case,AW53,AW54,AW55)</f>
        <v>0.01</v>
      </c>
      <c r="AX52" s="238">
        <f>CHOOSE(Case,AX53,AX54,AX55)</f>
        <v>0.01</v>
      </c>
      <c r="AY52" s="1538"/>
      <c r="AZ52" s="1539"/>
      <c r="BA52" s="1539"/>
      <c r="BB52" s="1539"/>
      <c r="BC52" s="1539"/>
      <c r="BD52" s="739"/>
    </row>
    <row r="53" spans="2:56" ht="11.25" customHeight="1">
      <c r="B53" s="219"/>
      <c r="C53" s="425" t="s">
        <v>570</v>
      </c>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297">
        <f t="shared" ref="AH53:AJ53" si="18">+AH54+0.01</f>
        <v>0.02</v>
      </c>
      <c r="AI53" s="297">
        <f t="shared" si="18"/>
        <v>0.02</v>
      </c>
      <c r="AJ53" s="297">
        <f t="shared" si="18"/>
        <v>0.02</v>
      </c>
      <c r="AL53" s="426"/>
      <c r="AM53" s="426"/>
      <c r="AN53" s="426"/>
      <c r="AO53" s="426"/>
      <c r="AP53" s="426"/>
      <c r="AQ53" s="426"/>
      <c r="AR53" s="426"/>
      <c r="AS53" s="426"/>
      <c r="AT53" s="426"/>
      <c r="AU53" s="426"/>
      <c r="AV53" s="297">
        <f>+AV54+0.01</f>
        <v>0.03</v>
      </c>
      <c r="AW53" s="297">
        <f>+AW54+0.01</f>
        <v>0.02</v>
      </c>
      <c r="AX53" s="297">
        <f>+AX54+0.01</f>
        <v>0.02</v>
      </c>
      <c r="AY53" s="1539"/>
      <c r="AZ53" s="1539"/>
      <c r="BA53" s="1539"/>
      <c r="BB53" s="1539"/>
      <c r="BC53" s="1539"/>
      <c r="BD53" s="739"/>
    </row>
    <row r="54" spans="2:56" ht="11.25" customHeight="1">
      <c r="B54" s="219"/>
      <c r="C54" s="425" t="s">
        <v>575</v>
      </c>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297">
        <v>0.01</v>
      </c>
      <c r="AI54" s="297">
        <v>0.01</v>
      </c>
      <c r="AJ54" s="297">
        <v>0.01</v>
      </c>
      <c r="AL54" s="426"/>
      <c r="AM54" s="426"/>
      <c r="AN54" s="426"/>
      <c r="AO54" s="426"/>
      <c r="AP54" s="426"/>
      <c r="AQ54" s="426"/>
      <c r="AR54" s="426"/>
      <c r="AS54" s="426"/>
      <c r="AT54" s="426"/>
      <c r="AU54" s="426"/>
      <c r="AV54" s="297">
        <v>0.02</v>
      </c>
      <c r="AW54" s="297">
        <v>0.01</v>
      </c>
      <c r="AX54" s="297">
        <v>0.01</v>
      </c>
      <c r="AY54" s="1539"/>
      <c r="AZ54" s="1539"/>
      <c r="BA54" s="1539"/>
      <c r="BB54" s="1539"/>
      <c r="BC54" s="1539"/>
      <c r="BD54" s="739"/>
    </row>
    <row r="55" spans="2:56" ht="11.25" customHeight="1">
      <c r="B55" s="219"/>
      <c r="C55" s="425" t="s">
        <v>569</v>
      </c>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297">
        <f t="shared" ref="AH55:AJ55" si="19">+AH54-2%</f>
        <v>-0.01</v>
      </c>
      <c r="AI55" s="297">
        <f t="shared" si="19"/>
        <v>-0.01</v>
      </c>
      <c r="AJ55" s="297">
        <f t="shared" si="19"/>
        <v>-0.01</v>
      </c>
      <c r="AL55" s="426"/>
      <c r="AM55" s="426"/>
      <c r="AN55" s="426"/>
      <c r="AO55" s="426"/>
      <c r="AP55" s="426"/>
      <c r="AQ55" s="426"/>
      <c r="AR55" s="426"/>
      <c r="AS55" s="426"/>
      <c r="AT55" s="426"/>
      <c r="AU55" s="426"/>
      <c r="AV55" s="297">
        <v>0</v>
      </c>
      <c r="AW55" s="297">
        <v>0</v>
      </c>
      <c r="AX55" s="297">
        <v>0</v>
      </c>
      <c r="AY55" s="1539"/>
      <c r="AZ55" s="1539"/>
      <c r="BA55" s="1539"/>
      <c r="BB55" s="1539"/>
      <c r="BC55" s="1539"/>
      <c r="BD55" s="739"/>
    </row>
    <row r="56" spans="2:56" ht="11.25" customHeight="1">
      <c r="B56" s="219"/>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L56" s="426"/>
      <c r="AM56" s="426"/>
      <c r="AN56" s="426"/>
      <c r="AO56" s="426"/>
      <c r="AP56" s="426"/>
      <c r="AQ56" s="426"/>
      <c r="AR56" s="426"/>
      <c r="AS56" s="426"/>
      <c r="AT56" s="426"/>
      <c r="AU56" s="426"/>
    </row>
    <row r="57" spans="2:56" ht="11.25" customHeight="1">
      <c r="B57" s="219"/>
      <c r="C57" s="217" t="str">
        <f>+C30</f>
        <v>Exchange rate effect</v>
      </c>
      <c r="I57" s="426">
        <f>Financials!I368</f>
        <v>-8.4889643463497456E-3</v>
      </c>
      <c r="J57" s="426">
        <f>Financials!J368</f>
        <v>-9.2879256965944269E-3</v>
      </c>
      <c r="K57" s="426">
        <f>Financials!K368</f>
        <v>3.134796238244514E-3</v>
      </c>
      <c r="L57" s="426">
        <f>Financials!L368</f>
        <v>1.7123287671232876E-2</v>
      </c>
      <c r="M57" s="426">
        <f>Financials!M368</f>
        <v>3.6277602523659309E-2</v>
      </c>
      <c r="N57" s="426">
        <f>Financials!N368</f>
        <v>2.4353120243531201E-2</v>
      </c>
      <c r="O57" s="426">
        <f>Financials!O368</f>
        <v>-3.0959752321981426E-3</v>
      </c>
      <c r="P57" s="426">
        <f>Financials!P368</f>
        <v>-9.4488188976377951E-3</v>
      </c>
      <c r="Q57" s="426">
        <f>Financials!Q368</f>
        <v>-2.1645021645021644E-2</v>
      </c>
      <c r="R57" s="426">
        <f>Financials!R368</f>
        <v>-1.9204389574759947E-2</v>
      </c>
      <c r="S57" s="426">
        <f>Financials!S368</f>
        <v>-9.8730606488011286E-3</v>
      </c>
      <c r="T57" s="426">
        <f>Financials!T368</f>
        <v>-9.6153846153846159E-3</v>
      </c>
      <c r="U57" s="426">
        <f>Financials!U368</f>
        <v>-9.1324200913242004E-3</v>
      </c>
      <c r="V57" s="426">
        <f>Financials!V368</f>
        <v>-7.1839080459770114E-3</v>
      </c>
      <c r="W57" s="426">
        <f>Financials!W368</f>
        <v>7.1736011477761836E-3</v>
      </c>
      <c r="X57" s="426">
        <f>Financials!X368</f>
        <v>1.5673981191222569E-2</v>
      </c>
      <c r="Y57" s="426">
        <f>Financials!Y368</f>
        <v>2.6016260162601626E-2</v>
      </c>
      <c r="Z57" s="426">
        <f>Financials!Z368</f>
        <v>2.821869488536155E-2</v>
      </c>
      <c r="AA57" s="426">
        <f>Financials!AA368</f>
        <v>1.0479041916167664E-2</v>
      </c>
      <c r="AB57" s="426">
        <f>Financials!AB368</f>
        <v>1.483679525222552E-3</v>
      </c>
      <c r="AC57" s="426">
        <f>Financials!AC368</f>
        <v>-1.2569832402234637E-2</v>
      </c>
      <c r="AD57" s="426">
        <f>Financials!AD368</f>
        <v>-2.0806241872561769E-2</v>
      </c>
      <c r="AE57" s="426">
        <f>Financials!AE368</f>
        <v>-3.7662337662337661E-2</v>
      </c>
      <c r="AF57" s="426">
        <f>Financials!AF368</f>
        <v>-3.8860103626943004E-2</v>
      </c>
      <c r="AG57" s="426">
        <f>Financials!AG368</f>
        <v>-2.8493894165535955E-2</v>
      </c>
      <c r="AH57" s="238">
        <f>CHOOSE(Case,AH58,AH59,AH60)</f>
        <v>0</v>
      </c>
      <c r="AI57" s="238">
        <f>CHOOSE(Case,AI58,AI59,AI60)</f>
        <v>0</v>
      </c>
      <c r="AJ57" s="238">
        <f>CHOOSE(Case,AJ58,AJ59,AJ60)</f>
        <v>0</v>
      </c>
      <c r="AL57" s="426">
        <f>Financials!AL368</f>
        <v>0</v>
      </c>
      <c r="AM57" s="426">
        <f>Financials!AM368</f>
        <v>-3.8267451640033645E-2</v>
      </c>
      <c r="AN57" s="426">
        <f>Financials!AN368</f>
        <v>-3.728251864125932E-3</v>
      </c>
      <c r="AO57" s="426">
        <f>Financials!AO368</f>
        <v>4.0700040700040698E-4</v>
      </c>
      <c r="AP57" s="426">
        <f>Financials!AP368</f>
        <v>1.2052877138413685E-2</v>
      </c>
      <c r="AQ57" s="426">
        <f>Financials!AQ368</f>
        <v>-1.5245009074410164E-2</v>
      </c>
      <c r="AR57" s="426">
        <f>Financials!AR368</f>
        <v>1.488095238095238E-3</v>
      </c>
      <c r="AS57" s="426">
        <f>Financials!AS368</f>
        <v>1.5847860538827259E-2</v>
      </c>
      <c r="AT57" s="426">
        <f>Financials!AT368</f>
        <v>-2.7750247770069375E-2</v>
      </c>
      <c r="AU57" s="426">
        <f>Financials!AU368</f>
        <v>-6.5481758652946682E-3</v>
      </c>
      <c r="AV57" s="238">
        <f>CHOOSE(Case,AV58,AV59,AV60)</f>
        <v>0</v>
      </c>
      <c r="AW57" s="238">
        <f>CHOOSE(Case,AW58,AW59,AW60)</f>
        <v>0</v>
      </c>
      <c r="AX57" s="238">
        <f>CHOOSE(Case,AX58,AX59,AX60)</f>
        <v>0</v>
      </c>
    </row>
    <row r="58" spans="2:56" ht="11.25" customHeight="1">
      <c r="B58" s="219"/>
      <c r="C58" s="425" t="s">
        <v>570</v>
      </c>
      <c r="AH58" s="297">
        <v>0</v>
      </c>
      <c r="AI58" s="297">
        <v>0</v>
      </c>
      <c r="AJ58" s="297">
        <v>0</v>
      </c>
      <c r="AV58" s="297">
        <f>+AV59+0.004</f>
        <v>4.0000000000000001E-3</v>
      </c>
      <c r="AW58" s="297">
        <f>+AW59+0.004</f>
        <v>4.0000000000000001E-3</v>
      </c>
      <c r="AX58" s="297">
        <f>+AX59+0.004</f>
        <v>4.0000000000000001E-3</v>
      </c>
    </row>
    <row r="59" spans="2:56" ht="11.25" customHeight="1">
      <c r="B59" s="219"/>
      <c r="C59" s="425" t="s">
        <v>575</v>
      </c>
      <c r="AH59" s="297">
        <v>0</v>
      </c>
      <c r="AI59" s="297">
        <v>0</v>
      </c>
      <c r="AJ59" s="297">
        <v>0</v>
      </c>
      <c r="AV59" s="297">
        <v>0</v>
      </c>
      <c r="AW59" s="297">
        <v>0</v>
      </c>
      <c r="AX59" s="297">
        <v>0</v>
      </c>
    </row>
    <row r="60" spans="2:56" ht="11.25" customHeight="1">
      <c r="B60" s="219"/>
      <c r="C60" s="425" t="s">
        <v>569</v>
      </c>
      <c r="AH60" s="297">
        <f t="shared" ref="AH60:AJ60" si="20">+AH59-1%</f>
        <v>-0.01</v>
      </c>
      <c r="AI60" s="297">
        <f t="shared" si="20"/>
        <v>-0.01</v>
      </c>
      <c r="AJ60" s="297">
        <f t="shared" si="20"/>
        <v>-0.01</v>
      </c>
      <c r="AV60" s="297">
        <v>-5.0000000000000001E-3</v>
      </c>
      <c r="AW60" s="297">
        <v>-5.0000000000000001E-3</v>
      </c>
      <c r="AX60" s="297">
        <v>-5.0000000000000001E-3</v>
      </c>
    </row>
    <row r="61" spans="2:56" ht="11.25" customHeight="1">
      <c r="B61" s="219"/>
      <c r="C61" s="425"/>
    </row>
    <row r="62" spans="2:56" ht="11.25" customHeight="1">
      <c r="B62" s="219"/>
      <c r="C62" s="217" t="s">
        <v>715</v>
      </c>
      <c r="E62" s="426">
        <f>+Financials!E382</f>
        <v>0.18336162988115451</v>
      </c>
      <c r="F62" s="426">
        <f>+Financials!F382</f>
        <v>0.2043343653250774</v>
      </c>
      <c r="G62" s="426">
        <f>+Financials!G382</f>
        <v>0.22100313479623823</v>
      </c>
      <c r="H62" s="426">
        <f>+Financials!H382</f>
        <v>0.1541095890410959</v>
      </c>
      <c r="I62" s="426">
        <f>+Financials!I382</f>
        <v>0.19085173501577288</v>
      </c>
      <c r="J62" s="426">
        <f>+Financials!J382</f>
        <v>0.20852359208523591</v>
      </c>
      <c r="K62" s="426">
        <f>+Financials!K382</f>
        <v>0.21981424148606812</v>
      </c>
      <c r="L62" s="426">
        <f>+Financials!L382</f>
        <v>0.14803149606299212</v>
      </c>
      <c r="M62" s="426">
        <f>+Financials!M382</f>
        <v>0.19913419913419914</v>
      </c>
      <c r="N62" s="426">
        <f>+Financials!N382</f>
        <v>0.19753086419753085</v>
      </c>
      <c r="O62" s="426">
        <f>+Financials!O382</f>
        <v>0.20733427362482371</v>
      </c>
      <c r="P62" s="426">
        <f>+Financials!P382</f>
        <v>0.11538461538461539</v>
      </c>
      <c r="Q62" s="426">
        <f>+Financials!Q382</f>
        <v>0.15525114155251141</v>
      </c>
      <c r="R62" s="426">
        <f>+Financials!R382</f>
        <v>0.20833333333333334</v>
      </c>
      <c r="S62" s="426">
        <f>+Financials!S382</f>
        <v>0.22812051649928264</v>
      </c>
      <c r="T62" s="426">
        <f>+Financials!T382</f>
        <v>0.17554858934169279</v>
      </c>
      <c r="U62" s="426">
        <f>+Financials!U382</f>
        <v>0.17398373983739837</v>
      </c>
      <c r="V62" s="426">
        <f>+Financials!V382</f>
        <v>0.1128747795414462</v>
      </c>
      <c r="W62" s="426">
        <f>+Financials!W382</f>
        <v>0.20808383233532934</v>
      </c>
      <c r="X62" s="426">
        <f>+Financials!X382</f>
        <v>0.20474777448071216</v>
      </c>
      <c r="Y62" s="426">
        <f>+Financials!Y382</f>
        <v>0.21089385474860337</v>
      </c>
      <c r="Z62" s="426">
        <f>+Financials!Z382</f>
        <v>0.19895968790637192</v>
      </c>
      <c r="AA62" s="426">
        <f>+Financials!AA382</f>
        <v>0.16623376623376623</v>
      </c>
      <c r="AB62" s="426">
        <f>+Financials!AB382</f>
        <v>0.12953367875647667</v>
      </c>
      <c r="AC62" s="426">
        <f>+Financials!AC382</f>
        <v>8.4124830393487116E-2</v>
      </c>
      <c r="AD62" s="426">
        <f>+Financials!AD382</f>
        <v>0.1867612293144208</v>
      </c>
      <c r="AE62" s="426">
        <f>+Financials!AE382</f>
        <v>0.14864864864864866</v>
      </c>
      <c r="AF62" s="426">
        <f>+Financials!AF382</f>
        <v>5.8423913043478264E-2</v>
      </c>
      <c r="AG62" s="426">
        <f>+Financials!AG382</f>
        <v>0.11590296495956873</v>
      </c>
      <c r="AH62" s="238">
        <f>CHOOSE(Case,AH63,AH64,AH65)</f>
        <v>0.15</v>
      </c>
      <c r="AI62" s="238">
        <f>CHOOSE(Case,AI63,AI64,AI65)</f>
        <v>0.17</v>
      </c>
      <c r="AJ62" s="238">
        <f>CHOOSE(Case,AJ63,AJ64,AJ65)</f>
        <v>0.13</v>
      </c>
      <c r="AL62" s="426">
        <f>+Financials!AL382</f>
        <v>0.12321278385197645</v>
      </c>
      <c r="AM62" s="426">
        <f>+Financials!AM382</f>
        <v>0.15907207953603977</v>
      </c>
      <c r="AN62" s="426">
        <f>+Financials!AN382</f>
        <v>0.19169719169719171</v>
      </c>
      <c r="AO62" s="426">
        <f>+Financials!AO382</f>
        <v>0.19206842923794712</v>
      </c>
      <c r="AP62" s="426">
        <f>+Financials!AP382</f>
        <v>0.18185117967332123</v>
      </c>
      <c r="AQ62" s="426">
        <f>+Financials!AQ382</f>
        <v>0.19270833333333334</v>
      </c>
      <c r="AR62" s="426">
        <f>+Financials!AR382</f>
        <v>0.1774960380348653</v>
      </c>
      <c r="AS62" s="426">
        <f>+Financials!AS382</f>
        <v>0.17575156921043938</v>
      </c>
      <c r="AT62" s="426">
        <f>+Financials!AT382</f>
        <v>0.12316806984720922</v>
      </c>
      <c r="AU62" s="426">
        <f>+Financials!AU382</f>
        <v>0.14316503783952209</v>
      </c>
      <c r="AV62" s="238">
        <f>CHOOSE(Case,AV63,AV64,AV65)</f>
        <v>0.15</v>
      </c>
      <c r="AW62" s="238">
        <f>CHOOSE(Case,AW63,AW64,AW65)</f>
        <v>0.15</v>
      </c>
      <c r="AX62" s="238">
        <f>CHOOSE(Case,AX63,AX64,AX65)</f>
        <v>0.16</v>
      </c>
      <c r="AY62" s="1537"/>
      <c r="AZ62" s="1537"/>
      <c r="BA62" s="1537"/>
      <c r="BB62" s="1537"/>
      <c r="BC62" s="1537"/>
      <c r="BD62" s="737"/>
    </row>
    <row r="63" spans="2:56" ht="11.25" customHeight="1">
      <c r="B63" s="219"/>
      <c r="C63" s="425" t="s">
        <v>570</v>
      </c>
      <c r="AH63" s="297">
        <f t="shared" ref="AH63:AJ63" si="21">+AH64+0.01</f>
        <v>0.16</v>
      </c>
      <c r="AI63" s="297">
        <f t="shared" si="21"/>
        <v>0.18000000000000002</v>
      </c>
      <c r="AJ63" s="297">
        <f t="shared" si="21"/>
        <v>0.14000000000000001</v>
      </c>
      <c r="AV63" s="297">
        <f>+AV64+0.01</f>
        <v>0.16</v>
      </c>
      <c r="AW63" s="297">
        <f>+AW64+0.01</f>
        <v>0.16</v>
      </c>
      <c r="AX63" s="297">
        <f>+AX64+0.01</f>
        <v>0.17</v>
      </c>
      <c r="AY63" s="1537"/>
      <c r="AZ63" s="1537"/>
      <c r="BA63" s="1537"/>
      <c r="BB63" s="1537"/>
      <c r="BC63" s="1537"/>
      <c r="BD63" s="737"/>
    </row>
    <row r="64" spans="2:56" ht="11.25" customHeight="1">
      <c r="B64" s="219"/>
      <c r="C64" s="425" t="s">
        <v>575</v>
      </c>
      <c r="AH64" s="297">
        <v>0.15</v>
      </c>
      <c r="AI64" s="297">
        <v>0.17</v>
      </c>
      <c r="AJ64" s="297">
        <v>0.13</v>
      </c>
      <c r="AV64" s="297">
        <v>0.15</v>
      </c>
      <c r="AW64" s="297">
        <v>0.15</v>
      </c>
      <c r="AX64" s="297">
        <v>0.16</v>
      </c>
      <c r="AY64" s="1537"/>
      <c r="AZ64" s="1537"/>
      <c r="BA64" s="1537"/>
      <c r="BB64" s="1537"/>
      <c r="BC64" s="1537"/>
      <c r="BD64" s="737"/>
    </row>
    <row r="65" spans="2:56" ht="11.25" customHeight="1">
      <c r="B65" s="219"/>
      <c r="C65" s="425" t="s">
        <v>569</v>
      </c>
      <c r="AH65" s="297">
        <f t="shared" ref="AH65:AJ65" si="22">+AH64-0.03</f>
        <v>0.12</v>
      </c>
      <c r="AI65" s="297">
        <f t="shared" si="22"/>
        <v>0.14000000000000001</v>
      </c>
      <c r="AJ65" s="297">
        <f t="shared" si="22"/>
        <v>0.1</v>
      </c>
      <c r="AV65" s="297">
        <f>+AV64-0.01</f>
        <v>0.13999999999999999</v>
      </c>
      <c r="AW65" s="297">
        <f>+AW64-0.01</f>
        <v>0.13999999999999999</v>
      </c>
      <c r="AX65" s="297">
        <f>+AX64-0.01</f>
        <v>0.15</v>
      </c>
      <c r="AY65" s="1537"/>
      <c r="AZ65" s="1537"/>
      <c r="BA65" s="1537"/>
      <c r="BB65" s="1537"/>
      <c r="BC65" s="1537"/>
      <c r="BD65" s="737"/>
    </row>
    <row r="66" spans="2:56" ht="11.25" customHeight="1">
      <c r="B66" s="219"/>
      <c r="C66" s="428"/>
    </row>
    <row r="67" spans="2:56" ht="11.25" customHeight="1">
      <c r="B67" s="219" t="s">
        <v>14</v>
      </c>
      <c r="C67" s="428" t="str">
        <f>Financials!C432</f>
        <v>Chemical Intermediates</v>
      </c>
    </row>
    <row r="68" spans="2:56" ht="5.2" customHeight="1">
      <c r="B68" s="219"/>
      <c r="C68" s="219"/>
    </row>
    <row r="69" spans="2:56" ht="11.25" customHeight="1">
      <c r="B69" s="219"/>
      <c r="C69" s="217" t="s">
        <v>352</v>
      </c>
      <c r="I69" s="426">
        <f>+Financials!I446</f>
        <v>0</v>
      </c>
      <c r="J69" s="426">
        <f>+Financials!J446</f>
        <v>0</v>
      </c>
      <c r="K69" s="426">
        <f>+Financials!K446</f>
        <v>0</v>
      </c>
      <c r="L69" s="426">
        <f>+Financials!L446</f>
        <v>0</v>
      </c>
      <c r="M69" s="426">
        <f>+Financials!M446</f>
        <v>0</v>
      </c>
      <c r="N69" s="426">
        <f>+Financials!N446</f>
        <v>0</v>
      </c>
      <c r="O69" s="426">
        <f>+Financials!O446</f>
        <v>0</v>
      </c>
      <c r="P69" s="426">
        <f>+Financials!P446</f>
        <v>0</v>
      </c>
      <c r="Q69" s="426">
        <f>+Financials!Q446</f>
        <v>0</v>
      </c>
      <c r="R69" s="426">
        <f>+Financials!R446</f>
        <v>0</v>
      </c>
      <c r="S69" s="426">
        <f>+Financials!S446</f>
        <v>0</v>
      </c>
      <c r="T69" s="426">
        <f>+Financials!T446</f>
        <v>0</v>
      </c>
      <c r="U69" s="426">
        <f>+Financials!U446</f>
        <v>0</v>
      </c>
      <c r="V69" s="426">
        <f>+Financials!V446</f>
        <v>0</v>
      </c>
      <c r="W69" s="426">
        <f>+Financials!W446</f>
        <v>0</v>
      </c>
      <c r="X69" s="426">
        <f>+Financials!X446</f>
        <v>0</v>
      </c>
      <c r="Y69" s="426">
        <f ca="1">+Financials!Y446</f>
        <v>0</v>
      </c>
      <c r="Z69" s="426">
        <f ca="1">+Financials!Z446</f>
        <v>0</v>
      </c>
      <c r="AA69" s="426">
        <f ca="1">+Financials!AA446</f>
        <v>0</v>
      </c>
      <c r="AB69" s="426">
        <f ca="1">+Financials!AB446</f>
        <v>0</v>
      </c>
      <c r="AC69" s="426">
        <f ca="1">+Financials!AC446</f>
        <v>0</v>
      </c>
      <c r="AD69" s="426">
        <f ca="1">+Financials!AD446</f>
        <v>0</v>
      </c>
      <c r="AE69" s="426">
        <f ca="1">+Financials!AE446</f>
        <v>0</v>
      </c>
      <c r="AF69" s="426">
        <f ca="1">+Financials!AF446</f>
        <v>0</v>
      </c>
      <c r="AG69" s="426">
        <f ca="1">+Financials!AG446</f>
        <v>0</v>
      </c>
      <c r="AH69" s="238">
        <f>CHOOSE(Case,AH70,AH71,AH72)</f>
        <v>0</v>
      </c>
      <c r="AI69" s="238">
        <f>CHOOSE(Case,AI70,AI71,AI72)</f>
        <v>0</v>
      </c>
      <c r="AJ69" s="238">
        <f>CHOOSE(Case,AJ70,AJ71,AJ72)</f>
        <v>0</v>
      </c>
      <c r="AL69" s="426">
        <f>+Financials!AL446</f>
        <v>0</v>
      </c>
      <c r="AM69" s="426">
        <f>+Financials!AM446</f>
        <v>0.12294001318391562</v>
      </c>
      <c r="AN69" s="426">
        <f>+Financials!AN446</f>
        <v>0</v>
      </c>
      <c r="AO69" s="426">
        <f>+Financials!AO446</f>
        <v>0</v>
      </c>
      <c r="AP69" s="426">
        <f>+Financials!AP446</f>
        <v>0</v>
      </c>
      <c r="AQ69" s="426">
        <f>+Financials!AQ446</f>
        <v>0</v>
      </c>
      <c r="AR69" s="426">
        <f>+Financials!AR446</f>
        <v>0</v>
      </c>
      <c r="AS69" s="426">
        <f>+Financials!AS446</f>
        <v>0</v>
      </c>
      <c r="AT69" s="426">
        <f ca="1">+Financials!AT446</f>
        <v>0</v>
      </c>
      <c r="AU69" s="426">
        <f ca="1">+Financials!AU446</f>
        <v>0</v>
      </c>
      <c r="AV69" s="238">
        <f>CHOOSE(Case,AV70,AV71,AV72)</f>
        <v>0</v>
      </c>
      <c r="AW69" s="238">
        <f>CHOOSE(Case,AW70,AW71,AW72)</f>
        <v>0</v>
      </c>
      <c r="AX69" s="238">
        <f>CHOOSE(Case,AX70,AX71,AX72)</f>
        <v>0</v>
      </c>
      <c r="AY69" s="1538"/>
      <c r="AZ69" s="1538"/>
      <c r="BA69" s="1538"/>
      <c r="BB69" s="1538"/>
      <c r="BC69" s="1538"/>
      <c r="BD69" s="738"/>
    </row>
    <row r="70" spans="2:56" ht="11.25" customHeight="1">
      <c r="B70" s="219"/>
      <c r="C70" s="425" t="s">
        <v>570</v>
      </c>
      <c r="AH70" s="297">
        <v>0</v>
      </c>
      <c r="AI70" s="297">
        <v>0</v>
      </c>
      <c r="AJ70" s="297">
        <v>0</v>
      </c>
      <c r="AV70" s="297">
        <v>0</v>
      </c>
      <c r="AW70" s="297">
        <v>0</v>
      </c>
      <c r="AX70" s="297">
        <v>0</v>
      </c>
      <c r="AY70" s="1538"/>
      <c r="AZ70" s="1538"/>
      <c r="BA70" s="1538"/>
      <c r="BB70" s="1538"/>
      <c r="BC70" s="1538"/>
      <c r="BD70" s="738"/>
    </row>
    <row r="71" spans="2:56" ht="11.25" customHeight="1">
      <c r="B71" s="219"/>
      <c r="C71" s="425" t="s">
        <v>575</v>
      </c>
      <c r="AH71" s="297">
        <v>0</v>
      </c>
      <c r="AI71" s="297">
        <v>0</v>
      </c>
      <c r="AJ71" s="297">
        <v>0</v>
      </c>
      <c r="AV71" s="297">
        <v>0</v>
      </c>
      <c r="AW71" s="297">
        <v>0</v>
      </c>
      <c r="AX71" s="297">
        <v>0</v>
      </c>
      <c r="AY71" s="1538"/>
      <c r="AZ71" s="1538"/>
      <c r="BA71" s="1538"/>
      <c r="BB71" s="1538"/>
      <c r="BC71" s="1538"/>
      <c r="BD71" s="738"/>
    </row>
    <row r="72" spans="2:56" ht="11.25" customHeight="1">
      <c r="B72" s="219"/>
      <c r="C72" s="425" t="s">
        <v>569</v>
      </c>
      <c r="AH72" s="297">
        <v>0</v>
      </c>
      <c r="AI72" s="297">
        <v>0</v>
      </c>
      <c r="AJ72" s="297">
        <v>0</v>
      </c>
      <c r="AV72" s="297">
        <v>0</v>
      </c>
      <c r="AW72" s="297">
        <v>0</v>
      </c>
      <c r="AX72" s="297">
        <v>0</v>
      </c>
      <c r="AY72" s="1538"/>
      <c r="AZ72" s="1538"/>
      <c r="BA72" s="1538"/>
      <c r="BB72" s="1538"/>
      <c r="BC72" s="1538"/>
      <c r="BD72" s="738"/>
    </row>
    <row r="73" spans="2:56" ht="11.25" customHeight="1">
      <c r="B73" s="219"/>
    </row>
    <row r="74" spans="2:56" ht="11.25" customHeight="1">
      <c r="B74" s="219"/>
      <c r="C74" s="217" t="s">
        <v>165</v>
      </c>
      <c r="E74" s="426"/>
      <c r="F74" s="426"/>
      <c r="G74" s="426"/>
      <c r="H74" s="426"/>
      <c r="I74" s="426">
        <f>+Financials!I447</f>
        <v>4.8387096774193551E-3</v>
      </c>
      <c r="J74" s="426">
        <f>+Financials!J447</f>
        <v>-7.8988941548183249E-3</v>
      </c>
      <c r="K74" s="426">
        <f>+Financials!K447</f>
        <v>1.2539184952978056E-2</v>
      </c>
      <c r="L74" s="426">
        <f>+Financials!L447</f>
        <v>-9.4867807153965783E-2</v>
      </c>
      <c r="M74" s="426">
        <f>+Financials!M447</f>
        <v>-1.4925373134328358E-2</v>
      </c>
      <c r="N74" s="426">
        <f>+Financials!N447</f>
        <v>-6.1166429587482217E-2</v>
      </c>
      <c r="O74" s="426">
        <f>+Financials!O447</f>
        <v>-8.4770114942528729E-2</v>
      </c>
      <c r="P74" s="426">
        <f>+Financials!P447</f>
        <v>-4.5523520485584217E-2</v>
      </c>
      <c r="Q74" s="426">
        <f>+Financials!Q447</f>
        <v>-6.4383561643835616E-2</v>
      </c>
      <c r="R74" s="426">
        <f>+Financials!R447</f>
        <v>-1.8335684062059238E-2</v>
      </c>
      <c r="S74" s="426">
        <f>+Financials!S447</f>
        <v>-5.8321479374110953E-2</v>
      </c>
      <c r="T74" s="426">
        <f>+Financials!T447</f>
        <v>-3.0478955007256895E-2</v>
      </c>
      <c r="U74" s="426">
        <f>+Financials!U447</f>
        <v>0</v>
      </c>
      <c r="V74" s="426">
        <f>+Financials!V447</f>
        <v>-0.1875</v>
      </c>
      <c r="W74" s="426">
        <f>+Financials!W447</f>
        <v>-4.72027972027972E-2</v>
      </c>
      <c r="X74" s="426">
        <f>+Financials!X447</f>
        <v>-6.9418386491557224E-2</v>
      </c>
      <c r="Y74" s="426">
        <f>+Financials!Y447</f>
        <v>-0.14232209737827714</v>
      </c>
      <c r="Z74" s="426">
        <f>+Financials!Z447</f>
        <v>6.589147286821706E-2</v>
      </c>
      <c r="AA74" s="426">
        <f>+Financials!AA447</f>
        <v>-2.8061224489795918E-2</v>
      </c>
      <c r="AB74" s="426">
        <f>+Financials!AB447</f>
        <v>1.2931034482758621E-2</v>
      </c>
      <c r="AC74" s="426">
        <f>+Financials!AC447</f>
        <v>1.2738853503184714E-2</v>
      </c>
      <c r="AD74" s="426">
        <f>+Financials!AD447</f>
        <v>-3.6900369003690036E-3</v>
      </c>
      <c r="AE74" s="426">
        <f>+Financials!AE447</f>
        <v>-0.10164424514200299</v>
      </c>
      <c r="AF74" s="426">
        <f>+Financials!AF447</f>
        <v>-0.25401459854014596</v>
      </c>
      <c r="AG74" s="426">
        <f>+Financials!AG447</f>
        <v>-0.11657303370786516</v>
      </c>
      <c r="AH74" s="238">
        <f>CHOOSE(Case,AH75,AH76,AH77)</f>
        <v>-0.05</v>
      </c>
      <c r="AI74" s="238">
        <f>CHOOSE(Case,AI75,AI76,AI77)</f>
        <v>-0.05</v>
      </c>
      <c r="AJ74" s="238">
        <f>CHOOSE(Case,AJ75,AJ76,AJ77)</f>
        <v>-0.05</v>
      </c>
      <c r="AL74" s="426">
        <f>+Financials!AL447</f>
        <v>0</v>
      </c>
      <c r="AM74" s="426">
        <f>+Financials!AM447</f>
        <v>-1.5491100856954515E-2</v>
      </c>
      <c r="AN74" s="426">
        <f>+Financials!AN447</f>
        <v>1.7075773745997867E-2</v>
      </c>
      <c r="AO74" s="426">
        <f>+Financials!AO447</f>
        <v>-2.1704814522494082E-2</v>
      </c>
      <c r="AP74" s="426">
        <f>+Financials!AP447</f>
        <v>-5.2052785923753668E-2</v>
      </c>
      <c r="AQ74" s="426">
        <f>+Financials!AQ447</f>
        <v>-4.3094312963617099E-2</v>
      </c>
      <c r="AR74" s="426">
        <f>+Financials!AR447</f>
        <v>-7.8440161362617666E-2</v>
      </c>
      <c r="AS74" s="426">
        <f>+Financials!AS447</f>
        <v>-2.5501899077590883E-2</v>
      </c>
      <c r="AT74" s="426">
        <f>+Financials!AT447</f>
        <v>-9.1257668711656442E-2</v>
      </c>
      <c r="AU74" s="426">
        <f>+Financials!AU447</f>
        <v>-6.7396907216494856E-2</v>
      </c>
      <c r="AV74" s="238">
        <f>CHOOSE(Case,AV75,AV76,AV77)</f>
        <v>0.01</v>
      </c>
      <c r="AW74" s="238">
        <f>CHOOSE(Case,AW75,AW76,AW77)</f>
        <v>0.01</v>
      </c>
      <c r="AX74" s="238">
        <f>CHOOSE(Case,AX75,AX76,AX77)</f>
        <v>0.01</v>
      </c>
      <c r="AY74" s="1538"/>
      <c r="AZ74" s="1539"/>
      <c r="BA74" s="1539"/>
      <c r="BB74" s="1539"/>
      <c r="BC74" s="1539"/>
      <c r="BD74" s="739"/>
    </row>
    <row r="75" spans="2:56" ht="11.25" customHeight="1">
      <c r="B75" s="219"/>
      <c r="C75" s="425" t="s">
        <v>570</v>
      </c>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297">
        <f t="shared" ref="AH75:AJ75" si="23">+AH76+0.005</f>
        <v>-4.5000000000000005E-2</v>
      </c>
      <c r="AI75" s="297">
        <f t="shared" si="23"/>
        <v>-4.5000000000000005E-2</v>
      </c>
      <c r="AJ75" s="297">
        <f t="shared" si="23"/>
        <v>-4.5000000000000005E-2</v>
      </c>
      <c r="AL75" s="426"/>
      <c r="AM75" s="426"/>
      <c r="AN75" s="426"/>
      <c r="AO75" s="426"/>
      <c r="AP75" s="426"/>
      <c r="AQ75" s="426"/>
      <c r="AR75" s="426"/>
      <c r="AS75" s="426"/>
      <c r="AT75" s="426"/>
      <c r="AU75" s="426"/>
      <c r="AV75" s="297">
        <f>+AV76+0.005</f>
        <v>1.4999999999999999E-2</v>
      </c>
      <c r="AW75" s="297">
        <f>+AW76+0.005</f>
        <v>1.4999999999999999E-2</v>
      </c>
      <c r="AX75" s="297">
        <f>+AX76+0.005</f>
        <v>1.4999999999999999E-2</v>
      </c>
      <c r="AY75" s="1539"/>
      <c r="AZ75" s="1539"/>
      <c r="BA75" s="1539"/>
      <c r="BB75" s="1539"/>
      <c r="BC75" s="1539"/>
      <c r="BD75" s="739"/>
    </row>
    <row r="76" spans="2:56" ht="11.25" customHeight="1">
      <c r="B76" s="219"/>
      <c r="C76" s="425" t="s">
        <v>575</v>
      </c>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297">
        <v>-0.05</v>
      </c>
      <c r="AI76" s="297">
        <v>-0.05</v>
      </c>
      <c r="AJ76" s="297">
        <v>-0.05</v>
      </c>
      <c r="AL76" s="426"/>
      <c r="AM76" s="426"/>
      <c r="AN76" s="426"/>
      <c r="AO76" s="426"/>
      <c r="AP76" s="426"/>
      <c r="AQ76" s="426"/>
      <c r="AR76" s="426"/>
      <c r="AS76" s="426"/>
      <c r="AT76" s="426"/>
      <c r="AU76" s="426"/>
      <c r="AV76" s="297">
        <v>0.01</v>
      </c>
      <c r="AW76" s="297">
        <v>0.01</v>
      </c>
      <c r="AX76" s="297">
        <v>0.01</v>
      </c>
      <c r="AY76" s="1539"/>
      <c r="AZ76" s="1539"/>
      <c r="BA76" s="1539"/>
      <c r="BB76" s="1539"/>
      <c r="BC76" s="1539"/>
      <c r="BD76" s="739"/>
    </row>
    <row r="77" spans="2:56" ht="11.25" customHeight="1">
      <c r="B77" s="219"/>
      <c r="C77" s="425" t="s">
        <v>569</v>
      </c>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297">
        <f t="shared" ref="AH77:AJ77" si="24">+AH76-3%</f>
        <v>-0.08</v>
      </c>
      <c r="AI77" s="297">
        <f t="shared" si="24"/>
        <v>-0.08</v>
      </c>
      <c r="AJ77" s="297">
        <f t="shared" si="24"/>
        <v>-0.08</v>
      </c>
      <c r="AL77" s="426"/>
      <c r="AM77" s="426"/>
      <c r="AN77" s="426"/>
      <c r="AO77" s="426"/>
      <c r="AP77" s="426"/>
      <c r="AQ77" s="426"/>
      <c r="AR77" s="426"/>
      <c r="AS77" s="426"/>
      <c r="AT77" s="426"/>
      <c r="AU77" s="426"/>
      <c r="AV77" s="297">
        <f>+AV76-1%</f>
        <v>0</v>
      </c>
      <c r="AW77" s="297">
        <f>+AW76-1%</f>
        <v>0</v>
      </c>
      <c r="AX77" s="297">
        <f>+AX76-1%</f>
        <v>0</v>
      </c>
      <c r="AY77" s="1539"/>
      <c r="AZ77" s="1539"/>
      <c r="BA77" s="1539"/>
      <c r="BB77" s="1539"/>
      <c r="BC77" s="1539"/>
      <c r="BD77" s="739"/>
    </row>
    <row r="78" spans="2:56" ht="11.25" customHeight="1">
      <c r="B78" s="219"/>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L78" s="426"/>
      <c r="AM78" s="426"/>
      <c r="AN78" s="426"/>
      <c r="AO78" s="426"/>
      <c r="AP78" s="426"/>
      <c r="AQ78" s="426"/>
      <c r="AR78" s="426"/>
      <c r="AS78" s="426"/>
      <c r="AT78" s="426"/>
      <c r="AU78" s="426"/>
      <c r="AY78" s="705"/>
      <c r="AZ78" s="705"/>
      <c r="BA78" s="705"/>
      <c r="BB78" s="705"/>
      <c r="BC78" s="705"/>
      <c r="BD78" s="705"/>
    </row>
    <row r="79" spans="2:56" ht="11.25" customHeight="1">
      <c r="B79" s="219"/>
      <c r="C79" s="217" t="s">
        <v>166</v>
      </c>
      <c r="I79" s="426">
        <f>+Financials!I448</f>
        <v>8.2258064516129034E-2</v>
      </c>
      <c r="J79" s="426">
        <f>+Financials!J448</f>
        <v>0.1263823064770932</v>
      </c>
      <c r="K79" s="426">
        <f>+Financials!K448</f>
        <v>7.6802507836990594E-2</v>
      </c>
      <c r="L79" s="426">
        <f>+Financials!L448</f>
        <v>0.11353032659409021</v>
      </c>
      <c r="M79" s="426">
        <f>+Financials!M448</f>
        <v>8.6567164179104483E-2</v>
      </c>
      <c r="N79" s="426">
        <f>+Financials!N448</f>
        <v>5.8321479374110953E-2</v>
      </c>
      <c r="O79" s="426">
        <f>+Financials!O448</f>
        <v>9.6264367816091947E-2</v>
      </c>
      <c r="P79" s="426">
        <f>+Financials!P448</f>
        <v>9.5599393019726864E-2</v>
      </c>
      <c r="Q79" s="426">
        <f>+Financials!Q448</f>
        <v>-2.8767123287671233E-2</v>
      </c>
      <c r="R79" s="426">
        <f>+Financials!R448</f>
        <v>-8.3215796897038077E-2</v>
      </c>
      <c r="S79" s="426">
        <f>+Financials!S448</f>
        <v>-0.11379800853485064</v>
      </c>
      <c r="T79" s="426">
        <f>+Financials!T448</f>
        <v>-0.1262699564586357</v>
      </c>
      <c r="U79" s="426">
        <f>+Financials!U448</f>
        <v>-8.7082728592162553E-2</v>
      </c>
      <c r="V79" s="426">
        <f>+Financials!V448</f>
        <v>-9.7972972972972971E-2</v>
      </c>
      <c r="W79" s="426">
        <f>+Financials!W448</f>
        <v>-8.3916083916083919E-2</v>
      </c>
      <c r="X79" s="426">
        <f>+Financials!X448</f>
        <v>-2.6266416510318951E-2</v>
      </c>
      <c r="Y79" s="426">
        <f>+Financials!Y448</f>
        <v>0.15355805243445692</v>
      </c>
      <c r="Z79" s="426">
        <f>+Financials!Z448</f>
        <v>0.44961240310077522</v>
      </c>
      <c r="AA79" s="426">
        <f>+Financials!AA448</f>
        <v>0.59948979591836737</v>
      </c>
      <c r="AB79" s="426">
        <f>+Financials!AB448</f>
        <v>0.52370689655172409</v>
      </c>
      <c r="AC79" s="426">
        <f>+Financials!AC448</f>
        <v>0.41825902335456477</v>
      </c>
      <c r="AD79" s="426">
        <f>+Financials!AD448</f>
        <v>0.25830258302583026</v>
      </c>
      <c r="AE79" s="426">
        <f>+Financials!AE448</f>
        <v>0.15396113602391628</v>
      </c>
      <c r="AF79" s="426">
        <f>+Financials!AF448</f>
        <v>3.2116788321167884E-2</v>
      </c>
      <c r="AG79" s="426">
        <f>+Financials!AG448</f>
        <v>-5.3370786516853931E-2</v>
      </c>
      <c r="AH79" s="238">
        <f>CHOOSE(Case,AH80,AH81,AH82)</f>
        <v>-0.01</v>
      </c>
      <c r="AI79" s="238">
        <f>CHOOSE(Case,AI80,AI81,AI82)</f>
        <v>-0.01</v>
      </c>
      <c r="AJ79" s="238">
        <f>CHOOSE(Case,AJ80,AJ81,AJ82)</f>
        <v>-0.01</v>
      </c>
      <c r="AL79" s="426">
        <f>+Financials!AL448</f>
        <v>0</v>
      </c>
      <c r="AM79" s="426">
        <f>+Financials!AM448</f>
        <v>-0.17369808833223468</v>
      </c>
      <c r="AN79" s="426">
        <f>+Financials!AN448</f>
        <v>-0.1127712557808609</v>
      </c>
      <c r="AO79" s="426">
        <f>+Financials!AO448</f>
        <v>9.9842146803472767E-2</v>
      </c>
      <c r="AP79" s="426">
        <f>+Financials!AP448</f>
        <v>8.3944281524926681E-2</v>
      </c>
      <c r="AQ79" s="426">
        <f>+Financials!AQ448</f>
        <v>-8.7248322147651006E-2</v>
      </c>
      <c r="AR79" s="426">
        <f>+Financials!AR448</f>
        <v>-8.0681308830121021E-2</v>
      </c>
      <c r="AS79" s="426">
        <f>+Financials!AS448</f>
        <v>0.42973412913727616</v>
      </c>
      <c r="AT79" s="426">
        <f>+Financials!AT448</f>
        <v>0.17714723926380369</v>
      </c>
      <c r="AU79" s="426">
        <f>+Financials!AU448</f>
        <v>-2.1358615611192931E-2</v>
      </c>
      <c r="AV79" s="238">
        <f>CHOOSE(Case,AV80,AV81,AV82)</f>
        <v>0</v>
      </c>
      <c r="AW79" s="238">
        <f>CHOOSE(Case,AW80,AW81,AW82)</f>
        <v>0</v>
      </c>
      <c r="AX79" s="238">
        <f>CHOOSE(Case,AX80,AX81,AX82)</f>
        <v>0</v>
      </c>
      <c r="AY79" s="1538"/>
      <c r="AZ79" s="1539"/>
      <c r="BA79" s="1539"/>
      <c r="BB79" s="1539"/>
      <c r="BC79" s="1539"/>
      <c r="BD79" s="739"/>
    </row>
    <row r="80" spans="2:56" ht="11.25" customHeight="1">
      <c r="B80" s="219"/>
      <c r="C80" s="425" t="s">
        <v>570</v>
      </c>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297">
        <f t="shared" ref="AH80:AJ80" si="25">+AH81+1%</f>
        <v>0</v>
      </c>
      <c r="AI80" s="297">
        <f t="shared" si="25"/>
        <v>0</v>
      </c>
      <c r="AJ80" s="297">
        <f t="shared" si="25"/>
        <v>0</v>
      </c>
      <c r="AL80" s="426"/>
      <c r="AM80" s="426"/>
      <c r="AN80" s="426"/>
      <c r="AO80" s="426"/>
      <c r="AP80" s="426"/>
      <c r="AQ80" s="426"/>
      <c r="AR80" s="426"/>
      <c r="AS80" s="426"/>
      <c r="AT80" s="426"/>
      <c r="AU80" s="426"/>
      <c r="AV80" s="297">
        <f>+AV81+1%</f>
        <v>0.01</v>
      </c>
      <c r="AW80" s="297">
        <f>+AW81+1%</f>
        <v>0.01</v>
      </c>
      <c r="AX80" s="297">
        <f>+AX81+1%</f>
        <v>0.01</v>
      </c>
      <c r="AY80" s="1539"/>
      <c r="AZ80" s="1539"/>
      <c r="BA80" s="1539"/>
      <c r="BB80" s="1539"/>
      <c r="BC80" s="1539"/>
      <c r="BD80" s="739"/>
    </row>
    <row r="81" spans="2:56" ht="11.25" customHeight="1">
      <c r="B81" s="219"/>
      <c r="C81" s="425" t="s">
        <v>575</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297">
        <v>-0.01</v>
      </c>
      <c r="AI81" s="297">
        <v>-0.01</v>
      </c>
      <c r="AJ81" s="297">
        <v>-0.01</v>
      </c>
      <c r="AL81" s="426"/>
      <c r="AM81" s="426"/>
      <c r="AN81" s="426"/>
      <c r="AO81" s="426"/>
      <c r="AP81" s="426"/>
      <c r="AQ81" s="426"/>
      <c r="AR81" s="426"/>
      <c r="AS81" s="426"/>
      <c r="AT81" s="426"/>
      <c r="AU81" s="426"/>
      <c r="AV81" s="297">
        <v>0</v>
      </c>
      <c r="AW81" s="297">
        <v>0</v>
      </c>
      <c r="AX81" s="297">
        <v>0</v>
      </c>
      <c r="AY81" s="1539"/>
      <c r="AZ81" s="1539"/>
      <c r="BA81" s="1539"/>
      <c r="BB81" s="1539"/>
      <c r="BC81" s="1539"/>
      <c r="BD81" s="739"/>
    </row>
    <row r="82" spans="2:56" ht="11.25" customHeight="1">
      <c r="B82" s="219"/>
      <c r="C82" s="425" t="s">
        <v>569</v>
      </c>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297">
        <f t="shared" ref="AH82:AJ82" si="26">+AH81-2%</f>
        <v>-0.03</v>
      </c>
      <c r="AI82" s="297">
        <f t="shared" si="26"/>
        <v>-0.03</v>
      </c>
      <c r="AJ82" s="297">
        <f t="shared" si="26"/>
        <v>-0.03</v>
      </c>
      <c r="AL82" s="426"/>
      <c r="AM82" s="426"/>
      <c r="AN82" s="426"/>
      <c r="AO82" s="426"/>
      <c r="AP82" s="426"/>
      <c r="AQ82" s="426"/>
      <c r="AR82" s="426"/>
      <c r="AS82" s="426"/>
      <c r="AT82" s="426"/>
      <c r="AU82" s="426"/>
      <c r="AV82" s="297">
        <f>+AV81-2%</f>
        <v>-0.02</v>
      </c>
      <c r="AW82" s="297">
        <f>+AW81-2%</f>
        <v>-0.02</v>
      </c>
      <c r="AX82" s="297">
        <f>+AX81-2%</f>
        <v>-0.02</v>
      </c>
      <c r="AY82" s="1539"/>
      <c r="AZ82" s="1539"/>
      <c r="BA82" s="1539"/>
      <c r="BB82" s="1539"/>
      <c r="BC82" s="1539"/>
      <c r="BD82" s="739"/>
    </row>
    <row r="83" spans="2:56" ht="11.25" customHeight="1">
      <c r="B83" s="219"/>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L83" s="426"/>
      <c r="AM83" s="426"/>
      <c r="AN83" s="426"/>
      <c r="AO83" s="426"/>
      <c r="AP83" s="426"/>
      <c r="AQ83" s="426"/>
      <c r="AR83" s="426"/>
      <c r="AS83" s="426"/>
      <c r="AT83" s="426"/>
      <c r="AU83" s="426"/>
    </row>
    <row r="84" spans="2:56" ht="11.25" customHeight="1">
      <c r="B84" s="219"/>
      <c r="C84" s="217" t="s">
        <v>167</v>
      </c>
      <c r="I84" s="426">
        <f>+Financials!I449</f>
        <v>-6.4516129032258064E-3</v>
      </c>
      <c r="J84" s="426">
        <f>+Financials!J449</f>
        <v>-7.8988941548183249E-3</v>
      </c>
      <c r="K84" s="426">
        <f>+Financials!K449</f>
        <v>1.567398119122257E-3</v>
      </c>
      <c r="L84" s="426">
        <f>+Financials!L449</f>
        <v>6.2208398133748056E-3</v>
      </c>
      <c r="M84" s="426">
        <f>+Financials!M449</f>
        <v>1.7910447761194031E-2</v>
      </c>
      <c r="N84" s="426">
        <f>+Financials!N449</f>
        <v>1.1379800853485065E-2</v>
      </c>
      <c r="O84" s="426">
        <f>+Financials!O449</f>
        <v>-1.4367816091954023E-3</v>
      </c>
      <c r="P84" s="426">
        <f>+Financials!P449</f>
        <v>-4.552352048558422E-3</v>
      </c>
      <c r="Q84" s="426">
        <f>+Financials!Q449</f>
        <v>-9.5890410958904115E-3</v>
      </c>
      <c r="R84" s="426">
        <f>+Financials!R449</f>
        <v>-8.4626234132581107E-3</v>
      </c>
      <c r="S84" s="426">
        <f>+Financials!S449</f>
        <v>-4.2674253200568994E-3</v>
      </c>
      <c r="T84" s="426">
        <f>+Financials!T449</f>
        <v>-4.3541364296081275E-3</v>
      </c>
      <c r="U84" s="426">
        <f>+Financials!U449</f>
        <v>-4.3541364296081275E-3</v>
      </c>
      <c r="V84" s="426">
        <f>+Financials!V449</f>
        <v>-1.6891891891891893E-3</v>
      </c>
      <c r="W84" s="426">
        <f>+Financials!W449</f>
        <v>3.4965034965034965E-3</v>
      </c>
      <c r="X84" s="426">
        <f>+Financials!X449</f>
        <v>7.5046904315196998E-3</v>
      </c>
      <c r="Y84" s="426">
        <f>+Financials!Y449</f>
        <v>1.3108614232209739E-2</v>
      </c>
      <c r="Z84" s="426">
        <f>+Financials!Z449</f>
        <v>1.7441860465116279E-2</v>
      </c>
      <c r="AA84" s="426">
        <f>+Financials!AA449</f>
        <v>2.5510204081632651E-3</v>
      </c>
      <c r="AB84" s="426">
        <f>+Financials!AB449</f>
        <v>-6.4655172413793103E-3</v>
      </c>
      <c r="AC84" s="426">
        <f>+Financials!AC449</f>
        <v>-1.9108280254777069E-2</v>
      </c>
      <c r="AD84" s="426">
        <f>+Financials!AD449</f>
        <v>-2.3985239852398525E-2</v>
      </c>
      <c r="AE84" s="426">
        <f>+Financials!AE449</f>
        <v>-2.2421524663677129E-2</v>
      </c>
      <c r="AF84" s="426">
        <f>+Financials!AF449</f>
        <v>-1.4598540145985401E-2</v>
      </c>
      <c r="AG84" s="426">
        <f>+Financials!AG449</f>
        <v>-7.0224719101123594E-3</v>
      </c>
      <c r="AH84" s="238">
        <f>CHOOSE(Case,AH85,AH86,AH87)</f>
        <v>-5.0000000000000001E-3</v>
      </c>
      <c r="AI84" s="238">
        <f>CHOOSE(Case,AI85,AI86,AI87)</f>
        <v>-5.0000000000000001E-3</v>
      </c>
      <c r="AJ84" s="238">
        <f>CHOOSE(Case,AJ85,AJ86,AJ87)</f>
        <v>-5.0000000000000001E-3</v>
      </c>
      <c r="AL84" s="426">
        <f>+Financials!AL449</f>
        <v>0</v>
      </c>
      <c r="AM84" s="426">
        <f>+Financials!AM449</f>
        <v>-7.2511535926170073E-3</v>
      </c>
      <c r="AN84" s="426">
        <f>+Financials!AN449</f>
        <v>-2.8459622909996441E-3</v>
      </c>
      <c r="AO84" s="426">
        <f>+Financials!AO449</f>
        <v>-1.5785319652722968E-3</v>
      </c>
      <c r="AP84" s="426">
        <f>+Financials!AP449</f>
        <v>5.8651026392961877E-3</v>
      </c>
      <c r="AQ84" s="426">
        <f>+Financials!AQ449</f>
        <v>-6.7114093959731542E-3</v>
      </c>
      <c r="AR84" s="426">
        <f>+Financials!AR449</f>
        <v>8.9645898700134474E-4</v>
      </c>
      <c r="AS84" s="426">
        <f>+Financials!AS449</f>
        <v>7.5963103635377106E-3</v>
      </c>
      <c r="AT84" s="426">
        <f>+Financials!AT449</f>
        <v>-1.8021472392638037E-2</v>
      </c>
      <c r="AU84" s="426">
        <f>+Financials!AU449</f>
        <v>-1.8409425625920471E-3</v>
      </c>
      <c r="AV84" s="238">
        <f>CHOOSE(Case,AV85,AV86,AV87)</f>
        <v>0</v>
      </c>
      <c r="AW84" s="238">
        <f>CHOOSE(Case,AW85,AW86,AW87)</f>
        <v>0</v>
      </c>
      <c r="AX84" s="238">
        <f>CHOOSE(Case,AX85,AX86,AX87)</f>
        <v>0</v>
      </c>
      <c r="AY84" s="1538"/>
      <c r="AZ84" s="1539"/>
      <c r="BA84" s="1539"/>
      <c r="BB84" s="1539"/>
      <c r="BC84" s="1539"/>
      <c r="BD84" s="739"/>
    </row>
    <row r="85" spans="2:56" ht="11.25" customHeight="1">
      <c r="B85" s="219"/>
      <c r="C85" s="425" t="s">
        <v>570</v>
      </c>
      <c r="AH85" s="297">
        <f t="shared" ref="AH85:AJ85" si="27">+AH86+0.002</f>
        <v>-3.0000000000000001E-3</v>
      </c>
      <c r="AI85" s="297">
        <f t="shared" si="27"/>
        <v>-3.0000000000000001E-3</v>
      </c>
      <c r="AJ85" s="297">
        <f t="shared" si="27"/>
        <v>-3.0000000000000001E-3</v>
      </c>
      <c r="AV85" s="297">
        <f>+AV86+0.004</f>
        <v>4.0000000000000001E-3</v>
      </c>
      <c r="AW85" s="297">
        <f>+AW86+0.004</f>
        <v>4.0000000000000001E-3</v>
      </c>
      <c r="AX85" s="297">
        <f>+AX86+0.004</f>
        <v>4.0000000000000001E-3</v>
      </c>
      <c r="AY85" s="1539"/>
      <c r="AZ85" s="1539"/>
      <c r="BA85" s="1539"/>
      <c r="BB85" s="1539"/>
      <c r="BC85" s="1539"/>
      <c r="BD85" s="739"/>
    </row>
    <row r="86" spans="2:56" ht="11.25" customHeight="1">
      <c r="B86" s="219"/>
      <c r="C86" s="425" t="s">
        <v>575</v>
      </c>
      <c r="AH86" s="297">
        <v>-5.0000000000000001E-3</v>
      </c>
      <c r="AI86" s="297">
        <v>-5.0000000000000001E-3</v>
      </c>
      <c r="AJ86" s="297">
        <v>-5.0000000000000001E-3</v>
      </c>
      <c r="AV86" s="297">
        <v>0</v>
      </c>
      <c r="AW86" s="297">
        <v>0</v>
      </c>
      <c r="AX86" s="297">
        <v>0</v>
      </c>
      <c r="AY86" s="1539"/>
      <c r="AZ86" s="1539"/>
      <c r="BA86" s="1539"/>
      <c r="BB86" s="1539"/>
      <c r="BC86" s="1539"/>
      <c r="BD86" s="739"/>
    </row>
    <row r="87" spans="2:56" ht="11.25" customHeight="1">
      <c r="B87" s="219"/>
      <c r="C87" s="425" t="s">
        <v>569</v>
      </c>
      <c r="AH87" s="297">
        <f t="shared" ref="AH87:AJ87" si="28">+AH86-1%</f>
        <v>-1.4999999999999999E-2</v>
      </c>
      <c r="AI87" s="297">
        <f t="shared" si="28"/>
        <v>-1.4999999999999999E-2</v>
      </c>
      <c r="AJ87" s="297">
        <f t="shared" si="28"/>
        <v>-1.4999999999999999E-2</v>
      </c>
      <c r="AV87" s="297">
        <f>+AV86-1%</f>
        <v>-0.01</v>
      </c>
      <c r="AW87" s="297">
        <f>+AW86-1%</f>
        <v>-0.01</v>
      </c>
      <c r="AX87" s="297">
        <f>+AX86-1%</f>
        <v>-0.01</v>
      </c>
      <c r="AY87" s="1539"/>
      <c r="AZ87" s="1539"/>
      <c r="BA87" s="1539"/>
      <c r="BB87" s="1539"/>
      <c r="BC87" s="1539"/>
      <c r="BD87" s="739"/>
    </row>
    <row r="88" spans="2:56" ht="11.25" customHeight="1">
      <c r="B88" s="219"/>
    </row>
    <row r="89" spans="2:56" ht="11.25" customHeight="1">
      <c r="B89" s="219"/>
      <c r="C89" s="217" t="s">
        <v>715</v>
      </c>
      <c r="E89" s="426">
        <f>+Financials!E463</f>
        <v>0.10806451612903226</v>
      </c>
      <c r="F89" s="426">
        <f>+Financials!F463</f>
        <v>2.3696682464454975E-2</v>
      </c>
      <c r="G89" s="426">
        <f>+Financials!G463</f>
        <v>6.1128526645768025E-2</v>
      </c>
      <c r="H89" s="426">
        <f>+Financials!H463</f>
        <v>7.7760497667185069E-2</v>
      </c>
      <c r="I89" s="426">
        <f>+Financials!I463</f>
        <v>0.12238805970149254</v>
      </c>
      <c r="J89" s="426">
        <f>+Financials!J463</f>
        <v>0.11806543385490754</v>
      </c>
      <c r="K89" s="426">
        <f>+Financials!K463</f>
        <v>0.11637931034482758</v>
      </c>
      <c r="L89" s="426">
        <f>+Financials!L463</f>
        <v>8.042488619119878E-2</v>
      </c>
      <c r="M89" s="426">
        <f>+Financials!M463</f>
        <v>0.12191780821917808</v>
      </c>
      <c r="N89" s="426">
        <f>+Financials!N463</f>
        <v>9.0267983074753172E-2</v>
      </c>
      <c r="O89" s="426">
        <f>+Financials!O463</f>
        <v>0.112375533428165</v>
      </c>
      <c r="P89" s="426">
        <f>+Financials!P463</f>
        <v>6.6763425253991288E-2</v>
      </c>
      <c r="Q89" s="426">
        <f>+Financials!Q463</f>
        <v>0.11148648648648649</v>
      </c>
      <c r="R89" s="426">
        <f>+Financials!R463</f>
        <v>8.7412587412587409E-2</v>
      </c>
      <c r="S89" s="426">
        <f>+Financials!S463</f>
        <v>4.6904315196998121E-2</v>
      </c>
      <c r="T89" s="426">
        <f>+Financials!T463</f>
        <v>3.3707865168539325E-2</v>
      </c>
      <c r="U89" s="426">
        <f>+Financials!U463</f>
        <v>0.11627906976744186</v>
      </c>
      <c r="V89" s="426">
        <f>+Financials!V463</f>
        <v>0</v>
      </c>
      <c r="W89" s="426">
        <f>+Financials!W463</f>
        <v>5.6034482758620691E-2</v>
      </c>
      <c r="X89" s="426">
        <f>+Financials!X463</f>
        <v>5.7324840764331211E-2</v>
      </c>
      <c r="Y89" s="426">
        <f>+Financials!Y463</f>
        <v>0.10332103321033211</v>
      </c>
      <c r="Z89" s="426">
        <f>+Financials!Z463</f>
        <v>0.20627802690582961</v>
      </c>
      <c r="AA89" s="426">
        <f>+Financials!AA463</f>
        <v>0.19270072992700729</v>
      </c>
      <c r="AB89" s="426">
        <f>+Financials!AB463</f>
        <v>0.14325842696629212</v>
      </c>
      <c r="AC89" s="426">
        <f>+Financials!AC463</f>
        <v>0.15804195804195803</v>
      </c>
      <c r="AD89" s="426">
        <f>+Financials!AD463</f>
        <v>0.18523316062176165</v>
      </c>
      <c r="AE89" s="426">
        <f>+Financials!AE463</f>
        <v>0.10375939849624061</v>
      </c>
      <c r="AF89" s="426">
        <f>+Financials!AF463</f>
        <v>4.2553191489361701E-2</v>
      </c>
      <c r="AG89" s="426">
        <f>+Financials!AG463</f>
        <v>7.1307300509337868E-2</v>
      </c>
      <c r="AH89" s="238">
        <f>CHOOSE(Case,AH90,AH91,AH92)</f>
        <v>0.08</v>
      </c>
      <c r="AI89" s="238">
        <f>CHOOSE(Case,AI90,AI91,AI92)</f>
        <v>0.08</v>
      </c>
      <c r="AJ89" s="238">
        <f>CHOOSE(Case,AJ90,AJ91,AJ92)</f>
        <v>0.08</v>
      </c>
      <c r="AL89" s="426">
        <f>+Financials!AL463</f>
        <v>0.11865524060646011</v>
      </c>
      <c r="AM89" s="426">
        <f>+Financials!AM463</f>
        <v>0.10458911419423693</v>
      </c>
      <c r="AN89" s="426">
        <f>+Financials!AN463</f>
        <v>6.7482241515390687E-2</v>
      </c>
      <c r="AO89" s="426">
        <f>+Financials!AO463</f>
        <v>0.10960410557184751</v>
      </c>
      <c r="AP89" s="426">
        <f>+Financials!AP463</f>
        <v>9.8198516425291413E-2</v>
      </c>
      <c r="AQ89" s="426">
        <f>+Financials!AQ463</f>
        <v>7.1268489466606896E-2</v>
      </c>
      <c r="AR89" s="426">
        <f>+Financials!AR463</f>
        <v>6.1313076505697235E-2</v>
      </c>
      <c r="AS89" s="426">
        <f>+Financials!AS463</f>
        <v>0.16411042944785276</v>
      </c>
      <c r="AT89" s="426">
        <f>+Financials!AT463</f>
        <v>0.12849779086892488</v>
      </c>
      <c r="AU89" s="426">
        <f>+Financials!AU463</f>
        <v>7.7927075151623129E-2</v>
      </c>
      <c r="AV89" s="238">
        <f>CHOOSE(Case,AV90,AV91,AV92)</f>
        <v>0.08</v>
      </c>
      <c r="AW89" s="238">
        <f>CHOOSE(Case,AW90,AW91,AW92)</f>
        <v>0.08</v>
      </c>
      <c r="AX89" s="238">
        <f>CHOOSE(Case,AX90,AX91,AX92)</f>
        <v>0.08</v>
      </c>
      <c r="AY89" s="1538"/>
      <c r="AZ89" s="1539"/>
      <c r="BA89" s="1539"/>
      <c r="BB89" s="1539"/>
      <c r="BC89" s="1539"/>
      <c r="BD89" s="739"/>
    </row>
    <row r="90" spans="2:56" ht="11.25" customHeight="1">
      <c r="B90" s="219"/>
      <c r="C90" s="425" t="s">
        <v>570</v>
      </c>
      <c r="AH90" s="297">
        <f t="shared" ref="AH90:AJ90" si="29">+AH91+0.01</f>
        <v>0.09</v>
      </c>
      <c r="AI90" s="297">
        <f t="shared" si="29"/>
        <v>0.09</v>
      </c>
      <c r="AJ90" s="297">
        <f t="shared" si="29"/>
        <v>0.09</v>
      </c>
      <c r="AV90" s="297">
        <f>+AV91+0.01</f>
        <v>0.09</v>
      </c>
      <c r="AW90" s="297">
        <f>+AW91+0.01</f>
        <v>0.09</v>
      </c>
      <c r="AX90" s="297">
        <f>+AX91+0.01</f>
        <v>0.09</v>
      </c>
      <c r="AY90" s="1539"/>
      <c r="AZ90" s="1539"/>
      <c r="BA90" s="1539"/>
      <c r="BB90" s="1539"/>
      <c r="BC90" s="1539"/>
      <c r="BD90" s="739"/>
    </row>
    <row r="91" spans="2:56" ht="11.25" customHeight="1">
      <c r="B91" s="219"/>
      <c r="C91" s="425" t="s">
        <v>575</v>
      </c>
      <c r="AH91" s="297">
        <v>0.08</v>
      </c>
      <c r="AI91" s="297">
        <v>0.08</v>
      </c>
      <c r="AJ91" s="297">
        <v>0.08</v>
      </c>
      <c r="AV91" s="297">
        <v>0.08</v>
      </c>
      <c r="AW91" s="297">
        <v>0.08</v>
      </c>
      <c r="AX91" s="297">
        <v>0.08</v>
      </c>
      <c r="AY91" s="1539"/>
      <c r="AZ91" s="1539"/>
      <c r="BA91" s="1539"/>
      <c r="BB91" s="1539"/>
      <c r="BC91" s="1539"/>
      <c r="BD91" s="739"/>
    </row>
    <row r="92" spans="2:56" ht="11.25" customHeight="1">
      <c r="B92" s="219"/>
      <c r="C92" s="425" t="s">
        <v>569</v>
      </c>
      <c r="AH92" s="297">
        <f t="shared" ref="AH92:AJ92" si="30">+AH91-0.01</f>
        <v>7.0000000000000007E-2</v>
      </c>
      <c r="AI92" s="297">
        <f t="shared" si="30"/>
        <v>7.0000000000000007E-2</v>
      </c>
      <c r="AJ92" s="297">
        <f t="shared" si="30"/>
        <v>7.0000000000000007E-2</v>
      </c>
      <c r="AV92" s="297">
        <f>+AV91-0.01</f>
        <v>7.0000000000000007E-2</v>
      </c>
      <c r="AW92" s="297">
        <f>+AW91-0.01</f>
        <v>7.0000000000000007E-2</v>
      </c>
      <c r="AX92" s="297">
        <f>+AX91-0.01</f>
        <v>7.0000000000000007E-2</v>
      </c>
      <c r="AY92" s="1539"/>
      <c r="AZ92" s="1539"/>
      <c r="BA92" s="1539"/>
      <c r="BB92" s="1539"/>
      <c r="BC92" s="1539"/>
      <c r="BD92" s="739"/>
    </row>
    <row r="93" spans="2:56" ht="11.25" customHeight="1">
      <c r="B93" s="219"/>
    </row>
    <row r="94" spans="2:56" ht="11.25" customHeight="1">
      <c r="B94" s="219" t="s">
        <v>14</v>
      </c>
      <c r="C94" s="428" t="str">
        <f>Financials!C512</f>
        <v>Fiber</v>
      </c>
    </row>
    <row r="95" spans="2:56" ht="5.2" customHeight="1">
      <c r="B95" s="219"/>
      <c r="C95" s="219"/>
    </row>
    <row r="96" spans="2:56" ht="11.25" customHeight="1">
      <c r="B96" s="219"/>
      <c r="C96" s="217" t="s">
        <v>165</v>
      </c>
      <c r="I96" s="426">
        <f>+Financials!I525</f>
        <v>-0.14285714285714285</v>
      </c>
      <c r="J96" s="426">
        <f>+Financials!J525</f>
        <v>2.1367521367521368E-2</v>
      </c>
      <c r="K96" s="426">
        <f>+Financials!K525</f>
        <v>-2.0161290322580645E-2</v>
      </c>
      <c r="L96" s="426">
        <f>+Financials!L525</f>
        <v>-5.6521739130434782E-2</v>
      </c>
      <c r="M96" s="426">
        <f>+Financials!M525</f>
        <v>0.17840375586854459</v>
      </c>
      <c r="N96" s="426">
        <f>+Financials!N525</f>
        <v>0.15813953488372093</v>
      </c>
      <c r="O96" s="426">
        <f>+Financials!O525</f>
        <v>2.6785714285714284E-2</v>
      </c>
      <c r="P96" s="426">
        <f>+Financials!P525</f>
        <v>8.5000000000000006E-2</v>
      </c>
      <c r="Q96" s="426">
        <f>+Financials!Q525</f>
        <v>-0.10612244897959183</v>
      </c>
      <c r="R96" s="426">
        <f>+Financials!R525</f>
        <v>-0.1078838174273859</v>
      </c>
      <c r="S96" s="426">
        <f>+Financials!S525</f>
        <v>-1.8181818181818181E-2</v>
      </c>
      <c r="T96" s="426">
        <f>+Financials!T525</f>
        <v>8.4905660377358486E-2</v>
      </c>
      <c r="U96" s="426">
        <f>+Financials!U525</f>
        <v>1.4150943396226415E-2</v>
      </c>
      <c r="V96" s="426">
        <f>+Financials!V525</f>
        <v>4.7169811320754715E-3</v>
      </c>
      <c r="W96" s="426">
        <f>+Financials!W525</f>
        <v>-3.3018867924528301E-2</v>
      </c>
      <c r="X96" s="426">
        <f>+Financials!X525</f>
        <v>-7.0754716981132074E-2</v>
      </c>
      <c r="Y96" s="426">
        <f>+Financials!Y525</f>
        <v>2.8301886792452831E-2</v>
      </c>
      <c r="Z96" s="426">
        <f>+Financials!Z525</f>
        <v>7.0754716981132074E-2</v>
      </c>
      <c r="AA96" s="426">
        <f>+Financials!AA525</f>
        <v>6.6037735849056603E-2</v>
      </c>
      <c r="AB96" s="426">
        <f>+Financials!AB525</f>
        <v>0.10377358490566038</v>
      </c>
      <c r="AC96" s="426">
        <f>+Financials!AC525</f>
        <v>-9.4339622641509441E-2</v>
      </c>
      <c r="AD96" s="426">
        <f>+Financials!AD525</f>
        <v>-2.8301886792452831E-2</v>
      </c>
      <c r="AE96" s="426">
        <f>+Financials!AE525</f>
        <v>-2.358490566037736E-2</v>
      </c>
      <c r="AF96" s="426">
        <f>+Financials!AF525</f>
        <v>9.9056603773584911E-2</v>
      </c>
      <c r="AG96" s="426">
        <f>+Financials!AG525</f>
        <v>2.8301886792452831E-2</v>
      </c>
      <c r="AH96" s="238">
        <f>CHOOSE(Case,AH97,AH98,AH99)</f>
        <v>0.03</v>
      </c>
      <c r="AI96" s="238">
        <f>CHOOSE(Case,AI97,AI98,AI99)</f>
        <v>0.02</v>
      </c>
      <c r="AJ96" s="238">
        <f>CHOOSE(Case,AJ97,AJ98,AJ99)</f>
        <v>0.01</v>
      </c>
      <c r="AL96" s="426">
        <f>+Financials!AL525</f>
        <v>0</v>
      </c>
      <c r="AM96" s="426">
        <f>+Financials!AM525</f>
        <v>-0.15030885380919698</v>
      </c>
      <c r="AN96" s="426">
        <f>+Financials!AN525</f>
        <v>-0.12305168170631665</v>
      </c>
      <c r="AO96" s="426">
        <f>+Financials!AO525</f>
        <v>-5.3427419354838711E-2</v>
      </c>
      <c r="AP96" s="426">
        <f>+Financials!AP525</f>
        <v>0.11150234741784038</v>
      </c>
      <c r="AQ96" s="426">
        <f>+Financials!AQ525</f>
        <v>-4.1394335511982572E-2</v>
      </c>
      <c r="AR96" s="426">
        <f>+Financials!AR525</f>
        <v>-2.0713463751438434E-2</v>
      </c>
      <c r="AS96" s="426">
        <f>+Financials!AS525</f>
        <v>6.8100358422939072E-2</v>
      </c>
      <c r="AT96" s="426">
        <f>+Financials!AT525</f>
        <v>-1.1111111111111112E-2</v>
      </c>
      <c r="AU96" s="426">
        <f>+Financials!AU525</f>
        <v>2.0968688845401175E-2</v>
      </c>
      <c r="AV96" s="238">
        <f>CHOOSE(Case,AV97,AV98,AV99)</f>
        <v>5.0000000000000001E-3</v>
      </c>
      <c r="AW96" s="238">
        <f>CHOOSE(Case,AW97,AW98,AW99)</f>
        <v>5.0000000000000001E-3</v>
      </c>
      <c r="AX96" s="238">
        <f>CHOOSE(Case,AX97,AX98,AX99)</f>
        <v>5.0000000000000001E-3</v>
      </c>
      <c r="AY96" s="1538"/>
      <c r="AZ96" s="1539"/>
      <c r="BA96" s="1539"/>
      <c r="BB96" s="1539"/>
      <c r="BC96" s="1539"/>
      <c r="BD96" s="739"/>
    </row>
    <row r="97" spans="2:56" ht="11.25" customHeight="1">
      <c r="B97" s="219"/>
      <c r="C97" s="425" t="s">
        <v>570</v>
      </c>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297">
        <f t="shared" ref="AH97:AJ97" si="31">+AH98+1.5%</f>
        <v>4.4999999999999998E-2</v>
      </c>
      <c r="AI97" s="297">
        <f t="shared" si="31"/>
        <v>3.5000000000000003E-2</v>
      </c>
      <c r="AJ97" s="297">
        <f t="shared" si="31"/>
        <v>2.5000000000000001E-2</v>
      </c>
      <c r="AL97" s="426"/>
      <c r="AM97" s="426"/>
      <c r="AN97" s="426"/>
      <c r="AO97" s="426"/>
      <c r="AP97" s="426"/>
      <c r="AQ97" s="426"/>
      <c r="AR97" s="426"/>
      <c r="AS97" s="426"/>
      <c r="AT97" s="426"/>
      <c r="AU97" s="426"/>
      <c r="AV97" s="297">
        <f>+AV98+0.5%</f>
        <v>0.01</v>
      </c>
      <c r="AW97" s="297">
        <f>+AW98+0.5%</f>
        <v>0.01</v>
      </c>
      <c r="AX97" s="297">
        <f>+AX98+0.5%</f>
        <v>0.01</v>
      </c>
      <c r="AY97" s="1539"/>
      <c r="AZ97" s="1539"/>
      <c r="BA97" s="1539"/>
      <c r="BB97" s="1539"/>
      <c r="BC97" s="1539"/>
      <c r="BD97" s="739"/>
    </row>
    <row r="98" spans="2:56" ht="11.25" customHeight="1">
      <c r="B98" s="219"/>
      <c r="C98" s="425" t="s">
        <v>575</v>
      </c>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297">
        <v>0.03</v>
      </c>
      <c r="AI98" s="297">
        <v>0.02</v>
      </c>
      <c r="AJ98" s="297">
        <v>0.01</v>
      </c>
      <c r="AL98" s="426"/>
      <c r="AM98" s="426"/>
      <c r="AN98" s="426"/>
      <c r="AO98" s="426"/>
      <c r="AP98" s="426"/>
      <c r="AQ98" s="426"/>
      <c r="AR98" s="426"/>
      <c r="AS98" s="426"/>
      <c r="AT98" s="426"/>
      <c r="AU98" s="426"/>
      <c r="AV98" s="297">
        <v>5.0000000000000001E-3</v>
      </c>
      <c r="AW98" s="297">
        <v>5.0000000000000001E-3</v>
      </c>
      <c r="AX98" s="297">
        <v>5.0000000000000001E-3</v>
      </c>
      <c r="AY98" s="1539"/>
      <c r="AZ98" s="1539"/>
      <c r="BA98" s="1539"/>
      <c r="BB98" s="1539"/>
      <c r="BC98" s="1539"/>
      <c r="BD98" s="739"/>
    </row>
    <row r="99" spans="2:56" ht="11.25" customHeight="1">
      <c r="B99" s="219"/>
      <c r="C99" s="425" t="s">
        <v>569</v>
      </c>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297">
        <f t="shared" ref="AH99:AJ99" si="32">+AH98-3%</f>
        <v>0</v>
      </c>
      <c r="AI99" s="297">
        <f t="shared" si="32"/>
        <v>-9.9999999999999985E-3</v>
      </c>
      <c r="AJ99" s="297">
        <f t="shared" si="32"/>
        <v>-1.9999999999999997E-2</v>
      </c>
      <c r="AL99" s="426"/>
      <c r="AM99" s="426"/>
      <c r="AN99" s="426"/>
      <c r="AO99" s="426"/>
      <c r="AP99" s="426"/>
      <c r="AQ99" s="426"/>
      <c r="AR99" s="426"/>
      <c r="AS99" s="426"/>
      <c r="AT99" s="426"/>
      <c r="AU99" s="426"/>
      <c r="AV99" s="297">
        <f>+AV98-2%</f>
        <v>-1.4999999999999999E-2</v>
      </c>
      <c r="AW99" s="297">
        <f>+AW98-2%</f>
        <v>-1.4999999999999999E-2</v>
      </c>
      <c r="AX99" s="297">
        <f>+AX98-2%</f>
        <v>-1.4999999999999999E-2</v>
      </c>
      <c r="AY99" s="1539"/>
      <c r="AZ99" s="1539"/>
      <c r="BA99" s="1539"/>
      <c r="BB99" s="1539"/>
      <c r="BC99" s="1539"/>
      <c r="BD99" s="739"/>
    </row>
    <row r="100" spans="2:56" ht="11.25" customHeight="1">
      <c r="B100" s="219"/>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L100" s="426"/>
      <c r="AM100" s="426"/>
      <c r="AN100" s="426"/>
      <c r="AO100" s="426"/>
      <c r="AP100" s="426"/>
      <c r="AQ100" s="426"/>
      <c r="AR100" s="426"/>
      <c r="AS100" s="426"/>
      <c r="AT100" s="426"/>
      <c r="AU100" s="426"/>
      <c r="AY100" s="603"/>
      <c r="AZ100" s="603"/>
      <c r="BA100" s="603"/>
      <c r="BB100" s="603"/>
      <c r="BC100" s="603"/>
      <c r="BD100" s="603"/>
    </row>
    <row r="101" spans="2:56" ht="11.25" customHeight="1">
      <c r="B101" s="219"/>
      <c r="C101" s="217" t="s">
        <v>166</v>
      </c>
      <c r="I101" s="426">
        <f>+Financials!I526</f>
        <v>-9.285714285714286E-2</v>
      </c>
      <c r="J101" s="426">
        <f>+Financials!J526</f>
        <v>-0.10256410256410256</v>
      </c>
      <c r="K101" s="426">
        <f>+Financials!K526</f>
        <v>-7.6612903225806453E-2</v>
      </c>
      <c r="L101" s="426">
        <f>+Financials!L526</f>
        <v>-7.3913043478260873E-2</v>
      </c>
      <c r="M101" s="426">
        <f>+Financials!M526</f>
        <v>-3.2863849765258218E-2</v>
      </c>
      <c r="N101" s="426">
        <f>+Financials!N526</f>
        <v>-4.1860465116279069E-2</v>
      </c>
      <c r="O101" s="426">
        <f>+Financials!O526</f>
        <v>-4.4642857142857144E-2</v>
      </c>
      <c r="P101" s="426">
        <f>+Financials!P526</f>
        <v>-0.02</v>
      </c>
      <c r="Q101" s="426">
        <f>+Financials!Q526</f>
        <v>-2.0408163265306121E-2</v>
      </c>
      <c r="R101" s="426">
        <f>+Financials!R526</f>
        <v>-4.1493775933609959E-3</v>
      </c>
      <c r="S101" s="426">
        <f>+Financials!S526</f>
        <v>9.0909090909090905E-3</v>
      </c>
      <c r="T101" s="426">
        <f>+Financials!T526</f>
        <v>-1.4150943396226415E-2</v>
      </c>
      <c r="U101" s="426">
        <f>+Financials!U526</f>
        <v>-1.8867924528301886E-2</v>
      </c>
      <c r="V101" s="426">
        <f>+Financials!V526</f>
        <v>-9.433962264150943E-3</v>
      </c>
      <c r="W101" s="426">
        <f>+Financials!W526</f>
        <v>-1.8867924528301886E-2</v>
      </c>
      <c r="X101" s="426">
        <f>+Financials!X526</f>
        <v>-1.8867924528301886E-2</v>
      </c>
      <c r="Y101" s="426">
        <f>+Financials!Y526</f>
        <v>-4.7169811320754715E-3</v>
      </c>
      <c r="Z101" s="426">
        <f>+Financials!Z526</f>
        <v>-2.358490566037736E-2</v>
      </c>
      <c r="AA101" s="426">
        <f>+Financials!AA526</f>
        <v>9.433962264150943E-3</v>
      </c>
      <c r="AB101" s="426">
        <f>+Financials!AB526</f>
        <v>2.8301886792452831E-2</v>
      </c>
      <c r="AC101" s="426">
        <f>+Financials!AC526</f>
        <v>8.0188679245283015E-2</v>
      </c>
      <c r="AD101" s="426">
        <f>+Financials!AD526</f>
        <v>0.12735849056603774</v>
      </c>
      <c r="AE101" s="426">
        <f>+Financials!AE526</f>
        <v>0.1650943396226415</v>
      </c>
      <c r="AF101" s="426">
        <f>+Financials!AF526</f>
        <v>0.28301886792452829</v>
      </c>
      <c r="AG101" s="426">
        <f>+Financials!AG526</f>
        <v>0.40566037735849059</v>
      </c>
      <c r="AH101" s="238">
        <f>CHOOSE(Case,AH102,AH103,AH104)</f>
        <v>0.1</v>
      </c>
      <c r="AI101" s="238">
        <f>CHOOSE(Case,AI102,AI103,AI104)</f>
        <v>0.1</v>
      </c>
      <c r="AJ101" s="238">
        <f>CHOOSE(Case,AJ102,AJ103,AJ104)</f>
        <v>0.01</v>
      </c>
      <c r="AL101" s="426">
        <f>+Financials!AL526</f>
        <v>0</v>
      </c>
      <c r="AM101" s="426">
        <f>+Financials!AM526</f>
        <v>-6.8634179821551134E-3</v>
      </c>
      <c r="AN101" s="426">
        <f>+Financials!AN526</f>
        <v>-6.0705496308449548E-2</v>
      </c>
      <c r="AO101" s="426">
        <f>+Financials!AO526</f>
        <v>-8.669354838709678E-2</v>
      </c>
      <c r="AP101" s="426">
        <f>+Financials!AP526</f>
        <v>-3.5211267605633804E-2</v>
      </c>
      <c r="AQ101" s="426">
        <f>+Financials!AQ526</f>
        <v>-7.6252723311546842E-3</v>
      </c>
      <c r="AR101" s="426">
        <f>+Financials!AR526</f>
        <v>-1.611047180667434E-2</v>
      </c>
      <c r="AS101" s="426">
        <f>+Financials!AS526</f>
        <v>2.3894862604540022E-3</v>
      </c>
      <c r="AT101" s="426">
        <f>+Financials!AT526</f>
        <v>0.15444444444444444</v>
      </c>
      <c r="AU101" s="426">
        <f>+Financials!AU526</f>
        <v>0.1353913894324853</v>
      </c>
      <c r="AV101" s="238">
        <f>CHOOSE(Case,AV102,AV103,AV104)</f>
        <v>0.01</v>
      </c>
      <c r="AW101" s="238">
        <f>CHOOSE(Case,AW102,AW103,AW104)</f>
        <v>0.01</v>
      </c>
      <c r="AX101" s="238">
        <f>CHOOSE(Case,AX102,AX103,AX104)</f>
        <v>0.01</v>
      </c>
      <c r="AY101" s="1538"/>
      <c r="AZ101" s="1539"/>
      <c r="BA101" s="1539"/>
      <c r="BB101" s="1539"/>
      <c r="BC101" s="1539"/>
      <c r="BD101" s="739"/>
    </row>
    <row r="102" spans="2:56" ht="11.25" customHeight="1">
      <c r="B102" s="219"/>
      <c r="C102" s="425" t="s">
        <v>570</v>
      </c>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297">
        <v>0.1</v>
      </c>
      <c r="AI102" s="297">
        <v>0.1</v>
      </c>
      <c r="AJ102" s="297">
        <v>0.1</v>
      </c>
      <c r="AL102" s="426"/>
      <c r="AM102" s="426"/>
      <c r="AN102" s="426"/>
      <c r="AO102" s="426"/>
      <c r="AP102" s="426"/>
      <c r="AQ102" s="426"/>
      <c r="AR102" s="426"/>
      <c r="AS102" s="426"/>
      <c r="AT102" s="426"/>
      <c r="AU102" s="426"/>
      <c r="AV102" s="297">
        <f>+AV103+1%</f>
        <v>0.02</v>
      </c>
      <c r="AW102" s="297">
        <f>+AW103+1%</f>
        <v>0.02</v>
      </c>
      <c r="AX102" s="297">
        <f>+AX103+1%</f>
        <v>0.02</v>
      </c>
      <c r="AY102" s="1539"/>
      <c r="AZ102" s="1539"/>
      <c r="BA102" s="1539"/>
      <c r="BB102" s="1539"/>
      <c r="BC102" s="1539"/>
      <c r="BD102" s="739"/>
    </row>
    <row r="103" spans="2:56" ht="11.25" customHeight="1">
      <c r="B103" s="219"/>
      <c r="C103" s="425" t="s">
        <v>575</v>
      </c>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297">
        <v>0.1</v>
      </c>
      <c r="AI103" s="297">
        <v>0.1</v>
      </c>
      <c r="AJ103" s="297">
        <v>0.01</v>
      </c>
      <c r="AL103" s="426"/>
      <c r="AM103" s="426"/>
      <c r="AN103" s="426"/>
      <c r="AO103" s="426"/>
      <c r="AP103" s="426"/>
      <c r="AQ103" s="426"/>
      <c r="AR103" s="426"/>
      <c r="AS103" s="426"/>
      <c r="AT103" s="426"/>
      <c r="AU103" s="426"/>
      <c r="AV103" s="297">
        <v>0.01</v>
      </c>
      <c r="AW103" s="297">
        <v>0.01</v>
      </c>
      <c r="AX103" s="297">
        <v>0.01</v>
      </c>
      <c r="AY103" s="1539"/>
      <c r="AZ103" s="1539"/>
      <c r="BA103" s="1539"/>
      <c r="BB103" s="1539"/>
      <c r="BC103" s="1539"/>
      <c r="BD103" s="739"/>
    </row>
    <row r="104" spans="2:56" ht="11.25" customHeight="1">
      <c r="B104" s="219"/>
      <c r="C104" s="425" t="s">
        <v>569</v>
      </c>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297">
        <v>0.1</v>
      </c>
      <c r="AI104" s="297">
        <v>0.1</v>
      </c>
      <c r="AJ104" s="297">
        <v>0.1</v>
      </c>
      <c r="AL104" s="426"/>
      <c r="AM104" s="426"/>
      <c r="AN104" s="426"/>
      <c r="AO104" s="426"/>
      <c r="AP104" s="426"/>
      <c r="AQ104" s="426"/>
      <c r="AR104" s="426"/>
      <c r="AS104" s="426"/>
      <c r="AT104" s="426"/>
      <c r="AU104" s="426"/>
      <c r="AV104" s="297">
        <f>+AV103-2%</f>
        <v>-0.01</v>
      </c>
      <c r="AW104" s="297">
        <f>+AW103-2%</f>
        <v>-0.01</v>
      </c>
      <c r="AX104" s="297">
        <f>+AX103-2%</f>
        <v>-0.01</v>
      </c>
      <c r="AY104" s="1539"/>
      <c r="AZ104" s="1539"/>
      <c r="BA104" s="1539"/>
      <c r="BB104" s="1539"/>
      <c r="BC104" s="1539"/>
      <c r="BD104" s="739"/>
    </row>
    <row r="105" spans="2:56" ht="11.25" customHeight="1">
      <c r="B105" s="219"/>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L105" s="426"/>
      <c r="AM105" s="426"/>
      <c r="AN105" s="426"/>
      <c r="AO105" s="426"/>
      <c r="AP105" s="426"/>
      <c r="AQ105" s="426"/>
      <c r="AR105" s="426"/>
      <c r="AS105" s="426"/>
      <c r="AT105" s="426"/>
      <c r="AU105" s="426"/>
    </row>
    <row r="106" spans="2:56" ht="11.25" customHeight="1">
      <c r="B106" s="219"/>
      <c r="C106" s="217" t="s">
        <v>167</v>
      </c>
      <c r="I106" s="426">
        <f>+Financials!I527</f>
        <v>-3.5714285714285713E-3</v>
      </c>
      <c r="J106" s="426">
        <f>+Financials!J527</f>
        <v>0</v>
      </c>
      <c r="K106" s="426">
        <f>+Financials!K527</f>
        <v>0</v>
      </c>
      <c r="L106" s="426">
        <f>+Financials!L527</f>
        <v>0</v>
      </c>
      <c r="M106" s="426">
        <f>+Financials!M527</f>
        <v>4.6948356807511738E-3</v>
      </c>
      <c r="N106" s="426">
        <f>+Financials!N527</f>
        <v>4.6511627906976744E-3</v>
      </c>
      <c r="O106" s="426">
        <f>+Financials!O527</f>
        <v>0</v>
      </c>
      <c r="P106" s="426">
        <f>+Financials!P527</f>
        <v>-5.0000000000000001E-3</v>
      </c>
      <c r="Q106" s="426">
        <f>+Financials!Q527</f>
        <v>-4.0816326530612249E-3</v>
      </c>
      <c r="R106" s="426">
        <f>+Financials!R527</f>
        <v>-4.1493775933609959E-3</v>
      </c>
      <c r="S106" s="426">
        <f>+Financials!S527</f>
        <v>-4.5454545454545452E-3</v>
      </c>
      <c r="T106" s="426">
        <f>+Financials!T527</f>
        <v>-4.7169811320754715E-3</v>
      </c>
      <c r="U106" s="426">
        <f>+Financials!U527</f>
        <v>0</v>
      </c>
      <c r="V106" s="426">
        <f>+Financials!V527</f>
        <v>-4.7169811320754715E-3</v>
      </c>
      <c r="W106" s="426">
        <f>+Financials!W527</f>
        <v>0</v>
      </c>
      <c r="X106" s="426">
        <f>+Financials!X527</f>
        <v>4.7169811320754715E-3</v>
      </c>
      <c r="Y106" s="426">
        <f>+Financials!Y527</f>
        <v>0</v>
      </c>
      <c r="Z106" s="426">
        <f>+Financials!Z527</f>
        <v>9.433962264150943E-3</v>
      </c>
      <c r="AA106" s="426">
        <f>+Financials!AA527</f>
        <v>0</v>
      </c>
      <c r="AB106" s="426">
        <f>+Financials!AB527</f>
        <v>9.433962264150943E-3</v>
      </c>
      <c r="AC106" s="426">
        <f>+Financials!AC527</f>
        <v>-4.7169811320754715E-3</v>
      </c>
      <c r="AD106" s="426">
        <f>+Financials!AD527</f>
        <v>-9.433962264150943E-3</v>
      </c>
      <c r="AE106" s="426">
        <f>+Financials!AE527</f>
        <v>-9.433962264150943E-3</v>
      </c>
      <c r="AF106" s="426">
        <f>+Financials!AF527</f>
        <v>-9.433962264150943E-3</v>
      </c>
      <c r="AG106" s="426">
        <f>+Financials!AG527</f>
        <v>-9.433962264150943E-3</v>
      </c>
      <c r="AH106" s="238">
        <f>CHOOSE(Case,AH107,AH108,AH109)</f>
        <v>0</v>
      </c>
      <c r="AI106" s="238">
        <f>CHOOSE(Case,AI107,AI108,AI109)</f>
        <v>0</v>
      </c>
      <c r="AJ106" s="238">
        <f>CHOOSE(Case,AJ107,AJ108,AJ109)</f>
        <v>0</v>
      </c>
      <c r="AL106" s="426">
        <f>+Financials!AL527</f>
        <v>0</v>
      </c>
      <c r="AM106" s="426">
        <f>+Financials!AM527</f>
        <v>-6.1770761839396015E-3</v>
      </c>
      <c r="AN106" s="426">
        <f>+Financials!AN527</f>
        <v>-2.4610336341263331E-3</v>
      </c>
      <c r="AO106" s="426">
        <f>+Financials!AO527</f>
        <v>-1.0080645161290322E-3</v>
      </c>
      <c r="AP106" s="426">
        <f>+Financials!AP527</f>
        <v>1.1737089201877935E-3</v>
      </c>
      <c r="AQ106" s="426">
        <f>+Financials!AQ527</f>
        <v>-4.3572984749455342E-3</v>
      </c>
      <c r="AR106" s="426">
        <f>+Financials!AR527</f>
        <v>0</v>
      </c>
      <c r="AS106" s="426">
        <f>+Financials!AS527</f>
        <v>4.7789725209080045E-3</v>
      </c>
      <c r="AT106" s="426">
        <f>+Financials!AT527</f>
        <v>-7.7777777777777776E-3</v>
      </c>
      <c r="AU106" s="426">
        <f>+Financials!AU527</f>
        <v>-1.9569471624266144E-3</v>
      </c>
      <c r="AV106" s="238">
        <f>CHOOSE(Case,AV107,AV108,AV109)</f>
        <v>0</v>
      </c>
      <c r="AW106" s="238">
        <f>CHOOSE(Case,AW107,AW108,AW109)</f>
        <v>0</v>
      </c>
      <c r="AX106" s="238">
        <f>CHOOSE(Case,AX107,AX108,AX109)</f>
        <v>0</v>
      </c>
    </row>
    <row r="107" spans="2:56" ht="11.25" customHeight="1">
      <c r="B107" s="219"/>
      <c r="C107" s="425" t="s">
        <v>570</v>
      </c>
      <c r="AH107" s="297">
        <f t="shared" ref="AH107:AJ107" si="33">+AH108+0.002</f>
        <v>2E-3</v>
      </c>
      <c r="AI107" s="297">
        <f t="shared" si="33"/>
        <v>2E-3</v>
      </c>
      <c r="AJ107" s="297">
        <f t="shared" si="33"/>
        <v>2E-3</v>
      </c>
      <c r="AV107" s="297">
        <f>+AV108+0.004</f>
        <v>4.0000000000000001E-3</v>
      </c>
      <c r="AW107" s="297">
        <f>+AW108+0.004</f>
        <v>4.0000000000000001E-3</v>
      </c>
      <c r="AX107" s="297">
        <f>+AX108+0.004</f>
        <v>4.0000000000000001E-3</v>
      </c>
    </row>
    <row r="108" spans="2:56" ht="11.25" customHeight="1">
      <c r="B108" s="219"/>
      <c r="C108" s="425" t="s">
        <v>575</v>
      </c>
      <c r="AH108" s="297">
        <v>0</v>
      </c>
      <c r="AI108" s="297">
        <v>0</v>
      </c>
      <c r="AJ108" s="297">
        <v>0</v>
      </c>
      <c r="AV108" s="297">
        <v>0</v>
      </c>
      <c r="AW108" s="297">
        <v>0</v>
      </c>
      <c r="AX108" s="297">
        <v>0</v>
      </c>
    </row>
    <row r="109" spans="2:56" ht="11.25" customHeight="1">
      <c r="B109" s="219"/>
      <c r="C109" s="425" t="s">
        <v>569</v>
      </c>
      <c r="AH109" s="297">
        <f t="shared" ref="AH109:AJ109" si="34">+AH108-1%</f>
        <v>-0.01</v>
      </c>
      <c r="AI109" s="297">
        <f t="shared" si="34"/>
        <v>-0.01</v>
      </c>
      <c r="AJ109" s="297">
        <f t="shared" si="34"/>
        <v>-0.01</v>
      </c>
      <c r="AV109" s="297">
        <f>+AV108-0.5%</f>
        <v>-5.0000000000000001E-3</v>
      </c>
      <c r="AW109" s="297">
        <f>+AW108-0.5%</f>
        <v>-5.0000000000000001E-3</v>
      </c>
      <c r="AX109" s="297">
        <f>+AX108-0.5%</f>
        <v>-5.0000000000000001E-3</v>
      </c>
    </row>
    <row r="110" spans="2:56" ht="11.25" customHeight="1">
      <c r="B110" s="219"/>
    </row>
    <row r="111" spans="2:56" ht="11.25" customHeight="1">
      <c r="B111" s="219"/>
      <c r="C111" s="217" t="s">
        <v>715</v>
      </c>
      <c r="E111" s="426">
        <f>+Financials!E541</f>
        <v>0.30714285714285716</v>
      </c>
      <c r="F111" s="426">
        <f>+Financials!F541</f>
        <v>0.30769230769230771</v>
      </c>
      <c r="G111" s="426">
        <f>+Financials!G541</f>
        <v>0.31854838709677419</v>
      </c>
      <c r="H111" s="426">
        <f>+Financials!H541</f>
        <v>0.31739130434782609</v>
      </c>
      <c r="I111" s="426">
        <f>+Financials!I541</f>
        <v>0.24413145539906103</v>
      </c>
      <c r="J111" s="426">
        <f>+Financials!J541</f>
        <v>0.26046511627906976</v>
      </c>
      <c r="K111" s="426">
        <f>+Financials!K541</f>
        <v>0.30357142857142855</v>
      </c>
      <c r="L111" s="426">
        <f>+Financials!L541</f>
        <v>0.27</v>
      </c>
      <c r="M111" s="426">
        <f>+Financials!M541</f>
        <v>0.22857142857142856</v>
      </c>
      <c r="N111" s="426">
        <f>+Financials!N541</f>
        <v>0.24066390041493776</v>
      </c>
      <c r="O111" s="426">
        <f>+Financials!O541</f>
        <v>0.25909090909090909</v>
      </c>
      <c r="P111" s="426">
        <f>+Financials!P541</f>
        <v>0.22641509433962265</v>
      </c>
      <c r="Q111" s="426">
        <f>+Financials!Q541</f>
        <v>0.19718309859154928</v>
      </c>
      <c r="R111" s="426">
        <f>+Financials!R541</f>
        <v>0.23943661971830985</v>
      </c>
      <c r="S111" s="426">
        <f>+Financials!S541</f>
        <v>0.23502304147465439</v>
      </c>
      <c r="T111" s="426">
        <f>+Financials!T541</f>
        <v>0.22123893805309736</v>
      </c>
      <c r="U111" s="426">
        <f>+Financials!U541</f>
        <v>0.25</v>
      </c>
      <c r="V111" s="426">
        <f>+Financials!V541</f>
        <v>0.21800947867298578</v>
      </c>
      <c r="W111" s="426">
        <f>+Financials!W541</f>
        <v>0.19902912621359223</v>
      </c>
      <c r="X111" s="426">
        <f>+Financials!X541</f>
        <v>0.19230769230769232</v>
      </c>
      <c r="Y111" s="426">
        <f>+Financials!Y541</f>
        <v>0.20737327188940091</v>
      </c>
      <c r="Z111" s="426">
        <f>+Financials!Z541</f>
        <v>0.16591928251121077</v>
      </c>
      <c r="AA111" s="426">
        <f>+Financials!AA541</f>
        <v>0.14414414414414414</v>
      </c>
      <c r="AB111" s="426">
        <f>+Financials!AB541</f>
        <v>0.11764705882352941</v>
      </c>
      <c r="AC111" s="426">
        <f>+Financials!AC541</f>
        <v>0.11267605633802817</v>
      </c>
      <c r="AD111" s="426">
        <f>+Financials!AD541</f>
        <v>0.15289256198347106</v>
      </c>
      <c r="AE111" s="426">
        <f>+Financials!AE541</f>
        <v>8.4000000000000005E-2</v>
      </c>
      <c r="AF111" s="426">
        <f>+Financials!AF541</f>
        <v>0.18296529968454259</v>
      </c>
      <c r="AG111" s="426">
        <f>+Financials!AG541</f>
        <v>0.31023102310231021</v>
      </c>
      <c r="AH111" s="238">
        <f>CHOOSE(Case,AH112,AH113,AH114)</f>
        <v>0.27</v>
      </c>
      <c r="AI111" s="238">
        <f>CHOOSE(Case,AI112,AI113,AI114)</f>
        <v>0.27</v>
      </c>
      <c r="AJ111" s="238">
        <f>CHOOSE(Case,AJ112,AJ113,AJ114)</f>
        <v>0.27</v>
      </c>
      <c r="AL111" s="426">
        <f>+Financials!AL541</f>
        <v>0.32532601235415237</v>
      </c>
      <c r="AM111" s="426">
        <f>+Financials!AM541</f>
        <v>0.31993437243642331</v>
      </c>
      <c r="AN111" s="426">
        <f>+Financials!AN541</f>
        <v>0.3125</v>
      </c>
      <c r="AO111" s="426">
        <f>+Financials!AO541</f>
        <v>0.2699530516431925</v>
      </c>
      <c r="AP111" s="426">
        <f>+Financials!AP541</f>
        <v>0.23856209150326799</v>
      </c>
      <c r="AQ111" s="426">
        <f>+Financials!AQ541</f>
        <v>0.22324510932105868</v>
      </c>
      <c r="AR111" s="426">
        <f>+Financials!AR541</f>
        <v>0.21505376344086022</v>
      </c>
      <c r="AS111" s="426">
        <f>+Financials!AS541</f>
        <v>0.15777777777777777</v>
      </c>
      <c r="AT111" s="426">
        <f>+Financials!AT541</f>
        <v>0.13698630136986301</v>
      </c>
      <c r="AU111" s="426">
        <f>+Financials!AU541</f>
        <v>0.28033225970503478</v>
      </c>
      <c r="AV111" s="238">
        <f>CHOOSE(Case,AV112,AV113,AV114)</f>
        <v>0.28000000000000003</v>
      </c>
      <c r="AW111" s="238">
        <f>CHOOSE(Case,AW112,AW113,AW114)</f>
        <v>0.28000000000000003</v>
      </c>
      <c r="AX111" s="238">
        <f>CHOOSE(Case,AX112,AX113,AX114)</f>
        <v>0.28999999999999998</v>
      </c>
      <c r="AY111" s="1538"/>
      <c r="AZ111" s="1538"/>
      <c r="BA111" s="1538"/>
      <c r="BB111" s="1538"/>
      <c r="BC111" s="1538"/>
      <c r="BD111" s="738"/>
    </row>
    <row r="112" spans="2:56" ht="11.25" customHeight="1">
      <c r="B112" s="219"/>
      <c r="C112" s="425" t="s">
        <v>570</v>
      </c>
      <c r="AH112" s="297">
        <f t="shared" ref="AH112:AJ112" si="35">+AH113+0.01</f>
        <v>0.28000000000000003</v>
      </c>
      <c r="AI112" s="297">
        <f t="shared" si="35"/>
        <v>0.28000000000000003</v>
      </c>
      <c r="AJ112" s="297">
        <f t="shared" si="35"/>
        <v>0.28000000000000003</v>
      </c>
      <c r="AV112" s="297">
        <f>+AV113+0.01</f>
        <v>0.29000000000000004</v>
      </c>
      <c r="AW112" s="297">
        <f>+AW113+0.01</f>
        <v>0.29000000000000004</v>
      </c>
      <c r="AX112" s="297">
        <f>+AX113+0.01</f>
        <v>0.3</v>
      </c>
      <c r="AY112" s="1538"/>
      <c r="AZ112" s="1538"/>
      <c r="BA112" s="1538"/>
      <c r="BB112" s="1538"/>
      <c r="BC112" s="1538"/>
      <c r="BD112" s="738"/>
    </row>
    <row r="113" spans="2:56" ht="11.25" customHeight="1">
      <c r="B113" s="219"/>
      <c r="C113" s="425" t="s">
        <v>575</v>
      </c>
      <c r="AH113" s="297">
        <v>0.27</v>
      </c>
      <c r="AI113" s="297">
        <v>0.27</v>
      </c>
      <c r="AJ113" s="297">
        <v>0.27</v>
      </c>
      <c r="AV113" s="297">
        <v>0.28000000000000003</v>
      </c>
      <c r="AW113" s="297">
        <v>0.28000000000000003</v>
      </c>
      <c r="AX113" s="297">
        <v>0.28999999999999998</v>
      </c>
      <c r="AY113" s="1538"/>
      <c r="AZ113" s="1538"/>
      <c r="BA113" s="1538"/>
      <c r="BB113" s="1538"/>
      <c r="BC113" s="1538"/>
      <c r="BD113" s="738"/>
    </row>
    <row r="114" spans="2:56" ht="11.25" customHeight="1">
      <c r="B114" s="219"/>
      <c r="C114" s="425" t="s">
        <v>569</v>
      </c>
      <c r="AH114" s="297">
        <f t="shared" ref="AH114:AJ114" si="36">+AH113-0.01</f>
        <v>0.26</v>
      </c>
      <c r="AI114" s="297">
        <f t="shared" si="36"/>
        <v>0.26</v>
      </c>
      <c r="AJ114" s="297">
        <f t="shared" si="36"/>
        <v>0.26</v>
      </c>
      <c r="AV114" s="297">
        <f>+AV113-0.01</f>
        <v>0.27</v>
      </c>
      <c r="AW114" s="297">
        <f>+AW113-0.01</f>
        <v>0.27</v>
      </c>
      <c r="AX114" s="297">
        <f>+AX113-0.01</f>
        <v>0.27999999999999997</v>
      </c>
      <c r="AY114" s="1538"/>
      <c r="AZ114" s="1538"/>
      <c r="BA114" s="1538"/>
      <c r="BB114" s="1538"/>
      <c r="BC114" s="1538"/>
      <c r="BD114" s="738"/>
    </row>
    <row r="115" spans="2:56" ht="11.25" customHeight="1">
      <c r="B115" s="219"/>
    </row>
    <row r="116" spans="2:56" ht="11.25" customHeight="1">
      <c r="B116" s="219" t="s">
        <v>14</v>
      </c>
      <c r="C116" s="428" t="s">
        <v>108</v>
      </c>
    </row>
    <row r="117" spans="2:56" ht="5.2" customHeight="1">
      <c r="B117" s="219"/>
    </row>
    <row r="118" spans="2:56" ht="11.25" customHeight="1">
      <c r="B118" s="219"/>
      <c r="C118" s="217" t="s">
        <v>715</v>
      </c>
      <c r="E118" s="426">
        <f>+Financials!E611</f>
        <v>-2.6833631484794273E-3</v>
      </c>
      <c r="F118" s="426">
        <f>+Financials!F611</f>
        <v>-4.7888550282977798E-3</v>
      </c>
      <c r="G118" s="426">
        <f>+Financials!G611</f>
        <v>-1.3117621337997377E-3</v>
      </c>
      <c r="H118" s="426">
        <f>+Financials!H611</f>
        <v>-4.1133455210237658E-3</v>
      </c>
      <c r="I118" s="426">
        <f>+Financials!I611</f>
        <v>-3.0395136778115501E-3</v>
      </c>
      <c r="J118" s="426">
        <f>+Financials!J611</f>
        <v>-7.0276973956180239E-3</v>
      </c>
      <c r="K118" s="426">
        <f>+Financials!K611</f>
        <v>-6.4908722109533468E-3</v>
      </c>
      <c r="L118" s="426">
        <f>+Financials!L611</f>
        <v>-3.8103302286198138E-3</v>
      </c>
      <c r="M118" s="426">
        <f>+Financials!M611</f>
        <v>-7.6716532412734941E-4</v>
      </c>
      <c r="N118" s="426">
        <f>+Financials!N611</f>
        <v>-2.6707363601678751E-3</v>
      </c>
      <c r="O118" s="426">
        <f>+Financials!O611</f>
        <v>-5.4966627404789952E-3</v>
      </c>
      <c r="P118" s="426">
        <f>+Financials!P611</f>
        <v>-5.4713804713804716E-3</v>
      </c>
      <c r="Q118" s="426">
        <f>+Financials!Q611</f>
        <v>7.9831932773109238E-3</v>
      </c>
      <c r="R118" s="426">
        <f>+Financials!R611</f>
        <v>8.8870080406263218E-3</v>
      </c>
      <c r="S118" s="426">
        <f>+Financials!S611</f>
        <v>6.8817204301075269E-3</v>
      </c>
      <c r="T118" s="426">
        <f>+Financials!T611</f>
        <v>3.1746031746031746E-3</v>
      </c>
      <c r="U118" s="426">
        <f>+Financials!U611</f>
        <v>1.1155734047300312E-2</v>
      </c>
      <c r="V118" s="426">
        <f>+Financials!V611</f>
        <v>-9.8752598752598758E-3</v>
      </c>
      <c r="W118" s="426">
        <f>+Financials!W611</f>
        <v>3.770028275212064E-3</v>
      </c>
      <c r="X118" s="426">
        <f>+Financials!X611</f>
        <v>8.2342177493138144E-3</v>
      </c>
      <c r="Y118" s="426">
        <f>+Financials!Y611</f>
        <v>9.9626400996264009E-3</v>
      </c>
      <c r="Z118" s="426">
        <f>+Financials!Z611</f>
        <v>1.8846588767433095E-3</v>
      </c>
      <c r="AA118" s="426">
        <f>+Financials!AA611</f>
        <v>6.9852941176470592E-3</v>
      </c>
      <c r="AB118" s="426">
        <f>+Financials!AB611</f>
        <v>-5.196733481811433E-3</v>
      </c>
      <c r="AC118" s="426">
        <f>+Financials!AC611</f>
        <v>0</v>
      </c>
      <c r="AD118" s="426">
        <f>+Financials!AD611</f>
        <v>-1.0416666666666666E-2</v>
      </c>
      <c r="AE118" s="426">
        <f>+Financials!AE611</f>
        <v>-1.1812476928755998E-2</v>
      </c>
      <c r="AF118" s="426">
        <f>+Financials!AF611</f>
        <v>-1.2642225031605562E-2</v>
      </c>
      <c r="AG118" s="426">
        <f>+Financials!AG611</f>
        <v>-2.6119402985074626E-2</v>
      </c>
      <c r="AH118" s="238">
        <f>CHOOSE(Case,AH119,AH120,AH121)</f>
        <v>-5.0000000000000001E-3</v>
      </c>
      <c r="AI118" s="238">
        <f>CHOOSE(Case,AI119,AI120,AI121)</f>
        <v>-5.0000000000000001E-3</v>
      </c>
      <c r="AJ118" s="238">
        <f>CHOOSE(Case,AJ119,AJ120,AJ121)</f>
        <v>-5.0000000000000001E-3</v>
      </c>
      <c r="AL118" s="426">
        <f>+Financials!AL611</f>
        <v>-5.5631363493229766E-3</v>
      </c>
      <c r="AM118" s="426">
        <f>+Financials!AM611</f>
        <v>-3.7313432835820895E-3</v>
      </c>
      <c r="AN118" s="426">
        <f>+Financials!AN611</f>
        <v>-3.2193605683836588E-3</v>
      </c>
      <c r="AO118" s="426">
        <f>+Financials!AO611</f>
        <v>-5.1314273745941986E-3</v>
      </c>
      <c r="AP118" s="426">
        <f>+Financials!AP611</f>
        <v>-3.5464486257511577E-3</v>
      </c>
      <c r="AQ118" s="426">
        <f>+Financials!AQ611</f>
        <v>6.7939178259462957E-3</v>
      </c>
      <c r="AR118" s="426">
        <f>+Financials!AR611</f>
        <v>3.7767024666587987E-3</v>
      </c>
      <c r="AS118" s="426">
        <f>+Financials!AS611</f>
        <v>3.2455135547919053E-3</v>
      </c>
      <c r="AT118" s="426">
        <f>+Financials!AT611</f>
        <v>-8.6011342155009451E-3</v>
      </c>
      <c r="AU118" s="426">
        <f>+Financials!AU611</f>
        <v>-9.984812663420441E-3</v>
      </c>
      <c r="AV118" s="238">
        <f>CHOOSE(Case,AV119,AV120,AV121)</f>
        <v>-5.0000000000000001E-3</v>
      </c>
      <c r="AW118" s="238">
        <f>CHOOSE(Case,AW119,AW120,AW121)</f>
        <v>-5.0000000000000001E-3</v>
      </c>
      <c r="AX118" s="238">
        <f>CHOOSE(Case,AX119,AX120,AX121)</f>
        <v>-5.0000000000000001E-3</v>
      </c>
    </row>
    <row r="119" spans="2:56" ht="11.25" customHeight="1">
      <c r="B119" s="219"/>
      <c r="C119" s="425" t="s">
        <v>570</v>
      </c>
      <c r="AH119" s="297">
        <v>-6.0000000000000001E-3</v>
      </c>
      <c r="AI119" s="297">
        <v>-6.0000000000000001E-3</v>
      </c>
      <c r="AJ119" s="297">
        <v>-6.0000000000000001E-3</v>
      </c>
      <c r="AV119" s="297">
        <v>-6.0000000000000001E-3</v>
      </c>
      <c r="AW119" s="297">
        <v>-6.0000000000000001E-3</v>
      </c>
      <c r="AX119" s="297">
        <v>-6.0000000000000001E-3</v>
      </c>
      <c r="AY119" s="297"/>
      <c r="AZ119" s="297"/>
      <c r="BA119" s="297"/>
    </row>
    <row r="120" spans="2:56" ht="11.25" customHeight="1">
      <c r="B120" s="219"/>
      <c r="C120" s="425" t="s">
        <v>575</v>
      </c>
      <c r="AH120" s="297">
        <v>-5.0000000000000001E-3</v>
      </c>
      <c r="AI120" s="297">
        <v>-5.0000000000000001E-3</v>
      </c>
      <c r="AJ120" s="297">
        <v>-5.0000000000000001E-3</v>
      </c>
      <c r="AV120" s="297">
        <v>-5.0000000000000001E-3</v>
      </c>
      <c r="AW120" s="297">
        <v>-5.0000000000000001E-3</v>
      </c>
      <c r="AX120" s="297">
        <v>-5.0000000000000001E-3</v>
      </c>
    </row>
    <row r="121" spans="2:56" ht="11.25" customHeight="1">
      <c r="B121" s="219"/>
      <c r="C121" s="425" t="s">
        <v>569</v>
      </c>
      <c r="AH121" s="297">
        <v>-7.0000000000000001E-3</v>
      </c>
      <c r="AI121" s="297">
        <v>-7.0000000000000001E-3</v>
      </c>
      <c r="AJ121" s="297">
        <v>-7.0000000000000001E-3</v>
      </c>
      <c r="AV121" s="297">
        <v>-6.0000000000000001E-3</v>
      </c>
      <c r="AW121" s="297">
        <v>-6.0000000000000001E-3</v>
      </c>
      <c r="AX121" s="297">
        <v>-6.0000000000000001E-3</v>
      </c>
      <c r="AY121" s="297"/>
      <c r="AZ121" s="297"/>
      <c r="BA121" s="297"/>
    </row>
    <row r="122" spans="2:56" ht="11.25" customHeight="1">
      <c r="B122" s="219"/>
    </row>
    <row r="123" spans="2:56" ht="11.25" customHeight="1">
      <c r="B123" s="219"/>
      <c r="C123" s="217" t="s">
        <v>689</v>
      </c>
      <c r="E123" s="426">
        <f>+Financials!E47</f>
        <v>0.22291021671826625</v>
      </c>
      <c r="F123" s="426">
        <f>+Financials!F47</f>
        <v>0.20679012345679013</v>
      </c>
      <c r="G123" s="426">
        <f>+Financials!G47</f>
        <v>0.19377162629757785</v>
      </c>
      <c r="H123" s="426">
        <f>+Financials!H47</f>
        <v>-4.4247787610619468E-2</v>
      </c>
      <c r="I123" s="426">
        <f>+Financials!I47</f>
        <v>0.18181818181818182</v>
      </c>
      <c r="J123" s="426">
        <f>+Financials!J47</f>
        <v>0.18105849582172701</v>
      </c>
      <c r="K123" s="426">
        <f>+Financials!K47</f>
        <v>0.19602977667493796</v>
      </c>
      <c r="L123" s="426">
        <f>+Financials!L47</f>
        <v>-1.6397849462365592</v>
      </c>
      <c r="M123" s="426">
        <f>+Financials!M47</f>
        <v>0.17142857142857143</v>
      </c>
      <c r="N123" s="426">
        <f>+Financials!N47</f>
        <v>0.19534883720930232</v>
      </c>
      <c r="O123" s="426">
        <f>+Financials!O47</f>
        <v>0.10021786492374728</v>
      </c>
      <c r="P123" s="426">
        <f>+Financials!P47</f>
        <v>0.50704225352112675</v>
      </c>
      <c r="Q123" s="426">
        <f>+Financials!Q47</f>
        <v>0.20833333333333334</v>
      </c>
      <c r="R123" s="426">
        <f>+Financials!R47</f>
        <v>0.18037974683544303</v>
      </c>
      <c r="S123" s="426">
        <f>+Financials!S47</f>
        <v>0.14696485623003194</v>
      </c>
      <c r="T123" s="426">
        <f>+Financials!T47</f>
        <v>-2</v>
      </c>
      <c r="U123" s="426">
        <f>+Financials!U47</f>
        <v>0.17721518987341772</v>
      </c>
      <c r="V123" s="426">
        <f>+Financials!V47</f>
        <v>31</v>
      </c>
      <c r="W123" s="426">
        <f>+Financials!W47</f>
        <v>0.13157894736842105</v>
      </c>
      <c r="X123" s="426">
        <f>+Financials!X47</f>
        <v>-0.36</v>
      </c>
      <c r="Y123" s="426">
        <f>+Financials!Y47</f>
        <v>0.18289085545722714</v>
      </c>
      <c r="Z123" s="426">
        <f>+Financials!Z47</f>
        <v>-0.34579439252336447</v>
      </c>
      <c r="AA123" s="426">
        <f>+Financials!AA47</f>
        <v>-0.10280373831775701</v>
      </c>
      <c r="AB123" s="426">
        <f>+Financials!AB47</f>
        <v>0.28166351606805295</v>
      </c>
      <c r="AC123" s="426">
        <f>+Financials!AC47</f>
        <v>0.17770034843205576</v>
      </c>
      <c r="AD123" s="426">
        <f>+Financials!AD47</f>
        <v>0.32545931758530183</v>
      </c>
      <c r="AE123" s="426">
        <f>+Financials!AE47</f>
        <v>-7.1174377224199295E-2</v>
      </c>
      <c r="AF123" s="426">
        <f>+Financials!AF47</f>
        <v>0.9285714285714286</v>
      </c>
      <c r="AG123" s="426">
        <f>+Financials!AG47</f>
        <v>0.30927835051546393</v>
      </c>
      <c r="AH123" s="238">
        <f>CHOOSE(Case,AH124,AH125,AH126)</f>
        <v>0.16</v>
      </c>
      <c r="AI123" s="238">
        <f>CHOOSE(Case,AI124,AI125,AI126)</f>
        <v>0.16</v>
      </c>
      <c r="AJ123" s="238">
        <f>CHOOSE(Case,AJ124,AJ125,AJ126)</f>
        <v>0.16</v>
      </c>
      <c r="AL123" s="426">
        <f>+Financials!AL47</f>
        <v>0.23737373737373738</v>
      </c>
      <c r="AM123" s="426">
        <f>+Financials!AM47</f>
        <v>0.24357838795394154</v>
      </c>
      <c r="AN123" s="426">
        <f>+Financials!AN47</f>
        <v>0.18112488083889419</v>
      </c>
      <c r="AO123" s="426">
        <f>+Financials!AO47</f>
        <v>-7.6803723816912334E-2</v>
      </c>
      <c r="AP123" s="426">
        <f>+Financials!AP47</f>
        <v>0.17251908396946564</v>
      </c>
      <c r="AQ123" s="426">
        <f>+Financials!AQ47</f>
        <v>0.15521064301552107</v>
      </c>
      <c r="AR123" s="426">
        <f>+Financials!AR47</f>
        <v>7.7358490566037733E-2</v>
      </c>
      <c r="AS123" s="426">
        <f>+Financials!AS47</f>
        <v>0.19870609981515711</v>
      </c>
      <c r="AT123" s="426">
        <f>+Financials!AT47</f>
        <v>0.18526100307062435</v>
      </c>
      <c r="AU123" s="426">
        <f ca="1">+Financials!AU47</f>
        <v>0.18472660362798657</v>
      </c>
      <c r="AV123" s="238">
        <f>CHOOSE(Case,AV124,AV125,AV126)</f>
        <v>0.17</v>
      </c>
      <c r="AW123" s="238">
        <f>CHOOSE(Case,AW124,AW125,AW126)</f>
        <v>0.17</v>
      </c>
      <c r="AX123" s="238">
        <f>CHOOSE(Case,AX124,AX125,AX126)</f>
        <v>0.17</v>
      </c>
    </row>
    <row r="124" spans="2:56" ht="11.25" customHeight="1">
      <c r="B124" s="219"/>
      <c r="C124" s="425" t="s">
        <v>570</v>
      </c>
      <c r="AH124" s="297">
        <v>0.16</v>
      </c>
      <c r="AI124" s="297">
        <v>0.16</v>
      </c>
      <c r="AJ124" s="297">
        <v>0.16</v>
      </c>
      <c r="AV124" s="297">
        <v>0.17</v>
      </c>
      <c r="AW124" s="297">
        <v>0.17</v>
      </c>
      <c r="AX124" s="297">
        <v>0.17</v>
      </c>
    </row>
    <row r="125" spans="2:56" ht="11.25" customHeight="1">
      <c r="B125" s="219"/>
      <c r="C125" s="425" t="s">
        <v>575</v>
      </c>
      <c r="AH125" s="297">
        <v>0.16</v>
      </c>
      <c r="AI125" s="297">
        <v>0.16</v>
      </c>
      <c r="AJ125" s="297">
        <v>0.16</v>
      </c>
      <c r="AV125" s="297">
        <v>0.17</v>
      </c>
      <c r="AW125" s="297">
        <v>0.17</v>
      </c>
      <c r="AX125" s="297">
        <v>0.17</v>
      </c>
    </row>
    <row r="126" spans="2:56" ht="11.25" customHeight="1">
      <c r="B126" s="219"/>
      <c r="C126" s="425" t="s">
        <v>569</v>
      </c>
      <c r="AH126" s="297">
        <v>0.18</v>
      </c>
      <c r="AI126" s="297">
        <v>0.18</v>
      </c>
      <c r="AJ126" s="297">
        <v>0.18</v>
      </c>
      <c r="AV126" s="297">
        <f>+AV125+3%</f>
        <v>0.2</v>
      </c>
      <c r="AW126" s="297">
        <f>+AW125+3%</f>
        <v>0.2</v>
      </c>
      <c r="AX126" s="297">
        <f>+AX125+3%</f>
        <v>0.2</v>
      </c>
    </row>
    <row r="127" spans="2:56" ht="11.25" customHeight="1">
      <c r="B127" s="219"/>
    </row>
    <row r="128" spans="2:56" ht="11.25" customHeight="1">
      <c r="B128" s="300" t="s">
        <v>14</v>
      </c>
      <c r="C128" s="299" t="s">
        <v>573</v>
      </c>
      <c r="D128" s="298"/>
      <c r="E128" s="298" t="s">
        <v>571</v>
      </c>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L128" s="298"/>
      <c r="AM128" s="298"/>
      <c r="AN128" s="298"/>
      <c r="AO128" s="298"/>
      <c r="AP128" s="298"/>
      <c r="AQ128" s="298"/>
      <c r="AR128" s="298"/>
      <c r="AS128" s="298"/>
      <c r="AT128" s="298"/>
      <c r="AU128" s="298"/>
      <c r="AV128" s="298"/>
      <c r="AW128" s="298"/>
      <c r="AX128" s="298"/>
      <c r="AY128" s="298"/>
      <c r="AZ128" s="298"/>
      <c r="BA128" s="298"/>
      <c r="BB128" s="298"/>
      <c r="BC128" s="298"/>
      <c r="BD128" s="298"/>
    </row>
    <row r="130" spans="3:56" ht="11.25" customHeight="1">
      <c r="C130" s="53" t="s">
        <v>661</v>
      </c>
      <c r="E130" s="426">
        <f>Financials!E140</f>
        <v>0.71645796064400713</v>
      </c>
      <c r="F130" s="426">
        <f>Financials!F140</f>
        <v>0.73661297344362209</v>
      </c>
      <c r="G130" s="426">
        <f>Financials!G140</f>
        <v>0.72059466550065587</v>
      </c>
      <c r="H130" s="426">
        <f>Financials!H140</f>
        <v>0.74862888482632539</v>
      </c>
      <c r="I130" s="426">
        <f>Financials!I140</f>
        <v>0.73729917498914455</v>
      </c>
      <c r="J130" s="426">
        <f>Financials!J140</f>
        <v>0.73956180239768499</v>
      </c>
      <c r="K130" s="426">
        <f>Financials!K140</f>
        <v>0.72778904665314403</v>
      </c>
      <c r="L130" s="426">
        <f>Financials!L140</f>
        <v>0.7591024555461473</v>
      </c>
      <c r="M130" s="426">
        <f>Financials!M140</f>
        <v>0.74376678174146527</v>
      </c>
      <c r="N130" s="426">
        <f>Financials!N140</f>
        <v>0.74704311331552842</v>
      </c>
      <c r="O130" s="426">
        <f>Financials!O140</f>
        <v>0.74047899489595603</v>
      </c>
      <c r="P130" s="426">
        <f>Financials!P140</f>
        <v>0.80260942760942766</v>
      </c>
      <c r="Q130" s="426">
        <f>Financials!Q140</f>
        <v>0.75882352941176467</v>
      </c>
      <c r="R130" s="426">
        <f>Financials!R140</f>
        <v>0.7507405840033855</v>
      </c>
      <c r="S130" s="426">
        <f>Financials!S140</f>
        <v>0.75311827956989252</v>
      </c>
      <c r="T130" s="426">
        <f>Financials!T140</f>
        <v>0.77460317460317463</v>
      </c>
      <c r="U130" s="426">
        <f>Financials!U140</f>
        <v>0.74252565818830885</v>
      </c>
      <c r="V130" s="426">
        <f>Financials!V140</f>
        <v>0.8071725571725572</v>
      </c>
      <c r="W130" s="426">
        <f>Financials!W140</f>
        <v>0.76060320452403396</v>
      </c>
      <c r="X130" s="426">
        <f>Financials!X140</f>
        <v>0.75892040256175664</v>
      </c>
      <c r="Y130" s="426">
        <f>Financials!Y140</f>
        <v>0.75010377750103774</v>
      </c>
      <c r="Z130" s="426">
        <f>Financials!Z140</f>
        <v>0.74330946098756123</v>
      </c>
      <c r="AA130" s="426">
        <f>Financials!AA140</f>
        <v>0.75661764705882351</v>
      </c>
      <c r="AB130" s="426">
        <f>Financials!AB140</f>
        <v>0.79250185597624345</v>
      </c>
      <c r="AC130" s="426">
        <f>Financials!AC140</f>
        <v>0.78813559322033899</v>
      </c>
      <c r="AD130" s="426">
        <f>Financials!AD140</f>
        <v>0.75323275862068961</v>
      </c>
      <c r="AE130" s="426">
        <f>Financials!AE140</f>
        <v>0.8002953119232189</v>
      </c>
      <c r="AF130" s="426">
        <f>Financials!AF140</f>
        <v>0.84281500210703753</v>
      </c>
      <c r="AG130" s="426">
        <f>Financials!AG140</f>
        <v>0.7744610281923715</v>
      </c>
      <c r="AH130" s="238">
        <f>CHOOSE(Case,AH131,AH132,AH133)</f>
        <v>0.78500000000000003</v>
      </c>
      <c r="AI130" s="238">
        <f>CHOOSE(Case,AI131,AI132,AI133)</f>
        <v>0.78500000000000003</v>
      </c>
      <c r="AJ130" s="238">
        <f>CHOOSE(Case,AJ131,AJ132,AJ133)</f>
        <v>0.78500000000000003</v>
      </c>
      <c r="AL130" s="426">
        <f>Financials!AL140</f>
        <v>0.73916238060249817</v>
      </c>
      <c r="AM130" s="426">
        <f>Financials!AM140</f>
        <v>0.72315505804311775</v>
      </c>
      <c r="AN130" s="426">
        <f>Financials!AN140</f>
        <v>0.73046181172291291</v>
      </c>
      <c r="AO130" s="426">
        <f>Financials!AO140</f>
        <v>0.74081055607917057</v>
      </c>
      <c r="AP130" s="426">
        <f>Financials!AP140</f>
        <v>0.75756083144517783</v>
      </c>
      <c r="AQ130" s="426">
        <f>Financials!AQ140</f>
        <v>0.7590855170926345</v>
      </c>
      <c r="AR130" s="426">
        <f>Financials!AR140</f>
        <v>0.76596246901923759</v>
      </c>
      <c r="AS130" s="426">
        <f>Financials!AS140</f>
        <v>0.76097747231767854</v>
      </c>
      <c r="AT130" s="426">
        <f>Financials!AT140</f>
        <v>0.79432892249527409</v>
      </c>
      <c r="AU130" s="426">
        <f>Financials!AU140</f>
        <v>0.78172963409478802</v>
      </c>
      <c r="AV130" s="238">
        <f>CHOOSE(Case,AV131,AV132,AV133)</f>
        <v>0.74</v>
      </c>
      <c r="AW130" s="238">
        <f>CHOOSE(Case,AW131,AW132,AW133)</f>
        <v>0.74</v>
      </c>
      <c r="AX130" s="238">
        <f>CHOOSE(Case,AX131,AX132,AX133)</f>
        <v>0.74</v>
      </c>
      <c r="AY130" s="1538"/>
      <c r="AZ130" s="1538"/>
      <c r="BA130" s="1538"/>
      <c r="BB130" s="1538"/>
      <c r="BC130" s="1538"/>
      <c r="BD130" s="738"/>
    </row>
    <row r="131" spans="3:56" ht="11.25" customHeight="1">
      <c r="C131" s="425" t="s">
        <v>570</v>
      </c>
      <c r="AH131" s="297">
        <f t="shared" ref="AH131:AJ131" si="37">+AH132-1%</f>
        <v>0.77500000000000002</v>
      </c>
      <c r="AI131" s="297">
        <f t="shared" si="37"/>
        <v>0.77500000000000002</v>
      </c>
      <c r="AJ131" s="297">
        <f t="shared" si="37"/>
        <v>0.77500000000000002</v>
      </c>
      <c r="AV131" s="297">
        <f>+AV132-1%</f>
        <v>0.73</v>
      </c>
      <c r="AW131" s="297">
        <f>+AW132-1%</f>
        <v>0.73</v>
      </c>
      <c r="AX131" s="297">
        <f>+AX132-1%</f>
        <v>0.73</v>
      </c>
      <c r="AY131" s="1538"/>
      <c r="AZ131" s="1538"/>
      <c r="BA131" s="1538"/>
      <c r="BB131" s="1538"/>
      <c r="BC131" s="1538"/>
      <c r="BD131" s="738"/>
    </row>
    <row r="132" spans="3:56" ht="11.25" customHeight="1">
      <c r="C132" s="425" t="s">
        <v>575</v>
      </c>
      <c r="AH132" s="297">
        <v>0.78500000000000003</v>
      </c>
      <c r="AI132" s="297">
        <v>0.78500000000000003</v>
      </c>
      <c r="AJ132" s="297">
        <v>0.78500000000000003</v>
      </c>
      <c r="AV132" s="297">
        <v>0.74</v>
      </c>
      <c r="AW132" s="297">
        <v>0.74</v>
      </c>
      <c r="AX132" s="297">
        <v>0.74</v>
      </c>
      <c r="AY132" s="1538"/>
      <c r="AZ132" s="1538"/>
      <c r="BA132" s="1538"/>
      <c r="BB132" s="1538"/>
      <c r="BC132" s="1538"/>
      <c r="BD132" s="738"/>
    </row>
    <row r="133" spans="3:56" ht="11.25" customHeight="1">
      <c r="C133" s="425" t="s">
        <v>569</v>
      </c>
      <c r="AH133" s="297">
        <f t="shared" ref="AH133:AJ133" si="38">+AH132+0.015</f>
        <v>0.8</v>
      </c>
      <c r="AI133" s="297">
        <f t="shared" si="38"/>
        <v>0.8</v>
      </c>
      <c r="AJ133" s="297">
        <f t="shared" si="38"/>
        <v>0.8</v>
      </c>
      <c r="AK133" s="432"/>
      <c r="AL133" s="432"/>
      <c r="AM133" s="432"/>
      <c r="AN133" s="432"/>
      <c r="AO133" s="432"/>
      <c r="AP133" s="432"/>
      <c r="AQ133" s="432"/>
      <c r="AR133" s="432"/>
      <c r="AS133" s="432"/>
      <c r="AT133" s="432"/>
      <c r="AU133" s="432"/>
      <c r="AV133" s="297">
        <f>+AV132+0.015</f>
        <v>0.755</v>
      </c>
      <c r="AW133" s="297">
        <f>+AW132+0.015</f>
        <v>0.755</v>
      </c>
      <c r="AX133" s="297">
        <f>+AX132+0.015</f>
        <v>0.755</v>
      </c>
      <c r="AY133" s="1538"/>
      <c r="AZ133" s="1538"/>
      <c r="BA133" s="1538"/>
      <c r="BB133" s="1538"/>
      <c r="BC133" s="1538"/>
      <c r="BD133" s="738"/>
    </row>
    <row r="134" spans="3:56" ht="11.25" customHeight="1">
      <c r="AY134" s="708"/>
      <c r="AZ134" s="708"/>
      <c r="BA134" s="708"/>
      <c r="BB134" s="708"/>
      <c r="BC134" s="708"/>
      <c r="BD134" s="708"/>
    </row>
    <row r="135" spans="3:56" ht="11.25" customHeight="1">
      <c r="C135" s="427" t="s">
        <v>662</v>
      </c>
      <c r="E135" s="426">
        <f>Financials!E147</f>
        <v>7.7817531305903395E-2</v>
      </c>
      <c r="F135" s="426">
        <f>Financials!F147</f>
        <v>7.575097953852851E-2</v>
      </c>
      <c r="G135" s="426">
        <f>Financials!G147</f>
        <v>7.3895933537385217E-2</v>
      </c>
      <c r="H135" s="426">
        <f>Financials!H147</f>
        <v>7.4497257769652644E-2</v>
      </c>
      <c r="I135" s="426">
        <f>Financials!I147</f>
        <v>7.772470690403821E-2</v>
      </c>
      <c r="J135" s="426">
        <f>Financials!J147</f>
        <v>7.4824307565109549E-2</v>
      </c>
      <c r="K135" s="426">
        <f>Financials!K147</f>
        <v>7.3022312373225151E-2</v>
      </c>
      <c r="L135" s="426">
        <f>Financials!L147</f>
        <v>8.0016934801016085E-2</v>
      </c>
      <c r="M135" s="426">
        <f>Financials!M147</f>
        <v>7.1729957805907171E-2</v>
      </c>
      <c r="N135" s="426">
        <f>Financials!N147</f>
        <v>7.0965280427317812E-2</v>
      </c>
      <c r="O135" s="426">
        <f>Financials!O147</f>
        <v>6.8315665488810365E-2</v>
      </c>
      <c r="P135" s="426">
        <f>Financials!P147</f>
        <v>7.0286195286195285E-2</v>
      </c>
      <c r="Q135" s="426">
        <f>Financials!Q147</f>
        <v>7.857142857142857E-2</v>
      </c>
      <c r="R135" s="426">
        <f>Financials!R147</f>
        <v>6.9826491747778247E-2</v>
      </c>
      <c r="S135" s="426">
        <f>Financials!S147</f>
        <v>7.0107526881720436E-2</v>
      </c>
      <c r="T135" s="426">
        <f>Financials!T147</f>
        <v>7.9818594104308388E-2</v>
      </c>
      <c r="U135" s="426">
        <f>Financials!U147</f>
        <v>7.1396697902722003E-2</v>
      </c>
      <c r="V135" s="426">
        <f>Financials!V147</f>
        <v>8.0561330561330566E-2</v>
      </c>
      <c r="W135" s="426">
        <f>Financials!W147</f>
        <v>7.7756833176248819E-2</v>
      </c>
      <c r="X135" s="426">
        <f>Financials!X147</f>
        <v>7.9597438243366875E-2</v>
      </c>
      <c r="Y135" s="426">
        <f>Financials!Y147</f>
        <v>7.6380240763802412E-2</v>
      </c>
      <c r="Z135" s="426">
        <f>Financials!Z147</f>
        <v>7.6140218620429703E-2</v>
      </c>
      <c r="AA135" s="426">
        <f>Financials!AA147</f>
        <v>7.0955882352941174E-2</v>
      </c>
      <c r="AB135" s="426">
        <f>Financials!AB147</f>
        <v>7.3496659242761692E-2</v>
      </c>
      <c r="AC135" s="426">
        <f>Financials!AC147</f>
        <v>6.890198968312454E-2</v>
      </c>
      <c r="AD135" s="426">
        <f>Financials!AD147</f>
        <v>6.5732758620689655E-2</v>
      </c>
      <c r="AE135" s="426">
        <f>Financials!AE147</f>
        <v>6.2384643779992616E-2</v>
      </c>
      <c r="AF135" s="426">
        <f>Financials!AF147</f>
        <v>7.1217867678044666E-2</v>
      </c>
      <c r="AG135" s="426">
        <f>Financials!AG147</f>
        <v>7.9187396351575456E-2</v>
      </c>
      <c r="AH135" s="238">
        <f>CHOOSE(Case,AH136,AH137,AH138)</f>
        <v>7.6999999999999999E-2</v>
      </c>
      <c r="AI135" s="238">
        <f>CHOOSE(Case,AI136,AI137,AI138)</f>
        <v>7.6999999999999999E-2</v>
      </c>
      <c r="AJ135" s="238">
        <f>CHOOSE(Case,AJ136,AJ137,AJ138)</f>
        <v>7.6999999999999999E-2</v>
      </c>
      <c r="AL135" s="426">
        <f>Financials!AL147</f>
        <v>6.8437073580350588E-2</v>
      </c>
      <c r="AM135" s="426">
        <f>Financials!AM147</f>
        <v>7.5145107794361524E-2</v>
      </c>
      <c r="AN135" s="426">
        <f>Financials!AN147</f>
        <v>7.548845470692718E-2</v>
      </c>
      <c r="AO135" s="426">
        <f>Financials!AO147</f>
        <v>7.6343072573044304E-2</v>
      </c>
      <c r="AP135" s="426">
        <f>Financials!AP147</f>
        <v>7.0337897744064626E-2</v>
      </c>
      <c r="AQ135" s="426">
        <f>Financials!AQ147</f>
        <v>7.4517416154426835E-2</v>
      </c>
      <c r="AR135" s="426">
        <f>Financials!AR147</f>
        <v>7.7186356662339195E-2</v>
      </c>
      <c r="AS135" s="426">
        <f>Financials!AS147</f>
        <v>7.4169530355097366E-2</v>
      </c>
      <c r="AT135" s="426">
        <f>Financials!AT147</f>
        <v>6.691871455576559E-2</v>
      </c>
      <c r="AU135" s="426">
        <f>Financials!AU147</f>
        <v>7.7516291158465006E-2</v>
      </c>
      <c r="AV135" s="238">
        <f>CHOOSE(Case,AV136,AV137,AV138)</f>
        <v>7.1999999999999995E-2</v>
      </c>
      <c r="AW135" s="238">
        <f>CHOOSE(Case,AW136,AW137,AW138)</f>
        <v>7.1999999999999995E-2</v>
      </c>
      <c r="AX135" s="238">
        <f>CHOOSE(Case,AX136,AX137,AX138)</f>
        <v>7.1999999999999995E-2</v>
      </c>
      <c r="AY135" s="1538"/>
      <c r="AZ135" s="1538"/>
      <c r="BA135" s="1538"/>
      <c r="BB135" s="1538"/>
      <c r="BC135" s="1538"/>
      <c r="BD135" s="738"/>
    </row>
    <row r="136" spans="3:56" ht="11.25" customHeight="1">
      <c r="C136" s="425" t="s">
        <v>570</v>
      </c>
      <c r="AH136" s="297">
        <f t="shared" ref="AH136:AJ136" si="39">+AH137-0.0025</f>
        <v>7.4499999999999997E-2</v>
      </c>
      <c r="AI136" s="297">
        <f t="shared" si="39"/>
        <v>7.4499999999999997E-2</v>
      </c>
      <c r="AJ136" s="297">
        <f t="shared" si="39"/>
        <v>7.4499999999999997E-2</v>
      </c>
      <c r="AV136" s="297">
        <f>+AV137-0.0025</f>
        <v>6.9499999999999992E-2</v>
      </c>
      <c r="AW136" s="297">
        <f>+AW137-0.0025</f>
        <v>6.9499999999999992E-2</v>
      </c>
      <c r="AX136" s="297">
        <f>+AX137-0.0025</f>
        <v>6.9499999999999992E-2</v>
      </c>
      <c r="AY136" s="1538"/>
      <c r="AZ136" s="1538"/>
      <c r="BA136" s="1538"/>
      <c r="BB136" s="1538"/>
      <c r="BC136" s="1538"/>
      <c r="BD136" s="738"/>
    </row>
    <row r="137" spans="3:56" ht="11.25" customHeight="1">
      <c r="C137" s="425" t="s">
        <v>575</v>
      </c>
      <c r="AH137" s="297">
        <v>7.6999999999999999E-2</v>
      </c>
      <c r="AI137" s="297">
        <v>7.6999999999999999E-2</v>
      </c>
      <c r="AJ137" s="297">
        <v>7.6999999999999999E-2</v>
      </c>
      <c r="AV137" s="297">
        <v>7.1999999999999995E-2</v>
      </c>
      <c r="AW137" s="297">
        <v>7.1999999999999995E-2</v>
      </c>
      <c r="AX137" s="297">
        <v>7.1999999999999995E-2</v>
      </c>
      <c r="AY137" s="1538"/>
      <c r="AZ137" s="1538"/>
      <c r="BA137" s="1538"/>
      <c r="BB137" s="1538"/>
      <c r="BC137" s="1538"/>
      <c r="BD137" s="738"/>
    </row>
    <row r="138" spans="3:56" ht="11.25" customHeight="1">
      <c r="C138" s="425" t="s">
        <v>569</v>
      </c>
      <c r="AH138" s="297">
        <f t="shared" ref="AH138:AJ138" si="40">+AH137+1%</f>
        <v>8.6999999999999994E-2</v>
      </c>
      <c r="AI138" s="297">
        <f t="shared" si="40"/>
        <v>8.6999999999999994E-2</v>
      </c>
      <c r="AJ138" s="297">
        <f t="shared" si="40"/>
        <v>8.6999999999999994E-2</v>
      </c>
      <c r="AV138" s="297">
        <f>+AV137+1%</f>
        <v>8.199999999999999E-2</v>
      </c>
      <c r="AW138" s="297">
        <f>+AW137+1%</f>
        <v>8.199999999999999E-2</v>
      </c>
      <c r="AX138" s="297">
        <f>+AX137+1%</f>
        <v>8.199999999999999E-2</v>
      </c>
      <c r="AY138" s="1538"/>
      <c r="AZ138" s="1538"/>
      <c r="BA138" s="1538"/>
      <c r="BB138" s="1538"/>
      <c r="BC138" s="1538"/>
      <c r="BD138" s="738"/>
    </row>
    <row r="139" spans="3:56" ht="11.25" customHeight="1">
      <c r="AY139" s="708"/>
      <c r="AZ139" s="708"/>
      <c r="BA139" s="708"/>
      <c r="BB139" s="708"/>
      <c r="BC139" s="708"/>
      <c r="BD139" s="708"/>
    </row>
    <row r="140" spans="3:56" ht="11.25" customHeight="1">
      <c r="C140" s="427" t="s">
        <v>382</v>
      </c>
      <c r="E140" s="426">
        <f>Financials!E154</f>
        <v>2.4150268336314847E-2</v>
      </c>
      <c r="F140" s="426">
        <f>Financials!F154</f>
        <v>2.3944275141488898E-2</v>
      </c>
      <c r="G140" s="426">
        <f>Financials!G154</f>
        <v>2.3611718408395276E-2</v>
      </c>
      <c r="H140" s="426">
        <f>Financials!H154</f>
        <v>2.3308957952468009E-2</v>
      </c>
      <c r="I140" s="426">
        <f>Financials!I154</f>
        <v>2.4750325662179766E-2</v>
      </c>
      <c r="J140" s="426">
        <f>Financials!J154</f>
        <v>2.3976849937990905E-2</v>
      </c>
      <c r="K140" s="426">
        <f>Financials!K154</f>
        <v>2.3935091277890466E-2</v>
      </c>
      <c r="L140" s="426">
        <f>Financials!L154</f>
        <v>2.2438611346316681E-2</v>
      </c>
      <c r="M140" s="426">
        <f>Financials!M154</f>
        <v>2.1480629075565784E-2</v>
      </c>
      <c r="N140" s="426">
        <f>Financials!N154</f>
        <v>2.2892025944296072E-2</v>
      </c>
      <c r="O140" s="426">
        <f>Financials!O154</f>
        <v>2.3557126030624265E-2</v>
      </c>
      <c r="P140" s="426">
        <f>Financials!P154</f>
        <v>2.4831649831649833E-2</v>
      </c>
      <c r="Q140" s="426">
        <f>Financials!Q154</f>
        <v>2.4369747899159664E-2</v>
      </c>
      <c r="R140" s="426">
        <f>Financials!R154</f>
        <v>2.4121878967414304E-2</v>
      </c>
      <c r="S140" s="426">
        <f>Financials!S154</f>
        <v>2.5376344086021504E-2</v>
      </c>
      <c r="T140" s="426">
        <f>Financials!T154</f>
        <v>2.7210884353741496E-2</v>
      </c>
      <c r="U140" s="426">
        <f>Financials!U154</f>
        <v>2.7219991075412762E-2</v>
      </c>
      <c r="V140" s="426">
        <f>Financials!V154</f>
        <v>2.7027027027027029E-2</v>
      </c>
      <c r="W140" s="426">
        <f>Financials!W154</f>
        <v>2.6390197926484449E-2</v>
      </c>
      <c r="X140" s="426">
        <f>Financials!X154</f>
        <v>2.6075022872827081E-2</v>
      </c>
      <c r="Y140" s="426">
        <f>Financials!Y154</f>
        <v>2.4076380240763803E-2</v>
      </c>
      <c r="Z140" s="426">
        <f>Financials!Z154</f>
        <v>2.3746701846965697E-2</v>
      </c>
      <c r="AA140" s="426">
        <f>Financials!AA154</f>
        <v>2.4264705882352942E-2</v>
      </c>
      <c r="AB140" s="426">
        <f>Financials!AB154</f>
        <v>2.4870081662954714E-2</v>
      </c>
      <c r="AC140" s="426">
        <f>Financials!AC154</f>
        <v>2.3949889462048637E-2</v>
      </c>
      <c r="AD140" s="426">
        <f>Financials!AD154</f>
        <v>2.4066091954022987E-2</v>
      </c>
      <c r="AE140" s="426">
        <f>Financials!AE154</f>
        <v>2.5101513473606497E-2</v>
      </c>
      <c r="AF140" s="426">
        <f>Financials!AF154</f>
        <v>2.6970080067425201E-2</v>
      </c>
      <c r="AG140" s="426">
        <f>Financials!AG154</f>
        <v>2.570480928689884E-2</v>
      </c>
      <c r="AH140" s="238">
        <f>CHOOSE(Case,AH141,AH142,AH143)</f>
        <v>2.4E-2</v>
      </c>
      <c r="AI140" s="238">
        <f>CHOOSE(Case,AI141,AI142,AI143)</f>
        <v>2.4E-2</v>
      </c>
      <c r="AJ140" s="238">
        <f>CHOOSE(Case,AJ141,AJ142,AJ143)</f>
        <v>2.4E-2</v>
      </c>
      <c r="AL140" s="426">
        <f>Financials!AL154</f>
        <v>2.3092264091529337E-2</v>
      </c>
      <c r="AM140" s="426">
        <f>Financials!AM154</f>
        <v>2.3735489220563847E-2</v>
      </c>
      <c r="AN140" s="426">
        <f>Financials!AN154</f>
        <v>2.3756660746003553E-2</v>
      </c>
      <c r="AO140" s="426">
        <f>Financials!AO154</f>
        <v>2.377212273536496E-2</v>
      </c>
      <c r="AP140" s="426">
        <f>Financials!AP154</f>
        <v>2.3150428529208945E-2</v>
      </c>
      <c r="AQ140" s="426">
        <f>Financials!AQ154</f>
        <v>2.5234551924943383E-2</v>
      </c>
      <c r="AR140" s="426">
        <f>Financials!AR154</f>
        <v>2.6672961170777765E-2</v>
      </c>
      <c r="AS140" s="426">
        <f>Financials!AS154</f>
        <v>2.4245895379915998E-2</v>
      </c>
      <c r="AT140" s="426">
        <f>Financials!AT154</f>
        <v>2.495274102079395E-2</v>
      </c>
      <c r="AU140" s="426">
        <f>Financials!AU154</f>
        <v>2.4402386134118281E-2</v>
      </c>
      <c r="AV140" s="238">
        <f>CHOOSE(Case,AV141,AV142,AV143)</f>
        <v>2.5000000000000001E-2</v>
      </c>
      <c r="AW140" s="238">
        <f>CHOOSE(Case,AW141,AW142,AW143)</f>
        <v>2.5000000000000001E-2</v>
      </c>
      <c r="AX140" s="238">
        <f>CHOOSE(Case,AX141,AX142,AX143)</f>
        <v>2.5000000000000001E-2</v>
      </c>
      <c r="AY140" s="1538"/>
      <c r="AZ140" s="1538"/>
      <c r="BA140" s="1538"/>
      <c r="BB140" s="1538"/>
      <c r="BC140" s="1538"/>
      <c r="BD140" s="738"/>
    </row>
    <row r="141" spans="3:56" ht="11.25" customHeight="1">
      <c r="C141" s="425" t="s">
        <v>570</v>
      </c>
      <c r="AH141" s="297">
        <f t="shared" ref="AH141:AJ141" si="41">+AH142-0.005</f>
        <v>1.9E-2</v>
      </c>
      <c r="AI141" s="297">
        <f t="shared" si="41"/>
        <v>1.9E-2</v>
      </c>
      <c r="AJ141" s="297">
        <f t="shared" si="41"/>
        <v>1.9E-2</v>
      </c>
      <c r="AV141" s="297">
        <f>+AV142-0.005</f>
        <v>0.02</v>
      </c>
      <c r="AW141" s="297">
        <f>+AW142-0.005</f>
        <v>0.02</v>
      </c>
      <c r="AX141" s="297">
        <f>+AX142-0.005</f>
        <v>0.02</v>
      </c>
      <c r="AY141" s="1538"/>
      <c r="AZ141" s="1538"/>
      <c r="BA141" s="1538"/>
      <c r="BB141" s="1538"/>
      <c r="BC141" s="1538"/>
      <c r="BD141" s="738"/>
    </row>
    <row r="142" spans="3:56" ht="11.25" customHeight="1">
      <c r="C142" s="425" t="s">
        <v>575</v>
      </c>
      <c r="AH142" s="297">
        <v>2.4E-2</v>
      </c>
      <c r="AI142" s="297">
        <v>2.4E-2</v>
      </c>
      <c r="AJ142" s="297">
        <v>2.4E-2</v>
      </c>
      <c r="AV142" s="297">
        <v>2.5000000000000001E-2</v>
      </c>
      <c r="AW142" s="297">
        <v>2.5000000000000001E-2</v>
      </c>
      <c r="AX142" s="297">
        <v>2.5000000000000001E-2</v>
      </c>
      <c r="AY142" s="1538"/>
      <c r="AZ142" s="1538"/>
      <c r="BA142" s="1538"/>
      <c r="BB142" s="1538"/>
      <c r="BC142" s="1538"/>
      <c r="BD142" s="738"/>
    </row>
    <row r="143" spans="3:56" ht="11.25" customHeight="1">
      <c r="C143" s="425" t="s">
        <v>569</v>
      </c>
      <c r="AH143" s="297">
        <f t="shared" ref="AH143:AJ143" si="42">+AH142+0.005</f>
        <v>2.9000000000000001E-2</v>
      </c>
      <c r="AI143" s="297">
        <f t="shared" si="42"/>
        <v>2.9000000000000001E-2</v>
      </c>
      <c r="AJ143" s="297">
        <f t="shared" si="42"/>
        <v>2.9000000000000001E-2</v>
      </c>
      <c r="AV143" s="297">
        <f>+AV142+0.005</f>
        <v>3.0000000000000002E-2</v>
      </c>
      <c r="AW143" s="297">
        <f>+AW142+0.005</f>
        <v>3.0000000000000002E-2</v>
      </c>
      <c r="AX143" s="297">
        <f>+AX142+0.005</f>
        <v>3.0000000000000002E-2</v>
      </c>
      <c r="AY143" s="1538"/>
      <c r="AZ143" s="1538"/>
      <c r="BA143" s="1538"/>
      <c r="BB143" s="1538"/>
      <c r="BC143" s="1538"/>
      <c r="BD143" s="738"/>
    </row>
    <row r="145" spans="2:56" ht="11.25" customHeight="1">
      <c r="B145" s="300" t="s">
        <v>14</v>
      </c>
      <c r="C145" s="299" t="s">
        <v>572</v>
      </c>
      <c r="D145" s="298"/>
      <c r="E145" s="298" t="s">
        <v>571</v>
      </c>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c r="AL145" s="298"/>
      <c r="AM145" s="298"/>
      <c r="AN145" s="298"/>
      <c r="AO145" s="298"/>
      <c r="AP145" s="298"/>
      <c r="AQ145" s="298"/>
      <c r="AR145" s="298"/>
      <c r="AS145" s="298"/>
      <c r="AT145" s="298"/>
      <c r="AU145" s="298"/>
      <c r="AV145" s="298"/>
      <c r="AW145" s="298"/>
      <c r="AX145" s="298"/>
      <c r="AY145" s="298"/>
      <c r="AZ145" s="298"/>
      <c r="BA145" s="298"/>
      <c r="BB145" s="298"/>
      <c r="BC145" s="298"/>
      <c r="BD145" s="298"/>
    </row>
    <row r="147" spans="2:56" ht="11.25" customHeight="1">
      <c r="C147" s="217" t="s">
        <v>410</v>
      </c>
      <c r="H147" s="431">
        <f>+Financials!H848</f>
        <v>32.901865008880996</v>
      </c>
      <c r="I147" s="431">
        <f>+Financials!I848</f>
        <v>39.496418732782367</v>
      </c>
      <c r="J147" s="431">
        <f>+Financials!J848</f>
        <v>40.401217788409262</v>
      </c>
      <c r="K147" s="431">
        <f>+Financials!K848</f>
        <v>40.763199999999998</v>
      </c>
      <c r="L147" s="431">
        <f>+Financials!L848</f>
        <v>39.2177191328935</v>
      </c>
      <c r="M147" s="431">
        <f>+Financials!M848</f>
        <v>52.973713589769609</v>
      </c>
      <c r="N147" s="431">
        <f>+Financials!N848</f>
        <v>50.566384883142717</v>
      </c>
      <c r="O147" s="431">
        <f>+Financials!O848</f>
        <v>50.553418171056528</v>
      </c>
      <c r="P147" s="431">
        <f>+Financials!P848</f>
        <v>41.494434045906807</v>
      </c>
      <c r="Q147" s="431">
        <f>+Financials!Q848</f>
        <v>47.70304312777106</v>
      </c>
      <c r="R147" s="431">
        <f>+Financials!R848</f>
        <v>46.521829091661495</v>
      </c>
      <c r="S147" s="431">
        <f>+Financials!S848</f>
        <v>46.030813214739517</v>
      </c>
      <c r="T147" s="431">
        <f>+Financials!T848</f>
        <v>38.574355656206187</v>
      </c>
      <c r="U147" s="431">
        <f>+Financials!U848</f>
        <v>41.758813225312018</v>
      </c>
      <c r="V147" s="431">
        <f>+Financials!V848</f>
        <v>37.948246118458883</v>
      </c>
      <c r="W147" s="431">
        <f>+Financials!W848</f>
        <v>46.291215261422515</v>
      </c>
      <c r="X147" s="431">
        <f>+Financials!X848</f>
        <v>44.499586923167712</v>
      </c>
      <c r="Y147" s="431">
        <f>+Financials!Y848</f>
        <v>51.913551672260155</v>
      </c>
      <c r="Z147" s="431">
        <f>+Financials!Z848</f>
        <v>50.367662753468515</v>
      </c>
      <c r="AA147" s="431">
        <f>+Financials!AA848</f>
        <v>49.652889245585875</v>
      </c>
      <c r="AB147" s="431">
        <f>+Financials!AB848</f>
        <v>38.012122947689953</v>
      </c>
      <c r="AC147" s="431">
        <f>+Financials!AC848</f>
        <v>40.186902884704573</v>
      </c>
      <c r="AD147" s="431">
        <f>+Financials!AD848</f>
        <v>40.473790322580648</v>
      </c>
      <c r="AE147" s="431">
        <f>+Financials!AE848</f>
        <v>38.070360517383726</v>
      </c>
      <c r="AF147" s="431">
        <f>+Financials!AF848</f>
        <v>33.015595463137998</v>
      </c>
      <c r="AG147" s="431">
        <f>+Financials!AG848</f>
        <v>37.323895699552445</v>
      </c>
      <c r="AH147" s="429">
        <f>CHOOSE(Case,AH148,AH149,AH150)</f>
        <v>35</v>
      </c>
      <c r="AI147" s="429">
        <f>CHOOSE(Case,AI148,AI149,AI150)</f>
        <v>35</v>
      </c>
      <c r="AJ147" s="429">
        <f>CHOOSE(Case,AJ148,AJ149,AJ150)</f>
        <v>35</v>
      </c>
      <c r="AL147" s="431">
        <f>+Financials!AL848</f>
        <v>35.860186837409465</v>
      </c>
      <c r="AM147" s="431">
        <f>+Financials!AM848</f>
        <v>29.96268656716418</v>
      </c>
      <c r="AN147" s="431">
        <f>+Financials!AN848</f>
        <v>32.901865008880996</v>
      </c>
      <c r="AO147" s="431">
        <f>+Financials!AO848</f>
        <v>39.2177191328935</v>
      </c>
      <c r="AP147" s="431">
        <f>+Financials!AP848</f>
        <v>41.494434045906807</v>
      </c>
      <c r="AQ147" s="431">
        <f>+Financials!AQ848</f>
        <v>38.574355656206187</v>
      </c>
      <c r="AR147" s="431">
        <f>+Financials!AR848</f>
        <v>44.499586923167712</v>
      </c>
      <c r="AS147" s="431">
        <f>+Financials!AS848</f>
        <v>38.012122947689953</v>
      </c>
      <c r="AT147" s="431">
        <f>+Financials!AT848</f>
        <v>33.015595463137998</v>
      </c>
      <c r="AU147" s="431">
        <f>+Financials!AU848</f>
        <v>35.000000000000014</v>
      </c>
      <c r="AV147" s="429">
        <f>CHOOSE(Case,AV148,AV149,AV150)</f>
        <v>35</v>
      </c>
      <c r="AW147" s="429">
        <f>CHOOSE(Case,AW148,AW149,AW150)</f>
        <v>35</v>
      </c>
      <c r="AX147" s="429">
        <f>CHOOSE(Case,AX148,AX149,AX150)</f>
        <v>35</v>
      </c>
    </row>
    <row r="148" spans="2:56" ht="11.25" customHeight="1">
      <c r="C148" s="425" t="s">
        <v>570</v>
      </c>
      <c r="AH148" s="430">
        <f t="shared" ref="AH148:AJ148" si="43">+AH149-2</f>
        <v>33</v>
      </c>
      <c r="AI148" s="430">
        <f t="shared" si="43"/>
        <v>33</v>
      </c>
      <c r="AJ148" s="430">
        <f t="shared" si="43"/>
        <v>33</v>
      </c>
      <c r="AV148" s="430">
        <f>+AV149-2</f>
        <v>33</v>
      </c>
      <c r="AW148" s="430">
        <f>+AW149-2</f>
        <v>33</v>
      </c>
      <c r="AX148" s="430">
        <f>+AX149-2</f>
        <v>33</v>
      </c>
    </row>
    <row r="149" spans="2:56" ht="11.25" customHeight="1">
      <c r="C149" s="425" t="s">
        <v>575</v>
      </c>
      <c r="AH149" s="430">
        <v>35</v>
      </c>
      <c r="AI149" s="430">
        <v>35</v>
      </c>
      <c r="AJ149" s="430">
        <v>35</v>
      </c>
      <c r="AV149" s="430">
        <v>35</v>
      </c>
      <c r="AW149" s="430">
        <v>35</v>
      </c>
      <c r="AX149" s="430">
        <v>35</v>
      </c>
    </row>
    <row r="150" spans="2:56" ht="11.25" customHeight="1">
      <c r="C150" s="425" t="s">
        <v>569</v>
      </c>
      <c r="AH150" s="430">
        <f t="shared" ref="AH150:AJ150" si="44">+AH149+3</f>
        <v>38</v>
      </c>
      <c r="AI150" s="430">
        <f t="shared" si="44"/>
        <v>38</v>
      </c>
      <c r="AJ150" s="430">
        <f t="shared" si="44"/>
        <v>38</v>
      </c>
      <c r="AV150" s="430">
        <f>+AV149+5</f>
        <v>40</v>
      </c>
      <c r="AW150" s="430">
        <f>+AW149+5</f>
        <v>40</v>
      </c>
      <c r="AX150" s="430">
        <f>+AX149+5</f>
        <v>40</v>
      </c>
    </row>
    <row r="151" spans="2:56" ht="11.25" customHeight="1">
      <c r="AV151" s="429"/>
      <c r="AW151" s="429"/>
      <c r="AX151" s="429"/>
    </row>
    <row r="152" spans="2:56" ht="11.25" customHeight="1">
      <c r="C152" s="217" t="s">
        <v>419</v>
      </c>
      <c r="H152" s="431">
        <f>+Financials!H849</f>
        <v>76.969059777711024</v>
      </c>
      <c r="I152" s="431">
        <f>+Financials!I849</f>
        <v>80.792863488303226</v>
      </c>
      <c r="J152" s="431">
        <f>+Financials!J849</f>
        <v>82.046416581520944</v>
      </c>
      <c r="K152" s="431">
        <f>+Financials!K849</f>
        <v>82.42441610545923</v>
      </c>
      <c r="L152" s="431">
        <f>+Financials!L849</f>
        <v>76.646952407458954</v>
      </c>
      <c r="M152" s="431">
        <f>+Financials!M849</f>
        <v>71.698163428267236</v>
      </c>
      <c r="N152" s="431">
        <f>+Financials!N849</f>
        <v>73.171944517142109</v>
      </c>
      <c r="O152" s="431">
        <f>+Financials!O849</f>
        <v>77.360766923177252</v>
      </c>
      <c r="P152" s="431">
        <f>+Financials!P849</f>
        <v>75.312174139728896</v>
      </c>
      <c r="Q152" s="431">
        <f>+Financials!Q849</f>
        <v>83.462157809983907</v>
      </c>
      <c r="R152" s="431">
        <f>+Financials!R849</f>
        <v>86.393487481187577</v>
      </c>
      <c r="S152" s="431">
        <f>+Financials!S849</f>
        <v>85.440546885789246</v>
      </c>
      <c r="T152" s="431">
        <f>+Financials!T849</f>
        <v>86.181275749396207</v>
      </c>
      <c r="U152" s="431">
        <f>+Financials!U849</f>
        <v>87.796868203566774</v>
      </c>
      <c r="V152" s="431">
        <f>+Financials!V849</f>
        <v>77.581635710005983</v>
      </c>
      <c r="W152" s="431">
        <f>+Financials!W849</f>
        <v>74.605866177818527</v>
      </c>
      <c r="X152" s="431">
        <f>+Financials!X849</f>
        <v>77.459987688519547</v>
      </c>
      <c r="Y152" s="431">
        <f>+Financials!Y849</f>
        <v>82.667419112114374</v>
      </c>
      <c r="Z152" s="431">
        <f>+Financials!Z849</f>
        <v>77.557332955832393</v>
      </c>
      <c r="AA152" s="431">
        <f>+Financials!AA849</f>
        <v>79.316091187841621</v>
      </c>
      <c r="AB152" s="431">
        <f>+Financials!AB849</f>
        <v>68.826479438314948</v>
      </c>
      <c r="AC152" s="431">
        <f>+Financials!AC849</f>
        <v>73.227878496818349</v>
      </c>
      <c r="AD152" s="431">
        <f>+Financials!AD849</f>
        <v>78.679022547515061</v>
      </c>
      <c r="AE152" s="431">
        <f>+Financials!AE849</f>
        <v>84.008274093928435</v>
      </c>
      <c r="AF152" s="431">
        <f>+Financials!AF849</f>
        <v>81.879663626672979</v>
      </c>
      <c r="AG152" s="431">
        <f>+Financials!AG849</f>
        <v>86.934574859103165</v>
      </c>
      <c r="AH152" s="429">
        <f>CHOOSE(Case,AH153,AH154,AH155)</f>
        <v>77</v>
      </c>
      <c r="AI152" s="429">
        <f>CHOOSE(Case,AI153,AI154,AI155)</f>
        <v>75</v>
      </c>
      <c r="AJ152" s="429">
        <f>CHOOSE(Case,AJ153,AJ154,AJ155)</f>
        <v>73</v>
      </c>
      <c r="AL152" s="431">
        <f>+Financials!AL849</f>
        <v>75.388037229674239</v>
      </c>
      <c r="AM152" s="431">
        <f>+Financials!AM849</f>
        <v>76.377334465195247</v>
      </c>
      <c r="AN152" s="431">
        <f>+Financials!AN849</f>
        <v>76.969059777711024</v>
      </c>
      <c r="AO152" s="431">
        <f>+Financials!AO849</f>
        <v>76.646952407458954</v>
      </c>
      <c r="AP152" s="431">
        <f>+Financials!AP849</f>
        <v>75.312174139728896</v>
      </c>
      <c r="AQ152" s="431">
        <f>+Financials!AQ849</f>
        <v>86.181275749396207</v>
      </c>
      <c r="AR152" s="431">
        <f>+Financials!AR849</f>
        <v>77.459987688519547</v>
      </c>
      <c r="AS152" s="431">
        <f>+Financials!AS849</f>
        <v>68.826479438314948</v>
      </c>
      <c r="AT152" s="431">
        <f>+Financials!AT849</f>
        <v>81.879663626672979</v>
      </c>
      <c r="AU152" s="431">
        <f>+Financials!AU849</f>
        <v>73</v>
      </c>
      <c r="AV152" s="429">
        <f>CHOOSE(Case,AV153,AV154,AV155)</f>
        <v>73</v>
      </c>
      <c r="AW152" s="429">
        <f>CHOOSE(Case,AW153,AW154,AW155)</f>
        <v>73</v>
      </c>
      <c r="AX152" s="429">
        <f>CHOOSE(Case,AX153,AX154,AX155)</f>
        <v>70</v>
      </c>
      <c r="AY152" s="1539"/>
      <c r="AZ152" s="1539"/>
      <c r="BA152" s="1539"/>
      <c r="BB152" s="1539"/>
      <c r="BC152" s="1539"/>
      <c r="BD152" s="739"/>
    </row>
    <row r="153" spans="2:56" ht="11.25" customHeight="1">
      <c r="C153" s="425" t="s">
        <v>570</v>
      </c>
      <c r="AH153" s="430">
        <f t="shared" ref="AH153:AJ153" si="45">+AH154-2</f>
        <v>75</v>
      </c>
      <c r="AI153" s="430">
        <f t="shared" si="45"/>
        <v>73</v>
      </c>
      <c r="AJ153" s="430">
        <f t="shared" si="45"/>
        <v>71</v>
      </c>
      <c r="AV153" s="430">
        <f>+AV154-2</f>
        <v>71</v>
      </c>
      <c r="AW153" s="430">
        <f>+AW154-2</f>
        <v>71</v>
      </c>
      <c r="AX153" s="430">
        <f>+AX154-2</f>
        <v>68</v>
      </c>
      <c r="AY153" s="1539"/>
      <c r="AZ153" s="1539"/>
      <c r="BA153" s="1539"/>
      <c r="BB153" s="1539"/>
      <c r="BC153" s="1539"/>
      <c r="BD153" s="739"/>
    </row>
    <row r="154" spans="2:56" ht="11.25" customHeight="1">
      <c r="C154" s="425" t="s">
        <v>575</v>
      </c>
      <c r="AH154" s="430">
        <v>77</v>
      </c>
      <c r="AI154" s="430">
        <v>75</v>
      </c>
      <c r="AJ154" s="430">
        <v>73</v>
      </c>
      <c r="AV154" s="430">
        <v>73</v>
      </c>
      <c r="AW154" s="430">
        <v>73</v>
      </c>
      <c r="AX154" s="430">
        <v>70</v>
      </c>
      <c r="AY154" s="1539"/>
      <c r="AZ154" s="1539"/>
      <c r="BA154" s="1539"/>
      <c r="BB154" s="1539"/>
      <c r="BC154" s="1539"/>
      <c r="BD154" s="739"/>
    </row>
    <row r="155" spans="2:56" ht="11.25" customHeight="1">
      <c r="C155" s="425" t="s">
        <v>569</v>
      </c>
      <c r="AH155" s="430">
        <f t="shared" ref="AH155:AJ155" si="46">+AH154+3</f>
        <v>80</v>
      </c>
      <c r="AI155" s="430">
        <f t="shared" si="46"/>
        <v>78</v>
      </c>
      <c r="AJ155" s="430">
        <f t="shared" si="46"/>
        <v>76</v>
      </c>
      <c r="AV155" s="430">
        <f>+AV154+5</f>
        <v>78</v>
      </c>
      <c r="AW155" s="430">
        <f>+AW154+5</f>
        <v>78</v>
      </c>
      <c r="AX155" s="430">
        <f>+AX154+5</f>
        <v>75</v>
      </c>
      <c r="AY155" s="1539"/>
      <c r="AZ155" s="1539"/>
      <c r="BA155" s="1539"/>
      <c r="BB155" s="1539"/>
      <c r="BC155" s="1539"/>
      <c r="BD155" s="739"/>
    </row>
    <row r="156" spans="2:56" ht="11.25" customHeight="1">
      <c r="AV156" s="429"/>
      <c r="AW156" s="429"/>
      <c r="AX156" s="429"/>
    </row>
    <row r="157" spans="2:56" ht="11.25" customHeight="1">
      <c r="C157" s="217" t="s">
        <v>411</v>
      </c>
      <c r="H157" s="431">
        <f>+Financials!H850</f>
        <v>38.594172424151395</v>
      </c>
      <c r="I157" s="431">
        <f>+Financials!I850</f>
        <v>36.100088836245185</v>
      </c>
      <c r="J157" s="431">
        <f>+Financials!J850</f>
        <v>35.961903371770546</v>
      </c>
      <c r="K157" s="431">
        <f>+Financials!K850</f>
        <v>36.034532167932369</v>
      </c>
      <c r="L157" s="431">
        <f>+Financials!L850</f>
        <v>42.767881992763712</v>
      </c>
      <c r="M157" s="431">
        <f>+Financials!M850</f>
        <v>40.706680862390201</v>
      </c>
      <c r="N157" s="431">
        <f>+Financials!N850</f>
        <v>38.735278722847426</v>
      </c>
      <c r="O157" s="431">
        <f>+Financials!O850</f>
        <v>39.180253032476848</v>
      </c>
      <c r="P157" s="431">
        <f>+Financials!P850</f>
        <v>43.484098018769558</v>
      </c>
      <c r="Q157" s="431">
        <f>+Financials!Q850</f>
        <v>41.975979602791199</v>
      </c>
      <c r="R157" s="431">
        <f>+Financials!R850</f>
        <v>40.649883705021203</v>
      </c>
      <c r="S157" s="431">
        <f>+Financials!S850</f>
        <v>36.091700041430741</v>
      </c>
      <c r="T157" s="431">
        <f>+Financials!T850</f>
        <v>46.150021309845151</v>
      </c>
      <c r="U157" s="431">
        <f>+Financials!U850</f>
        <v>75.148615340002905</v>
      </c>
      <c r="V157" s="431">
        <f>+Financials!V850</f>
        <v>64.295985620131816</v>
      </c>
      <c r="W157" s="431">
        <f>+Financials!W850</f>
        <v>79.122364802933077</v>
      </c>
      <c r="X157" s="431">
        <f>+Financials!X850</f>
        <v>94.873037857802402</v>
      </c>
      <c r="Y157" s="431">
        <f>+Financials!Y850</f>
        <v>92.939051918735885</v>
      </c>
      <c r="Z157" s="431">
        <f>+Financials!Z850</f>
        <v>96.778737259343146</v>
      </c>
      <c r="AA157" s="431">
        <f>+Financials!AA850</f>
        <v>95.860551926409812</v>
      </c>
      <c r="AB157" s="431">
        <f>+Financials!AB850</f>
        <v>97.610957873620862</v>
      </c>
      <c r="AC157" s="431">
        <f>+Financials!AC850</f>
        <v>89.968183455396797</v>
      </c>
      <c r="AD157" s="431">
        <f>+Financials!AD850</f>
        <v>93.458269389682442</v>
      </c>
      <c r="AE157" s="431">
        <f>+Financials!AE850</f>
        <v>90.218506001631525</v>
      </c>
      <c r="AF157" s="431">
        <f>+Financials!AF850</f>
        <v>91.86604287575507</v>
      </c>
      <c r="AG157" s="431">
        <f>+Financials!AG850</f>
        <v>87.515927468757667</v>
      </c>
      <c r="AH157" s="429">
        <f>CHOOSE(Case,AH158,AH159,AH160)</f>
        <v>90</v>
      </c>
      <c r="AI157" s="429">
        <f>CHOOSE(Case,AI158,AI159,AI160)</f>
        <v>90</v>
      </c>
      <c r="AJ157" s="429">
        <f>CHOOSE(Case,AJ158,AJ159,AJ160)</f>
        <v>90</v>
      </c>
      <c r="AL157" s="431">
        <f>+Financials!AL850</f>
        <v>41.316041609635917</v>
      </c>
      <c r="AM157" s="431">
        <f>+Financials!AM850</f>
        <v>36.097198641765708</v>
      </c>
      <c r="AN157" s="431">
        <f>+Financials!AN850</f>
        <v>38.594172424151395</v>
      </c>
      <c r="AO157" s="431">
        <f>+Financials!AO850</f>
        <v>42.767881992763712</v>
      </c>
      <c r="AP157" s="431">
        <f>+Financials!AP850</f>
        <v>43.484098018769558</v>
      </c>
      <c r="AQ157" s="431">
        <f>+Financials!AQ850</f>
        <v>46.150021309845151</v>
      </c>
      <c r="AR157" s="431">
        <f>+Financials!AR850</f>
        <v>94.873037857802402</v>
      </c>
      <c r="AS157" s="431">
        <f>+Financials!AS850</f>
        <v>97.610957873620862</v>
      </c>
      <c r="AT157" s="431">
        <f>+Financials!AT850</f>
        <v>91.86604287575507</v>
      </c>
      <c r="AU157" s="431">
        <f>+Financials!AU850</f>
        <v>90</v>
      </c>
      <c r="AV157" s="429">
        <f>CHOOSE(Case,AV158,AV159,AV160)</f>
        <v>90</v>
      </c>
      <c r="AW157" s="429">
        <f>CHOOSE(Case,AW158,AW159,AW160)</f>
        <v>90</v>
      </c>
      <c r="AX157" s="429">
        <f>CHOOSE(Case,AX158,AX159,AX160)</f>
        <v>90</v>
      </c>
    </row>
    <row r="158" spans="2:56" ht="11.25" customHeight="1">
      <c r="C158" s="425" t="s">
        <v>570</v>
      </c>
      <c r="AH158" s="430">
        <f t="shared" ref="AH158:AJ158" si="47">+AH159+2</f>
        <v>92</v>
      </c>
      <c r="AI158" s="430">
        <f t="shared" si="47"/>
        <v>92</v>
      </c>
      <c r="AJ158" s="430">
        <f t="shared" si="47"/>
        <v>92</v>
      </c>
      <c r="AV158" s="430">
        <f>+AV159+2</f>
        <v>92</v>
      </c>
      <c r="AW158" s="430">
        <f>+AW159+2</f>
        <v>92</v>
      </c>
      <c r="AX158" s="430">
        <f>+AX159+2</f>
        <v>92</v>
      </c>
    </row>
    <row r="159" spans="2:56" ht="11.25" customHeight="1">
      <c r="C159" s="425" t="s">
        <v>575</v>
      </c>
      <c r="AH159" s="430">
        <v>90</v>
      </c>
      <c r="AI159" s="430">
        <v>90</v>
      </c>
      <c r="AJ159" s="430">
        <v>90</v>
      </c>
      <c r="AV159" s="430">
        <v>90</v>
      </c>
      <c r="AW159" s="430">
        <v>90</v>
      </c>
      <c r="AX159" s="430">
        <v>90</v>
      </c>
    </row>
    <row r="160" spans="2:56" ht="11.25" customHeight="1">
      <c r="C160" s="425" t="s">
        <v>569</v>
      </c>
      <c r="AH160" s="430">
        <f t="shared" ref="AH160:AJ160" si="48">+AH159-2</f>
        <v>88</v>
      </c>
      <c r="AI160" s="430">
        <f t="shared" si="48"/>
        <v>88</v>
      </c>
      <c r="AJ160" s="430">
        <f t="shared" si="48"/>
        <v>88</v>
      </c>
      <c r="AV160" s="430">
        <f>+AV159-5</f>
        <v>85</v>
      </c>
      <c r="AW160" s="430">
        <f>+AW159-5</f>
        <v>85</v>
      </c>
      <c r="AX160" s="430">
        <f>+AX159-5</f>
        <v>85</v>
      </c>
    </row>
    <row r="162" spans="3:50" ht="11.25" customHeight="1">
      <c r="C162" s="217" t="s">
        <v>415</v>
      </c>
      <c r="H162" s="426">
        <f>+Financials!H855</f>
        <v>2.9438269750675879E-2</v>
      </c>
      <c r="I162" s="426">
        <f>+Financials!I855</f>
        <v>1.6286644951140065E-2</v>
      </c>
      <c r="J162" s="426">
        <f>+Financials!J855</f>
        <v>1.8245511604145379E-2</v>
      </c>
      <c r="K162" s="426">
        <f>+Financials!K855</f>
        <v>2.6221521707981085E-2</v>
      </c>
      <c r="L162" s="426">
        <f>+Financials!L855</f>
        <v>2.769273587531311E-2</v>
      </c>
      <c r="M162" s="426">
        <f>+Financials!M855</f>
        <v>1.5970188980569604E-2</v>
      </c>
      <c r="N162" s="426">
        <f>+Financials!N855</f>
        <v>1.7665532583093432E-2</v>
      </c>
      <c r="O162" s="426">
        <f>+Financials!O855</f>
        <v>2.4911960349550021E-2</v>
      </c>
      <c r="P162" s="426">
        <f>+Financials!P855</f>
        <v>2.5677789363920751E-2</v>
      </c>
      <c r="Q162" s="426">
        <f>+Financials!Q855</f>
        <v>1.5432098765432098E-2</v>
      </c>
      <c r="R162" s="426">
        <f>+Financials!R855</f>
        <v>1.5870844164728417E-2</v>
      </c>
      <c r="S162" s="426">
        <f>+Financials!S855</f>
        <v>2.2510702941582653E-2</v>
      </c>
      <c r="T162" s="426">
        <f>+Financials!T855</f>
        <v>2.5003551640858077E-2</v>
      </c>
      <c r="U162" s="426">
        <f>+Financials!U855</f>
        <v>0</v>
      </c>
      <c r="V162" s="426">
        <f>+Financials!V855</f>
        <v>0</v>
      </c>
      <c r="W162" s="426">
        <f>+Financials!W855</f>
        <v>0</v>
      </c>
      <c r="X162" s="426">
        <f>+Financials!X855</f>
        <v>0</v>
      </c>
      <c r="Y162" s="426">
        <f>+Financials!Y855</f>
        <v>0</v>
      </c>
      <c r="Z162" s="426">
        <f>+Financials!Z855</f>
        <v>0</v>
      </c>
      <c r="AA162" s="426">
        <f>+Financials!AA855</f>
        <v>0</v>
      </c>
      <c r="AB162" s="426">
        <f>+Financials!AB855</f>
        <v>0</v>
      </c>
      <c r="AC162" s="426">
        <f>+Financials!AC855</f>
        <v>0</v>
      </c>
      <c r="AD162" s="426">
        <f>+Financials!AD855</f>
        <v>0</v>
      </c>
      <c r="AE162" s="426">
        <f>+Financials!AE855</f>
        <v>0</v>
      </c>
      <c r="AF162" s="426">
        <f>+Financials!AF855</f>
        <v>0</v>
      </c>
      <c r="AG162" s="426">
        <f>+Financials!AG855</f>
        <v>0</v>
      </c>
      <c r="AH162" s="434">
        <f>CHOOSE(Case,AH163,AH164,AH165)</f>
        <v>0</v>
      </c>
      <c r="AI162" s="434">
        <f>CHOOSE(Case,AI163,AI164,AI165)</f>
        <v>0</v>
      </c>
      <c r="AJ162" s="434">
        <f>CHOOSE(Case,AJ163,AJ164,AJ165)</f>
        <v>0</v>
      </c>
      <c r="AL162" s="426">
        <f>+Financials!AL855</f>
        <v>2.6142896249657814E-2</v>
      </c>
      <c r="AM162" s="426">
        <f>+Financials!AM855</f>
        <v>3.2116581777023201E-2</v>
      </c>
      <c r="AN162" s="426">
        <f>+Financials!AN855</f>
        <v>2.9438269750675879E-2</v>
      </c>
      <c r="AO162" s="426">
        <f>+Financials!AO855</f>
        <v>2.769273587531311E-2</v>
      </c>
      <c r="AP162" s="426">
        <f>+Financials!AP855</f>
        <v>2.5677789363920751E-2</v>
      </c>
      <c r="AQ162" s="426">
        <f>+Financials!AQ855</f>
        <v>2.5003551640858077E-2</v>
      </c>
      <c r="AR162" s="426">
        <f>+Financials!AR855</f>
        <v>0</v>
      </c>
      <c r="AS162" s="426">
        <f>+Financials!AS855</f>
        <v>0</v>
      </c>
      <c r="AT162" s="426">
        <f>+Financials!AT855</f>
        <v>0</v>
      </c>
      <c r="AU162" s="426">
        <f>+Financials!AU855</f>
        <v>0</v>
      </c>
      <c r="AV162" s="434">
        <f>CHOOSE(Case,AV163,AV164,AV165)</f>
        <v>0</v>
      </c>
      <c r="AW162" s="434">
        <f>CHOOSE(Case,AW163,AW164,AW165)</f>
        <v>0</v>
      </c>
      <c r="AX162" s="434">
        <f>CHOOSE(Case,AX163,AX164,AX165)</f>
        <v>0</v>
      </c>
    </row>
    <row r="163" spans="3:50" ht="11.25" customHeight="1">
      <c r="C163" s="425" t="s">
        <v>570</v>
      </c>
      <c r="AH163" s="433">
        <f t="shared" ref="AH163:AJ163" si="49">+AH164</f>
        <v>0</v>
      </c>
      <c r="AI163" s="433">
        <f t="shared" si="49"/>
        <v>0</v>
      </c>
      <c r="AJ163" s="433">
        <f t="shared" si="49"/>
        <v>0</v>
      </c>
      <c r="AV163" s="433">
        <f>+AV164-0.002</f>
        <v>-2E-3</v>
      </c>
      <c r="AW163" s="433">
        <f>+AW164-0.002</f>
        <v>-2E-3</v>
      </c>
      <c r="AX163" s="433">
        <f>+AX164-0.002</f>
        <v>-2E-3</v>
      </c>
    </row>
    <row r="164" spans="3:50" ht="11.25" customHeight="1">
      <c r="C164" s="425" t="s">
        <v>575</v>
      </c>
      <c r="AH164" s="433">
        <v>0</v>
      </c>
      <c r="AI164" s="433">
        <v>0</v>
      </c>
      <c r="AJ164" s="433">
        <v>0</v>
      </c>
      <c r="AV164" s="433">
        <v>0</v>
      </c>
      <c r="AW164" s="433">
        <v>0</v>
      </c>
      <c r="AX164" s="433">
        <v>0</v>
      </c>
    </row>
    <row r="165" spans="3:50" ht="11.25" customHeight="1">
      <c r="C165" s="425" t="s">
        <v>569</v>
      </c>
      <c r="AH165" s="433">
        <f t="shared" ref="AH165:AJ165" si="50">+AH164+0.0025</f>
        <v>2.5000000000000001E-3</v>
      </c>
      <c r="AI165" s="433">
        <f t="shared" si="50"/>
        <v>2.5000000000000001E-3</v>
      </c>
      <c r="AJ165" s="433">
        <f t="shared" si="50"/>
        <v>2.5000000000000001E-3</v>
      </c>
      <c r="AV165" s="433">
        <f>+AV164+0.005</f>
        <v>5.0000000000000001E-3</v>
      </c>
      <c r="AW165" s="433">
        <f>+AW164+0.005</f>
        <v>5.0000000000000001E-3</v>
      </c>
      <c r="AX165" s="433">
        <f>+AX164+0.005</f>
        <v>5.0000000000000001E-3</v>
      </c>
    </row>
    <row r="166" spans="3:50" ht="11.25" customHeight="1">
      <c r="AV166" s="434"/>
      <c r="AW166" s="434"/>
      <c r="AX166" s="434"/>
    </row>
    <row r="167" spans="3:50" ht="11.25" customHeight="1">
      <c r="C167" s="217" t="s">
        <v>414</v>
      </c>
      <c r="H167" s="426">
        <f>+Financials!H856</f>
        <v>7.7708703374777975E-3</v>
      </c>
      <c r="I167" s="426">
        <f>+Financials!I856</f>
        <v>7.493112947658402E-3</v>
      </c>
      <c r="J167" s="426">
        <f>+Financials!J856</f>
        <v>6.8500598021093836E-3</v>
      </c>
      <c r="K167" s="426">
        <f>+Financials!K856</f>
        <v>5.2266666666666668E-3</v>
      </c>
      <c r="L167" s="426">
        <f>+Financials!L856</f>
        <v>5.9692114357524344E-3</v>
      </c>
      <c r="M167" s="426">
        <f>+Financials!M856</f>
        <v>6.4954836090530804E-3</v>
      </c>
      <c r="N167" s="426">
        <f>+Financials!N856</f>
        <v>6.5638985579313776E-3</v>
      </c>
      <c r="O167" s="426">
        <f>+Financials!O856</f>
        <v>5.6229653743711154E-3</v>
      </c>
      <c r="P167" s="426">
        <f>+Financials!P856</f>
        <v>7.1914097133287357E-3</v>
      </c>
      <c r="Q167" s="426">
        <f>+Financials!Q856</f>
        <v>7.0536074163643691E-3</v>
      </c>
      <c r="R167" s="426">
        <f>+Financials!R856</f>
        <v>8.4833436788744054E-3</v>
      </c>
      <c r="S167" s="426">
        <f>+Financials!S856</f>
        <v>7.2003388394747984E-3</v>
      </c>
      <c r="T167" s="426">
        <f>+Financials!T856</f>
        <v>8.627197239296884E-3</v>
      </c>
      <c r="U167" s="426">
        <f>+Financials!U856</f>
        <v>8.3205605430260558E-3</v>
      </c>
      <c r="V167" s="426">
        <f>+Financials!V856</f>
        <v>8.8556641748131111E-3</v>
      </c>
      <c r="W167" s="426">
        <f>+Financials!W856</f>
        <v>1.0833725859632595E-2</v>
      </c>
      <c r="X167" s="426">
        <f>+Financials!X856</f>
        <v>9.7958220228962587E-3</v>
      </c>
      <c r="Y167" s="426">
        <f>+Financials!Y856</f>
        <v>9.6053697488716581E-3</v>
      </c>
      <c r="Z167" s="426">
        <f>+Financials!Z856</f>
        <v>1.0138740661686232E-2</v>
      </c>
      <c r="AA167" s="426">
        <f>+Financials!AA856</f>
        <v>6.8218298555377211E-3</v>
      </c>
      <c r="AB167" s="426">
        <f>+Financials!AB856</f>
        <v>9.1638029782359683E-3</v>
      </c>
      <c r="AC167" s="426">
        <f>+Financials!AC856</f>
        <v>8.6262869863649016E-3</v>
      </c>
      <c r="AD167" s="426">
        <f>+Financials!AD856</f>
        <v>7.8812316715542521E-3</v>
      </c>
      <c r="AE167" s="426">
        <f>+Financials!AE856</f>
        <v>6.8801027428676267E-3</v>
      </c>
      <c r="AF167" s="426">
        <f>+Financials!AF856</f>
        <v>1.0775047258979206E-2</v>
      </c>
      <c r="AG167" s="426">
        <f>+Financials!AG856</f>
        <v>9.0484530064214828E-3</v>
      </c>
      <c r="AH167" s="405">
        <f>CHOOSE(Case,AH168,AH169,AH170)</f>
        <v>7.0000000000000001E-3</v>
      </c>
      <c r="AI167" s="405">
        <f>CHOOSE(Case,AI168,AI169,AI170)</f>
        <v>7.0000000000000001E-3</v>
      </c>
      <c r="AJ167" s="405">
        <f>CHOOSE(Case,AJ168,AJ169,AJ170)</f>
        <v>7.0000000000000001E-3</v>
      </c>
      <c r="AL167" s="426">
        <f>+Financials!AL856</f>
        <v>2.6241209194919703E-2</v>
      </c>
      <c r="AM167" s="426">
        <f>+Financials!AM856</f>
        <v>7.0480928689883914E-3</v>
      </c>
      <c r="AN167" s="426">
        <f>+Financials!AN856</f>
        <v>7.7708703374777975E-3</v>
      </c>
      <c r="AO167" s="426">
        <f>+Financials!AO856</f>
        <v>5.9692114357524344E-3</v>
      </c>
      <c r="AP167" s="426">
        <f>+Financials!AP856</f>
        <v>7.1914097133287357E-3</v>
      </c>
      <c r="AQ167" s="426">
        <f>+Financials!AQ856</f>
        <v>8.627197239296884E-3</v>
      </c>
      <c r="AR167" s="426">
        <f>+Financials!AR856</f>
        <v>9.7958220228962587E-3</v>
      </c>
      <c r="AS167" s="426">
        <f>+Financials!AS856</f>
        <v>9.1638029782359683E-3</v>
      </c>
      <c r="AT167" s="426">
        <f>+Financials!AT856</f>
        <v>1.0775047258979206E-2</v>
      </c>
      <c r="AU167" s="426">
        <f>+Financials!AU856</f>
        <v>7.0000000000000027E-3</v>
      </c>
      <c r="AV167" s="434">
        <f>CHOOSE(Case,AV168,AV169,AV170)</f>
        <v>1.2E-2</v>
      </c>
      <c r="AW167" s="434">
        <f>CHOOSE(Case,AW168,AW169,AW170)</f>
        <v>1.2E-2</v>
      </c>
      <c r="AX167" s="434">
        <f>CHOOSE(Case,AX168,AX169,AX170)</f>
        <v>1.2E-2</v>
      </c>
    </row>
    <row r="168" spans="3:50" ht="11.25" customHeight="1">
      <c r="C168" s="425" t="s">
        <v>570</v>
      </c>
      <c r="AH168" s="297">
        <f t="shared" ref="AH168:AJ168" si="51">+AH169-0.01</f>
        <v>-3.0000000000000001E-3</v>
      </c>
      <c r="AI168" s="297">
        <f t="shared" si="51"/>
        <v>-3.0000000000000001E-3</v>
      </c>
      <c r="AJ168" s="297">
        <f t="shared" si="51"/>
        <v>-3.0000000000000001E-3</v>
      </c>
      <c r="AV168" s="433">
        <f>+AV169-0.01</f>
        <v>2E-3</v>
      </c>
      <c r="AW168" s="433">
        <f>+AW169-0.01</f>
        <v>2E-3</v>
      </c>
      <c r="AX168" s="433">
        <f>+AX169-0.01</f>
        <v>2E-3</v>
      </c>
    </row>
    <row r="169" spans="3:50" ht="11.25" customHeight="1">
      <c r="C169" s="425" t="s">
        <v>575</v>
      </c>
      <c r="AH169" s="433">
        <v>7.0000000000000001E-3</v>
      </c>
      <c r="AI169" s="433">
        <v>7.0000000000000001E-3</v>
      </c>
      <c r="AJ169" s="433">
        <v>7.0000000000000001E-3</v>
      </c>
      <c r="AV169" s="433">
        <v>1.2E-2</v>
      </c>
      <c r="AW169" s="433">
        <v>1.2E-2</v>
      </c>
      <c r="AX169" s="433">
        <v>1.2E-2</v>
      </c>
    </row>
    <row r="170" spans="3:50" ht="11.25" customHeight="1">
      <c r="C170" s="425" t="s">
        <v>569</v>
      </c>
      <c r="AH170" s="433">
        <f t="shared" ref="AH170:AJ170" si="52">+AH169+0.005</f>
        <v>1.2E-2</v>
      </c>
      <c r="AI170" s="433">
        <f t="shared" si="52"/>
        <v>1.2E-2</v>
      </c>
      <c r="AJ170" s="433">
        <f t="shared" si="52"/>
        <v>1.2E-2</v>
      </c>
      <c r="AV170" s="433">
        <f>+AV169+0.005</f>
        <v>1.7000000000000001E-2</v>
      </c>
      <c r="AW170" s="433">
        <f>+AW169+0.005</f>
        <v>1.7000000000000001E-2</v>
      </c>
      <c r="AX170" s="433">
        <f>+AX169+0.005</f>
        <v>1.7000000000000001E-2</v>
      </c>
    </row>
    <row r="171" spans="3:50" ht="11.25" customHeight="1">
      <c r="AV171" s="434"/>
      <c r="AW171" s="434"/>
      <c r="AX171" s="434"/>
    </row>
    <row r="172" spans="3:50" ht="11.25" customHeight="1">
      <c r="C172" s="217" t="s">
        <v>1124</v>
      </c>
      <c r="E172" s="426">
        <f>Financials!E875</f>
        <v>4.9194991055456175E-2</v>
      </c>
      <c r="F172" s="426">
        <f>Financials!F875</f>
        <v>5.3983456682629515E-2</v>
      </c>
      <c r="G172" s="426">
        <f>Financials!G875</f>
        <v>6.1652820288587672E-2</v>
      </c>
      <c r="H172" s="426">
        <f>Financials!H875</f>
        <v>0.11471663619744059</v>
      </c>
      <c r="I172" s="426">
        <f>Financials!I875</f>
        <v>5.7750759878419454E-2</v>
      </c>
      <c r="J172" s="426">
        <f>Financials!J875</f>
        <v>6.0355518809425385E-2</v>
      </c>
      <c r="K172" s="426">
        <f>Financials!K875</f>
        <v>6.4503042596348883E-2</v>
      </c>
      <c r="L172" s="426">
        <f>Financials!L875</f>
        <v>8.9331075359864523E-2</v>
      </c>
      <c r="M172" s="426">
        <f>Financials!M875</f>
        <v>2.9919447640966629E-2</v>
      </c>
      <c r="N172" s="426">
        <f>Financials!N875</f>
        <v>3.8534910339565048E-2</v>
      </c>
      <c r="O172" s="426">
        <f>Financials!O875</f>
        <v>5.3788771103258734E-2</v>
      </c>
      <c r="P172" s="426">
        <f>Financials!P875</f>
        <v>6.1868686868686872E-2</v>
      </c>
      <c r="Q172" s="426">
        <f>Financials!Q875</f>
        <v>4.4537815126050422E-2</v>
      </c>
      <c r="R172" s="426">
        <f>Financials!R875</f>
        <v>3.893355903512484E-2</v>
      </c>
      <c r="S172" s="426">
        <f>Financials!S875</f>
        <v>4.7311827956989246E-2</v>
      </c>
      <c r="T172" s="426">
        <f>Financials!T875</f>
        <v>5.3061224489795916E-2</v>
      </c>
      <c r="U172" s="426">
        <f>Financials!U875</f>
        <v>4.5069165551093263E-2</v>
      </c>
      <c r="V172" s="426">
        <f>Financials!V875</f>
        <v>5.1455301455301458E-2</v>
      </c>
      <c r="W172" s="426">
        <f>Financials!W875</f>
        <v>3.6757775683317624E-2</v>
      </c>
      <c r="X172" s="426">
        <f>Financials!X875</f>
        <v>5.3979871912168347E-2</v>
      </c>
      <c r="Y172" s="426">
        <f>Financials!Y875</f>
        <v>4.0265670402656703E-2</v>
      </c>
      <c r="Z172" s="426">
        <f>Financials!Z875</f>
        <v>4.2593290614398795E-2</v>
      </c>
      <c r="AA172" s="426">
        <f>Financials!AA875</f>
        <v>4.5220588235294117E-2</v>
      </c>
      <c r="AB172" s="426">
        <f>Financials!AB875</f>
        <v>9.0942835931700078E-2</v>
      </c>
      <c r="AC172" s="426">
        <f>Financials!AC875</f>
        <v>4.2372881355932202E-2</v>
      </c>
      <c r="AD172" s="426">
        <f>Financials!AD875</f>
        <v>4.9928160919540228E-2</v>
      </c>
      <c r="AE172" s="426">
        <f>Financials!AE875</f>
        <v>6.0538944259874494E-2</v>
      </c>
      <c r="AF172" s="426">
        <f>Financials!AF875</f>
        <v>8.680994521702487E-2</v>
      </c>
      <c r="AG172" s="426">
        <f>Financials!AG875</f>
        <v>6.5505804311774454E-2</v>
      </c>
      <c r="AH172" s="434">
        <f>CHOOSE(Case,AH173,AH174,AH175)</f>
        <v>0.06</v>
      </c>
      <c r="AI172" s="434">
        <f>CHOOSE(Case,AI173,AI174,AI175)</f>
        <v>0.06</v>
      </c>
      <c r="AJ172" s="434">
        <f>CHOOSE(Case,AJ173,AJ174,AJ175)</f>
        <v>0.06</v>
      </c>
      <c r="AL172" s="426">
        <f>Financials!AL875</f>
        <v>6.2244148210349536E-2</v>
      </c>
      <c r="AM172" s="426">
        <f>Financials!AM875</f>
        <v>6.7578772802653397E-2</v>
      </c>
      <c r="AN172" s="426">
        <f>Financials!AN875</f>
        <v>6.9493783303730017E-2</v>
      </c>
      <c r="AO172" s="426">
        <f>Financials!AO875</f>
        <v>6.7965231961461939E-2</v>
      </c>
      <c r="AP172" s="426">
        <f>Financials!AP875</f>
        <v>4.561126982563294E-2</v>
      </c>
      <c r="AQ172" s="426">
        <f>Financials!AQ875</f>
        <v>4.5831985333764695E-2</v>
      </c>
      <c r="AR172" s="426">
        <f>Financials!AR875</f>
        <v>4.6736693024902631E-2</v>
      </c>
      <c r="AS172" s="426">
        <f>Financials!AS875</f>
        <v>5.5173730431462391E-2</v>
      </c>
      <c r="AT172" s="426">
        <f>Financials!AT875</f>
        <v>5.8979206049149337E-2</v>
      </c>
      <c r="AU172" s="426">
        <f>Financials!AU875</f>
        <v>7.4175264995537768E-2</v>
      </c>
      <c r="AV172" s="434">
        <f>CHOOSE(Case,AV173,AV174,AV175)</f>
        <v>5.5E-2</v>
      </c>
      <c r="AW172" s="434">
        <f>CHOOSE(Case,AW173,AW174,AW175)</f>
        <v>5.5E-2</v>
      </c>
      <c r="AX172" s="434">
        <f>CHOOSE(Case,AX173,AX174,AX175)</f>
        <v>5.5E-2</v>
      </c>
    </row>
    <row r="173" spans="3:50" ht="11.25" customHeight="1">
      <c r="C173" s="425" t="s">
        <v>570</v>
      </c>
      <c r="AH173" s="433">
        <f t="shared" ref="AH173:AJ173" si="53">+AH174-0.2%</f>
        <v>5.7999999999999996E-2</v>
      </c>
      <c r="AI173" s="433">
        <f t="shared" si="53"/>
        <v>5.7999999999999996E-2</v>
      </c>
      <c r="AJ173" s="433">
        <f t="shared" si="53"/>
        <v>5.7999999999999996E-2</v>
      </c>
      <c r="AV173" s="433">
        <f>+AV174-0.2%</f>
        <v>5.2999999999999999E-2</v>
      </c>
      <c r="AW173" s="433">
        <f>+AW174-0.2%</f>
        <v>5.2999999999999999E-2</v>
      </c>
      <c r="AX173" s="433">
        <f>+AX174-0.2%</f>
        <v>5.2999999999999999E-2</v>
      </c>
    </row>
    <row r="174" spans="3:50" ht="11.25" customHeight="1">
      <c r="C174" s="425" t="s">
        <v>575</v>
      </c>
      <c r="AH174" s="433">
        <v>0.06</v>
      </c>
      <c r="AI174" s="433">
        <v>0.06</v>
      </c>
      <c r="AJ174" s="433">
        <v>0.06</v>
      </c>
      <c r="AV174" s="433">
        <v>5.5E-2</v>
      </c>
      <c r="AW174" s="433">
        <v>5.5E-2</v>
      </c>
      <c r="AX174" s="433">
        <v>5.5E-2</v>
      </c>
    </row>
    <row r="175" spans="3:50" ht="11.25" customHeight="1">
      <c r="C175" s="425" t="s">
        <v>569</v>
      </c>
      <c r="T175" s="433"/>
      <c r="U175" s="433"/>
      <c r="V175" s="433"/>
      <c r="W175" s="433"/>
      <c r="X175" s="433"/>
      <c r="Y175" s="433"/>
      <c r="Z175" s="433"/>
      <c r="AA175" s="433"/>
      <c r="AB175" s="433"/>
      <c r="AC175" s="433"/>
      <c r="AD175" s="433"/>
      <c r="AE175" s="433"/>
      <c r="AF175" s="433"/>
      <c r="AG175" s="433"/>
      <c r="AH175" s="433">
        <f t="shared" ref="AH175:AJ175" si="54">+AH174+0.3%</f>
        <v>6.3E-2</v>
      </c>
      <c r="AI175" s="433">
        <f t="shared" si="54"/>
        <v>6.3E-2</v>
      </c>
      <c r="AJ175" s="433">
        <f t="shared" si="54"/>
        <v>6.3E-2</v>
      </c>
      <c r="AV175" s="433">
        <f>+AV174+0.5%</f>
        <v>0.06</v>
      </c>
      <c r="AW175" s="433">
        <f>+AW174+0.5%</f>
        <v>0.06</v>
      </c>
      <c r="AX175" s="433">
        <f>+AX174+0.5%</f>
        <v>0.06</v>
      </c>
    </row>
    <row r="176" spans="3:50" ht="11.25" customHeight="1">
      <c r="AV176" s="434"/>
      <c r="AW176" s="434"/>
      <c r="AX176" s="434"/>
    </row>
    <row r="177" spans="2:50" ht="11.25" customHeight="1">
      <c r="C177" s="217" t="s">
        <v>398</v>
      </c>
      <c r="R177" s="426"/>
      <c r="S177" s="434"/>
      <c r="T177" s="434"/>
      <c r="U177" s="434"/>
      <c r="V177" s="434"/>
      <c r="W177" s="434"/>
      <c r="X177" s="434"/>
      <c r="Y177" s="434"/>
      <c r="Z177" s="434"/>
      <c r="AA177" s="434"/>
      <c r="AB177" s="434"/>
      <c r="AC177" s="434"/>
      <c r="AD177" s="434"/>
      <c r="AE177" s="434"/>
      <c r="AF177" s="434"/>
      <c r="AG177" s="434"/>
      <c r="AH177" s="434"/>
      <c r="AI177" s="434"/>
      <c r="AJ177" s="434"/>
      <c r="AL177" s="426"/>
      <c r="AM177" s="426"/>
      <c r="AN177" s="426">
        <f>+Financials!AN876</f>
        <v>3.721434378104959E-2</v>
      </c>
      <c r="AO177" s="426">
        <f>+Financials!AO876</f>
        <v>3.6388840755501646E-2</v>
      </c>
      <c r="AP177" s="426">
        <f>+Financials!AP876</f>
        <v>3.5793267261856006E-2</v>
      </c>
      <c r="AQ177" s="426">
        <f>+Financials!AQ876</f>
        <v>3.579098067287044E-2</v>
      </c>
      <c r="AR177" s="426">
        <f>+Financials!AR876</f>
        <v>3.491291385532716E-2</v>
      </c>
      <c r="AS177" s="426">
        <f>+Financials!AS876</f>
        <v>3.1867145421903054E-2</v>
      </c>
      <c r="AT177" s="426">
        <f>+Financials!AT876</f>
        <v>3.0646448523543496E-2</v>
      </c>
      <c r="AU177" s="426">
        <f>+Financials!AU876</f>
        <v>3.378272095215664E-2</v>
      </c>
      <c r="AV177" s="434">
        <f>CHOOSE(Case,AV178,AV179,AV180)</f>
        <v>3.2000000000000001E-2</v>
      </c>
      <c r="AW177" s="434">
        <f>CHOOSE(Case,AW178,AW179,AW180)</f>
        <v>3.2000000000000001E-2</v>
      </c>
      <c r="AX177" s="434">
        <f>CHOOSE(Case,AX178,AX179,AX180)</f>
        <v>3.2000000000000001E-2</v>
      </c>
    </row>
    <row r="178" spans="2:50" ht="11.25" customHeight="1">
      <c r="C178" s="425" t="s">
        <v>570</v>
      </c>
      <c r="AV178" s="433">
        <v>3.5000000000000003E-2</v>
      </c>
      <c r="AW178" s="433">
        <v>3.5000000000000003E-2</v>
      </c>
      <c r="AX178" s="433">
        <v>3.5000000000000003E-2</v>
      </c>
    </row>
    <row r="179" spans="2:50" ht="11.25" customHeight="1">
      <c r="C179" s="425" t="s">
        <v>575</v>
      </c>
      <c r="S179" s="433"/>
      <c r="T179" s="433"/>
      <c r="U179" s="433"/>
      <c r="V179" s="433"/>
      <c r="W179" s="433"/>
      <c r="X179" s="433"/>
      <c r="Y179" s="433"/>
      <c r="Z179" s="433"/>
      <c r="AA179" s="433"/>
      <c r="AB179" s="433"/>
      <c r="AC179" s="433"/>
      <c r="AD179" s="433"/>
      <c r="AE179" s="433"/>
      <c r="AF179" s="433"/>
      <c r="AG179" s="433"/>
      <c r="AH179" s="433"/>
      <c r="AI179" s="433"/>
      <c r="AJ179" s="433"/>
      <c r="AV179" s="433">
        <v>3.2000000000000001E-2</v>
      </c>
      <c r="AW179" s="433">
        <v>3.2000000000000001E-2</v>
      </c>
      <c r="AX179" s="433">
        <v>3.2000000000000001E-2</v>
      </c>
    </row>
    <row r="180" spans="2:50" ht="11.25" customHeight="1">
      <c r="C180" s="425" t="s">
        <v>569</v>
      </c>
      <c r="AV180" s="433">
        <v>3.5000000000000003E-2</v>
      </c>
      <c r="AW180" s="433">
        <v>3.5000000000000003E-2</v>
      </c>
      <c r="AX180" s="433">
        <v>3.5000000000000003E-2</v>
      </c>
    </row>
    <row r="182" spans="2:50" ht="11.25" customHeight="1">
      <c r="C182" s="217" t="s">
        <v>1125</v>
      </c>
      <c r="E182" s="734">
        <f>Financials!E969</f>
        <v>0.45698924731182794</v>
      </c>
      <c r="F182" s="734">
        <f>Financials!F969</f>
        <v>0.45668233713901946</v>
      </c>
      <c r="G182" s="734">
        <f>Financials!G969</f>
        <v>0.45883940620782732</v>
      </c>
      <c r="H182" s="734">
        <f>Financials!H969</f>
        <v>0.46101694915254238</v>
      </c>
      <c r="I182" s="734">
        <f>Financials!I969</f>
        <v>0.50951086956521741</v>
      </c>
      <c r="J182" s="734">
        <f>Financials!J969</f>
        <v>0.50546448087431695</v>
      </c>
      <c r="K182" s="734">
        <f>Financials!K969</f>
        <v>0.50859106529209619</v>
      </c>
      <c r="L182" s="734">
        <f>Financials!L969</f>
        <v>0.50414364640883969</v>
      </c>
      <c r="M182" s="734">
        <f>Financials!M969</f>
        <v>0.55248618784530379</v>
      </c>
      <c r="N182" s="734">
        <f>Financials!N969</f>
        <v>0.55555555555555558</v>
      </c>
      <c r="O182" s="734">
        <f>Financials!O969</f>
        <v>0.56179775280898869</v>
      </c>
      <c r="P182" s="734">
        <f>Financials!P969</f>
        <v>0.55279943302622259</v>
      </c>
      <c r="Q182" s="734">
        <f>Financials!Q969</f>
        <v>0.62098501070663814</v>
      </c>
      <c r="R182" s="734">
        <f>Financials!R969</f>
        <v>0.61826024442846861</v>
      </c>
      <c r="S182" s="734">
        <f>Financials!S969</f>
        <v>0.61683599419448476</v>
      </c>
      <c r="T182" s="734">
        <f>Financials!T969</f>
        <v>0.61998541210795044</v>
      </c>
      <c r="U182" s="734">
        <f>Financials!U969</f>
        <v>0.65934065934065933</v>
      </c>
      <c r="V182" s="734">
        <f>Financials!V969</f>
        <v>0.65393093313739881</v>
      </c>
      <c r="W182" s="734">
        <f>Financials!W969</f>
        <v>0.66030814380044012</v>
      </c>
      <c r="X182" s="734">
        <f>Financials!X969</f>
        <v>0.65201465201465203</v>
      </c>
      <c r="Y182" s="734">
        <f>Financials!Y969</f>
        <v>0.68313953488372092</v>
      </c>
      <c r="Z182" s="734">
        <f>Financials!Z969</f>
        <v>0.69168506254598972</v>
      </c>
      <c r="AA182" s="734">
        <f>Financials!AA969</f>
        <v>0.68613138686131392</v>
      </c>
      <c r="AB182" s="734">
        <f>Financials!AB969</f>
        <v>0.67833698030634582</v>
      </c>
      <c r="AC182" s="734">
        <f>Financials!AC969</f>
        <v>0.7498087222647285</v>
      </c>
      <c r="AD182" s="734">
        <f>Financials!AD969</f>
        <v>0.77531645569620256</v>
      </c>
      <c r="AE182" s="734">
        <f>Financials!AE969</f>
        <v>0.76860179885527391</v>
      </c>
      <c r="AF182" s="734">
        <f>Financials!AF969</f>
        <v>0.72858286629303437</v>
      </c>
      <c r="AG182" s="734">
        <f>Financials!AG969</f>
        <v>0.78125</v>
      </c>
      <c r="AH182" s="735">
        <f>CHOOSE(Case,AH183,AH184,AH185)</f>
        <v>0.85</v>
      </c>
      <c r="AI182" s="735">
        <f>CHOOSE(Case,AI183,AI184,AI185)</f>
        <v>0.85</v>
      </c>
      <c r="AJ182" s="735">
        <f>CHOOSE(Case,AJ183,AJ184,AJ185)</f>
        <v>0.85</v>
      </c>
      <c r="AL182" s="734">
        <f>Financials!AL969</f>
        <v>1.3898080741230974</v>
      </c>
      <c r="AM182" s="734">
        <f>Financials!AM969</f>
        <v>1.5887850467289721</v>
      </c>
      <c r="AN182" s="734">
        <f>Financials!AN969</f>
        <v>1.8335279398112172</v>
      </c>
      <c r="AO182" s="734">
        <f>Financials!AO969</f>
        <v>2.0277100621404704</v>
      </c>
      <c r="AP182" s="734">
        <f>Financials!AP969</f>
        <v>2.2226389292360706</v>
      </c>
      <c r="AQ182" s="734">
        <f>Financials!AQ969</f>
        <v>2.4760666614375419</v>
      </c>
      <c r="AR182" s="734">
        <f>Financials!AR969</f>
        <v>2.6255943882931501</v>
      </c>
      <c r="AS182" s="734">
        <f>Financials!AS969</f>
        <v>2.7392929645973703</v>
      </c>
      <c r="AT182" s="734">
        <f>Financials!AT969</f>
        <v>3.0223098431092392</v>
      </c>
      <c r="AU182" s="734">
        <f>Financials!AU969</f>
        <v>3.3312500000000003</v>
      </c>
      <c r="AV182" s="735">
        <f>CHOOSE(Case,AV183,AV184,AV185)</f>
        <v>3.75</v>
      </c>
      <c r="AW182" s="735">
        <f>CHOOSE(Case,AW183,AW184,AW185)</f>
        <v>4</v>
      </c>
      <c r="AX182" s="735">
        <f>CHOOSE(Case,AX183,AX184,AX185)</f>
        <v>4.5</v>
      </c>
    </row>
    <row r="183" spans="2:50" ht="11.25" customHeight="1">
      <c r="C183" s="425" t="s">
        <v>570</v>
      </c>
      <c r="AH183" s="733">
        <v>0.66</v>
      </c>
      <c r="AI183" s="733">
        <v>0.66</v>
      </c>
      <c r="AJ183" s="733">
        <v>0.66</v>
      </c>
      <c r="AV183" s="733">
        <v>2.8800000000000003</v>
      </c>
      <c r="AW183" s="733">
        <v>2.8800000000000003</v>
      </c>
      <c r="AX183" s="733">
        <v>2.8800000000000003</v>
      </c>
    </row>
    <row r="184" spans="2:50" ht="11.25" customHeight="1">
      <c r="C184" s="425" t="s">
        <v>575</v>
      </c>
      <c r="AH184" s="733">
        <v>0.85</v>
      </c>
      <c r="AI184" s="733">
        <v>0.85</v>
      </c>
      <c r="AJ184" s="733">
        <v>0.85</v>
      </c>
      <c r="AV184" s="733">
        <v>3.75</v>
      </c>
      <c r="AW184" s="733">
        <v>4</v>
      </c>
      <c r="AX184" s="733">
        <v>4.5</v>
      </c>
    </row>
    <row r="185" spans="2:50" ht="11.25" customHeight="1">
      <c r="B185" s="219"/>
      <c r="C185" s="425" t="s">
        <v>569</v>
      </c>
      <c r="AH185" s="733">
        <v>0.5</v>
      </c>
      <c r="AI185" s="733">
        <v>0.5</v>
      </c>
      <c r="AJ185" s="733">
        <v>0.5</v>
      </c>
      <c r="AV185" s="733">
        <v>2.2000000000000002</v>
      </c>
      <c r="AW185" s="733">
        <v>2.2000000000000002</v>
      </c>
      <c r="AX185" s="733">
        <v>2.2000000000000002</v>
      </c>
    </row>
    <row r="188" spans="2:50" ht="11.25" customHeight="1">
      <c r="B188" s="219" t="s">
        <v>14</v>
      </c>
    </row>
  </sheetData>
  <mergeCells count="22">
    <mergeCell ref="AY96:BC99"/>
    <mergeCell ref="AY152:BC155"/>
    <mergeCell ref="AY140:BC143"/>
    <mergeCell ref="AY111:BC114"/>
    <mergeCell ref="AY101:BC104"/>
    <mergeCell ref="AY135:BC138"/>
    <mergeCell ref="AY130:BC133"/>
    <mergeCell ref="AY6:BC6"/>
    <mergeCell ref="AY62:BC65"/>
    <mergeCell ref="AY47:BC50"/>
    <mergeCell ref="AY69:BC72"/>
    <mergeCell ref="AY89:BC92"/>
    <mergeCell ref="AY79:BC82"/>
    <mergeCell ref="AY74:BC77"/>
    <mergeCell ref="AY84:BC87"/>
    <mergeCell ref="AY7:BC7"/>
    <mergeCell ref="AY20:BC23"/>
    <mergeCell ref="AY35:BC38"/>
    <mergeCell ref="AY25:BC28"/>
    <mergeCell ref="AY30:BC33"/>
    <mergeCell ref="AY15:BC18"/>
    <mergeCell ref="AY52:BC55"/>
  </mergeCells>
  <pageMargins left="0.7" right="0.7" top="0.75" bottom="0.75" header="0.3" footer="0.3"/>
  <pageSetup scale="21"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D3BC-705D-46F5-B24A-88C8CDACFBAB}">
  <sheetPr>
    <tabColor theme="5" tint="0.79998168889431442"/>
  </sheetPr>
  <dimension ref="B1:AO65"/>
  <sheetViews>
    <sheetView showGridLines="0" zoomScale="81" zoomScaleNormal="100" workbookViewId="0"/>
  </sheetViews>
  <sheetFormatPr defaultColWidth="8.53125" defaultRowHeight="13.15" outlineLevelRow="1"/>
  <cols>
    <col min="1" max="1" width="2.796875" style="1047" customWidth="1"/>
    <col min="2" max="2" width="19.53125" style="1047" bestFit="1" customWidth="1"/>
    <col min="3" max="16" width="8.53125" style="1047"/>
    <col min="17" max="17" width="19.53125" style="1047" bestFit="1" customWidth="1"/>
    <col min="18" max="32" width="8.53125" style="1047"/>
    <col min="33" max="33" width="9.796875" style="1049" bestFit="1" customWidth="1"/>
    <col min="34" max="37" width="25.53125" style="1047" customWidth="1"/>
    <col min="38" max="38" width="12.19921875" style="1047" bestFit="1" customWidth="1"/>
    <col min="39" max="39" width="9.53125" style="1047" bestFit="1" customWidth="1"/>
    <col min="40" max="16384" width="8.53125" style="1047"/>
  </cols>
  <sheetData>
    <row r="1" spans="2:33" ht="13.5" thickBot="1">
      <c r="B1" s="1109"/>
      <c r="C1" s="1109"/>
      <c r="D1" s="1109"/>
      <c r="E1" s="1109"/>
      <c r="F1" s="1109"/>
      <c r="G1" s="1109"/>
    </row>
    <row r="2" spans="2:33" ht="13.5" hidden="1" outlineLevel="1" thickBot="1">
      <c r="B2" s="1109"/>
      <c r="C2" s="1549">
        <v>39885</v>
      </c>
      <c r="D2" s="1550"/>
      <c r="E2" s="1549">
        <v>41711</v>
      </c>
      <c r="F2" s="1550"/>
      <c r="G2" s="1109"/>
      <c r="I2" s="1048"/>
      <c r="J2" s="1048"/>
    </row>
    <row r="3" spans="2:33" ht="13.5" collapsed="1" thickBot="1">
      <c r="B3" s="1223"/>
      <c r="C3" s="1214" t="str">
        <f>"TSR"&amp;" between "&amp;TEXT(C2,"dd-mmm-yy")&amp;" and "&amp;TEXT(E2,"dd-mmm-yy")&amp;""</f>
        <v>TSR between 13-Mar-09 and 13-Mar-14</v>
      </c>
      <c r="D3" s="1215"/>
      <c r="E3" s="1215"/>
      <c r="F3" s="1215"/>
      <c r="G3" s="1215"/>
      <c r="H3" s="1216"/>
      <c r="I3" s="1217"/>
      <c r="J3" s="1216"/>
      <c r="K3" s="1216"/>
      <c r="L3" s="1214"/>
      <c r="M3" s="1218"/>
    </row>
    <row r="4" spans="2:33" s="1049" customFormat="1" ht="13.5" thickBot="1">
      <c r="B4" s="1224" t="s">
        <v>1651</v>
      </c>
      <c r="C4" s="1219" t="s">
        <v>637</v>
      </c>
      <c r="D4" s="1220" t="s">
        <v>1194</v>
      </c>
      <c r="E4" s="1220" t="s">
        <v>1197</v>
      </c>
      <c r="F4" s="1221" t="s">
        <v>1195</v>
      </c>
      <c r="G4" s="1221" t="s">
        <v>1509</v>
      </c>
      <c r="H4" s="1219" t="s">
        <v>1510</v>
      </c>
      <c r="I4" s="1219" t="s">
        <v>1511</v>
      </c>
      <c r="J4" s="1219" t="s">
        <v>1363</v>
      </c>
      <c r="K4" s="1219" t="s">
        <v>1512</v>
      </c>
      <c r="L4" s="1219" t="s">
        <v>1513</v>
      </c>
      <c r="M4" s="1222" t="s">
        <v>1514</v>
      </c>
      <c r="O4" s="1229" t="s">
        <v>533</v>
      </c>
    </row>
    <row r="5" spans="2:33" ht="13.5" thickBot="1">
      <c r="B5" s="1224" t="s">
        <v>1650</v>
      </c>
      <c r="C5" s="1204">
        <v>0.5108843543116055</v>
      </c>
      <c r="D5" s="1204">
        <v>0.3839704536051467</v>
      </c>
      <c r="E5" s="1204">
        <v>0.29043398435570622</v>
      </c>
      <c r="F5" s="1204">
        <v>0.53034927244653129</v>
      </c>
      <c r="G5" s="1204">
        <v>0.24294153375041017</v>
      </c>
      <c r="H5" s="1204">
        <v>0.30087383516184452</v>
      </c>
      <c r="I5" s="1204">
        <v>0.70212251810291915</v>
      </c>
      <c r="J5" s="1204">
        <v>0.86271782360980254</v>
      </c>
      <c r="K5" s="1204">
        <v>0.33481291018634907</v>
      </c>
      <c r="L5" s="1204">
        <v>0.45841414062341412</v>
      </c>
      <c r="M5" s="1205">
        <v>0.24400498338019938</v>
      </c>
      <c r="O5" s="1233">
        <f>AVERAGE(D5:M5)</f>
        <v>0.43506414552223233</v>
      </c>
    </row>
    <row r="6" spans="2:33" ht="3" customHeight="1" thickBot="1">
      <c r="B6" s="1225"/>
      <c r="C6" s="1212"/>
      <c r="D6" s="1212"/>
      <c r="E6" s="1212"/>
      <c r="F6" s="1212"/>
      <c r="G6" s="1212"/>
      <c r="H6" s="1212"/>
      <c r="I6" s="1212"/>
      <c r="J6" s="1212"/>
      <c r="K6" s="1212"/>
      <c r="L6" s="1212"/>
      <c r="M6" s="1213"/>
    </row>
    <row r="7" spans="2:33">
      <c r="B7" s="1226" t="s">
        <v>860</v>
      </c>
      <c r="C7" s="1206">
        <v>6.8097625491361891E-2</v>
      </c>
      <c r="D7" s="1206">
        <v>-9.3479936153963994E-3</v>
      </c>
      <c r="E7" s="1206">
        <v>3.4931153879433463E-2</v>
      </c>
      <c r="F7" s="1206">
        <v>1.6371405807497963E-2</v>
      </c>
      <c r="G7" s="1206">
        <v>4.0860501967260321E-2</v>
      </c>
      <c r="H7" s="1206">
        <v>-5.9762843529694853E-3</v>
      </c>
      <c r="I7" s="1206">
        <v>-6.3658044850306017E-2</v>
      </c>
      <c r="J7" s="1206">
        <v>6.6073187510927722E-2</v>
      </c>
      <c r="K7" s="1206">
        <v>4.4599667332873905E-2</v>
      </c>
      <c r="L7" s="1206">
        <v>-2.0839281986914315E-2</v>
      </c>
      <c r="M7" s="1207">
        <v>5.0694422966819364E-2</v>
      </c>
      <c r="O7" s="1232">
        <f t="shared" ref="O7:O12" si="0">AVERAGE(D7:M7)</f>
        <v>1.5370873465922651E-2</v>
      </c>
    </row>
    <row r="8" spans="2:33">
      <c r="B8" s="1227" t="s">
        <v>1468</v>
      </c>
      <c r="C8" s="1208">
        <v>0.21212314966094592</v>
      </c>
      <c r="D8" s="1208">
        <v>0.10295819738514922</v>
      </c>
      <c r="E8" s="1208">
        <v>-3.3520329992543951E-2</v>
      </c>
      <c r="F8" s="1208">
        <v>0.25627353051077884</v>
      </c>
      <c r="G8" s="1208">
        <v>4.5002711912622839E-3</v>
      </c>
      <c r="H8" s="1208">
        <v>0.17017190785392378</v>
      </c>
      <c r="I8" s="1208">
        <v>0.51299360570423891</v>
      </c>
      <c r="J8" s="1208">
        <v>0.18719062789737517</v>
      </c>
      <c r="K8" s="1208">
        <v>6.7609231687018045E-3</v>
      </c>
      <c r="L8" s="1208">
        <v>4.8550273310741909E-2</v>
      </c>
      <c r="M8" s="1209">
        <v>-9.6878707187670887E-3</v>
      </c>
      <c r="O8" s="1230">
        <f t="shared" si="0"/>
        <v>0.12461911363108609</v>
      </c>
    </row>
    <row r="9" spans="2:33">
      <c r="B9" s="1227" t="s">
        <v>1469</v>
      </c>
      <c r="C9" s="1208">
        <v>0.17818028728876789</v>
      </c>
      <c r="D9" s="1208">
        <v>0.12003351832877085</v>
      </c>
      <c r="E9" s="1208">
        <v>0.20201941056972439</v>
      </c>
      <c r="F9" s="1208">
        <v>-6.5427055991238103E-2</v>
      </c>
      <c r="G9" s="1208">
        <v>0.15719957591815836</v>
      </c>
      <c r="H9" s="1208">
        <v>4.4744910963873341E-2</v>
      </c>
      <c r="I9" s="1208">
        <v>0.32277762211521621</v>
      </c>
      <c r="J9" s="1208">
        <v>0.36115748040625995</v>
      </c>
      <c r="K9" s="1208">
        <v>0.24503404521845118</v>
      </c>
      <c r="L9" s="1208">
        <v>0.26538520511718211</v>
      </c>
      <c r="M9" s="1209">
        <v>0.13277193897756256</v>
      </c>
      <c r="O9" s="1230">
        <f t="shared" si="0"/>
        <v>0.17856966516239609</v>
      </c>
    </row>
    <row r="10" spans="2:33">
      <c r="B10" s="1227" t="s">
        <v>1470</v>
      </c>
      <c r="C10" s="1208">
        <v>2.5525593021614279E-2</v>
      </c>
      <c r="D10" s="1208">
        <v>7.630075231632949E-3</v>
      </c>
      <c r="E10" s="1208">
        <v>3.4333426850796878E-2</v>
      </c>
      <c r="F10" s="1208">
        <v>2.6655601424091513E-2</v>
      </c>
      <c r="G10" s="1240">
        <v>2.0916953206540967E-2</v>
      </c>
      <c r="H10" s="1208">
        <v>1.42694820765219E-2</v>
      </c>
      <c r="I10" s="1208">
        <v>2.7221362677100958E-2</v>
      </c>
      <c r="J10" s="1208">
        <v>7.0160857869863147E-3</v>
      </c>
      <c r="K10" s="1208">
        <v>9.9046500821688976E-3</v>
      </c>
      <c r="L10" s="1208">
        <v>3.1939562413728639E-2</v>
      </c>
      <c r="M10" s="1209">
        <v>3.4079571321478763E-2</v>
      </c>
      <c r="O10" s="1230">
        <f t="shared" si="0"/>
        <v>2.1396677107104779E-2</v>
      </c>
    </row>
    <row r="11" spans="2:33">
      <c r="B11" s="1227" t="s">
        <v>1471</v>
      </c>
      <c r="C11" s="1208">
        <v>-8.368674744479554E-3</v>
      </c>
      <c r="D11" s="1208">
        <v>-1.6471598546125454E-2</v>
      </c>
      <c r="E11" s="1208">
        <v>1.0104720746213491E-3</v>
      </c>
      <c r="F11" s="1208">
        <v>-6.2400743700733452E-3</v>
      </c>
      <c r="G11" s="1208">
        <v>9.1852302241930417E-3</v>
      </c>
      <c r="H11" s="1208">
        <v>2.8143277989630233E-2</v>
      </c>
      <c r="I11" s="1208">
        <v>-1.0846057319043978E-2</v>
      </c>
      <c r="J11" s="1208">
        <v>-5.1373295840894118E-3</v>
      </c>
      <c r="K11" s="1208">
        <v>1.7341394488992634E-2</v>
      </c>
      <c r="L11" s="1208">
        <v>3.4409337551489783E-2</v>
      </c>
      <c r="M11" s="1209">
        <v>0</v>
      </c>
      <c r="O11" s="1230">
        <f t="shared" si="0"/>
        <v>5.1394652509594851E-3</v>
      </c>
    </row>
    <row r="12" spans="2:33" ht="13.5" thickBot="1">
      <c r="B12" s="1228" t="s">
        <v>464</v>
      </c>
      <c r="C12" s="1210">
        <v>3.5326373593394855E-2</v>
      </c>
      <c r="D12" s="1210">
        <v>0.17916825482111554</v>
      </c>
      <c r="E12" s="1210">
        <v>5.1659850973674093E-2</v>
      </c>
      <c r="F12" s="1210">
        <v>0.30271586506547465</v>
      </c>
      <c r="G12" s="1210">
        <v>1.0279001242995189E-2</v>
      </c>
      <c r="H12" s="1210">
        <v>4.9520540630864973E-2</v>
      </c>
      <c r="I12" s="1210">
        <v>-8.6365970224286714E-2</v>
      </c>
      <c r="J12" s="1210">
        <v>0.24641777159234279</v>
      </c>
      <c r="K12" s="1210">
        <v>1.1172229895160646E-2</v>
      </c>
      <c r="L12" s="1210">
        <v>9.8969044217185775E-2</v>
      </c>
      <c r="M12" s="1211">
        <v>3.6146920833105556E-2</v>
      </c>
      <c r="O12" s="1231">
        <f t="shared" si="0"/>
        <v>8.9968350904763253E-2</v>
      </c>
    </row>
    <row r="13" spans="2:33">
      <c r="C13" s="1199"/>
      <c r="D13" s="1199"/>
      <c r="E13" s="1199"/>
      <c r="F13" s="1199"/>
      <c r="G13" s="1199"/>
      <c r="H13" s="1199"/>
      <c r="I13" s="1199"/>
      <c r="J13" s="1199"/>
      <c r="K13" s="1199"/>
      <c r="L13" s="1199"/>
      <c r="M13" s="1199"/>
    </row>
    <row r="14" spans="2:33" s="1079" customFormat="1" hidden="1">
      <c r="B14" s="1088"/>
      <c r="C14" s="1109">
        <f>SUM(C7:C12)-C5</f>
        <v>0</v>
      </c>
      <c r="D14" s="1109">
        <f t="shared" ref="D14:M14" si="1">SUM(D7:D12)-D5</f>
        <v>0</v>
      </c>
      <c r="E14" s="1109">
        <f t="shared" si="1"/>
        <v>0</v>
      </c>
      <c r="F14" s="1109">
        <f t="shared" si="1"/>
        <v>0</v>
      </c>
      <c r="G14" s="1109">
        <f t="shared" si="1"/>
        <v>0</v>
      </c>
      <c r="H14" s="1109">
        <f t="shared" si="1"/>
        <v>0</v>
      </c>
      <c r="I14" s="1109">
        <f t="shared" si="1"/>
        <v>0</v>
      </c>
      <c r="J14" s="1109">
        <f t="shared" si="1"/>
        <v>0</v>
      </c>
      <c r="K14" s="1109">
        <f t="shared" si="1"/>
        <v>0</v>
      </c>
      <c r="L14" s="1109">
        <f t="shared" si="1"/>
        <v>0</v>
      </c>
      <c r="M14" s="1109">
        <f t="shared" si="1"/>
        <v>-2.2204460492503131E-16</v>
      </c>
      <c r="AG14" s="1390"/>
    </row>
    <row r="15" spans="2:33" ht="13.5" thickBot="1">
      <c r="B15" s="1109"/>
      <c r="C15" s="1109"/>
      <c r="D15" s="1109"/>
      <c r="E15" s="1109"/>
      <c r="F15" s="1109"/>
      <c r="G15" s="1109"/>
      <c r="H15" s="1109"/>
      <c r="I15" s="1109"/>
      <c r="J15" s="1109"/>
      <c r="K15" s="1109"/>
      <c r="L15" s="1109"/>
      <c r="M15" s="1109"/>
    </row>
    <row r="16" spans="2:33" ht="13.5" hidden="1" outlineLevel="1" thickBot="1">
      <c r="B16" s="1109"/>
      <c r="C16" s="1549">
        <v>41711</v>
      </c>
      <c r="D16" s="1550"/>
      <c r="E16" s="1549">
        <v>43537</v>
      </c>
      <c r="F16" s="1550"/>
      <c r="G16" s="1109"/>
      <c r="I16" s="1048"/>
      <c r="J16" s="1048"/>
    </row>
    <row r="17" spans="2:39" ht="13.5" collapsed="1" thickBot="1">
      <c r="B17" s="1223"/>
      <c r="C17" s="1214" t="str">
        <f>"TSR"&amp;" between "&amp;TEXT(C16,"dd-mmm-yy")&amp;" and "&amp;TEXT(E16,"dd-mmm-yy")&amp;""</f>
        <v>TSR between 13-Mar-14 and 13-Mar-19</v>
      </c>
      <c r="D17" s="1215"/>
      <c r="E17" s="1215"/>
      <c r="F17" s="1215"/>
      <c r="G17" s="1215"/>
      <c r="H17" s="1216"/>
      <c r="I17" s="1217"/>
      <c r="J17" s="1216"/>
      <c r="K17" s="1216"/>
      <c r="L17" s="1214"/>
      <c r="M17" s="1218"/>
      <c r="N17" s="1051"/>
    </row>
    <row r="18" spans="2:39" ht="13.5" thickBot="1">
      <c r="B18" s="1224" t="s">
        <v>1651</v>
      </c>
      <c r="C18" s="1219" t="s">
        <v>637</v>
      </c>
      <c r="D18" s="1220" t="s">
        <v>1194</v>
      </c>
      <c r="E18" s="1220" t="s">
        <v>1197</v>
      </c>
      <c r="F18" s="1221" t="s">
        <v>1195</v>
      </c>
      <c r="G18" s="1221" t="s">
        <v>1509</v>
      </c>
      <c r="H18" s="1219" t="s">
        <v>1510</v>
      </c>
      <c r="I18" s="1219" t="s">
        <v>1511</v>
      </c>
      <c r="J18" s="1219" t="s">
        <v>1363</v>
      </c>
      <c r="K18" s="1219" t="s">
        <v>1512</v>
      </c>
      <c r="L18" s="1219" t="s">
        <v>1513</v>
      </c>
      <c r="M18" s="1222" t="s">
        <v>1514</v>
      </c>
      <c r="N18" s="1051"/>
      <c r="O18" s="1229" t="s">
        <v>533</v>
      </c>
    </row>
    <row r="19" spans="2:39" ht="13.5" thickBot="1">
      <c r="B19" s="1224" t="s">
        <v>1650</v>
      </c>
      <c r="C19" s="1234">
        <v>1.4828945393811077E-2</v>
      </c>
      <c r="D19" s="1234">
        <v>0.15462375007494233</v>
      </c>
      <c r="E19" s="1234">
        <v>1.46451236899523E-2</v>
      </c>
      <c r="F19" s="1234">
        <v>3.0915256199707253E-2</v>
      </c>
      <c r="G19" s="1234">
        <v>0.11884433212801682</v>
      </c>
      <c r="H19" s="1234">
        <v>7.4690964919853942E-2</v>
      </c>
      <c r="I19" s="1234">
        <v>0.13197407925362037</v>
      </c>
      <c r="J19" s="1234">
        <v>-1.7441424748486978E-2</v>
      </c>
      <c r="K19" s="1234">
        <v>3.3670895380965238E-2</v>
      </c>
      <c r="L19" s="1234">
        <v>4.4316485004337602E-2</v>
      </c>
      <c r="M19" s="1235">
        <v>2.7226982385560428E-2</v>
      </c>
      <c r="N19" s="1109"/>
      <c r="O19" s="1233">
        <f>AVERAGE(D19:M19)</f>
        <v>6.1346644428846929E-2</v>
      </c>
    </row>
    <row r="20" spans="2:39" ht="3" customHeight="1" thickBot="1">
      <c r="B20" s="1225"/>
      <c r="C20" s="1236"/>
      <c r="D20" s="1236"/>
      <c r="E20" s="1236"/>
      <c r="F20" s="1236"/>
      <c r="G20" s="1236"/>
      <c r="H20" s="1236"/>
      <c r="I20" s="1236"/>
      <c r="J20" s="1236"/>
      <c r="K20" s="1236"/>
      <c r="L20" s="1236"/>
      <c r="M20" s="1237"/>
      <c r="N20" s="1109"/>
    </row>
    <row r="21" spans="2:39">
      <c r="B21" s="1226" t="s">
        <v>860</v>
      </c>
      <c r="C21" s="1238">
        <v>1.6575042643865556E-2</v>
      </c>
      <c r="D21" s="1238">
        <v>1.9074019910486406E-2</v>
      </c>
      <c r="E21" s="1238">
        <v>-4.0304399622004272E-2</v>
      </c>
      <c r="F21" s="1238">
        <v>-5.1885121906637965E-2</v>
      </c>
      <c r="G21" s="1238">
        <v>1.1979919339416112E-2</v>
      </c>
      <c r="H21" s="1238">
        <v>7.1072438322374643E-2</v>
      </c>
      <c r="I21" s="1238">
        <v>-0.15724501870577046</v>
      </c>
      <c r="J21" s="1238">
        <v>-3.0957840201352171E-2</v>
      </c>
      <c r="K21" s="1238">
        <v>2.0343466563298884E-2</v>
      </c>
      <c r="L21" s="1238">
        <v>1.5086425609214471E-2</v>
      </c>
      <c r="M21" s="1239">
        <v>1.8805237538078723E-2</v>
      </c>
      <c r="N21" s="1054"/>
      <c r="O21" s="1232">
        <f t="shared" ref="O21:O26" si="2">AVERAGE(D21:M21)</f>
        <v>-1.2403087315289562E-2</v>
      </c>
      <c r="AG21" s="1393"/>
      <c r="AH21" s="1393" t="s">
        <v>1735</v>
      </c>
      <c r="AI21" s="1393"/>
      <c r="AJ21" s="1393"/>
    </row>
    <row r="22" spans="2:39" ht="13.5" thickBot="1">
      <c r="B22" s="1227" t="s">
        <v>1468</v>
      </c>
      <c r="C22" s="1240">
        <v>-4.920773540813117E-2</v>
      </c>
      <c r="D22" s="1240">
        <v>5.3487989515723866E-2</v>
      </c>
      <c r="E22" s="1240">
        <v>2.0040660029234214E-2</v>
      </c>
      <c r="F22" s="1240">
        <v>0.13471125309012699</v>
      </c>
      <c r="G22" s="1240">
        <v>-1.05314090676627E-2</v>
      </c>
      <c r="H22" s="1240">
        <v>-4.1768664693236257E-2</v>
      </c>
      <c r="I22" s="1240">
        <v>-2.5370460732095257E-2</v>
      </c>
      <c r="J22" s="1240">
        <v>6.4533076197107908E-2</v>
      </c>
      <c r="K22" s="1240">
        <v>5.6062454024923047E-2</v>
      </c>
      <c r="L22" s="1240">
        <v>1.9022182664343301E-2</v>
      </c>
      <c r="M22" s="1241">
        <v>6.566653365961983E-2</v>
      </c>
      <c r="N22" s="1051"/>
      <c r="O22" s="1230">
        <f t="shared" si="2"/>
        <v>3.3585361468808493E-2</v>
      </c>
      <c r="AG22" s="1392" t="s">
        <v>1734</v>
      </c>
      <c r="AH22" s="1392" t="s">
        <v>1730</v>
      </c>
      <c r="AI22" s="1397" t="s">
        <v>1731</v>
      </c>
      <c r="AJ22" s="1392" t="s">
        <v>1732</v>
      </c>
    </row>
    <row r="23" spans="2:39" ht="13.8" customHeight="1">
      <c r="B23" s="1403" t="s">
        <v>1469</v>
      </c>
      <c r="C23" s="1240">
        <v>4.0612633824410049E-2</v>
      </c>
      <c r="D23" s="1240">
        <v>2.8030102953504721E-2</v>
      </c>
      <c r="E23" s="1240">
        <v>6.8116612456747827E-3</v>
      </c>
      <c r="F23" s="1240">
        <v>-9.7161593739574448E-2</v>
      </c>
      <c r="G23" s="1240">
        <v>7.834719757545705E-2</v>
      </c>
      <c r="H23" s="1240">
        <v>8.4158684399147088E-2</v>
      </c>
      <c r="I23" s="1240">
        <v>0.10093737591235408</v>
      </c>
      <c r="J23" s="1240">
        <v>-6.5007700020339398E-2</v>
      </c>
      <c r="K23" s="1240">
        <v>-6.1160848213692165E-2</v>
      </c>
      <c r="L23" s="1240">
        <v>-2.3051906780640397E-2</v>
      </c>
      <c r="M23" s="1241">
        <v>-5.100595948049591E-2</v>
      </c>
      <c r="N23" s="1055"/>
      <c r="O23" s="1230">
        <f t="shared" si="2"/>
        <v>8.9701385139540066E-5</v>
      </c>
      <c r="AG23" s="1392" t="s">
        <v>1740</v>
      </c>
      <c r="AH23" s="1431" t="s">
        <v>1746</v>
      </c>
      <c r="AI23" s="1400" t="s">
        <v>1745</v>
      </c>
      <c r="AJ23" s="1401" t="s">
        <v>1733</v>
      </c>
    </row>
    <row r="24" spans="2:39" ht="13.8" customHeight="1">
      <c r="B24" s="1403" t="s">
        <v>1470</v>
      </c>
      <c r="C24" s="1240">
        <v>2.1039414647990973E-2</v>
      </c>
      <c r="D24" s="1240">
        <v>1.6587708771192089E-2</v>
      </c>
      <c r="E24" s="1240">
        <v>3.8945712029963331E-2</v>
      </c>
      <c r="F24" s="1240">
        <v>2.0089123799610364E-2</v>
      </c>
      <c r="G24" s="1240">
        <v>2.3065022504980659E-2</v>
      </c>
      <c r="H24" s="1240">
        <v>1.3961767291090332E-2</v>
      </c>
      <c r="I24" s="1240">
        <v>1.7430032110039351E-2</v>
      </c>
      <c r="J24" s="1240">
        <v>1.4896426397298934E-2</v>
      </c>
      <c r="K24" s="1240">
        <v>8.9183725999739671E-3</v>
      </c>
      <c r="L24" s="1240">
        <v>1.7337358360189681E-2</v>
      </c>
      <c r="M24" s="1241">
        <v>3.1663490721587473E-2</v>
      </c>
      <c r="O24" s="1230">
        <f t="shared" si="2"/>
        <v>2.0289501458592617E-2</v>
      </c>
      <c r="AG24" s="1392" t="s">
        <v>1736</v>
      </c>
      <c r="AH24" s="1398" t="s">
        <v>1737</v>
      </c>
      <c r="AI24" s="1402" t="s">
        <v>1738</v>
      </c>
      <c r="AJ24" s="1395" t="s">
        <v>1739</v>
      </c>
    </row>
    <row r="25" spans="2:39" ht="13.8" customHeight="1">
      <c r="B25" s="1403" t="s">
        <v>1471</v>
      </c>
      <c r="C25" s="1240">
        <v>1.576554151766274E-2</v>
      </c>
      <c r="D25" s="1240">
        <v>4.0522276854139783E-2</v>
      </c>
      <c r="E25" s="1240">
        <v>2.2204460492503131E-16</v>
      </c>
      <c r="F25" s="1240">
        <v>7.0600964703531055E-3</v>
      </c>
      <c r="G25" s="1240">
        <v>2.8508876315561427E-2</v>
      </c>
      <c r="H25" s="1240">
        <v>-5.5619841666697534E-2</v>
      </c>
      <c r="I25" s="1240">
        <v>0.20490429361585338</v>
      </c>
      <c r="J25" s="1240">
        <v>4.0448992763483016E-2</v>
      </c>
      <c r="K25" s="1240">
        <v>3.1333753374235052E-2</v>
      </c>
      <c r="L25" s="1240">
        <v>3.2728194538868216E-2</v>
      </c>
      <c r="M25" s="1241">
        <v>-3.1706474841138532E-2</v>
      </c>
      <c r="O25" s="1230">
        <f t="shared" si="2"/>
        <v>2.9818016742465814E-2</v>
      </c>
      <c r="AG25" s="1392" t="s">
        <v>1741</v>
      </c>
      <c r="AH25" s="1398" t="s">
        <v>1743</v>
      </c>
      <c r="AI25" s="1402" t="s">
        <v>1744</v>
      </c>
      <c r="AJ25" s="1395" t="s">
        <v>1742</v>
      </c>
    </row>
    <row r="26" spans="2:39" ht="13.8" customHeight="1" thickBot="1">
      <c r="B26" s="1404" t="s">
        <v>464</v>
      </c>
      <c r="C26" s="1242">
        <v>-2.995595183198696E-2</v>
      </c>
      <c r="D26" s="1242">
        <v>-3.0783479301045302E-3</v>
      </c>
      <c r="E26" s="1242">
        <v>-1.0848509992916089E-2</v>
      </c>
      <c r="F26" s="1242">
        <v>1.8101498485829204E-2</v>
      </c>
      <c r="G26" s="1242">
        <v>-1.2525274539735731E-2</v>
      </c>
      <c r="H26" s="1242">
        <v>2.8865812671756697E-3</v>
      </c>
      <c r="I26" s="1242">
        <v>-8.6821429467607292E-3</v>
      </c>
      <c r="J26" s="1242">
        <v>-4.1354379884685377E-2</v>
      </c>
      <c r="K26" s="1242">
        <v>-2.1826302967773548E-2</v>
      </c>
      <c r="L26" s="1242">
        <v>-1.6805769387637448E-2</v>
      </c>
      <c r="M26" s="1243">
        <v>-6.1958452120913776E-3</v>
      </c>
      <c r="O26" s="1231">
        <f t="shared" si="2"/>
        <v>-1.0032849310869996E-2</v>
      </c>
      <c r="AG26" s="1394" t="s">
        <v>1748</v>
      </c>
      <c r="AH26" s="1398" t="s">
        <v>1747</v>
      </c>
      <c r="AI26" s="1402" t="s">
        <v>1749</v>
      </c>
      <c r="AJ26" s="1395" t="s">
        <v>1750</v>
      </c>
      <c r="AK26" s="1389"/>
    </row>
    <row r="27" spans="2:39" ht="13.8" customHeight="1">
      <c r="B27" s="1109"/>
      <c r="C27" s="1109"/>
      <c r="D27" s="1109"/>
      <c r="E27" s="1109"/>
      <c r="F27" s="1109"/>
      <c r="G27" s="1109"/>
      <c r="H27" s="1195"/>
      <c r="K27" s="1196"/>
      <c r="AG27" s="1392" t="s">
        <v>1751</v>
      </c>
      <c r="AH27" s="1398"/>
      <c r="AI27" s="1402"/>
      <c r="AJ27" s="1395" t="s">
        <v>1752</v>
      </c>
    </row>
    <row r="28" spans="2:39" ht="13.8" customHeight="1">
      <c r="B28" s="1109"/>
      <c r="C28" s="1109">
        <f>SUM(C21:C26)-C19</f>
        <v>1.1102230246251565E-16</v>
      </c>
      <c r="D28" s="1109">
        <f t="shared" ref="D28:M28" si="3">SUM(D21:D26)-D19</f>
        <v>0</v>
      </c>
      <c r="E28" s="1109">
        <f t="shared" si="3"/>
        <v>-1.1102230246251565E-16</v>
      </c>
      <c r="F28" s="1109">
        <f t="shared" si="3"/>
        <v>0</v>
      </c>
      <c r="G28" s="1109">
        <f t="shared" si="3"/>
        <v>0</v>
      </c>
      <c r="H28" s="1109">
        <f t="shared" si="3"/>
        <v>0</v>
      </c>
      <c r="I28" s="1109">
        <f t="shared" si="3"/>
        <v>0</v>
      </c>
      <c r="J28" s="1109">
        <f t="shared" si="3"/>
        <v>-1.1102230246251565E-16</v>
      </c>
      <c r="K28" s="1109">
        <f t="shared" si="3"/>
        <v>0</v>
      </c>
      <c r="L28" s="1109">
        <f t="shared" si="3"/>
        <v>2.2204460492503131E-16</v>
      </c>
      <c r="M28" s="1109">
        <f t="shared" si="3"/>
        <v>-2.2204460492503131E-16</v>
      </c>
      <c r="Q28" s="1061"/>
      <c r="AG28" s="1392"/>
      <c r="AH28" s="1398"/>
      <c r="AI28" s="1402"/>
      <c r="AJ28" s="1395"/>
    </row>
    <row r="29" spans="2:39" ht="13.8" customHeight="1" outlineLevel="1" thickBot="1">
      <c r="B29" s="1109"/>
      <c r="C29" s="1549">
        <v>39885</v>
      </c>
      <c r="D29" s="1550"/>
      <c r="E29" s="1549">
        <v>43537</v>
      </c>
      <c r="F29" s="1550"/>
      <c r="G29" s="1109"/>
      <c r="I29" s="1048"/>
      <c r="J29" s="1048"/>
      <c r="Q29" s="1061"/>
      <c r="AG29" s="1392" t="s">
        <v>1753</v>
      </c>
      <c r="AH29" s="1399">
        <v>0.88</v>
      </c>
      <c r="AI29" s="1402" t="s">
        <v>1754</v>
      </c>
      <c r="AJ29" s="1396" t="s">
        <v>1755</v>
      </c>
      <c r="AL29" s="1047">
        <f>422+167</f>
        <v>589</v>
      </c>
    </row>
    <row r="30" spans="2:39" ht="13.8" customHeight="1" thickBot="1">
      <c r="B30" s="1223"/>
      <c r="C30" s="1214" t="str">
        <f>"TSR"&amp;" between "&amp;TEXT(C29,"dd-mmm-yy")&amp;" and "&amp;TEXT(E29,"dd-mmm-yy")&amp;""</f>
        <v>TSR between 13-Mar-09 and 13-Mar-19</v>
      </c>
      <c r="D30" s="1215"/>
      <c r="E30" s="1215"/>
      <c r="F30" s="1215"/>
      <c r="G30" s="1215"/>
      <c r="H30" s="1216"/>
      <c r="I30" s="1217"/>
      <c r="J30" s="1216"/>
      <c r="K30" s="1216"/>
      <c r="L30" s="1214"/>
      <c r="M30" s="1218"/>
      <c r="Q30" s="1414" t="s">
        <v>1773</v>
      </c>
      <c r="R30" s="1415"/>
      <c r="S30" s="1416"/>
      <c r="AG30" s="1394" t="s">
        <v>1757</v>
      </c>
      <c r="AH30" s="1398" t="s">
        <v>892</v>
      </c>
      <c r="AI30" s="1402" t="s">
        <v>1758</v>
      </c>
      <c r="AJ30" s="1396" t="s">
        <v>1759</v>
      </c>
      <c r="AK30" s="1079">
        <f>50000000/2205</f>
        <v>22675.736961451246</v>
      </c>
      <c r="AL30" s="1079">
        <f>AK30*560</f>
        <v>12698412.698412698</v>
      </c>
      <c r="AM30" s="1079">
        <f>250000000/560</f>
        <v>446428.57142857142</v>
      </c>
    </row>
    <row r="31" spans="2:39" ht="13.8" customHeight="1" thickBot="1">
      <c r="B31" s="1224" t="s">
        <v>1651</v>
      </c>
      <c r="C31" s="1219" t="s">
        <v>637</v>
      </c>
      <c r="D31" s="1220" t="s">
        <v>1194</v>
      </c>
      <c r="E31" s="1220" t="s">
        <v>1197</v>
      </c>
      <c r="F31" s="1221" t="s">
        <v>1195</v>
      </c>
      <c r="G31" s="1221" t="s">
        <v>1509</v>
      </c>
      <c r="H31" s="1219" t="s">
        <v>1510</v>
      </c>
      <c r="I31" s="1219" t="s">
        <v>1511</v>
      </c>
      <c r="J31" s="1219" t="s">
        <v>1363</v>
      </c>
      <c r="K31" s="1219" t="s">
        <v>1512</v>
      </c>
      <c r="L31" s="1219" t="s">
        <v>1513</v>
      </c>
      <c r="M31" s="1222" t="s">
        <v>1514</v>
      </c>
      <c r="O31" s="1229" t="s">
        <v>533</v>
      </c>
      <c r="Q31" s="1410" t="s">
        <v>1772</v>
      </c>
      <c r="R31" s="1408" t="s">
        <v>637</v>
      </c>
      <c r="S31" s="1409" t="s">
        <v>533</v>
      </c>
      <c r="AG31" s="1394" t="s">
        <v>1760</v>
      </c>
      <c r="AH31" s="1398" t="s">
        <v>892</v>
      </c>
      <c r="AI31" s="1402" t="s">
        <v>1756</v>
      </c>
      <c r="AJ31" s="1395" t="s">
        <v>892</v>
      </c>
    </row>
    <row r="32" spans="2:39" ht="13.5" thickBot="1">
      <c r="B32" s="1224" t="s">
        <v>168</v>
      </c>
      <c r="C32" s="1204">
        <f t="shared" ref="C32:M32" si="4">((1+C5)*(1+C19))^0.5-1</f>
        <v>0.23826054443241307</v>
      </c>
      <c r="D32" s="1204">
        <f t="shared" si="4"/>
        <v>0.26410646511063041</v>
      </c>
      <c r="E32" s="1204">
        <f t="shared" si="4"/>
        <v>0.14426070004624103</v>
      </c>
      <c r="F32" s="1204">
        <f t="shared" si="4"/>
        <v>0.25604952620477972</v>
      </c>
      <c r="G32" s="1204">
        <f t="shared" si="4"/>
        <v>0.17926167164168882</v>
      </c>
      <c r="H32" s="1204">
        <f t="shared" si="4"/>
        <v>0.18238629776781234</v>
      </c>
      <c r="I32" s="1204">
        <f t="shared" si="4"/>
        <v>0.3880772925908722</v>
      </c>
      <c r="J32" s="1204">
        <f t="shared" si="4"/>
        <v>0.35285970110046772</v>
      </c>
      <c r="K32" s="1204">
        <f t="shared" si="4"/>
        <v>0.17463068921188807</v>
      </c>
      <c r="L32" s="1204">
        <f t="shared" si="4"/>
        <v>0.23411746969908243</v>
      </c>
      <c r="M32" s="1205">
        <f t="shared" si="4"/>
        <v>0.13043154819309666</v>
      </c>
      <c r="O32" s="1233">
        <f>AVERAGE(D32:M32)</f>
        <v>0.23061813615665594</v>
      </c>
      <c r="Q32" s="1411" t="s">
        <v>168</v>
      </c>
      <c r="R32" s="1412">
        <v>0.23826054443241307</v>
      </c>
      <c r="S32" s="1413">
        <v>0.23061813615665594</v>
      </c>
      <c r="AL32" s="1047">
        <f>425*10^6</f>
        <v>425000000</v>
      </c>
    </row>
    <row r="33" spans="2:41" ht="3" customHeight="1" thickBot="1">
      <c r="B33" s="1225"/>
      <c r="C33" s="1212"/>
      <c r="D33" s="1212"/>
      <c r="E33" s="1212"/>
      <c r="F33" s="1212"/>
      <c r="G33" s="1212"/>
      <c r="H33" s="1212"/>
      <c r="I33" s="1212"/>
      <c r="J33" s="1212"/>
      <c r="K33" s="1212"/>
      <c r="L33" s="1212"/>
      <c r="M33" s="1213"/>
      <c r="Q33" s="1225"/>
      <c r="R33" s="1212"/>
    </row>
    <row r="34" spans="2:41">
      <c r="B34" s="1226" t="s">
        <v>860</v>
      </c>
      <c r="C34" s="1206">
        <f t="shared" ref="C34:M34" si="5">((1+C7)*(1+C21))^0.5-1</f>
        <v>4.2017940911620144E-2</v>
      </c>
      <c r="D34" s="1206">
        <f t="shared" si="5"/>
        <v>4.7625204389079023E-3</v>
      </c>
      <c r="E34" s="1206">
        <f t="shared" si="5"/>
        <v>-3.3963299926019763E-3</v>
      </c>
      <c r="F34" s="1206">
        <f t="shared" si="5"/>
        <v>-1.8349934286787217E-2</v>
      </c>
      <c r="G34" s="1206">
        <f t="shared" si="5"/>
        <v>2.6318628314039749E-2</v>
      </c>
      <c r="H34" s="1206">
        <f t="shared" si="5"/>
        <v>3.1829154883855626E-2</v>
      </c>
      <c r="I34" s="1206">
        <f t="shared" si="5"/>
        <v>-0.1116831382343445</v>
      </c>
      <c r="J34" s="1206">
        <f t="shared" si="5"/>
        <v>1.6400444770179323E-2</v>
      </c>
      <c r="K34" s="1206">
        <f t="shared" si="5"/>
        <v>3.2400332108283081E-2</v>
      </c>
      <c r="L34" s="1206">
        <f t="shared" si="5"/>
        <v>-3.0382387749994244E-3</v>
      </c>
      <c r="M34" s="1207">
        <f t="shared" si="5"/>
        <v>3.4626976823359801E-2</v>
      </c>
      <c r="O34" s="1232">
        <f t="shared" ref="O34:O39" si="6">AVERAGE(D34:M34)</f>
        <v>9.8704160498923614E-4</v>
      </c>
      <c r="Q34" s="1226" t="s">
        <v>860</v>
      </c>
      <c r="R34" s="1206">
        <v>4.2017940911620144E-2</v>
      </c>
      <c r="S34" s="1232">
        <v>9.8704160498923614E-4</v>
      </c>
      <c r="AL34" s="1047">
        <v>430000</v>
      </c>
    </row>
    <row r="35" spans="2:41">
      <c r="B35" s="1227" t="s">
        <v>1468</v>
      </c>
      <c r="C35" s="1208">
        <f t="shared" ref="C35:M35" si="7">((1+C8)*(1+C22))^0.5-1</f>
        <v>7.3534961904063723E-2</v>
      </c>
      <c r="D35" s="1208">
        <f t="shared" si="7"/>
        <v>7.7939336828918071E-2</v>
      </c>
      <c r="E35" s="1208">
        <f t="shared" si="7"/>
        <v>-7.1009313634935456E-3</v>
      </c>
      <c r="F35" s="1208">
        <f t="shared" si="7"/>
        <v>0.19394627686083243</v>
      </c>
      <c r="G35" s="1208">
        <f t="shared" si="7"/>
        <v>-3.0438986962521009E-3</v>
      </c>
      <c r="H35" s="1208">
        <f t="shared" si="7"/>
        <v>5.8912361719008599E-2</v>
      </c>
      <c r="I35" s="1208">
        <f t="shared" si="7"/>
        <v>0.21433449298074714</v>
      </c>
      <c r="J35" s="1208">
        <f t="shared" si="7"/>
        <v>0.12419023797041073</v>
      </c>
      <c r="K35" s="1208">
        <f t="shared" si="7"/>
        <v>3.1117069559968291E-2</v>
      </c>
      <c r="L35" s="1208">
        <f t="shared" si="7"/>
        <v>3.3680796059598839E-2</v>
      </c>
      <c r="M35" s="1209">
        <f t="shared" si="7"/>
        <v>2.7298639175682204E-2</v>
      </c>
      <c r="O35" s="1230">
        <f t="shared" si="6"/>
        <v>7.5127438109542061E-2</v>
      </c>
      <c r="Q35" s="1227" t="s">
        <v>1468</v>
      </c>
      <c r="R35" s="1208">
        <v>7.3534961904063723E-2</v>
      </c>
      <c r="S35" s="1230">
        <v>7.5127438109542061E-2</v>
      </c>
      <c r="AL35" s="1079">
        <f>AL32/AL34</f>
        <v>988.37209302325584</v>
      </c>
    </row>
    <row r="36" spans="2:41">
      <c r="B36" s="1227" t="s">
        <v>1469</v>
      </c>
      <c r="C36" s="1208">
        <f t="shared" ref="C36:M36" si="8">((1+C9)*(1+C23))^0.5-1</f>
        <v>0.10726207009703215</v>
      </c>
      <c r="D36" s="1208">
        <f t="shared" si="8"/>
        <v>7.3046212033248015E-2</v>
      </c>
      <c r="E36" s="1208">
        <f t="shared" si="8"/>
        <v>0.10009415942693334</v>
      </c>
      <c r="F36" s="1208">
        <f t="shared" si="8"/>
        <v>-8.1431359503828626E-2</v>
      </c>
      <c r="G36" s="1208">
        <f t="shared" si="8"/>
        <v>0.11707784855257675</v>
      </c>
      <c r="H36" s="1208">
        <f t="shared" si="8"/>
        <v>6.4269358857661052E-2</v>
      </c>
      <c r="I36" s="1208">
        <f t="shared" si="8"/>
        <v>0.20677061789186335</v>
      </c>
      <c r="J36" s="1208">
        <f t="shared" si="8"/>
        <v>0.12812754741632348</v>
      </c>
      <c r="K36" s="1208">
        <f t="shared" si="8"/>
        <v>8.1150640270802432E-2</v>
      </c>
      <c r="L36" s="1208">
        <f t="shared" si="8"/>
        <v>0.11185235680247541</v>
      </c>
      <c r="M36" s="1209">
        <f t="shared" si="8"/>
        <v>3.68190870915861E-2</v>
      </c>
      <c r="O36" s="1230">
        <f t="shared" si="6"/>
        <v>8.3777646883964135E-2</v>
      </c>
      <c r="Q36" s="1227" t="s">
        <v>1469</v>
      </c>
      <c r="R36" s="1208">
        <v>0.10726207009703215</v>
      </c>
      <c r="S36" s="1230">
        <v>8.3777646883964135E-2</v>
      </c>
    </row>
    <row r="37" spans="2:41">
      <c r="B37" s="1227" t="s">
        <v>1470</v>
      </c>
      <c r="C37" s="1208">
        <f t="shared" ref="C37:M37" si="9">((1+C10)*(1+C24))^0.5-1</f>
        <v>2.3280045346982803E-2</v>
      </c>
      <c r="D37" s="1208">
        <f t="shared" si="9"/>
        <v>1.2098982050999574E-2</v>
      </c>
      <c r="E37" s="1208">
        <f t="shared" si="9"/>
        <v>3.6637004276758978E-2</v>
      </c>
      <c r="F37" s="1208">
        <f t="shared" si="9"/>
        <v>2.3367095865732601E-2</v>
      </c>
      <c r="G37" s="1208">
        <f t="shared" si="9"/>
        <v>2.19904234913193E-2</v>
      </c>
      <c r="H37" s="1208">
        <f t="shared" si="9"/>
        <v>1.4115613012505079E-2</v>
      </c>
      <c r="I37" s="1208">
        <f t="shared" si="9"/>
        <v>2.2313975260380259E-2</v>
      </c>
      <c r="J37" s="1208">
        <f t="shared" si="9"/>
        <v>1.0948577717881935E-2</v>
      </c>
      <c r="K37" s="1208">
        <f t="shared" si="9"/>
        <v>9.4113908818584946E-3</v>
      </c>
      <c r="L37" s="1208">
        <f t="shared" si="9"/>
        <v>2.4612447910600244E-2</v>
      </c>
      <c r="M37" s="1209">
        <f t="shared" si="9"/>
        <v>3.2870824562974743E-2</v>
      </c>
      <c r="O37" s="1230">
        <f t="shared" si="6"/>
        <v>2.083663350310112E-2</v>
      </c>
      <c r="Q37" s="1227" t="s">
        <v>1470</v>
      </c>
      <c r="R37" s="1208">
        <v>2.3280045346982803E-2</v>
      </c>
      <c r="S37" s="1230">
        <v>2.083663350310112E-2</v>
      </c>
    </row>
    <row r="38" spans="2:41">
      <c r="B38" s="1227" t="s">
        <v>1471</v>
      </c>
      <c r="C38" s="1208">
        <f t="shared" ref="C38:M38" si="10">((1+C11)*(1+C25))^0.5-1</f>
        <v>3.6258914974500733E-3</v>
      </c>
      <c r="D38" s="1208">
        <f t="shared" si="10"/>
        <v>1.1624046586229619E-2</v>
      </c>
      <c r="E38" s="1208">
        <f t="shared" si="10"/>
        <v>5.0510847002760428E-4</v>
      </c>
      <c r="F38" s="1208">
        <f t="shared" si="10"/>
        <v>3.879080502946497E-4</v>
      </c>
      <c r="G38" s="1208">
        <f t="shared" si="10"/>
        <v>1.8801240248629503E-2</v>
      </c>
      <c r="H38" s="1208">
        <f t="shared" si="10"/>
        <v>-1.4627932374188135E-2</v>
      </c>
      <c r="I38" s="1208">
        <f t="shared" si="10"/>
        <v>9.1712339667979315E-2</v>
      </c>
      <c r="J38" s="1208">
        <f t="shared" si="10"/>
        <v>1.7400542250800566E-2</v>
      </c>
      <c r="K38" s="1208">
        <f t="shared" si="10"/>
        <v>2.4313681857911718E-2</v>
      </c>
      <c r="L38" s="1208">
        <f t="shared" si="10"/>
        <v>3.3568424238906713E-2</v>
      </c>
      <c r="M38" s="1209">
        <f t="shared" si="10"/>
        <v>-1.598093252271704E-2</v>
      </c>
      <c r="O38" s="1230">
        <f t="shared" si="6"/>
        <v>1.6770442647387453E-2</v>
      </c>
      <c r="Q38" s="1227" t="s">
        <v>1471</v>
      </c>
      <c r="R38" s="1208">
        <v>3.6258914974500733E-3</v>
      </c>
      <c r="S38" s="1230">
        <v>1.6770442647387453E-2</v>
      </c>
    </row>
    <row r="39" spans="2:41" ht="14.65" thickBot="1">
      <c r="B39" s="1228" t="s">
        <v>464</v>
      </c>
      <c r="C39" s="1210">
        <f t="shared" ref="C39:M39" si="11">((1+C12)*(1+C26))^0.5-1</f>
        <v>2.1537739367374353E-3</v>
      </c>
      <c r="D39" s="1210">
        <f t="shared" si="11"/>
        <v>8.4222470097646607E-2</v>
      </c>
      <c r="E39" s="1210">
        <f t="shared" si="11"/>
        <v>1.9926913347832809E-2</v>
      </c>
      <c r="F39" s="1210">
        <f t="shared" si="11"/>
        <v>0.15164967517228223</v>
      </c>
      <c r="G39" s="1210">
        <f t="shared" si="11"/>
        <v>-1.1882162335605795E-3</v>
      </c>
      <c r="H39" s="1210">
        <f t="shared" si="11"/>
        <v>2.59386272886728E-2</v>
      </c>
      <c r="I39" s="1210">
        <f t="shared" si="11"/>
        <v>-4.8316371619131271E-2</v>
      </c>
      <c r="J39" s="1210">
        <f t="shared" si="11"/>
        <v>9.3102436906482122E-2</v>
      </c>
      <c r="K39" s="1210">
        <f t="shared" si="11"/>
        <v>-5.4638878085574438E-3</v>
      </c>
      <c r="L39" s="1210">
        <f t="shared" si="11"/>
        <v>3.9471030811306207E-2</v>
      </c>
      <c r="M39" s="1211">
        <f t="shared" si="11"/>
        <v>1.4754706761510139E-2</v>
      </c>
      <c r="O39" s="1231">
        <f t="shared" si="6"/>
        <v>3.7409738472448363E-2</v>
      </c>
      <c r="Q39" s="1228" t="s">
        <v>464</v>
      </c>
      <c r="R39" s="1210">
        <v>2.1537739367374353E-3</v>
      </c>
      <c r="S39" s="1231">
        <v>3.7409738472448363E-2</v>
      </c>
      <c r="Y39" s="1197"/>
      <c r="Z39" s="1158"/>
      <c r="AA39" s="1158"/>
      <c r="AB39" s="1157"/>
      <c r="AC39" s="1157"/>
      <c r="AD39" s="1157"/>
      <c r="AE39" s="1157"/>
      <c r="AF39" s="1157"/>
      <c r="AG39" s="1391"/>
      <c r="AH39" s="1157"/>
      <c r="AI39" s="1157"/>
      <c r="AJ39" s="1157"/>
      <c r="AK39" s="1157"/>
      <c r="AL39" s="1157"/>
      <c r="AM39" s="1157"/>
      <c r="AN39" s="1157"/>
      <c r="AO39" s="1157"/>
    </row>
    <row r="40" spans="2:41" ht="14.25" hidden="1" outlineLevel="1">
      <c r="B40" s="1109"/>
      <c r="D40" s="1109"/>
      <c r="E40" s="1109"/>
      <c r="F40" s="1048"/>
      <c r="G40" s="1048"/>
      <c r="Y40" s="1197"/>
      <c r="Z40" s="1158"/>
      <c r="AA40" s="1158"/>
      <c r="AB40" s="1157"/>
      <c r="AC40" s="1157"/>
      <c r="AD40" s="1157"/>
      <c r="AE40" s="1157"/>
      <c r="AF40" s="1157"/>
      <c r="AG40" s="1391"/>
      <c r="AH40" s="1157"/>
      <c r="AI40" s="1157"/>
      <c r="AJ40" s="1157"/>
      <c r="AK40" s="1157"/>
      <c r="AL40" s="1157"/>
      <c r="AM40" s="1157"/>
      <c r="AN40" s="1157"/>
      <c r="AO40" s="1157"/>
    </row>
    <row r="41" spans="2:41" ht="14.25" hidden="1" outlineLevel="1">
      <c r="B41" s="1109"/>
      <c r="C41" s="1109"/>
      <c r="D41" s="1109"/>
      <c r="E41" s="1109"/>
      <c r="F41" s="1109"/>
      <c r="G41" s="1109"/>
      <c r="H41" s="1075"/>
      <c r="I41" s="1198" t="s">
        <v>1659</v>
      </c>
      <c r="J41" s="1198" t="s">
        <v>1660</v>
      </c>
      <c r="K41" s="1083"/>
      <c r="L41" s="1074"/>
      <c r="Y41" s="1197"/>
      <c r="Z41" s="1158"/>
      <c r="AA41" s="1158"/>
      <c r="AB41" s="1157"/>
      <c r="AC41" s="1157"/>
      <c r="AD41" s="1157"/>
      <c r="AE41" s="1157"/>
      <c r="AF41" s="1157"/>
      <c r="AG41" s="1391"/>
      <c r="AH41" s="1157"/>
      <c r="AI41" s="1157"/>
      <c r="AJ41" s="1157"/>
      <c r="AK41" s="1157"/>
      <c r="AL41" s="1157"/>
      <c r="AM41" s="1157"/>
      <c r="AN41" s="1157"/>
      <c r="AO41" s="1157"/>
    </row>
    <row r="42" spans="2:41" ht="14.25" hidden="1" outlineLevel="1">
      <c r="B42" s="1109"/>
      <c r="C42" s="1109"/>
      <c r="D42" s="1109"/>
      <c r="E42" s="1109"/>
      <c r="F42" s="1109"/>
      <c r="G42" s="1109"/>
      <c r="H42" s="1198" t="s">
        <v>177</v>
      </c>
      <c r="I42" s="1202" t="s">
        <v>1652</v>
      </c>
      <c r="J42" s="1202" t="s">
        <v>1652</v>
      </c>
      <c r="K42" s="1202" t="s">
        <v>1653</v>
      </c>
      <c r="L42" s="1202" t="s">
        <v>1655</v>
      </c>
      <c r="M42" s="1202"/>
      <c r="N42" s="1202"/>
      <c r="Y42" s="1197"/>
      <c r="Z42" s="1158"/>
      <c r="AA42" s="1158"/>
      <c r="AB42" s="1157"/>
      <c r="AC42" s="1157"/>
      <c r="AD42" s="1157"/>
      <c r="AE42" s="1157"/>
      <c r="AF42" s="1157"/>
      <c r="AG42" s="1391"/>
      <c r="AH42" s="1157"/>
      <c r="AI42" s="1157"/>
      <c r="AJ42" s="1157"/>
      <c r="AK42" s="1157"/>
      <c r="AL42" s="1157"/>
      <c r="AM42" s="1157"/>
      <c r="AN42" s="1157"/>
      <c r="AO42" s="1157"/>
    </row>
    <row r="43" spans="2:41" ht="14.25" hidden="1" outlineLevel="1">
      <c r="B43" s="1109"/>
      <c r="C43" s="1109"/>
      <c r="D43" s="1109"/>
      <c r="E43" s="1109"/>
      <c r="G43" s="1109" t="s">
        <v>1654</v>
      </c>
      <c r="H43" s="1201">
        <v>50</v>
      </c>
      <c r="I43" s="1201">
        <f>(225/2205*365)</f>
        <v>37.244897959183675</v>
      </c>
      <c r="J43" s="1201">
        <f>(450/2205*365)</f>
        <v>74.489795918367349</v>
      </c>
      <c r="K43" s="1247">
        <f>I43/H43</f>
        <v>0.74489795918367352</v>
      </c>
      <c r="L43" s="1074" t="s">
        <v>1656</v>
      </c>
      <c r="Y43" s="1197"/>
      <c r="Z43" s="1158"/>
      <c r="AA43" s="1158"/>
      <c r="AB43" s="1157"/>
      <c r="AC43" s="1157"/>
      <c r="AD43" s="1157"/>
      <c r="AE43" s="1157"/>
      <c r="AF43" s="1157"/>
      <c r="AG43" s="1391"/>
      <c r="AH43" s="1157"/>
      <c r="AI43" s="1157"/>
      <c r="AJ43" s="1157"/>
      <c r="AK43" s="1157"/>
      <c r="AL43" s="1157"/>
      <c r="AM43" s="1157"/>
      <c r="AN43" s="1157"/>
      <c r="AO43" s="1157"/>
    </row>
    <row r="44" spans="2:41" ht="14.25" hidden="1" outlineLevel="1">
      <c r="B44" s="1109"/>
      <c r="C44" s="1109"/>
      <c r="D44" s="1109"/>
      <c r="E44" s="1109"/>
      <c r="G44" s="1109" t="s">
        <v>637</v>
      </c>
      <c r="H44" s="1201">
        <v>250</v>
      </c>
      <c r="I44" s="1201">
        <v>110</v>
      </c>
      <c r="K44" s="1247">
        <f>I44/H44</f>
        <v>0.44</v>
      </c>
      <c r="L44" s="1074" t="s">
        <v>1657</v>
      </c>
      <c r="Y44" s="1157"/>
      <c r="Z44" s="1157"/>
      <c r="AA44" s="1157"/>
      <c r="AB44" s="1157"/>
      <c r="AC44" s="1157"/>
      <c r="AD44" s="1157"/>
      <c r="AE44" s="1157"/>
      <c r="AF44" s="1157"/>
      <c r="AG44" s="1391"/>
      <c r="AH44" s="1157"/>
      <c r="AI44" s="1157"/>
      <c r="AJ44" s="1157"/>
      <c r="AK44" s="1157"/>
      <c r="AL44" s="1157"/>
      <c r="AM44" s="1157"/>
      <c r="AN44" s="1157"/>
      <c r="AO44" s="1157"/>
    </row>
    <row r="45" spans="2:41" ht="14.25" hidden="1" outlineLevel="1">
      <c r="B45" s="1109"/>
      <c r="C45" s="1109"/>
      <c r="D45" s="1109"/>
      <c r="E45" s="1109"/>
      <c r="G45" s="1109" t="s">
        <v>1431</v>
      </c>
      <c r="H45" s="1075"/>
      <c r="I45" s="1075"/>
      <c r="J45" s="1047">
        <v>250</v>
      </c>
      <c r="K45" s="1247"/>
      <c r="L45" s="1074" t="s">
        <v>1658</v>
      </c>
      <c r="AB45" s="1161"/>
      <c r="AC45" s="1157"/>
      <c r="AD45" s="1157"/>
      <c r="AE45" s="1157"/>
      <c r="AF45" s="1157"/>
      <c r="AG45" s="1391"/>
    </row>
    <row r="46" spans="2:41" ht="14.25" hidden="1" outlineLevel="1">
      <c r="B46" s="1109"/>
      <c r="C46" s="1109"/>
      <c r="D46" s="1109"/>
      <c r="E46" s="1109"/>
      <c r="F46" s="1109"/>
      <c r="G46" s="1248" t="s">
        <v>1157</v>
      </c>
      <c r="H46" s="1075"/>
      <c r="I46" s="1201">
        <v>50</v>
      </c>
      <c r="K46" s="1083"/>
      <c r="L46" s="1074" t="s">
        <v>1658</v>
      </c>
      <c r="N46" s="1194" t="s">
        <v>1708</v>
      </c>
      <c r="AB46" s="1161"/>
      <c r="AC46" s="1157"/>
      <c r="AD46" s="1157"/>
      <c r="AE46" s="1157"/>
      <c r="AF46" s="1157"/>
      <c r="AG46" s="1391"/>
    </row>
    <row r="47" spans="2:41" hidden="1" outlineLevel="1">
      <c r="G47" s="1047" t="s">
        <v>1709</v>
      </c>
      <c r="H47" s="1388"/>
      <c r="I47" s="1079">
        <f>30*2</f>
        <v>60</v>
      </c>
      <c r="L47" s="1074" t="s">
        <v>1658</v>
      </c>
      <c r="N47" s="1047" t="s">
        <v>1710</v>
      </c>
    </row>
    <row r="48" spans="2:41" hidden="1" outlineLevel="1">
      <c r="G48" s="1047" t="s">
        <v>1711</v>
      </c>
      <c r="H48" s="1388"/>
      <c r="I48" s="1079">
        <v>48</v>
      </c>
      <c r="L48" s="1074" t="s">
        <v>1658</v>
      </c>
      <c r="N48" s="1047" t="s">
        <v>1712</v>
      </c>
    </row>
    <row r="49" spans="2:18" hidden="1" outlineLevel="1">
      <c r="G49" s="1047" t="s">
        <v>1713</v>
      </c>
      <c r="H49" s="1388"/>
      <c r="I49" s="1079">
        <v>25</v>
      </c>
      <c r="L49" s="1074" t="s">
        <v>1658</v>
      </c>
      <c r="N49" s="1047" t="s">
        <v>1714</v>
      </c>
    </row>
    <row r="50" spans="2:18" hidden="1" outlineLevel="1">
      <c r="G50" s="1047" t="s">
        <v>1715</v>
      </c>
      <c r="H50" s="1388"/>
      <c r="I50" s="1079">
        <v>20</v>
      </c>
      <c r="L50" s="1074" t="s">
        <v>1658</v>
      </c>
    </row>
    <row r="51" spans="2:18" hidden="1" outlineLevel="1">
      <c r="I51" s="1079"/>
      <c r="L51" s="1074"/>
      <c r="R51" s="1047" t="s">
        <v>1724</v>
      </c>
    </row>
    <row r="52" spans="2:18" hidden="1" outlineLevel="1">
      <c r="R52" s="1047" t="s">
        <v>1725</v>
      </c>
    </row>
    <row r="53" spans="2:18" hidden="1" outlineLevel="1">
      <c r="R53" s="1047" t="s">
        <v>1726</v>
      </c>
    </row>
    <row r="54" spans="2:18" hidden="1" outlineLevel="1"/>
    <row r="55" spans="2:18" collapsed="1"/>
    <row r="56" spans="2:18" ht="13.5" thickBot="1">
      <c r="B56" s="1109"/>
      <c r="C56" s="1549">
        <v>43200</v>
      </c>
      <c r="D56" s="1550"/>
      <c r="E56" s="1549">
        <v>45026</v>
      </c>
      <c r="F56" s="1550"/>
      <c r="G56" s="1109"/>
      <c r="I56" s="1048"/>
      <c r="J56" s="1048"/>
    </row>
    <row r="57" spans="2:18" ht="13.5" thickBot="1">
      <c r="B57" s="1223"/>
      <c r="C57" s="1214" t="str">
        <f>"TSR"&amp;" between "&amp;TEXT(C56,"dd-mmm-yy")&amp;" and "&amp;TEXT(E56,"dd-mmm-yy")&amp;""</f>
        <v>TSR between 10-Apr-18 and 10-Apr-23</v>
      </c>
      <c r="D57" s="1215"/>
      <c r="E57" s="1215"/>
      <c r="F57" s="1215"/>
      <c r="G57" s="1215"/>
      <c r="H57" s="1216"/>
      <c r="I57" s="1217"/>
      <c r="J57" s="1216"/>
      <c r="K57" s="1216"/>
      <c r="L57" s="1214"/>
      <c r="M57" s="1218"/>
    </row>
    <row r="58" spans="2:18" ht="13.5" thickBot="1">
      <c r="B58" s="1224" t="s">
        <v>1651</v>
      </c>
      <c r="C58" s="1219" t="s">
        <v>637</v>
      </c>
      <c r="D58" s="1220" t="s">
        <v>1194</v>
      </c>
      <c r="E58" s="1220" t="s">
        <v>1197</v>
      </c>
      <c r="F58" s="1221" t="s">
        <v>1195</v>
      </c>
      <c r="G58" s="1221" t="s">
        <v>1509</v>
      </c>
      <c r="H58" s="1219" t="s">
        <v>1510</v>
      </c>
      <c r="I58" s="1219" t="s">
        <v>1511</v>
      </c>
      <c r="J58" s="1219" t="s">
        <v>1363</v>
      </c>
      <c r="K58" s="1219" t="s">
        <v>1512</v>
      </c>
      <c r="L58" s="1219" t="s">
        <v>1513</v>
      </c>
      <c r="M58" s="1222" t="s">
        <v>1514</v>
      </c>
      <c r="N58" s="1049"/>
      <c r="O58" s="1229" t="s">
        <v>533</v>
      </c>
    </row>
    <row r="59" spans="2:18" ht="13.5" thickBot="1">
      <c r="B59" s="1224" t="s">
        <v>1650</v>
      </c>
      <c r="C59" s="1204">
        <v>-2.1023704842756064E-2</v>
      </c>
      <c r="D59" s="1204">
        <v>2.829019590955717E-2</v>
      </c>
      <c r="E59" s="1108">
        <v>-5.0932566418122827E-2</v>
      </c>
      <c r="F59" s="1204">
        <v>7.813976566378722E-3</v>
      </c>
      <c r="G59" s="1108">
        <v>-9.481223887216772E-2</v>
      </c>
      <c r="H59" s="1204">
        <v>0.17566262703521884</v>
      </c>
      <c r="I59" s="1204">
        <v>9.2579037432459543E-2</v>
      </c>
      <c r="J59" s="1204"/>
      <c r="K59" s="1204"/>
      <c r="L59" s="1204"/>
      <c r="M59" s="1205"/>
      <c r="O59" s="1233">
        <f>AVERAGE(D59:M59)</f>
        <v>2.6433505275553954E-2</v>
      </c>
    </row>
    <row r="60" spans="2:18">
      <c r="B60" s="1226" t="s">
        <v>860</v>
      </c>
      <c r="C60" s="1206">
        <v>2.0717486236211613E-2</v>
      </c>
      <c r="D60" s="1206">
        <v>9.5162497069110064E-2</v>
      </c>
      <c r="E60" s="1109">
        <v>7.3613049137469133E-2</v>
      </c>
      <c r="F60" s="1206">
        <v>4.2089841454215682E-2</v>
      </c>
      <c r="G60" s="1109">
        <v>1.5745462731056703E-2</v>
      </c>
      <c r="H60" s="1206">
        <v>0.18965185625782399</v>
      </c>
      <c r="I60" s="1206">
        <v>-5.1755980325569939E-2</v>
      </c>
      <c r="J60" s="1206"/>
      <c r="K60" s="1206"/>
      <c r="L60" s="1206"/>
      <c r="M60" s="1207"/>
      <c r="O60" s="1232">
        <f t="shared" ref="O60:O65" si="12">AVERAGE(D60:M60)</f>
        <v>6.0751121054017608E-2</v>
      </c>
    </row>
    <row r="61" spans="2:18">
      <c r="B61" s="1227" t="s">
        <v>1468</v>
      </c>
      <c r="C61" s="1208">
        <v>-4.9356406945578302E-2</v>
      </c>
      <c r="D61" s="1208">
        <v>-1.0847600139686664E-2</v>
      </c>
      <c r="E61" s="1109">
        <v>-9.7418503151879943E-2</v>
      </c>
      <c r="F61" s="1208">
        <v>-8.0329471506539463E-3</v>
      </c>
      <c r="G61" s="1109">
        <v>-1.0058907699375119E-2</v>
      </c>
      <c r="H61" s="1208">
        <v>0.12262877518491933</v>
      </c>
      <c r="I61" s="1208">
        <v>7.2834278445041867E-2</v>
      </c>
      <c r="J61" s="1208"/>
      <c r="K61" s="1208"/>
      <c r="L61" s="1208"/>
      <c r="M61" s="1209"/>
      <c r="O61" s="1230">
        <f t="shared" si="12"/>
        <v>1.1517515914727586E-2</v>
      </c>
    </row>
    <row r="62" spans="2:18">
      <c r="B62" s="1227" t="s">
        <v>1469</v>
      </c>
      <c r="C62" s="1208">
        <v>-5.1917033411218783E-2</v>
      </c>
      <c r="D62" s="1208">
        <v>-8.0827093956682639E-2</v>
      </c>
      <c r="E62" s="1109">
        <v>-4.7973965557824405E-2</v>
      </c>
      <c r="F62" s="1208">
        <v>-0.14508100781709787</v>
      </c>
      <c r="G62" s="1109">
        <v>-0.13271540218381128</v>
      </c>
      <c r="H62" s="1208">
        <v>-0.13032367295973968</v>
      </c>
      <c r="I62" s="1208">
        <v>-3.380166720788913E-2</v>
      </c>
      <c r="J62" s="1208"/>
      <c r="K62" s="1208"/>
      <c r="L62" s="1208"/>
      <c r="M62" s="1209"/>
      <c r="O62" s="1230">
        <f t="shared" si="12"/>
        <v>-9.5120468280507506E-2</v>
      </c>
    </row>
    <row r="63" spans="2:18">
      <c r="B63" s="1227" t="s">
        <v>1470</v>
      </c>
      <c r="C63" s="1208">
        <v>2.965192752806578E-2</v>
      </c>
      <c r="D63" s="1208">
        <v>2.2665267094698072E-2</v>
      </c>
      <c r="E63" s="1109">
        <v>5.3517496354708816E-2</v>
      </c>
      <c r="F63" s="1208">
        <v>2.5096273557352777E-2</v>
      </c>
      <c r="G63" s="1109">
        <v>4.4033652166761916E-2</v>
      </c>
      <c r="H63" s="1208">
        <v>8.6938837784340528E-3</v>
      </c>
      <c r="I63" s="1208">
        <v>1.1831832346087534E-2</v>
      </c>
      <c r="J63" s="1208"/>
      <c r="K63" s="1208"/>
      <c r="L63" s="1208"/>
      <c r="M63" s="1209"/>
      <c r="O63" s="1230">
        <f t="shared" si="12"/>
        <v>2.7639734216340528E-2</v>
      </c>
    </row>
    <row r="64" spans="2:18">
      <c r="B64" s="1227" t="s">
        <v>1471</v>
      </c>
      <c r="C64" s="1208">
        <v>3.6657256266356963E-2</v>
      </c>
      <c r="D64" s="1208">
        <v>4.1569127360238545E-2</v>
      </c>
      <c r="E64" s="1109">
        <v>5.763658585964837E-3</v>
      </c>
      <c r="F64" s="1208">
        <v>5.706018399372792E-2</v>
      </c>
      <c r="G64" s="1109">
        <v>1.4864541727894087E-2</v>
      </c>
      <c r="H64" s="1208">
        <v>-1.1462488400765247E-2</v>
      </c>
      <c r="I64" s="1208">
        <v>2.8250836251433764E-2</v>
      </c>
      <c r="J64" s="1208"/>
      <c r="K64" s="1208"/>
      <c r="L64" s="1208"/>
      <c r="M64" s="1209"/>
      <c r="O64" s="1230">
        <f t="shared" si="12"/>
        <v>2.2674309919748985E-2</v>
      </c>
    </row>
    <row r="65" spans="2:15" ht="13.5" thickBot="1">
      <c r="B65" s="1228" t="s">
        <v>464</v>
      </c>
      <c r="C65" s="1210">
        <v>-6.7769345165932249E-3</v>
      </c>
      <c r="D65" s="1210">
        <v>-3.943200151812043E-2</v>
      </c>
      <c r="E65" s="1108">
        <v>-3.8434301786561265E-2</v>
      </c>
      <c r="F65" s="1210">
        <v>3.6681632528834163E-2</v>
      </c>
      <c r="G65" s="1108">
        <v>-2.6681585614693692E-2</v>
      </c>
      <c r="H65" s="1210">
        <v>-3.5257268254536012E-3</v>
      </c>
      <c r="I65" s="1210">
        <v>6.5219737923355225E-2</v>
      </c>
      <c r="J65" s="1210"/>
      <c r="K65" s="1210"/>
      <c r="L65" s="1210"/>
      <c r="M65" s="1211"/>
      <c r="O65" s="1231">
        <f t="shared" si="12"/>
        <v>-1.0287075487732666E-3</v>
      </c>
    </row>
  </sheetData>
  <mergeCells count="8">
    <mergeCell ref="C56:D56"/>
    <mergeCell ref="E56:F56"/>
    <mergeCell ref="C2:D2"/>
    <mergeCell ref="E2:F2"/>
    <mergeCell ref="C29:D29"/>
    <mergeCell ref="E29:F29"/>
    <mergeCell ref="C16:D16"/>
    <mergeCell ref="E16:F16"/>
  </mergeCells>
  <conditionalFormatting sqref="B5:B12">
    <cfRule type="expression" dxfId="57" priority="57">
      <formula>B5&lt;0</formula>
    </cfRule>
  </conditionalFormatting>
  <conditionalFormatting sqref="B19:B26">
    <cfRule type="expression" dxfId="56" priority="26">
      <formula>B19&lt;0</formula>
    </cfRule>
  </conditionalFormatting>
  <conditionalFormatting sqref="B32:B39">
    <cfRule type="expression" dxfId="55" priority="20">
      <formula>B32&lt;0</formula>
    </cfRule>
  </conditionalFormatting>
  <conditionalFormatting sqref="B59:B65">
    <cfRule type="expression" dxfId="54" priority="15">
      <formula>B59&lt;0</formula>
    </cfRule>
  </conditionalFormatting>
  <conditionalFormatting sqref="C59:D59 F59 H59:M59">
    <cfRule type="colorScale" priority="16">
      <colorScale>
        <cfvo type="min"/>
        <cfvo type="percentile" val="50"/>
        <cfvo type="max"/>
        <color rgb="FFF8696B"/>
        <color rgb="FFFCFCFF"/>
        <color rgb="FF63BE7B"/>
      </colorScale>
    </cfRule>
  </conditionalFormatting>
  <conditionalFormatting sqref="C60:D60 F60 H60:M60">
    <cfRule type="colorScale" priority="11">
      <colorScale>
        <cfvo type="min"/>
        <cfvo type="percentile" val="50"/>
        <cfvo type="max"/>
        <color rgb="FFF8696B"/>
        <color rgb="FFFCFCFF"/>
        <color rgb="FF63BE7B"/>
      </colorScale>
    </cfRule>
  </conditionalFormatting>
  <conditionalFormatting sqref="C61:D61 F61 H61:M61">
    <cfRule type="colorScale" priority="12">
      <colorScale>
        <cfvo type="min"/>
        <cfvo type="percentile" val="50"/>
        <cfvo type="max"/>
        <color rgb="FFF8696B"/>
        <color rgb="FFFCFCFF"/>
        <color rgb="FF63BE7B"/>
      </colorScale>
    </cfRule>
  </conditionalFormatting>
  <conditionalFormatting sqref="C62:D62 F62 H62:M62">
    <cfRule type="colorScale" priority="14">
      <colorScale>
        <cfvo type="min"/>
        <cfvo type="percentile" val="50"/>
        <cfvo type="max"/>
        <color rgb="FFF8696B"/>
        <color rgb="FFFCFCFF"/>
        <color rgb="FF63BE7B"/>
      </colorScale>
    </cfRule>
  </conditionalFormatting>
  <conditionalFormatting sqref="C65:D65 F65 H65:M65">
    <cfRule type="colorScale" priority="13">
      <colorScale>
        <cfvo type="min"/>
        <cfvo type="percentile" val="50"/>
        <cfvo type="max"/>
        <color rgb="FFF8696B"/>
        <color rgb="FFFCFCFF"/>
        <color rgb="FF63BE7B"/>
      </colorScale>
    </cfRule>
  </conditionalFormatting>
  <conditionalFormatting sqref="C5:M6">
    <cfRule type="colorScale" priority="39">
      <colorScale>
        <cfvo type="min"/>
        <cfvo type="percentile" val="50"/>
        <cfvo type="max"/>
        <color rgb="FFF8696B"/>
        <color rgb="FFFCFCFF"/>
        <color rgb="FF63BE7B"/>
      </colorScale>
    </cfRule>
  </conditionalFormatting>
  <conditionalFormatting sqref="C7:M7">
    <cfRule type="colorScale" priority="19">
      <colorScale>
        <cfvo type="min"/>
        <cfvo type="percentile" val="50"/>
        <cfvo type="max"/>
        <color rgb="FFF8696B"/>
        <color rgb="FFFCFCFF"/>
        <color rgb="FF63BE7B"/>
      </colorScale>
    </cfRule>
  </conditionalFormatting>
  <conditionalFormatting sqref="C8:M8">
    <cfRule type="colorScale" priority="35">
      <colorScale>
        <cfvo type="min"/>
        <cfvo type="percentile" val="50"/>
        <cfvo type="max"/>
        <color rgb="FFF8696B"/>
        <color rgb="FFFCFCFF"/>
        <color rgb="FF63BE7B"/>
      </colorScale>
    </cfRule>
  </conditionalFormatting>
  <conditionalFormatting sqref="C9:M9">
    <cfRule type="colorScale" priority="37">
      <colorScale>
        <cfvo type="min"/>
        <cfvo type="percentile" val="50"/>
        <cfvo type="max"/>
        <color rgb="FFF8696B"/>
        <color rgb="FFFCFCFF"/>
        <color rgb="FF63BE7B"/>
      </colorScale>
    </cfRule>
  </conditionalFormatting>
  <conditionalFormatting sqref="C12:M12">
    <cfRule type="colorScale" priority="36">
      <colorScale>
        <cfvo type="min"/>
        <cfvo type="percentile" val="50"/>
        <cfvo type="max"/>
        <color rgb="FFF8696B"/>
        <color rgb="FFFCFCFF"/>
        <color rgb="FF63BE7B"/>
      </colorScale>
    </cfRule>
  </conditionalFormatting>
  <conditionalFormatting sqref="C13:M13">
    <cfRule type="expression" dxfId="53" priority="43">
      <formula>C13&lt;0</formula>
    </cfRule>
  </conditionalFormatting>
  <conditionalFormatting sqref="C19:M20">
    <cfRule type="colorScale" priority="30">
      <colorScale>
        <cfvo type="min"/>
        <cfvo type="percentile" val="50"/>
        <cfvo type="max"/>
        <color rgb="FFF8696B"/>
        <color rgb="FFFCFCFF"/>
        <color rgb="FF63BE7B"/>
      </colorScale>
    </cfRule>
  </conditionalFormatting>
  <conditionalFormatting sqref="C21:M21">
    <cfRule type="colorScale" priority="18">
      <colorScale>
        <cfvo type="min"/>
        <cfvo type="percentile" val="50"/>
        <cfvo type="max"/>
        <color rgb="FFF8696B"/>
        <color rgb="FFFCFCFF"/>
        <color rgb="FF63BE7B"/>
      </colorScale>
    </cfRule>
  </conditionalFormatting>
  <conditionalFormatting sqref="C22:M22">
    <cfRule type="colorScale" priority="27">
      <colorScale>
        <cfvo type="min"/>
        <cfvo type="percentile" val="50"/>
        <cfvo type="max"/>
        <color rgb="FFF8696B"/>
        <color rgb="FFFCFCFF"/>
        <color rgb="FF63BE7B"/>
      </colorScale>
    </cfRule>
  </conditionalFormatting>
  <conditionalFormatting sqref="C23:M23">
    <cfRule type="colorScale" priority="29">
      <colorScale>
        <cfvo type="min"/>
        <cfvo type="percentile" val="50"/>
        <cfvo type="max"/>
        <color rgb="FFF8696B"/>
        <color rgb="FFFCFCFF"/>
        <color rgb="FF63BE7B"/>
      </colorScale>
    </cfRule>
  </conditionalFormatting>
  <conditionalFormatting sqref="C26:M26">
    <cfRule type="colorScale" priority="28">
      <colorScale>
        <cfvo type="min"/>
        <cfvo type="percentile" val="50"/>
        <cfvo type="max"/>
        <color rgb="FFF8696B"/>
        <color rgb="FFFCFCFF"/>
        <color rgb="FF63BE7B"/>
      </colorScale>
    </cfRule>
  </conditionalFormatting>
  <conditionalFormatting sqref="C32:M33">
    <cfRule type="colorScale" priority="24">
      <colorScale>
        <cfvo type="min"/>
        <cfvo type="percentile" val="50"/>
        <cfvo type="max"/>
        <color rgb="FFF8696B"/>
        <color rgb="FFFCFCFF"/>
        <color rgb="FF63BE7B"/>
      </colorScale>
    </cfRule>
  </conditionalFormatting>
  <conditionalFormatting sqref="C34:M34">
    <cfRule type="colorScale" priority="17">
      <colorScale>
        <cfvo type="min"/>
        <cfvo type="percentile" val="50"/>
        <cfvo type="max"/>
        <color rgb="FFF8696B"/>
        <color rgb="FFFCFCFF"/>
        <color rgb="FF63BE7B"/>
      </colorScale>
    </cfRule>
  </conditionalFormatting>
  <conditionalFormatting sqref="C35:M35">
    <cfRule type="colorScale" priority="21">
      <colorScale>
        <cfvo type="min"/>
        <cfvo type="percentile" val="50"/>
        <cfvo type="max"/>
        <color rgb="FFF8696B"/>
        <color rgb="FFFCFCFF"/>
        <color rgb="FF63BE7B"/>
      </colorScale>
    </cfRule>
  </conditionalFormatting>
  <conditionalFormatting sqref="C36:M36">
    <cfRule type="colorScale" priority="23">
      <colorScale>
        <cfvo type="min"/>
        <cfvo type="percentile" val="50"/>
        <cfvo type="max"/>
        <color rgb="FFF8696B"/>
        <color rgb="FFFCFCFF"/>
        <color rgb="FF63BE7B"/>
      </colorScale>
    </cfRule>
  </conditionalFormatting>
  <conditionalFormatting sqref="C39:M39">
    <cfRule type="colorScale" priority="22">
      <colorScale>
        <cfvo type="min"/>
        <cfvo type="percentile" val="50"/>
        <cfvo type="max"/>
        <color rgb="FFF8696B"/>
        <color rgb="FFFCFCFF"/>
        <color rgb="FF63BE7B"/>
      </colorScale>
    </cfRule>
  </conditionalFormatting>
  <conditionalFormatting sqref="E59:E65">
    <cfRule type="expression" dxfId="52" priority="10">
      <formula>E59&lt;0</formula>
    </cfRule>
  </conditionalFormatting>
  <conditionalFormatting sqref="G59:G65">
    <cfRule type="expression" dxfId="51" priority="9">
      <formula>G59&lt;0</formula>
    </cfRule>
  </conditionalFormatting>
  <conditionalFormatting sqref="I42:N42">
    <cfRule type="colorScale" priority="33">
      <colorScale>
        <cfvo type="min"/>
        <cfvo type="percentile" val="50"/>
        <cfvo type="max"/>
        <color rgb="FFF8696B"/>
        <color rgb="FFFCFCFF"/>
        <color rgb="FF63BE7B"/>
      </colorScale>
    </cfRule>
  </conditionalFormatting>
  <conditionalFormatting sqref="Q32:Q39">
    <cfRule type="expression" dxfId="50" priority="4">
      <formula>Q32&lt;0</formula>
    </cfRule>
  </conditionalFormatting>
  <conditionalFormatting sqref="R34:R39">
    <cfRule type="colorScale" priority="2">
      <colorScale>
        <cfvo type="min"/>
        <cfvo type="percentile" val="50"/>
        <cfvo type="max"/>
        <color rgb="FFF8696B"/>
        <color rgb="FFFCFCFF"/>
        <color rgb="FF63BE7B"/>
      </colorScale>
    </cfRule>
  </conditionalFormatting>
  <conditionalFormatting sqref="S34:S39">
    <cfRule type="colorScale" priority="1">
      <colorScale>
        <cfvo type="min"/>
        <cfvo type="percentile" val="50"/>
        <cfvo type="max"/>
        <color rgb="FFF8696B"/>
        <color rgb="FFFCFCFF"/>
        <color rgb="FF63BE7B"/>
      </colorScale>
    </cfRule>
  </conditionalFormatting>
  <hyperlinks>
    <hyperlink ref="N46" r:id="rId1" xr:uid="{3917E801-737D-4083-8B7E-762ACC19B729}"/>
  </hyperlinks>
  <pageMargins left="0.7" right="0.7" top="0.75" bottom="0.75" header="0.3" footer="0.3"/>
  <pageSetup orientation="portrait" r:id="rId2"/>
  <ignoredErrors>
    <ignoredError sqref="O5:O12 O19:O26" formulaRange="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F2D3-401C-4377-B3D1-353D29942634}">
  <sheetPr codeName="Sheet21"/>
  <dimension ref="A1:AG80"/>
  <sheetViews>
    <sheetView showGridLines="0" zoomScaleNormal="100" workbookViewId="0">
      <pane xSplit="3" ySplit="5" topLeftCell="U6" activePane="bottomRight" state="frozen"/>
      <selection activeCell="E27" sqref="E27"/>
      <selection pane="topRight" activeCell="E27" sqref="E27"/>
      <selection pane="bottomLeft" activeCell="E27" sqref="E27"/>
      <selection pane="bottomRight" activeCell="AD16" sqref="AD16"/>
    </sheetView>
  </sheetViews>
  <sheetFormatPr defaultColWidth="9.19921875" defaultRowHeight="11.25" customHeight="1"/>
  <cols>
    <col min="1" max="1" width="1.796875" style="487" customWidth="1"/>
    <col min="2" max="2" width="23.53125" style="487" customWidth="1"/>
    <col min="3" max="3" width="0" style="487" hidden="1" customWidth="1"/>
    <col min="4" max="28" width="9.796875" style="487" customWidth="1"/>
    <col min="29" max="29" width="9.19921875" style="487"/>
    <col min="30" max="30" width="12.796875" style="487" bestFit="1" customWidth="1"/>
    <col min="31" max="16384" width="9.19921875" style="487"/>
  </cols>
  <sheetData>
    <row r="1" spans="1:32" ht="11.25" customHeight="1">
      <c r="A1" s="486" t="s">
        <v>839</v>
      </c>
      <c r="B1" s="492"/>
      <c r="C1" s="492"/>
      <c r="D1" s="492"/>
      <c r="E1" s="525">
        <v>1995</v>
      </c>
      <c r="F1" s="525">
        <v>1996</v>
      </c>
      <c r="G1" s="525">
        <v>1997</v>
      </c>
      <c r="H1" s="525">
        <v>1998</v>
      </c>
      <c r="I1" s="525">
        <v>1999</v>
      </c>
      <c r="J1" s="525">
        <v>2000</v>
      </c>
      <c r="K1" s="525">
        <v>2001</v>
      </c>
      <c r="L1" s="525">
        <v>2002</v>
      </c>
      <c r="M1" s="525">
        <v>2003</v>
      </c>
      <c r="N1" s="525">
        <v>2004</v>
      </c>
      <c r="O1" s="525">
        <v>2005</v>
      </c>
      <c r="P1" s="525">
        <v>2006</v>
      </c>
      <c r="Q1" s="525">
        <v>2007</v>
      </c>
      <c r="R1" s="525">
        <v>2008</v>
      </c>
      <c r="S1" s="525">
        <v>2009</v>
      </c>
      <c r="T1" s="525">
        <v>2010</v>
      </c>
      <c r="U1" s="525">
        <v>2011</v>
      </c>
      <c r="V1" s="525">
        <v>2012</v>
      </c>
      <c r="W1" s="525">
        <v>2013</v>
      </c>
      <c r="X1" s="525">
        <v>2014</v>
      </c>
      <c r="Y1" s="525">
        <v>2015</v>
      </c>
      <c r="Z1" s="525">
        <v>2016</v>
      </c>
      <c r="AA1" s="525">
        <v>2017</v>
      </c>
      <c r="AB1" s="525">
        <v>2018</v>
      </c>
    </row>
    <row r="2" spans="1:32" ht="11.25" customHeight="1">
      <c r="B2" s="493" t="s">
        <v>813</v>
      </c>
      <c r="C2" s="493"/>
      <c r="D2" s="493"/>
      <c r="E2" s="510">
        <f t="shared" ref="E2:AB2" si="0">E10/E12</f>
        <v>1.214478559126984</v>
      </c>
      <c r="F2" s="510">
        <f t="shared" si="0"/>
        <v>1.213064721873693</v>
      </c>
      <c r="G2" s="510">
        <f t="shared" si="0"/>
        <v>1.3565761562633603</v>
      </c>
      <c r="H2" s="510">
        <f t="shared" si="0"/>
        <v>1.1515172693595179</v>
      </c>
      <c r="I2" s="510">
        <f t="shared" si="0"/>
        <v>1.2293936165577342</v>
      </c>
      <c r="J2" s="510">
        <f t="shared" si="0"/>
        <v>1.0695807003023432</v>
      </c>
      <c r="K2" s="510">
        <f t="shared" si="0"/>
        <v>0.95263829962894253</v>
      </c>
      <c r="L2" s="510">
        <f t="shared" si="0"/>
        <v>0.9057703065789473</v>
      </c>
      <c r="M2" s="510">
        <f t="shared" si="0"/>
        <v>0.88111300862068953</v>
      </c>
      <c r="N2" s="510">
        <f t="shared" si="0"/>
        <v>0.95897012340425525</v>
      </c>
      <c r="O2" s="510">
        <f t="shared" si="0"/>
        <v>0.75183387590310236</v>
      </c>
      <c r="P2" s="510">
        <f t="shared" si="0"/>
        <v>0.82714483434134822</v>
      </c>
      <c r="Q2" s="510">
        <f t="shared" si="0"/>
        <v>0.81787132240117133</v>
      </c>
      <c r="R2" s="510">
        <f t="shared" si="0"/>
        <v>0.50042363812072554</v>
      </c>
      <c r="S2" s="510">
        <f t="shared" si="0"/>
        <v>1.1764091373976342</v>
      </c>
      <c r="T2" s="510">
        <f t="shared" si="0"/>
        <v>1.2033694260527217</v>
      </c>
      <c r="U2" s="510">
        <f t="shared" si="0"/>
        <v>0.86373911284480354</v>
      </c>
      <c r="V2" s="510">
        <f t="shared" si="0"/>
        <v>1.8626938152308072</v>
      </c>
      <c r="W2" s="510">
        <f t="shared" si="0"/>
        <v>1.7535830527272727</v>
      </c>
      <c r="X2" s="510">
        <f t="shared" si="0"/>
        <v>1.961534845806655</v>
      </c>
      <c r="Y2" s="510">
        <f t="shared" si="0"/>
        <v>1.7382267839966834</v>
      </c>
      <c r="Z2" s="510">
        <f t="shared" si="0"/>
        <v>1.9425634387211366</v>
      </c>
      <c r="AA2" s="510">
        <f t="shared" si="0"/>
        <v>2.0590352095507383</v>
      </c>
      <c r="AB2" s="510">
        <f t="shared" si="0"/>
        <v>1.5987003153383903</v>
      </c>
    </row>
    <row r="3" spans="1:32" ht="11.25" customHeight="1">
      <c r="B3" s="494"/>
      <c r="C3" s="494"/>
      <c r="D3" s="558">
        <v>1994</v>
      </c>
      <c r="E3" s="525">
        <f>+D3+1</f>
        <v>1995</v>
      </c>
      <c r="F3" s="525">
        <f t="shared" ref="F3:AB3" si="1">+E3+1</f>
        <v>1996</v>
      </c>
      <c r="G3" s="525">
        <f t="shared" si="1"/>
        <v>1997</v>
      </c>
      <c r="H3" s="525">
        <f t="shared" si="1"/>
        <v>1998</v>
      </c>
      <c r="I3" s="525">
        <f t="shared" si="1"/>
        <v>1999</v>
      </c>
      <c r="J3" s="525">
        <f t="shared" si="1"/>
        <v>2000</v>
      </c>
      <c r="K3" s="525">
        <f t="shared" si="1"/>
        <v>2001</v>
      </c>
      <c r="L3" s="525">
        <f t="shared" si="1"/>
        <v>2002</v>
      </c>
      <c r="M3" s="525">
        <f t="shared" si="1"/>
        <v>2003</v>
      </c>
      <c r="N3" s="525">
        <f t="shared" si="1"/>
        <v>2004</v>
      </c>
      <c r="O3" s="525">
        <f t="shared" si="1"/>
        <v>2005</v>
      </c>
      <c r="P3" s="525">
        <f t="shared" si="1"/>
        <v>2006</v>
      </c>
      <c r="Q3" s="525">
        <f t="shared" si="1"/>
        <v>2007</v>
      </c>
      <c r="R3" s="525">
        <f t="shared" si="1"/>
        <v>2008</v>
      </c>
      <c r="S3" s="525">
        <f t="shared" si="1"/>
        <v>2009</v>
      </c>
      <c r="T3" s="525">
        <f t="shared" si="1"/>
        <v>2010</v>
      </c>
      <c r="U3" s="525">
        <f t="shared" si="1"/>
        <v>2011</v>
      </c>
      <c r="V3" s="525">
        <f t="shared" si="1"/>
        <v>2012</v>
      </c>
      <c r="W3" s="525">
        <f t="shared" si="1"/>
        <v>2013</v>
      </c>
      <c r="X3" s="525">
        <f t="shared" si="1"/>
        <v>2014</v>
      </c>
      <c r="Y3" s="525">
        <f t="shared" si="1"/>
        <v>2015</v>
      </c>
      <c r="Z3" s="525">
        <f t="shared" si="1"/>
        <v>2016</v>
      </c>
      <c r="AA3" s="525">
        <f t="shared" si="1"/>
        <v>2017</v>
      </c>
      <c r="AB3" s="525">
        <f t="shared" si="1"/>
        <v>2018</v>
      </c>
      <c r="AC3" s="495"/>
    </row>
    <row r="4" spans="1:32" ht="11.25" customHeight="1">
      <c r="B4" s="496"/>
      <c r="C4" s="496"/>
      <c r="D4" s="1250">
        <v>34699</v>
      </c>
      <c r="E4" s="1250">
        <f>+EOMONTH(D4,12)</f>
        <v>35064</v>
      </c>
      <c r="F4" s="1250">
        <f t="shared" ref="F4:AB4" si="2">+EOMONTH(E4,12)</f>
        <v>35430</v>
      </c>
      <c r="G4" s="1250">
        <f t="shared" si="2"/>
        <v>35795</v>
      </c>
      <c r="H4" s="1250">
        <f t="shared" si="2"/>
        <v>36160</v>
      </c>
      <c r="I4" s="1250">
        <f t="shared" si="2"/>
        <v>36525</v>
      </c>
      <c r="J4" s="1250">
        <f t="shared" si="2"/>
        <v>36891</v>
      </c>
      <c r="K4" s="1250">
        <f t="shared" si="2"/>
        <v>37256</v>
      </c>
      <c r="L4" s="1250">
        <f t="shared" si="2"/>
        <v>37621</v>
      </c>
      <c r="M4" s="1250">
        <v>37711</v>
      </c>
      <c r="N4" s="1250">
        <f t="shared" si="2"/>
        <v>38077</v>
      </c>
      <c r="O4" s="1250">
        <f t="shared" si="2"/>
        <v>38442</v>
      </c>
      <c r="P4" s="1250">
        <f t="shared" si="2"/>
        <v>38807</v>
      </c>
      <c r="Q4" s="1250">
        <f t="shared" si="2"/>
        <v>39172</v>
      </c>
      <c r="R4" s="1250">
        <f t="shared" si="2"/>
        <v>39538</v>
      </c>
      <c r="S4" s="1250">
        <f t="shared" si="2"/>
        <v>39903</v>
      </c>
      <c r="T4" s="1250">
        <f t="shared" si="2"/>
        <v>40268</v>
      </c>
      <c r="U4" s="1250">
        <f t="shared" si="2"/>
        <v>40633</v>
      </c>
      <c r="V4" s="1250">
        <f t="shared" si="2"/>
        <v>40999</v>
      </c>
      <c r="W4" s="1250">
        <f t="shared" si="2"/>
        <v>41364</v>
      </c>
      <c r="X4" s="1250">
        <f t="shared" si="2"/>
        <v>41729</v>
      </c>
      <c r="Y4" s="1250">
        <f t="shared" si="2"/>
        <v>42094</v>
      </c>
      <c r="Z4" s="1250">
        <f t="shared" si="2"/>
        <v>42460</v>
      </c>
      <c r="AA4" s="1250">
        <f t="shared" si="2"/>
        <v>42825</v>
      </c>
      <c r="AB4" s="1250">
        <f t="shared" si="2"/>
        <v>43190</v>
      </c>
      <c r="AC4" s="497"/>
      <c r="AD4" s="497"/>
      <c r="AE4" s="497"/>
      <c r="AF4" s="497"/>
    </row>
    <row r="5" spans="1:32" ht="11.25" customHeight="1">
      <c r="B5" s="498"/>
      <c r="C5" s="498"/>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row>
    <row r="6" spans="1:32" ht="11.25" customHeight="1">
      <c r="A6" s="486"/>
      <c r="B6" s="500" t="s">
        <v>814</v>
      </c>
      <c r="C6" s="501" t="s">
        <v>498</v>
      </c>
      <c r="D6" s="526">
        <v>4196.1461520000003</v>
      </c>
      <c r="E6" s="526">
        <v>5003.9719379999997</v>
      </c>
      <c r="F6" s="526">
        <v>4301.8755000000001</v>
      </c>
      <c r="G6" s="526">
        <v>4661.0632589999996</v>
      </c>
      <c r="H6" s="526">
        <v>3539.9488839999999</v>
      </c>
      <c r="I6" s="526">
        <v>3723.9167000000002</v>
      </c>
      <c r="J6" s="526">
        <v>3741.2210660000001</v>
      </c>
      <c r="K6" s="526">
        <v>3003.7204350000002</v>
      </c>
      <c r="L6" s="526">
        <v>2838.6980309999999</v>
      </c>
      <c r="M6" s="526">
        <v>3053.4554499999999</v>
      </c>
      <c r="N6" s="526">
        <v>4573.0234119999996</v>
      </c>
      <c r="O6" s="526">
        <v>4206.1953299999996</v>
      </c>
      <c r="P6" s="526">
        <v>4954.2148319999997</v>
      </c>
      <c r="Q6" s="526">
        <v>4867.0611319999998</v>
      </c>
      <c r="R6" s="526">
        <v>2297.8493899999999</v>
      </c>
      <c r="S6" s="526">
        <v>4360.4945680000001</v>
      </c>
      <c r="T6" s="526">
        <v>5942.0841870000004</v>
      </c>
      <c r="U6" s="526">
        <v>5347.9193519999999</v>
      </c>
      <c r="V6" s="526">
        <v>10472.545291</v>
      </c>
      <c r="W6" s="526">
        <v>12300.001543</v>
      </c>
      <c r="X6" s="526">
        <v>11272.542476000001</v>
      </c>
      <c r="Y6" s="526">
        <v>9975.4120120000007</v>
      </c>
      <c r="Z6" s="526">
        <v>11013.611456000001</v>
      </c>
      <c r="AA6" s="526">
        <v>13239.727215999999</v>
      </c>
      <c r="AB6" s="544">
        <v>10215.406901</v>
      </c>
      <c r="AC6" s="502"/>
      <c r="AD6" s="503"/>
      <c r="AE6" s="503"/>
      <c r="AF6" s="503"/>
    </row>
    <row r="7" spans="1:32" ht="11.25" customHeight="1">
      <c r="A7" s="486"/>
      <c r="B7" s="536" t="s">
        <v>815</v>
      </c>
      <c r="C7" s="504" t="s">
        <v>816</v>
      </c>
      <c r="D7" s="527">
        <v>90</v>
      </c>
      <c r="E7" s="527">
        <v>100</v>
      </c>
      <c r="F7" s="527">
        <v>24</v>
      </c>
      <c r="G7" s="527">
        <v>29</v>
      </c>
      <c r="H7" s="527">
        <v>29</v>
      </c>
      <c r="I7" s="527">
        <v>186</v>
      </c>
      <c r="J7" s="527">
        <v>101</v>
      </c>
      <c r="K7" s="527">
        <v>66</v>
      </c>
      <c r="L7" s="527">
        <v>77</v>
      </c>
      <c r="M7" s="527">
        <v>558</v>
      </c>
      <c r="N7" s="527">
        <v>325</v>
      </c>
      <c r="O7" s="527">
        <v>524</v>
      </c>
      <c r="P7" s="527">
        <v>939</v>
      </c>
      <c r="Q7" s="527">
        <v>888</v>
      </c>
      <c r="R7" s="527">
        <v>387</v>
      </c>
      <c r="S7" s="527">
        <v>793</v>
      </c>
      <c r="T7" s="527">
        <v>516</v>
      </c>
      <c r="U7" s="527">
        <v>777</v>
      </c>
      <c r="V7" s="527">
        <v>249</v>
      </c>
      <c r="W7" s="527">
        <v>237</v>
      </c>
      <c r="X7" s="527">
        <v>214</v>
      </c>
      <c r="Y7" s="527">
        <v>293</v>
      </c>
      <c r="Z7" s="527">
        <v>181</v>
      </c>
      <c r="AA7" s="527">
        <v>191</v>
      </c>
      <c r="AB7" s="545">
        <v>226</v>
      </c>
      <c r="AC7" s="505"/>
      <c r="AD7" s="506"/>
      <c r="AE7" s="506"/>
      <c r="AF7" s="506"/>
    </row>
    <row r="8" spans="1:32" ht="11.25" customHeight="1">
      <c r="A8" s="486"/>
      <c r="B8" s="536" t="s">
        <v>817</v>
      </c>
      <c r="C8" s="504" t="s">
        <v>818</v>
      </c>
      <c r="D8" s="527">
        <v>0</v>
      </c>
      <c r="E8" s="527">
        <v>0</v>
      </c>
      <c r="F8" s="527">
        <v>0</v>
      </c>
      <c r="G8" s="527">
        <v>0</v>
      </c>
      <c r="H8" s="527">
        <v>0</v>
      </c>
      <c r="I8" s="527">
        <v>0</v>
      </c>
      <c r="J8" s="527">
        <v>0</v>
      </c>
      <c r="K8" s="527">
        <v>0</v>
      </c>
      <c r="L8" s="527">
        <v>0</v>
      </c>
      <c r="M8" s="527">
        <v>0</v>
      </c>
      <c r="N8" s="527">
        <v>0</v>
      </c>
      <c r="O8" s="527">
        <v>0</v>
      </c>
      <c r="P8" s="527">
        <v>0</v>
      </c>
      <c r="Q8" s="527">
        <v>0</v>
      </c>
      <c r="R8" s="527">
        <v>0</v>
      </c>
      <c r="S8" s="527">
        <v>0</v>
      </c>
      <c r="T8" s="527">
        <v>0</v>
      </c>
      <c r="U8" s="527">
        <v>31</v>
      </c>
      <c r="V8" s="527">
        <v>85</v>
      </c>
      <c r="W8" s="527">
        <v>79</v>
      </c>
      <c r="X8" s="527">
        <v>80</v>
      </c>
      <c r="Y8" s="527">
        <v>80</v>
      </c>
      <c r="Z8" s="527">
        <v>76</v>
      </c>
      <c r="AA8" s="527">
        <v>77</v>
      </c>
      <c r="AB8" s="545">
        <v>75</v>
      </c>
      <c r="AC8" s="505"/>
      <c r="AD8" s="506"/>
      <c r="AE8" s="506"/>
      <c r="AF8" s="506"/>
    </row>
    <row r="9" spans="1:32" ht="11.25" customHeight="1">
      <c r="A9" s="486"/>
      <c r="B9" s="536" t="s">
        <v>819</v>
      </c>
      <c r="C9" s="504" t="s">
        <v>820</v>
      </c>
      <c r="D9" s="527">
        <v>1195</v>
      </c>
      <c r="E9" s="527">
        <v>1217</v>
      </c>
      <c r="F9" s="527">
        <v>1523</v>
      </c>
      <c r="G9" s="527">
        <v>1714</v>
      </c>
      <c r="H9" s="527">
        <v>1649</v>
      </c>
      <c r="I9" s="527">
        <v>2105</v>
      </c>
      <c r="J9" s="527">
        <v>2020</v>
      </c>
      <c r="K9" s="527">
        <v>2197</v>
      </c>
      <c r="L9" s="527">
        <v>2057</v>
      </c>
      <c r="M9" s="527">
        <v>2615</v>
      </c>
      <c r="N9" s="527">
        <v>2062</v>
      </c>
      <c r="O9" s="527">
        <v>1625</v>
      </c>
      <c r="P9" s="527">
        <v>1592</v>
      </c>
      <c r="Q9" s="527">
        <v>1607</v>
      </c>
      <c r="R9" s="527">
        <v>1455</v>
      </c>
      <c r="S9" s="527">
        <v>1604</v>
      </c>
      <c r="T9" s="527">
        <v>1604</v>
      </c>
      <c r="U9" s="527">
        <v>1598</v>
      </c>
      <c r="V9" s="527">
        <v>4783</v>
      </c>
      <c r="W9" s="527">
        <v>4254</v>
      </c>
      <c r="X9" s="527">
        <v>7549</v>
      </c>
      <c r="Y9" s="527">
        <v>7008</v>
      </c>
      <c r="Z9" s="527">
        <v>6590</v>
      </c>
      <c r="AA9" s="527">
        <v>6536</v>
      </c>
      <c r="AB9" s="545">
        <v>6164</v>
      </c>
      <c r="AC9" s="505"/>
      <c r="AD9" s="506"/>
      <c r="AE9" s="506"/>
      <c r="AF9" s="506"/>
    </row>
    <row r="10" spans="1:32" ht="11.25" customHeight="1">
      <c r="A10" s="486"/>
      <c r="B10" s="507" t="s">
        <v>609</v>
      </c>
      <c r="C10" s="508" t="s">
        <v>821</v>
      </c>
      <c r="D10" s="510">
        <f>+D6+D9-D7+D8</f>
        <v>5301.1461520000003</v>
      </c>
      <c r="E10" s="510">
        <f t="shared" ref="E10:AB10" si="3">+E6+E9-E7+E8</f>
        <v>6120.9719379999997</v>
      </c>
      <c r="F10" s="510">
        <f t="shared" si="3"/>
        <v>5800.8755000000001</v>
      </c>
      <c r="G10" s="510">
        <f t="shared" si="3"/>
        <v>6346.0632589999996</v>
      </c>
      <c r="H10" s="510">
        <f t="shared" si="3"/>
        <v>5159.9488839999995</v>
      </c>
      <c r="I10" s="510">
        <f t="shared" si="3"/>
        <v>5642.9166999999998</v>
      </c>
      <c r="J10" s="510">
        <f t="shared" si="3"/>
        <v>5660.2210660000001</v>
      </c>
      <c r="K10" s="510">
        <f t="shared" si="3"/>
        <v>5134.7204350000002</v>
      </c>
      <c r="L10" s="510">
        <f t="shared" si="3"/>
        <v>4818.6980309999999</v>
      </c>
      <c r="M10" s="510">
        <f t="shared" si="3"/>
        <v>5110.4554499999995</v>
      </c>
      <c r="N10" s="510">
        <f t="shared" si="3"/>
        <v>6310.0234119999996</v>
      </c>
      <c r="O10" s="510">
        <f t="shared" si="3"/>
        <v>5307.1953299999996</v>
      </c>
      <c r="P10" s="510">
        <f t="shared" si="3"/>
        <v>5607.2148319999997</v>
      </c>
      <c r="Q10" s="510">
        <f t="shared" si="3"/>
        <v>5586.0611319999998</v>
      </c>
      <c r="R10" s="510">
        <f t="shared" si="3"/>
        <v>3365.8493899999999</v>
      </c>
      <c r="S10" s="510">
        <f t="shared" si="3"/>
        <v>5171.4945680000001</v>
      </c>
      <c r="T10" s="510">
        <f t="shared" si="3"/>
        <v>7030.0841870000004</v>
      </c>
      <c r="U10" s="510">
        <f t="shared" si="3"/>
        <v>6199.9193519999999</v>
      </c>
      <c r="V10" s="510">
        <f t="shared" si="3"/>
        <v>15091.545291</v>
      </c>
      <c r="W10" s="510">
        <f t="shared" si="3"/>
        <v>16396.001542999998</v>
      </c>
      <c r="X10" s="510">
        <f t="shared" si="3"/>
        <v>18687.542476000002</v>
      </c>
      <c r="Y10" s="510">
        <f t="shared" si="3"/>
        <v>16770.412012000001</v>
      </c>
      <c r="Z10" s="510">
        <f t="shared" si="3"/>
        <v>17498.611455999999</v>
      </c>
      <c r="AA10" s="510">
        <f t="shared" si="3"/>
        <v>19661.727215999999</v>
      </c>
      <c r="AB10" s="546">
        <f t="shared" si="3"/>
        <v>16228.406901</v>
      </c>
      <c r="AC10" s="502"/>
      <c r="AD10" s="503"/>
      <c r="AE10" s="503"/>
      <c r="AF10" s="503"/>
    </row>
    <row r="11" spans="1:32" ht="11.25" customHeight="1">
      <c r="A11" s="486"/>
      <c r="B11" s="507"/>
      <c r="C11" s="509"/>
      <c r="AC11" s="511"/>
      <c r="AD11" s="509"/>
      <c r="AE11" s="509"/>
      <c r="AF11" s="509"/>
    </row>
    <row r="12" spans="1:32" ht="11.25" customHeight="1">
      <c r="A12" s="486"/>
      <c r="B12" s="507" t="s">
        <v>822</v>
      </c>
      <c r="C12" s="508" t="s">
        <v>492</v>
      </c>
      <c r="D12" s="570"/>
      <c r="E12" s="528">
        <v>5040</v>
      </c>
      <c r="F12" s="528">
        <v>4782</v>
      </c>
      <c r="G12" s="528">
        <v>4678</v>
      </c>
      <c r="H12" s="528">
        <v>4481</v>
      </c>
      <c r="I12" s="528">
        <v>4590</v>
      </c>
      <c r="J12" s="528">
        <v>5292</v>
      </c>
      <c r="K12" s="528">
        <v>5390</v>
      </c>
      <c r="L12" s="528">
        <v>5320</v>
      </c>
      <c r="M12" s="528">
        <v>5800</v>
      </c>
      <c r="N12" s="528">
        <v>6580</v>
      </c>
      <c r="O12" s="528">
        <v>7059</v>
      </c>
      <c r="P12" s="528">
        <v>6779</v>
      </c>
      <c r="Q12" s="528">
        <v>6830</v>
      </c>
      <c r="R12" s="528">
        <v>6726</v>
      </c>
      <c r="S12" s="528">
        <v>4396</v>
      </c>
      <c r="T12" s="528">
        <v>5842</v>
      </c>
      <c r="U12" s="528">
        <v>7178</v>
      </c>
      <c r="V12" s="528">
        <v>8102</v>
      </c>
      <c r="W12" s="528">
        <v>9350</v>
      </c>
      <c r="X12" s="528">
        <v>9527</v>
      </c>
      <c r="Y12" s="528">
        <v>9648</v>
      </c>
      <c r="Z12" s="528">
        <v>9008</v>
      </c>
      <c r="AA12" s="528">
        <v>9549</v>
      </c>
      <c r="AB12" s="547">
        <v>10151</v>
      </c>
      <c r="AC12" s="502"/>
      <c r="AD12" s="503"/>
      <c r="AE12" s="503"/>
      <c r="AF12" s="503"/>
    </row>
    <row r="13" spans="1:32" ht="11.25" customHeight="1">
      <c r="A13" s="486"/>
      <c r="B13" s="512" t="s">
        <v>394</v>
      </c>
      <c r="C13" s="513" t="s">
        <v>503</v>
      </c>
      <c r="D13" s="514"/>
      <c r="E13" s="515">
        <v>0</v>
      </c>
      <c r="F13" s="522">
        <f>+F12/E12-1</f>
        <v>-5.1190476190476231E-2</v>
      </c>
      <c r="G13" s="522">
        <f t="shared" ref="G13:AB13" si="4">+G12/F12-1</f>
        <v>-2.1748222501045578E-2</v>
      </c>
      <c r="H13" s="522">
        <f t="shared" si="4"/>
        <v>-4.2112013681060323E-2</v>
      </c>
      <c r="I13" s="522">
        <f t="shared" si="4"/>
        <v>2.4324927471546465E-2</v>
      </c>
      <c r="J13" s="522">
        <f t="shared" si="4"/>
        <v>0.15294117647058814</v>
      </c>
      <c r="K13" s="522">
        <f t="shared" si="4"/>
        <v>1.8518518518518601E-2</v>
      </c>
      <c r="L13" s="522">
        <f t="shared" si="4"/>
        <v>-1.2987012987012991E-2</v>
      </c>
      <c r="M13" s="522">
        <f t="shared" si="4"/>
        <v>9.0225563909774431E-2</v>
      </c>
      <c r="N13" s="522">
        <f t="shared" si="4"/>
        <v>0.13448275862068959</v>
      </c>
      <c r="O13" s="522">
        <f t="shared" si="4"/>
        <v>7.2796352583586632E-2</v>
      </c>
      <c r="P13" s="522">
        <f t="shared" si="4"/>
        <v>-3.9665675024791014E-2</v>
      </c>
      <c r="Q13" s="522">
        <f t="shared" si="4"/>
        <v>7.5232335152677354E-3</v>
      </c>
      <c r="R13" s="522">
        <f t="shared" si="4"/>
        <v>-1.5226939970717446E-2</v>
      </c>
      <c r="S13" s="522">
        <f t="shared" si="4"/>
        <v>-0.34641688968183171</v>
      </c>
      <c r="T13" s="522">
        <f t="shared" si="4"/>
        <v>0.32893539581437681</v>
      </c>
      <c r="U13" s="522">
        <f t="shared" si="4"/>
        <v>0.22868880520369728</v>
      </c>
      <c r="V13" s="522">
        <f t="shared" si="4"/>
        <v>0.12872666480913897</v>
      </c>
      <c r="W13" s="522">
        <f t="shared" si="4"/>
        <v>0.15403604048383124</v>
      </c>
      <c r="X13" s="522">
        <f t="shared" si="4"/>
        <v>1.8930481283422562E-2</v>
      </c>
      <c r="Y13" s="522">
        <f t="shared" si="4"/>
        <v>1.270074525034115E-2</v>
      </c>
      <c r="Z13" s="522">
        <f t="shared" si="4"/>
        <v>-6.6334991708126068E-2</v>
      </c>
      <c r="AA13" s="522">
        <f t="shared" si="4"/>
        <v>6.0057726465364114E-2</v>
      </c>
      <c r="AB13" s="548">
        <f t="shared" si="4"/>
        <v>6.3043250602157208E-2</v>
      </c>
      <c r="AC13" s="516"/>
      <c r="AD13" s="517"/>
      <c r="AE13" s="517"/>
      <c r="AF13" s="517"/>
    </row>
    <row r="14" spans="1:32" ht="11.25" customHeight="1">
      <c r="A14" s="486"/>
      <c r="B14" s="512"/>
      <c r="C14" s="513"/>
      <c r="D14" s="514"/>
      <c r="E14" s="515"/>
      <c r="F14" s="522"/>
      <c r="G14" s="522"/>
      <c r="H14" s="522"/>
      <c r="I14" s="522"/>
      <c r="J14" s="522"/>
      <c r="K14" s="522"/>
      <c r="L14" s="522"/>
      <c r="M14" s="522"/>
      <c r="N14" s="522"/>
      <c r="O14" s="522"/>
      <c r="P14" s="522"/>
      <c r="Q14" s="522"/>
      <c r="R14" s="522"/>
      <c r="S14" s="522"/>
      <c r="T14" s="522"/>
      <c r="U14" s="522"/>
      <c r="V14" s="522"/>
      <c r="W14" s="522"/>
      <c r="X14" s="522"/>
      <c r="Y14" s="522"/>
      <c r="Z14" s="522"/>
      <c r="AA14" s="522"/>
      <c r="AB14" s="548"/>
      <c r="AC14" s="516"/>
      <c r="AD14" s="517"/>
      <c r="AE14" s="517"/>
      <c r="AF14" s="517"/>
    </row>
    <row r="15" spans="1:32" s="486" customFormat="1" ht="11.25" customHeight="1">
      <c r="B15" s="537" t="s">
        <v>836</v>
      </c>
      <c r="D15" s="571"/>
      <c r="E15" s="524">
        <f t="shared" ref="E15:AB15" si="5">+E12-E19</f>
        <v>3536</v>
      </c>
      <c r="F15" s="524">
        <f t="shared" si="5"/>
        <v>3603</v>
      </c>
      <c r="G15" s="524">
        <f t="shared" si="5"/>
        <v>3582</v>
      </c>
      <c r="H15" s="524">
        <f t="shared" si="5"/>
        <v>3546</v>
      </c>
      <c r="I15" s="524">
        <f t="shared" si="5"/>
        <v>3716</v>
      </c>
      <c r="J15" s="524">
        <f t="shared" si="5"/>
        <v>4214</v>
      </c>
      <c r="K15" s="524">
        <f t="shared" si="5"/>
        <v>4497</v>
      </c>
      <c r="L15" s="524">
        <f t="shared" si="5"/>
        <v>4541</v>
      </c>
      <c r="M15" s="524">
        <f t="shared" si="5"/>
        <v>4990</v>
      </c>
      <c r="N15" s="524">
        <f t="shared" si="5"/>
        <v>5602</v>
      </c>
      <c r="O15" s="524">
        <f t="shared" si="5"/>
        <v>5655</v>
      </c>
      <c r="P15" s="524">
        <f t="shared" si="5"/>
        <v>5514</v>
      </c>
      <c r="Q15" s="524">
        <f t="shared" si="5"/>
        <v>5638</v>
      </c>
      <c r="R15" s="524">
        <f t="shared" si="5"/>
        <v>5600</v>
      </c>
      <c r="S15" s="524">
        <f t="shared" si="5"/>
        <v>3364</v>
      </c>
      <c r="T15" s="524">
        <f t="shared" si="5"/>
        <v>4368</v>
      </c>
      <c r="U15" s="524">
        <f t="shared" si="5"/>
        <v>5609</v>
      </c>
      <c r="V15" s="524">
        <f t="shared" si="5"/>
        <v>6340</v>
      </c>
      <c r="W15" s="524">
        <f t="shared" si="5"/>
        <v>6574</v>
      </c>
      <c r="X15" s="524">
        <f t="shared" si="5"/>
        <v>7066</v>
      </c>
      <c r="Y15" s="524">
        <f t="shared" si="5"/>
        <v>6984</v>
      </c>
      <c r="Z15" s="524">
        <f t="shared" si="5"/>
        <v>6580</v>
      </c>
      <c r="AA15" s="524">
        <f t="shared" si="5"/>
        <v>7186</v>
      </c>
      <c r="AB15" s="549">
        <f t="shared" si="5"/>
        <v>7672</v>
      </c>
    </row>
    <row r="16" spans="1:32" ht="11.25" customHeight="1">
      <c r="A16" s="486"/>
      <c r="B16" s="538" t="s">
        <v>638</v>
      </c>
      <c r="D16" s="572"/>
      <c r="E16" s="491">
        <f t="shared" ref="E16:AB16" si="6">+E15/E12</f>
        <v>0.70158730158730154</v>
      </c>
      <c r="F16" s="491">
        <f t="shared" si="6"/>
        <v>0.75345043914680054</v>
      </c>
      <c r="G16" s="491">
        <f t="shared" si="6"/>
        <v>0.76571184266780679</v>
      </c>
      <c r="H16" s="491">
        <f t="shared" si="6"/>
        <v>0.7913412184780183</v>
      </c>
      <c r="I16" s="491">
        <f t="shared" si="6"/>
        <v>0.80958605664488015</v>
      </c>
      <c r="J16" s="491">
        <f t="shared" si="6"/>
        <v>0.79629629629629628</v>
      </c>
      <c r="K16" s="491">
        <f t="shared" si="6"/>
        <v>0.83432282003710578</v>
      </c>
      <c r="L16" s="491">
        <f t="shared" si="6"/>
        <v>0.85357142857142854</v>
      </c>
      <c r="M16" s="491">
        <f t="shared" si="6"/>
        <v>0.8603448275862069</v>
      </c>
      <c r="N16" s="491">
        <f t="shared" si="6"/>
        <v>0.85136778115501521</v>
      </c>
      <c r="O16" s="491">
        <f t="shared" si="6"/>
        <v>0.80110497237569056</v>
      </c>
      <c r="P16" s="491">
        <f t="shared" si="6"/>
        <v>0.81339430594482964</v>
      </c>
      <c r="Q16" s="491">
        <f t="shared" si="6"/>
        <v>0.82547584187408496</v>
      </c>
      <c r="R16" s="491">
        <f t="shared" si="6"/>
        <v>0.83258994944989595</v>
      </c>
      <c r="S16" s="491">
        <f t="shared" si="6"/>
        <v>0.76524112829845314</v>
      </c>
      <c r="T16" s="491">
        <f t="shared" si="6"/>
        <v>0.74768914755220817</v>
      </c>
      <c r="U16" s="491">
        <f t="shared" si="6"/>
        <v>0.78141543605461128</v>
      </c>
      <c r="V16" s="491">
        <f t="shared" si="6"/>
        <v>0.78252283386818067</v>
      </c>
      <c r="W16" s="491">
        <f t="shared" si="6"/>
        <v>0.70310160427807489</v>
      </c>
      <c r="X16" s="491">
        <f t="shared" si="6"/>
        <v>0.74168153668521042</v>
      </c>
      <c r="Y16" s="491">
        <f t="shared" si="6"/>
        <v>0.72388059701492535</v>
      </c>
      <c r="Z16" s="491">
        <f t="shared" si="6"/>
        <v>0.73046181172291291</v>
      </c>
      <c r="AA16" s="491">
        <f t="shared" si="6"/>
        <v>0.75253953293538589</v>
      </c>
      <c r="AB16" s="550">
        <f t="shared" si="6"/>
        <v>0.7557876071323022</v>
      </c>
    </row>
    <row r="17" spans="1:32" ht="11.25" customHeight="1">
      <c r="A17" s="486"/>
      <c r="B17" s="538" t="s">
        <v>837</v>
      </c>
      <c r="D17" s="518"/>
      <c r="E17" s="518"/>
      <c r="F17" s="523">
        <f>+(F16-E16)*10000</f>
        <v>518.63137559499012</v>
      </c>
      <c r="G17" s="523">
        <f t="shared" ref="G17:AB17" si="7">+(G16-F16)*10000</f>
        <v>122.61403521006243</v>
      </c>
      <c r="H17" s="523">
        <f t="shared" si="7"/>
        <v>256.29375810211519</v>
      </c>
      <c r="I17" s="523">
        <f t="shared" si="7"/>
        <v>182.44838166861842</v>
      </c>
      <c r="J17" s="523">
        <f t="shared" si="7"/>
        <v>-132.89760348583869</v>
      </c>
      <c r="K17" s="523">
        <f t="shared" si="7"/>
        <v>380.26523740809506</v>
      </c>
      <c r="L17" s="523">
        <f t="shared" si="7"/>
        <v>192.48608534322753</v>
      </c>
      <c r="M17" s="523">
        <f t="shared" si="7"/>
        <v>67.733990147783587</v>
      </c>
      <c r="N17" s="523">
        <f t="shared" si="7"/>
        <v>-89.770464311916825</v>
      </c>
      <c r="O17" s="523">
        <f t="shared" si="7"/>
        <v>-502.62808779324655</v>
      </c>
      <c r="P17" s="523">
        <f t="shared" si="7"/>
        <v>122.89333569139083</v>
      </c>
      <c r="Q17" s="523">
        <f t="shared" si="7"/>
        <v>120.81535929255315</v>
      </c>
      <c r="R17" s="523">
        <f t="shared" si="7"/>
        <v>71.141075758109906</v>
      </c>
      <c r="S17" s="523">
        <f t="shared" si="7"/>
        <v>-673.48821151442803</v>
      </c>
      <c r="T17" s="523">
        <f t="shared" si="7"/>
        <v>-175.51980746244976</v>
      </c>
      <c r="U17" s="523">
        <f t="shared" si="7"/>
        <v>337.26288502403111</v>
      </c>
      <c r="V17" s="523">
        <f t="shared" si="7"/>
        <v>11.073978135693885</v>
      </c>
      <c r="W17" s="523">
        <f t="shared" si="7"/>
        <v>-794.21229590105781</v>
      </c>
      <c r="X17" s="523">
        <f t="shared" si="7"/>
        <v>385.79932407135533</v>
      </c>
      <c r="Y17" s="523">
        <f t="shared" si="7"/>
        <v>-178.00939670285067</v>
      </c>
      <c r="Z17" s="523">
        <f t="shared" si="7"/>
        <v>65.812147079875587</v>
      </c>
      <c r="AA17" s="523">
        <f t="shared" si="7"/>
        <v>220.77721212472977</v>
      </c>
      <c r="AB17" s="551">
        <f t="shared" si="7"/>
        <v>32.480741969163063</v>
      </c>
    </row>
    <row r="18" spans="1:32" ht="11.25" customHeight="1">
      <c r="A18" s="486"/>
      <c r="B18" s="512"/>
      <c r="C18" s="513"/>
      <c r="D18" s="514"/>
      <c r="E18" s="515"/>
      <c r="F18" s="522"/>
      <c r="G18" s="522"/>
      <c r="H18" s="522"/>
      <c r="I18" s="522"/>
      <c r="J18" s="522"/>
      <c r="K18" s="522"/>
      <c r="L18" s="522"/>
      <c r="M18" s="522"/>
      <c r="N18" s="522"/>
      <c r="O18" s="522"/>
      <c r="P18" s="522"/>
      <c r="Q18" s="522"/>
      <c r="R18" s="522"/>
      <c r="S18" s="522"/>
      <c r="T18" s="522"/>
      <c r="U18" s="522"/>
      <c r="V18" s="522"/>
      <c r="W18" s="522"/>
      <c r="X18" s="522"/>
      <c r="Y18" s="522"/>
      <c r="Z18" s="522"/>
      <c r="AA18" s="522"/>
      <c r="AB18" s="548"/>
      <c r="AC18" s="516"/>
      <c r="AD18" s="517"/>
      <c r="AE18" s="517"/>
      <c r="AF18" s="517"/>
    </row>
    <row r="19" spans="1:32" ht="11.25" customHeight="1">
      <c r="A19" s="486"/>
      <c r="B19" s="507" t="s">
        <v>824</v>
      </c>
      <c r="C19" s="508" t="s">
        <v>825</v>
      </c>
      <c r="D19" s="570"/>
      <c r="E19" s="528">
        <v>1504</v>
      </c>
      <c r="F19" s="528">
        <v>1179</v>
      </c>
      <c r="G19" s="528">
        <v>1096</v>
      </c>
      <c r="H19" s="528">
        <v>935</v>
      </c>
      <c r="I19" s="528">
        <v>874</v>
      </c>
      <c r="J19" s="528">
        <v>1078</v>
      </c>
      <c r="K19" s="528">
        <v>893</v>
      </c>
      <c r="L19" s="528">
        <v>779</v>
      </c>
      <c r="M19" s="528">
        <v>810</v>
      </c>
      <c r="N19" s="528">
        <v>978</v>
      </c>
      <c r="O19" s="528">
        <v>1404</v>
      </c>
      <c r="P19" s="528">
        <v>1265</v>
      </c>
      <c r="Q19" s="528">
        <v>1192</v>
      </c>
      <c r="R19" s="528">
        <v>1126</v>
      </c>
      <c r="S19" s="528">
        <v>1032</v>
      </c>
      <c r="T19" s="528">
        <v>1474</v>
      </c>
      <c r="U19" s="528">
        <v>1569</v>
      </c>
      <c r="V19" s="528">
        <v>1762</v>
      </c>
      <c r="W19" s="528">
        <v>2776</v>
      </c>
      <c r="X19" s="528">
        <v>2461</v>
      </c>
      <c r="Y19" s="528">
        <v>2664</v>
      </c>
      <c r="Z19" s="528">
        <v>2428</v>
      </c>
      <c r="AA19" s="528">
        <v>2363</v>
      </c>
      <c r="AB19" s="547">
        <v>2479</v>
      </c>
      <c r="AC19" s="502"/>
      <c r="AD19" s="503"/>
      <c r="AE19" s="503"/>
      <c r="AF19" s="503"/>
    </row>
    <row r="20" spans="1:32" ht="11.25" customHeight="1">
      <c r="A20" s="486"/>
      <c r="B20" s="512" t="s">
        <v>826</v>
      </c>
      <c r="C20" s="513" t="s">
        <v>825</v>
      </c>
      <c r="D20" s="573"/>
      <c r="E20" s="522">
        <f t="shared" ref="E20:AB20" si="8">+E19/E12</f>
        <v>0.29841269841269841</v>
      </c>
      <c r="F20" s="522">
        <f t="shared" si="8"/>
        <v>0.24654956085319951</v>
      </c>
      <c r="G20" s="522">
        <f t="shared" si="8"/>
        <v>0.23428815733219324</v>
      </c>
      <c r="H20" s="522">
        <f t="shared" si="8"/>
        <v>0.2086587815219817</v>
      </c>
      <c r="I20" s="522">
        <f t="shared" si="8"/>
        <v>0.19041394335511982</v>
      </c>
      <c r="J20" s="522">
        <f t="shared" si="8"/>
        <v>0.20370370370370369</v>
      </c>
      <c r="K20" s="522">
        <f t="shared" si="8"/>
        <v>0.16567717996289424</v>
      </c>
      <c r="L20" s="522">
        <f t="shared" si="8"/>
        <v>0.14642857142857144</v>
      </c>
      <c r="M20" s="522">
        <f t="shared" si="8"/>
        <v>0.1396551724137931</v>
      </c>
      <c r="N20" s="522">
        <f t="shared" si="8"/>
        <v>0.14863221884498481</v>
      </c>
      <c r="O20" s="522">
        <f t="shared" si="8"/>
        <v>0.19889502762430938</v>
      </c>
      <c r="P20" s="522">
        <f t="shared" si="8"/>
        <v>0.18660569405517038</v>
      </c>
      <c r="Q20" s="522">
        <f t="shared" si="8"/>
        <v>0.17452415812591507</v>
      </c>
      <c r="R20" s="522">
        <f t="shared" si="8"/>
        <v>0.16741005055010408</v>
      </c>
      <c r="S20" s="522">
        <f t="shared" si="8"/>
        <v>0.23475887170154686</v>
      </c>
      <c r="T20" s="522">
        <f t="shared" si="8"/>
        <v>0.25231085244779183</v>
      </c>
      <c r="U20" s="522">
        <f t="shared" si="8"/>
        <v>0.21858456394538869</v>
      </c>
      <c r="V20" s="522">
        <f t="shared" si="8"/>
        <v>0.21747716613181931</v>
      </c>
      <c r="W20" s="522">
        <f t="shared" si="8"/>
        <v>0.29689839572192511</v>
      </c>
      <c r="X20" s="522">
        <f t="shared" si="8"/>
        <v>0.25831846331478953</v>
      </c>
      <c r="Y20" s="522">
        <f t="shared" si="8"/>
        <v>0.27611940298507465</v>
      </c>
      <c r="Z20" s="522">
        <f t="shared" si="8"/>
        <v>0.26953818827708703</v>
      </c>
      <c r="AA20" s="522">
        <f t="shared" si="8"/>
        <v>0.24746046706461411</v>
      </c>
      <c r="AB20" s="548">
        <f t="shared" si="8"/>
        <v>0.24421239286769778</v>
      </c>
      <c r="AC20" s="516"/>
      <c r="AD20" s="517"/>
      <c r="AE20" s="517"/>
      <c r="AF20" s="517"/>
    </row>
    <row r="21" spans="1:32" ht="11.25" customHeight="1">
      <c r="A21" s="486"/>
      <c r="B21" s="512"/>
      <c r="C21" s="513"/>
      <c r="E21" s="522"/>
      <c r="F21" s="522"/>
      <c r="G21" s="522"/>
      <c r="H21" s="522"/>
      <c r="I21" s="522"/>
      <c r="J21" s="522"/>
      <c r="K21" s="523">
        <f t="shared" ref="K21" si="9">+(K20-J20)*10000</f>
        <v>-380.26523740809449</v>
      </c>
      <c r="L21" s="523">
        <f t="shared" ref="L21" si="10">+(L20-K20)*10000</f>
        <v>-192.4860853432281</v>
      </c>
      <c r="M21" s="523">
        <f t="shared" ref="M21" si="11">+(M20-L20)*10000</f>
        <v>-67.733990147783302</v>
      </c>
      <c r="N21" s="523">
        <f t="shared" ref="N21" si="12">+(N20-M20)*10000</f>
        <v>89.770464311917095</v>
      </c>
      <c r="O21" s="523">
        <f t="shared" ref="O21" si="13">+(O20-N20)*10000</f>
        <v>502.6280877932457</v>
      </c>
      <c r="P21" s="523">
        <f t="shared" ref="P21" si="14">+(P20-O20)*10000</f>
        <v>-122.89333569138999</v>
      </c>
      <c r="Q21" s="523">
        <f t="shared" ref="Q21" si="15">+(Q20-P20)*10000</f>
        <v>-120.81535929255315</v>
      </c>
      <c r="R21" s="523">
        <f t="shared" ref="R21" si="16">+(R20-Q20)*10000</f>
        <v>-71.141075758109906</v>
      </c>
      <c r="S21" s="523">
        <f t="shared" ref="S21" si="17">+(S20-R20)*10000</f>
        <v>673.4882115144278</v>
      </c>
      <c r="T21" s="523">
        <f t="shared" ref="T21" si="18">+(T20-S20)*10000</f>
        <v>175.51980746244976</v>
      </c>
      <c r="U21" s="523">
        <f t="shared" ref="U21" si="19">+(U20-T20)*10000</f>
        <v>-337.26288502403139</v>
      </c>
      <c r="V21" s="523">
        <f t="shared" ref="V21" si="20">+(V20-U20)*10000</f>
        <v>-11.073978135693885</v>
      </c>
      <c r="W21" s="523">
        <f t="shared" ref="W21" si="21">+(W20-V20)*10000</f>
        <v>794.21229590105804</v>
      </c>
      <c r="X21" s="523">
        <f t="shared" ref="X21" si="22">+(X20-W20)*10000</f>
        <v>-385.79932407135584</v>
      </c>
      <c r="Y21" s="523">
        <f t="shared" ref="Y21" si="23">+(Y20-X20)*10000</f>
        <v>178.00939670285121</v>
      </c>
      <c r="Z21" s="523">
        <f t="shared" ref="Z21" si="24">+(Z20-Y20)*10000</f>
        <v>-65.812147079876155</v>
      </c>
      <c r="AA21" s="523">
        <f t="shared" ref="AA21" si="25">+(AA20-Z20)*10000</f>
        <v>-220.77721212472923</v>
      </c>
      <c r="AB21" s="523">
        <f t="shared" ref="AB21" si="26">+(AB20-AA20)*10000</f>
        <v>-32.48074196916334</v>
      </c>
      <c r="AC21" s="516"/>
      <c r="AD21" s="517"/>
      <c r="AE21" s="517"/>
      <c r="AF21" s="517"/>
    </row>
    <row r="22" spans="1:32" ht="11.25" customHeight="1">
      <c r="A22" s="486"/>
      <c r="B22" s="507" t="s">
        <v>827</v>
      </c>
      <c r="C22" s="508" t="s">
        <v>472</v>
      </c>
      <c r="D22" s="570"/>
      <c r="E22" s="528">
        <v>1272</v>
      </c>
      <c r="F22" s="528">
        <v>977</v>
      </c>
      <c r="G22" s="528">
        <v>895</v>
      </c>
      <c r="H22" s="528">
        <v>785</v>
      </c>
      <c r="I22" s="528">
        <v>715</v>
      </c>
      <c r="J22" s="528">
        <v>1001</v>
      </c>
      <c r="K22" s="528">
        <v>761</v>
      </c>
      <c r="L22" s="528">
        <v>610</v>
      </c>
      <c r="M22" s="528">
        <v>590</v>
      </c>
      <c r="N22" s="528">
        <v>703</v>
      </c>
      <c r="O22" s="528">
        <v>1094</v>
      </c>
      <c r="P22" s="528">
        <v>1063</v>
      </c>
      <c r="Q22" s="528">
        <v>943</v>
      </c>
      <c r="R22" s="528">
        <v>832</v>
      </c>
      <c r="S22" s="528">
        <v>1015</v>
      </c>
      <c r="T22" s="528">
        <v>1171</v>
      </c>
      <c r="U22" s="528">
        <v>1346</v>
      </c>
      <c r="V22" s="528">
        <v>1711</v>
      </c>
      <c r="W22" s="528">
        <v>2024</v>
      </c>
      <c r="X22" s="528">
        <v>2015</v>
      </c>
      <c r="Y22" s="528">
        <v>2282</v>
      </c>
      <c r="Z22" s="528">
        <v>2158</v>
      </c>
      <c r="AA22" s="528">
        <v>2234</v>
      </c>
      <c r="AB22" s="547">
        <v>2237</v>
      </c>
      <c r="AC22" s="1439">
        <f>Financials!AQ119</f>
        <v>2000</v>
      </c>
      <c r="AD22" s="1439">
        <f>Financials!AR119</f>
        <v>1790</v>
      </c>
      <c r="AE22" s="1439">
        <f>Financials!AS119</f>
        <v>2173</v>
      </c>
      <c r="AF22" s="1439">
        <f>Financials!AT119</f>
        <v>1816</v>
      </c>
    </row>
    <row r="23" spans="1:32" ht="11.25" customHeight="1">
      <c r="A23" s="486"/>
      <c r="B23" s="512" t="s">
        <v>826</v>
      </c>
      <c r="C23" s="513" t="s">
        <v>472</v>
      </c>
      <c r="D23" s="573"/>
      <c r="E23" s="522">
        <f t="shared" ref="E23:AB23" si="27">+E22/E12</f>
        <v>0.25238095238095237</v>
      </c>
      <c r="F23" s="522">
        <f t="shared" si="27"/>
        <v>0.2043078209953994</v>
      </c>
      <c r="G23" s="522">
        <f t="shared" si="27"/>
        <v>0.19132107738349721</v>
      </c>
      <c r="H23" s="522">
        <f t="shared" si="27"/>
        <v>0.17518411068957823</v>
      </c>
      <c r="I23" s="522">
        <f t="shared" si="27"/>
        <v>0.15577342047930284</v>
      </c>
      <c r="J23" s="522">
        <f t="shared" si="27"/>
        <v>0.18915343915343916</v>
      </c>
      <c r="K23" s="522">
        <f t="shared" si="27"/>
        <v>0.14118738404452691</v>
      </c>
      <c r="L23" s="522">
        <f t="shared" si="27"/>
        <v>0.11466165413533834</v>
      </c>
      <c r="M23" s="522">
        <f t="shared" si="27"/>
        <v>0.10172413793103448</v>
      </c>
      <c r="N23" s="522">
        <f t="shared" si="27"/>
        <v>0.10683890577507599</v>
      </c>
      <c r="O23" s="522">
        <f t="shared" si="27"/>
        <v>0.15497945884686215</v>
      </c>
      <c r="P23" s="522">
        <f t="shared" si="27"/>
        <v>0.15680778875940404</v>
      </c>
      <c r="Q23" s="522">
        <f t="shared" si="27"/>
        <v>0.13806734992679356</v>
      </c>
      <c r="R23" s="522">
        <f t="shared" si="27"/>
        <v>0.12369907820398454</v>
      </c>
      <c r="S23" s="522">
        <f t="shared" si="27"/>
        <v>0.23089171974522293</v>
      </c>
      <c r="T23" s="522">
        <f t="shared" si="27"/>
        <v>0.20044505306401916</v>
      </c>
      <c r="U23" s="522">
        <f t="shared" si="27"/>
        <v>0.18751741432153804</v>
      </c>
      <c r="V23" s="522">
        <f t="shared" si="27"/>
        <v>0.2111824240928166</v>
      </c>
      <c r="W23" s="522">
        <f t="shared" si="27"/>
        <v>0.21647058823529411</v>
      </c>
      <c r="X23" s="522">
        <f t="shared" si="27"/>
        <v>0.21150414611105281</v>
      </c>
      <c r="Y23" s="522">
        <f t="shared" si="27"/>
        <v>0.23652570480928689</v>
      </c>
      <c r="Z23" s="522">
        <f t="shared" si="27"/>
        <v>0.23956483126110123</v>
      </c>
      <c r="AA23" s="522">
        <f t="shared" si="27"/>
        <v>0.23395119907843753</v>
      </c>
      <c r="AB23" s="548">
        <f t="shared" si="27"/>
        <v>0.22037237710570387</v>
      </c>
      <c r="AC23" s="1407">
        <f>Financials!AQ121</f>
        <v>0.21567993098242208</v>
      </c>
      <c r="AD23" s="1407">
        <f>Financials!AR121</f>
        <v>0.21125929422872655</v>
      </c>
      <c r="AE23" s="1407">
        <f>Financials!AS121</f>
        <v>0.20742649866361207</v>
      </c>
      <c r="AF23" s="1407">
        <f>Financials!AT121</f>
        <v>0.1716446124763705</v>
      </c>
    </row>
    <row r="24" spans="1:32" ht="11.25" customHeight="1">
      <c r="A24" s="486"/>
      <c r="B24" s="512"/>
      <c r="C24" s="513"/>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16"/>
      <c r="AD24" s="517"/>
      <c r="AE24" s="517"/>
      <c r="AF24" s="517"/>
    </row>
    <row r="25" spans="1:32" ht="11.25" customHeight="1">
      <c r="A25" s="486"/>
      <c r="B25" s="507" t="s">
        <v>828</v>
      </c>
      <c r="C25" s="508" t="s">
        <v>829</v>
      </c>
      <c r="D25" s="570"/>
      <c r="E25" s="528">
        <v>559</v>
      </c>
      <c r="F25" s="528">
        <v>380</v>
      </c>
      <c r="G25" s="528">
        <v>286</v>
      </c>
      <c r="H25" s="528">
        <v>249</v>
      </c>
      <c r="I25" s="528">
        <v>48</v>
      </c>
      <c r="J25" s="528">
        <v>303</v>
      </c>
      <c r="K25" s="528">
        <v>-175</v>
      </c>
      <c r="L25" s="528">
        <v>61</v>
      </c>
      <c r="M25" s="528">
        <v>-270</v>
      </c>
      <c r="N25" s="528">
        <v>170</v>
      </c>
      <c r="O25" s="528">
        <v>557</v>
      </c>
      <c r="P25" s="528">
        <v>409</v>
      </c>
      <c r="Q25" s="528">
        <v>300</v>
      </c>
      <c r="R25" s="528">
        <v>346</v>
      </c>
      <c r="S25" s="528">
        <v>399.4</v>
      </c>
      <c r="T25" s="528">
        <v>514</v>
      </c>
      <c r="U25" s="528">
        <v>686.86</v>
      </c>
      <c r="V25" s="528">
        <v>802</v>
      </c>
      <c r="W25" s="528">
        <v>1008</v>
      </c>
      <c r="X25" s="528">
        <v>1053</v>
      </c>
      <c r="Y25" s="528">
        <v>1087</v>
      </c>
      <c r="Z25" s="528">
        <v>1003</v>
      </c>
      <c r="AA25" s="528">
        <v>1043.05</v>
      </c>
      <c r="AB25" s="547">
        <v>1173.43</v>
      </c>
      <c r="AC25" s="502"/>
      <c r="AD25" s="503"/>
      <c r="AE25" s="503"/>
      <c r="AF25" s="503"/>
    </row>
    <row r="26" spans="1:32" ht="11.25" customHeight="1">
      <c r="A26" s="486"/>
      <c r="B26" s="512" t="s">
        <v>826</v>
      </c>
      <c r="C26" s="513" t="s">
        <v>829</v>
      </c>
      <c r="D26" s="573"/>
      <c r="E26" s="522">
        <f t="shared" ref="E26:AB26" si="28">+E25/E12</f>
        <v>0.11091269841269841</v>
      </c>
      <c r="F26" s="522">
        <f t="shared" si="28"/>
        <v>7.9464659138435798E-2</v>
      </c>
      <c r="G26" s="522">
        <f t="shared" si="28"/>
        <v>6.1137238135955535E-2</v>
      </c>
      <c r="H26" s="522">
        <f t="shared" si="28"/>
        <v>5.5567953581789779E-2</v>
      </c>
      <c r="I26" s="522">
        <f t="shared" si="28"/>
        <v>1.045751633986928E-2</v>
      </c>
      <c r="J26" s="522">
        <f t="shared" si="28"/>
        <v>5.7256235827664398E-2</v>
      </c>
      <c r="K26" s="522">
        <f t="shared" si="28"/>
        <v>-3.2467532467532464E-2</v>
      </c>
      <c r="L26" s="522">
        <f t="shared" si="28"/>
        <v>1.1466165413533834E-2</v>
      </c>
      <c r="M26" s="522">
        <f t="shared" si="28"/>
        <v>-4.6551724137931037E-2</v>
      </c>
      <c r="N26" s="522">
        <f t="shared" si="28"/>
        <v>2.5835866261398176E-2</v>
      </c>
      <c r="O26" s="522">
        <f t="shared" si="28"/>
        <v>7.8906360674316472E-2</v>
      </c>
      <c r="P26" s="522">
        <f t="shared" si="28"/>
        <v>6.0333382504794218E-2</v>
      </c>
      <c r="Q26" s="522">
        <f t="shared" si="28"/>
        <v>4.3923865300146414E-2</v>
      </c>
      <c r="R26" s="522">
        <f t="shared" si="28"/>
        <v>5.1442164733868569E-2</v>
      </c>
      <c r="S26" s="522">
        <f t="shared" si="28"/>
        <v>9.0855323020928108E-2</v>
      </c>
      <c r="T26" s="522">
        <f t="shared" si="28"/>
        <v>8.7983567271482363E-2</v>
      </c>
      <c r="U26" s="522">
        <f t="shared" si="28"/>
        <v>9.5689607132906099E-2</v>
      </c>
      <c r="V26" s="522">
        <f t="shared" si="28"/>
        <v>9.8987904221179951E-2</v>
      </c>
      <c r="W26" s="522">
        <f t="shared" si="28"/>
        <v>0.10780748663101604</v>
      </c>
      <c r="X26" s="522">
        <f t="shared" si="28"/>
        <v>0.11052797312900178</v>
      </c>
      <c r="Y26" s="522">
        <f t="shared" si="28"/>
        <v>0.11266583747927031</v>
      </c>
      <c r="Z26" s="522">
        <f t="shared" si="28"/>
        <v>0.11134547069271758</v>
      </c>
      <c r="AA26" s="522">
        <f t="shared" si="28"/>
        <v>0.10923133312388732</v>
      </c>
      <c r="AB26" s="548">
        <f t="shared" si="28"/>
        <v>0.11559747808097726</v>
      </c>
      <c r="AC26" s="516"/>
      <c r="AD26" s="517"/>
      <c r="AE26" s="517"/>
      <c r="AF26" s="517"/>
    </row>
    <row r="27" spans="1:32" ht="11.25" customHeight="1">
      <c r="A27" s="486"/>
      <c r="B27" s="512"/>
      <c r="C27" s="513"/>
      <c r="E27" s="522"/>
      <c r="F27" s="515"/>
      <c r="G27" s="515"/>
      <c r="H27" s="515"/>
      <c r="I27" s="515"/>
      <c r="J27" s="515"/>
      <c r="K27" s="515"/>
      <c r="L27" s="515"/>
      <c r="M27" s="515"/>
      <c r="N27" s="515"/>
      <c r="O27" s="515"/>
      <c r="P27" s="515"/>
      <c r="Q27" s="515"/>
      <c r="R27" s="515"/>
      <c r="S27" s="515"/>
      <c r="T27" s="515"/>
      <c r="U27" s="515"/>
      <c r="V27" s="515"/>
      <c r="W27" s="515"/>
      <c r="X27" s="515"/>
      <c r="Y27" s="515"/>
      <c r="Z27" s="515"/>
      <c r="AA27" s="515"/>
      <c r="AB27" s="552"/>
      <c r="AC27" s="516"/>
      <c r="AD27" s="517"/>
      <c r="AE27" s="517"/>
      <c r="AF27" s="517"/>
    </row>
    <row r="28" spans="1:32" ht="11.25" customHeight="1">
      <c r="A28" s="486"/>
      <c r="B28" s="507" t="s">
        <v>830</v>
      </c>
      <c r="C28" s="508" t="s">
        <v>831</v>
      </c>
      <c r="D28" s="553">
        <v>1.0149999999999999</v>
      </c>
      <c r="E28" s="553">
        <v>3.3849999999999998</v>
      </c>
      <c r="F28" s="553">
        <v>2.34</v>
      </c>
      <c r="G28" s="553">
        <v>2.0699999999999998</v>
      </c>
      <c r="H28" s="553">
        <v>1.7150000000000001</v>
      </c>
      <c r="I28" s="553">
        <v>0.77</v>
      </c>
      <c r="J28" s="553">
        <v>1.97</v>
      </c>
      <c r="K28" s="553">
        <v>0.74</v>
      </c>
      <c r="L28" s="553">
        <v>0.55000000000000004</v>
      </c>
      <c r="M28" s="553">
        <v>0.54</v>
      </c>
      <c r="N28" s="553">
        <v>1.41</v>
      </c>
      <c r="O28" s="553">
        <v>2.9649999999999999</v>
      </c>
      <c r="P28" s="553">
        <v>2.6</v>
      </c>
      <c r="Q28" s="553">
        <v>2.5299999999999998</v>
      </c>
      <c r="R28" s="553">
        <v>2.2450000000000001</v>
      </c>
      <c r="S28" s="553">
        <v>2.7192780000000001</v>
      </c>
      <c r="T28" s="553">
        <v>3.4771649999999998</v>
      </c>
      <c r="U28" s="553">
        <v>4.805059</v>
      </c>
      <c r="V28" s="553">
        <v>5.3747280000000002</v>
      </c>
      <c r="W28" s="553">
        <v>6.4368049999999997</v>
      </c>
      <c r="X28" s="553">
        <v>6.961913</v>
      </c>
      <c r="Y28" s="553">
        <v>7.2554610000000004</v>
      </c>
      <c r="Z28" s="553">
        <v>6.7540430000000002</v>
      </c>
      <c r="AA28" s="553">
        <v>7.1363240000000001</v>
      </c>
      <c r="AB28" s="554">
        <v>8.2138139999999993</v>
      </c>
      <c r="AC28" s="502"/>
      <c r="AD28" s="503"/>
      <c r="AE28" s="503"/>
      <c r="AF28" s="503"/>
    </row>
    <row r="29" spans="1:32" ht="11.25" customHeight="1">
      <c r="B29" s="512" t="s">
        <v>823</v>
      </c>
      <c r="C29" s="513" t="s">
        <v>831</v>
      </c>
      <c r="D29" s="515">
        <v>0</v>
      </c>
      <c r="E29" s="522">
        <f>+E28/D28-1</f>
        <v>2.3349753694581281</v>
      </c>
      <c r="F29" s="522">
        <f t="shared" ref="F29:AB29" si="29">+F28/E28-1</f>
        <v>-0.30871491875923185</v>
      </c>
      <c r="G29" s="522">
        <f t="shared" si="29"/>
        <v>-0.11538461538461542</v>
      </c>
      <c r="H29" s="522">
        <f t="shared" si="29"/>
        <v>-0.17149758454106268</v>
      </c>
      <c r="I29" s="522">
        <f t="shared" si="29"/>
        <v>-0.55102040816326525</v>
      </c>
      <c r="J29" s="522">
        <f t="shared" si="29"/>
        <v>1.5584415584415585</v>
      </c>
      <c r="K29" s="522">
        <f t="shared" si="29"/>
        <v>-0.62436548223350252</v>
      </c>
      <c r="L29" s="522">
        <f t="shared" si="29"/>
        <v>-0.25675675675675669</v>
      </c>
      <c r="M29" s="522">
        <f t="shared" si="29"/>
        <v>-1.8181818181818188E-2</v>
      </c>
      <c r="N29" s="522">
        <f t="shared" si="29"/>
        <v>1.6111111111111107</v>
      </c>
      <c r="O29" s="522">
        <f t="shared" si="29"/>
        <v>1.102836879432624</v>
      </c>
      <c r="P29" s="522">
        <f t="shared" si="29"/>
        <v>-0.12310286677908933</v>
      </c>
      <c r="Q29" s="522">
        <f t="shared" si="29"/>
        <v>-2.6923076923077049E-2</v>
      </c>
      <c r="R29" s="522">
        <f t="shared" si="29"/>
        <v>-0.11264822134387342</v>
      </c>
      <c r="S29" s="522">
        <f t="shared" si="29"/>
        <v>0.21125968819599117</v>
      </c>
      <c r="T29" s="522">
        <f t="shared" si="29"/>
        <v>0.2787089072908322</v>
      </c>
      <c r="U29" s="522">
        <f t="shared" si="29"/>
        <v>0.3818898441690286</v>
      </c>
      <c r="V29" s="522">
        <f t="shared" si="29"/>
        <v>0.11855608848923604</v>
      </c>
      <c r="W29" s="522">
        <f t="shared" si="29"/>
        <v>0.19760572069879623</v>
      </c>
      <c r="X29" s="522">
        <f t="shared" si="29"/>
        <v>8.1578982119234755E-2</v>
      </c>
      <c r="Y29" s="522">
        <f t="shared" si="29"/>
        <v>4.2164847506712677E-2</v>
      </c>
      <c r="Z29" s="522">
        <f t="shared" si="29"/>
        <v>-6.9109047653898248E-2</v>
      </c>
      <c r="AA29" s="522">
        <f t="shared" si="29"/>
        <v>5.6600320726415188E-2</v>
      </c>
      <c r="AB29" s="548">
        <f t="shared" si="29"/>
        <v>0.15098669847389212</v>
      </c>
      <c r="AC29" s="516"/>
      <c r="AD29" s="517"/>
      <c r="AE29" s="517"/>
      <c r="AF29" s="517"/>
    </row>
    <row r="30" spans="1:32" ht="11.25" customHeight="1">
      <c r="B30" s="507"/>
      <c r="C30" s="509"/>
      <c r="D30" s="510"/>
      <c r="E30" s="1436">
        <f>E33/E6</f>
        <v>7.8337769447339375E-2</v>
      </c>
      <c r="F30" s="1436">
        <f t="shared" ref="F30:AB30" si="30">F33/F6</f>
        <v>-9.9956402736434379E-3</v>
      </c>
      <c r="G30" s="1436">
        <f t="shared" si="30"/>
        <v>-1.0941709469727667E-2</v>
      </c>
      <c r="H30" s="1436">
        <f t="shared" si="30"/>
        <v>6.5255179543434336E-2</v>
      </c>
      <c r="I30" s="1436">
        <f t="shared" si="30"/>
        <v>0.12137758076060079</v>
      </c>
      <c r="J30" s="1436">
        <f t="shared" si="30"/>
        <v>0.16171190884660758</v>
      </c>
      <c r="K30" s="1436">
        <f t="shared" si="30"/>
        <v>5.4266035580638181E-2</v>
      </c>
      <c r="L30" s="1436">
        <f t="shared" si="30"/>
        <v>0.13175054053503868</v>
      </c>
      <c r="M30" s="1436">
        <f t="shared" si="30"/>
        <v>4.5849694646764869E-3</v>
      </c>
      <c r="N30" s="1436">
        <f t="shared" si="30"/>
        <v>5.3793732906434556E-2</v>
      </c>
      <c r="O30" s="1436">
        <f t="shared" si="30"/>
        <v>0.10127917668531101</v>
      </c>
      <c r="P30" s="1436">
        <f t="shared" si="30"/>
        <v>4.4406633030725222E-2</v>
      </c>
      <c r="Q30" s="1436">
        <f t="shared" si="30"/>
        <v>4.396903885036306E-2</v>
      </c>
      <c r="R30" s="1436">
        <f t="shared" si="30"/>
        <v>1.3055685951636718E-3</v>
      </c>
      <c r="S30" s="1436">
        <f t="shared" si="30"/>
        <v>0.1027406393962053</v>
      </c>
      <c r="T30" s="1436">
        <f t="shared" si="30"/>
        <v>5.5872651674364435E-2</v>
      </c>
      <c r="U30" s="1436">
        <f t="shared" si="30"/>
        <v>3.141408629080613E-2</v>
      </c>
      <c r="V30" s="1436">
        <f t="shared" si="30"/>
        <v>6.3308391759334337E-2</v>
      </c>
      <c r="W30" s="1436">
        <f t="shared" si="30"/>
        <v>6.6178853486669034E-2</v>
      </c>
      <c r="X30" s="1436">
        <f t="shared" si="30"/>
        <v>7.4517350614416972E-2</v>
      </c>
      <c r="Y30" s="1436">
        <f t="shared" si="30"/>
        <v>9.7439584333030543E-2</v>
      </c>
      <c r="Z30" s="1436">
        <f t="shared" si="30"/>
        <v>6.8914724568979749E-2</v>
      </c>
      <c r="AA30" s="1436">
        <f t="shared" si="30"/>
        <v>7.6134499114290516E-2</v>
      </c>
      <c r="AB30" s="1436">
        <f t="shared" si="30"/>
        <v>9.9359722998468153E-2</v>
      </c>
      <c r="AC30" s="511"/>
      <c r="AD30" s="509"/>
      <c r="AE30" s="509"/>
      <c r="AF30" s="509"/>
    </row>
    <row r="31" spans="1:32" ht="11.25" customHeight="1">
      <c r="B31" s="529" t="s">
        <v>832</v>
      </c>
      <c r="C31" s="530" t="s">
        <v>833</v>
      </c>
      <c r="D31" s="531">
        <v>816</v>
      </c>
      <c r="E31" s="531">
        <v>838</v>
      </c>
      <c r="F31" s="531">
        <v>746</v>
      </c>
      <c r="G31" s="531">
        <v>698</v>
      </c>
      <c r="H31" s="531">
        <v>731</v>
      </c>
      <c r="I31" s="531">
        <v>744</v>
      </c>
      <c r="J31" s="531">
        <v>831</v>
      </c>
      <c r="K31" s="531">
        <v>397</v>
      </c>
      <c r="L31" s="531">
        <v>801</v>
      </c>
      <c r="M31" s="531">
        <v>244</v>
      </c>
      <c r="N31" s="531">
        <v>494</v>
      </c>
      <c r="O31" s="531">
        <v>769</v>
      </c>
      <c r="P31" s="531">
        <v>609</v>
      </c>
      <c r="Q31" s="531">
        <v>732</v>
      </c>
      <c r="R31" s="531">
        <v>653</v>
      </c>
      <c r="S31" s="531">
        <v>758</v>
      </c>
      <c r="T31" s="531">
        <v>575</v>
      </c>
      <c r="U31" s="531">
        <v>625</v>
      </c>
      <c r="V31" s="531">
        <v>1128</v>
      </c>
      <c r="W31" s="531">
        <v>1297</v>
      </c>
      <c r="X31" s="531">
        <v>1433</v>
      </c>
      <c r="Y31" s="531">
        <v>1624</v>
      </c>
      <c r="Z31" s="531">
        <v>1385</v>
      </c>
      <c r="AA31" s="531">
        <v>1657</v>
      </c>
      <c r="AB31" s="539">
        <v>1543</v>
      </c>
      <c r="AC31" s="532"/>
      <c r="AD31" s="533"/>
      <c r="AE31" s="533"/>
      <c r="AF31" s="533"/>
    </row>
    <row r="32" spans="1:32" ht="11.25" customHeight="1">
      <c r="B32" s="529" t="s">
        <v>834</v>
      </c>
      <c r="C32" s="530" t="s">
        <v>835</v>
      </c>
      <c r="D32" s="531">
        <v>-281</v>
      </c>
      <c r="E32" s="531">
        <v>-446</v>
      </c>
      <c r="F32" s="531">
        <v>-789</v>
      </c>
      <c r="G32" s="531">
        <v>-749</v>
      </c>
      <c r="H32" s="531">
        <v>-500</v>
      </c>
      <c r="I32" s="531">
        <v>-292</v>
      </c>
      <c r="J32" s="531">
        <v>-226</v>
      </c>
      <c r="K32" s="531">
        <v>-234</v>
      </c>
      <c r="L32" s="531">
        <v>-427</v>
      </c>
      <c r="M32" s="531">
        <v>-230</v>
      </c>
      <c r="N32" s="531">
        <v>-248</v>
      </c>
      <c r="O32" s="531">
        <v>-343</v>
      </c>
      <c r="P32" s="531">
        <v>-389</v>
      </c>
      <c r="Q32" s="531">
        <v>-518</v>
      </c>
      <c r="R32" s="531">
        <v>-650</v>
      </c>
      <c r="S32" s="531">
        <v>-310</v>
      </c>
      <c r="T32" s="531">
        <v>-243</v>
      </c>
      <c r="U32" s="531">
        <v>-457</v>
      </c>
      <c r="V32" s="531">
        <v>-465</v>
      </c>
      <c r="W32" s="531">
        <v>-483</v>
      </c>
      <c r="X32" s="531">
        <v>-593</v>
      </c>
      <c r="Y32" s="531">
        <v>-652</v>
      </c>
      <c r="Z32" s="531">
        <v>-626</v>
      </c>
      <c r="AA32" s="531">
        <v>-649</v>
      </c>
      <c r="AB32" s="539">
        <v>-528</v>
      </c>
      <c r="AC32" s="532"/>
      <c r="AD32" s="533"/>
      <c r="AE32" s="533"/>
      <c r="AF32" s="533"/>
    </row>
    <row r="33" spans="2:32" ht="11.25" customHeight="1">
      <c r="B33" s="529" t="s">
        <v>488</v>
      </c>
      <c r="C33" s="530" t="s">
        <v>487</v>
      </c>
      <c r="D33" s="531">
        <v>535</v>
      </c>
      <c r="E33" s="531">
        <v>392</v>
      </c>
      <c r="F33" s="531">
        <v>-43</v>
      </c>
      <c r="G33" s="531">
        <v>-51</v>
      </c>
      <c r="H33" s="531">
        <v>231</v>
      </c>
      <c r="I33" s="531">
        <v>452</v>
      </c>
      <c r="J33" s="531">
        <v>605</v>
      </c>
      <c r="K33" s="531">
        <v>163</v>
      </c>
      <c r="L33" s="531">
        <v>374</v>
      </c>
      <c r="M33" s="531">
        <v>14</v>
      </c>
      <c r="N33" s="531">
        <v>246</v>
      </c>
      <c r="O33" s="531">
        <v>426</v>
      </c>
      <c r="P33" s="531">
        <v>220</v>
      </c>
      <c r="Q33" s="531">
        <v>214</v>
      </c>
      <c r="R33" s="531">
        <v>3</v>
      </c>
      <c r="S33" s="531">
        <v>448</v>
      </c>
      <c r="T33" s="531">
        <v>332</v>
      </c>
      <c r="U33" s="531">
        <v>168</v>
      </c>
      <c r="V33" s="531">
        <v>663</v>
      </c>
      <c r="W33" s="531">
        <v>814</v>
      </c>
      <c r="X33" s="531">
        <v>840</v>
      </c>
      <c r="Y33" s="531">
        <v>972</v>
      </c>
      <c r="Z33" s="531">
        <v>759</v>
      </c>
      <c r="AA33" s="531">
        <v>1008</v>
      </c>
      <c r="AB33" s="539">
        <v>1015</v>
      </c>
      <c r="AC33" s="1406">
        <f>Financials!AQ932+Financials!AQ934</f>
        <v>1079</v>
      </c>
      <c r="AD33" s="1406">
        <f>Financials!AR932+Financials!AR934</f>
        <v>1059</v>
      </c>
      <c r="AE33" s="1406">
        <f>Financials!AS932+Financials!AS934</f>
        <v>1041</v>
      </c>
      <c r="AF33" s="1406">
        <f>Financials!AT932+Financials!AT934</f>
        <v>351</v>
      </c>
    </row>
    <row r="34" spans="2:32" ht="11.25" customHeight="1">
      <c r="B34" s="529"/>
      <c r="C34" s="530"/>
      <c r="D34" s="1152"/>
      <c r="E34" s="1153">
        <f t="shared" ref="E34:AB34" si="31">-E32/E12</f>
        <v>8.8492063492063497E-2</v>
      </c>
      <c r="F34" s="1153">
        <f t="shared" si="31"/>
        <v>0.16499372647427854</v>
      </c>
      <c r="G34" s="1153">
        <f t="shared" si="31"/>
        <v>0.16011115861479264</v>
      </c>
      <c r="H34" s="1153">
        <f t="shared" si="31"/>
        <v>0.1115822361080116</v>
      </c>
      <c r="I34" s="1153">
        <f t="shared" si="31"/>
        <v>6.3616557734204798E-2</v>
      </c>
      <c r="J34" s="1153">
        <f t="shared" si="31"/>
        <v>4.2705971277399848E-2</v>
      </c>
      <c r="K34" s="1153">
        <f t="shared" si="31"/>
        <v>4.341372912801484E-2</v>
      </c>
      <c r="L34" s="1153">
        <f t="shared" si="31"/>
        <v>8.0263157894736842E-2</v>
      </c>
      <c r="M34" s="1153">
        <f t="shared" si="31"/>
        <v>3.9655172413793106E-2</v>
      </c>
      <c r="N34" s="1153">
        <f t="shared" si="31"/>
        <v>3.7689969604863219E-2</v>
      </c>
      <c r="O34" s="1153">
        <f t="shared" si="31"/>
        <v>4.859045190536903E-2</v>
      </c>
      <c r="P34" s="1153">
        <f t="shared" si="31"/>
        <v>5.7383094851748043E-2</v>
      </c>
      <c r="Q34" s="1153">
        <f t="shared" si="31"/>
        <v>7.5841874084919478E-2</v>
      </c>
      <c r="R34" s="1153">
        <f t="shared" si="31"/>
        <v>9.6639904846862926E-2</v>
      </c>
      <c r="S34" s="1153">
        <f t="shared" si="31"/>
        <v>7.0518653321201094E-2</v>
      </c>
      <c r="T34" s="1153">
        <f t="shared" si="31"/>
        <v>4.1595344060253336E-2</v>
      </c>
      <c r="U34" s="1153">
        <f t="shared" si="31"/>
        <v>6.3666759543048207E-2</v>
      </c>
      <c r="V34" s="1153">
        <f t="shared" si="31"/>
        <v>5.7393236237965932E-2</v>
      </c>
      <c r="W34" s="1153">
        <f t="shared" si="31"/>
        <v>5.1657754010695188E-2</v>
      </c>
      <c r="X34" s="1153">
        <f t="shared" si="31"/>
        <v>6.2244148210349536E-2</v>
      </c>
      <c r="Y34" s="1153">
        <f t="shared" si="31"/>
        <v>6.7578772802653397E-2</v>
      </c>
      <c r="Z34" s="1153">
        <f t="shared" si="31"/>
        <v>6.9493783303730017E-2</v>
      </c>
      <c r="AA34" s="1153">
        <f t="shared" si="31"/>
        <v>6.7965231961461939E-2</v>
      </c>
      <c r="AB34" s="1153">
        <f t="shared" si="31"/>
        <v>5.201457984435031E-2</v>
      </c>
      <c r="AC34" s="532"/>
      <c r="AD34" s="533"/>
      <c r="AE34" s="533"/>
      <c r="AF34" s="533"/>
    </row>
    <row r="35" spans="2:32" ht="11.25" customHeight="1">
      <c r="B35" s="555" t="s">
        <v>838</v>
      </c>
      <c r="C35" s="519">
        <v>16.5</v>
      </c>
      <c r="D35" s="556">
        <v>16.5</v>
      </c>
      <c r="E35" s="556">
        <v>18.329999999999998</v>
      </c>
      <c r="F35" s="556">
        <v>23.81</v>
      </c>
      <c r="G35" s="556">
        <v>16.52</v>
      </c>
      <c r="H35" s="556">
        <v>10.53</v>
      </c>
      <c r="I35" s="556">
        <v>25.08</v>
      </c>
      <c r="J35" s="556">
        <v>23.87</v>
      </c>
      <c r="K35" s="556">
        <v>19.899999999999999</v>
      </c>
      <c r="L35" s="556">
        <v>28.66</v>
      </c>
      <c r="M35" s="556">
        <v>30.17</v>
      </c>
      <c r="N35" s="556">
        <v>40.46</v>
      </c>
      <c r="O35" s="556">
        <v>58.98</v>
      </c>
      <c r="P35" s="556">
        <v>60.86</v>
      </c>
      <c r="Q35" s="556">
        <v>93.85</v>
      </c>
      <c r="R35" s="556">
        <v>45.59</v>
      </c>
      <c r="S35" s="556">
        <v>77.930000000000007</v>
      </c>
      <c r="T35" s="556">
        <v>94.75</v>
      </c>
      <c r="U35" s="556">
        <v>107.38</v>
      </c>
      <c r="V35" s="556">
        <v>111.11</v>
      </c>
      <c r="W35" s="556">
        <v>110.8</v>
      </c>
      <c r="X35" s="556">
        <v>57.33</v>
      </c>
      <c r="Y35" s="556">
        <v>37.28</v>
      </c>
      <c r="Z35" s="556">
        <v>56.82</v>
      </c>
      <c r="AA35" s="556">
        <v>66.87</v>
      </c>
      <c r="AB35" s="557">
        <v>53.8</v>
      </c>
      <c r="AC35" s="487">
        <v>64.3</v>
      </c>
      <c r="AD35" s="487">
        <v>41.1</v>
      </c>
      <c r="AE35" s="487">
        <v>70.599999999999994</v>
      </c>
      <c r="AF35" s="487">
        <v>100.7</v>
      </c>
    </row>
    <row r="36" spans="2:32" ht="11.25" customHeight="1">
      <c r="B36" s="555"/>
      <c r="D36" s="1253"/>
      <c r="E36" s="522">
        <f t="shared" ref="E36:AB36" si="32">E20</f>
        <v>0.29841269841269841</v>
      </c>
      <c r="F36" s="522">
        <f t="shared" si="32"/>
        <v>0.24654956085319951</v>
      </c>
      <c r="G36" s="522">
        <f t="shared" si="32"/>
        <v>0.23428815733219324</v>
      </c>
      <c r="H36" s="522">
        <f t="shared" si="32"/>
        <v>0.2086587815219817</v>
      </c>
      <c r="I36" s="522">
        <f t="shared" si="32"/>
        <v>0.19041394335511982</v>
      </c>
      <c r="J36" s="522">
        <f t="shared" si="32"/>
        <v>0.20370370370370369</v>
      </c>
      <c r="K36" s="522">
        <f t="shared" si="32"/>
        <v>0.16567717996289424</v>
      </c>
      <c r="L36" s="522">
        <f t="shared" si="32"/>
        <v>0.14642857142857144</v>
      </c>
      <c r="M36" s="522">
        <f t="shared" si="32"/>
        <v>0.1396551724137931</v>
      </c>
      <c r="N36" s="522">
        <f t="shared" si="32"/>
        <v>0.14863221884498481</v>
      </c>
      <c r="O36" s="522">
        <f t="shared" si="32"/>
        <v>0.19889502762430938</v>
      </c>
      <c r="P36" s="522">
        <f t="shared" si="32"/>
        <v>0.18660569405517038</v>
      </c>
      <c r="Q36" s="522">
        <f t="shared" si="32"/>
        <v>0.17452415812591507</v>
      </c>
      <c r="R36" s="522">
        <f t="shared" si="32"/>
        <v>0.16741005055010408</v>
      </c>
      <c r="S36" s="522">
        <f t="shared" si="32"/>
        <v>0.23475887170154686</v>
      </c>
      <c r="T36" s="522">
        <f t="shared" si="32"/>
        <v>0.25231085244779183</v>
      </c>
      <c r="U36" s="522">
        <f t="shared" si="32"/>
        <v>0.21858456394538869</v>
      </c>
      <c r="V36" s="522">
        <f t="shared" si="32"/>
        <v>0.21747716613181931</v>
      </c>
      <c r="W36" s="522">
        <f t="shared" si="32"/>
        <v>0.29689839572192511</v>
      </c>
      <c r="X36" s="522">
        <f t="shared" si="32"/>
        <v>0.25831846331478953</v>
      </c>
      <c r="Y36" s="522">
        <f t="shared" si="32"/>
        <v>0.27611940298507465</v>
      </c>
      <c r="Z36" s="522">
        <f t="shared" si="32"/>
        <v>0.26953818827708703</v>
      </c>
      <c r="AA36" s="522">
        <f t="shared" si="32"/>
        <v>0.24746046706461411</v>
      </c>
      <c r="AB36" s="548">
        <f t="shared" si="32"/>
        <v>0.24421239286769778</v>
      </c>
    </row>
    <row r="37" spans="2:32" ht="11.25" customHeight="1">
      <c r="B37" s="529"/>
      <c r="C37" s="530"/>
      <c r="D37" s="531"/>
      <c r="AC37" s="532"/>
      <c r="AD37" s="533"/>
      <c r="AE37" s="533"/>
      <c r="AF37" s="533"/>
    </row>
    <row r="38" spans="2:32" ht="11.25" customHeight="1">
      <c r="B38" s="540" t="s">
        <v>703</v>
      </c>
      <c r="C38" s="541"/>
      <c r="D38" s="542">
        <f ca="1">IFERROR(IF(BB_Switch=1,_xll.BDH("EMN US EQUITY","PX_LAST",D4,D4,"eqy fund crncy","USD","days=A","FILL=P"),D38),"NA  ")</f>
        <v>25.25</v>
      </c>
      <c r="E38" s="542">
        <f ca="1">IFERROR(IF(BB_Switch=1,_xll.BDH("EMN US EQUITY","PX_LAST",E4,E4,"eqy fund crncy","USD","days=A","FILL=P"),E38),"NA  ")</f>
        <v>31.1875</v>
      </c>
      <c r="F38" s="542">
        <f ca="1">IFERROR(IF(BB_Switch=1,_xll.BDH("EMN US EQUITY","PX_LAST",F4,F4,"eqy fund crncy","USD","days=A","FILL=P"),F38),"NA  ")</f>
        <v>27.625</v>
      </c>
      <c r="G38" s="542">
        <f ca="1">IFERROR(IF(BB_Switch=1,_xll.BDH("EMN US EQUITY","PX_LAST",G4,G4,"eqy fund crncy","USD","days=A","FILL=P"),G38),"NA  ")</f>
        <v>29.781300000000002</v>
      </c>
      <c r="H38" s="542">
        <f ca="1">IFERROR(IF(BB_Switch=1,_xll.BDH("EMN US EQUITY","PX_LAST",H4,H4,"eqy fund crncy","USD","days=A","FILL=P"),H38),"NA  ")</f>
        <v>22.375</v>
      </c>
      <c r="I38" s="542">
        <f ca="1">IFERROR(IF(BB_Switch=1,_xll.BDH("EMN US EQUITY","PX_LAST",I4,I4,"eqy fund crncy","USD","days=A","FILL=P"),I38),"NA  ")</f>
        <v>23.843800000000002</v>
      </c>
      <c r="J38" s="542">
        <f ca="1">IFERROR(IF(BB_Switch=1,_xll.BDH("EMN US EQUITY","PX_LAST",J4,J4,"eqy fund crncy","USD","days=A","FILL=P"),J38),"NA  ")</f>
        <v>24.375</v>
      </c>
      <c r="K38" s="542">
        <f ca="1">IFERROR(IF(BB_Switch=1,_xll.BDH("EMN US EQUITY","PX_LAST",K4,K4,"eqy fund crncy","USD","days=A","FILL=P"),K38),"NA  ")</f>
        <v>19.510000000000002</v>
      </c>
      <c r="L38" s="542">
        <f ca="1">IFERROR(IF(BB_Switch=1,_xll.BDH("EMN US EQUITY","PX_LAST",L4,L4,"eqy fund crncy","USD","days=A","FILL=P"),L38),"NA  ")</f>
        <v>18.385000000000002</v>
      </c>
      <c r="M38" s="542">
        <f ca="1">IFERROR(IF(BB_Switch=1,_xll.BDH("EMN US EQUITY","PX_LAST",M4,M4,"eqy fund crncy","USD","days=A","FILL=P"),M38),"NA  ")</f>
        <v>19.765000000000001</v>
      </c>
      <c r="N38" s="542">
        <f ca="1">IFERROR(IF(BB_Switch=1,_xll.BDH("EMN US EQUITY","PX_LAST",N4,N4,"eqy fund crncy","USD","days=A","FILL=P"),N38),"NA  ")</f>
        <v>28.864999999999998</v>
      </c>
      <c r="O38" s="542">
        <f ca="1">IFERROR(IF(BB_Switch=1,_xll.BDH("EMN US EQUITY","PX_LAST",O4,O4,"eqy fund crncy","USD","days=A","FILL=P"),O38),"NA  ")</f>
        <v>25.795000000000002</v>
      </c>
      <c r="P38" s="542">
        <f ca="1">IFERROR(IF(BB_Switch=1,_xll.BDH("EMN US EQUITY","PX_LAST",P4,P4,"eqy fund crncy","USD","days=A","FILL=P"),P38),"NA  ")</f>
        <v>29.655000000000001</v>
      </c>
      <c r="Q38" s="542">
        <f ca="1">IFERROR(IF(BB_Switch=1,_xll.BDH("EMN US EQUITY","PX_LAST",Q4,Q4,"eqy fund crncy","USD","days=A","FILL=P"),Q38),"NA  ")</f>
        <v>30.545000000000002</v>
      </c>
      <c r="R38" s="542">
        <f ca="1">IFERROR(IF(BB_Switch=1,_xll.BDH("EMN US EQUITY","PX_LAST",R4,R4,"eqy fund crncy","USD","days=A","FILL=P"),R38),"NA  ")</f>
        <v>15.855</v>
      </c>
      <c r="S38" s="542">
        <f ca="1">IFERROR(IF(BB_Switch=1,_xll.BDH("EMN US EQUITY","PX_LAST",S4,S4,"eqy fund crncy","USD","days=A","FILL=P"),S38),"NA  ")</f>
        <v>30.12</v>
      </c>
      <c r="T38" s="542">
        <f ca="1">IFERROR(IF(BB_Switch=1,_xll.BDH("EMN US EQUITY","PX_LAST",T4,T4,"eqy fund crncy","USD","days=A","FILL=P"),T38),"NA  ")</f>
        <v>42.04</v>
      </c>
      <c r="U38" s="542">
        <f ca="1">IFERROR(IF(BB_Switch=1,_xll.BDH("EMN US EQUITY","PX_LAST",U4,U4,"eqy fund crncy","USD","days=A","FILL=P"),U38),"NA  ")</f>
        <v>39.06</v>
      </c>
      <c r="V38" s="542">
        <f ca="1">IFERROR(IF(BB_Switch=1,_xll.BDH("EMN US EQUITY","PX_LAST",V4,V4,"eqy fund crncy","USD","days=A","FILL=P"),V38),"NA  ")</f>
        <v>68.05</v>
      </c>
      <c r="W38" s="542">
        <f ca="1">IFERROR(IF(BB_Switch=1,_xll.BDH("EMN US EQUITY","PX_LAST",W4,W4,"eqy fund crncy","USD","days=A","FILL=P"),W38),"NA  ")</f>
        <v>80.7</v>
      </c>
      <c r="X38" s="542">
        <f ca="1">IFERROR(IF(BB_Switch=1,_xll.BDH("EMN US EQUITY","PX_LAST",X4,X4,"eqy fund crncy","USD","days=A","FILL=P"),X38),"NA  ")</f>
        <v>75.86</v>
      </c>
      <c r="Y38" s="542">
        <f ca="1">IFERROR(IF(BB_Switch=1,_xll.BDH("EMN US EQUITY","PX_LAST",Y4,Y4,"eqy fund crncy","USD","days=A","FILL=P"),Y38),"NA  ")</f>
        <v>67.510000000000005</v>
      </c>
      <c r="Z38" s="542">
        <f ca="1">IFERROR(IF(BB_Switch=1,_xll.BDH("EMN US EQUITY","PX_LAST",Z4,Z4,"eqy fund crncy","USD","days=A","FILL=P"),Z38),"NA  ")</f>
        <v>75.209999999999994</v>
      </c>
      <c r="AA38" s="542">
        <f ca="1">IFERROR(IF(BB_Switch=1,_xll.BDH("EMN US EQUITY","PX_LAST",AA4,AA4,"eqy fund crncy","USD","days=A","FILL=P"),AA38),"NA  ")</f>
        <v>92.64</v>
      </c>
      <c r="AB38" s="543">
        <f ca="1">IFERROR(IF(BB_Switch=1,_xll.BDH("EMN US EQUITY","PX_LAST",AB4,AB4,"eqy fund crncy","USD","days=A","FILL=P"),AB38),"NA  ")</f>
        <v>73.11</v>
      </c>
    </row>
    <row r="39" spans="2:32" ht="11.25" customHeight="1">
      <c r="B39" s="1254"/>
      <c r="C39" s="1254"/>
      <c r="D39" s="1255"/>
      <c r="E39" s="525">
        <v>1995</v>
      </c>
      <c r="F39" s="525">
        <v>1996</v>
      </c>
      <c r="G39" s="525">
        <v>1997</v>
      </c>
      <c r="H39" s="525">
        <v>1998</v>
      </c>
      <c r="I39" s="525">
        <v>1999</v>
      </c>
      <c r="J39" s="525">
        <v>2000</v>
      </c>
      <c r="K39" s="525">
        <v>2001</v>
      </c>
      <c r="L39" s="525">
        <v>2002</v>
      </c>
      <c r="M39" s="525">
        <v>2003</v>
      </c>
      <c r="N39" s="525">
        <v>2004</v>
      </c>
      <c r="O39" s="525">
        <v>2005</v>
      </c>
      <c r="P39" s="525">
        <v>2006</v>
      </c>
      <c r="Q39" s="525">
        <v>2007</v>
      </c>
      <c r="R39" s="525">
        <v>2008</v>
      </c>
      <c r="S39" s="525">
        <v>2009</v>
      </c>
      <c r="T39" s="525">
        <v>2010</v>
      </c>
      <c r="U39" s="525">
        <v>2011</v>
      </c>
      <c r="V39" s="525">
        <v>2012</v>
      </c>
      <c r="W39" s="525">
        <v>2013</v>
      </c>
      <c r="X39" s="525">
        <v>2014</v>
      </c>
      <c r="Y39" s="525">
        <v>2015</v>
      </c>
      <c r="Z39" s="525">
        <v>2016</v>
      </c>
      <c r="AA39" s="525">
        <v>2017</v>
      </c>
      <c r="AB39" s="525">
        <v>2018</v>
      </c>
      <c r="AC39" s="525">
        <f>AB39+1</f>
        <v>2019</v>
      </c>
      <c r="AD39" s="525">
        <f t="shared" ref="AD39:AF39" si="33">AC39+1</f>
        <v>2020</v>
      </c>
      <c r="AE39" s="525">
        <f t="shared" si="33"/>
        <v>2021</v>
      </c>
      <c r="AF39" s="525">
        <f t="shared" si="33"/>
        <v>2022</v>
      </c>
    </row>
    <row r="40" spans="2:32" ht="11.25" customHeight="1">
      <c r="D40" s="556" t="s">
        <v>1771</v>
      </c>
      <c r="E40" s="522">
        <v>0.25238095238095237</v>
      </c>
      <c r="F40" s="522">
        <v>0.2043078209953994</v>
      </c>
      <c r="G40" s="522">
        <v>0.19132107738349721</v>
      </c>
      <c r="H40" s="522">
        <v>0.17518411068957823</v>
      </c>
      <c r="I40" s="522">
        <v>0.15577342047930284</v>
      </c>
      <c r="J40" s="522">
        <v>0.18915343915343916</v>
      </c>
      <c r="K40" s="522">
        <v>0.14118738404452691</v>
      </c>
      <c r="L40" s="522">
        <v>0.11466165413533834</v>
      </c>
      <c r="M40" s="522">
        <v>0.10172413793103448</v>
      </c>
      <c r="N40" s="522">
        <v>0.10683890577507599</v>
      </c>
      <c r="O40" s="522">
        <v>0.15497945884686215</v>
      </c>
      <c r="P40" s="522">
        <v>0.15680778875940404</v>
      </c>
      <c r="Q40" s="522">
        <v>0.13806734992679356</v>
      </c>
      <c r="R40" s="522">
        <v>0.12369907820398454</v>
      </c>
      <c r="S40" s="522">
        <v>0.23089171974522293</v>
      </c>
      <c r="T40" s="522">
        <v>0.20044505306401916</v>
      </c>
      <c r="U40" s="522">
        <v>0.18751741432153804</v>
      </c>
      <c r="V40" s="522">
        <v>0.2111824240928166</v>
      </c>
      <c r="W40" s="522">
        <v>0.21647058823529411</v>
      </c>
      <c r="X40" s="522">
        <v>0.21150414611105281</v>
      </c>
      <c r="Y40" s="522">
        <v>0.23652570480928689</v>
      </c>
      <c r="Z40" s="522">
        <v>0.23956483126110123</v>
      </c>
      <c r="AA40" s="522">
        <v>0.23395119907843753</v>
      </c>
      <c r="AB40" s="548">
        <v>0.22037237710570387</v>
      </c>
      <c r="AC40" s="1407">
        <v>0.21567993098242208</v>
      </c>
      <c r="AD40" s="1407">
        <v>0.21125929422872655</v>
      </c>
      <c r="AE40" s="1407">
        <v>0.20742649866361207</v>
      </c>
      <c r="AF40" s="1407">
        <v>0.1716446124763705</v>
      </c>
    </row>
    <row r="41" spans="2:32" ht="11.25" customHeight="1">
      <c r="D41" s="556" t="s">
        <v>488</v>
      </c>
      <c r="E41" s="531">
        <v>392</v>
      </c>
      <c r="F41" s="531">
        <v>-43</v>
      </c>
      <c r="G41" s="531">
        <v>-51</v>
      </c>
      <c r="H41" s="531">
        <v>231</v>
      </c>
      <c r="I41" s="531">
        <v>452</v>
      </c>
      <c r="J41" s="531">
        <v>605</v>
      </c>
      <c r="K41" s="531">
        <v>163</v>
      </c>
      <c r="L41" s="531">
        <v>374</v>
      </c>
      <c r="M41" s="531">
        <v>14</v>
      </c>
      <c r="N41" s="531">
        <v>246</v>
      </c>
      <c r="O41" s="531">
        <v>426</v>
      </c>
      <c r="P41" s="531">
        <v>220</v>
      </c>
      <c r="Q41" s="531">
        <v>214</v>
      </c>
      <c r="R41" s="531">
        <v>3</v>
      </c>
      <c r="S41" s="531">
        <v>448</v>
      </c>
      <c r="T41" s="531">
        <v>332</v>
      </c>
      <c r="U41" s="531">
        <v>168</v>
      </c>
      <c r="V41" s="531">
        <v>663</v>
      </c>
      <c r="W41" s="531">
        <v>814</v>
      </c>
      <c r="X41" s="531">
        <v>840</v>
      </c>
      <c r="Y41" s="531">
        <v>972</v>
      </c>
      <c r="Z41" s="531">
        <v>759</v>
      </c>
      <c r="AA41" s="531">
        <v>1008</v>
      </c>
      <c r="AB41" s="539">
        <v>1015</v>
      </c>
      <c r="AC41" s="1406">
        <f>Financials!AQ932+Financials!AQ934</f>
        <v>1079</v>
      </c>
      <c r="AD41" s="1406">
        <v>1059</v>
      </c>
      <c r="AE41" s="1406">
        <v>1041</v>
      </c>
      <c r="AF41" s="1406">
        <v>351</v>
      </c>
    </row>
    <row r="42" spans="2:32" ht="11.25" customHeight="1">
      <c r="E42" s="491">
        <f>E30</f>
        <v>7.8337769447339375E-2</v>
      </c>
      <c r="F42" s="491">
        <f t="shared" ref="F42:AB42" si="34">F30</f>
        <v>-9.9956402736434379E-3</v>
      </c>
      <c r="G42" s="491">
        <f t="shared" si="34"/>
        <v>-1.0941709469727667E-2</v>
      </c>
      <c r="H42" s="491">
        <f t="shared" si="34"/>
        <v>6.5255179543434336E-2</v>
      </c>
      <c r="I42" s="491">
        <f t="shared" si="34"/>
        <v>0.12137758076060079</v>
      </c>
      <c r="J42" s="491">
        <f t="shared" si="34"/>
        <v>0.16171190884660758</v>
      </c>
      <c r="K42" s="491">
        <f t="shared" si="34"/>
        <v>5.4266035580638181E-2</v>
      </c>
      <c r="L42" s="491">
        <f t="shared" si="34"/>
        <v>0.13175054053503868</v>
      </c>
      <c r="M42" s="491">
        <f t="shared" si="34"/>
        <v>4.5849694646764869E-3</v>
      </c>
      <c r="N42" s="491">
        <f t="shared" si="34"/>
        <v>5.3793732906434556E-2</v>
      </c>
      <c r="O42" s="491">
        <f t="shared" si="34"/>
        <v>0.10127917668531101</v>
      </c>
      <c r="P42" s="491">
        <f t="shared" si="34"/>
        <v>4.4406633030725222E-2</v>
      </c>
      <c r="Q42" s="491">
        <f t="shared" si="34"/>
        <v>4.396903885036306E-2</v>
      </c>
      <c r="R42" s="491">
        <f t="shared" si="34"/>
        <v>1.3055685951636718E-3</v>
      </c>
      <c r="S42" s="491">
        <f t="shared" si="34"/>
        <v>0.1027406393962053</v>
      </c>
      <c r="T42" s="491">
        <f t="shared" si="34"/>
        <v>5.5872651674364435E-2</v>
      </c>
      <c r="U42" s="491">
        <f t="shared" si="34"/>
        <v>3.141408629080613E-2</v>
      </c>
      <c r="V42" s="491">
        <f t="shared" si="34"/>
        <v>6.3308391759334337E-2</v>
      </c>
      <c r="W42" s="491">
        <f t="shared" si="34"/>
        <v>6.6178853486669034E-2</v>
      </c>
      <c r="X42" s="491">
        <f t="shared" si="34"/>
        <v>7.4517350614416972E-2</v>
      </c>
      <c r="Y42" s="491">
        <f t="shared" si="34"/>
        <v>9.7439584333030543E-2</v>
      </c>
      <c r="Z42" s="491">
        <f t="shared" si="34"/>
        <v>6.8914724568979749E-2</v>
      </c>
      <c r="AA42" s="491">
        <f t="shared" si="34"/>
        <v>7.6134499114290516E-2</v>
      </c>
      <c r="AB42" s="491">
        <f t="shared" si="34"/>
        <v>9.9359722998468153E-2</v>
      </c>
      <c r="AF42" s="518"/>
    </row>
    <row r="43" spans="2:32" ht="11.25" customHeight="1">
      <c r="E43" s="1253">
        <f>E10/E22</f>
        <v>4.8120848569182391</v>
      </c>
      <c r="F43" s="1253">
        <f t="shared" ref="F43:AB43" si="35">F10/F22</f>
        <v>5.9374365404298874</v>
      </c>
      <c r="G43" s="1253">
        <f t="shared" si="35"/>
        <v>7.0905734737430164</v>
      </c>
      <c r="H43" s="1253">
        <f t="shared" si="35"/>
        <v>6.5731832917197446</v>
      </c>
      <c r="I43" s="1253">
        <f t="shared" si="35"/>
        <v>7.8921911888111884</v>
      </c>
      <c r="J43" s="1253">
        <f t="shared" si="35"/>
        <v>5.6545664995004996</v>
      </c>
      <c r="K43" s="1253">
        <f t="shared" si="35"/>
        <v>6.7473330289093303</v>
      </c>
      <c r="L43" s="1253">
        <f t="shared" si="35"/>
        <v>7.899504968852459</v>
      </c>
      <c r="M43" s="1253">
        <f t="shared" si="35"/>
        <v>8.6617888983050833</v>
      </c>
      <c r="N43" s="1253">
        <f t="shared" si="35"/>
        <v>8.9758512261735408</v>
      </c>
      <c r="O43" s="1253">
        <f t="shared" si="35"/>
        <v>4.8511840310786098</v>
      </c>
      <c r="P43" s="1253">
        <f t="shared" si="35"/>
        <v>5.2748963612417681</v>
      </c>
      <c r="Q43" s="1253">
        <f t="shared" si="35"/>
        <v>5.9237127592788967</v>
      </c>
      <c r="R43" s="1253">
        <f t="shared" si="35"/>
        <v>4.0454920552884612</v>
      </c>
      <c r="S43" s="1253">
        <f t="shared" si="35"/>
        <v>5.0950685399014777</v>
      </c>
      <c r="T43" s="1253">
        <f t="shared" si="35"/>
        <v>6.0034877771135786</v>
      </c>
      <c r="U43" s="1253">
        <f t="shared" si="35"/>
        <v>4.6061807964338781</v>
      </c>
      <c r="V43" s="1253">
        <f t="shared" si="35"/>
        <v>8.8203070081823505</v>
      </c>
      <c r="W43" s="1253">
        <f t="shared" si="35"/>
        <v>8.1007912761857703</v>
      </c>
      <c r="X43" s="1253">
        <f t="shared" si="35"/>
        <v>9.2742146282878419</v>
      </c>
      <c r="Y43" s="1253">
        <f t="shared" si="35"/>
        <v>7.3489973759859772</v>
      </c>
      <c r="Z43" s="1253">
        <f t="shared" si="35"/>
        <v>8.1087170787766443</v>
      </c>
      <c r="AA43" s="1253">
        <f t="shared" si="35"/>
        <v>8.8011312515666962</v>
      </c>
      <c r="AB43" s="1253">
        <f t="shared" si="35"/>
        <v>7.2545404117121146</v>
      </c>
      <c r="AC43" s="1437"/>
      <c r="AD43" s="1437"/>
    </row>
    <row r="44" spans="2:32" ht="11.25" customHeight="1">
      <c r="E44" s="491">
        <f>E41/E12</f>
        <v>7.7777777777777779E-2</v>
      </c>
      <c r="F44" s="491">
        <f t="shared" ref="F44:AB44" si="36">F41/F12</f>
        <v>-8.9920535340861571E-3</v>
      </c>
      <c r="G44" s="491">
        <f t="shared" si="36"/>
        <v>-1.0902094912355708E-2</v>
      </c>
      <c r="H44" s="491">
        <f t="shared" si="36"/>
        <v>5.1550993081901364E-2</v>
      </c>
      <c r="I44" s="491">
        <f t="shared" si="36"/>
        <v>9.8474945533769065E-2</v>
      </c>
      <c r="J44" s="491">
        <f t="shared" si="36"/>
        <v>0.11432350718065004</v>
      </c>
      <c r="K44" s="491">
        <f t="shared" si="36"/>
        <v>3.0241187384044528E-2</v>
      </c>
      <c r="L44" s="491">
        <f t="shared" si="36"/>
        <v>7.0300751879699253E-2</v>
      </c>
      <c r="M44" s="491">
        <f t="shared" si="36"/>
        <v>2.413793103448276E-3</v>
      </c>
      <c r="N44" s="491">
        <f t="shared" si="36"/>
        <v>3.7386018237082069E-2</v>
      </c>
      <c r="O44" s="491">
        <f t="shared" si="36"/>
        <v>6.0348491287717805E-2</v>
      </c>
      <c r="P44" s="491">
        <f t="shared" si="36"/>
        <v>3.2453164183507889E-2</v>
      </c>
      <c r="Q44" s="491">
        <f t="shared" si="36"/>
        <v>3.1332357247437777E-2</v>
      </c>
      <c r="R44" s="491">
        <f t="shared" si="36"/>
        <v>4.4603033006244426E-4</v>
      </c>
      <c r="S44" s="491">
        <f t="shared" si="36"/>
        <v>0.10191082802547771</v>
      </c>
      <c r="T44" s="491">
        <f t="shared" si="36"/>
        <v>5.6829852790140363E-2</v>
      </c>
      <c r="U44" s="491">
        <f t="shared" si="36"/>
        <v>2.340484814711619E-2</v>
      </c>
      <c r="V44" s="491">
        <f t="shared" si="36"/>
        <v>8.1831646507035297E-2</v>
      </c>
      <c r="W44" s="491">
        <f t="shared" si="36"/>
        <v>8.7058823529411758E-2</v>
      </c>
      <c r="X44" s="491">
        <f t="shared" si="36"/>
        <v>8.8170462894930204E-2</v>
      </c>
      <c r="Y44" s="491">
        <f t="shared" si="36"/>
        <v>0.10074626865671642</v>
      </c>
      <c r="Z44" s="491">
        <f t="shared" si="36"/>
        <v>8.4258436944937828E-2</v>
      </c>
      <c r="AA44" s="491">
        <f t="shared" si="36"/>
        <v>0.1055607917059378</v>
      </c>
      <c r="AB44" s="491">
        <f t="shared" si="36"/>
        <v>9.9990148753817357E-2</v>
      </c>
      <c r="AC44" s="1438"/>
      <c r="AD44" s="1444" t="s">
        <v>795</v>
      </c>
      <c r="AE44" s="1445"/>
      <c r="AF44" s="1446"/>
    </row>
    <row r="45" spans="2:32" ht="11.25" customHeight="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D45" s="1442" t="s">
        <v>1776</v>
      </c>
      <c r="AE45" s="1447" t="s">
        <v>1774</v>
      </c>
      <c r="AF45" s="1441" t="s">
        <v>1775</v>
      </c>
    </row>
    <row r="46" spans="2:32" ht="11.25" customHeight="1">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D46" s="1522" t="s">
        <v>1814</v>
      </c>
      <c r="AE46" s="1523">
        <f>_xlfn.STDEV.P(J40:U40)/AVERAGE(J40:U40)</f>
        <v>0.25370362520631984</v>
      </c>
      <c r="AF46" s="1524">
        <f>_xlfn.STDEV.P(V40:AF40)/AVERAGE(V40:AF40)</f>
        <v>8.1707448165659599E-2</v>
      </c>
    </row>
    <row r="47" spans="2:32" ht="11.25" customHeight="1">
      <c r="AD47" s="1440" t="s">
        <v>437</v>
      </c>
      <c r="AE47" s="1448">
        <f>_xlfn.STDEV.P(E41:U41)/AVERAGE(E41:U41)</f>
        <v>0.75456048551377375</v>
      </c>
      <c r="AF47" s="1443">
        <f>_xlfn.STDEV.P(V41:AE41)/AVERAGE(V41:AE41)</f>
        <v>0.14825875156013871</v>
      </c>
    </row>
    <row r="48" spans="2:32" ht="11.25" customHeight="1">
      <c r="AD48" s="555"/>
      <c r="AF48" s="1525"/>
    </row>
    <row r="49" spans="30:32" ht="11.25" customHeight="1">
      <c r="AD49" s="537" t="s">
        <v>1800</v>
      </c>
      <c r="AF49" s="1525"/>
    </row>
    <row r="50" spans="30:32" ht="11.25" customHeight="1">
      <c r="AD50" s="1522" t="s">
        <v>1814</v>
      </c>
      <c r="AE50" s="1523">
        <f>AVERAGE(L40:U40)</f>
        <v>0.15156325607092733</v>
      </c>
      <c r="AF50" s="1524">
        <f>AVERAGE(V40:AF40)</f>
        <v>0.21596196427680223</v>
      </c>
    </row>
    <row r="51" spans="30:32" ht="11.25" customHeight="1">
      <c r="AD51" s="1440" t="s">
        <v>437</v>
      </c>
      <c r="AE51" s="1448">
        <f>AVERAGE(L44:U44)</f>
        <v>4.1682613523168974E-2</v>
      </c>
      <c r="AF51" s="1443">
        <f>AVERAGE(V44:AF44)</f>
        <v>9.2516654141826665E-2</v>
      </c>
    </row>
    <row r="80" spans="22:33" ht="11.25" customHeight="1">
      <c r="V80" s="1433">
        <v>86.51</v>
      </c>
      <c r="W80" s="1433">
        <v>97.13</v>
      </c>
      <c r="X80" s="1433">
        <v>117.25</v>
      </c>
      <c r="Y80" s="1433">
        <v>104.58</v>
      </c>
      <c r="Z80" s="1433">
        <v>113.34</v>
      </c>
      <c r="AA80" s="1433">
        <v>122.71</v>
      </c>
      <c r="AB80" s="1433">
        <v>111.93</v>
      </c>
      <c r="AC80" s="1433">
        <v>100.45</v>
      </c>
      <c r="AD80" s="1433">
        <v>89.76</v>
      </c>
      <c r="AE80" s="1433">
        <v>93.33</v>
      </c>
      <c r="AF80" s="1433">
        <v>91.42</v>
      </c>
      <c r="AG80" s="1433">
        <v>80.92</v>
      </c>
    </row>
  </sheetData>
  <pageMargins left="0.7" right="0.7" top="0.75" bottom="0.75" header="0.3" footer="0.3"/>
  <pageSetup orientation="portrait" horizontalDpi="300" verticalDpi="300" r:id="rId1"/>
  <ignoredErrors>
    <ignoredError sqref="AE46:AF50"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0AA2-F719-4A5E-B9ED-FA7B34FBBE4B}">
  <sheetPr>
    <tabColor theme="5" tint="0.79998168889431442"/>
  </sheetPr>
  <dimension ref="B2:AP284"/>
  <sheetViews>
    <sheetView showGridLines="0" zoomScale="80" zoomScaleNormal="80" workbookViewId="0">
      <selection activeCell="H1" sqref="H1"/>
    </sheetView>
  </sheetViews>
  <sheetFormatPr defaultColWidth="8.53125" defaultRowHeight="12.75" outlineLevelRow="1" outlineLevelCol="1"/>
  <cols>
    <col min="1" max="1" width="2.53125" style="1047" customWidth="1"/>
    <col min="2" max="2" width="28.53125" style="1047" hidden="1" customWidth="1" outlineLevel="1"/>
    <col min="3" max="3" width="28.53125" style="1047" customWidth="1" collapsed="1"/>
    <col min="4" max="4" width="15" style="1047" bestFit="1" customWidth="1"/>
    <col min="5" max="5" width="14.46484375" style="1047" customWidth="1"/>
    <col min="6" max="6" width="13.19921875" style="1047" customWidth="1"/>
    <col min="7" max="7" width="2.53125" style="1047" customWidth="1"/>
    <col min="8" max="18" width="22.53125" style="1047" customWidth="1"/>
    <col min="19" max="25" width="8.53125" style="1047"/>
    <col min="26" max="26" width="22.796875" style="1047" bestFit="1" customWidth="1"/>
    <col min="27" max="27" width="11.19921875" style="1047" bestFit="1" customWidth="1"/>
    <col min="28" max="28" width="17.796875" style="1047" bestFit="1" customWidth="1"/>
    <col min="29" max="29" width="11.19921875" style="1047" bestFit="1" customWidth="1"/>
    <col min="30" max="30" width="15.53125" style="1047" bestFit="1" customWidth="1"/>
    <col min="31" max="31" width="9.46484375" style="1047" bestFit="1" customWidth="1"/>
    <col min="32" max="32" width="5" style="1047" bestFit="1" customWidth="1"/>
    <col min="33" max="33" width="9.46484375" style="1047" bestFit="1" customWidth="1"/>
    <col min="34" max="34" width="8.53125" style="1047" bestFit="1" customWidth="1"/>
    <col min="35" max="16384" width="8.53125" style="1047"/>
  </cols>
  <sheetData>
    <row r="2" spans="3:16" s="1045" customFormat="1" ht="13.15" outlineLevel="1">
      <c r="C2" s="1044" t="s">
        <v>1458</v>
      </c>
      <c r="D2" s="1044"/>
      <c r="J2" s="1046"/>
      <c r="K2" s="1046"/>
    </row>
    <row r="3" spans="3:16" outlineLevel="1">
      <c r="J3" s="1160" t="s">
        <v>1609</v>
      </c>
      <c r="K3" s="1549">
        <v>43200</v>
      </c>
      <c r="L3" s="1550"/>
    </row>
    <row r="4" spans="3:16" ht="13.15" outlineLevel="1">
      <c r="C4" s="1047" t="s">
        <v>1459</v>
      </c>
      <c r="D4" s="1047" t="s">
        <v>1460</v>
      </c>
      <c r="J4" s="1160" t="s">
        <v>1617</v>
      </c>
      <c r="K4" s="1549">
        <v>45026</v>
      </c>
      <c r="L4" s="1550"/>
      <c r="M4" s="1155">
        <v>0</v>
      </c>
      <c r="N4" s="1155" t="s">
        <v>534</v>
      </c>
    </row>
    <row r="5" spans="3:16" outlineLevel="1">
      <c r="J5" s="1048"/>
      <c r="K5" s="1048"/>
    </row>
    <row r="6" spans="3:16" outlineLevel="1">
      <c r="C6" s="1047" t="s">
        <v>1461</v>
      </c>
      <c r="D6" s="1047" t="s">
        <v>1462</v>
      </c>
      <c r="J6" s="1048"/>
      <c r="K6" s="1048"/>
    </row>
    <row r="7" spans="3:16" outlineLevel="1">
      <c r="D7" s="1047" t="s">
        <v>1463</v>
      </c>
      <c r="J7" s="1048"/>
      <c r="K7" s="1048"/>
    </row>
    <row r="8" spans="3:16" ht="13.15" outlineLevel="1">
      <c r="D8" s="1047" t="s">
        <v>1464</v>
      </c>
      <c r="J8" s="1048"/>
      <c r="K8" s="1048"/>
    </row>
    <row r="9" spans="3:16" outlineLevel="1">
      <c r="J9" s="1048"/>
      <c r="K9" s="1048"/>
    </row>
    <row r="10" spans="3:16" s="1045" customFormat="1" ht="13.15">
      <c r="C10" s="1044" t="s">
        <v>1465</v>
      </c>
      <c r="D10" s="1044"/>
      <c r="J10" s="1046"/>
      <c r="K10" s="1046"/>
    </row>
    <row r="11" spans="3:16">
      <c r="H11" s="1097" t="str">
        <f t="shared" ref="H11:J11" ca="1" si="0">H62</f>
        <v>OK</v>
      </c>
      <c r="I11" s="1098"/>
      <c r="J11" s="1097" t="str">
        <f t="shared" ca="1" si="0"/>
        <v>OK</v>
      </c>
    </row>
    <row r="14" spans="3:16" ht="13.15">
      <c r="C14" s="1049" t="s">
        <v>1466</v>
      </c>
      <c r="D14" s="1050">
        <f>D25</f>
        <v>43200</v>
      </c>
      <c r="E14" s="1050">
        <f>E25</f>
        <v>45026</v>
      </c>
      <c r="H14" s="1049" t="s">
        <v>1467</v>
      </c>
      <c r="I14" s="1104" t="s">
        <v>168</v>
      </c>
      <c r="J14" s="1051" t="s">
        <v>860</v>
      </c>
      <c r="K14" s="1051" t="s">
        <v>1468</v>
      </c>
      <c r="L14" s="1051" t="s">
        <v>1469</v>
      </c>
      <c r="M14" s="1051" t="s">
        <v>1470</v>
      </c>
      <c r="N14" s="1051" t="s">
        <v>1471</v>
      </c>
      <c r="O14" s="1104" t="s">
        <v>464</v>
      </c>
      <c r="P14" s="1052"/>
    </row>
    <row r="15" spans="3:16">
      <c r="H15" s="1047" t="s">
        <v>1472</v>
      </c>
      <c r="I15" s="1108">
        <f ca="1">E54</f>
        <v>0.43364950622675558</v>
      </c>
      <c r="J15" s="1109">
        <f ca="1">J26</f>
        <v>0.154004156473045</v>
      </c>
      <c r="K15" s="1109">
        <f ca="1">J29</f>
        <v>-2.1735579476753086E-2</v>
      </c>
      <c r="L15" s="1109">
        <f ca="1">J49</f>
        <v>0.16631102095156969</v>
      </c>
      <c r="M15" s="1109">
        <f ca="1">J55</f>
        <v>9.3354308583536438E-2</v>
      </c>
      <c r="N15" s="1109">
        <f ca="1">J32</f>
        <v>4.01123218802939E-2</v>
      </c>
      <c r="O15" s="1108">
        <f ca="1">J51</f>
        <v>1.6032778150634197E-3</v>
      </c>
    </row>
    <row r="16" spans="3:16">
      <c r="I16" s="1105"/>
      <c r="J16" s="1053"/>
      <c r="K16" s="1054"/>
      <c r="L16" s="1054"/>
      <c r="M16" s="1053"/>
      <c r="N16" s="1054"/>
      <c r="O16" s="1110"/>
    </row>
    <row r="17" spans="2:42" ht="13.15">
      <c r="H17" s="1049" t="s">
        <v>1473</v>
      </c>
      <c r="I17" s="1106" t="s">
        <v>1474</v>
      </c>
      <c r="J17" s="1051" t="s">
        <v>860</v>
      </c>
      <c r="K17" s="1051" t="s">
        <v>1468</v>
      </c>
      <c r="L17" s="1051" t="s">
        <v>1469</v>
      </c>
      <c r="M17" s="1051" t="s">
        <v>1470</v>
      </c>
      <c r="N17" s="1051" t="s">
        <v>1471</v>
      </c>
      <c r="O17" s="1104" t="s">
        <v>464</v>
      </c>
      <c r="P17" s="1051" t="s">
        <v>1475</v>
      </c>
    </row>
    <row r="18" spans="2:42">
      <c r="H18" s="1047" t="s">
        <v>1476</v>
      </c>
      <c r="I18" s="1107">
        <f ca="1">D31</f>
        <v>27.125</v>
      </c>
      <c r="J18" s="1055">
        <f ca="1">$I18*(1+J15)^$F$25-$I18</f>
        <v>28.38952294685992</v>
      </c>
      <c r="K18" s="1055">
        <f ca="1">$I18*(1+K15)^$F$25-$I18</f>
        <v>-2.822495094254073</v>
      </c>
      <c r="L18" s="1055">
        <f ca="1">$I18*(1+L15)^$F$25-$I18</f>
        <v>31.413507333725377</v>
      </c>
      <c r="M18" s="1055">
        <f ca="1">$I18*(1+M15)^$F$25-$I18</f>
        <v>15.256307449116896</v>
      </c>
      <c r="N18" s="1055">
        <f ca="1">$I18*(1+N15)^$F$25-$I18</f>
        <v>5.8945350491833253</v>
      </c>
      <c r="O18" s="1107">
        <f ca="1">P18-SUM(I18:N18)</f>
        <v>27.319929764485437</v>
      </c>
      <c r="P18" s="1055">
        <f ca="1">E31+M18</f>
        <v>132.57630744911688</v>
      </c>
    </row>
    <row r="19" spans="2:42">
      <c r="M19" s="1056"/>
    </row>
    <row r="20" spans="2:42" s="1045" customFormat="1" ht="13.15">
      <c r="C20" s="1044" t="s">
        <v>1477</v>
      </c>
      <c r="D20" s="1044"/>
      <c r="J20" s="1046"/>
      <c r="K20" s="1046"/>
    </row>
    <row r="21" spans="2:42" ht="13.15" thickBot="1"/>
    <row r="22" spans="2:42" ht="13.15">
      <c r="C22" s="1047" t="s">
        <v>1592</v>
      </c>
      <c r="D22" s="1272"/>
      <c r="H22" s="1057"/>
      <c r="I22" s="1058" t="s">
        <v>1478</v>
      </c>
      <c r="J22" s="1057"/>
      <c r="L22" s="1059" t="s">
        <v>1479</v>
      </c>
    </row>
    <row r="23" spans="2:42">
      <c r="C23" s="1060"/>
      <c r="D23" s="1048"/>
      <c r="H23" s="1061" t="s">
        <v>1480</v>
      </c>
      <c r="I23" s="1061" t="s">
        <v>1481</v>
      </c>
      <c r="J23" s="1061" t="s">
        <v>1482</v>
      </c>
      <c r="L23" s="1062" t="s">
        <v>1483</v>
      </c>
      <c r="R23" s="1061"/>
    </row>
    <row r="24" spans="2:42" ht="13.15">
      <c r="D24" s="1063" t="s">
        <v>1484</v>
      </c>
      <c r="E24" s="1063" t="s">
        <v>1485</v>
      </c>
      <c r="F24" s="1064" t="s">
        <v>1486</v>
      </c>
      <c r="G24" s="1065"/>
      <c r="H24" s="1061" t="s">
        <v>1487</v>
      </c>
      <c r="I24" s="1061" t="s">
        <v>1434</v>
      </c>
      <c r="J24" s="1061" t="s">
        <v>1487</v>
      </c>
      <c r="L24" s="1066" t="s">
        <v>1488</v>
      </c>
      <c r="R24" s="1061"/>
    </row>
    <row r="25" spans="2:42" ht="13.5" thickBot="1">
      <c r="D25" s="1067">
        <f>K3</f>
        <v>43200</v>
      </c>
      <c r="E25" s="1067">
        <f>K4</f>
        <v>45026</v>
      </c>
      <c r="F25" s="1068">
        <f>YEARFRAC($D$25,$E$25)</f>
        <v>5</v>
      </c>
      <c r="G25" s="1069"/>
      <c r="H25" s="1070" t="str">
        <f>"CAGR: "&amp;TEXT(D25,"mmm yyyy")&amp;" - "&amp;TEXT(E25,"mmm yyyy")</f>
        <v>CAGR: Apr 2018 - Apr 2023</v>
      </c>
      <c r="I25" s="1070" t="s">
        <v>1489</v>
      </c>
      <c r="J25" s="1070" t="str">
        <f>TEXT(D25,"mmm yyyy")&amp;" - "&amp;TEXT(E25,"mmm yyyy")</f>
        <v>Apr 2018 - Apr 2023</v>
      </c>
      <c r="L25" s="1071" t="s">
        <v>1490</v>
      </c>
      <c r="R25" s="1061"/>
    </row>
    <row r="26" spans="2:42">
      <c r="B26" s="763" t="s">
        <v>1528</v>
      </c>
      <c r="C26" s="1047" t="s">
        <v>493</v>
      </c>
      <c r="D26" s="1102" cm="1">
        <f t="array" aca="1" ref="D26" ca="1">IF(TSRSwitch=1,_xll.TR($D$22,$B26,"Sdate=#1 Period=#2 NULL=BLANK Scale=6",,D$25,$N$4),D26)</f>
        <v>4140</v>
      </c>
      <c r="E26" s="1102" cm="1">
        <f t="array" aca="1" ref="E26" ca="1">IF(TSRSwitch=1,_xll.TR($D$22,$B26,"Sdate=#1 Period=#2 NULL=BLANK Scale=6",,E$25,$N$4),E26)</f>
        <v>8473</v>
      </c>
      <c r="H26" s="1072">
        <f ca="1">IF(AND(D26&gt;0,E26&gt;0,ISNUMBER(D26),ISNUMBER(E26)),(E26/D26)^(1/$F$25)-1,"-")</f>
        <v>0.154004156473045</v>
      </c>
      <c r="I26" s="1072"/>
      <c r="J26" s="1072">
        <f ca="1">H26</f>
        <v>0.154004156473045</v>
      </c>
      <c r="L26" s="1073"/>
      <c r="M26" s="1073"/>
      <c r="N26" s="1074"/>
    </row>
    <row r="27" spans="2:42">
      <c r="B27" s="763" t="s">
        <v>1593</v>
      </c>
      <c r="C27" s="1047" t="s">
        <v>1491</v>
      </c>
      <c r="D27" s="1102" cm="1">
        <f t="array" aca="1" ref="D27" ca="1">IF(TSRSwitch=1,_xll.TR($D$22,$B27,"Sdate=#1 Period=#2 NULL=BLANK Scale=6",,D$25,$N$4),D27)</f>
        <v>518</v>
      </c>
      <c r="E27" s="1102" cm="1">
        <f t="array" aca="1" ref="E27" ca="1">IF(TSRSwitch=1,_xll.TR($D$22,$B27,"Sdate=#1 Period=#2 NULL=BLANK Scale=6",,E$25,$N$4),E27)</f>
        <v>964</v>
      </c>
      <c r="H27" s="1072"/>
      <c r="I27" s="1075"/>
      <c r="J27" s="1075"/>
      <c r="L27" s="1047" t="s">
        <v>1470</v>
      </c>
      <c r="M27" s="1200">
        <f>AA59</f>
        <v>46.960000000000008</v>
      </c>
      <c r="N27" s="1076"/>
      <c r="P27" s="1074"/>
    </row>
    <row r="28" spans="2:42">
      <c r="D28" s="1077"/>
      <c r="E28" s="1077"/>
      <c r="H28" s="1075"/>
      <c r="I28" s="1075"/>
      <c r="J28" s="1075"/>
      <c r="M28" s="1073"/>
    </row>
    <row r="29" spans="2:42">
      <c r="C29" s="1047" t="s">
        <v>1492</v>
      </c>
      <c r="D29" s="1078">
        <f ca="1">D27/D26</f>
        <v>0.12512077294685992</v>
      </c>
      <c r="E29" s="1078">
        <f ca="1">E27/E26</f>
        <v>0.11377316180809631</v>
      </c>
      <c r="H29" s="1072">
        <f ca="1">IF(AND(D29&gt;0,E29&gt;0,ISNUMBER(D29),ISNUMBER(E29)),(E29/D29)^(1/$F$25)-1,"-")</f>
        <v>-1.8834923041510465E-2</v>
      </c>
      <c r="I29" s="1072">
        <f ca="1">((E27/D27)^(1/$F$25)-1)-H29-H26</f>
        <v>-2.9006564352426212E-3</v>
      </c>
      <c r="J29" s="1072">
        <f ca="1">H29+I29</f>
        <v>-2.1735579476753086E-2</v>
      </c>
      <c r="K29" s="1079"/>
      <c r="L29" s="1073"/>
      <c r="M29" s="1073"/>
      <c r="N29" s="1080"/>
    </row>
    <row r="30" spans="2:42">
      <c r="D30" s="1081"/>
      <c r="E30" s="1081"/>
      <c r="F30" s="1082"/>
      <c r="H30" s="1075"/>
      <c r="I30" s="1075"/>
      <c r="J30" s="1075"/>
      <c r="M30" s="1073"/>
      <c r="N30" s="1080"/>
    </row>
    <row r="31" spans="2:42" ht="14.25">
      <c r="B31" s="1047" t="s">
        <v>1649</v>
      </c>
      <c r="C31" s="1047" t="s">
        <v>703</v>
      </c>
      <c r="D31" s="1275" cm="1">
        <f t="array" aca="1" ref="D31" ca="1">IF(TSRSwitch=1,_xll.TR($D$22,$B31,"Sdate=#1 Period=#2 NULL=BLANK",,D$25,$N$4),D31)</f>
        <v>27.125</v>
      </c>
      <c r="E31" s="1275" cm="1">
        <f t="array" aca="1" ref="E31" ca="1">IF(TSRSwitch=1,_xll.TR($D$22,$B31,"Sdate=#1 Period=#2 NULL=BLANK",,E$25,$N$4),E31)</f>
        <v>117.32</v>
      </c>
      <c r="F31" s="1072"/>
      <c r="G31" s="1083"/>
      <c r="H31" s="1075"/>
      <c r="I31" s="1075"/>
      <c r="J31" s="1075"/>
      <c r="K31" s="1084" t="s">
        <v>1493</v>
      </c>
      <c r="M31" s="1073"/>
      <c r="Z31" s="1159" t="s">
        <v>1595</v>
      </c>
      <c r="AA31" s="1158" t="s">
        <v>1596</v>
      </c>
      <c r="AB31" s="1158" t="s">
        <v>1597</v>
      </c>
      <c r="AC31" s="1157"/>
      <c r="AD31" s="1157"/>
      <c r="AE31" s="1157"/>
      <c r="AF31" s="1157"/>
      <c r="AG31" s="1157"/>
      <c r="AH31" s="1157" t="s">
        <v>1598</v>
      </c>
      <c r="AI31" s="1157">
        <v>0</v>
      </c>
      <c r="AJ31" s="1157"/>
      <c r="AK31" s="1157"/>
      <c r="AL31" s="1157" t="s">
        <v>1599</v>
      </c>
      <c r="AM31" s="1157" t="s">
        <v>1600</v>
      </c>
      <c r="AN31" s="1157" t="s">
        <v>1601</v>
      </c>
      <c r="AO31" s="1157"/>
      <c r="AP31" s="1157"/>
    </row>
    <row r="32" spans="2:42" ht="14.25">
      <c r="C32" s="1047" t="s">
        <v>1494</v>
      </c>
      <c r="D32" s="1273">
        <f ca="1">D35/D31</f>
        <v>165.38600000000002</v>
      </c>
      <c r="E32" s="1273">
        <f ca="1">E35/E31</f>
        <v>135.86185399999914</v>
      </c>
      <c r="G32" s="1083"/>
      <c r="H32" s="1072">
        <f ca="1">IF(AND(D32&gt;0,E32&gt;0,ISNUMBER(D32),ISNUMBER(E32)),(D32/E32)^(1/$F$25)-1,"-")</f>
        <v>4.01123218802939E-2</v>
      </c>
      <c r="I32" s="1072"/>
      <c r="J32" s="1072">
        <f ca="1">H32</f>
        <v>4.01123218802939E-2</v>
      </c>
      <c r="L32" s="1085"/>
      <c r="M32" s="1073"/>
      <c r="Z32" s="1159" t="s">
        <v>1602</v>
      </c>
      <c r="AA32" s="1158" t="s">
        <v>1603</v>
      </c>
      <c r="AB32" s="1158" t="s">
        <v>1604</v>
      </c>
      <c r="AC32" s="1157"/>
      <c r="AD32" s="1157"/>
      <c r="AE32" s="1157"/>
      <c r="AF32" s="1157"/>
      <c r="AG32" s="1157"/>
      <c r="AH32" s="1157" t="s">
        <v>1605</v>
      </c>
      <c r="AI32" s="1157">
        <v>1</v>
      </c>
      <c r="AJ32" s="1157"/>
      <c r="AK32" s="1157"/>
      <c r="AL32" s="1157" t="s">
        <v>1606</v>
      </c>
      <c r="AM32" s="1157" t="s">
        <v>1607</v>
      </c>
      <c r="AN32" s="1157" t="s">
        <v>1608</v>
      </c>
      <c r="AO32" s="1157"/>
      <c r="AP32" s="1157"/>
    </row>
    <row r="33" spans="2:42" ht="14.25">
      <c r="D33" s="1102"/>
      <c r="E33" s="1102"/>
      <c r="G33" s="1083"/>
      <c r="H33" s="1072"/>
      <c r="I33" s="1072"/>
      <c r="J33" s="1072"/>
      <c r="L33" s="1085"/>
      <c r="M33" s="1073"/>
      <c r="Z33" s="1159"/>
      <c r="AA33" s="1158"/>
      <c r="AB33" s="1158"/>
      <c r="AC33" s="1157"/>
      <c r="AD33" s="1157"/>
      <c r="AE33" s="1157"/>
      <c r="AF33" s="1157"/>
      <c r="AG33" s="1157"/>
      <c r="AH33" s="1157"/>
      <c r="AI33" s="1157"/>
      <c r="AJ33" s="1157"/>
      <c r="AK33" s="1157"/>
      <c r="AL33" s="1157"/>
      <c r="AM33" s="1157"/>
      <c r="AN33" s="1157"/>
      <c r="AO33" s="1157"/>
      <c r="AP33" s="1157"/>
    </row>
    <row r="34" spans="2:42" ht="14.25">
      <c r="C34" s="1047" t="s">
        <v>814</v>
      </c>
      <c r="D34" s="1077">
        <f ca="1">D35</f>
        <v>4486.0952500000003</v>
      </c>
      <c r="E34" s="1077">
        <f ca="1">E35</f>
        <v>15939.312711279899</v>
      </c>
      <c r="G34" s="1083"/>
      <c r="H34" s="1075"/>
      <c r="I34" s="1075"/>
      <c r="J34" s="1075"/>
      <c r="L34" s="1083"/>
      <c r="M34" s="1074"/>
      <c r="Z34" s="1159" t="s">
        <v>1610</v>
      </c>
      <c r="AA34" s="1158" t="s">
        <v>1611</v>
      </c>
      <c r="AB34" s="1158" t="s">
        <v>1612</v>
      </c>
      <c r="AC34" s="1157"/>
      <c r="AD34" s="1157"/>
      <c r="AE34" s="1157"/>
      <c r="AF34" s="1157"/>
      <c r="AG34" s="1157"/>
      <c r="AH34" s="1157" t="s">
        <v>1613</v>
      </c>
      <c r="AI34" s="1157">
        <v>2</v>
      </c>
      <c r="AJ34" s="1157"/>
      <c r="AK34" s="1157"/>
      <c r="AL34" s="1157" t="s">
        <v>1614</v>
      </c>
      <c r="AM34" s="1157" t="s">
        <v>1615</v>
      </c>
      <c r="AN34" s="1157" t="s">
        <v>1616</v>
      </c>
      <c r="AO34" s="1157"/>
      <c r="AP34" s="1157"/>
    </row>
    <row r="35" spans="2:42" ht="14.25">
      <c r="B35" s="763" t="s">
        <v>1547</v>
      </c>
      <c r="D35" s="1102" cm="1">
        <f t="array" aca="1" ref="D35" ca="1">IF(TSRSwitch=1,_xll.TR($D$22,$B35,"Sdate=#1 Period=#2 NULL=BLANK Scale=6",,D$25,$N$4),D35)</f>
        <v>4486.0952500000003</v>
      </c>
      <c r="E35" s="1102" cm="1">
        <f t="array" aca="1" ref="E35" ca="1">IF(TSRSwitch=1,_xll.TR($D$22,$B35,"Sdate=#1 Period=#2 NULL=BLANK Scale=6",,E$25,$N$4),E35)</f>
        <v>15939.312711279899</v>
      </c>
      <c r="G35" s="1083"/>
      <c r="H35" s="1075"/>
      <c r="I35" s="1075"/>
      <c r="J35" s="1075"/>
      <c r="L35" s="1083"/>
      <c r="M35" s="1074"/>
      <c r="Z35" s="1159" t="s">
        <v>1618</v>
      </c>
      <c r="AA35" s="1158" t="s">
        <v>1619</v>
      </c>
      <c r="AB35" s="1158" t="s">
        <v>1620</v>
      </c>
      <c r="AC35" s="1157"/>
      <c r="AD35" s="1157"/>
      <c r="AE35" s="1157"/>
      <c r="AF35" s="1157"/>
      <c r="AG35" s="1157"/>
      <c r="AH35" s="1157" t="s">
        <v>1621</v>
      </c>
      <c r="AI35" s="1157">
        <v>3</v>
      </c>
      <c r="AJ35" s="1157"/>
      <c r="AK35" s="1157"/>
      <c r="AL35" s="1157" t="s">
        <v>1622</v>
      </c>
      <c r="AM35" s="1157" t="s">
        <v>1623</v>
      </c>
      <c r="AN35" s="1157" t="s">
        <v>1624</v>
      </c>
      <c r="AO35" s="1157"/>
      <c r="AP35" s="1157"/>
    </row>
    <row r="36" spans="2:42" ht="14.25">
      <c r="D36" s="1077"/>
      <c r="E36" s="1077"/>
      <c r="G36" s="1083"/>
      <c r="H36" s="1075"/>
      <c r="I36" s="1075"/>
      <c r="J36" s="1075"/>
      <c r="L36" s="1083"/>
      <c r="M36" s="1074"/>
      <c r="Z36" s="1159"/>
      <c r="AA36" s="1158"/>
      <c r="AB36" s="1158"/>
      <c r="AC36" s="1157"/>
      <c r="AD36" s="1157"/>
      <c r="AE36" s="1157"/>
      <c r="AF36" s="1157"/>
      <c r="AG36" s="1157"/>
      <c r="AH36" s="1157"/>
      <c r="AI36" s="1157"/>
      <c r="AJ36" s="1157"/>
      <c r="AK36" s="1157"/>
      <c r="AL36" s="1157" t="s">
        <v>1627</v>
      </c>
      <c r="AM36" s="1157" t="s">
        <v>1628</v>
      </c>
      <c r="AN36" s="1157" t="s">
        <v>1629</v>
      </c>
      <c r="AO36" s="1157"/>
      <c r="AP36" s="1157"/>
    </row>
    <row r="37" spans="2:42" ht="14.25">
      <c r="D37" s="1077"/>
      <c r="E37" s="1077"/>
      <c r="G37" s="1083"/>
      <c r="H37" s="1075"/>
      <c r="I37" s="1075"/>
      <c r="J37" s="1075"/>
      <c r="L37" s="1083"/>
      <c r="M37" s="1074"/>
      <c r="Z37" s="1157"/>
      <c r="AA37" s="1157"/>
      <c r="AB37" s="1157"/>
      <c r="AC37" s="1157"/>
      <c r="AD37" s="1157"/>
      <c r="AE37" s="1157"/>
      <c r="AF37" s="1157"/>
      <c r="AG37" s="1157"/>
      <c r="AH37" s="1157" t="s">
        <v>1631</v>
      </c>
      <c r="AI37" s="1157">
        <v>4</v>
      </c>
      <c r="AJ37" s="1157"/>
      <c r="AK37" s="1157"/>
      <c r="AL37" s="1157"/>
      <c r="AM37" s="1157"/>
      <c r="AN37" s="1157"/>
      <c r="AO37" s="1157"/>
      <c r="AP37" s="1157"/>
    </row>
    <row r="38" spans="2:42" ht="14.25">
      <c r="C38" s="1087" t="s">
        <v>1495</v>
      </c>
      <c r="D38" s="1088">
        <f ca="1">D43+D40</f>
        <v>1652.75</v>
      </c>
      <c r="E38" s="1088">
        <f ca="1">E43+E40</f>
        <v>6057</v>
      </c>
      <c r="G38" s="1083"/>
      <c r="H38" s="1075"/>
      <c r="I38" s="1075"/>
      <c r="J38" s="1075"/>
      <c r="L38" s="1083"/>
      <c r="M38" s="1074"/>
      <c r="AC38" s="1161"/>
      <c r="AD38" s="1157"/>
      <c r="AE38" s="1157"/>
      <c r="AF38" s="1157"/>
      <c r="AG38" s="1157"/>
      <c r="AH38" s="1157"/>
    </row>
    <row r="39" spans="2:42" ht="14.25">
      <c r="D39" s="1077"/>
      <c r="E39" s="1077"/>
      <c r="G39" s="1083"/>
      <c r="H39" s="1075"/>
      <c r="I39" s="1075"/>
      <c r="J39" s="1075"/>
      <c r="L39" s="1083"/>
      <c r="M39" s="1074"/>
      <c r="AC39" s="1161"/>
      <c r="AD39" s="1157"/>
      <c r="AE39" s="1157"/>
      <c r="AF39" s="1157"/>
      <c r="AG39" s="1157"/>
      <c r="AH39" s="1157"/>
    </row>
    <row r="40" spans="2:42" ht="14.25">
      <c r="B40" s="1047" t="s">
        <v>1549</v>
      </c>
      <c r="C40" s="1047" t="s">
        <v>1496</v>
      </c>
      <c r="D40" s="1102" cm="1">
        <f t="array" aca="1" ref="D40" ca="1">IF(TSRSwitch=1,_xll.TR($D$22,$B40,"Sdate=#1 Period=#2 NULL=BLANK Scale=6",,D$25,$N$4),D40)</f>
        <v>82.5</v>
      </c>
      <c r="E40" s="1102" cm="1">
        <f t="array" aca="1" ref="E40" ca="1">IF(TSRSwitch=1,_xll.TR($D$22,$B40,"Sdate=#1 Period=#2 NULL=BLANK Scale=6",,E$25,$N$4),E40)</f>
        <v>649.5</v>
      </c>
      <c r="G40" s="1083"/>
      <c r="H40" s="1075"/>
      <c r="I40" s="1075"/>
      <c r="J40" s="1075"/>
      <c r="L40" s="1083"/>
      <c r="M40" s="1074"/>
      <c r="Z40" s="1160" t="s">
        <v>1625</v>
      </c>
      <c r="AA40" s="1549" t="s">
        <v>1599</v>
      </c>
      <c r="AB40" s="1550"/>
      <c r="AC40" s="1161" t="s">
        <v>1626</v>
      </c>
      <c r="AD40" s="1157"/>
      <c r="AE40" s="1157"/>
      <c r="AF40" s="1157"/>
      <c r="AG40" s="1157"/>
      <c r="AH40" s="1157"/>
    </row>
    <row r="41" spans="2:42" ht="14.25">
      <c r="C41" s="1047" t="s">
        <v>1497</v>
      </c>
      <c r="D41" s="1086">
        <v>0</v>
      </c>
      <c r="E41" s="1086">
        <v>0</v>
      </c>
      <c r="G41" s="1083"/>
      <c r="H41" s="1075"/>
      <c r="I41" s="1075"/>
      <c r="J41" s="1075"/>
      <c r="L41" s="1083"/>
      <c r="M41" s="1047">
        <f>110000*2000/10^6</f>
        <v>220</v>
      </c>
      <c r="Z41" s="1160" t="s">
        <v>1630</v>
      </c>
      <c r="AA41" s="1549">
        <f>D22</f>
        <v>0</v>
      </c>
      <c r="AB41" s="1550"/>
      <c r="AC41" s="1161" t="e">
        <f ca="1">_xll.TR(AA41,"TR.CompanyName","NULL=BLANK")</f>
        <v>#NAME?</v>
      </c>
      <c r="AD41" s="1157"/>
      <c r="AE41" s="1157"/>
      <c r="AF41" s="1157"/>
      <c r="AG41" s="1157"/>
      <c r="AH41" s="1157"/>
    </row>
    <row r="42" spans="2:42" ht="14.25">
      <c r="D42" s="1077"/>
      <c r="E42" s="1077"/>
      <c r="G42" s="1083"/>
      <c r="H42" s="1075"/>
      <c r="I42" s="1075"/>
      <c r="J42" s="1075"/>
      <c r="L42" s="1083"/>
      <c r="M42" s="1074"/>
      <c r="Z42" s="1160" t="s">
        <v>1632</v>
      </c>
      <c r="AA42" s="1549" t="s">
        <v>1596</v>
      </c>
      <c r="AB42" s="1550"/>
      <c r="AC42" s="1161" t="str">
        <f>INDEX('TSR decomposition'!AB31:AB35,MATCH(AA42,'TSR decomposition'!AA31:AA35,0),1)</f>
        <v>Gross Dividend unadjusted for corporate actions.</v>
      </c>
      <c r="AD42" s="1157"/>
      <c r="AE42" s="1157"/>
      <c r="AF42" s="1157"/>
      <c r="AG42" s="1157"/>
      <c r="AH42" s="1157"/>
    </row>
    <row r="43" spans="2:42" ht="14.25">
      <c r="B43" s="1156" t="s">
        <v>1594</v>
      </c>
      <c r="C43" s="1047" t="s">
        <v>467</v>
      </c>
      <c r="D43" s="1102" cm="1">
        <f t="array" aca="1" ref="D43" ca="1">IF(TSRSwitch=1,_xll.TR($D$22,$B43,"Sdate=#1 Period=#2 NULL=BLANK Scale=6",,D$25,$N$4),D43)</f>
        <v>1570.25</v>
      </c>
      <c r="E43" s="1102" cm="1">
        <f t="array" aca="1" ref="E43" ca="1">IF(TSRSwitch=1,_xll.TR($D$22,$B43,"Sdate=#1 Period=#2 NULL=BLANK Scale=6",,E$25,$N$4),E43)</f>
        <v>5407.5</v>
      </c>
      <c r="G43" s="1083"/>
      <c r="H43" s="1075"/>
      <c r="I43" s="1075"/>
      <c r="J43" s="1075"/>
      <c r="L43" s="1083"/>
      <c r="Z43" s="1160" t="s">
        <v>1633</v>
      </c>
      <c r="AA43" s="1549" t="s">
        <v>1598</v>
      </c>
      <c r="AB43" s="1550"/>
      <c r="AC43" s="1161"/>
      <c r="AD43" s="1157"/>
      <c r="AE43" s="1157"/>
      <c r="AF43" s="1157"/>
      <c r="AG43" s="1157"/>
      <c r="AH43" s="1157"/>
    </row>
    <row r="44" spans="2:42" ht="14.25">
      <c r="D44" s="1077"/>
      <c r="E44" s="1077"/>
      <c r="G44" s="1083"/>
      <c r="H44" s="1075"/>
      <c r="I44" s="1075"/>
      <c r="J44" s="1075"/>
      <c r="L44" s="1083"/>
      <c r="M44" s="1074"/>
      <c r="Z44" s="1160" t="s">
        <v>1634</v>
      </c>
      <c r="AA44" s="1549" t="s">
        <v>1635</v>
      </c>
      <c r="AB44" s="1550"/>
      <c r="AC44" s="1161" t="e">
        <f ca="1">"The amounts will be nominated in "&amp;IF(AA44="No",AA45,_xll.TR(AA41,"TR.DivCurr","NULL=BLANK"))</f>
        <v>#NAME?</v>
      </c>
      <c r="AD44" s="1157"/>
      <c r="AE44" s="1157"/>
      <c r="AF44" s="1157"/>
      <c r="AG44" s="1157"/>
      <c r="AH44" s="1157"/>
    </row>
    <row r="45" spans="2:42" ht="14.25">
      <c r="B45" s="763" t="s">
        <v>1418</v>
      </c>
      <c r="D45" s="1102" t="str" cm="1">
        <f t="array" aca="1" ref="D45" ca="1">IF(TSRSwitch=1,_xll.TR($D$22,$B45,"Sdate=#1 Period=#2 NULL=BLANK Scale=6",,D$25,$N$4),D45)</f>
        <v/>
      </c>
      <c r="E45" s="1102" cm="1">
        <f t="array" aca="1" ref="E45" ca="1">IF(TSRSwitch=1,_xll.TR($D$22,$B45,"Sdate=#1 Period=#2 NULL=BLANK Scale=6",,E$25,$N$4),E45)</f>
        <v>21078.312711279999</v>
      </c>
      <c r="G45" s="1083"/>
      <c r="H45" s="1075"/>
      <c r="I45" s="1075"/>
      <c r="J45" s="1075"/>
      <c r="L45" s="1083"/>
      <c r="M45" s="1074"/>
      <c r="Z45" s="1160" t="s">
        <v>1636</v>
      </c>
      <c r="AA45" s="1551"/>
      <c r="AB45" s="1552"/>
      <c r="AC45" s="1161"/>
      <c r="AD45" s="1157"/>
      <c r="AE45" s="1157"/>
      <c r="AF45" s="1157"/>
      <c r="AG45" s="1157"/>
      <c r="AH45" s="1157"/>
    </row>
    <row r="46" spans="2:42" ht="14.25">
      <c r="C46" s="1047" t="s">
        <v>609</v>
      </c>
      <c r="D46" s="1077">
        <f ca="1">D43+D34</f>
        <v>6056.3452500000003</v>
      </c>
      <c r="E46" s="1077">
        <f ca="1">E43+E34</f>
        <v>21346.812711279897</v>
      </c>
      <c r="G46" s="1083"/>
      <c r="H46" s="1075"/>
      <c r="I46" s="1075"/>
      <c r="J46" s="1075"/>
      <c r="L46" s="1083"/>
      <c r="M46" s="1074"/>
      <c r="Z46" s="1160"/>
      <c r="AA46" s="1157"/>
      <c r="AB46" s="1157"/>
      <c r="AC46" s="1157"/>
      <c r="AD46" s="1157"/>
      <c r="AE46" s="1157"/>
      <c r="AF46" s="1157"/>
      <c r="AG46" s="1157"/>
      <c r="AH46" s="1157"/>
    </row>
    <row r="47" spans="2:42" ht="20.25">
      <c r="B47" s="763"/>
      <c r="D47" s="1089"/>
      <c r="E47" s="1089"/>
      <c r="G47" s="1083"/>
      <c r="H47" s="1075"/>
      <c r="I47" s="1075"/>
      <c r="J47" s="1075"/>
      <c r="L47" s="1083"/>
      <c r="M47" s="1074"/>
      <c r="Z47" s="1162"/>
      <c r="AA47" s="1163" t="s">
        <v>1637</v>
      </c>
      <c r="AB47" s="1163" t="s">
        <v>1638</v>
      </c>
      <c r="AC47" s="1161"/>
      <c r="AD47" s="1157"/>
      <c r="AE47" s="1157"/>
      <c r="AF47" s="1157"/>
      <c r="AG47" s="1157"/>
      <c r="AH47" s="1157"/>
    </row>
    <row r="48" spans="2:42" ht="14.25">
      <c r="B48" s="763"/>
      <c r="D48" s="1077"/>
      <c r="E48" s="1077"/>
      <c r="G48" s="1083"/>
      <c r="H48" s="1075"/>
      <c r="I48" s="1075"/>
      <c r="J48" s="1075"/>
      <c r="L48" s="1083"/>
      <c r="M48" s="1074"/>
      <c r="Z48" s="1164" t="s">
        <v>1639</v>
      </c>
      <c r="AA48" s="1165">
        <f ca="1">IF(TSRSwitch=1,_xll.TR(AA41,"TR.TotalReturn(sdate=#1 edate=#2)","NULL=BLANK",,AA54,AB54),AA48)</f>
        <v>864.408680592873</v>
      </c>
      <c r="AB48" s="1166">
        <f ca="1">((1+AA48/100)^(1/YEARFRAC($AB$54,$AA$54,VLOOKUP(AA43,AH31:AI37,2,FALSE)))-1)*100</f>
        <v>9.1089160999272334</v>
      </c>
      <c r="AC48" s="1167" t="s">
        <v>1640</v>
      </c>
      <c r="AD48" s="1157"/>
      <c r="AE48" s="1157"/>
      <c r="AF48" s="1157"/>
      <c r="AG48" s="1157"/>
      <c r="AH48" s="1158"/>
    </row>
    <row r="49" spans="3:34" ht="14.25">
      <c r="C49" s="1047" t="s">
        <v>1498</v>
      </c>
      <c r="D49" s="1089">
        <f ca="1">D46/D27</f>
        <v>11.691786196911197</v>
      </c>
      <c r="E49" s="1089">
        <f ca="1">E46/E27</f>
        <v>22.143996588464624</v>
      </c>
      <c r="G49" s="1083"/>
      <c r="H49" s="1072">
        <f ca="1">IF(AND(D49&gt;0,E49&gt;0,ISNUMBER(D49),ISNUMBER(E49)),(E49/D49)^(1/$F$25)-1,"-")</f>
        <v>0.13625296152949673</v>
      </c>
      <c r="I49" s="1072">
        <f ca="1">H58-I29</f>
        <v>3.0058059422072958E-2</v>
      </c>
      <c r="J49" s="1072">
        <f ca="1">H49+I49</f>
        <v>0.16631102095156969</v>
      </c>
      <c r="L49" s="1085"/>
      <c r="M49" s="1073"/>
      <c r="Z49" s="1164"/>
      <c r="AA49" s="1168"/>
      <c r="AB49" s="1169">
        <f ca="1">(AB55/AA55)^(1/$F$25)-1</f>
        <v>0.34029519764321914</v>
      </c>
      <c r="AC49" s="1167"/>
      <c r="AD49" s="1157"/>
      <c r="AE49" s="1157"/>
      <c r="AF49" s="1157"/>
      <c r="AG49" s="1157"/>
      <c r="AH49" s="1158"/>
    </row>
    <row r="50" spans="3:34" ht="14.25">
      <c r="C50" s="1047" t="s">
        <v>1499</v>
      </c>
      <c r="D50" s="1078">
        <f ca="1">D43/D46</f>
        <v>0.25927352804069415</v>
      </c>
      <c r="E50" s="1078">
        <f ca="1">E43/E46</f>
        <v>0.25331650551946877</v>
      </c>
      <c r="G50" s="1083"/>
      <c r="H50" s="1075"/>
      <c r="I50" s="1075"/>
      <c r="J50" s="1075"/>
      <c r="L50" s="1083"/>
      <c r="M50" s="1073"/>
      <c r="Z50" s="1164"/>
      <c r="AA50" s="1168"/>
      <c r="AB50" s="1169"/>
      <c r="AC50" s="1167"/>
      <c r="AD50" s="1157"/>
      <c r="AE50" s="1157"/>
      <c r="AF50" s="1157"/>
      <c r="AG50" s="1157"/>
      <c r="AH50" s="1158"/>
    </row>
    <row r="51" spans="3:34" ht="14.25">
      <c r="C51" s="1047" t="s">
        <v>1500</v>
      </c>
      <c r="D51" s="1078">
        <f ca="1">1-D50</f>
        <v>0.74072647195930585</v>
      </c>
      <c r="E51" s="1078">
        <f ca="1">1-E50</f>
        <v>0.74668349448053117</v>
      </c>
      <c r="G51" s="1083"/>
      <c r="H51" s="1072">
        <f ca="1">IF(AND(D51&gt;0,E51&gt;0,ISNUMBER(D51),ISNUMBER(E51)),(E51/D51)^(1/$F$25)-1,"-")</f>
        <v>1.6032778150634197E-3</v>
      </c>
      <c r="I51" s="1072"/>
      <c r="J51" s="1072">
        <f ca="1">H51</f>
        <v>1.6032778150634197E-3</v>
      </c>
      <c r="L51" s="1085"/>
      <c r="M51" s="1073"/>
      <c r="Z51" s="1164"/>
      <c r="AA51" s="1168"/>
      <c r="AB51" s="1169"/>
      <c r="AC51" s="1167"/>
      <c r="AD51" s="1157"/>
      <c r="AE51" s="1157"/>
      <c r="AF51" s="1157"/>
      <c r="AG51" s="1157"/>
      <c r="AH51" s="1158"/>
    </row>
    <row r="52" spans="3:34" ht="14.25">
      <c r="D52" s="1077"/>
      <c r="E52" s="1077"/>
      <c r="G52" s="1083"/>
      <c r="H52" s="1075"/>
      <c r="I52" s="1075"/>
      <c r="J52" s="1075"/>
      <c r="L52" s="1083"/>
      <c r="M52" s="1074"/>
      <c r="Z52" s="1553" t="s">
        <v>1641</v>
      </c>
      <c r="AA52" s="1553"/>
      <c r="AB52" s="1553"/>
      <c r="AC52" s="1553"/>
      <c r="AD52" s="1553"/>
      <c r="AE52" s="1553"/>
      <c r="AF52" s="1553"/>
      <c r="AG52" s="1157"/>
      <c r="AH52" s="1157"/>
    </row>
    <row r="53" spans="3:34" ht="13.15">
      <c r="C53" s="1047" t="s">
        <v>1501</v>
      </c>
      <c r="D53" s="1077"/>
      <c r="E53" s="1090">
        <f ca="1">(E31/D31)^(1/$F$25)-1</f>
        <v>0.34029519764321914</v>
      </c>
      <c r="F53" s="1091"/>
      <c r="G53" s="1083"/>
      <c r="H53" s="1075"/>
      <c r="I53" s="1075"/>
      <c r="J53" s="1075"/>
      <c r="L53" s="1083"/>
      <c r="M53" s="1074"/>
      <c r="Z53" s="1162"/>
      <c r="AA53" s="1170"/>
      <c r="AB53" s="1162"/>
      <c r="AC53" s="1162"/>
      <c r="AD53" s="1162"/>
      <c r="AE53" s="1162"/>
      <c r="AF53" s="1162"/>
      <c r="AG53" s="1162"/>
      <c r="AH53" s="1162"/>
    </row>
    <row r="54" spans="3:34" ht="20.25">
      <c r="C54" s="1087" t="s">
        <v>1502</v>
      </c>
      <c r="D54" s="1077"/>
      <c r="E54" s="1092">
        <f ca="1">+((E31+SUM(AE62:AE1048576))/D31)^(1/$F$25)-1</f>
        <v>0.43364950622675558</v>
      </c>
      <c r="F54" s="1091"/>
      <c r="G54" s="1083" t="s">
        <v>1503</v>
      </c>
      <c r="H54" s="1075"/>
      <c r="I54" s="1075"/>
      <c r="J54" s="1075"/>
      <c r="K54" s="1084" t="s">
        <v>1493</v>
      </c>
      <c r="M54" s="1074"/>
      <c r="Z54" s="1162"/>
      <c r="AA54" s="1193">
        <f ca="1">IF(TSRSwitch=1,_xll.TR(AA41,"TR.PriceClose(Sdate=#1).date","NULL=BLANK",,K3),AA54)</f>
        <v>34771</v>
      </c>
      <c r="AB54" s="1193">
        <f ca="1">IF(TSRSwitch=1,_xll.TR(AA41,"TR.PriceClose(Sdate=#1).date","NULL=BLANK",,K4),AB54)</f>
        <v>44267</v>
      </c>
      <c r="AC54" s="1193" t="s">
        <v>1642</v>
      </c>
      <c r="AD54" s="1162"/>
      <c r="AE54" s="1172"/>
      <c r="AF54" s="1162"/>
      <c r="AG54" s="1162"/>
      <c r="AH54" s="1162"/>
    </row>
    <row r="55" spans="3:34" ht="13.15">
      <c r="C55" s="1047" t="s">
        <v>1504</v>
      </c>
      <c r="D55" s="1073"/>
      <c r="E55" s="1090">
        <f ca="1">+E54-E53</f>
        <v>9.3354308583536438E-2</v>
      </c>
      <c r="F55" s="1091"/>
      <c r="H55" s="1072">
        <f ca="1">E55</f>
        <v>9.3354308583536438E-2</v>
      </c>
      <c r="I55" s="1072"/>
      <c r="J55" s="1072">
        <f ca="1">H55</f>
        <v>9.3354308583536438E-2</v>
      </c>
      <c r="L55" s="1093"/>
      <c r="M55" s="1073"/>
      <c r="Z55" s="1173" t="s">
        <v>1643</v>
      </c>
      <c r="AA55" s="1169">
        <f ca="1">IF(TSRSwitch=1,_xll.TR(AA41,"TR.PriceClose(SDate=#1 CURN=#2)","NULL=BLANK",,AA54,AC55),AA55)</f>
        <v>27.125</v>
      </c>
      <c r="AB55" s="1169">
        <f ca="1">IF(TSRSwitch=1,_xll.TR(AA41,"TR.PriceClose(SDate=#1 CURN=#2)","NULL=BLANK",,AB54,AC55),AB55)</f>
        <v>117.32</v>
      </c>
      <c r="AC55" s="1174" t="str">
        <f ca="1">IF(TSRSwitch=1,IF(AA44="Yes",_xll.TR(AA41,"TR.AnnDivDivCurr","NULL=BLANK"),AA45),AC55)</f>
        <v>USD</v>
      </c>
      <c r="AD55" s="1162"/>
      <c r="AE55" s="1162"/>
      <c r="AF55" s="1162"/>
      <c r="AG55" s="1162"/>
      <c r="AH55" s="1162"/>
    </row>
    <row r="56" spans="3:34" ht="14.25">
      <c r="E56" s="1080"/>
      <c r="F56" s="1094"/>
      <c r="H56" s="1075"/>
      <c r="I56" s="1075"/>
      <c r="J56" s="1075"/>
      <c r="Z56" s="1175"/>
      <c r="AA56" s="1176"/>
      <c r="AB56" s="1176"/>
      <c r="AC56" s="1174"/>
      <c r="AD56" s="1161"/>
      <c r="AE56" s="1157"/>
      <c r="AF56" s="1157"/>
      <c r="AG56" s="1157"/>
      <c r="AH56" s="1157"/>
    </row>
    <row r="57" spans="3:34" ht="14.25">
      <c r="C57" s="1047" t="s">
        <v>1505</v>
      </c>
      <c r="F57" s="1080"/>
      <c r="H57" s="1095">
        <f ca="1">SUM(H26:H56)</f>
        <v>0.40649210323992502</v>
      </c>
      <c r="I57" s="1075"/>
      <c r="J57" s="1095"/>
      <c r="Z57" s="1162" t="e">
        <f ca="1">"Dividends recorded with the "&amp;AA40&amp;" between "&amp;TEXT(K3,"dd-mmm-yy")&amp;" and "&amp;TEXT(K4,"dd-mmm-yy")&amp;" by "&amp;_xll.TR(AA41,"TR.CompanyName","NULL=BLANK")</f>
        <v>#NAME?</v>
      </c>
      <c r="AA57" s="1157"/>
      <c r="AB57" s="1157"/>
      <c r="AC57" s="1167"/>
      <c r="AD57" s="1157"/>
      <c r="AE57" s="1157"/>
      <c r="AF57" s="1157"/>
      <c r="AG57" s="1177"/>
      <c r="AH57" s="1157"/>
    </row>
    <row r="58" spans="3:34" ht="14.25">
      <c r="C58" s="1047" t="s">
        <v>1506</v>
      </c>
      <c r="F58" s="1080"/>
      <c r="H58" s="1095">
        <f ca="1">H60-H57</f>
        <v>2.7157402986830337E-2</v>
      </c>
      <c r="I58" s="1075"/>
      <c r="J58" s="1075"/>
      <c r="Z58" s="1162"/>
      <c r="AA58" s="1157"/>
      <c r="AB58" s="1157"/>
      <c r="AC58" s="1167"/>
      <c r="AD58" s="1157"/>
      <c r="AE58" s="1157"/>
      <c r="AF58" s="1157"/>
      <c r="AG58" s="1157"/>
      <c r="AH58" s="1157"/>
    </row>
    <row r="59" spans="3:34" ht="39">
      <c r="F59" s="1080"/>
      <c r="H59" s="1095"/>
      <c r="I59" s="1075"/>
      <c r="J59" s="1075"/>
      <c r="Z59" s="1178" t="str">
        <f>"Total dividends paid between "&amp;TEXT(K3,"dd-mmm-yy")&amp;" and "&amp;TEXT(K4,"dd-mmm-yy")</f>
        <v>Total dividends paid between 10-Apr-18 and 10-Apr-23</v>
      </c>
      <c r="AA59" s="1179">
        <f>SUM(AE62:AE1048576)</f>
        <v>46.960000000000008</v>
      </c>
      <c r="AB59" s="1180" t="str">
        <f ca="1">IF($AA$44="Yes",$AC$55,$AA$45)</f>
        <v>USD</v>
      </c>
      <c r="AC59" s="1167"/>
      <c r="AD59" s="1157"/>
      <c r="AE59" s="1157"/>
      <c r="AF59" s="1157"/>
      <c r="AG59" s="1157"/>
      <c r="AH59" s="1157"/>
    </row>
    <row r="60" spans="3:34" ht="14.25">
      <c r="C60" s="1047" t="s">
        <v>168</v>
      </c>
      <c r="F60" s="1080"/>
      <c r="H60" s="1095">
        <f ca="1">(1+H26)*(1+H29)*(1+H32)*(1+H49)*(1+H51)-1+H55</f>
        <v>0.43364950622675535</v>
      </c>
      <c r="I60" s="1075"/>
      <c r="J60" s="1095">
        <f ca="1">SUM(J26:J55)</f>
        <v>0.43364950622675535</v>
      </c>
      <c r="Z60" s="1181"/>
      <c r="AA60" s="1182"/>
      <c r="AB60" s="1183"/>
      <c r="AC60" s="1161"/>
      <c r="AD60" s="1157"/>
      <c r="AE60" s="1157"/>
      <c r="AF60" s="1157"/>
      <c r="AG60" s="1157"/>
      <c r="AH60" s="1157"/>
    </row>
    <row r="61" spans="3:34" ht="30.4">
      <c r="F61" s="1080"/>
      <c r="H61" s="1095"/>
      <c r="I61" s="1075"/>
      <c r="J61" s="1095"/>
      <c r="Z61" s="1171" t="str">
        <f>"Ordered by "&amp;AA40</f>
        <v>Ordered by Dividend Ex Date</v>
      </c>
      <c r="AA61" s="1163" t="s">
        <v>1614</v>
      </c>
      <c r="AB61" s="1163" t="s">
        <v>1622</v>
      </c>
      <c r="AC61" s="1163" t="s">
        <v>1599</v>
      </c>
      <c r="AD61" s="1163" t="s">
        <v>1644</v>
      </c>
      <c r="AE61" s="1171" t="str">
        <f>AA42</f>
        <v>Unadjusted Gross Dividend</v>
      </c>
      <c r="AF61" s="1163" t="s">
        <v>1645</v>
      </c>
      <c r="AG61" s="1163" t="s">
        <v>1646</v>
      </c>
      <c r="AH61" s="1163" t="s">
        <v>1647</v>
      </c>
    </row>
    <row r="62" spans="3:34" ht="13.15">
      <c r="C62" s="1096" t="s">
        <v>1507</v>
      </c>
      <c r="F62" s="1079"/>
      <c r="H62" s="1097" t="str">
        <f ca="1">IF(ABS(H60-E54)&lt;0.0001,"OK","CHECK")</f>
        <v>OK</v>
      </c>
      <c r="I62" s="1098"/>
      <c r="J62" s="1097" t="str">
        <f ca="1">IF(ABS(J60-E54)&lt;0.0001,"OK","CHECK")</f>
        <v>OK</v>
      </c>
      <c r="Z62" s="1187">
        <f ca="1">IF(TSRSwitch=1,_xll.TR($AA$41,VLOOKUP(AA40,'TSR decomposition'!AL31:AN36,3,FALSE)&amp;";TR.DivRecordDate;TR.DivPayDate;TR.DivExDate;TR.DivTaxStatus;"&amp;INDEX('TSR decomposition'!Z31:Z35,MATCH(AA42,'TSR decomposition'!AA31:AA35,0),1),"Sdate=#1 Edate=#2 CURN=#3  NULL=BLANK datetype="&amp;VLOOKUP(AA40,'TSR decomposition'!AL31:AM36,2,FALSE)&amp;" SortA=TR.DivPayDate",$Z$62:$AE$226,$K$3,$K$4,IF(AA44="Yes",$AC$55,AA45)),Z62)</f>
        <v>34864</v>
      </c>
      <c r="AA62" s="1173">
        <v>34866</v>
      </c>
      <c r="AB62" s="1173">
        <v>34883</v>
      </c>
      <c r="AC62" s="1173">
        <v>34864</v>
      </c>
      <c r="AD62" s="1184" t="s">
        <v>1648</v>
      </c>
      <c r="AE62" s="1185">
        <v>0.4</v>
      </c>
      <c r="AF62" s="1186" t="str">
        <f ca="1">IF(AE62&lt;&gt;"",IF($AA$44="Yes",$AC$55,$AA$45),"")</f>
        <v>USD</v>
      </c>
      <c r="AG62" s="1166" t="e">
        <f ca="1">IF(AC62="","",_xll.RHistory($AA$41,".Close","END:"&amp;AC62&amp;" NBROWS:1 ADJUSTED:NO INTERVAL:1D",,"TSREPEAT:NO"))</f>
        <v>#NAME?</v>
      </c>
      <c r="AH62" s="1166" t="e">
        <f ca="1">IF(AC62="","",_xll.RHistory($AA$41,".Close","END:"&amp;AC62&amp;" NBROWS:1 ADJUSTED:YES INTERVAL:1D",,"TSREPEAT:NO"))</f>
        <v>#NAME?</v>
      </c>
    </row>
    <row r="63" spans="3:34">
      <c r="Z63" s="1048">
        <v>34956</v>
      </c>
      <c r="AA63" s="1048">
        <v>34960</v>
      </c>
      <c r="AB63" s="1048">
        <v>34974</v>
      </c>
      <c r="AC63" s="1048">
        <v>34956</v>
      </c>
      <c r="AD63" s="1047" t="s">
        <v>1648</v>
      </c>
      <c r="AE63" s="1047">
        <v>0.42</v>
      </c>
      <c r="AF63" s="1186" t="str">
        <f t="shared" ref="AF63:AF126" ca="1" si="1">IF(AE63&lt;&gt;"",IF($AA$44="Yes",$AC$55,$AA$45),"")</f>
        <v>USD</v>
      </c>
      <c r="AG63" s="1166" t="e">
        <f ca="1">IF(AC63="","",_xll.RHistory($AA$41,".Close","END:"&amp;AC63&amp;" NBROWS:1 ADJUSTED:NO INTERVAL:1D",,"TSREPEAT:NO"))</f>
        <v>#NAME?</v>
      </c>
      <c r="AH63" s="1166" t="e">
        <f ca="1">IF(AC63="","",_xll.RHistory($AA$41,".Close","END:"&amp;AC63&amp;" NBROWS:1 ADJUSTED:YES INTERVAL:1D",,"TSREPEAT:NO"))</f>
        <v>#NAME?</v>
      </c>
    </row>
    <row r="64" spans="3:34">
      <c r="C64" s="1099" t="s">
        <v>1508</v>
      </c>
      <c r="Z64" s="1048">
        <v>35047</v>
      </c>
      <c r="AA64" s="1048">
        <v>35051</v>
      </c>
      <c r="AB64" s="1048">
        <v>35066</v>
      </c>
      <c r="AC64" s="1048">
        <v>35047</v>
      </c>
      <c r="AD64" s="1047" t="s">
        <v>1648</v>
      </c>
      <c r="AE64" s="1047">
        <v>0.42</v>
      </c>
      <c r="AF64" s="1186" t="str">
        <f t="shared" ca="1" si="1"/>
        <v>USD</v>
      </c>
      <c r="AG64" s="1166" t="e">
        <f ca="1">IF(AC64="","",_xll.RHistory($AA$41,".Close","END:"&amp;AC64&amp;" NBROWS:1 ADJUSTED:NO INTERVAL:1D",,"TSREPEAT:NO"))</f>
        <v>#NAME?</v>
      </c>
      <c r="AH64" s="1166" t="e">
        <f ca="1">IF(AC64="","",_xll.RHistory($AA$41,".Close","END:"&amp;AC64&amp;" NBROWS:1 ADJUSTED:YES INTERVAL:1D",,"TSREPEAT:NO"))</f>
        <v>#NAME?</v>
      </c>
    </row>
    <row r="65" spans="2:34">
      <c r="Z65" s="1048">
        <v>35137</v>
      </c>
      <c r="AA65" s="1048">
        <v>35139</v>
      </c>
      <c r="AB65" s="1048">
        <v>35156</v>
      </c>
      <c r="AC65" s="1048">
        <v>35137</v>
      </c>
      <c r="AD65" s="1047" t="s">
        <v>1648</v>
      </c>
      <c r="AE65" s="1047">
        <v>0.42</v>
      </c>
      <c r="AF65" s="1186" t="str">
        <f t="shared" ca="1" si="1"/>
        <v>USD</v>
      </c>
      <c r="AG65" s="1166" t="e">
        <f ca="1">IF(AC65="","",_xll.RHistory($AA$41,".Close","END:"&amp;AC65&amp;" NBROWS:1 ADJUSTED:NO INTERVAL:1D",,"TSREPEAT:NO"))</f>
        <v>#NAME?</v>
      </c>
      <c r="AH65" s="1166" t="e">
        <f ca="1">IF(AC65="","",_xll.RHistory($AA$41,".Close","END:"&amp;AC65&amp;" NBROWS:1 ADJUSTED:YES INTERVAL:1D",,"TSREPEAT:NO"))</f>
        <v>#NAME?</v>
      </c>
    </row>
    <row r="66" spans="2:34">
      <c r="Z66" s="1048">
        <v>35228</v>
      </c>
      <c r="AA66" s="1048">
        <v>35230</v>
      </c>
      <c r="AB66" s="1048">
        <v>35247</v>
      </c>
      <c r="AC66" s="1048">
        <v>35228</v>
      </c>
      <c r="AD66" s="1047" t="s">
        <v>1648</v>
      </c>
      <c r="AE66" s="1047">
        <v>0.42</v>
      </c>
      <c r="AF66" s="1186" t="str">
        <f t="shared" ca="1" si="1"/>
        <v>USD</v>
      </c>
      <c r="AG66" s="1166" t="e">
        <f ca="1">IF(AC66="","",_xll.RHistory($AA$41,".Close","END:"&amp;AC66&amp;" NBROWS:1 ADJUSTED:NO INTERVAL:1D",,"TSREPEAT:NO"))</f>
        <v>#NAME?</v>
      </c>
      <c r="AH66" s="1166" t="e">
        <f ca="1">IF(AC66="","",_xll.RHistory($AA$41,".Close","END:"&amp;AC66&amp;" NBROWS:1 ADJUSTED:YES INTERVAL:1D",,"TSREPEAT:NO"))</f>
        <v>#NAME?</v>
      </c>
    </row>
    <row r="67" spans="2:34">
      <c r="B67" s="1156"/>
      <c r="D67" s="1102"/>
      <c r="E67" s="1102"/>
      <c r="F67" s="1056"/>
      <c r="Z67" s="1048">
        <v>35320</v>
      </c>
      <c r="AA67" s="1048">
        <v>35324</v>
      </c>
      <c r="AB67" s="1048">
        <v>35339</v>
      </c>
      <c r="AC67" s="1048">
        <v>35320</v>
      </c>
      <c r="AD67" s="1047" t="s">
        <v>1648</v>
      </c>
      <c r="AE67" s="1047">
        <v>0.44</v>
      </c>
      <c r="AF67" s="1186" t="str">
        <f t="shared" ca="1" si="1"/>
        <v>USD</v>
      </c>
      <c r="AG67" s="1166" t="e">
        <f ca="1">IF(AC67="","",_xll.RHistory($AA$41,".Close","END:"&amp;AC67&amp;" NBROWS:1 ADJUSTED:NO INTERVAL:1D",,"TSREPEAT:NO"))</f>
        <v>#NAME?</v>
      </c>
      <c r="AH67" s="1166" t="e">
        <f ca="1">IF(AC67="","",_xll.RHistory($AA$41,".Close","END:"&amp;AC67&amp;" NBROWS:1 ADJUSTED:YES INTERVAL:1D",,"TSREPEAT:NO"))</f>
        <v>#NAME?</v>
      </c>
    </row>
    <row r="68" spans="2:34" ht="13.15">
      <c r="C68" s="1099"/>
      <c r="F68" s="1080"/>
      <c r="L68" s="1051"/>
      <c r="M68" s="1051"/>
      <c r="N68" s="1051"/>
      <c r="O68" s="1051"/>
      <c r="P68" s="1051"/>
      <c r="Q68" s="1051"/>
      <c r="Z68" s="1048">
        <v>35411</v>
      </c>
      <c r="AA68" s="1048">
        <v>35415</v>
      </c>
      <c r="AB68" s="1048">
        <v>35432</v>
      </c>
      <c r="AC68" s="1048">
        <v>35411</v>
      </c>
      <c r="AD68" s="1047" t="s">
        <v>1648</v>
      </c>
      <c r="AE68" s="1047">
        <v>0.44</v>
      </c>
      <c r="AF68" s="1186" t="str">
        <f t="shared" ca="1" si="1"/>
        <v>USD</v>
      </c>
      <c r="AG68" s="1166" t="e">
        <f ca="1">IF(AC68="","",_xll.RHistory($AA$41,".Close","END:"&amp;AC68&amp;" NBROWS:1 ADJUSTED:NO INTERVAL:1D",,"TSREPEAT:NO"))</f>
        <v>#NAME?</v>
      </c>
      <c r="AH68" s="1166" t="e">
        <f ca="1">IF(AC68="","",_xll.RHistory($AA$41,".Close","END:"&amp;AC68&amp;" NBROWS:1 ADJUSTED:YES INTERVAL:1D",,"TSREPEAT:NO"))</f>
        <v>#NAME?</v>
      </c>
    </row>
    <row r="69" spans="2:34" ht="17.649999999999999">
      <c r="D69" s="1100"/>
      <c r="L69" s="1188"/>
      <c r="M69" s="1189"/>
      <c r="N69" s="1190"/>
      <c r="O69" s="1191"/>
      <c r="P69" s="1191"/>
      <c r="Q69" s="1191"/>
      <c r="S69" s="1101"/>
      <c r="Z69" s="1048">
        <v>35502</v>
      </c>
      <c r="AA69" s="1048">
        <v>35506</v>
      </c>
      <c r="AB69" s="1048">
        <v>35521</v>
      </c>
      <c r="AC69" s="1048">
        <v>35502</v>
      </c>
      <c r="AD69" s="1047" t="s">
        <v>1648</v>
      </c>
      <c r="AE69" s="1047">
        <v>0.44</v>
      </c>
      <c r="AF69" s="1186" t="str">
        <f t="shared" ca="1" si="1"/>
        <v>USD</v>
      </c>
      <c r="AG69" s="1166" t="e">
        <f ca="1">IF(AC69="","",_xll.RHistory($AA$41,".Close","END:"&amp;AC69&amp;" NBROWS:1 ADJUSTED:NO INTERVAL:1D",,"TSREPEAT:NO"))</f>
        <v>#NAME?</v>
      </c>
      <c r="AH69" s="1166" t="e">
        <f ca="1">IF(AC69="","",_xll.RHistory($AA$41,".Close","END:"&amp;AC69&amp;" NBROWS:1 ADJUSTED:YES INTERVAL:1D",,"TSREPEAT:NO"))</f>
        <v>#NAME?</v>
      </c>
    </row>
    <row r="70" spans="2:34" ht="17.649999999999999">
      <c r="D70" s="1100"/>
      <c r="F70" s="1080"/>
      <c r="H70" s="1080"/>
      <c r="L70" s="1188"/>
      <c r="M70" s="1189"/>
      <c r="N70" s="1190"/>
      <c r="O70" s="1191"/>
      <c r="P70" s="1191"/>
      <c r="Q70" s="1191"/>
      <c r="S70" s="1101"/>
      <c r="Z70" s="1048">
        <v>35593</v>
      </c>
      <c r="AA70" s="1048">
        <v>35597</v>
      </c>
      <c r="AB70" s="1048">
        <v>35612</v>
      </c>
      <c r="AC70" s="1048">
        <v>35593</v>
      </c>
      <c r="AD70" s="1047" t="s">
        <v>1648</v>
      </c>
      <c r="AE70" s="1047">
        <v>0.44</v>
      </c>
      <c r="AF70" s="1186" t="str">
        <f t="shared" ca="1" si="1"/>
        <v>USD</v>
      </c>
      <c r="AG70" s="1166" t="e">
        <f ca="1">IF(AC70="","",_xll.RHistory($AA$41,".Close","END:"&amp;AC70&amp;" NBROWS:1 ADJUSTED:NO INTERVAL:1D",,"TSREPEAT:NO"))</f>
        <v>#NAME?</v>
      </c>
      <c r="AH70" s="1166" t="e">
        <f ca="1">IF(AC70="","",_xll.RHistory($AA$41,".Close","END:"&amp;AC70&amp;" NBROWS:1 ADJUSTED:YES INTERVAL:1D",,"TSREPEAT:NO"))</f>
        <v>#NAME?</v>
      </c>
    </row>
    <row r="71" spans="2:34" ht="17.649999999999999">
      <c r="D71" s="1100"/>
      <c r="F71" s="1080"/>
      <c r="H71" s="1080"/>
      <c r="L71" s="1188"/>
      <c r="M71" s="1189"/>
      <c r="N71" s="1190"/>
      <c r="O71" s="1191"/>
      <c r="P71" s="1191"/>
      <c r="Q71" s="1191"/>
      <c r="S71" s="1101"/>
      <c r="Z71" s="1048">
        <v>35685</v>
      </c>
      <c r="AA71" s="1048">
        <v>35689</v>
      </c>
      <c r="AB71" s="1048">
        <v>35704</v>
      </c>
      <c r="AC71" s="1048">
        <v>35685</v>
      </c>
      <c r="AD71" s="1047" t="s">
        <v>1648</v>
      </c>
      <c r="AE71" s="1047">
        <v>0.44</v>
      </c>
      <c r="AF71" s="1186" t="str">
        <f t="shared" ca="1" si="1"/>
        <v>USD</v>
      </c>
      <c r="AG71" s="1166" t="e">
        <f ca="1">IF(AC71="","",_xll.RHistory($AA$41,".Close","END:"&amp;AC71&amp;" NBROWS:1 ADJUSTED:NO INTERVAL:1D",,"TSREPEAT:NO"))</f>
        <v>#NAME?</v>
      </c>
      <c r="AH71" s="1166" t="e">
        <f ca="1">IF(AC71="","",_xll.RHistory($AA$41,".Close","END:"&amp;AC71&amp;" NBROWS:1 ADJUSTED:YES INTERVAL:1D",,"TSREPEAT:NO"))</f>
        <v>#NAME?</v>
      </c>
    </row>
    <row r="72" spans="2:34" ht="17.649999999999999">
      <c r="D72" s="1100"/>
      <c r="F72" s="1080"/>
      <c r="H72" s="1080"/>
      <c r="L72" s="1188"/>
      <c r="M72" s="1189"/>
      <c r="N72" s="1190"/>
      <c r="O72" s="1191"/>
      <c r="P72" s="1191"/>
      <c r="Q72" s="1191"/>
      <c r="S72" s="1101"/>
      <c r="Z72" s="1048">
        <v>35775</v>
      </c>
      <c r="AA72" s="1048">
        <v>35779</v>
      </c>
      <c r="AB72" s="1048">
        <v>35797</v>
      </c>
      <c r="AC72" s="1048">
        <v>35775</v>
      </c>
      <c r="AD72" s="1047" t="s">
        <v>1648</v>
      </c>
      <c r="AE72" s="1047">
        <v>0.44</v>
      </c>
      <c r="AF72" s="1186" t="str">
        <f t="shared" ca="1" si="1"/>
        <v>USD</v>
      </c>
      <c r="AG72" s="1166" t="e">
        <f ca="1">IF(AC72="","",_xll.RHistory($AA$41,".Close","END:"&amp;AC72&amp;" NBROWS:1 ADJUSTED:NO INTERVAL:1D",,"TSREPEAT:NO"))</f>
        <v>#NAME?</v>
      </c>
      <c r="AH72" s="1166" t="e">
        <f ca="1">IF(AC72="","",_xll.RHistory($AA$41,".Close","END:"&amp;AC72&amp;" NBROWS:1 ADJUSTED:YES INTERVAL:1D",,"TSREPEAT:NO"))</f>
        <v>#NAME?</v>
      </c>
    </row>
    <row r="73" spans="2:34" ht="17.649999999999999">
      <c r="D73" s="1100"/>
      <c r="L73" s="1188"/>
      <c r="M73" s="1189"/>
      <c r="N73" s="1190"/>
      <c r="O73" s="1191"/>
      <c r="P73" s="1191"/>
      <c r="Q73" s="1191"/>
      <c r="S73" s="1101"/>
      <c r="Z73" s="1048">
        <v>35860</v>
      </c>
      <c r="AA73" s="1048">
        <v>35864</v>
      </c>
      <c r="AB73" s="1048">
        <v>35886</v>
      </c>
      <c r="AC73" s="1048">
        <v>35860</v>
      </c>
      <c r="AD73" s="1047" t="s">
        <v>1648</v>
      </c>
      <c r="AE73" s="1047">
        <v>0.44</v>
      </c>
      <c r="AF73" s="1186" t="str">
        <f t="shared" ca="1" si="1"/>
        <v>USD</v>
      </c>
      <c r="AG73" s="1166" t="e">
        <f ca="1">IF(AC73="","",_xll.RHistory($AA$41,".Close","END:"&amp;AC73&amp;" NBROWS:1 ADJUSTED:NO INTERVAL:1D",,"TSREPEAT:NO"))</f>
        <v>#NAME?</v>
      </c>
      <c r="AH73" s="1166" t="e">
        <f ca="1">IF(AC73="","",_xll.RHistory($AA$41,".Close","END:"&amp;AC73&amp;" NBROWS:1 ADJUSTED:YES INTERVAL:1D",,"TSREPEAT:NO"))</f>
        <v>#NAME?</v>
      </c>
    </row>
    <row r="74" spans="2:34" ht="17.649999999999999">
      <c r="D74" s="1100"/>
      <c r="L74" s="1188"/>
      <c r="M74" s="1189"/>
      <c r="N74" s="1190"/>
      <c r="O74" s="1191"/>
      <c r="P74" s="1191"/>
      <c r="Q74" s="1191"/>
      <c r="S74" s="1101"/>
      <c r="Z74" s="1048">
        <v>35957</v>
      </c>
      <c r="AA74" s="1048">
        <v>35961</v>
      </c>
      <c r="AB74" s="1048">
        <v>35977</v>
      </c>
      <c r="AC74" s="1048">
        <v>35957</v>
      </c>
      <c r="AD74" s="1047" t="s">
        <v>1648</v>
      </c>
      <c r="AE74" s="1047">
        <v>0.44</v>
      </c>
      <c r="AF74" s="1186" t="str">
        <f t="shared" ca="1" si="1"/>
        <v>USD</v>
      </c>
      <c r="AG74" s="1166" t="e">
        <f ca="1">IF(AC74="","",_xll.RHistory($AA$41,".Close","END:"&amp;AC74&amp;" NBROWS:1 ADJUSTED:NO INTERVAL:1D",,"TSREPEAT:NO"))</f>
        <v>#NAME?</v>
      </c>
      <c r="AH74" s="1166" t="e">
        <f ca="1">IF(AC74="","",_xll.RHistory($AA$41,".Close","END:"&amp;AC74&amp;" NBROWS:1 ADJUSTED:YES INTERVAL:1D",,"TSREPEAT:NO"))</f>
        <v>#NAME?</v>
      </c>
    </row>
    <row r="75" spans="2:34" ht="17.649999999999999">
      <c r="D75" s="1100"/>
      <c r="L75" s="1188"/>
      <c r="M75" s="1189"/>
      <c r="N75" s="1190"/>
      <c r="O75" s="1191"/>
      <c r="P75" s="1191"/>
      <c r="Q75" s="1191"/>
      <c r="S75" s="1101"/>
      <c r="Z75" s="1048">
        <v>36049</v>
      </c>
      <c r="AA75" s="1048">
        <v>36053</v>
      </c>
      <c r="AB75" s="1048">
        <v>36069</v>
      </c>
      <c r="AC75" s="1048">
        <v>36049</v>
      </c>
      <c r="AD75" s="1047" t="s">
        <v>1648</v>
      </c>
      <c r="AE75" s="1047">
        <v>0.44</v>
      </c>
      <c r="AF75" s="1186" t="str">
        <f t="shared" ca="1" si="1"/>
        <v>USD</v>
      </c>
      <c r="AG75" s="1166" t="e">
        <f ca="1">IF(AC75="","",_xll.RHistory($AA$41,".Close","END:"&amp;AC75&amp;" NBROWS:1 ADJUSTED:NO INTERVAL:1D",,"TSREPEAT:NO"))</f>
        <v>#NAME?</v>
      </c>
      <c r="AH75" s="1166" t="e">
        <f ca="1">IF(AC75="","",_xll.RHistory($AA$41,".Close","END:"&amp;AC75&amp;" NBROWS:1 ADJUSTED:YES INTERVAL:1D",,"TSREPEAT:NO"))</f>
        <v>#NAME?</v>
      </c>
    </row>
    <row r="76" spans="2:34" ht="17.649999999999999">
      <c r="D76" s="1100"/>
      <c r="L76" s="1188"/>
      <c r="M76" s="1189"/>
      <c r="N76" s="1190"/>
      <c r="O76" s="1191"/>
      <c r="P76" s="1191"/>
      <c r="Q76" s="1191"/>
      <c r="S76" s="1101"/>
      <c r="Z76" s="1048">
        <v>36140</v>
      </c>
      <c r="AA76" s="1048">
        <v>36144</v>
      </c>
      <c r="AB76" s="1048">
        <v>36164</v>
      </c>
      <c r="AC76" s="1048">
        <v>36140</v>
      </c>
      <c r="AD76" s="1047" t="s">
        <v>1648</v>
      </c>
      <c r="AE76" s="1047">
        <v>0.44</v>
      </c>
      <c r="AF76" s="1186" t="str">
        <f t="shared" ca="1" si="1"/>
        <v>USD</v>
      </c>
      <c r="AG76" s="1166" t="e">
        <f ca="1">IF(AC76="","",_xll.RHistory($AA$41,".Close","END:"&amp;AC76&amp;" NBROWS:1 ADJUSTED:NO INTERVAL:1D",,"TSREPEAT:NO"))</f>
        <v>#NAME?</v>
      </c>
      <c r="AH76" s="1166" t="e">
        <f ca="1">IF(AC76="","",_xll.RHistory($AA$41,".Close","END:"&amp;AC76&amp;" NBROWS:1 ADJUSTED:YES INTERVAL:1D",,"TSREPEAT:NO"))</f>
        <v>#NAME?</v>
      </c>
    </row>
    <row r="77" spans="2:34" ht="17.649999999999999">
      <c r="D77" s="1100"/>
      <c r="L77" s="1188"/>
      <c r="M77" s="1189"/>
      <c r="N77" s="1190"/>
      <c r="O77" s="1191"/>
      <c r="P77" s="1191"/>
      <c r="Q77" s="1191"/>
      <c r="S77" s="1101"/>
      <c r="Z77" s="1048">
        <v>36230</v>
      </c>
      <c r="AA77" s="1048">
        <v>36234</v>
      </c>
      <c r="AB77" s="1048">
        <v>36251</v>
      </c>
      <c r="AC77" s="1048">
        <v>36230</v>
      </c>
      <c r="AD77" s="1047" t="s">
        <v>1648</v>
      </c>
      <c r="AE77" s="1047">
        <v>0.44</v>
      </c>
      <c r="AF77" s="1186" t="str">
        <f t="shared" ca="1" si="1"/>
        <v>USD</v>
      </c>
      <c r="AG77" s="1166" t="e">
        <f ca="1">IF(AC77="","",_xll.RHistory($AA$41,".Close","END:"&amp;AC77&amp;" NBROWS:1 ADJUSTED:NO INTERVAL:1D",,"TSREPEAT:NO"))</f>
        <v>#NAME?</v>
      </c>
      <c r="AH77" s="1166" t="e">
        <f ca="1">IF(AC77="","",_xll.RHistory($AA$41,".Close","END:"&amp;AC77&amp;" NBROWS:1 ADJUSTED:YES INTERVAL:1D",,"TSREPEAT:NO"))</f>
        <v>#NAME?</v>
      </c>
    </row>
    <row r="78" spans="2:34" ht="17.649999999999999">
      <c r="D78" s="1100"/>
      <c r="L78" s="1188"/>
      <c r="M78" s="1189"/>
      <c r="N78" s="1190"/>
      <c r="O78" s="1191"/>
      <c r="P78" s="1191"/>
      <c r="Q78" s="1191"/>
      <c r="S78" s="1101"/>
      <c r="Z78" s="1048">
        <v>36322</v>
      </c>
      <c r="AA78" s="1048">
        <v>36326</v>
      </c>
      <c r="AB78" s="1048">
        <v>36342</v>
      </c>
      <c r="AC78" s="1048">
        <v>36322</v>
      </c>
      <c r="AD78" s="1047" t="s">
        <v>1648</v>
      </c>
      <c r="AE78" s="1047">
        <v>0.44</v>
      </c>
      <c r="AF78" s="1186" t="str">
        <f t="shared" ca="1" si="1"/>
        <v>USD</v>
      </c>
      <c r="AG78" s="1166" t="e">
        <f ca="1">IF(AC78="","",_xll.RHistory($AA$41,".Close","END:"&amp;AC78&amp;" NBROWS:1 ADJUSTED:NO INTERVAL:1D",,"TSREPEAT:NO"))</f>
        <v>#NAME?</v>
      </c>
      <c r="AH78" s="1166" t="e">
        <f ca="1">IF(AC78="","",_xll.RHistory($AA$41,".Close","END:"&amp;AC78&amp;" NBROWS:1 ADJUSTED:YES INTERVAL:1D",,"TSREPEAT:NO"))</f>
        <v>#NAME?</v>
      </c>
    </row>
    <row r="79" spans="2:34" ht="17.649999999999999">
      <c r="D79" s="1100"/>
      <c r="L79" s="1188"/>
      <c r="M79" s="1189"/>
      <c r="N79" s="1190"/>
      <c r="O79" s="1191"/>
      <c r="P79" s="1191"/>
      <c r="Q79" s="1191"/>
      <c r="S79" s="1101"/>
      <c r="Z79" s="1048">
        <v>36416</v>
      </c>
      <c r="AA79" s="1048">
        <v>36418</v>
      </c>
      <c r="AB79" s="1048">
        <v>36434</v>
      </c>
      <c r="AC79" s="1048">
        <v>36416</v>
      </c>
      <c r="AD79" s="1047" t="s">
        <v>1648</v>
      </c>
      <c r="AE79" s="1047">
        <v>0.44</v>
      </c>
      <c r="AF79" s="1186" t="str">
        <f t="shared" ca="1" si="1"/>
        <v>USD</v>
      </c>
      <c r="AG79" s="1166" t="e">
        <f ca="1">IF(AC79="","",_xll.RHistory($AA$41,".Close","END:"&amp;AC79&amp;" NBROWS:1 ADJUSTED:NO INTERVAL:1D",,"TSREPEAT:NO"))</f>
        <v>#NAME?</v>
      </c>
      <c r="AH79" s="1166" t="e">
        <f ca="1">IF(AC79="","",_xll.RHistory($AA$41,".Close","END:"&amp;AC79&amp;" NBROWS:1 ADJUSTED:YES INTERVAL:1D",,"TSREPEAT:NO"))</f>
        <v>#NAME?</v>
      </c>
    </row>
    <row r="80" spans="2:34" ht="17.649999999999999">
      <c r="D80" s="1100"/>
      <c r="L80" s="1188"/>
      <c r="M80" s="1189"/>
      <c r="N80" s="1190"/>
      <c r="O80" s="1191"/>
      <c r="P80" s="1191"/>
      <c r="Q80" s="1191"/>
      <c r="S80" s="1101"/>
      <c r="Z80" s="1048">
        <v>36507</v>
      </c>
      <c r="AA80" s="1048">
        <v>36509</v>
      </c>
      <c r="AB80" s="1048">
        <v>36528</v>
      </c>
      <c r="AC80" s="1048">
        <v>36507</v>
      </c>
      <c r="AD80" s="1047" t="s">
        <v>1648</v>
      </c>
      <c r="AE80" s="1047">
        <v>0.44</v>
      </c>
      <c r="AF80" s="1186" t="str">
        <f t="shared" ca="1" si="1"/>
        <v>USD</v>
      </c>
      <c r="AG80" s="1166" t="e">
        <f ca="1">IF(AC80="","",_xll.RHistory($AA$41,".Close","END:"&amp;AC80&amp;" NBROWS:1 ADJUSTED:NO INTERVAL:1D",,"TSREPEAT:NO"))</f>
        <v>#NAME?</v>
      </c>
      <c r="AH80" s="1166" t="e">
        <f ca="1">IF(AC80="","",_xll.RHistory($AA$41,".Close","END:"&amp;AC80&amp;" NBROWS:1 ADJUSTED:YES INTERVAL:1D",,"TSREPEAT:NO"))</f>
        <v>#NAME?</v>
      </c>
    </row>
    <row r="81" spans="4:34" ht="17.649999999999999">
      <c r="D81" s="1100"/>
      <c r="L81" s="1188"/>
      <c r="M81" s="1189"/>
      <c r="N81" s="1190"/>
      <c r="O81" s="1191"/>
      <c r="P81" s="1191"/>
      <c r="Q81" s="1191"/>
      <c r="S81" s="1101"/>
      <c r="Z81" s="1048">
        <v>36598</v>
      </c>
      <c r="AA81" s="1048">
        <v>36600</v>
      </c>
      <c r="AB81" s="1048">
        <v>36619</v>
      </c>
      <c r="AC81" s="1048">
        <v>36598</v>
      </c>
      <c r="AD81" s="1047" t="s">
        <v>1648</v>
      </c>
      <c r="AE81" s="1047">
        <v>0.44</v>
      </c>
      <c r="AF81" s="1186" t="str">
        <f t="shared" ca="1" si="1"/>
        <v>USD</v>
      </c>
      <c r="AG81" s="1166" t="e">
        <f ca="1">IF(AC81="","",_xll.RHistory($AA$41,".Close","END:"&amp;AC81&amp;" NBROWS:1 ADJUSTED:NO INTERVAL:1D",,"TSREPEAT:NO"))</f>
        <v>#NAME?</v>
      </c>
      <c r="AH81" s="1166" t="e">
        <f ca="1">IF(AC81="","",_xll.RHistory($AA$41,".Close","END:"&amp;AC81&amp;" NBROWS:1 ADJUSTED:YES INTERVAL:1D",,"TSREPEAT:NO"))</f>
        <v>#NAME?</v>
      </c>
    </row>
    <row r="82" spans="4:34" ht="17.649999999999999">
      <c r="D82" s="1100"/>
      <c r="L82" s="1188"/>
      <c r="M82" s="1189"/>
      <c r="N82" s="1190"/>
      <c r="O82" s="1191"/>
      <c r="P82" s="1191"/>
      <c r="Q82" s="1191"/>
      <c r="S82" s="1101"/>
      <c r="Z82" s="1048">
        <v>36690</v>
      </c>
      <c r="AA82" s="1048">
        <v>36692</v>
      </c>
      <c r="AB82" s="1048">
        <v>36710</v>
      </c>
      <c r="AC82" s="1048">
        <v>36690</v>
      </c>
      <c r="AD82" s="1047" t="s">
        <v>1648</v>
      </c>
      <c r="AE82" s="1047">
        <v>0.44</v>
      </c>
      <c r="AF82" s="1186" t="str">
        <f t="shared" ca="1" si="1"/>
        <v>USD</v>
      </c>
      <c r="AG82" s="1166" t="e">
        <f ca="1">IF(AC82="","",_xll.RHistory($AA$41,".Close","END:"&amp;AC82&amp;" NBROWS:1 ADJUSTED:NO INTERVAL:1D",,"TSREPEAT:NO"))</f>
        <v>#NAME?</v>
      </c>
      <c r="AH82" s="1166" t="e">
        <f ca="1">IF(AC82="","",_xll.RHistory($AA$41,".Close","END:"&amp;AC82&amp;" NBROWS:1 ADJUSTED:YES INTERVAL:1D",,"TSREPEAT:NO"))</f>
        <v>#NAME?</v>
      </c>
    </row>
    <row r="83" spans="4:34" ht="17.649999999999999">
      <c r="D83" s="1100"/>
      <c r="L83" s="1188"/>
      <c r="M83" s="1189"/>
      <c r="N83" s="1190"/>
      <c r="O83" s="1191"/>
      <c r="P83" s="1191"/>
      <c r="Q83" s="1191"/>
      <c r="S83" s="1101"/>
      <c r="Z83" s="1048">
        <v>36782</v>
      </c>
      <c r="AA83" s="1048">
        <v>36784</v>
      </c>
      <c r="AB83" s="1048">
        <v>36801</v>
      </c>
      <c r="AC83" s="1048">
        <v>36782</v>
      </c>
      <c r="AD83" s="1047" t="s">
        <v>1648</v>
      </c>
      <c r="AE83" s="1047">
        <v>0.44</v>
      </c>
      <c r="AF83" s="1186" t="str">
        <f t="shared" ca="1" si="1"/>
        <v>USD</v>
      </c>
      <c r="AG83" s="1166" t="e">
        <f ca="1">IF(AC83="","",_xll.RHistory($AA$41,".Close","END:"&amp;AC83&amp;" NBROWS:1 ADJUSTED:NO INTERVAL:1D",,"TSREPEAT:NO"))</f>
        <v>#NAME?</v>
      </c>
      <c r="AH83" s="1166" t="e">
        <f ca="1">IF(AC83="","",_xll.RHistory($AA$41,".Close","END:"&amp;AC83&amp;" NBROWS:1 ADJUSTED:YES INTERVAL:1D",,"TSREPEAT:NO"))</f>
        <v>#NAME?</v>
      </c>
    </row>
    <row r="84" spans="4:34" ht="17.649999999999999">
      <c r="D84" s="1100"/>
      <c r="L84" s="1188"/>
      <c r="M84" s="1189"/>
      <c r="N84" s="1190"/>
      <c r="O84" s="1191"/>
      <c r="P84" s="1191"/>
      <c r="Q84" s="1191"/>
      <c r="S84" s="1101"/>
      <c r="Z84" s="1048">
        <v>36873</v>
      </c>
      <c r="AA84" s="1048">
        <v>36875</v>
      </c>
      <c r="AB84" s="1048">
        <v>36893</v>
      </c>
      <c r="AC84" s="1048">
        <v>36873</v>
      </c>
      <c r="AD84" s="1047" t="s">
        <v>1648</v>
      </c>
      <c r="AE84" s="1047">
        <v>0.44</v>
      </c>
      <c r="AF84" s="1186" t="str">
        <f t="shared" ca="1" si="1"/>
        <v>USD</v>
      </c>
      <c r="AG84" s="1166" t="e">
        <f ca="1">IF(AC84="","",_xll.RHistory($AA$41,".Close","END:"&amp;AC84&amp;" NBROWS:1 ADJUSTED:NO INTERVAL:1D",,"TSREPEAT:NO"))</f>
        <v>#NAME?</v>
      </c>
      <c r="AH84" s="1166" t="e">
        <f ca="1">IF(AC84="","",_xll.RHistory($AA$41,".Close","END:"&amp;AC84&amp;" NBROWS:1 ADJUSTED:YES INTERVAL:1D",,"TSREPEAT:NO"))</f>
        <v>#NAME?</v>
      </c>
    </row>
    <row r="85" spans="4:34" ht="17.649999999999999">
      <c r="D85" s="1100"/>
      <c r="L85" s="1188"/>
      <c r="M85" s="1189"/>
      <c r="N85" s="1190"/>
      <c r="O85" s="1191"/>
      <c r="P85" s="1191"/>
      <c r="Q85" s="1191"/>
      <c r="S85" s="1101"/>
      <c r="Z85" s="1048">
        <v>36963</v>
      </c>
      <c r="AA85" s="1048">
        <v>36965</v>
      </c>
      <c r="AB85" s="1048">
        <v>36983</v>
      </c>
      <c r="AC85" s="1048">
        <v>36963</v>
      </c>
      <c r="AD85" s="1047" t="s">
        <v>1648</v>
      </c>
      <c r="AE85" s="1047">
        <v>0.44</v>
      </c>
      <c r="AF85" s="1186" t="str">
        <f t="shared" ca="1" si="1"/>
        <v>USD</v>
      </c>
      <c r="AG85" s="1166" t="e">
        <f ca="1">IF(AC85="","",_xll.RHistory($AA$41,".Close","END:"&amp;AC85&amp;" NBROWS:1 ADJUSTED:NO INTERVAL:1D",,"TSREPEAT:NO"))</f>
        <v>#NAME?</v>
      </c>
      <c r="AH85" s="1166" t="e">
        <f ca="1">IF(AC85="","",_xll.RHistory($AA$41,".Close","END:"&amp;AC85&amp;" NBROWS:1 ADJUSTED:YES INTERVAL:1D",,"TSREPEAT:NO"))</f>
        <v>#NAME?</v>
      </c>
    </row>
    <row r="86" spans="4:34" ht="17.649999999999999">
      <c r="D86" s="1100"/>
      <c r="L86" s="1188"/>
      <c r="M86" s="1189"/>
      <c r="N86" s="1190"/>
      <c r="O86" s="1191"/>
      <c r="P86" s="1191"/>
      <c r="Q86" s="1191"/>
      <c r="S86" s="1101"/>
      <c r="Z86" s="1048">
        <v>37055</v>
      </c>
      <c r="AA86" s="1048">
        <v>37057</v>
      </c>
      <c r="AB86" s="1048">
        <v>37074</v>
      </c>
      <c r="AC86" s="1048">
        <v>37055</v>
      </c>
      <c r="AD86" s="1047" t="s">
        <v>1648</v>
      </c>
      <c r="AE86" s="1047">
        <v>0.44</v>
      </c>
      <c r="AF86" s="1186" t="str">
        <f t="shared" ca="1" si="1"/>
        <v>USD</v>
      </c>
      <c r="AG86" s="1166" t="e">
        <f ca="1">IF(AC86="","",_xll.RHistory($AA$41,".Close","END:"&amp;AC86&amp;" NBROWS:1 ADJUSTED:NO INTERVAL:1D",,"TSREPEAT:NO"))</f>
        <v>#NAME?</v>
      </c>
      <c r="AH86" s="1166" t="e">
        <f ca="1">IF(AC86="","",_xll.RHistory($AA$41,".Close","END:"&amp;AC86&amp;" NBROWS:1 ADJUSTED:YES INTERVAL:1D",,"TSREPEAT:NO"))</f>
        <v>#NAME?</v>
      </c>
    </row>
    <row r="87" spans="4:34" ht="17.649999999999999">
      <c r="D87" s="1100"/>
      <c r="L87" s="1188"/>
      <c r="M87" s="1189"/>
      <c r="N87" s="1190"/>
      <c r="O87" s="1191"/>
      <c r="P87" s="1191"/>
      <c r="Q87" s="1191"/>
      <c r="S87" s="1101"/>
      <c r="Z87" s="1048">
        <v>37146</v>
      </c>
      <c r="AA87" s="1048">
        <v>37149</v>
      </c>
      <c r="AB87" s="1048">
        <v>37165</v>
      </c>
      <c r="AC87" s="1048">
        <v>37146</v>
      </c>
      <c r="AD87" s="1047" t="s">
        <v>1648</v>
      </c>
      <c r="AE87" s="1047">
        <v>0.44</v>
      </c>
      <c r="AF87" s="1186" t="str">
        <f t="shared" ca="1" si="1"/>
        <v>USD</v>
      </c>
      <c r="AG87" s="1166" t="e">
        <f ca="1">IF(AC87="","",_xll.RHistory($AA$41,".Close","END:"&amp;AC87&amp;" NBROWS:1 ADJUSTED:NO INTERVAL:1D",,"TSREPEAT:NO"))</f>
        <v>#NAME?</v>
      </c>
      <c r="AH87" s="1166" t="e">
        <f ca="1">IF(AC87="","",_xll.RHistory($AA$41,".Close","END:"&amp;AC87&amp;" NBROWS:1 ADJUSTED:YES INTERVAL:1D",,"TSREPEAT:NO"))</f>
        <v>#NAME?</v>
      </c>
    </row>
    <row r="88" spans="4:34" ht="17.649999999999999">
      <c r="D88" s="1100"/>
      <c r="L88" s="1188"/>
      <c r="M88" s="1189"/>
      <c r="N88" s="1190"/>
      <c r="O88" s="1191"/>
      <c r="P88" s="1191"/>
      <c r="Q88" s="1191"/>
      <c r="S88" s="1101"/>
      <c r="Z88" s="1048">
        <v>37237</v>
      </c>
      <c r="AA88" s="1048">
        <v>37240</v>
      </c>
      <c r="AB88" s="1048">
        <v>37258</v>
      </c>
      <c r="AC88" s="1048">
        <v>37237</v>
      </c>
      <c r="AD88" s="1047" t="s">
        <v>1648</v>
      </c>
      <c r="AE88" s="1047">
        <v>0.44</v>
      </c>
      <c r="AF88" s="1186" t="str">
        <f t="shared" ca="1" si="1"/>
        <v>USD</v>
      </c>
      <c r="AG88" s="1166" t="e">
        <f ca="1">IF(AC88="","",_xll.RHistory($AA$41,".Close","END:"&amp;AC88&amp;" NBROWS:1 ADJUSTED:NO INTERVAL:1D",,"TSREPEAT:NO"))</f>
        <v>#NAME?</v>
      </c>
      <c r="AH88" s="1166" t="e">
        <f ca="1">IF(AC88="","",_xll.RHistory($AA$41,".Close","END:"&amp;AC88&amp;" NBROWS:1 ADJUSTED:YES INTERVAL:1D",,"TSREPEAT:NO"))</f>
        <v>#NAME?</v>
      </c>
    </row>
    <row r="89" spans="4:34" ht="17.649999999999999">
      <c r="D89" s="1100"/>
      <c r="L89" s="1188"/>
      <c r="M89" s="1189"/>
      <c r="N89" s="1190"/>
      <c r="O89" s="1191"/>
      <c r="P89" s="1191"/>
      <c r="Q89" s="1191"/>
      <c r="S89" s="1101"/>
      <c r="Z89" s="1048">
        <v>37328</v>
      </c>
      <c r="AA89" s="1048">
        <v>37330</v>
      </c>
      <c r="AB89" s="1048">
        <v>37347</v>
      </c>
      <c r="AC89" s="1048">
        <v>37328</v>
      </c>
      <c r="AD89" s="1047" t="s">
        <v>1648</v>
      </c>
      <c r="AE89" s="1047">
        <v>0.44</v>
      </c>
      <c r="AF89" s="1186" t="str">
        <f t="shared" ca="1" si="1"/>
        <v>USD</v>
      </c>
      <c r="AG89" s="1166" t="e">
        <f ca="1">IF(AC89="","",_xll.RHistory($AA$41,".Close","END:"&amp;AC89&amp;" NBROWS:1 ADJUSTED:NO INTERVAL:1D",,"TSREPEAT:NO"))</f>
        <v>#NAME?</v>
      </c>
      <c r="AH89" s="1166" t="e">
        <f ca="1">IF(AC89="","",_xll.RHistory($AA$41,".Close","END:"&amp;AC89&amp;" NBROWS:1 ADJUSTED:YES INTERVAL:1D",,"TSREPEAT:NO"))</f>
        <v>#NAME?</v>
      </c>
    </row>
    <row r="90" spans="4:34" ht="17.649999999999999">
      <c r="D90" s="1100"/>
      <c r="L90" s="1188"/>
      <c r="M90" s="1189"/>
      <c r="N90" s="1190"/>
      <c r="O90" s="1191"/>
      <c r="P90" s="1191"/>
      <c r="Q90" s="1191"/>
      <c r="S90" s="1101"/>
      <c r="Z90" s="1048">
        <v>37419</v>
      </c>
      <c r="AA90" s="1048">
        <v>37422</v>
      </c>
      <c r="AB90" s="1048">
        <v>37438</v>
      </c>
      <c r="AC90" s="1048">
        <v>37419</v>
      </c>
      <c r="AD90" s="1047" t="s">
        <v>1648</v>
      </c>
      <c r="AE90" s="1047">
        <v>0.44</v>
      </c>
      <c r="AF90" s="1186" t="str">
        <f t="shared" ca="1" si="1"/>
        <v>USD</v>
      </c>
      <c r="AG90" s="1166" t="e">
        <f ca="1">IF(AC90="","",_xll.RHistory($AA$41,".Close","END:"&amp;AC90&amp;" NBROWS:1 ADJUSTED:NO INTERVAL:1D",,"TSREPEAT:NO"))</f>
        <v>#NAME?</v>
      </c>
      <c r="AH90" s="1166" t="e">
        <f ca="1">IF(AC90="","",_xll.RHistory($AA$41,".Close","END:"&amp;AC90&amp;" NBROWS:1 ADJUSTED:YES INTERVAL:1D",,"TSREPEAT:NO"))</f>
        <v>#NAME?</v>
      </c>
    </row>
    <row r="91" spans="4:34" ht="17.649999999999999">
      <c r="D91" s="1100"/>
      <c r="K91" s="1048"/>
      <c r="L91" s="1188"/>
      <c r="M91" s="1189"/>
      <c r="N91" s="1190"/>
      <c r="O91" s="1191"/>
      <c r="P91" s="1191"/>
      <c r="Q91" s="1191"/>
      <c r="S91" s="1101"/>
      <c r="Z91" s="1048">
        <v>37510</v>
      </c>
      <c r="AA91" s="1048">
        <v>37514</v>
      </c>
      <c r="AB91" s="1048">
        <v>37530</v>
      </c>
      <c r="AC91" s="1048">
        <v>37510</v>
      </c>
      <c r="AD91" s="1047" t="s">
        <v>1648</v>
      </c>
      <c r="AE91" s="1047">
        <v>0.44</v>
      </c>
      <c r="AF91" s="1186" t="str">
        <f t="shared" ca="1" si="1"/>
        <v>USD</v>
      </c>
      <c r="AG91" s="1166" t="e">
        <f ca="1">IF(AC91="","",_xll.RHistory($AA$41,".Close","END:"&amp;AC91&amp;" NBROWS:1 ADJUSTED:NO INTERVAL:1D",,"TSREPEAT:NO"))</f>
        <v>#NAME?</v>
      </c>
      <c r="AH91" s="1166" t="e">
        <f ca="1">IF(AC91="","",_xll.RHistory($AA$41,".Close","END:"&amp;AC91&amp;" NBROWS:1 ADJUSTED:YES INTERVAL:1D",,"TSREPEAT:NO"))</f>
        <v>#NAME?</v>
      </c>
    </row>
    <row r="92" spans="4:34" ht="17.649999999999999">
      <c r="D92" s="1100"/>
      <c r="L92" s="1188"/>
      <c r="M92" s="1189"/>
      <c r="N92" s="1190"/>
      <c r="O92" s="1191"/>
      <c r="P92" s="1191"/>
      <c r="Q92" s="1191"/>
      <c r="S92" s="1101"/>
      <c r="Z92" s="1048">
        <v>37601</v>
      </c>
      <c r="AA92" s="1048">
        <v>37605</v>
      </c>
      <c r="AB92" s="1048">
        <v>37623</v>
      </c>
      <c r="AC92" s="1048">
        <v>37601</v>
      </c>
      <c r="AD92" s="1047" t="s">
        <v>1648</v>
      </c>
      <c r="AE92" s="1047">
        <v>0.44</v>
      </c>
      <c r="AF92" s="1186" t="str">
        <f t="shared" ca="1" si="1"/>
        <v>USD</v>
      </c>
      <c r="AG92" s="1166" t="e">
        <f ca="1">IF(AC92="","",_xll.RHistory($AA$41,".Close","END:"&amp;AC92&amp;" NBROWS:1 ADJUSTED:NO INTERVAL:1D",,"TSREPEAT:NO"))</f>
        <v>#NAME?</v>
      </c>
      <c r="AH92" s="1166" t="e">
        <f ca="1">IF(AC92="","",_xll.RHistory($AA$41,".Close","END:"&amp;AC92&amp;" NBROWS:1 ADJUSTED:YES INTERVAL:1D",,"TSREPEAT:NO"))</f>
        <v>#NAME?</v>
      </c>
    </row>
    <row r="93" spans="4:34" ht="17.649999999999999">
      <c r="D93" s="1100"/>
      <c r="L93" s="1188"/>
      <c r="M93" s="1189"/>
      <c r="N93" s="1190"/>
      <c r="O93" s="1191"/>
      <c r="P93" s="1191"/>
      <c r="Q93" s="1191"/>
      <c r="S93" s="1101"/>
      <c r="Z93" s="1048">
        <v>37692</v>
      </c>
      <c r="AA93" s="1048">
        <v>37695</v>
      </c>
      <c r="AB93" s="1048">
        <v>37712</v>
      </c>
      <c r="AC93" s="1048">
        <v>37692</v>
      </c>
      <c r="AD93" s="1047" t="s">
        <v>1648</v>
      </c>
      <c r="AE93" s="1047">
        <v>0.44</v>
      </c>
      <c r="AF93" s="1186" t="str">
        <f t="shared" ca="1" si="1"/>
        <v>USD</v>
      </c>
      <c r="AG93" s="1166" t="e">
        <f ca="1">IF(AC93="","",_xll.RHistory($AA$41,".Close","END:"&amp;AC93&amp;" NBROWS:1 ADJUSTED:NO INTERVAL:1D",,"TSREPEAT:NO"))</f>
        <v>#NAME?</v>
      </c>
      <c r="AH93" s="1166" t="e">
        <f ca="1">IF(AC93="","",_xll.RHistory($AA$41,".Close","END:"&amp;AC93&amp;" NBROWS:1 ADJUSTED:YES INTERVAL:1D",,"TSREPEAT:NO"))</f>
        <v>#NAME?</v>
      </c>
    </row>
    <row r="94" spans="4:34" ht="17.649999999999999">
      <c r="D94" s="1100"/>
      <c r="L94" s="1188"/>
      <c r="M94" s="1189"/>
      <c r="N94" s="1190"/>
      <c r="O94" s="1191"/>
      <c r="P94" s="1191"/>
      <c r="Q94" s="1191"/>
      <c r="S94" s="1101"/>
      <c r="Z94" s="1048">
        <v>37783</v>
      </c>
      <c r="AA94" s="1048">
        <v>37787</v>
      </c>
      <c r="AB94" s="1048">
        <v>37803</v>
      </c>
      <c r="AC94" s="1048">
        <v>37783</v>
      </c>
      <c r="AD94" s="1047" t="s">
        <v>1648</v>
      </c>
      <c r="AE94" s="1047">
        <v>0.44</v>
      </c>
      <c r="AF94" s="1186" t="str">
        <f t="shared" ca="1" si="1"/>
        <v>USD</v>
      </c>
      <c r="AG94" s="1166" t="e">
        <f ca="1">IF(AC94="","",_xll.RHistory($AA$41,".Close","END:"&amp;AC94&amp;" NBROWS:1 ADJUSTED:NO INTERVAL:1D",,"TSREPEAT:NO"))</f>
        <v>#NAME?</v>
      </c>
      <c r="AH94" s="1166" t="e">
        <f ca="1">IF(AC94="","",_xll.RHistory($AA$41,".Close","END:"&amp;AC94&amp;" NBROWS:1 ADJUSTED:YES INTERVAL:1D",,"TSREPEAT:NO"))</f>
        <v>#NAME?</v>
      </c>
    </row>
    <row r="95" spans="4:34" ht="17.649999999999999">
      <c r="D95" s="1100"/>
      <c r="L95" s="1188"/>
      <c r="M95" s="1189"/>
      <c r="N95" s="1190"/>
      <c r="O95" s="1191"/>
      <c r="P95" s="1191"/>
      <c r="Q95" s="1191"/>
      <c r="S95" s="1101"/>
      <c r="T95" s="1056"/>
      <c r="Z95" s="1048">
        <v>37875</v>
      </c>
      <c r="AA95" s="1048">
        <v>37879</v>
      </c>
      <c r="AB95" s="1048">
        <v>37895</v>
      </c>
      <c r="AC95" s="1048">
        <v>37875</v>
      </c>
      <c r="AD95" s="1047" t="s">
        <v>1648</v>
      </c>
      <c r="AE95" s="1047">
        <v>0.44</v>
      </c>
      <c r="AF95" s="1186" t="str">
        <f t="shared" ca="1" si="1"/>
        <v>USD</v>
      </c>
      <c r="AG95" s="1166" t="e">
        <f ca="1">IF(AC95="","",_xll.RHistory($AA$41,".Close","END:"&amp;AC95&amp;" NBROWS:1 ADJUSTED:NO INTERVAL:1D",,"TSREPEAT:NO"))</f>
        <v>#NAME?</v>
      </c>
      <c r="AH95" s="1166" t="e">
        <f ca="1">IF(AC95="","",_xll.RHistory($AA$41,".Close","END:"&amp;AC95&amp;" NBROWS:1 ADJUSTED:YES INTERVAL:1D",,"TSREPEAT:NO"))</f>
        <v>#NAME?</v>
      </c>
    </row>
    <row r="96" spans="4:34" ht="17.649999999999999">
      <c r="D96" s="1100"/>
      <c r="L96" s="1188"/>
      <c r="M96" s="1189"/>
      <c r="N96" s="1190"/>
      <c r="O96" s="1191"/>
      <c r="P96" s="1191"/>
      <c r="Q96" s="1191"/>
      <c r="S96" s="1101"/>
      <c r="Z96" s="1048">
        <v>37966</v>
      </c>
      <c r="AA96" s="1048">
        <v>37970</v>
      </c>
      <c r="AB96" s="1048">
        <v>37988</v>
      </c>
      <c r="AC96" s="1048">
        <v>37966</v>
      </c>
      <c r="AD96" s="1047" t="s">
        <v>1648</v>
      </c>
      <c r="AE96" s="1047">
        <v>0.44</v>
      </c>
      <c r="AF96" s="1186" t="str">
        <f t="shared" ca="1" si="1"/>
        <v>USD</v>
      </c>
      <c r="AG96" s="1166" t="e">
        <f ca="1">IF(AC96="","",_xll.RHistory($AA$41,".Close","END:"&amp;AC96&amp;" NBROWS:1 ADJUSTED:NO INTERVAL:1D",,"TSREPEAT:NO"))</f>
        <v>#NAME?</v>
      </c>
      <c r="AH96" s="1166" t="e">
        <f ca="1">IF(AC96="","",_xll.RHistory($AA$41,".Close","END:"&amp;AC96&amp;" NBROWS:1 ADJUSTED:YES INTERVAL:1D",,"TSREPEAT:NO"))</f>
        <v>#NAME?</v>
      </c>
    </row>
    <row r="97" spans="4:34" ht="17.649999999999999">
      <c r="D97" s="1100"/>
      <c r="L97" s="1188"/>
      <c r="M97" s="1189"/>
      <c r="N97" s="1190"/>
      <c r="O97" s="1191"/>
      <c r="P97" s="1191"/>
      <c r="Q97" s="1191"/>
      <c r="S97" s="1101"/>
      <c r="Z97" s="1048">
        <v>38057</v>
      </c>
      <c r="AA97" s="1048">
        <v>38061</v>
      </c>
      <c r="AB97" s="1048">
        <v>38078</v>
      </c>
      <c r="AC97" s="1048">
        <v>38057</v>
      </c>
      <c r="AD97" s="1047" t="s">
        <v>1648</v>
      </c>
      <c r="AE97" s="1047">
        <v>0.44</v>
      </c>
      <c r="AF97" s="1186" t="str">
        <f t="shared" ca="1" si="1"/>
        <v>USD</v>
      </c>
      <c r="AG97" s="1166" t="e">
        <f ca="1">IF(AC97="","",_xll.RHistory($AA$41,".Close","END:"&amp;AC97&amp;" NBROWS:1 ADJUSTED:NO INTERVAL:1D",,"TSREPEAT:NO"))</f>
        <v>#NAME?</v>
      </c>
      <c r="AH97" s="1166" t="e">
        <f ca="1">IF(AC97="","",_xll.RHistory($AA$41,".Close","END:"&amp;AC97&amp;" NBROWS:1 ADJUSTED:YES INTERVAL:1D",,"TSREPEAT:NO"))</f>
        <v>#NAME?</v>
      </c>
    </row>
    <row r="98" spans="4:34" ht="17.649999999999999">
      <c r="D98" s="1100"/>
      <c r="L98" s="1188"/>
      <c r="M98" s="1189"/>
      <c r="N98" s="1190"/>
      <c r="O98" s="1191"/>
      <c r="P98" s="1191"/>
      <c r="Q98" s="1191"/>
      <c r="S98" s="1101"/>
      <c r="Z98" s="1048">
        <v>38152</v>
      </c>
      <c r="AA98" s="1048">
        <v>38153</v>
      </c>
      <c r="AB98" s="1048">
        <v>38169</v>
      </c>
      <c r="AC98" s="1048">
        <v>38152</v>
      </c>
      <c r="AD98" s="1047" t="s">
        <v>1648</v>
      </c>
      <c r="AE98" s="1047">
        <v>0.44</v>
      </c>
      <c r="AF98" s="1186" t="str">
        <f t="shared" ca="1" si="1"/>
        <v>USD</v>
      </c>
      <c r="AG98" s="1166" t="e">
        <f ca="1">IF(AC98="","",_xll.RHistory($AA$41,".Close","END:"&amp;AC98&amp;" NBROWS:1 ADJUSTED:NO INTERVAL:1D",,"TSREPEAT:NO"))</f>
        <v>#NAME?</v>
      </c>
      <c r="AH98" s="1166" t="e">
        <f ca="1">IF(AC98="","",_xll.RHistory($AA$41,".Close","END:"&amp;AC98&amp;" NBROWS:1 ADJUSTED:YES INTERVAL:1D",,"TSREPEAT:NO"))</f>
        <v>#NAME?</v>
      </c>
    </row>
    <row r="99" spans="4:34" ht="17.649999999999999">
      <c r="D99" s="1100"/>
      <c r="L99" s="1188"/>
      <c r="M99" s="1189"/>
      <c r="N99" s="1190"/>
      <c r="O99" s="1191"/>
      <c r="P99" s="1191"/>
      <c r="Q99" s="1191"/>
      <c r="S99" s="1101"/>
      <c r="Z99" s="1048">
        <v>38243</v>
      </c>
      <c r="AA99" s="1048">
        <v>38245</v>
      </c>
      <c r="AB99" s="1048">
        <v>38261</v>
      </c>
      <c r="AC99" s="1048">
        <v>38243</v>
      </c>
      <c r="AD99" s="1047" t="s">
        <v>1648</v>
      </c>
      <c r="AE99" s="1047">
        <v>0.44</v>
      </c>
      <c r="AF99" s="1186" t="str">
        <f t="shared" ca="1" si="1"/>
        <v>USD</v>
      </c>
      <c r="AG99" s="1166" t="e">
        <f ca="1">IF(AC99="","",_xll.RHistory($AA$41,".Close","END:"&amp;AC99&amp;" NBROWS:1 ADJUSTED:NO INTERVAL:1D",,"TSREPEAT:NO"))</f>
        <v>#NAME?</v>
      </c>
      <c r="AH99" s="1166" t="e">
        <f ca="1">IF(AC99="","",_xll.RHistory($AA$41,".Close","END:"&amp;AC99&amp;" NBROWS:1 ADJUSTED:YES INTERVAL:1D",,"TSREPEAT:NO"))</f>
        <v>#NAME?</v>
      </c>
    </row>
    <row r="100" spans="4:34" ht="17.649999999999999">
      <c r="D100" s="1100"/>
      <c r="L100" s="1188"/>
      <c r="M100" s="1189"/>
      <c r="N100" s="1190"/>
      <c r="O100" s="1191"/>
      <c r="P100" s="1191"/>
      <c r="Q100" s="1191"/>
      <c r="S100" s="1101"/>
      <c r="Z100" s="1048">
        <v>38334</v>
      </c>
      <c r="AA100" s="1048">
        <v>38336</v>
      </c>
      <c r="AB100" s="1048">
        <v>38355</v>
      </c>
      <c r="AC100" s="1048">
        <v>38334</v>
      </c>
      <c r="AD100" s="1047" t="s">
        <v>1648</v>
      </c>
      <c r="AE100" s="1047">
        <v>0.44</v>
      </c>
      <c r="AF100" s="1186" t="str">
        <f t="shared" ca="1" si="1"/>
        <v>USD</v>
      </c>
      <c r="AG100" s="1166" t="e">
        <f ca="1">IF(AC100="","",_xll.RHistory($AA$41,".Close","END:"&amp;AC100&amp;" NBROWS:1 ADJUSTED:NO INTERVAL:1D",,"TSREPEAT:NO"))</f>
        <v>#NAME?</v>
      </c>
      <c r="AH100" s="1166" t="e">
        <f ca="1">IF(AC100="","",_xll.RHistory($AA$41,".Close","END:"&amp;AC100&amp;" NBROWS:1 ADJUSTED:YES INTERVAL:1D",,"TSREPEAT:NO"))</f>
        <v>#NAME?</v>
      </c>
    </row>
    <row r="101" spans="4:34" ht="17.649999999999999">
      <c r="D101" s="1100"/>
      <c r="L101" s="1188"/>
      <c r="M101" s="1189"/>
      <c r="N101" s="1190"/>
      <c r="O101" s="1191"/>
      <c r="P101" s="1191"/>
      <c r="Q101" s="1191"/>
      <c r="S101" s="1080"/>
      <c r="Z101" s="1048">
        <v>38422</v>
      </c>
      <c r="AA101" s="1048">
        <v>38426</v>
      </c>
      <c r="AB101" s="1048">
        <v>38443</v>
      </c>
      <c r="AC101" s="1048">
        <v>38422</v>
      </c>
      <c r="AD101" s="1047" t="s">
        <v>1648</v>
      </c>
      <c r="AE101" s="1047">
        <v>0.44</v>
      </c>
      <c r="AF101" s="1186" t="str">
        <f t="shared" ca="1" si="1"/>
        <v>USD</v>
      </c>
      <c r="AG101" s="1166" t="e">
        <f ca="1">IF(AC101="","",_xll.RHistory($AA$41,".Close","END:"&amp;AC101&amp;" NBROWS:1 ADJUSTED:NO INTERVAL:1D",,"TSREPEAT:NO"))</f>
        <v>#NAME?</v>
      </c>
      <c r="AH101" s="1166" t="e">
        <f ca="1">IF(AC101="","",_xll.RHistory($AA$41,".Close","END:"&amp;AC101&amp;" NBROWS:1 ADJUSTED:YES INTERVAL:1D",,"TSREPEAT:NO"))</f>
        <v>#NAME?</v>
      </c>
    </row>
    <row r="102" spans="4:34" ht="17.649999999999999">
      <c r="D102" s="1100"/>
      <c r="L102" s="1188"/>
      <c r="M102" s="1189"/>
      <c r="N102" s="1190"/>
      <c r="O102" s="1191"/>
      <c r="P102" s="1191"/>
      <c r="Q102" s="1191"/>
      <c r="Z102" s="1048">
        <v>38516</v>
      </c>
      <c r="AA102" s="1048">
        <v>38518</v>
      </c>
      <c r="AB102" s="1048">
        <v>38534</v>
      </c>
      <c r="AC102" s="1048">
        <v>38516</v>
      </c>
      <c r="AD102" s="1047" t="s">
        <v>1648</v>
      </c>
      <c r="AE102" s="1047">
        <v>0.44</v>
      </c>
      <c r="AF102" s="1186" t="str">
        <f t="shared" ca="1" si="1"/>
        <v>USD</v>
      </c>
      <c r="AG102" s="1166" t="e">
        <f ca="1">IF(AC102="","",_xll.RHistory($AA$41,".Close","END:"&amp;AC102&amp;" NBROWS:1 ADJUSTED:NO INTERVAL:1D",,"TSREPEAT:NO"))</f>
        <v>#NAME?</v>
      </c>
      <c r="AH102" s="1166" t="e">
        <f ca="1">IF(AC102="","",_xll.RHistory($AA$41,".Close","END:"&amp;AC102&amp;" NBROWS:1 ADJUSTED:YES INTERVAL:1D",,"TSREPEAT:NO"))</f>
        <v>#NAME?</v>
      </c>
    </row>
    <row r="103" spans="4:34" ht="17.649999999999999">
      <c r="D103" s="1100"/>
      <c r="L103" s="1188"/>
      <c r="M103" s="1189"/>
      <c r="N103" s="1190"/>
      <c r="O103" s="1191"/>
      <c r="P103" s="1191"/>
      <c r="Q103" s="1191"/>
      <c r="Z103" s="1048">
        <v>38608</v>
      </c>
      <c r="AA103" s="1048">
        <v>38610</v>
      </c>
      <c r="AB103" s="1048">
        <v>38628</v>
      </c>
      <c r="AC103" s="1048">
        <v>38608</v>
      </c>
      <c r="AD103" s="1047" t="s">
        <v>1648</v>
      </c>
      <c r="AE103" s="1047">
        <v>0.44</v>
      </c>
      <c r="AF103" s="1186" t="str">
        <f t="shared" ca="1" si="1"/>
        <v>USD</v>
      </c>
      <c r="AG103" s="1166" t="e">
        <f ca="1">IF(AC103="","",_xll.RHistory($AA$41,".Close","END:"&amp;AC103&amp;" NBROWS:1 ADJUSTED:NO INTERVAL:1D",,"TSREPEAT:NO"))</f>
        <v>#NAME?</v>
      </c>
      <c r="AH103" s="1166" t="e">
        <f ca="1">IF(AC103="","",_xll.RHistory($AA$41,".Close","END:"&amp;AC103&amp;" NBROWS:1 ADJUSTED:YES INTERVAL:1D",,"TSREPEAT:NO"))</f>
        <v>#NAME?</v>
      </c>
    </row>
    <row r="104" spans="4:34" ht="17.649999999999999">
      <c r="D104" s="1100"/>
      <c r="L104" s="1188"/>
      <c r="M104" s="1189"/>
      <c r="N104" s="1190"/>
      <c r="O104" s="1191"/>
      <c r="P104" s="1191"/>
      <c r="Q104" s="1191"/>
      <c r="Z104" s="1048">
        <v>38699</v>
      </c>
      <c r="AA104" s="1048">
        <v>38701</v>
      </c>
      <c r="AB104" s="1048">
        <v>38719</v>
      </c>
      <c r="AC104" s="1048">
        <v>38699</v>
      </c>
      <c r="AD104" s="1047" t="s">
        <v>1648</v>
      </c>
      <c r="AE104" s="1047">
        <v>0.44</v>
      </c>
      <c r="AF104" s="1186" t="str">
        <f t="shared" ca="1" si="1"/>
        <v>USD</v>
      </c>
      <c r="AG104" s="1166" t="e">
        <f ca="1">IF(AC104="","",_xll.RHistory($AA$41,".Close","END:"&amp;AC104&amp;" NBROWS:1 ADJUSTED:NO INTERVAL:1D",,"TSREPEAT:NO"))</f>
        <v>#NAME?</v>
      </c>
      <c r="AH104" s="1166" t="e">
        <f ca="1">IF(AC104="","",_xll.RHistory($AA$41,".Close","END:"&amp;AC104&amp;" NBROWS:1 ADJUSTED:YES INTERVAL:1D",,"TSREPEAT:NO"))</f>
        <v>#NAME?</v>
      </c>
    </row>
    <row r="105" spans="4:34" ht="17.649999999999999">
      <c r="D105" s="1100"/>
      <c r="L105" s="1188"/>
      <c r="M105" s="1189"/>
      <c r="N105" s="1190"/>
      <c r="O105" s="1191"/>
      <c r="P105" s="1191"/>
      <c r="Q105" s="1191"/>
      <c r="Z105" s="1048">
        <v>38789</v>
      </c>
      <c r="AA105" s="1048">
        <v>38791</v>
      </c>
      <c r="AB105" s="1048">
        <v>38810</v>
      </c>
      <c r="AC105" s="1048">
        <v>38789</v>
      </c>
      <c r="AD105" s="1047" t="s">
        <v>1648</v>
      </c>
      <c r="AE105" s="1047">
        <v>0.44</v>
      </c>
      <c r="AF105" s="1186" t="str">
        <f t="shared" ca="1" si="1"/>
        <v>USD</v>
      </c>
      <c r="AG105" s="1166" t="e">
        <f ca="1">IF(AC105="","",_xll.RHistory($AA$41,".Close","END:"&amp;AC105&amp;" NBROWS:1 ADJUSTED:NO INTERVAL:1D",,"TSREPEAT:NO"))</f>
        <v>#NAME?</v>
      </c>
      <c r="AH105" s="1166" t="e">
        <f ca="1">IF(AC105="","",_xll.RHistory($AA$41,".Close","END:"&amp;AC105&amp;" NBROWS:1 ADJUSTED:YES INTERVAL:1D",,"TSREPEAT:NO"))</f>
        <v>#NAME?</v>
      </c>
    </row>
    <row r="106" spans="4:34" ht="17.649999999999999">
      <c r="D106" s="1100"/>
      <c r="L106" s="1188"/>
      <c r="M106" s="1189"/>
      <c r="N106" s="1190"/>
      <c r="O106" s="1191"/>
      <c r="P106" s="1191"/>
      <c r="Q106" s="1191"/>
      <c r="Z106" s="1048">
        <v>38881</v>
      </c>
      <c r="AA106" s="1048">
        <v>38883</v>
      </c>
      <c r="AB106" s="1048">
        <v>38901</v>
      </c>
      <c r="AC106" s="1048">
        <v>38881</v>
      </c>
      <c r="AD106" s="1047" t="s">
        <v>1648</v>
      </c>
      <c r="AE106" s="1047">
        <v>0.44</v>
      </c>
      <c r="AF106" s="1186" t="str">
        <f t="shared" ca="1" si="1"/>
        <v>USD</v>
      </c>
      <c r="AG106" s="1166" t="e">
        <f ca="1">IF(AC106="","",_xll.RHistory($AA$41,".Close","END:"&amp;AC106&amp;" NBROWS:1 ADJUSTED:NO INTERVAL:1D",,"TSREPEAT:NO"))</f>
        <v>#NAME?</v>
      </c>
      <c r="AH106" s="1166" t="e">
        <f ca="1">IF(AC106="","",_xll.RHistory($AA$41,".Close","END:"&amp;AC106&amp;" NBROWS:1 ADJUSTED:YES INTERVAL:1D",,"TSREPEAT:NO"))</f>
        <v>#NAME?</v>
      </c>
    </row>
    <row r="107" spans="4:34" ht="17.649999999999999">
      <c r="D107" s="1100"/>
      <c r="L107" s="1188"/>
      <c r="M107" s="1189"/>
      <c r="N107" s="1190"/>
      <c r="O107" s="1191"/>
      <c r="P107" s="1191"/>
      <c r="Q107" s="1191"/>
      <c r="Z107" s="1048">
        <v>38973</v>
      </c>
      <c r="AA107" s="1048">
        <v>38975</v>
      </c>
      <c r="AB107" s="1048">
        <v>38992</v>
      </c>
      <c r="AC107" s="1048">
        <v>38973</v>
      </c>
      <c r="AD107" s="1047" t="s">
        <v>1648</v>
      </c>
      <c r="AE107" s="1047">
        <v>0.44</v>
      </c>
      <c r="AF107" s="1186" t="str">
        <f t="shared" ca="1" si="1"/>
        <v>USD</v>
      </c>
      <c r="AG107" s="1166" t="e">
        <f ca="1">IF(AC107="","",_xll.RHistory($AA$41,".Close","END:"&amp;AC107&amp;" NBROWS:1 ADJUSTED:NO INTERVAL:1D",,"TSREPEAT:NO"))</f>
        <v>#NAME?</v>
      </c>
      <c r="AH107" s="1166" t="e">
        <f ca="1">IF(AC107="","",_xll.RHistory($AA$41,".Close","END:"&amp;AC107&amp;" NBROWS:1 ADJUSTED:YES INTERVAL:1D",,"TSREPEAT:NO"))</f>
        <v>#NAME?</v>
      </c>
    </row>
    <row r="108" spans="4:34" ht="17.649999999999999">
      <c r="D108" s="1100"/>
      <c r="L108" s="1188"/>
      <c r="M108" s="1189"/>
      <c r="N108" s="1190"/>
      <c r="O108" s="1191"/>
      <c r="P108" s="1191"/>
      <c r="Q108" s="1191"/>
      <c r="Z108" s="1048">
        <v>39065</v>
      </c>
      <c r="AA108" s="1048">
        <v>39069</v>
      </c>
      <c r="AB108" s="1048">
        <v>39084</v>
      </c>
      <c r="AC108" s="1048">
        <v>39065</v>
      </c>
      <c r="AD108" s="1047" t="s">
        <v>1648</v>
      </c>
      <c r="AE108" s="1047">
        <v>0.01</v>
      </c>
      <c r="AF108" s="1186" t="str">
        <f t="shared" ca="1" si="1"/>
        <v>USD</v>
      </c>
      <c r="AG108" s="1166" t="e">
        <f ca="1">IF(AC108="","",_xll.RHistory($AA$41,".Close","END:"&amp;AC108&amp;" NBROWS:1 ADJUSTED:NO INTERVAL:1D",,"TSREPEAT:NO"))</f>
        <v>#NAME?</v>
      </c>
      <c r="AH108" s="1166" t="e">
        <f ca="1">IF(AC108="","",_xll.RHistory($AA$41,".Close","END:"&amp;AC108&amp;" NBROWS:1 ADJUSTED:YES INTERVAL:1D",,"TSREPEAT:NO"))</f>
        <v>#NAME?</v>
      </c>
    </row>
    <row r="109" spans="4:34" ht="17.649999999999999">
      <c r="D109" s="1100"/>
      <c r="L109" s="1188"/>
      <c r="M109" s="1189"/>
      <c r="N109" s="1190"/>
      <c r="O109" s="1191"/>
      <c r="P109" s="1191"/>
      <c r="Q109" s="1191"/>
      <c r="Z109" s="1048">
        <v>39065</v>
      </c>
      <c r="AA109" s="1048">
        <v>39069</v>
      </c>
      <c r="AB109" s="1048">
        <v>39084</v>
      </c>
      <c r="AC109" s="1048">
        <v>39065</v>
      </c>
      <c r="AD109" s="1047" t="s">
        <v>1648</v>
      </c>
      <c r="AE109" s="1047">
        <v>0.44</v>
      </c>
      <c r="AF109" s="1186" t="str">
        <f t="shared" ca="1" si="1"/>
        <v>USD</v>
      </c>
      <c r="AG109" s="1166" t="e">
        <f ca="1">IF(AC109="","",_xll.RHistory($AA$41,".Close","END:"&amp;AC109&amp;" NBROWS:1 ADJUSTED:NO INTERVAL:1D",,"TSREPEAT:NO"))</f>
        <v>#NAME?</v>
      </c>
      <c r="AH109" s="1166" t="e">
        <f ca="1">IF(AC109="","",_xll.RHistory($AA$41,".Close","END:"&amp;AC109&amp;" NBROWS:1 ADJUSTED:YES INTERVAL:1D",,"TSREPEAT:NO"))</f>
        <v>#NAME?</v>
      </c>
    </row>
    <row r="110" spans="4:34" ht="17.649999999999999">
      <c r="D110" s="1100"/>
      <c r="L110" s="1188"/>
      <c r="M110" s="1189"/>
      <c r="N110" s="1190"/>
      <c r="O110" s="1191"/>
      <c r="P110" s="1191"/>
      <c r="Q110" s="1191"/>
      <c r="Z110" s="1048">
        <v>39154</v>
      </c>
      <c r="AA110" s="1048">
        <v>39156</v>
      </c>
      <c r="AB110" s="1048">
        <v>39174</v>
      </c>
      <c r="AC110" s="1048">
        <v>39154</v>
      </c>
      <c r="AD110" s="1047" t="s">
        <v>1648</v>
      </c>
      <c r="AE110" s="1047">
        <v>0.44</v>
      </c>
      <c r="AF110" s="1186" t="str">
        <f t="shared" ca="1" si="1"/>
        <v>USD</v>
      </c>
      <c r="AG110" s="1166" t="e">
        <f ca="1">IF(AC110="","",_xll.RHistory($AA$41,".Close","END:"&amp;AC110&amp;" NBROWS:1 ADJUSTED:NO INTERVAL:1D",,"TSREPEAT:NO"))</f>
        <v>#NAME?</v>
      </c>
      <c r="AH110" s="1166" t="e">
        <f ca="1">IF(AC110="","",_xll.RHistory($AA$41,".Close","END:"&amp;AC110&amp;" NBROWS:1 ADJUSTED:YES INTERVAL:1D",,"TSREPEAT:NO"))</f>
        <v>#NAME?</v>
      </c>
    </row>
    <row r="111" spans="4:34" ht="17.649999999999999">
      <c r="D111" s="1100"/>
      <c r="L111" s="1188"/>
      <c r="M111" s="1189"/>
      <c r="N111" s="1190"/>
      <c r="O111" s="1191"/>
      <c r="P111" s="1191"/>
      <c r="Q111" s="1191"/>
      <c r="Z111" s="1048">
        <v>39246</v>
      </c>
      <c r="AA111" s="1048">
        <v>39248</v>
      </c>
      <c r="AB111" s="1048">
        <v>39265</v>
      </c>
      <c r="AC111" s="1048">
        <v>39246</v>
      </c>
      <c r="AD111" s="1047" t="s">
        <v>1648</v>
      </c>
      <c r="AE111" s="1047">
        <v>0.44</v>
      </c>
      <c r="AF111" s="1186" t="str">
        <f t="shared" ca="1" si="1"/>
        <v>USD</v>
      </c>
      <c r="AG111" s="1166" t="e">
        <f ca="1">IF(AC111="","",_xll.RHistory($AA$41,".Close","END:"&amp;AC111&amp;" NBROWS:1 ADJUSTED:NO INTERVAL:1D",,"TSREPEAT:NO"))</f>
        <v>#NAME?</v>
      </c>
      <c r="AH111" s="1166" t="e">
        <f ca="1">IF(AC111="","",_xll.RHistory($AA$41,".Close","END:"&amp;AC111&amp;" NBROWS:1 ADJUSTED:YES INTERVAL:1D",,"TSREPEAT:NO"))</f>
        <v>#NAME?</v>
      </c>
    </row>
    <row r="112" spans="4:34" ht="17.649999999999999">
      <c r="D112" s="1100"/>
      <c r="L112" s="1188"/>
      <c r="M112" s="1189"/>
      <c r="N112" s="1192"/>
      <c r="O112" s="1191"/>
      <c r="P112" s="1191"/>
      <c r="Q112" s="1191"/>
      <c r="Z112" s="1048">
        <v>39338</v>
      </c>
      <c r="AA112" s="1048">
        <v>39342</v>
      </c>
      <c r="AB112" s="1048">
        <v>39356</v>
      </c>
      <c r="AC112" s="1048">
        <v>39338</v>
      </c>
      <c r="AD112" s="1047" t="s">
        <v>1648</v>
      </c>
      <c r="AE112" s="1047">
        <v>0.44</v>
      </c>
      <c r="AF112" s="1186" t="str">
        <f t="shared" ca="1" si="1"/>
        <v>USD</v>
      </c>
      <c r="AG112" s="1166" t="e">
        <f ca="1">IF(AC112="","",_xll.RHistory($AA$41,".Close","END:"&amp;AC112&amp;" NBROWS:1 ADJUSTED:NO INTERVAL:1D",,"TSREPEAT:NO"))</f>
        <v>#NAME?</v>
      </c>
      <c r="AH112" s="1166" t="e">
        <f ca="1">IF(AC112="","",_xll.RHistory($AA$41,".Close","END:"&amp;AC112&amp;" NBROWS:1 ADJUSTED:YES INTERVAL:1D",,"TSREPEAT:NO"))</f>
        <v>#NAME?</v>
      </c>
    </row>
    <row r="113" spans="4:34" ht="17.649999999999999">
      <c r="D113" s="1100"/>
      <c r="L113" s="1188"/>
      <c r="M113" s="1189"/>
      <c r="N113" s="1192"/>
      <c r="O113" s="1191"/>
      <c r="P113" s="1191"/>
      <c r="Q113" s="1191"/>
      <c r="Z113" s="1048">
        <v>39429</v>
      </c>
      <c r="AA113" s="1048">
        <v>39433</v>
      </c>
      <c r="AB113" s="1048">
        <v>39449</v>
      </c>
      <c r="AC113" s="1048">
        <v>39429</v>
      </c>
      <c r="AD113" s="1047" t="s">
        <v>1648</v>
      </c>
      <c r="AE113" s="1047">
        <v>0.44</v>
      </c>
      <c r="AF113" s="1186" t="str">
        <f t="shared" ca="1" si="1"/>
        <v>USD</v>
      </c>
      <c r="AG113" s="1166" t="e">
        <f ca="1">IF(AC113="","",_xll.RHistory($AA$41,".Close","END:"&amp;AC113&amp;" NBROWS:1 ADJUSTED:NO INTERVAL:1D",,"TSREPEAT:NO"))</f>
        <v>#NAME?</v>
      </c>
      <c r="AH113" s="1166" t="e">
        <f ca="1">IF(AC113="","",_xll.RHistory($AA$41,".Close","END:"&amp;AC113&amp;" NBROWS:1 ADJUSTED:YES INTERVAL:1D",,"TSREPEAT:NO"))</f>
        <v>#NAME?</v>
      </c>
    </row>
    <row r="114" spans="4:34" ht="17.649999999999999">
      <c r="D114" s="1100"/>
      <c r="L114" s="1188"/>
      <c r="M114" s="1189"/>
      <c r="N114" s="1190"/>
      <c r="O114" s="1191"/>
      <c r="P114" s="1191"/>
      <c r="Q114" s="1191"/>
      <c r="Z114" s="1048">
        <v>39520</v>
      </c>
      <c r="AA114" s="1048">
        <v>39524</v>
      </c>
      <c r="AB114" s="1048">
        <v>39539</v>
      </c>
      <c r="AC114" s="1048">
        <v>39520</v>
      </c>
      <c r="AD114" s="1047" t="s">
        <v>1648</v>
      </c>
      <c r="AE114" s="1047">
        <v>0.44</v>
      </c>
      <c r="AF114" s="1186" t="str">
        <f t="shared" ca="1" si="1"/>
        <v>USD</v>
      </c>
      <c r="AG114" s="1166" t="e">
        <f ca="1">IF(AC114="","",_xll.RHistory($AA$41,".Close","END:"&amp;AC114&amp;" NBROWS:1 ADJUSTED:NO INTERVAL:1D",,"TSREPEAT:NO"))</f>
        <v>#NAME?</v>
      </c>
      <c r="AH114" s="1166" t="e">
        <f ca="1">IF(AC114="","",_xll.RHistory($AA$41,".Close","END:"&amp;AC114&amp;" NBROWS:1 ADJUSTED:YES INTERVAL:1D",,"TSREPEAT:NO"))</f>
        <v>#NAME?</v>
      </c>
    </row>
    <row r="115" spans="4:34" ht="17.649999999999999">
      <c r="D115" s="1100"/>
      <c r="L115" s="1188"/>
      <c r="M115" s="1189"/>
      <c r="N115" s="1190"/>
      <c r="O115" s="1191"/>
      <c r="P115" s="1191"/>
      <c r="Q115" s="1191"/>
      <c r="Z115" s="1048">
        <v>39611</v>
      </c>
      <c r="AA115" s="1048">
        <v>39615</v>
      </c>
      <c r="AB115" s="1048">
        <v>39630</v>
      </c>
      <c r="AC115" s="1048">
        <v>39611</v>
      </c>
      <c r="AD115" s="1047" t="s">
        <v>1648</v>
      </c>
      <c r="AE115" s="1047">
        <v>0.44</v>
      </c>
      <c r="AF115" s="1186" t="str">
        <f t="shared" ca="1" si="1"/>
        <v>USD</v>
      </c>
      <c r="AG115" s="1166" t="e">
        <f ca="1">IF(AC115="","",_xll.RHistory($AA$41,".Close","END:"&amp;AC115&amp;" NBROWS:1 ADJUSTED:NO INTERVAL:1D",,"TSREPEAT:NO"))</f>
        <v>#NAME?</v>
      </c>
      <c r="AH115" s="1166" t="e">
        <f ca="1">IF(AC115="","",_xll.RHistory($AA$41,".Close","END:"&amp;AC115&amp;" NBROWS:1 ADJUSTED:YES INTERVAL:1D",,"TSREPEAT:NO"))</f>
        <v>#NAME?</v>
      </c>
    </row>
    <row r="116" spans="4:34" ht="17.649999999999999">
      <c r="D116" s="1100"/>
      <c r="L116" s="1188"/>
      <c r="M116" s="1189"/>
      <c r="N116" s="1190"/>
      <c r="O116" s="1191"/>
      <c r="P116" s="1191"/>
      <c r="Q116" s="1191"/>
      <c r="Z116" s="1048">
        <v>39702</v>
      </c>
      <c r="AA116" s="1048">
        <v>39706</v>
      </c>
      <c r="AB116" s="1048">
        <v>39722</v>
      </c>
      <c r="AC116" s="1048">
        <v>39702</v>
      </c>
      <c r="AD116" s="1047" t="s">
        <v>1648</v>
      </c>
      <c r="AE116" s="1047">
        <v>0.44</v>
      </c>
      <c r="AF116" s="1186" t="str">
        <f t="shared" ca="1" si="1"/>
        <v>USD</v>
      </c>
      <c r="AG116" s="1166" t="e">
        <f ca="1">IF(AC116="","",_xll.RHistory($AA$41,".Close","END:"&amp;AC116&amp;" NBROWS:1 ADJUSTED:NO INTERVAL:1D",,"TSREPEAT:NO"))</f>
        <v>#NAME?</v>
      </c>
      <c r="AH116" s="1166" t="e">
        <f ca="1">IF(AC116="","",_xll.RHistory($AA$41,".Close","END:"&amp;AC116&amp;" NBROWS:1 ADJUSTED:YES INTERVAL:1D",,"TSREPEAT:NO"))</f>
        <v>#NAME?</v>
      </c>
    </row>
    <row r="117" spans="4:34" ht="17.649999999999999">
      <c r="D117" s="1100"/>
      <c r="L117" s="1188"/>
      <c r="M117" s="1189"/>
      <c r="N117" s="1190"/>
      <c r="O117" s="1191"/>
      <c r="P117" s="1191"/>
      <c r="Q117" s="1191"/>
      <c r="Z117" s="1048">
        <v>39793</v>
      </c>
      <c r="AA117" s="1048">
        <v>39797</v>
      </c>
      <c r="AB117" s="1048">
        <v>39815</v>
      </c>
      <c r="AC117" s="1048">
        <v>39793</v>
      </c>
      <c r="AD117" s="1047" t="s">
        <v>1648</v>
      </c>
      <c r="AE117" s="1047">
        <v>0.44</v>
      </c>
      <c r="AF117" s="1186" t="str">
        <f t="shared" ca="1" si="1"/>
        <v>USD</v>
      </c>
      <c r="AG117" s="1166" t="e">
        <f ca="1">IF(AC117="","",_xll.RHistory($AA$41,".Close","END:"&amp;AC117&amp;" NBROWS:1 ADJUSTED:NO INTERVAL:1D",,"TSREPEAT:NO"))</f>
        <v>#NAME?</v>
      </c>
      <c r="AH117" s="1166" t="e">
        <f ca="1">IF(AC117="","",_xll.RHistory($AA$41,".Close","END:"&amp;AC117&amp;" NBROWS:1 ADJUSTED:YES INTERVAL:1D",,"TSREPEAT:NO"))</f>
        <v>#NAME?</v>
      </c>
    </row>
    <row r="118" spans="4:34" ht="17.649999999999999">
      <c r="D118" s="1100"/>
      <c r="L118" s="1188"/>
      <c r="M118" s="1189"/>
      <c r="N118" s="1190"/>
      <c r="O118" s="1191"/>
      <c r="P118" s="1191"/>
      <c r="Q118" s="1191"/>
      <c r="Z118" s="1048">
        <v>39884</v>
      </c>
      <c r="AA118" s="1048">
        <v>39888</v>
      </c>
      <c r="AB118" s="1048">
        <v>39904</v>
      </c>
      <c r="AC118" s="1048">
        <v>39884</v>
      </c>
      <c r="AD118" s="1047" t="s">
        <v>1648</v>
      </c>
      <c r="AE118" s="1047">
        <v>0.44</v>
      </c>
      <c r="AF118" s="1186" t="str">
        <f t="shared" ca="1" si="1"/>
        <v>USD</v>
      </c>
      <c r="AG118" s="1166" t="e">
        <f ca="1">IF(AC118="","",_xll.RHistory($AA$41,".Close","END:"&amp;AC118&amp;" NBROWS:1 ADJUSTED:NO INTERVAL:1D",,"TSREPEAT:NO"))</f>
        <v>#NAME?</v>
      </c>
      <c r="AH118" s="1166" t="e">
        <f ca="1">IF(AC118="","",_xll.RHistory($AA$41,".Close","END:"&amp;AC118&amp;" NBROWS:1 ADJUSTED:YES INTERVAL:1D",,"TSREPEAT:NO"))</f>
        <v>#NAME?</v>
      </c>
    </row>
    <row r="119" spans="4:34" ht="17.649999999999999">
      <c r="D119" s="1100"/>
      <c r="L119" s="1188"/>
      <c r="M119" s="1189"/>
      <c r="N119" s="1190"/>
      <c r="O119" s="1191"/>
      <c r="P119" s="1191"/>
      <c r="Q119" s="1191"/>
      <c r="Z119" s="1048">
        <v>39975</v>
      </c>
      <c r="AA119" s="1048">
        <v>39979</v>
      </c>
      <c r="AB119" s="1048">
        <v>39995</v>
      </c>
      <c r="AC119" s="1048">
        <v>39975</v>
      </c>
      <c r="AD119" s="1047" t="s">
        <v>1648</v>
      </c>
      <c r="AE119" s="1047">
        <v>0.44</v>
      </c>
      <c r="AF119" s="1186" t="str">
        <f t="shared" ca="1" si="1"/>
        <v>USD</v>
      </c>
      <c r="AG119" s="1166" t="e">
        <f ca="1">IF(AC119="","",_xll.RHistory($AA$41,".Close","END:"&amp;AC119&amp;" NBROWS:1 ADJUSTED:NO INTERVAL:1D",,"TSREPEAT:NO"))</f>
        <v>#NAME?</v>
      </c>
      <c r="AH119" s="1166" t="e">
        <f ca="1">IF(AC119="","",_xll.RHistory($AA$41,".Close","END:"&amp;AC119&amp;" NBROWS:1 ADJUSTED:YES INTERVAL:1D",,"TSREPEAT:NO"))</f>
        <v>#NAME?</v>
      </c>
    </row>
    <row r="120" spans="4:34" ht="17.649999999999999">
      <c r="D120" s="1100"/>
      <c r="L120" s="1188"/>
      <c r="M120" s="1189"/>
      <c r="N120" s="1190"/>
      <c r="O120" s="1191"/>
      <c r="P120" s="1191"/>
      <c r="Q120" s="1191"/>
      <c r="Z120" s="1048">
        <v>40066</v>
      </c>
      <c r="AA120" s="1048">
        <v>40070</v>
      </c>
      <c r="AB120" s="1048">
        <v>40087</v>
      </c>
      <c r="AC120" s="1048">
        <v>40066</v>
      </c>
      <c r="AD120" s="1047" t="s">
        <v>1648</v>
      </c>
      <c r="AE120" s="1047">
        <v>0.44</v>
      </c>
      <c r="AF120" s="1186" t="str">
        <f t="shared" ca="1" si="1"/>
        <v>USD</v>
      </c>
      <c r="AG120" s="1166" t="e">
        <f ca="1">IF(AC120="","",_xll.RHistory($AA$41,".Close","END:"&amp;AC120&amp;" NBROWS:1 ADJUSTED:NO INTERVAL:1D",,"TSREPEAT:NO"))</f>
        <v>#NAME?</v>
      </c>
      <c r="AH120" s="1166" t="e">
        <f ca="1">IF(AC120="","",_xll.RHistory($AA$41,".Close","END:"&amp;AC120&amp;" NBROWS:1 ADJUSTED:YES INTERVAL:1D",,"TSREPEAT:NO"))</f>
        <v>#NAME?</v>
      </c>
    </row>
    <row r="121" spans="4:34" ht="17.649999999999999">
      <c r="D121" s="1100"/>
      <c r="L121" s="1188"/>
      <c r="M121" s="1189"/>
      <c r="N121" s="1190"/>
      <c r="O121" s="1191"/>
      <c r="P121" s="1191"/>
      <c r="Q121" s="1191"/>
      <c r="Z121" s="1048">
        <v>40157</v>
      </c>
      <c r="AA121" s="1048">
        <v>40161</v>
      </c>
      <c r="AB121" s="1048">
        <v>40182</v>
      </c>
      <c r="AC121" s="1048">
        <v>40157</v>
      </c>
      <c r="AD121" s="1047" t="s">
        <v>1648</v>
      </c>
      <c r="AE121" s="1047">
        <v>0.44</v>
      </c>
      <c r="AF121" s="1186" t="str">
        <f t="shared" ca="1" si="1"/>
        <v>USD</v>
      </c>
      <c r="AG121" s="1166" t="e">
        <f ca="1">IF(AC121="","",_xll.RHistory($AA$41,".Close","END:"&amp;AC121&amp;" NBROWS:1 ADJUSTED:NO INTERVAL:1D",,"TSREPEAT:NO"))</f>
        <v>#NAME?</v>
      </c>
      <c r="AH121" s="1166" t="e">
        <f ca="1">IF(AC121="","",_xll.RHistory($AA$41,".Close","END:"&amp;AC121&amp;" NBROWS:1 ADJUSTED:YES INTERVAL:1D",,"TSREPEAT:NO"))</f>
        <v>#NAME?</v>
      </c>
    </row>
    <row r="122" spans="4:34" ht="17.649999999999999">
      <c r="D122" s="1100"/>
      <c r="L122" s="1188"/>
      <c r="M122" s="1189"/>
      <c r="N122" s="1190"/>
      <c r="O122" s="1191"/>
      <c r="P122" s="1191"/>
      <c r="Q122" s="1191"/>
      <c r="Z122" s="1048">
        <v>40248</v>
      </c>
      <c r="AA122" s="1048">
        <v>40252</v>
      </c>
      <c r="AB122" s="1048">
        <v>40269</v>
      </c>
      <c r="AC122" s="1048">
        <v>40248</v>
      </c>
      <c r="AD122" s="1047" t="s">
        <v>1648</v>
      </c>
      <c r="AE122" s="1047">
        <v>0.44</v>
      </c>
      <c r="AF122" s="1186" t="str">
        <f t="shared" ca="1" si="1"/>
        <v>USD</v>
      </c>
      <c r="AG122" s="1166" t="e">
        <f ca="1">IF(AC122="","",_xll.RHistory($AA$41,".Close","END:"&amp;AC122&amp;" NBROWS:1 ADJUSTED:NO INTERVAL:1D",,"TSREPEAT:NO"))</f>
        <v>#NAME?</v>
      </c>
      <c r="AH122" s="1166" t="e">
        <f ca="1">IF(AC122="","",_xll.RHistory($AA$41,".Close","END:"&amp;AC122&amp;" NBROWS:1 ADJUSTED:YES INTERVAL:1D",,"TSREPEAT:NO"))</f>
        <v>#NAME?</v>
      </c>
    </row>
    <row r="123" spans="4:34" ht="17.649999999999999">
      <c r="D123" s="1100"/>
      <c r="L123" s="1188"/>
      <c r="M123" s="1189"/>
      <c r="N123" s="1190"/>
      <c r="O123" s="1191"/>
      <c r="P123" s="1191"/>
      <c r="Q123" s="1191"/>
      <c r="Z123" s="1048">
        <v>40339</v>
      </c>
      <c r="AA123" s="1048">
        <v>40343</v>
      </c>
      <c r="AB123" s="1048">
        <v>40360</v>
      </c>
      <c r="AC123" s="1048">
        <v>40339</v>
      </c>
      <c r="AD123" s="1047" t="s">
        <v>1648</v>
      </c>
      <c r="AE123" s="1047">
        <v>0.44</v>
      </c>
      <c r="AF123" s="1186" t="str">
        <f t="shared" ca="1" si="1"/>
        <v>USD</v>
      </c>
      <c r="AG123" s="1166" t="e">
        <f ca="1">IF(AC123="","",_xll.RHistory($AA$41,".Close","END:"&amp;AC123&amp;" NBROWS:1 ADJUSTED:NO INTERVAL:1D",,"TSREPEAT:NO"))</f>
        <v>#NAME?</v>
      </c>
      <c r="AH123" s="1166" t="e">
        <f ca="1">IF(AC123="","",_xll.RHistory($AA$41,".Close","END:"&amp;AC123&amp;" NBROWS:1 ADJUSTED:YES INTERVAL:1D",,"TSREPEAT:NO"))</f>
        <v>#NAME?</v>
      </c>
    </row>
    <row r="124" spans="4:34" ht="17.649999999999999">
      <c r="D124" s="1100"/>
      <c r="L124" s="1188"/>
      <c r="M124" s="1189"/>
      <c r="N124" s="1190"/>
      <c r="O124" s="1191"/>
      <c r="P124" s="1191"/>
      <c r="Q124" s="1191"/>
      <c r="Z124" s="1048">
        <v>40430</v>
      </c>
      <c r="AA124" s="1048">
        <v>40434</v>
      </c>
      <c r="AB124" s="1048">
        <v>40452</v>
      </c>
      <c r="AC124" s="1048">
        <v>40430</v>
      </c>
      <c r="AD124" s="1047" t="s">
        <v>1648</v>
      </c>
      <c r="AE124" s="1047">
        <v>0.44</v>
      </c>
      <c r="AF124" s="1186" t="str">
        <f t="shared" ca="1" si="1"/>
        <v>USD</v>
      </c>
      <c r="AG124" s="1166" t="e">
        <f ca="1">IF(AC124="","",_xll.RHistory($AA$41,".Close","END:"&amp;AC124&amp;" NBROWS:1 ADJUSTED:NO INTERVAL:1D",,"TSREPEAT:NO"))</f>
        <v>#NAME?</v>
      </c>
      <c r="AH124" s="1166" t="e">
        <f ca="1">IF(AC124="","",_xll.RHistory($AA$41,".Close","END:"&amp;AC124&amp;" NBROWS:1 ADJUSTED:YES INTERVAL:1D",,"TSREPEAT:NO"))</f>
        <v>#NAME?</v>
      </c>
    </row>
    <row r="125" spans="4:34" ht="17.649999999999999">
      <c r="D125" s="1100"/>
      <c r="L125" s="1188"/>
      <c r="M125" s="1189"/>
      <c r="N125" s="1190"/>
      <c r="O125" s="1191"/>
      <c r="P125" s="1191"/>
      <c r="Q125" s="1191"/>
      <c r="Z125" s="1048">
        <v>40521</v>
      </c>
      <c r="AA125" s="1048">
        <v>40525</v>
      </c>
      <c r="AB125" s="1048">
        <v>40546</v>
      </c>
      <c r="AC125" s="1048">
        <v>40521</v>
      </c>
      <c r="AD125" s="1047" t="s">
        <v>1648</v>
      </c>
      <c r="AE125" s="1047">
        <v>0.47</v>
      </c>
      <c r="AF125" s="1186" t="str">
        <f t="shared" ca="1" si="1"/>
        <v>USD</v>
      </c>
      <c r="AG125" s="1166" t="e">
        <f ca="1">IF(AC125="","",_xll.RHistory($AA$41,".Close","END:"&amp;AC125&amp;" NBROWS:1 ADJUSTED:NO INTERVAL:1D",,"TSREPEAT:NO"))</f>
        <v>#NAME?</v>
      </c>
      <c r="AH125" s="1166" t="e">
        <f ca="1">IF(AC125="","",_xll.RHistory($AA$41,".Close","END:"&amp;AC125&amp;" NBROWS:1 ADJUSTED:YES INTERVAL:1D",,"TSREPEAT:NO"))</f>
        <v>#NAME?</v>
      </c>
    </row>
    <row r="126" spans="4:34" ht="17.649999999999999">
      <c r="D126" s="1100"/>
      <c r="L126" s="1188"/>
      <c r="M126" s="1189"/>
      <c r="N126" s="1190"/>
      <c r="O126" s="1191"/>
      <c r="P126" s="1191"/>
      <c r="Q126" s="1191"/>
      <c r="Z126" s="1048">
        <v>40613</v>
      </c>
      <c r="AA126" s="1048">
        <v>40617</v>
      </c>
      <c r="AB126" s="1048">
        <v>40634</v>
      </c>
      <c r="AC126" s="1048">
        <v>40613</v>
      </c>
      <c r="AD126" s="1047" t="s">
        <v>1648</v>
      </c>
      <c r="AE126" s="1047">
        <v>0.47</v>
      </c>
      <c r="AF126" s="1186" t="str">
        <f t="shared" ca="1" si="1"/>
        <v>USD</v>
      </c>
      <c r="AG126" s="1166" t="e">
        <f ca="1">IF(AC126="","",_xll.RHistory($AA$41,".Close","END:"&amp;AC126&amp;" NBROWS:1 ADJUSTED:NO INTERVAL:1D",,"TSREPEAT:NO"))</f>
        <v>#NAME?</v>
      </c>
      <c r="AH126" s="1166" t="e">
        <f ca="1">IF(AC126="","",_xll.RHistory($AA$41,".Close","END:"&amp;AC126&amp;" NBROWS:1 ADJUSTED:YES INTERVAL:1D",,"TSREPEAT:NO"))</f>
        <v>#NAME?</v>
      </c>
    </row>
    <row r="127" spans="4:34" ht="17.649999999999999">
      <c r="D127" s="1100"/>
      <c r="L127" s="1188"/>
      <c r="M127" s="1189"/>
      <c r="N127" s="1190"/>
      <c r="O127" s="1191"/>
      <c r="P127" s="1191"/>
      <c r="Q127" s="1191"/>
      <c r="Z127" s="1048">
        <v>40707</v>
      </c>
      <c r="AA127" s="1048">
        <v>40709</v>
      </c>
      <c r="AB127" s="1048">
        <v>40725</v>
      </c>
      <c r="AC127" s="1048">
        <v>40707</v>
      </c>
      <c r="AD127" s="1047" t="s">
        <v>1648</v>
      </c>
      <c r="AE127" s="1047">
        <v>0.47</v>
      </c>
      <c r="AF127" s="1186" t="str">
        <f t="shared" ref="AF127:AF150" ca="1" si="2">IF(AE127&lt;&gt;"",IF($AA$44="Yes",$AC$55,$AA$45),"")</f>
        <v>USD</v>
      </c>
      <c r="AG127" s="1166" t="e">
        <f ca="1">IF(AC127="","",_xll.RHistory($AA$41,".Close","END:"&amp;AC127&amp;" NBROWS:1 ADJUSTED:NO INTERVAL:1D",,"TSREPEAT:NO"))</f>
        <v>#NAME?</v>
      </c>
      <c r="AH127" s="1166" t="e">
        <f ca="1">IF(AC127="","",_xll.RHistory($AA$41,".Close","END:"&amp;AC127&amp;" NBROWS:1 ADJUSTED:YES INTERVAL:1D",,"TSREPEAT:NO"))</f>
        <v>#NAME?</v>
      </c>
    </row>
    <row r="128" spans="4:34" ht="17.649999999999999">
      <c r="D128" s="1100"/>
      <c r="L128" s="1188"/>
      <c r="M128" s="1189"/>
      <c r="N128" s="1190"/>
      <c r="O128" s="1191"/>
      <c r="P128" s="1191"/>
      <c r="Q128" s="1191"/>
      <c r="Z128" s="1048">
        <v>40799</v>
      </c>
      <c r="AA128" s="1048">
        <v>40801</v>
      </c>
      <c r="AB128" s="1048">
        <v>40819</v>
      </c>
      <c r="AC128" s="1048">
        <v>40799</v>
      </c>
      <c r="AD128" s="1047" t="s">
        <v>1648</v>
      </c>
      <c r="AE128" s="1047">
        <v>0.52</v>
      </c>
      <c r="AF128" s="1186" t="str">
        <f t="shared" ca="1" si="2"/>
        <v>USD</v>
      </c>
      <c r="AG128" s="1166" t="e">
        <f ca="1">IF(AC128="","",_xll.RHistory($AA$41,".Close","END:"&amp;AC128&amp;" NBROWS:1 ADJUSTED:NO INTERVAL:1D",,"TSREPEAT:NO"))</f>
        <v>#NAME?</v>
      </c>
      <c r="AH128" s="1166" t="e">
        <f ca="1">IF(AC128="","",_xll.RHistory($AA$41,".Close","END:"&amp;AC128&amp;" NBROWS:1 ADJUSTED:YES INTERVAL:1D",,"TSREPEAT:NO"))</f>
        <v>#NAME?</v>
      </c>
    </row>
    <row r="129" spans="4:34" ht="17.649999999999999">
      <c r="D129" s="1100"/>
      <c r="L129" s="1188"/>
      <c r="M129" s="1189"/>
      <c r="N129" s="1190"/>
      <c r="O129" s="1191"/>
      <c r="P129" s="1191"/>
      <c r="Q129" s="1191"/>
      <c r="Z129" s="1048">
        <v>40890</v>
      </c>
      <c r="AA129" s="1048">
        <v>40892</v>
      </c>
      <c r="AB129" s="1048">
        <v>40911</v>
      </c>
      <c r="AC129" s="1048">
        <v>40890</v>
      </c>
      <c r="AD129" s="1047" t="s">
        <v>1648</v>
      </c>
      <c r="AE129" s="1047">
        <v>0.26</v>
      </c>
      <c r="AF129" s="1186" t="str">
        <f t="shared" ca="1" si="2"/>
        <v>USD</v>
      </c>
      <c r="AG129" s="1166" t="e">
        <f ca="1">IF(AC129="","",_xll.RHistory($AA$41,".Close","END:"&amp;AC129&amp;" NBROWS:1 ADJUSTED:NO INTERVAL:1D",,"TSREPEAT:NO"))</f>
        <v>#NAME?</v>
      </c>
      <c r="AH129" s="1166" t="e">
        <f ca="1">IF(AC129="","",_xll.RHistory($AA$41,".Close","END:"&amp;AC129&amp;" NBROWS:1 ADJUSTED:YES INTERVAL:1D",,"TSREPEAT:NO"))</f>
        <v>#NAME?</v>
      </c>
    </row>
    <row r="130" spans="4:34" ht="17.649999999999999">
      <c r="D130" s="1100"/>
      <c r="L130" s="1188"/>
      <c r="M130" s="1189"/>
      <c r="N130" s="1190"/>
      <c r="O130" s="1191"/>
      <c r="P130" s="1191"/>
      <c r="Q130" s="1191"/>
      <c r="Z130" s="1048">
        <v>40981</v>
      </c>
      <c r="AA130" s="1048">
        <v>40983</v>
      </c>
      <c r="AB130" s="1048">
        <v>41001</v>
      </c>
      <c r="AC130" s="1048">
        <v>40981</v>
      </c>
      <c r="AD130" s="1047" t="s">
        <v>1648</v>
      </c>
      <c r="AE130" s="1047">
        <v>0.26</v>
      </c>
      <c r="AF130" s="1186" t="str">
        <f t="shared" ca="1" si="2"/>
        <v>USD</v>
      </c>
      <c r="AG130" s="1166" t="e">
        <f ca="1">IF(AC130="","",_xll.RHistory($AA$41,".Close","END:"&amp;AC130&amp;" NBROWS:1 ADJUSTED:NO INTERVAL:1D",,"TSREPEAT:NO"))</f>
        <v>#NAME?</v>
      </c>
      <c r="AH130" s="1166" t="e">
        <f ca="1">IF(AC130="","",_xll.RHistory($AA$41,".Close","END:"&amp;AC130&amp;" NBROWS:1 ADJUSTED:YES INTERVAL:1D",,"TSREPEAT:NO"))</f>
        <v>#NAME?</v>
      </c>
    </row>
    <row r="131" spans="4:34" ht="17.649999999999999">
      <c r="D131" s="1100"/>
      <c r="L131" s="1188"/>
      <c r="M131" s="1189"/>
      <c r="N131" s="1190"/>
      <c r="O131" s="1191"/>
      <c r="P131" s="1191"/>
      <c r="Q131" s="1191"/>
      <c r="Z131" s="1048">
        <v>41073</v>
      </c>
      <c r="AA131" s="1048">
        <v>41075</v>
      </c>
      <c r="AB131" s="1048">
        <v>41092</v>
      </c>
      <c r="AC131" s="1048">
        <v>41073</v>
      </c>
      <c r="AD131" s="1047" t="s">
        <v>1648</v>
      </c>
      <c r="AE131" s="1047">
        <v>0.26</v>
      </c>
      <c r="AF131" s="1186" t="str">
        <f t="shared" ca="1" si="2"/>
        <v>USD</v>
      </c>
      <c r="AG131" s="1166" t="e">
        <f ca="1">IF(AC131="","",_xll.RHistory($AA$41,".Close","END:"&amp;AC131&amp;" NBROWS:1 ADJUSTED:NO INTERVAL:1D",,"TSREPEAT:NO"))</f>
        <v>#NAME?</v>
      </c>
      <c r="AH131" s="1166" t="e">
        <f ca="1">IF(AC131="","",_xll.RHistory($AA$41,".Close","END:"&amp;AC131&amp;" NBROWS:1 ADJUSTED:YES INTERVAL:1D",,"TSREPEAT:NO"))</f>
        <v>#NAME?</v>
      </c>
    </row>
    <row r="132" spans="4:34" ht="17.649999999999999">
      <c r="D132" s="1100"/>
      <c r="L132" s="1188"/>
      <c r="M132" s="1189"/>
      <c r="N132" s="1190"/>
      <c r="O132" s="1191"/>
      <c r="P132" s="1191"/>
      <c r="Q132" s="1191"/>
      <c r="Z132" s="1048">
        <v>41164</v>
      </c>
      <c r="AA132" s="1048">
        <v>41166</v>
      </c>
      <c r="AB132" s="1048">
        <v>41183</v>
      </c>
      <c r="AC132" s="1048">
        <v>41164</v>
      </c>
      <c r="AD132" s="1047" t="s">
        <v>1648</v>
      </c>
      <c r="AE132" s="1047">
        <v>0.26</v>
      </c>
      <c r="AF132" s="1186" t="str">
        <f t="shared" ca="1" si="2"/>
        <v>USD</v>
      </c>
      <c r="AG132" s="1166" t="e">
        <f ca="1">IF(AC132="","",_xll.RHistory($AA$41,".Close","END:"&amp;AC132&amp;" NBROWS:1 ADJUSTED:NO INTERVAL:1D",,"TSREPEAT:NO"))</f>
        <v>#NAME?</v>
      </c>
      <c r="AH132" s="1166" t="e">
        <f ca="1">IF(AC132="","",_xll.RHistory($AA$41,".Close","END:"&amp;AC132&amp;" NBROWS:1 ADJUSTED:YES INTERVAL:1D",,"TSREPEAT:NO"))</f>
        <v>#NAME?</v>
      </c>
    </row>
    <row r="133" spans="4:34" ht="17.649999999999999">
      <c r="D133" s="1100"/>
      <c r="L133" s="1188"/>
      <c r="M133" s="1189"/>
      <c r="N133" s="1190"/>
      <c r="O133" s="1191"/>
      <c r="P133" s="1191"/>
      <c r="Q133" s="1191"/>
      <c r="Z133" s="1048">
        <v>41256</v>
      </c>
      <c r="AA133" s="1048">
        <v>41260</v>
      </c>
      <c r="AB133" s="1048">
        <v>41274</v>
      </c>
      <c r="AC133" s="1048">
        <v>41256</v>
      </c>
      <c r="AD133" s="1047" t="s">
        <v>1648</v>
      </c>
      <c r="AE133" s="1047">
        <v>0.3</v>
      </c>
      <c r="AF133" s="1186" t="str">
        <f t="shared" ca="1" si="2"/>
        <v>USD</v>
      </c>
      <c r="AG133" s="1166" t="e">
        <f ca="1">IF(AC133="","",_xll.RHistory($AA$41,".Close","END:"&amp;AC133&amp;" NBROWS:1 ADJUSTED:NO INTERVAL:1D",,"TSREPEAT:NO"))</f>
        <v>#NAME?</v>
      </c>
      <c r="AH133" s="1166" t="e">
        <f ca="1">IF(AC133="","",_xll.RHistory($AA$41,".Close","END:"&amp;AC133&amp;" NBROWS:1 ADJUSTED:YES INTERVAL:1D",,"TSREPEAT:NO"))</f>
        <v>#NAME?</v>
      </c>
    </row>
    <row r="134" spans="4:34" ht="17.649999999999999">
      <c r="D134" s="1100"/>
      <c r="L134" s="1188"/>
      <c r="M134" s="1189"/>
      <c r="N134" s="1190"/>
      <c r="O134" s="1191"/>
      <c r="P134" s="1191"/>
      <c r="Q134" s="1191"/>
      <c r="Z134" s="1048">
        <v>41346</v>
      </c>
      <c r="AA134" s="1048">
        <v>41348</v>
      </c>
      <c r="AB134" s="1048">
        <v>41365</v>
      </c>
      <c r="AC134" s="1048">
        <v>41346</v>
      </c>
      <c r="AD134" s="1047" t="s">
        <v>1648</v>
      </c>
      <c r="AE134" s="1047">
        <v>0.3</v>
      </c>
      <c r="AF134" s="1186" t="str">
        <f t="shared" ca="1" si="2"/>
        <v>USD</v>
      </c>
      <c r="AG134" s="1166" t="e">
        <f ca="1">IF(AC134="","",_xll.RHistory($AA$41,".Close","END:"&amp;AC134&amp;" NBROWS:1 ADJUSTED:NO INTERVAL:1D",,"TSREPEAT:NO"))</f>
        <v>#NAME?</v>
      </c>
      <c r="AH134" s="1166" t="e">
        <f ca="1">IF(AC134="","",_xll.RHistory($AA$41,".Close","END:"&amp;AC134&amp;" NBROWS:1 ADJUSTED:YES INTERVAL:1D",,"TSREPEAT:NO"))</f>
        <v>#NAME?</v>
      </c>
    </row>
    <row r="135" spans="4:34" ht="17.649999999999999">
      <c r="D135" s="1100"/>
      <c r="L135" s="1188"/>
      <c r="M135" s="1189"/>
      <c r="N135" s="1190"/>
      <c r="O135" s="1191"/>
      <c r="P135" s="1191"/>
      <c r="Q135" s="1191"/>
      <c r="Z135" s="1048">
        <v>41437</v>
      </c>
      <c r="AA135" s="1048">
        <v>41439</v>
      </c>
      <c r="AB135" s="1048">
        <v>41456</v>
      </c>
      <c r="AC135" s="1048">
        <v>41437</v>
      </c>
      <c r="AD135" s="1047" t="s">
        <v>1648</v>
      </c>
      <c r="AE135" s="1047">
        <v>0.3</v>
      </c>
      <c r="AF135" s="1186" t="str">
        <f t="shared" ca="1" si="2"/>
        <v>USD</v>
      </c>
      <c r="AG135" s="1166" t="e">
        <f ca="1">IF(AC135="","",_xll.RHistory($AA$41,".Close","END:"&amp;AC135&amp;" NBROWS:1 ADJUSTED:NO INTERVAL:1D",,"TSREPEAT:NO"))</f>
        <v>#NAME?</v>
      </c>
      <c r="AH135" s="1166" t="e">
        <f ca="1">IF(AC135="","",_xll.RHistory($AA$41,".Close","END:"&amp;AC135&amp;" NBROWS:1 ADJUSTED:YES INTERVAL:1D",,"TSREPEAT:NO"))</f>
        <v>#NAME?</v>
      </c>
    </row>
    <row r="136" spans="4:34" ht="17.649999999999999">
      <c r="D136" s="1100"/>
      <c r="L136" s="1188"/>
      <c r="M136" s="1189"/>
      <c r="N136" s="1190"/>
      <c r="O136" s="1191"/>
      <c r="P136" s="1191"/>
      <c r="Q136" s="1191"/>
      <c r="Z136" s="1048">
        <v>41528</v>
      </c>
      <c r="AA136" s="1048">
        <v>41530</v>
      </c>
      <c r="AB136" s="1048">
        <v>41548</v>
      </c>
      <c r="AC136" s="1048">
        <v>41528</v>
      </c>
      <c r="AD136" s="1047" t="s">
        <v>1648</v>
      </c>
      <c r="AE136" s="1047">
        <v>0.3</v>
      </c>
      <c r="AF136" s="1186" t="str">
        <f t="shared" ca="1" si="2"/>
        <v>USD</v>
      </c>
      <c r="AG136" s="1166" t="e">
        <f ca="1">IF(AC136="","",_xll.RHistory($AA$41,".Close","END:"&amp;AC136&amp;" NBROWS:1 ADJUSTED:NO INTERVAL:1D",,"TSREPEAT:NO"))</f>
        <v>#NAME?</v>
      </c>
      <c r="AH136" s="1166" t="e">
        <f ca="1">IF(AC136="","",_xll.RHistory($AA$41,".Close","END:"&amp;AC136&amp;" NBROWS:1 ADJUSTED:YES INTERVAL:1D",,"TSREPEAT:NO"))</f>
        <v>#NAME?</v>
      </c>
    </row>
    <row r="137" spans="4:34" ht="17.649999999999999">
      <c r="D137" s="1100"/>
      <c r="L137" s="1188"/>
      <c r="M137" s="1189"/>
      <c r="N137" s="1190"/>
      <c r="O137" s="1191"/>
      <c r="P137" s="1191"/>
      <c r="Q137" s="1191"/>
      <c r="Z137" s="1048">
        <v>41620</v>
      </c>
      <c r="AA137" s="1048">
        <v>41624</v>
      </c>
      <c r="AB137" s="1048">
        <v>41641</v>
      </c>
      <c r="AC137" s="1048">
        <v>41620</v>
      </c>
      <c r="AD137" s="1047" t="s">
        <v>1648</v>
      </c>
      <c r="AE137" s="1047">
        <v>0.35</v>
      </c>
      <c r="AF137" s="1186" t="str">
        <f t="shared" ca="1" si="2"/>
        <v>USD</v>
      </c>
      <c r="AG137" s="1166" t="e">
        <f ca="1">IF(AC137="","",_xll.RHistory($AA$41,".Close","END:"&amp;AC137&amp;" NBROWS:1 ADJUSTED:NO INTERVAL:1D",,"TSREPEAT:NO"))</f>
        <v>#NAME?</v>
      </c>
      <c r="AH137" s="1166" t="e">
        <f ca="1">IF(AC137="","",_xll.RHistory($AA$41,".Close","END:"&amp;AC137&amp;" NBROWS:1 ADJUSTED:YES INTERVAL:1D",,"TSREPEAT:NO"))</f>
        <v>#NAME?</v>
      </c>
    </row>
    <row r="138" spans="4:34" ht="17.649999999999999">
      <c r="D138" s="1100"/>
      <c r="L138" s="1188"/>
      <c r="M138" s="1189"/>
      <c r="N138" s="1190"/>
      <c r="O138" s="1191"/>
      <c r="P138" s="1191"/>
      <c r="Q138" s="1191"/>
      <c r="Z138" s="1048">
        <v>41710</v>
      </c>
      <c r="AA138" s="1048">
        <v>41712</v>
      </c>
      <c r="AB138" s="1048">
        <v>41730</v>
      </c>
      <c r="AC138" s="1048">
        <v>41710</v>
      </c>
      <c r="AD138" s="1047" t="s">
        <v>1648</v>
      </c>
      <c r="AE138" s="1047">
        <v>0.35</v>
      </c>
      <c r="AF138" s="1186" t="str">
        <f t="shared" ca="1" si="2"/>
        <v>USD</v>
      </c>
      <c r="AG138" s="1166" t="e">
        <f ca="1">IF(AC138="","",_xll.RHistory($AA$41,".Close","END:"&amp;AC138&amp;" NBROWS:1 ADJUSTED:NO INTERVAL:1D",,"TSREPEAT:NO"))</f>
        <v>#NAME?</v>
      </c>
      <c r="AH138" s="1166" t="e">
        <f ca="1">IF(AC138="","",_xll.RHistory($AA$41,".Close","END:"&amp;AC138&amp;" NBROWS:1 ADJUSTED:YES INTERVAL:1D",,"TSREPEAT:NO"))</f>
        <v>#NAME?</v>
      </c>
    </row>
    <row r="139" spans="4:34" ht="17.649999999999999">
      <c r="D139" s="1100"/>
      <c r="L139" s="1188"/>
      <c r="M139" s="1189"/>
      <c r="N139" s="1190"/>
      <c r="O139" s="1191"/>
      <c r="P139" s="1191"/>
      <c r="Q139" s="1191"/>
      <c r="Z139" s="1048">
        <v>41801</v>
      </c>
      <c r="AA139" s="1048">
        <v>41803</v>
      </c>
      <c r="AB139" s="1048">
        <v>41821</v>
      </c>
      <c r="AC139" s="1048">
        <v>41801</v>
      </c>
      <c r="AD139" s="1047" t="s">
        <v>1648</v>
      </c>
      <c r="AE139" s="1047">
        <v>0.35</v>
      </c>
      <c r="AF139" s="1186" t="str">
        <f t="shared" ca="1" si="2"/>
        <v>USD</v>
      </c>
      <c r="AG139" s="1166" t="e">
        <f ca="1">IF(AC139="","",_xll.RHistory($AA$41,".Close","END:"&amp;AC139&amp;" NBROWS:1 ADJUSTED:NO INTERVAL:1D",,"TSREPEAT:NO"))</f>
        <v>#NAME?</v>
      </c>
      <c r="AH139" s="1166" t="e">
        <f ca="1">IF(AC139="","",_xll.RHistory($AA$41,".Close","END:"&amp;AC139&amp;" NBROWS:1 ADJUSTED:YES INTERVAL:1D",,"TSREPEAT:NO"))</f>
        <v>#NAME?</v>
      </c>
    </row>
    <row r="140" spans="4:34" ht="17.649999999999999">
      <c r="D140" s="1100"/>
      <c r="L140" s="1188"/>
      <c r="M140" s="1189"/>
      <c r="N140" s="1190"/>
      <c r="O140" s="1191"/>
      <c r="P140" s="1191"/>
      <c r="Q140" s="1191"/>
      <c r="Z140" s="1048">
        <v>41893</v>
      </c>
      <c r="AA140" s="1048">
        <v>41897</v>
      </c>
      <c r="AB140" s="1048">
        <v>41913</v>
      </c>
      <c r="AC140" s="1048">
        <v>41893</v>
      </c>
      <c r="AD140" s="1047" t="s">
        <v>1648</v>
      </c>
      <c r="AE140" s="1047">
        <v>0.35</v>
      </c>
      <c r="AF140" s="1186" t="str">
        <f t="shared" ca="1" si="2"/>
        <v>USD</v>
      </c>
      <c r="AG140" s="1166" t="e">
        <f ca="1">IF(AC140="","",_xll.RHistory($AA$41,".Close","END:"&amp;AC140&amp;" NBROWS:1 ADJUSTED:NO INTERVAL:1D",,"TSREPEAT:NO"))</f>
        <v>#NAME?</v>
      </c>
      <c r="AH140" s="1166" t="e">
        <f ca="1">IF(AC140="","",_xll.RHistory($AA$41,".Close","END:"&amp;AC140&amp;" NBROWS:1 ADJUSTED:YES INTERVAL:1D",,"TSREPEAT:NO"))</f>
        <v>#NAME?</v>
      </c>
    </row>
    <row r="141" spans="4:34" ht="17.649999999999999">
      <c r="D141" s="1100"/>
      <c r="L141" s="1188"/>
      <c r="M141" s="1189"/>
      <c r="N141" s="1190"/>
      <c r="O141" s="1191"/>
      <c r="P141" s="1191"/>
      <c r="Q141" s="1191"/>
      <c r="Z141" s="1048">
        <v>41984</v>
      </c>
      <c r="AA141" s="1048">
        <v>41988</v>
      </c>
      <c r="AB141" s="1048">
        <v>42006</v>
      </c>
      <c r="AC141" s="1048">
        <v>41984</v>
      </c>
      <c r="AD141" s="1047" t="s">
        <v>1648</v>
      </c>
      <c r="AE141" s="1047">
        <v>0.4</v>
      </c>
      <c r="AF141" s="1186" t="str">
        <f t="shared" ca="1" si="2"/>
        <v>USD</v>
      </c>
      <c r="AG141" s="1166" t="e">
        <f ca="1">IF(AC141="","",_xll.RHistory($AA$41,".Close","END:"&amp;AC141&amp;" NBROWS:1 ADJUSTED:NO INTERVAL:1D",,"TSREPEAT:NO"))</f>
        <v>#NAME?</v>
      </c>
      <c r="AH141" s="1166" t="e">
        <f ca="1">IF(AC141="","",_xll.RHistory($AA$41,".Close","END:"&amp;AC141&amp;" NBROWS:1 ADJUSTED:YES INTERVAL:1D",,"TSREPEAT:NO"))</f>
        <v>#NAME?</v>
      </c>
    </row>
    <row r="142" spans="4:34" ht="17.649999999999999">
      <c r="D142" s="1100"/>
      <c r="L142" s="1188"/>
      <c r="M142" s="1189"/>
      <c r="N142" s="1190"/>
      <c r="O142" s="1191"/>
      <c r="P142" s="1191"/>
      <c r="Q142" s="1191"/>
      <c r="Z142" s="1048">
        <v>42075</v>
      </c>
      <c r="AA142" s="1048">
        <v>42079</v>
      </c>
      <c r="AB142" s="1048">
        <v>42095</v>
      </c>
      <c r="AC142" s="1048">
        <v>42075</v>
      </c>
      <c r="AD142" s="1047" t="s">
        <v>1648</v>
      </c>
      <c r="AE142" s="1047">
        <v>0.4</v>
      </c>
      <c r="AF142" s="1186" t="str">
        <f t="shared" ca="1" si="2"/>
        <v>USD</v>
      </c>
      <c r="AG142" s="1166" t="e">
        <f ca="1">IF(AC142="","",_xll.RHistory($AA$41,".Close","END:"&amp;AC142&amp;" NBROWS:1 ADJUSTED:NO INTERVAL:1D",,"TSREPEAT:NO"))</f>
        <v>#NAME?</v>
      </c>
      <c r="AH142" s="1166" t="e">
        <f ca="1">IF(AC142="","",_xll.RHistory($AA$41,".Close","END:"&amp;AC142&amp;" NBROWS:1 ADJUSTED:YES INTERVAL:1D",,"TSREPEAT:NO"))</f>
        <v>#NAME?</v>
      </c>
    </row>
    <row r="143" spans="4:34" ht="17.649999999999999">
      <c r="D143" s="1100"/>
      <c r="L143" s="1188"/>
      <c r="M143" s="1189"/>
      <c r="N143" s="1190"/>
      <c r="O143" s="1191"/>
      <c r="P143" s="1191"/>
      <c r="Q143" s="1191"/>
      <c r="Z143" s="1048">
        <v>42166</v>
      </c>
      <c r="AA143" s="1048">
        <v>42170</v>
      </c>
      <c r="AB143" s="1048">
        <v>42186</v>
      </c>
      <c r="AC143" s="1048">
        <v>42166</v>
      </c>
      <c r="AD143" s="1047" t="s">
        <v>1648</v>
      </c>
      <c r="AE143" s="1047">
        <v>0.4</v>
      </c>
      <c r="AF143" s="1186" t="str">
        <f t="shared" ca="1" si="2"/>
        <v>USD</v>
      </c>
      <c r="AG143" s="1166" t="e">
        <f ca="1">IF(AC143="","",_xll.RHistory($AA$41,".Close","END:"&amp;AC143&amp;" NBROWS:1 ADJUSTED:NO INTERVAL:1D",,"TSREPEAT:NO"))</f>
        <v>#NAME?</v>
      </c>
      <c r="AH143" s="1166" t="e">
        <f ca="1">IF(AC143="","",_xll.RHistory($AA$41,".Close","END:"&amp;AC143&amp;" NBROWS:1 ADJUSTED:YES INTERVAL:1D",,"TSREPEAT:NO"))</f>
        <v>#NAME?</v>
      </c>
    </row>
    <row r="144" spans="4:34" ht="17.649999999999999">
      <c r="D144" s="1100"/>
      <c r="L144" s="1188"/>
      <c r="M144" s="1189"/>
      <c r="N144" s="1190"/>
      <c r="O144" s="1191"/>
      <c r="P144" s="1191"/>
      <c r="Q144" s="1191"/>
      <c r="Z144" s="1048">
        <v>42257</v>
      </c>
      <c r="AA144" s="1048">
        <v>42261</v>
      </c>
      <c r="AB144" s="1048">
        <v>42278</v>
      </c>
      <c r="AC144" s="1048">
        <v>42257</v>
      </c>
      <c r="AD144" s="1047" t="s">
        <v>1648</v>
      </c>
      <c r="AE144" s="1047">
        <v>0.4</v>
      </c>
      <c r="AF144" s="1186" t="str">
        <f t="shared" ca="1" si="2"/>
        <v>USD</v>
      </c>
      <c r="AG144" s="1166" t="e">
        <f ca="1">IF(AC144="","",_xll.RHistory($AA$41,".Close","END:"&amp;AC144&amp;" NBROWS:1 ADJUSTED:NO INTERVAL:1D",,"TSREPEAT:NO"))</f>
        <v>#NAME?</v>
      </c>
      <c r="AH144" s="1166" t="e">
        <f ca="1">IF(AC144="","",_xll.RHistory($AA$41,".Close","END:"&amp;AC144&amp;" NBROWS:1 ADJUSTED:YES INTERVAL:1D",,"TSREPEAT:NO"))</f>
        <v>#NAME?</v>
      </c>
    </row>
    <row r="145" spans="4:34" ht="17.649999999999999">
      <c r="D145" s="1100"/>
      <c r="L145" s="1188"/>
      <c r="M145" s="1189"/>
      <c r="N145" s="1190"/>
      <c r="O145" s="1191"/>
      <c r="P145" s="1191"/>
      <c r="Q145" s="1191"/>
      <c r="Z145" s="1048">
        <v>42348</v>
      </c>
      <c r="AA145" s="1048">
        <v>42352</v>
      </c>
      <c r="AB145" s="1048">
        <v>42373</v>
      </c>
      <c r="AC145" s="1048">
        <v>42348</v>
      </c>
      <c r="AD145" s="1047" t="s">
        <v>1648</v>
      </c>
      <c r="AE145" s="1047">
        <v>0.46</v>
      </c>
      <c r="AF145" s="1186" t="str">
        <f t="shared" ca="1" si="2"/>
        <v>USD</v>
      </c>
      <c r="AG145" s="1166" t="e">
        <f ca="1">IF(AC145="","",_xll.RHistory($AA$41,".Close","END:"&amp;AC145&amp;" NBROWS:1 ADJUSTED:NO INTERVAL:1D",,"TSREPEAT:NO"))</f>
        <v>#NAME?</v>
      </c>
      <c r="AH145" s="1166" t="e">
        <f ca="1">IF(AC145="","",_xll.RHistory($AA$41,".Close","END:"&amp;AC145&amp;" NBROWS:1 ADJUSTED:YES INTERVAL:1D",,"TSREPEAT:NO"))</f>
        <v>#NAME?</v>
      </c>
    </row>
    <row r="146" spans="4:34" ht="17.649999999999999">
      <c r="D146" s="1100"/>
      <c r="L146" s="1188"/>
      <c r="M146" s="1189"/>
      <c r="N146" s="1190"/>
      <c r="O146" s="1191"/>
      <c r="P146" s="1191"/>
      <c r="Q146" s="1191"/>
      <c r="Z146" s="1048">
        <v>42440</v>
      </c>
      <c r="AA146" s="1048">
        <v>42444</v>
      </c>
      <c r="AB146" s="1048">
        <v>42461</v>
      </c>
      <c r="AC146" s="1048">
        <v>42440</v>
      </c>
      <c r="AD146" s="1047" t="s">
        <v>1648</v>
      </c>
      <c r="AE146" s="1047">
        <v>0.46</v>
      </c>
      <c r="AF146" s="1186" t="str">
        <f t="shared" ca="1" si="2"/>
        <v>USD</v>
      </c>
      <c r="AG146" s="1166" t="e">
        <f ca="1">IF(AC146="","",_xll.RHistory($AA$41,".Close","END:"&amp;AC146&amp;" NBROWS:1 ADJUSTED:NO INTERVAL:1D",,"TSREPEAT:NO"))</f>
        <v>#NAME?</v>
      </c>
      <c r="AH146" s="1166" t="e">
        <f ca="1">IF(AC146="","",_xll.RHistory($AA$41,".Close","END:"&amp;AC146&amp;" NBROWS:1 ADJUSTED:YES INTERVAL:1D",,"TSREPEAT:NO"))</f>
        <v>#NAME?</v>
      </c>
    </row>
    <row r="147" spans="4:34" ht="17.649999999999999">
      <c r="D147" s="1100"/>
      <c r="L147" s="1188"/>
      <c r="M147" s="1189"/>
      <c r="N147" s="1190"/>
      <c r="O147" s="1191"/>
      <c r="P147" s="1191"/>
      <c r="Q147" s="1191"/>
      <c r="Z147" s="1048">
        <v>42534</v>
      </c>
      <c r="AA147" s="1048">
        <v>42536</v>
      </c>
      <c r="AB147" s="1048">
        <v>42552</v>
      </c>
      <c r="AC147" s="1048">
        <v>42534</v>
      </c>
      <c r="AD147" s="1047" t="s">
        <v>1648</v>
      </c>
      <c r="AE147" s="1047">
        <v>0.46</v>
      </c>
      <c r="AF147" s="1186" t="str">
        <f t="shared" ca="1" si="2"/>
        <v>USD</v>
      </c>
      <c r="AG147" s="1166" t="e">
        <f ca="1">IF(AC147="","",_xll.RHistory($AA$41,".Close","END:"&amp;AC147&amp;" NBROWS:1 ADJUSTED:NO INTERVAL:1D",,"TSREPEAT:NO"))</f>
        <v>#NAME?</v>
      </c>
      <c r="AH147" s="1166" t="e">
        <f ca="1">IF(AC147="","",_xll.RHistory($AA$41,".Close","END:"&amp;AC147&amp;" NBROWS:1 ADJUSTED:YES INTERVAL:1D",,"TSREPEAT:NO"))</f>
        <v>#NAME?</v>
      </c>
    </row>
    <row r="148" spans="4:34" ht="17.649999999999999">
      <c r="D148" s="1100"/>
      <c r="L148" s="1188"/>
      <c r="M148" s="1189"/>
      <c r="N148" s="1190"/>
      <c r="O148" s="1191"/>
      <c r="P148" s="1191"/>
      <c r="Q148" s="1191"/>
      <c r="Z148" s="1048">
        <v>42626</v>
      </c>
      <c r="AA148" s="1048">
        <v>42628</v>
      </c>
      <c r="AB148" s="1048">
        <v>42646</v>
      </c>
      <c r="AC148" s="1048">
        <v>42626</v>
      </c>
      <c r="AD148" s="1047" t="s">
        <v>1648</v>
      </c>
      <c r="AE148" s="1047">
        <v>0.46</v>
      </c>
      <c r="AF148" s="1186" t="str">
        <f t="shared" ca="1" si="2"/>
        <v>USD</v>
      </c>
      <c r="AG148" s="1166" t="e">
        <f ca="1">IF(AC148="","",_xll.RHistory($AA$41,".Close","END:"&amp;AC148&amp;" NBROWS:1 ADJUSTED:NO INTERVAL:1D",,"TSREPEAT:NO"))</f>
        <v>#NAME?</v>
      </c>
      <c r="AH148" s="1166" t="e">
        <f ca="1">IF(AC148="","",_xll.RHistory($AA$41,".Close","END:"&amp;AC148&amp;" NBROWS:1 ADJUSTED:YES INTERVAL:1D",,"TSREPEAT:NO"))</f>
        <v>#NAME?</v>
      </c>
    </row>
    <row r="149" spans="4:34" ht="17.649999999999999">
      <c r="D149" s="1100"/>
      <c r="L149" s="1188"/>
      <c r="M149" s="1189"/>
      <c r="N149" s="1190"/>
      <c r="O149" s="1191"/>
      <c r="P149" s="1191"/>
      <c r="Q149" s="1191"/>
      <c r="Z149" s="1048">
        <v>42717</v>
      </c>
      <c r="AA149" s="1048">
        <v>42719</v>
      </c>
      <c r="AB149" s="1048">
        <v>42738</v>
      </c>
      <c r="AC149" s="1048">
        <v>42717</v>
      </c>
      <c r="AD149" s="1047" t="s">
        <v>1648</v>
      </c>
      <c r="AE149" s="1047">
        <v>0.51</v>
      </c>
      <c r="AF149" s="1186" t="str">
        <f t="shared" ca="1" si="2"/>
        <v>USD</v>
      </c>
      <c r="AG149" s="1166" t="e">
        <f ca="1">IF(AC149="","",_xll.RHistory($AA$41,".Close","END:"&amp;AC149&amp;" NBROWS:1 ADJUSTED:NO INTERVAL:1D",,"TSREPEAT:NO"))</f>
        <v>#NAME?</v>
      </c>
      <c r="AH149" s="1166" t="e">
        <f ca="1">IF(AC149="","",_xll.RHistory($AA$41,".Close","END:"&amp;AC149&amp;" NBROWS:1 ADJUSTED:YES INTERVAL:1D",,"TSREPEAT:NO"))</f>
        <v>#NAME?</v>
      </c>
    </row>
    <row r="150" spans="4:34" ht="17.649999999999999">
      <c r="D150" s="1100"/>
      <c r="L150" s="1188"/>
      <c r="M150" s="1189"/>
      <c r="N150" s="1190"/>
      <c r="O150" s="1191"/>
      <c r="P150" s="1191"/>
      <c r="Q150" s="1191"/>
      <c r="Z150" s="1048">
        <v>42807</v>
      </c>
      <c r="AA150" s="1048">
        <v>42809</v>
      </c>
      <c r="AB150" s="1048">
        <v>42828</v>
      </c>
      <c r="AC150" s="1048">
        <v>42807</v>
      </c>
      <c r="AD150" s="1047" t="s">
        <v>1648</v>
      </c>
      <c r="AE150" s="1047">
        <v>0.51</v>
      </c>
      <c r="AF150" s="1186" t="str">
        <f t="shared" ca="1" si="2"/>
        <v>USD</v>
      </c>
      <c r="AG150" s="1166" t="e">
        <f ca="1">IF(AC150="","",_xll.RHistory($AA$41,".Close","END:"&amp;AC150&amp;" NBROWS:1 ADJUSTED:NO INTERVAL:1D",,"TSREPEAT:NO"))</f>
        <v>#NAME?</v>
      </c>
      <c r="AH150" s="1166" t="e">
        <f ca="1">IF(AC150="","",_xll.RHistory($AA$41,".Close","END:"&amp;AC150&amp;" NBROWS:1 ADJUSTED:YES INTERVAL:1D",,"TSREPEAT:NO"))</f>
        <v>#NAME?</v>
      </c>
    </row>
    <row r="151" spans="4:34" ht="17.649999999999999">
      <c r="D151" s="1100"/>
      <c r="L151" s="1188"/>
      <c r="M151" s="1189"/>
      <c r="N151" s="1190"/>
      <c r="O151" s="1191"/>
      <c r="P151" s="1191"/>
      <c r="Q151" s="1191"/>
      <c r="Z151" s="1048">
        <v>42899</v>
      </c>
      <c r="AA151" s="1048">
        <v>42901</v>
      </c>
      <c r="AB151" s="1048">
        <v>42921</v>
      </c>
      <c r="AC151" s="1048">
        <v>42899</v>
      </c>
      <c r="AD151" s="1047" t="s">
        <v>1648</v>
      </c>
      <c r="AE151" s="1047">
        <v>0.51</v>
      </c>
    </row>
    <row r="152" spans="4:34" ht="17.649999999999999">
      <c r="D152" s="1100"/>
      <c r="L152" s="1188"/>
      <c r="M152" s="1189"/>
      <c r="N152" s="1190"/>
      <c r="O152" s="1191"/>
      <c r="P152" s="1191"/>
      <c r="Q152" s="1191"/>
      <c r="Z152" s="1048">
        <v>42992</v>
      </c>
      <c r="AA152" s="1048">
        <v>42993</v>
      </c>
      <c r="AB152" s="1048">
        <v>43010</v>
      </c>
      <c r="AC152" s="1048">
        <v>42992</v>
      </c>
      <c r="AD152" s="1047" t="s">
        <v>1648</v>
      </c>
      <c r="AE152" s="1047">
        <v>0.51</v>
      </c>
    </row>
    <row r="153" spans="4:34" ht="17.649999999999999">
      <c r="D153" s="1100"/>
      <c r="L153" s="1188"/>
      <c r="M153" s="1189"/>
      <c r="N153" s="1190"/>
      <c r="O153" s="1191"/>
      <c r="P153" s="1191"/>
      <c r="Q153" s="1191"/>
      <c r="Z153" s="1048">
        <v>43084</v>
      </c>
      <c r="AA153" s="1048">
        <v>43087</v>
      </c>
      <c r="AB153" s="1048">
        <v>43105</v>
      </c>
      <c r="AC153" s="1048">
        <v>43084</v>
      </c>
      <c r="AD153" s="1047" t="s">
        <v>1648</v>
      </c>
      <c r="AE153" s="1047">
        <v>0.56000000000000005</v>
      </c>
    </row>
    <row r="154" spans="4:34" ht="17.649999999999999">
      <c r="D154" s="1100"/>
      <c r="L154" s="1188"/>
      <c r="M154" s="1189"/>
      <c r="N154" s="1190"/>
      <c r="O154" s="1191"/>
      <c r="P154" s="1191"/>
      <c r="Q154" s="1191"/>
      <c r="Z154" s="1048">
        <v>43173</v>
      </c>
      <c r="AA154" s="1048">
        <v>43174</v>
      </c>
      <c r="AB154" s="1048">
        <v>43196</v>
      </c>
      <c r="AC154" s="1048">
        <v>43173</v>
      </c>
      <c r="AD154" s="1047" t="s">
        <v>1648</v>
      </c>
      <c r="AE154" s="1047">
        <v>0.56000000000000005</v>
      </c>
    </row>
    <row r="155" spans="4:34" ht="17.649999999999999">
      <c r="D155" s="1100"/>
      <c r="L155" s="1188"/>
      <c r="M155" s="1189"/>
      <c r="N155" s="1190"/>
      <c r="O155" s="1191"/>
      <c r="P155" s="1191"/>
      <c r="Q155" s="1191"/>
      <c r="Z155" s="1048">
        <v>43265</v>
      </c>
      <c r="AA155" s="1048">
        <v>43266</v>
      </c>
      <c r="AB155" s="1048">
        <v>43287</v>
      </c>
      <c r="AC155" s="1048">
        <v>43265</v>
      </c>
      <c r="AD155" s="1047" t="s">
        <v>1648</v>
      </c>
      <c r="AE155" s="1047">
        <v>0.56000000000000005</v>
      </c>
    </row>
    <row r="156" spans="4:34" ht="17.649999999999999">
      <c r="D156" s="1100"/>
      <c r="L156" s="1188"/>
      <c r="M156" s="1189"/>
      <c r="N156" s="1190"/>
      <c r="O156" s="1191"/>
      <c r="P156" s="1191"/>
      <c r="Q156" s="1191"/>
      <c r="Z156" s="1048">
        <v>43356</v>
      </c>
      <c r="AA156" s="1048">
        <v>43357</v>
      </c>
      <c r="AB156" s="1048">
        <v>43378</v>
      </c>
      <c r="AC156" s="1048">
        <v>43356</v>
      </c>
      <c r="AD156" s="1047" t="s">
        <v>1648</v>
      </c>
      <c r="AE156" s="1047">
        <v>0.56000000000000005</v>
      </c>
    </row>
    <row r="157" spans="4:34" ht="17.649999999999999">
      <c r="D157" s="1100"/>
      <c r="L157" s="1188"/>
      <c r="M157" s="1189"/>
      <c r="N157" s="1190"/>
      <c r="O157" s="1191"/>
      <c r="P157" s="1191"/>
      <c r="Q157" s="1191"/>
      <c r="Z157" s="1048">
        <v>43448</v>
      </c>
      <c r="AA157" s="1048">
        <v>43451</v>
      </c>
      <c r="AB157" s="1048">
        <v>43469</v>
      </c>
      <c r="AC157" s="1048">
        <v>43448</v>
      </c>
      <c r="AD157" s="1047" t="s">
        <v>1648</v>
      </c>
      <c r="AE157" s="1047">
        <v>0.62</v>
      </c>
    </row>
    <row r="158" spans="4:34">
      <c r="D158" s="1100"/>
      <c r="Z158" s="1048">
        <v>43538</v>
      </c>
      <c r="AA158" s="1048">
        <v>43539</v>
      </c>
      <c r="AB158" s="1048">
        <v>43560</v>
      </c>
      <c r="AC158" s="1048">
        <v>43538</v>
      </c>
      <c r="AD158" s="1047" t="s">
        <v>1648</v>
      </c>
      <c r="AE158" s="1047">
        <v>0.62</v>
      </c>
    </row>
    <row r="159" spans="4:34">
      <c r="D159" s="1100"/>
      <c r="Z159" s="1048">
        <v>43630</v>
      </c>
      <c r="AA159" s="1048">
        <v>43633</v>
      </c>
      <c r="AB159" s="1048">
        <v>43651</v>
      </c>
      <c r="AC159" s="1048">
        <v>43630</v>
      </c>
      <c r="AD159" s="1047" t="s">
        <v>1648</v>
      </c>
      <c r="AE159" s="1047">
        <v>0.62</v>
      </c>
    </row>
    <row r="160" spans="4:34">
      <c r="D160" s="1100"/>
      <c r="Z160" s="1048">
        <v>43721</v>
      </c>
      <c r="AA160" s="1048">
        <v>43724</v>
      </c>
      <c r="AB160" s="1048">
        <v>43742</v>
      </c>
      <c r="AC160" s="1048">
        <v>43721</v>
      </c>
      <c r="AD160" s="1047" t="s">
        <v>1648</v>
      </c>
      <c r="AE160" s="1047">
        <v>0.62</v>
      </c>
    </row>
    <row r="161" spans="4:31">
      <c r="D161" s="1100"/>
      <c r="Z161" s="1048">
        <v>43812</v>
      </c>
      <c r="AA161" s="1048">
        <v>43815</v>
      </c>
      <c r="AB161" s="1048">
        <v>43833</v>
      </c>
      <c r="AC161" s="1048">
        <v>43812</v>
      </c>
      <c r="AD161" s="1047" t="s">
        <v>1648</v>
      </c>
      <c r="AE161" s="1047">
        <v>0.66</v>
      </c>
    </row>
    <row r="162" spans="4:31">
      <c r="D162" s="1100"/>
      <c r="Z162" s="1048">
        <v>43903</v>
      </c>
      <c r="AA162" s="1048">
        <v>43906</v>
      </c>
      <c r="AB162" s="1048">
        <v>43924</v>
      </c>
      <c r="AC162" s="1048">
        <v>43903</v>
      </c>
      <c r="AD162" s="1047" t="s">
        <v>1648</v>
      </c>
      <c r="AE162" s="1047">
        <v>0.66</v>
      </c>
    </row>
    <row r="163" spans="4:31">
      <c r="D163" s="1100"/>
      <c r="Z163" s="1048">
        <v>43994</v>
      </c>
      <c r="AA163" s="1048">
        <v>43997</v>
      </c>
      <c r="AB163" s="1048">
        <v>44022</v>
      </c>
      <c r="AC163" s="1048">
        <v>43994</v>
      </c>
      <c r="AD163" s="1047" t="s">
        <v>1648</v>
      </c>
      <c r="AE163" s="1047">
        <v>0.66</v>
      </c>
    </row>
    <row r="164" spans="4:31">
      <c r="D164" s="1100"/>
      <c r="Z164" s="1048">
        <v>44088</v>
      </c>
      <c r="AA164" s="1048">
        <v>44089</v>
      </c>
      <c r="AB164" s="1048">
        <v>44106</v>
      </c>
      <c r="AC164" s="1048">
        <v>44088</v>
      </c>
      <c r="AD164" s="1047" t="s">
        <v>1648</v>
      </c>
      <c r="AE164" s="1047">
        <v>0.66</v>
      </c>
    </row>
    <row r="165" spans="4:31">
      <c r="D165" s="1100"/>
      <c r="Z165" s="1048">
        <v>44179</v>
      </c>
      <c r="AA165" s="1048">
        <v>44180</v>
      </c>
      <c r="AB165" s="1048">
        <v>44204</v>
      </c>
      <c r="AC165" s="1048">
        <v>44179</v>
      </c>
      <c r="AD165" s="1047" t="s">
        <v>1648</v>
      </c>
      <c r="AE165" s="1047">
        <v>0.69</v>
      </c>
    </row>
    <row r="166" spans="4:31">
      <c r="D166" s="1100"/>
      <c r="Z166" s="1048">
        <v>44267</v>
      </c>
      <c r="AA166" s="1048">
        <v>44270</v>
      </c>
      <c r="AB166" s="1048">
        <v>44291</v>
      </c>
      <c r="AC166" s="1048">
        <v>44267</v>
      </c>
      <c r="AD166" s="1047" t="s">
        <v>1648</v>
      </c>
      <c r="AE166" s="1047">
        <v>0.69</v>
      </c>
    </row>
    <row r="167" spans="4:31">
      <c r="D167" s="1100"/>
      <c r="AE167" s="1080"/>
    </row>
    <row r="168" spans="4:31">
      <c r="D168" s="1100"/>
    </row>
    <row r="169" spans="4:31">
      <c r="D169" s="1100"/>
    </row>
    <row r="170" spans="4:31">
      <c r="D170" s="1100"/>
    </row>
    <row r="171" spans="4:31">
      <c r="D171" s="1100"/>
    </row>
    <row r="172" spans="4:31">
      <c r="D172" s="1100"/>
    </row>
    <row r="173" spans="4:31">
      <c r="D173" s="1100"/>
    </row>
    <row r="174" spans="4:31">
      <c r="D174" s="1100"/>
    </row>
    <row r="175" spans="4:31">
      <c r="D175" s="1100"/>
    </row>
    <row r="176" spans="4:31">
      <c r="D176" s="1100"/>
    </row>
    <row r="177" spans="4:4">
      <c r="D177" s="1100"/>
    </row>
    <row r="178" spans="4:4">
      <c r="D178" s="1100"/>
    </row>
    <row r="179" spans="4:4">
      <c r="D179" s="1100"/>
    </row>
    <row r="180" spans="4:4">
      <c r="D180" s="1100"/>
    </row>
    <row r="181" spans="4:4">
      <c r="D181" s="1100"/>
    </row>
    <row r="182" spans="4:4">
      <c r="D182" s="1100"/>
    </row>
    <row r="183" spans="4:4">
      <c r="D183" s="1100"/>
    </row>
    <row r="184" spans="4:4">
      <c r="D184" s="1100"/>
    </row>
    <row r="185" spans="4:4">
      <c r="D185" s="1100"/>
    </row>
    <row r="186" spans="4:4">
      <c r="D186" s="1100"/>
    </row>
    <row r="187" spans="4:4">
      <c r="D187" s="1100"/>
    </row>
    <row r="188" spans="4:4">
      <c r="D188" s="1100"/>
    </row>
    <row r="189" spans="4:4">
      <c r="D189" s="1100"/>
    </row>
    <row r="190" spans="4:4">
      <c r="D190" s="1100"/>
    </row>
    <row r="191" spans="4:4">
      <c r="D191" s="1100"/>
    </row>
    <row r="192" spans="4:4">
      <c r="D192" s="1100"/>
    </row>
    <row r="193" spans="4:4">
      <c r="D193" s="1100"/>
    </row>
    <row r="194" spans="4:4">
      <c r="D194" s="1100"/>
    </row>
    <row r="195" spans="4:4">
      <c r="D195" s="1100"/>
    </row>
    <row r="196" spans="4:4">
      <c r="D196" s="1100"/>
    </row>
    <row r="197" spans="4:4">
      <c r="D197" s="1100"/>
    </row>
    <row r="198" spans="4:4">
      <c r="D198" s="1100"/>
    </row>
    <row r="199" spans="4:4">
      <c r="D199" s="1100"/>
    </row>
    <row r="200" spans="4:4">
      <c r="D200" s="1100"/>
    </row>
    <row r="201" spans="4:4">
      <c r="D201" s="1100"/>
    </row>
    <row r="202" spans="4:4">
      <c r="D202" s="1100"/>
    </row>
    <row r="203" spans="4:4">
      <c r="D203" s="1100"/>
    </row>
    <row r="204" spans="4:4">
      <c r="D204" s="1100"/>
    </row>
    <row r="205" spans="4:4">
      <c r="D205" s="1100"/>
    </row>
    <row r="206" spans="4:4">
      <c r="D206" s="1100"/>
    </row>
    <row r="207" spans="4:4">
      <c r="D207" s="1100"/>
    </row>
    <row r="208" spans="4:4">
      <c r="D208" s="1100"/>
    </row>
    <row r="209" spans="4:4">
      <c r="D209" s="1100"/>
    </row>
    <row r="210" spans="4:4">
      <c r="D210" s="1100"/>
    </row>
    <row r="211" spans="4:4">
      <c r="D211" s="1100"/>
    </row>
    <row r="212" spans="4:4">
      <c r="D212" s="1100"/>
    </row>
    <row r="213" spans="4:4">
      <c r="D213" s="1100"/>
    </row>
    <row r="214" spans="4:4">
      <c r="D214" s="1100"/>
    </row>
    <row r="215" spans="4:4">
      <c r="D215" s="1100"/>
    </row>
    <row r="216" spans="4:4">
      <c r="D216" s="1100"/>
    </row>
    <row r="217" spans="4:4">
      <c r="D217" s="1100"/>
    </row>
    <row r="218" spans="4:4">
      <c r="D218" s="1100"/>
    </row>
    <row r="219" spans="4:4">
      <c r="D219" s="1100"/>
    </row>
    <row r="220" spans="4:4">
      <c r="D220" s="1100"/>
    </row>
    <row r="221" spans="4:4">
      <c r="D221" s="1100"/>
    </row>
    <row r="222" spans="4:4">
      <c r="D222" s="1100"/>
    </row>
    <row r="223" spans="4:4">
      <c r="D223" s="1100"/>
    </row>
    <row r="224" spans="4:4">
      <c r="D224" s="1100"/>
    </row>
    <row r="225" spans="4:4">
      <c r="D225" s="1100"/>
    </row>
    <row r="226" spans="4:4">
      <c r="D226" s="1100"/>
    </row>
    <row r="227" spans="4:4">
      <c r="D227" s="1100"/>
    </row>
    <row r="228" spans="4:4">
      <c r="D228" s="1100"/>
    </row>
    <row r="229" spans="4:4">
      <c r="D229" s="1100"/>
    </row>
    <row r="230" spans="4:4">
      <c r="D230" s="1100"/>
    </row>
    <row r="231" spans="4:4">
      <c r="D231" s="1100"/>
    </row>
    <row r="232" spans="4:4">
      <c r="D232" s="1100"/>
    </row>
    <row r="233" spans="4:4">
      <c r="D233" s="1100"/>
    </row>
    <row r="234" spans="4:4">
      <c r="D234" s="1100"/>
    </row>
    <row r="235" spans="4:4">
      <c r="D235" s="1100"/>
    </row>
    <row r="236" spans="4:4">
      <c r="D236" s="1100"/>
    </row>
    <row r="237" spans="4:4">
      <c r="D237" s="1100"/>
    </row>
    <row r="238" spans="4:4">
      <c r="D238" s="1100"/>
    </row>
    <row r="239" spans="4:4">
      <c r="D239" s="1100"/>
    </row>
    <row r="240" spans="4:4">
      <c r="D240" s="1100"/>
    </row>
    <row r="241" spans="4:4">
      <c r="D241" s="1100"/>
    </row>
    <row r="242" spans="4:4">
      <c r="D242" s="1100"/>
    </row>
    <row r="243" spans="4:4">
      <c r="D243" s="1100"/>
    </row>
    <row r="244" spans="4:4">
      <c r="D244" s="1100"/>
    </row>
    <row r="245" spans="4:4">
      <c r="D245" s="1100"/>
    </row>
    <row r="246" spans="4:4">
      <c r="D246" s="1100"/>
    </row>
    <row r="247" spans="4:4">
      <c r="D247" s="1100"/>
    </row>
    <row r="248" spans="4:4">
      <c r="D248" s="1100"/>
    </row>
    <row r="249" spans="4:4">
      <c r="D249" s="1100"/>
    </row>
    <row r="250" spans="4:4">
      <c r="D250" s="1100"/>
    </row>
    <row r="251" spans="4:4">
      <c r="D251" s="1100"/>
    </row>
    <row r="252" spans="4:4">
      <c r="D252" s="1100"/>
    </row>
    <row r="253" spans="4:4">
      <c r="D253" s="1100"/>
    </row>
    <row r="254" spans="4:4">
      <c r="D254" s="1100"/>
    </row>
    <row r="255" spans="4:4">
      <c r="D255" s="1100"/>
    </row>
    <row r="256" spans="4:4">
      <c r="D256" s="1100"/>
    </row>
    <row r="257" spans="4:4">
      <c r="D257" s="1100"/>
    </row>
    <row r="258" spans="4:4">
      <c r="D258" s="1100"/>
    </row>
    <row r="259" spans="4:4">
      <c r="D259" s="1100"/>
    </row>
    <row r="260" spans="4:4">
      <c r="D260" s="1100"/>
    </row>
    <row r="261" spans="4:4">
      <c r="D261" s="1100"/>
    </row>
    <row r="262" spans="4:4">
      <c r="D262" s="1100"/>
    </row>
    <row r="263" spans="4:4">
      <c r="D263" s="1100"/>
    </row>
    <row r="264" spans="4:4">
      <c r="D264" s="1100"/>
    </row>
    <row r="265" spans="4:4">
      <c r="D265" s="1100"/>
    </row>
    <row r="266" spans="4:4">
      <c r="D266" s="1100"/>
    </row>
    <row r="267" spans="4:4">
      <c r="D267" s="1100"/>
    </row>
    <row r="268" spans="4:4">
      <c r="D268" s="1100"/>
    </row>
    <row r="269" spans="4:4">
      <c r="D269" s="1100"/>
    </row>
    <row r="270" spans="4:4">
      <c r="D270" s="1100"/>
    </row>
    <row r="271" spans="4:4">
      <c r="D271" s="1100"/>
    </row>
    <row r="272" spans="4:4">
      <c r="D272" s="1100"/>
    </row>
    <row r="273" spans="4:4">
      <c r="D273" s="1100"/>
    </row>
    <row r="274" spans="4:4">
      <c r="D274" s="1100"/>
    </row>
    <row r="275" spans="4:4">
      <c r="D275" s="1100"/>
    </row>
    <row r="276" spans="4:4">
      <c r="D276" s="1100"/>
    </row>
    <row r="277" spans="4:4">
      <c r="D277" s="1100"/>
    </row>
    <row r="278" spans="4:4">
      <c r="D278" s="1100"/>
    </row>
    <row r="279" spans="4:4">
      <c r="D279" s="1100"/>
    </row>
    <row r="280" spans="4:4">
      <c r="D280" s="1100"/>
    </row>
    <row r="281" spans="4:4">
      <c r="D281" s="1100"/>
    </row>
    <row r="282" spans="4:4">
      <c r="D282" s="1100"/>
    </row>
    <row r="283" spans="4:4">
      <c r="D283" s="1100"/>
    </row>
    <row r="284" spans="4:4">
      <c r="D284" s="1100"/>
    </row>
  </sheetData>
  <mergeCells count="9">
    <mergeCell ref="AA44:AB44"/>
    <mergeCell ref="AA45:AB45"/>
    <mergeCell ref="Z52:AF52"/>
    <mergeCell ref="K3:L3"/>
    <mergeCell ref="K4:L4"/>
    <mergeCell ref="AA40:AB40"/>
    <mergeCell ref="AA41:AB41"/>
    <mergeCell ref="AA42:AB42"/>
    <mergeCell ref="AA43:AB43"/>
  </mergeCells>
  <conditionalFormatting sqref="D22">
    <cfRule type="expression" dxfId="49" priority="1">
      <formula>D22&lt;0</formula>
    </cfRule>
  </conditionalFormatting>
  <conditionalFormatting sqref="H11">
    <cfRule type="containsText" dxfId="48" priority="13" operator="containsText" text="CHECK">
      <formula>NOT(ISERROR(SEARCH("CHECK",H11)))</formula>
    </cfRule>
    <cfRule type="containsText" dxfId="47" priority="14" operator="containsText" text="OK">
      <formula>NOT(ISERROR(SEARCH("OK",H11)))</formula>
    </cfRule>
  </conditionalFormatting>
  <conditionalFormatting sqref="H62">
    <cfRule type="containsText" dxfId="46" priority="46" operator="containsText" text="CHECK">
      <formula>NOT(ISERROR(SEARCH("CHECK",H62)))</formula>
    </cfRule>
    <cfRule type="containsText" dxfId="45" priority="47" operator="containsText" text="OK">
      <formula>NOT(ISERROR(SEARCH("OK",H62)))</formula>
    </cfRule>
  </conditionalFormatting>
  <conditionalFormatting sqref="I15:O15">
    <cfRule type="expression" dxfId="44" priority="43">
      <formula>I15&lt;0</formula>
    </cfRule>
  </conditionalFormatting>
  <conditionalFormatting sqref="J11">
    <cfRule type="containsText" dxfId="43" priority="11" operator="containsText" text="CHECK">
      <formula>NOT(ISERROR(SEARCH("CHECK",J11)))</formula>
    </cfRule>
    <cfRule type="containsText" dxfId="42" priority="12" operator="containsText" text="OK">
      <formula>NOT(ISERROR(SEARCH("OK",J11)))</formula>
    </cfRule>
  </conditionalFormatting>
  <conditionalFormatting sqref="J62:K62">
    <cfRule type="containsText" dxfId="41" priority="44" operator="containsText" text="CHECK">
      <formula>NOT(ISERROR(SEARCH("CHECK",J62)))</formula>
    </cfRule>
    <cfRule type="containsText" dxfId="40" priority="45" operator="containsText" text="OK">
      <formula>NOT(ISERROR(SEARCH("OK",J62)))</formula>
    </cfRule>
  </conditionalFormatting>
  <conditionalFormatting sqref="Z45:Z46">
    <cfRule type="expression" dxfId="39" priority="41">
      <formula>$C$9="Yes"</formula>
    </cfRule>
    <cfRule type="expression" dxfId="38" priority="42">
      <formula>$C$9="No"</formula>
    </cfRule>
  </conditionalFormatting>
  <conditionalFormatting sqref="Z55:AC55">
    <cfRule type="expression" dxfId="37" priority="35">
      <formula>$B55=""</formula>
    </cfRule>
    <cfRule type="expression" dxfId="36" priority="36">
      <formula>$B55&lt;&gt;""</formula>
    </cfRule>
  </conditionalFormatting>
  <conditionalFormatting sqref="AA45:AB45">
    <cfRule type="expression" dxfId="35" priority="15">
      <formula>$C$9="No"</formula>
    </cfRule>
    <cfRule type="expression" dxfId="34" priority="16">
      <formula>$C$9="Yes"</formula>
    </cfRule>
  </conditionalFormatting>
  <conditionalFormatting sqref="AA48:AB48">
    <cfRule type="expression" dxfId="33" priority="28">
      <formula>$B48="NULL"</formula>
    </cfRule>
    <cfRule type="expression" dxfId="32" priority="29">
      <formula>$B48=""</formula>
    </cfRule>
    <cfRule type="expression" dxfId="31" priority="30">
      <formula>$B48&lt;&gt;""</formula>
    </cfRule>
  </conditionalFormatting>
  <conditionalFormatting sqref="AA62:AF62 AF63:AF150">
    <cfRule type="expression" dxfId="30" priority="26">
      <formula>$B62=""</formula>
    </cfRule>
    <cfRule type="expression" dxfId="29" priority="27">
      <formula>$B62&lt;&gt;""</formula>
    </cfRule>
  </conditionalFormatting>
  <conditionalFormatting sqref="AA62:AG62 AF63:AG150">
    <cfRule type="expression" dxfId="28" priority="23">
      <formula>$B62="NULL"</formula>
    </cfRule>
    <cfRule type="expression" dxfId="27" priority="34">
      <formula>$B62="NULL"</formula>
    </cfRule>
  </conditionalFormatting>
  <conditionalFormatting sqref="AG62:AG150">
    <cfRule type="expression" dxfId="26" priority="25">
      <formula>$B62&lt;&gt;""</formula>
    </cfRule>
    <cfRule type="expression" dxfId="25" priority="39">
      <formula>$B62=""</formula>
    </cfRule>
    <cfRule type="expression" dxfId="24" priority="40">
      <formula>$B62&lt;&gt;""</formula>
    </cfRule>
  </conditionalFormatting>
  <conditionalFormatting sqref="AG62:AH150">
    <cfRule type="expression" dxfId="23" priority="21">
      <formula>$B62=""</formula>
    </cfRule>
  </conditionalFormatting>
  <conditionalFormatting sqref="AH62:AH150">
    <cfRule type="expression" dxfId="22" priority="17">
      <formula>$B62="NULL"</formula>
    </cfRule>
    <cfRule type="expression" dxfId="21" priority="18">
      <formula>$B62=""</formula>
    </cfRule>
    <cfRule type="expression" dxfId="20" priority="19">
      <formula>$B62&lt;&gt;""</formula>
    </cfRule>
    <cfRule type="expression" dxfId="19" priority="20">
      <formula>$B62="NULL"</formula>
    </cfRule>
    <cfRule type="expression" dxfId="18" priority="22">
      <formula>$B62&lt;&gt;""</formula>
    </cfRule>
  </conditionalFormatting>
  <dataValidations disablePrompts="1" count="5">
    <dataValidation type="list" allowBlank="1" showInputMessage="1" showErrorMessage="1" sqref="AA43:AB43" xr:uid="{55C1919B-DA8C-47B1-B142-7E74409C1537}">
      <formula1>$AH$31:$AH$35</formula1>
    </dataValidation>
    <dataValidation type="list" allowBlank="1" showInputMessage="1" showErrorMessage="1" sqref="AA42:AB42" xr:uid="{54033B8B-893D-45BE-BD4A-15E2C80589E5}">
      <formula1>$AA$31:$AA$35</formula1>
    </dataValidation>
    <dataValidation type="list" allowBlank="1" showInputMessage="1" showErrorMessage="1" sqref="AA40:AB40" xr:uid="{10AD37DD-9B5A-4BA2-BD70-FF2F00DF5455}">
      <formula1>$AL$31:$AL$36</formula1>
    </dataValidation>
    <dataValidation type="textLength" operator="equal" allowBlank="1" showInputMessage="1" showErrorMessage="1" sqref="AA45:AA46 AB46" xr:uid="{6B916A65-9CEF-4E7D-B37D-90BD3EB1F5AC}">
      <formula1>3</formula1>
    </dataValidation>
    <dataValidation type="list" allowBlank="1" showInputMessage="1" showErrorMessage="1" sqref="AA44:AB44" xr:uid="{87D9D96A-5DDD-4B97-A917-90CAAFFFCA2F}">
      <formula1>"Yes,No"</formula1>
    </dataValidation>
  </dataValidations>
  <hyperlinks>
    <hyperlink ref="Z52" r:id="rId1" xr:uid="{20792CAA-8F80-4631-A8D8-98CA2572F6F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F1A8-DB96-4027-BC00-45FD95662C46}">
  <dimension ref="B2:E10"/>
  <sheetViews>
    <sheetView showGridLines="0" topLeftCell="A5" workbookViewId="0">
      <selection activeCell="G6" sqref="G6"/>
    </sheetView>
  </sheetViews>
  <sheetFormatPr defaultColWidth="8.796875" defaultRowHeight="10.5"/>
  <cols>
    <col min="1" max="2" width="8.796875" style="24"/>
    <col min="3" max="5" width="25.53125" style="24" customWidth="1"/>
    <col min="6" max="16384" width="8.796875" style="24"/>
  </cols>
  <sheetData>
    <row r="2" spans="2:5" ht="13.15">
      <c r="B2" s="1393"/>
      <c r="C2" s="1393" t="s">
        <v>1735</v>
      </c>
      <c r="D2" s="1393"/>
      <c r="E2" s="1393"/>
    </row>
    <row r="3" spans="2:5" ht="13.5" thickBot="1">
      <c r="B3" s="1392" t="s">
        <v>1734</v>
      </c>
      <c r="C3" s="1392" t="s">
        <v>1730</v>
      </c>
      <c r="D3" s="1397" t="s">
        <v>1731</v>
      </c>
      <c r="E3" s="1392" t="s">
        <v>1732</v>
      </c>
    </row>
    <row r="4" spans="2:5" ht="89.25">
      <c r="B4" s="1392" t="s">
        <v>1740</v>
      </c>
      <c r="C4" s="1398" t="s">
        <v>1746</v>
      </c>
      <c r="D4" s="1400" t="s">
        <v>1745</v>
      </c>
      <c r="E4" s="1401" t="s">
        <v>1733</v>
      </c>
    </row>
    <row r="5" spans="2:5" ht="51">
      <c r="B5" s="1392" t="s">
        <v>1736</v>
      </c>
      <c r="C5" s="1398" t="s">
        <v>1737</v>
      </c>
      <c r="D5" s="1402" t="s">
        <v>1738</v>
      </c>
      <c r="E5" s="1395" t="s">
        <v>1739</v>
      </c>
    </row>
    <row r="6" spans="2:5" ht="51">
      <c r="B6" s="1392" t="s">
        <v>1741</v>
      </c>
      <c r="C6" s="1398" t="s">
        <v>1743</v>
      </c>
      <c r="D6" s="1402" t="s">
        <v>1744</v>
      </c>
      <c r="E6" s="1395" t="s">
        <v>1742</v>
      </c>
    </row>
    <row r="7" spans="2:5" ht="76.5">
      <c r="B7" s="1394" t="s">
        <v>1748</v>
      </c>
      <c r="C7" s="1398" t="s">
        <v>1747</v>
      </c>
      <c r="D7" s="1402" t="s">
        <v>1749</v>
      </c>
      <c r="E7" s="1395" t="s">
        <v>1750</v>
      </c>
    </row>
    <row r="8" spans="2:5" ht="25.5">
      <c r="B8" s="1392" t="s">
        <v>1753</v>
      </c>
      <c r="C8" s="1399">
        <v>0.88</v>
      </c>
      <c r="D8" s="1402" t="s">
        <v>1754</v>
      </c>
      <c r="E8" s="1396" t="s">
        <v>1755</v>
      </c>
    </row>
    <row r="9" spans="2:5" ht="13.15">
      <c r="B9" s="1392" t="s">
        <v>177</v>
      </c>
      <c r="C9" s="1399" t="s">
        <v>1779</v>
      </c>
      <c r="D9" s="1402" t="s">
        <v>1778</v>
      </c>
      <c r="E9" s="1396" t="s">
        <v>1777</v>
      </c>
    </row>
    <row r="10" spans="2:5" ht="13.15">
      <c r="B10" s="1392" t="s">
        <v>1780</v>
      </c>
      <c r="C10" s="1399" t="s">
        <v>1781</v>
      </c>
      <c r="D10" s="1449" t="s">
        <v>1782</v>
      </c>
      <c r="E10" s="1396" t="s">
        <v>1783</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1A24-78AF-41AA-9567-5E2B8A950404}">
  <sheetPr>
    <tabColor theme="9" tint="0.79998168889431442"/>
  </sheetPr>
  <dimension ref="A1:FN264"/>
  <sheetViews>
    <sheetView showGridLines="0" zoomScaleNormal="100" workbookViewId="0">
      <pane xSplit="4" ySplit="11" topLeftCell="E12" activePane="bottomRight" state="frozen"/>
      <selection activeCell="C17" sqref="C17:F17"/>
      <selection pane="topRight" activeCell="C17" sqref="C17:F17"/>
      <selection pane="bottomLeft" activeCell="C17" sqref="C17:F17"/>
      <selection pane="bottomRight" activeCell="J22" sqref="J22"/>
    </sheetView>
  </sheetViews>
  <sheetFormatPr defaultColWidth="11.53125" defaultRowHeight="10.5" outlineLevelRow="1" outlineLevelCol="1"/>
  <cols>
    <col min="1" max="2" width="1.46484375" style="761" customWidth="1"/>
    <col min="3" max="3" width="8.796875" style="761" bestFit="1" customWidth="1"/>
    <col min="4" max="4" width="9.46484375" style="761" hidden="1" customWidth="1" outlineLevel="1"/>
    <col min="5" max="5" width="11.53125" style="765" customWidth="1" collapsed="1"/>
    <col min="6" max="13" width="11.53125" style="765" customWidth="1"/>
    <col min="14" max="14" width="11.53125" style="762"/>
    <col min="15" max="23" width="11.53125" style="765"/>
    <col min="24" max="24" width="11.53125" style="762"/>
    <col min="25" max="33" width="11.53125" style="765"/>
    <col min="34" max="34" width="9.796875" style="762" bestFit="1" customWidth="1"/>
    <col min="35" max="43" width="11.53125" style="765"/>
    <col min="44" max="44" width="9.796875" style="762" bestFit="1" customWidth="1"/>
    <col min="45" max="45" width="11.53125" style="765" collapsed="1"/>
    <col min="46" max="53" width="11.53125" style="765"/>
    <col min="54" max="54" width="11.53125" style="762"/>
    <col min="55" max="63" width="11.53125" style="765" hidden="1" customWidth="1" outlineLevel="1"/>
    <col min="64" max="64" width="11.53125" style="761" hidden="1" customWidth="1" outlineLevel="1"/>
    <col min="65" max="65" width="11.53125" style="762" collapsed="1"/>
    <col min="66" max="66" width="11.53125" style="762"/>
    <col min="67" max="67" width="11.53125" style="765" collapsed="1"/>
    <col min="68" max="75" width="11.53125" style="765"/>
    <col min="76" max="76" width="11.53125" style="762"/>
    <col min="77" max="77" width="11.53125" style="765" collapsed="1"/>
    <col min="78" max="85" width="11.53125" style="765"/>
    <col min="86" max="86" width="11.53125" style="762"/>
    <col min="87" max="87" width="11.53125" style="765" collapsed="1"/>
    <col min="88" max="95" width="11.53125" style="765"/>
    <col min="96" max="96" width="11.53125" style="761"/>
    <col min="97" max="98" width="11.53125" style="762"/>
    <col min="99" max="99" width="11.53125" style="1246"/>
    <col min="100" max="104" width="11.53125" style="762"/>
    <col min="105" max="105" width="11.53125" style="1002"/>
    <col min="106" max="16384" width="11.53125" style="762"/>
  </cols>
  <sheetData>
    <row r="1" spans="1:112" ht="11.25" customHeight="1">
      <c r="A1" s="760" t="s">
        <v>1151</v>
      </c>
      <c r="E1" s="761"/>
      <c r="F1" s="761"/>
      <c r="G1" s="761"/>
      <c r="H1" s="761"/>
      <c r="I1" s="761"/>
      <c r="J1" s="761"/>
      <c r="K1" s="761"/>
      <c r="L1" s="761"/>
      <c r="M1" s="761"/>
      <c r="O1" s="761"/>
      <c r="P1" s="761"/>
      <c r="Q1" s="761"/>
      <c r="R1" s="761"/>
      <c r="S1" s="761"/>
      <c r="T1" s="761"/>
      <c r="U1" s="761"/>
      <c r="V1" s="761"/>
      <c r="W1" s="761"/>
      <c r="Y1" s="761"/>
      <c r="Z1" s="761"/>
      <c r="AA1" s="761"/>
      <c r="AB1" s="761"/>
      <c r="AC1" s="761"/>
      <c r="AD1" s="761"/>
      <c r="AE1" s="761"/>
      <c r="AF1" s="761"/>
      <c r="AG1" s="761"/>
      <c r="AI1" s="761"/>
      <c r="AJ1" s="761"/>
      <c r="AK1" s="761"/>
      <c r="AL1" s="761"/>
      <c r="AM1" s="761"/>
      <c r="AN1" s="761"/>
      <c r="AO1" s="761"/>
      <c r="AP1" s="761"/>
      <c r="AQ1" s="761"/>
      <c r="AS1" s="761"/>
      <c r="AT1" s="761"/>
      <c r="AU1" s="761"/>
      <c r="AV1" s="761"/>
      <c r="AW1" s="761"/>
      <c r="AX1" s="761"/>
      <c r="AY1" s="761"/>
      <c r="AZ1" s="761"/>
      <c r="BA1" s="761"/>
      <c r="BC1" s="761"/>
      <c r="BD1" s="761"/>
      <c r="BE1" s="761"/>
      <c r="BF1" s="761"/>
      <c r="BG1" s="761"/>
      <c r="BH1" s="761"/>
      <c r="BI1" s="761"/>
      <c r="BJ1" s="761"/>
      <c r="BK1" s="761"/>
      <c r="BO1" s="761"/>
      <c r="BP1" s="761"/>
      <c r="BQ1" s="761"/>
      <c r="BR1" s="761"/>
      <c r="BS1" s="761"/>
      <c r="BT1" s="761"/>
      <c r="BU1" s="761"/>
      <c r="BV1" s="761"/>
      <c r="BW1" s="761"/>
      <c r="BY1" s="761"/>
      <c r="BZ1" s="761"/>
      <c r="CA1" s="761"/>
      <c r="CB1" s="761"/>
      <c r="CC1" s="761"/>
      <c r="CD1" s="761"/>
      <c r="CE1" s="761"/>
      <c r="CF1" s="761"/>
      <c r="CG1" s="761"/>
      <c r="CI1" s="761"/>
      <c r="CJ1" s="761"/>
      <c r="CK1" s="761"/>
      <c r="CL1" s="761"/>
      <c r="CM1" s="761"/>
      <c r="CN1" s="761"/>
      <c r="CO1" s="761"/>
      <c r="CP1" s="761"/>
      <c r="CQ1" s="761"/>
    </row>
    <row r="2" spans="1:112" ht="11.25" customHeight="1">
      <c r="A2" s="763" t="s">
        <v>1152</v>
      </c>
      <c r="E2" s="761"/>
      <c r="F2" s="761"/>
      <c r="G2" s="761"/>
      <c r="H2" s="761"/>
      <c r="I2" s="761"/>
      <c r="J2" s="761"/>
      <c r="K2" s="761"/>
      <c r="L2" s="761"/>
      <c r="M2" s="761"/>
      <c r="O2" s="761"/>
      <c r="P2" s="761"/>
      <c r="Q2" s="761"/>
      <c r="R2" s="761"/>
      <c r="S2" s="761"/>
      <c r="T2" s="761"/>
      <c r="U2" s="761"/>
      <c r="V2" s="761"/>
      <c r="W2" s="761"/>
      <c r="Y2" s="761"/>
      <c r="Z2" s="761"/>
      <c r="AA2" s="761"/>
      <c r="AB2" s="761"/>
      <c r="AC2" s="761"/>
      <c r="AD2" s="761"/>
      <c r="AE2" s="761"/>
      <c r="AF2" s="761"/>
      <c r="AG2" s="761"/>
      <c r="AI2" s="761"/>
      <c r="AJ2" s="761"/>
      <c r="AK2" s="761"/>
      <c r="AL2" s="761"/>
      <c r="AM2" s="761"/>
      <c r="AN2" s="761"/>
      <c r="AO2" s="761"/>
      <c r="AP2" s="761"/>
      <c r="AQ2" s="761"/>
      <c r="AS2" s="761"/>
      <c r="AT2" s="761"/>
      <c r="AU2" s="761"/>
      <c r="AV2" s="761"/>
      <c r="AW2" s="761"/>
      <c r="AX2" s="761"/>
      <c r="AY2" s="761"/>
      <c r="AZ2" s="761"/>
      <c r="BA2" s="761"/>
      <c r="BC2" s="761"/>
      <c r="BD2" s="761"/>
      <c r="BE2" s="761"/>
      <c r="BF2" s="761"/>
      <c r="BG2" s="761"/>
      <c r="BH2" s="761"/>
      <c r="BI2" s="761"/>
      <c r="BJ2" s="761"/>
      <c r="BK2" s="761"/>
      <c r="BO2" s="761"/>
      <c r="BP2" s="761"/>
      <c r="BQ2" s="761"/>
      <c r="BR2" s="761"/>
      <c r="BS2" s="761"/>
      <c r="BT2" s="761"/>
      <c r="BU2" s="761"/>
      <c r="BV2" s="761"/>
      <c r="BW2" s="761"/>
      <c r="BY2" s="761"/>
      <c r="BZ2" s="761"/>
      <c r="CA2" s="761"/>
      <c r="CB2" s="761"/>
      <c r="CC2" s="761"/>
      <c r="CD2" s="761"/>
      <c r="CE2" s="761"/>
      <c r="CF2" s="761"/>
      <c r="CG2" s="761"/>
      <c r="CI2" s="761"/>
      <c r="CJ2" s="761"/>
      <c r="CK2" s="761"/>
      <c r="CL2" s="761"/>
      <c r="CM2" s="761"/>
      <c r="CN2" s="761"/>
      <c r="CO2" s="761"/>
      <c r="CP2" s="761"/>
      <c r="CQ2" s="761"/>
      <c r="CY2" t="s">
        <v>1729</v>
      </c>
    </row>
    <row r="3" spans="1:112" ht="11.25" customHeight="1">
      <c r="E3" s="764" t="s">
        <v>925</v>
      </c>
      <c r="F3" s="761"/>
      <c r="H3" s="1149">
        <v>0</v>
      </c>
      <c r="I3" s="761"/>
      <c r="J3" s="761"/>
      <c r="K3" s="761"/>
      <c r="L3" s="761"/>
      <c r="M3" s="761"/>
      <c r="O3" s="764" t="s">
        <v>925</v>
      </c>
      <c r="P3" s="761"/>
      <c r="R3" s="761"/>
      <c r="S3" s="761"/>
      <c r="T3" s="761"/>
      <c r="U3" s="761"/>
      <c r="V3" s="761"/>
      <c r="W3" s="761"/>
      <c r="Y3" s="764" t="s">
        <v>925</v>
      </c>
      <c r="Z3" s="761"/>
      <c r="AB3" s="761"/>
      <c r="AC3" s="761"/>
      <c r="AD3" s="761"/>
      <c r="AE3" s="761"/>
      <c r="AF3" s="761"/>
      <c r="AG3" s="761"/>
      <c r="AI3" s="764" t="s">
        <v>925</v>
      </c>
      <c r="AJ3" s="761"/>
      <c r="AL3" s="761"/>
      <c r="AM3" s="761"/>
      <c r="AN3" s="761"/>
      <c r="AO3" s="761"/>
      <c r="AP3" s="761"/>
      <c r="AQ3" s="761"/>
      <c r="AS3" s="764" t="s">
        <v>925</v>
      </c>
      <c r="AT3" s="761"/>
      <c r="AV3" s="761"/>
      <c r="AW3" s="761"/>
      <c r="AX3" s="761"/>
      <c r="AY3" s="761"/>
      <c r="AZ3" s="761"/>
      <c r="BA3" s="761"/>
      <c r="BC3" s="764" t="s">
        <v>925</v>
      </c>
      <c r="BD3" s="761"/>
      <c r="BF3" s="761"/>
      <c r="BG3" s="761"/>
      <c r="BH3" s="761"/>
      <c r="BI3" s="761"/>
      <c r="BJ3" s="761"/>
      <c r="BK3" s="761"/>
      <c r="BO3" s="764" t="s">
        <v>925</v>
      </c>
      <c r="BP3" s="761"/>
      <c r="BR3" s="761"/>
      <c r="BS3" s="761"/>
      <c r="BT3" s="761"/>
      <c r="BU3" s="761"/>
      <c r="BV3" s="761"/>
      <c r="BW3" s="761"/>
      <c r="BY3" s="764" t="s">
        <v>925</v>
      </c>
      <c r="BZ3" s="761"/>
      <c r="CB3" s="761"/>
      <c r="CC3" s="761"/>
      <c r="CD3" s="761"/>
      <c r="CE3" s="761"/>
      <c r="CF3" s="761"/>
      <c r="CG3" s="761"/>
      <c r="CI3" s="764" t="s">
        <v>925</v>
      </c>
      <c r="CJ3" s="761"/>
      <c r="CL3" s="761"/>
      <c r="CM3" s="761"/>
      <c r="CN3" s="761"/>
      <c r="CO3" s="761"/>
      <c r="CP3" s="761"/>
      <c r="CQ3" s="761"/>
    </row>
    <row r="4" spans="1:112" ht="11.25" customHeight="1">
      <c r="E4" s="764" t="s">
        <v>1153</v>
      </c>
      <c r="F4" s="761"/>
      <c r="H4" s="761"/>
      <c r="I4" s="761"/>
      <c r="J4" s="761"/>
      <c r="K4" s="761"/>
      <c r="L4" s="761"/>
      <c r="M4" s="761"/>
      <c r="O4" s="764" t="s">
        <v>534</v>
      </c>
      <c r="P4" s="761"/>
      <c r="R4" s="761"/>
      <c r="S4" s="761"/>
      <c r="T4" s="761"/>
      <c r="U4" s="761"/>
      <c r="V4" s="761"/>
      <c r="W4" s="761"/>
      <c r="Y4" s="764" t="s">
        <v>534</v>
      </c>
      <c r="Z4" s="761"/>
      <c r="AB4" s="761"/>
      <c r="AC4" s="761"/>
      <c r="AD4" s="761"/>
      <c r="AE4" s="761"/>
      <c r="AF4" s="761"/>
      <c r="AG4" s="761"/>
      <c r="AI4" s="764" t="s">
        <v>534</v>
      </c>
      <c r="AJ4" s="761"/>
      <c r="AL4" s="761"/>
      <c r="AM4" s="761"/>
      <c r="AN4" s="761"/>
      <c r="AO4" s="761"/>
      <c r="AP4" s="761"/>
      <c r="AQ4" s="761"/>
      <c r="AS4" s="764" t="s">
        <v>534</v>
      </c>
      <c r="AT4" s="761"/>
      <c r="AV4" s="761"/>
      <c r="AW4" s="761"/>
      <c r="AX4" s="761"/>
      <c r="AY4" s="761"/>
      <c r="AZ4" s="761"/>
      <c r="BA4" s="761"/>
      <c r="BC4" s="764" t="s">
        <v>534</v>
      </c>
      <c r="BD4" s="761"/>
      <c r="BF4" s="761"/>
      <c r="BG4" s="761"/>
      <c r="BH4" s="761"/>
      <c r="BI4" s="761"/>
      <c r="BJ4" s="761"/>
      <c r="BK4" s="761"/>
      <c r="BO4" s="764" t="s">
        <v>534</v>
      </c>
      <c r="BP4" s="761"/>
      <c r="BR4" s="761"/>
      <c r="BS4" s="761"/>
      <c r="BT4" s="761"/>
      <c r="BU4" s="761"/>
      <c r="BV4" s="761"/>
      <c r="BW4" s="761"/>
      <c r="BY4" s="764" t="s">
        <v>534</v>
      </c>
      <c r="BZ4" s="761"/>
      <c r="CB4" s="761"/>
      <c r="CC4" s="761"/>
      <c r="CD4" s="761"/>
      <c r="CE4" s="761"/>
      <c r="CF4" s="761"/>
      <c r="CG4" s="761"/>
      <c r="CI4" s="764" t="s">
        <v>534</v>
      </c>
      <c r="CJ4" s="761"/>
      <c r="CL4" s="761"/>
      <c r="CM4" s="761"/>
      <c r="CN4" s="761"/>
      <c r="CO4" s="761"/>
      <c r="CP4" s="761"/>
      <c r="CQ4" s="761"/>
      <c r="CR4" s="761" t="s">
        <v>1727</v>
      </c>
    </row>
    <row r="5" spans="1:112" ht="11.25" customHeight="1">
      <c r="E5" s="761"/>
      <c r="F5" s="761"/>
      <c r="G5" s="761"/>
      <c r="H5" s="761"/>
      <c r="I5" s="761"/>
      <c r="J5" s="761"/>
      <c r="K5" s="761"/>
      <c r="L5" s="761"/>
      <c r="M5" s="761"/>
      <c r="O5" s="761"/>
      <c r="P5" s="761"/>
      <c r="Q5" s="761"/>
      <c r="R5" s="761"/>
      <c r="S5" s="761"/>
      <c r="T5" s="761"/>
      <c r="U5" s="761"/>
      <c r="V5" s="761"/>
      <c r="W5" s="761"/>
      <c r="Y5" s="761"/>
      <c r="Z5" s="761"/>
      <c r="AA5" s="761"/>
      <c r="AB5" s="761"/>
      <c r="AC5" s="761"/>
      <c r="AD5" s="761"/>
      <c r="AE5" s="761"/>
      <c r="AF5" s="761"/>
      <c r="AG5" s="761"/>
      <c r="AI5" s="761"/>
      <c r="AJ5" s="761"/>
      <c r="AK5" s="761"/>
      <c r="AL5" s="761"/>
      <c r="AM5" s="761"/>
      <c r="AN5" s="761"/>
      <c r="AO5" s="761"/>
      <c r="AP5" s="761"/>
      <c r="AQ5" s="761"/>
      <c r="AS5" s="761"/>
      <c r="AT5" s="761"/>
      <c r="AU5" s="761"/>
      <c r="AV5" s="761"/>
      <c r="AW5" s="761"/>
      <c r="AX5" s="761"/>
      <c r="AY5" s="761"/>
      <c r="AZ5" s="761"/>
      <c r="BA5" s="761"/>
      <c r="BC5" s="761"/>
      <c r="BD5" s="761"/>
      <c r="BE5" s="761"/>
      <c r="BF5" s="761"/>
      <c r="BG5" s="761"/>
      <c r="BH5" s="761"/>
      <c r="BI5" s="761"/>
      <c r="BJ5" s="761"/>
      <c r="BK5" s="761"/>
      <c r="BO5" s="761"/>
      <c r="BP5" s="761"/>
      <c r="BQ5" s="761"/>
      <c r="BR5" s="761"/>
      <c r="BS5" s="761"/>
      <c r="BT5" s="761"/>
      <c r="BU5" s="761"/>
      <c r="BV5" s="761"/>
      <c r="BW5" s="761"/>
      <c r="BY5" s="761"/>
      <c r="BZ5" s="761"/>
      <c r="CA5" s="761"/>
      <c r="CB5" s="761"/>
      <c r="CC5" s="761"/>
      <c r="CD5" s="761"/>
      <c r="CE5" s="761"/>
      <c r="CF5" s="761"/>
      <c r="CG5" s="761"/>
      <c r="CI5" s="761"/>
      <c r="CJ5" s="761"/>
      <c r="CK5" s="761"/>
      <c r="CL5" s="761"/>
      <c r="CM5" s="761"/>
      <c r="CN5" s="761"/>
      <c r="CO5" s="761"/>
      <c r="CP5" s="761"/>
      <c r="CQ5" s="761"/>
    </row>
    <row r="6" spans="1:112" s="767" customFormat="1" outlineLevel="1">
      <c r="A6" s="763"/>
      <c r="B6" s="763"/>
      <c r="C6" s="763"/>
      <c r="D6" s="766" t="s">
        <v>1154</v>
      </c>
      <c r="E6" s="763" t="s">
        <v>1155</v>
      </c>
      <c r="F6" s="763" t="str">
        <f>+$E$6</f>
        <v>TR.EVtoEBITDAMean</v>
      </c>
      <c r="G6" s="763" t="str">
        <f t="shared" ref="G6:M6" si="0">+$E$6</f>
        <v>TR.EVtoEBITDAMean</v>
      </c>
      <c r="H6" s="763" t="str">
        <f t="shared" si="0"/>
        <v>TR.EVtoEBITDAMean</v>
      </c>
      <c r="I6" s="763" t="str">
        <f t="shared" si="0"/>
        <v>TR.EVtoEBITDAMean</v>
      </c>
      <c r="J6" s="763" t="str">
        <f t="shared" si="0"/>
        <v>TR.EVtoEBITDAMean</v>
      </c>
      <c r="K6" s="763" t="str">
        <f t="shared" si="0"/>
        <v>TR.EVtoEBITDAMean</v>
      </c>
      <c r="L6" s="763" t="str">
        <f t="shared" si="0"/>
        <v>TR.EVtoEBITDAMean</v>
      </c>
      <c r="M6" s="763" t="str">
        <f t="shared" si="0"/>
        <v>TR.EVtoEBITDAMean</v>
      </c>
      <c r="O6" s="763" t="s">
        <v>1547</v>
      </c>
      <c r="P6" s="763" t="s">
        <v>1547</v>
      </c>
      <c r="Q6" s="763" t="s">
        <v>1547</v>
      </c>
      <c r="R6" s="763" t="s">
        <v>1547</v>
      </c>
      <c r="S6" s="763" t="s">
        <v>1547</v>
      </c>
      <c r="T6" s="763" t="s">
        <v>1547</v>
      </c>
      <c r="U6" s="763" t="s">
        <v>1547</v>
      </c>
      <c r="V6" s="763" t="s">
        <v>1547</v>
      </c>
      <c r="W6" s="763" t="s">
        <v>1547</v>
      </c>
      <c r="Y6" s="763" t="s">
        <v>1549</v>
      </c>
      <c r="Z6" s="763" t="s">
        <v>1549</v>
      </c>
      <c r="AA6" s="763" t="s">
        <v>1549</v>
      </c>
      <c r="AB6" s="763" t="s">
        <v>1549</v>
      </c>
      <c r="AC6" s="763" t="s">
        <v>1549</v>
      </c>
      <c r="AD6" s="763" t="s">
        <v>1549</v>
      </c>
      <c r="AE6" s="763" t="s">
        <v>1549</v>
      </c>
      <c r="AF6" s="763" t="s">
        <v>1549</v>
      </c>
      <c r="AG6" s="763" t="s">
        <v>1549</v>
      </c>
      <c r="AI6" s="763" t="s">
        <v>1418</v>
      </c>
      <c r="AJ6" s="763" t="s">
        <v>1418</v>
      </c>
      <c r="AK6" s="763" t="s">
        <v>1418</v>
      </c>
      <c r="AL6" s="763" t="s">
        <v>1418</v>
      </c>
      <c r="AM6" s="763" t="s">
        <v>1418</v>
      </c>
      <c r="AN6" s="763" t="s">
        <v>1418</v>
      </c>
      <c r="AO6" s="763" t="s">
        <v>1418</v>
      </c>
      <c r="AP6" s="763" t="s">
        <v>1418</v>
      </c>
      <c r="AQ6" s="763" t="s">
        <v>1418</v>
      </c>
      <c r="AS6" s="763" t="s">
        <v>1394</v>
      </c>
      <c r="AT6" s="763" t="s">
        <v>1394</v>
      </c>
      <c r="AU6" s="763" t="s">
        <v>1394</v>
      </c>
      <c r="AV6" s="763" t="s">
        <v>1394</v>
      </c>
      <c r="AW6" s="763" t="s">
        <v>1394</v>
      </c>
      <c r="AX6" s="763" t="s">
        <v>1394</v>
      </c>
      <c r="AY6" s="763" t="s">
        <v>1394</v>
      </c>
      <c r="AZ6" s="763" t="s">
        <v>1394</v>
      </c>
      <c r="BA6" s="763" t="s">
        <v>1394</v>
      </c>
      <c r="BC6" s="763" t="s">
        <v>1527</v>
      </c>
      <c r="BD6" s="763" t="s">
        <v>1527</v>
      </c>
      <c r="BE6" s="763" t="s">
        <v>1527</v>
      </c>
      <c r="BF6" s="763" t="s">
        <v>1527</v>
      </c>
      <c r="BG6" s="763" t="s">
        <v>1527</v>
      </c>
      <c r="BH6" s="763" t="s">
        <v>1527</v>
      </c>
      <c r="BI6" s="763" t="s">
        <v>1527</v>
      </c>
      <c r="BJ6" s="763" t="s">
        <v>1527</v>
      </c>
      <c r="BK6" s="763" t="s">
        <v>1527</v>
      </c>
      <c r="BL6" s="761"/>
      <c r="BO6" s="763" t="s">
        <v>1528</v>
      </c>
      <c r="BP6" s="763" t="s">
        <v>1528</v>
      </c>
      <c r="BQ6" s="763" t="s">
        <v>1528</v>
      </c>
      <c r="BR6" s="763" t="s">
        <v>1528</v>
      </c>
      <c r="BS6" s="763" t="s">
        <v>1528</v>
      </c>
      <c r="BT6" s="763" t="s">
        <v>1528</v>
      </c>
      <c r="BU6" s="763" t="s">
        <v>1528</v>
      </c>
      <c r="BV6" s="763" t="s">
        <v>1528</v>
      </c>
      <c r="BW6" s="763" t="s">
        <v>1528</v>
      </c>
      <c r="BY6" s="763" t="s">
        <v>1529</v>
      </c>
      <c r="BZ6" s="763" t="s">
        <v>1529</v>
      </c>
      <c r="CA6" s="763" t="s">
        <v>1529</v>
      </c>
      <c r="CB6" s="763" t="s">
        <v>1529</v>
      </c>
      <c r="CC6" s="763" t="s">
        <v>1529</v>
      </c>
      <c r="CD6" s="763" t="s">
        <v>1529</v>
      </c>
      <c r="CE6" s="763" t="s">
        <v>1529</v>
      </c>
      <c r="CF6" s="763" t="s">
        <v>1529</v>
      </c>
      <c r="CG6" s="763" t="s">
        <v>1529</v>
      </c>
      <c r="CI6" s="763" t="s">
        <v>1545</v>
      </c>
      <c r="CJ6" s="763" t="s">
        <v>1545</v>
      </c>
      <c r="CK6" s="763" t="s">
        <v>1545</v>
      </c>
      <c r="CL6" s="763" t="s">
        <v>1545</v>
      </c>
      <c r="CM6" s="763" t="s">
        <v>1545</v>
      </c>
      <c r="CN6" s="763" t="s">
        <v>1545</v>
      </c>
      <c r="CO6" s="763" t="s">
        <v>1545</v>
      </c>
      <c r="CP6" s="763" t="s">
        <v>1545</v>
      </c>
      <c r="CQ6" s="763" t="s">
        <v>1545</v>
      </c>
      <c r="CR6" s="761"/>
      <c r="CS6" s="761" t="s">
        <v>1727</v>
      </c>
      <c r="CT6" s="761" t="s">
        <v>1727</v>
      </c>
      <c r="CU6" s="761" t="s">
        <v>1727</v>
      </c>
      <c r="CV6" s="761" t="s">
        <v>1727</v>
      </c>
      <c r="CW6" s="761" t="s">
        <v>1727</v>
      </c>
      <c r="CX6" s="761" t="s">
        <v>1727</v>
      </c>
      <c r="CY6" s="761" t="s">
        <v>1727</v>
      </c>
      <c r="CZ6" s="761" t="s">
        <v>1727</v>
      </c>
      <c r="DA6" s="761" t="s">
        <v>1727</v>
      </c>
      <c r="DB6" s="761" t="s">
        <v>1727</v>
      </c>
      <c r="DC6" s="761" t="s">
        <v>1727</v>
      </c>
      <c r="DD6" s="761" t="s">
        <v>1727</v>
      </c>
      <c r="DE6" s="761" t="s">
        <v>1727</v>
      </c>
      <c r="DF6" s="761" t="s">
        <v>1727</v>
      </c>
      <c r="DG6" s="761" t="s">
        <v>1727</v>
      </c>
      <c r="DH6" s="761" t="s">
        <v>1727</v>
      </c>
    </row>
    <row r="7" spans="1:112" s="767" customFormat="1" outlineLevel="1">
      <c r="A7" s="763"/>
      <c r="B7" s="763"/>
      <c r="C7" s="763"/>
      <c r="D7" s="766" t="s">
        <v>623</v>
      </c>
      <c r="E7" s="768" t="s">
        <v>1509</v>
      </c>
      <c r="F7" s="768" t="s">
        <v>1510</v>
      </c>
      <c r="G7" s="768" t="s">
        <v>1511</v>
      </c>
      <c r="H7" s="768" t="s">
        <v>1363</v>
      </c>
      <c r="I7" s="768" t="s">
        <v>1195</v>
      </c>
      <c r="J7" s="768" t="s">
        <v>1512</v>
      </c>
      <c r="K7" s="768" t="s">
        <v>1513</v>
      </c>
      <c r="L7" s="768" t="s">
        <v>1514</v>
      </c>
      <c r="M7" s="768" t="s">
        <v>637</v>
      </c>
      <c r="O7" s="768" t="str">
        <f t="shared" ref="O7:W7" si="1">E7</f>
        <v>MMM</v>
      </c>
      <c r="P7" s="768" t="str">
        <f t="shared" si="1"/>
        <v>ALB</v>
      </c>
      <c r="Q7" s="768" t="str">
        <f t="shared" si="1"/>
        <v>ASH</v>
      </c>
      <c r="R7" s="768" t="str">
        <f t="shared" si="1"/>
        <v>AVNT.K</v>
      </c>
      <c r="S7" s="768" t="str">
        <f t="shared" si="1"/>
        <v>HUN.N</v>
      </c>
      <c r="T7" s="768" t="str">
        <f t="shared" si="1"/>
        <v>FMC</v>
      </c>
      <c r="U7" s="768" t="str">
        <f t="shared" si="1"/>
        <v>PPG</v>
      </c>
      <c r="V7" s="768" t="str">
        <f t="shared" si="1"/>
        <v>SOLB.BR</v>
      </c>
      <c r="W7" s="768" t="str">
        <f t="shared" si="1"/>
        <v>EMN</v>
      </c>
      <c r="Y7" s="768" t="str">
        <f t="shared" ref="Y7:AG7" si="2">E7</f>
        <v>MMM</v>
      </c>
      <c r="Z7" s="768" t="str">
        <f t="shared" si="2"/>
        <v>ALB</v>
      </c>
      <c r="AA7" s="768" t="str">
        <f t="shared" si="2"/>
        <v>ASH</v>
      </c>
      <c r="AB7" s="768" t="str">
        <f t="shared" si="2"/>
        <v>AVNT.K</v>
      </c>
      <c r="AC7" s="768" t="str">
        <f t="shared" si="2"/>
        <v>HUN.N</v>
      </c>
      <c r="AD7" s="768" t="str">
        <f t="shared" si="2"/>
        <v>FMC</v>
      </c>
      <c r="AE7" s="768" t="str">
        <f t="shared" si="2"/>
        <v>PPG</v>
      </c>
      <c r="AF7" s="768" t="str">
        <f t="shared" si="2"/>
        <v>SOLB.BR</v>
      </c>
      <c r="AG7" s="768" t="str">
        <f t="shared" si="2"/>
        <v>EMN</v>
      </c>
      <c r="AI7" s="768" t="str">
        <f t="shared" ref="AI7:AQ7" si="3">E7</f>
        <v>MMM</v>
      </c>
      <c r="AJ7" s="768" t="str">
        <f t="shared" si="3"/>
        <v>ALB</v>
      </c>
      <c r="AK7" s="768" t="str">
        <f t="shared" si="3"/>
        <v>ASH</v>
      </c>
      <c r="AL7" s="768" t="str">
        <f t="shared" si="3"/>
        <v>AVNT.K</v>
      </c>
      <c r="AM7" s="768" t="str">
        <f t="shared" si="3"/>
        <v>HUN.N</v>
      </c>
      <c r="AN7" s="768" t="str">
        <f t="shared" si="3"/>
        <v>FMC</v>
      </c>
      <c r="AO7" s="768" t="str">
        <f t="shared" si="3"/>
        <v>PPG</v>
      </c>
      <c r="AP7" s="768" t="str">
        <f t="shared" si="3"/>
        <v>SOLB.BR</v>
      </c>
      <c r="AQ7" s="768" t="str">
        <f t="shared" si="3"/>
        <v>EMN</v>
      </c>
      <c r="AS7" s="768" t="str">
        <f t="shared" ref="AS7:BA7" si="4">E7</f>
        <v>MMM</v>
      </c>
      <c r="AT7" s="768" t="str">
        <f t="shared" si="4"/>
        <v>ALB</v>
      </c>
      <c r="AU7" s="768" t="str">
        <f t="shared" si="4"/>
        <v>ASH</v>
      </c>
      <c r="AV7" s="768" t="str">
        <f t="shared" si="4"/>
        <v>AVNT.K</v>
      </c>
      <c r="AW7" s="768" t="str">
        <f t="shared" si="4"/>
        <v>HUN.N</v>
      </c>
      <c r="AX7" s="768" t="str">
        <f t="shared" si="4"/>
        <v>FMC</v>
      </c>
      <c r="AY7" s="768" t="str">
        <f t="shared" si="4"/>
        <v>PPG</v>
      </c>
      <c r="AZ7" s="768" t="str">
        <f t="shared" si="4"/>
        <v>SOLB.BR</v>
      </c>
      <c r="BA7" s="768" t="str">
        <f t="shared" si="4"/>
        <v>EMN</v>
      </c>
      <c r="BC7" s="768" t="s">
        <v>1509</v>
      </c>
      <c r="BD7" s="768" t="s">
        <v>1510</v>
      </c>
      <c r="BE7" s="768" t="s">
        <v>1511</v>
      </c>
      <c r="BF7" s="768" t="s">
        <v>1363</v>
      </c>
      <c r="BG7" s="768" t="s">
        <v>1362</v>
      </c>
      <c r="BH7" s="768" t="s">
        <v>1512</v>
      </c>
      <c r="BI7" s="768" t="s">
        <v>1513</v>
      </c>
      <c r="BJ7" s="768" t="s">
        <v>1514</v>
      </c>
      <c r="BK7" s="768" t="s">
        <v>637</v>
      </c>
      <c r="BL7" s="761"/>
      <c r="BO7" s="768" t="str">
        <f t="shared" ref="BO7:BW7" si="5">E7</f>
        <v>MMM</v>
      </c>
      <c r="BP7" s="768" t="str">
        <f t="shared" si="5"/>
        <v>ALB</v>
      </c>
      <c r="BQ7" s="768" t="str">
        <f t="shared" si="5"/>
        <v>ASH</v>
      </c>
      <c r="BR7" s="768" t="str">
        <f t="shared" si="5"/>
        <v>AVNT.K</v>
      </c>
      <c r="BS7" s="768" t="str">
        <f t="shared" si="5"/>
        <v>HUN.N</v>
      </c>
      <c r="BT7" s="768" t="str">
        <f t="shared" si="5"/>
        <v>FMC</v>
      </c>
      <c r="BU7" s="768" t="str">
        <f t="shared" si="5"/>
        <v>PPG</v>
      </c>
      <c r="BV7" s="768" t="str">
        <f t="shared" si="5"/>
        <v>SOLB.BR</v>
      </c>
      <c r="BW7" s="768" t="str">
        <f t="shared" si="5"/>
        <v>EMN</v>
      </c>
      <c r="BY7" s="768" t="str">
        <f t="shared" ref="BY7:CG7" si="6">E7</f>
        <v>MMM</v>
      </c>
      <c r="BZ7" s="768" t="str">
        <f t="shared" si="6"/>
        <v>ALB</v>
      </c>
      <c r="CA7" s="768" t="str">
        <f t="shared" si="6"/>
        <v>ASH</v>
      </c>
      <c r="CB7" s="768" t="str">
        <f t="shared" si="6"/>
        <v>AVNT.K</v>
      </c>
      <c r="CC7" s="768" t="str">
        <f t="shared" si="6"/>
        <v>HUN.N</v>
      </c>
      <c r="CD7" s="768" t="str">
        <f t="shared" si="6"/>
        <v>FMC</v>
      </c>
      <c r="CE7" s="768" t="str">
        <f t="shared" si="6"/>
        <v>PPG</v>
      </c>
      <c r="CF7" s="768" t="str">
        <f t="shared" si="6"/>
        <v>SOLB.BR</v>
      </c>
      <c r="CG7" s="768" t="str">
        <f t="shared" si="6"/>
        <v>EMN</v>
      </c>
      <c r="CI7" s="768" t="str">
        <f t="shared" ref="CI7:CQ7" si="7">E7</f>
        <v>MMM</v>
      </c>
      <c r="CJ7" s="768" t="str">
        <f t="shared" si="7"/>
        <v>ALB</v>
      </c>
      <c r="CK7" s="768" t="str">
        <f t="shared" si="7"/>
        <v>ASH</v>
      </c>
      <c r="CL7" s="768" t="str">
        <f t="shared" si="7"/>
        <v>AVNT.K</v>
      </c>
      <c r="CM7" s="768" t="str">
        <f t="shared" si="7"/>
        <v>HUN.N</v>
      </c>
      <c r="CN7" s="768" t="str">
        <f t="shared" si="7"/>
        <v>FMC</v>
      </c>
      <c r="CO7" s="768" t="str">
        <f t="shared" si="7"/>
        <v>PPG</v>
      </c>
      <c r="CP7" s="768" t="str">
        <f t="shared" si="7"/>
        <v>SOLB.BR</v>
      </c>
      <c r="CQ7" s="768" t="str">
        <f t="shared" si="7"/>
        <v>EMN</v>
      </c>
      <c r="CR7" s="761"/>
      <c r="CS7" s="768" t="str">
        <f t="shared" ref="CS7" si="8">O7</f>
        <v>MMM</v>
      </c>
      <c r="CT7" s="768" t="str">
        <f t="shared" ref="CT7" si="9">P7</f>
        <v>ALB</v>
      </c>
      <c r="CU7" s="768" t="str">
        <f t="shared" ref="CU7" si="10">Q7</f>
        <v>ASH</v>
      </c>
      <c r="CV7" s="768" t="str">
        <f t="shared" ref="CV7" si="11">R7</f>
        <v>AVNT.K</v>
      </c>
      <c r="CW7" s="768" t="str">
        <f>T7</f>
        <v>FMC</v>
      </c>
      <c r="CX7" s="768" t="str">
        <f>U7</f>
        <v>PPG</v>
      </c>
      <c r="CY7" s="768" t="str">
        <f>V7</f>
        <v>SOLB.BR</v>
      </c>
      <c r="CZ7" s="768" t="s">
        <v>637</v>
      </c>
      <c r="DA7" s="768" t="s">
        <v>1194</v>
      </c>
      <c r="DB7" s="768" t="s">
        <v>1197</v>
      </c>
      <c r="DC7" s="768" t="s">
        <v>1156</v>
      </c>
      <c r="DD7" s="768" t="s">
        <v>1157</v>
      </c>
      <c r="DE7" s="768" t="s">
        <v>1362</v>
      </c>
      <c r="DF7" s="768" t="s">
        <v>1363</v>
      </c>
      <c r="DG7" s="768" t="s">
        <v>1195</v>
      </c>
      <c r="DH7" s="768" t="s">
        <v>1365</v>
      </c>
    </row>
    <row r="8" spans="1:112" ht="11.25" customHeight="1">
      <c r="E8" s="760"/>
      <c r="F8" s="760"/>
      <c r="G8" s="760"/>
      <c r="H8" s="760"/>
      <c r="I8" s="760"/>
      <c r="J8" s="760"/>
      <c r="K8" s="760"/>
      <c r="L8" s="760"/>
      <c r="M8" s="760"/>
      <c r="O8" s="760"/>
      <c r="P8" s="760"/>
      <c r="Q8" s="760"/>
      <c r="R8" s="760"/>
      <c r="S8" s="760"/>
      <c r="T8" s="760"/>
      <c r="U8" s="760"/>
      <c r="V8" s="760"/>
      <c r="W8" s="760"/>
      <c r="Y8" s="760"/>
      <c r="Z8" s="760"/>
      <c r="AA8" s="760"/>
      <c r="AB8" s="760"/>
      <c r="AC8" s="760"/>
      <c r="AD8" s="760"/>
      <c r="AE8" s="760"/>
      <c r="AF8" s="760"/>
      <c r="AG8" s="760"/>
      <c r="AI8" s="760"/>
      <c r="AJ8" s="760"/>
      <c r="AK8" s="760"/>
      <c r="AL8" s="760"/>
      <c r="AM8" s="760"/>
      <c r="AN8" s="760"/>
      <c r="AO8" s="760"/>
      <c r="AP8" s="760"/>
      <c r="AQ8" s="760"/>
      <c r="AS8" s="760"/>
      <c r="AT8" s="760"/>
      <c r="AU8" s="760"/>
      <c r="AV8" s="760"/>
      <c r="AW8" s="760"/>
      <c r="AX8" s="760"/>
      <c r="AY8" s="760"/>
      <c r="AZ8" s="760"/>
      <c r="BA8" s="760"/>
      <c r="BC8" s="760"/>
      <c r="BD8" s="760"/>
      <c r="BE8" s="760"/>
      <c r="BF8" s="760"/>
      <c r="BG8" s="760"/>
      <c r="BH8" s="760"/>
      <c r="BI8" s="760"/>
      <c r="BJ8" s="760"/>
      <c r="BK8" s="760"/>
      <c r="BO8" s="760"/>
      <c r="BP8" s="760"/>
      <c r="BQ8" s="760"/>
      <c r="BR8" s="760"/>
      <c r="BS8" s="760"/>
      <c r="BT8" s="760"/>
      <c r="BU8" s="760"/>
      <c r="BV8" s="760"/>
      <c r="BW8" s="760"/>
      <c r="BY8" s="760"/>
      <c r="BZ8" s="760"/>
      <c r="CA8" s="760"/>
      <c r="CB8" s="760"/>
      <c r="CC8" s="760"/>
      <c r="CD8" s="760"/>
      <c r="CE8" s="760"/>
      <c r="CF8" s="760"/>
      <c r="CG8" s="760"/>
      <c r="CI8" s="760"/>
      <c r="CJ8" s="760"/>
      <c r="CK8" s="760"/>
      <c r="CL8" s="760"/>
      <c r="CM8" s="760"/>
      <c r="CN8" s="760"/>
      <c r="CO8" s="760"/>
      <c r="CP8" s="760"/>
      <c r="CQ8" s="760"/>
    </row>
    <row r="9" spans="1:112" s="770" customFormat="1" ht="11.25" customHeight="1">
      <c r="A9" s="760"/>
      <c r="B9" s="760"/>
      <c r="C9" s="760"/>
      <c r="D9" s="760"/>
      <c r="E9" s="769" t="s">
        <v>1532</v>
      </c>
      <c r="F9" s="769"/>
      <c r="G9" s="769"/>
      <c r="H9" s="769"/>
      <c r="I9" s="769"/>
      <c r="J9" s="769"/>
      <c r="K9" s="769"/>
      <c r="L9" s="769"/>
      <c r="M9" s="769"/>
      <c r="N9" s="762"/>
      <c r="O9" s="769" t="s">
        <v>1546</v>
      </c>
      <c r="P9" s="769"/>
      <c r="Q9" s="769"/>
      <c r="R9" s="769"/>
      <c r="S9" s="769"/>
      <c r="T9" s="769"/>
      <c r="U9" s="769"/>
      <c r="V9" s="769"/>
      <c r="W9" s="769"/>
      <c r="X9" s="762"/>
      <c r="Y9" s="769" t="s">
        <v>1548</v>
      </c>
      <c r="Z9" s="769"/>
      <c r="AA9" s="769"/>
      <c r="AB9" s="769"/>
      <c r="AC9" s="769"/>
      <c r="AD9" s="769"/>
      <c r="AE9" s="769"/>
      <c r="AF9" s="769"/>
      <c r="AG9" s="769"/>
      <c r="AH9" s="762"/>
      <c r="AI9" s="769" t="s">
        <v>1419</v>
      </c>
      <c r="AJ9" s="769"/>
      <c r="AK9" s="769"/>
      <c r="AL9" s="769"/>
      <c r="AM9" s="769"/>
      <c r="AN9" s="769"/>
      <c r="AO9" s="769"/>
      <c r="AP9" s="769"/>
      <c r="AQ9" s="769"/>
      <c r="AR9" s="762"/>
      <c r="AS9" s="769" t="s">
        <v>1229</v>
      </c>
      <c r="AT9" s="769"/>
      <c r="AU9" s="769"/>
      <c r="AV9" s="769"/>
      <c r="AW9" s="769"/>
      <c r="AX9" s="769"/>
      <c r="AY9" s="769"/>
      <c r="AZ9" s="769"/>
      <c r="BA9" s="769"/>
      <c r="BC9" s="769" t="s">
        <v>1531</v>
      </c>
      <c r="BD9" s="769"/>
      <c r="BE9" s="769"/>
      <c r="BF9" s="769"/>
      <c r="BG9" s="769"/>
      <c r="BH9" s="769"/>
      <c r="BI9" s="769"/>
      <c r="BJ9" s="769"/>
      <c r="BK9" s="769"/>
      <c r="BL9" s="761"/>
      <c r="BO9" s="769" t="s">
        <v>493</v>
      </c>
      <c r="BP9" s="769"/>
      <c r="BQ9" s="769"/>
      <c r="BR9" s="769"/>
      <c r="BS9" s="769"/>
      <c r="BT9" s="769"/>
      <c r="BU9" s="769"/>
      <c r="BV9" s="769"/>
      <c r="BW9" s="769"/>
      <c r="BY9" s="769" t="s">
        <v>1530</v>
      </c>
      <c r="BZ9" s="769"/>
      <c r="CA9" s="769"/>
      <c r="CB9" s="769"/>
      <c r="CC9" s="769"/>
      <c r="CD9" s="769"/>
      <c r="CE9" s="769"/>
      <c r="CF9" s="769"/>
      <c r="CG9" s="769"/>
      <c r="CI9" s="769" t="s">
        <v>471</v>
      </c>
      <c r="CJ9" s="769"/>
      <c r="CK9" s="769"/>
      <c r="CL9" s="769"/>
      <c r="CM9" s="769"/>
      <c r="CN9" s="769"/>
      <c r="CO9" s="769"/>
      <c r="CP9" s="769"/>
      <c r="CQ9" s="769"/>
      <c r="CR9" s="761"/>
      <c r="CS9" s="769" t="s">
        <v>1728</v>
      </c>
      <c r="CT9" s="769"/>
      <c r="CU9" s="769"/>
      <c r="CV9" s="769"/>
      <c r="CW9" s="769"/>
      <c r="CX9" s="769"/>
      <c r="CY9" s="769"/>
      <c r="CZ9" s="769"/>
      <c r="DA9" s="769"/>
      <c r="DB9" s="769"/>
      <c r="DC9" s="769"/>
      <c r="DD9" s="769"/>
      <c r="DE9" s="769"/>
      <c r="DF9" s="769"/>
      <c r="DG9" s="769"/>
      <c r="DH9" s="769"/>
    </row>
    <row r="10" spans="1:112" ht="5.2" customHeight="1">
      <c r="E10" s="771"/>
      <c r="F10" s="772"/>
      <c r="G10" s="761"/>
      <c r="H10" s="761"/>
      <c r="I10" s="761"/>
      <c r="J10" s="761"/>
      <c r="K10" s="761"/>
      <c r="L10" s="761"/>
      <c r="M10" s="761"/>
      <c r="O10" s="771"/>
      <c r="P10" s="772"/>
      <c r="Q10" s="761"/>
      <c r="R10" s="761"/>
      <c r="S10" s="761"/>
      <c r="T10" s="761"/>
      <c r="U10" s="761"/>
      <c r="V10" s="761"/>
      <c r="W10" s="761"/>
      <c r="Y10" s="771"/>
      <c r="Z10" s="772"/>
      <c r="AA10" s="761"/>
      <c r="AB10" s="761"/>
      <c r="AC10" s="761"/>
      <c r="AD10" s="761"/>
      <c r="AE10" s="761"/>
      <c r="AF10" s="761"/>
      <c r="AG10" s="761"/>
      <c r="AI10" s="771"/>
      <c r="AJ10" s="772"/>
      <c r="AK10" s="761"/>
      <c r="AL10" s="761"/>
      <c r="AM10" s="761"/>
      <c r="AN10" s="761"/>
      <c r="AO10" s="761"/>
      <c r="AP10" s="761"/>
      <c r="AQ10" s="761"/>
      <c r="AS10" s="771"/>
      <c r="AT10" s="772"/>
      <c r="AU10" s="761"/>
      <c r="AV10" s="761"/>
      <c r="AW10" s="761"/>
      <c r="AX10" s="761"/>
      <c r="AY10" s="761"/>
      <c r="AZ10" s="761"/>
      <c r="BA10" s="761"/>
      <c r="BC10" s="771"/>
      <c r="BD10" s="772"/>
      <c r="BE10" s="761"/>
      <c r="BF10" s="761"/>
      <c r="BG10" s="761"/>
      <c r="BH10" s="761"/>
      <c r="BI10" s="761"/>
      <c r="BJ10" s="761"/>
      <c r="BK10" s="761"/>
      <c r="BO10" s="771"/>
      <c r="BP10" s="772"/>
      <c r="BQ10" s="761"/>
      <c r="BR10" s="761"/>
      <c r="BS10" s="761"/>
      <c r="BT10" s="761"/>
      <c r="BU10" s="761"/>
      <c r="BV10" s="761"/>
      <c r="BW10" s="761"/>
      <c r="BY10" s="771"/>
      <c r="BZ10" s="772"/>
      <c r="CA10" s="761"/>
      <c r="CB10" s="761"/>
      <c r="CC10" s="761"/>
      <c r="CD10" s="761"/>
      <c r="CE10" s="761"/>
      <c r="CF10" s="761"/>
      <c r="CG10" s="761"/>
      <c r="CI10" s="771"/>
      <c r="CJ10" s="772"/>
      <c r="CK10" s="761"/>
      <c r="CL10" s="761"/>
      <c r="CM10" s="761"/>
      <c r="CN10" s="761"/>
      <c r="CO10" s="761"/>
      <c r="CP10" s="761"/>
      <c r="CQ10" s="761"/>
      <c r="CS10" s="761"/>
      <c r="CT10" s="761"/>
      <c r="CU10" s="761"/>
      <c r="CV10" s="761"/>
      <c r="CW10" s="761"/>
      <c r="CX10" s="761"/>
      <c r="CY10" s="761"/>
      <c r="CZ10" s="761"/>
      <c r="DA10" s="761"/>
      <c r="DB10" s="761"/>
      <c r="DC10" s="761"/>
      <c r="DD10" s="761"/>
      <c r="DE10" s="761"/>
      <c r="DF10" s="761"/>
      <c r="DG10" s="761"/>
      <c r="DH10" s="761"/>
    </row>
    <row r="11" spans="1:112" ht="20.25">
      <c r="A11" s="773"/>
      <c r="B11" s="773"/>
      <c r="C11" s="774" t="s">
        <v>579</v>
      </c>
      <c r="D11" s="774" t="s">
        <v>1159</v>
      </c>
      <c r="E11" s="774" t="str" cm="1">
        <f t="array" aca="1" ref="E11" ca="1">IF(Reuters=1,_xll.TR(E7,"TR.CommonName"),E11)</f>
        <v>3M Co</v>
      </c>
      <c r="F11" s="774" t="str" cm="1">
        <f t="array" aca="1" ref="F11" ca="1">IF(Reuters=1,_xll.TR(F7,"TR.CommonName"),F11)</f>
        <v>Albemarle Corp</v>
      </c>
      <c r="G11" s="774" t="str" cm="1">
        <f t="array" aca="1" ref="G11" ca="1">IF(Reuters=1,_xll.TR(G7,"TR.CommonName"),G11)</f>
        <v>Ashland Inc</v>
      </c>
      <c r="H11" s="774" t="str" cm="1">
        <f t="array" aca="1" ref="H11" ca="1">IF(Reuters=1,_xll.TR(H7,"TR.CommonName"),H11)</f>
        <v>Avient Corp</v>
      </c>
      <c r="I11" s="774" t="str" cm="1">
        <f t="array" aca="1" ref="I11" ca="1">IF(Reuters=1,_xll.TR(I7,"TR.CommonName"),I11)</f>
        <v>Huntsman Corp</v>
      </c>
      <c r="J11" s="774" t="str" cm="1">
        <f t="array" aca="1" ref="J11" ca="1">IF(Reuters=1,_xll.TR(J7,"TR.CommonName"),J11)</f>
        <v>FMC Corp</v>
      </c>
      <c r="K11" s="774" t="str" cm="1">
        <f t="array" aca="1" ref="K11" ca="1">IF(Reuters=1,_xll.TR(K7,"TR.CommonName"),K11)</f>
        <v>PPG Industries Inc</v>
      </c>
      <c r="L11" s="774" t="str" cm="1">
        <f t="array" aca="1" ref="L11" ca="1">IF(Reuters=1,_xll.TR(L7,"TR.CommonName"),L11)</f>
        <v>Solvay SA</v>
      </c>
      <c r="M11" s="774" t="str" cm="1">
        <f t="array" aca="1" ref="M11" ca="1">IF(Reuters=1,_xll.TR(M7,"TR.CommonName"),M11)</f>
        <v>Eastman Chemical Co</v>
      </c>
      <c r="O11" s="774" t="str" cm="1">
        <f t="array" aca="1" ref="O11" ca="1">IF(Reuters=1,_xll.TR(O7,"TR.CommonName"),O11)</f>
        <v>3M Co</v>
      </c>
      <c r="P11" s="774" t="str" cm="1">
        <f t="array" aca="1" ref="P11" ca="1">IF(Reuters=1,_xll.TR(P7,"TR.CommonName"),P11)</f>
        <v>Albemarle Corp</v>
      </c>
      <c r="Q11" s="774" t="str" cm="1">
        <f t="array" aca="1" ref="Q11" ca="1">IF(Reuters=1,_xll.TR(Q7,"TR.CommonName"),Q11)</f>
        <v>Ashland Inc</v>
      </c>
      <c r="R11" s="774" t="str" cm="1">
        <f t="array" aca="1" ref="R11" ca="1">IF(Reuters=1,_xll.TR(R7,"TR.CommonName"),R11)</f>
        <v>Avient Corp</v>
      </c>
      <c r="S11" s="774" t="str" cm="1">
        <f t="array" aca="1" ref="S11" ca="1">IF(Reuters=1,_xll.TR(S7,"TR.CommonName"),S11)</f>
        <v>Huntsman Corp</v>
      </c>
      <c r="T11" s="774" t="str" cm="1">
        <f t="array" aca="1" ref="T11" ca="1">IF(Reuters=1,_xll.TR(T7,"TR.CommonName"),T11)</f>
        <v>FMC Corp</v>
      </c>
      <c r="U11" s="774" t="str" cm="1">
        <f t="array" aca="1" ref="U11" ca="1">IF(Reuters=1,_xll.TR(U7,"TR.CommonName"),U11)</f>
        <v>PPG Industries Inc</v>
      </c>
      <c r="V11" s="774" t="str" cm="1">
        <f t="array" aca="1" ref="V11" ca="1">IF(Reuters=1,_xll.TR(V7,"TR.CommonName"),V11)</f>
        <v>Solvay SA</v>
      </c>
      <c r="W11" s="774" t="str" cm="1">
        <f t="array" aca="1" ref="W11" ca="1">IF(Reuters=1,_xll.TR(W7,"TR.CommonName"),W11)</f>
        <v>Eastman Chemical Co</v>
      </c>
      <c r="Y11" s="774" t="str" cm="1">
        <f t="array" aca="1" ref="Y11" ca="1">IF(Reuters=1,_xll.TR(Y7,"TR.CommonName"),Y11)</f>
        <v>3M Co</v>
      </c>
      <c r="Z11" s="774" t="str" cm="1">
        <f t="array" aca="1" ref="Z11" ca="1">IF(Reuters=1,_xll.TR(Z7,"TR.CommonName"),Z11)</f>
        <v>Albemarle Corp</v>
      </c>
      <c r="AA11" s="774" t="str" cm="1">
        <f t="array" aca="1" ref="AA11" ca="1">IF(Reuters=1,_xll.TR(AA7,"TR.CommonName"),AA11)</f>
        <v>Ashland Inc</v>
      </c>
      <c r="AB11" s="774" t="str" cm="1">
        <f t="array" aca="1" ref="AB11" ca="1">IF(Reuters=1,_xll.TR(AB7,"TR.CommonName"),AB11)</f>
        <v>Avient Corp</v>
      </c>
      <c r="AC11" s="774" t="str" cm="1">
        <f t="array" aca="1" ref="AC11" ca="1">IF(Reuters=1,_xll.TR(AC7,"TR.CommonName"),AC11)</f>
        <v>Huntsman Corp</v>
      </c>
      <c r="AD11" s="774" t="str" cm="1">
        <f t="array" aca="1" ref="AD11" ca="1">IF(Reuters=1,_xll.TR(AD7,"TR.CommonName"),AD11)</f>
        <v>FMC Corp</v>
      </c>
      <c r="AE11" s="774" t="str" cm="1">
        <f t="array" aca="1" ref="AE11" ca="1">IF(Reuters=1,_xll.TR(AE7,"TR.CommonName"),AE11)</f>
        <v>PPG Industries Inc</v>
      </c>
      <c r="AF11" s="774" t="str" cm="1">
        <f t="array" aca="1" ref="AF11" ca="1">IF(Reuters=1,_xll.TR(AF7,"TR.CommonName"),AF11)</f>
        <v>Solvay SA</v>
      </c>
      <c r="AG11" s="774" t="str" cm="1">
        <f t="array" aca="1" ref="AG11" ca="1">IF(Reuters=1,_xll.TR(AG7,"TR.CommonName"),AG11)</f>
        <v>Eastman Chemical Co</v>
      </c>
      <c r="AI11" s="774" t="str" cm="1">
        <f t="array" aca="1" ref="AI11" ca="1">IF(Reuters=1,_xll.TR(AI7,"TR.CommonName"),AI11)</f>
        <v>3M Co</v>
      </c>
      <c r="AJ11" s="774" t="str" cm="1">
        <f t="array" aca="1" ref="AJ11" ca="1">IF(Reuters=1,_xll.TR(AJ7,"TR.CommonName"),AJ11)</f>
        <v>Albemarle Corp</v>
      </c>
      <c r="AK11" s="774" t="str" cm="1">
        <f t="array" aca="1" ref="AK11" ca="1">IF(Reuters=1,_xll.TR(AK7,"TR.CommonName"),AK11)</f>
        <v>Ashland Inc</v>
      </c>
      <c r="AL11" s="774" t="str" cm="1">
        <f t="array" aca="1" ref="AL11" ca="1">IF(Reuters=1,_xll.TR(AL7,"TR.CommonName"),AL11)</f>
        <v>Avient Corp</v>
      </c>
      <c r="AM11" s="774" t="str" cm="1">
        <f t="array" aca="1" ref="AM11" ca="1">IF(Reuters=1,_xll.TR(AM7,"TR.CommonName"),AM11)</f>
        <v>Huntsman Corp</v>
      </c>
      <c r="AN11" s="774" t="str" cm="1">
        <f t="array" aca="1" ref="AN11" ca="1">IF(Reuters=1,_xll.TR(AN7,"TR.CommonName"),AN11)</f>
        <v>FMC Corp</v>
      </c>
      <c r="AO11" s="774" t="str" cm="1">
        <f t="array" aca="1" ref="AO11" ca="1">IF(Reuters=1,_xll.TR(AO7,"TR.CommonName"),AO11)</f>
        <v>PPG Industries Inc</v>
      </c>
      <c r="AP11" s="774" t="str" cm="1">
        <f t="array" aca="1" ref="AP11" ca="1">IF(Reuters=1,_xll.TR(AP7,"TR.CommonName"),AP11)</f>
        <v>Solvay SA</v>
      </c>
      <c r="AQ11" s="774" t="str" cm="1">
        <f t="array" aca="1" ref="AQ11" ca="1">IF(Reuters=1,_xll.TR(AQ7,"TR.CommonName"),AQ11)</f>
        <v>Eastman Chemical Co</v>
      </c>
      <c r="AS11" s="774" t="str" cm="1">
        <f t="array" aca="1" ref="AS11" ca="1">IF(Reuters=1,_xll.TR(AS7,"TR.CommonName"),AS11)</f>
        <v>3M Co</v>
      </c>
      <c r="AT11" s="774" t="str" cm="1">
        <f t="array" aca="1" ref="AT11" ca="1">IF(Reuters=1,_xll.TR(AT7,"TR.CommonName"),AT11)</f>
        <v>Albemarle Corp</v>
      </c>
      <c r="AU11" s="774" t="str" cm="1">
        <f t="array" aca="1" ref="AU11" ca="1">IF(Reuters=1,_xll.TR(AU7,"TR.CommonName"),AU11)</f>
        <v>Ashland Inc</v>
      </c>
      <c r="AV11" s="774" t="str" cm="1">
        <f t="array" aca="1" ref="AV11" ca="1">IF(Reuters=1,_xll.TR(AV7,"TR.CommonName"),AV11)</f>
        <v>Avient Corp</v>
      </c>
      <c r="AW11" s="774" t="str" cm="1">
        <f t="array" aca="1" ref="AW11" ca="1">IF(Reuters=1,_xll.TR(AW7,"TR.CommonName"),AW11)</f>
        <v>Huntsman Corp</v>
      </c>
      <c r="AX11" s="774" t="str" cm="1">
        <f t="array" aca="1" ref="AX11" ca="1">IF(Reuters=1,_xll.TR(AX7,"TR.CommonName"),AX11)</f>
        <v>FMC Corp</v>
      </c>
      <c r="AY11" s="774" t="str" cm="1">
        <f t="array" aca="1" ref="AY11" ca="1">IF(Reuters=1,_xll.TR(AY7,"TR.CommonName"),AY11)</f>
        <v>PPG Industries Inc</v>
      </c>
      <c r="AZ11" s="774" t="str" cm="1">
        <f t="array" aca="1" ref="AZ11" ca="1">IF(Reuters=1,_xll.TR(AZ7,"TR.CommonName"),AZ11)</f>
        <v>Solvay SA</v>
      </c>
      <c r="BA11" s="774" t="str" cm="1">
        <f t="array" aca="1" ref="BA11" ca="1">IF(Reuters=1,_xll.TR(BA7,"TR.CommonName"),BA11)</f>
        <v>Eastman Chemical Co</v>
      </c>
      <c r="BC11" s="774" t="str" cm="1">
        <f t="array" aca="1" ref="BC11" ca="1">IF(Reuters=1,_xll.TR(BC7,"TR.CommonName"),BC11)</f>
        <v>3M Co</v>
      </c>
      <c r="BD11" s="774" t="str" cm="1">
        <f t="array" aca="1" ref="BD11" ca="1">IF(Reuters=1,_xll.TR(BD7,"TR.CommonName"),BD11)</f>
        <v>Albemarle Corp</v>
      </c>
      <c r="BE11" s="774" t="str" cm="1">
        <f t="array" aca="1" ref="BE11" ca="1">IF(Reuters=1,_xll.TR(BE7,"TR.CommonName"),BE11)</f>
        <v>Ashland Inc</v>
      </c>
      <c r="BF11" s="774" t="str" cm="1">
        <f t="array" aca="1" ref="BF11" ca="1">IF(Reuters=1,_xll.TR(BF7,"TR.CommonName"),BF11)</f>
        <v>Avient Corp</v>
      </c>
      <c r="BG11" s="774" t="str" cm="1">
        <f t="array" aca="1" ref="BG11" ca="1">IF(Reuters=1,_xll.TR(BG7,"TR.CommonName"),BG11)</f>
        <v>Dupont De Nemours Inc</v>
      </c>
      <c r="BH11" s="774" t="str" cm="1">
        <f t="array" aca="1" ref="BH11" ca="1">IF(Reuters=1,_xll.TR(BH7,"TR.CommonName"),BH11)</f>
        <v>FMC Corp</v>
      </c>
      <c r="BI11" s="774" t="str" cm="1">
        <f t="array" aca="1" ref="BI11" ca="1">IF(Reuters=1,_xll.TR(BI7,"TR.CommonName"),BI11)</f>
        <v>PPG Industries Inc</v>
      </c>
      <c r="BJ11" s="774" t="str" cm="1">
        <f t="array" aca="1" ref="BJ11" ca="1">IF(Reuters=1,_xll.TR(BJ7,"TR.CommonName"),BJ11)</f>
        <v>Solvay SA</v>
      </c>
      <c r="BK11" s="774" t="str" cm="1">
        <f t="array" aca="1" ref="BK11" ca="1">IF(Reuters=1,_xll.TR(BK7,"TR.CommonName"),BK11)</f>
        <v>Eastman Chemical Co</v>
      </c>
      <c r="BO11" s="774" t="str" cm="1">
        <f t="array" aca="1" ref="BO11" ca="1">IF(Reuters=1,_xll.TR(BO7,"TR.CommonName"),BO11)</f>
        <v>3M Co</v>
      </c>
      <c r="BP11" s="774" t="str" cm="1">
        <f t="array" aca="1" ref="BP11" ca="1">IF(Reuters=1,_xll.TR(BP7,"TR.CommonName"),BP11)</f>
        <v>Albemarle Corp</v>
      </c>
      <c r="BQ11" s="774" t="str" cm="1">
        <f t="array" aca="1" ref="BQ11" ca="1">IF(Reuters=1,_xll.TR(BQ7,"TR.CommonName"),BQ11)</f>
        <v>Ashland Inc</v>
      </c>
      <c r="BR11" s="774" t="str" cm="1">
        <f t="array" aca="1" ref="BR11" ca="1">IF(Reuters=1,_xll.TR(BR7,"TR.CommonName"),BR11)</f>
        <v>Avient Corp</v>
      </c>
      <c r="BS11" s="774" t="str" cm="1">
        <f t="array" aca="1" ref="BS11" ca="1">IF(Reuters=1,_xll.TR(BS7,"TR.CommonName"),BS11)</f>
        <v>Huntsman Corp</v>
      </c>
      <c r="BT11" s="774" t="str" cm="1">
        <f t="array" aca="1" ref="BT11" ca="1">IF(Reuters=1,_xll.TR(BT7,"TR.CommonName"),BT11)</f>
        <v>FMC Corp</v>
      </c>
      <c r="BU11" s="774" t="str" cm="1">
        <f t="array" aca="1" ref="BU11" ca="1">IF(Reuters=1,_xll.TR(BU7,"TR.CommonName"),BU11)</f>
        <v>PPG Industries Inc</v>
      </c>
      <c r="BV11" s="774" t="str" cm="1">
        <f t="array" aca="1" ref="BV11" ca="1">IF(Reuters=1,_xll.TR(BV7,"TR.CommonName"),BV11)</f>
        <v>Solvay SA</v>
      </c>
      <c r="BW11" s="774" t="str" cm="1">
        <f t="array" aca="1" ref="BW11" ca="1">IF(Reuters=1,_xll.TR(BW7,"TR.CommonName"),BW11)</f>
        <v>Eastman Chemical Co</v>
      </c>
      <c r="BY11" s="774" t="str" cm="1">
        <f t="array" aca="1" ref="BY11" ca="1">IF(Reuters=1,_xll.TR(BY7,"TR.CommonName"),BY11)</f>
        <v>3M Co</v>
      </c>
      <c r="BZ11" s="774" t="str" cm="1">
        <f t="array" aca="1" ref="BZ11" ca="1">IF(Reuters=1,_xll.TR(BZ7,"TR.CommonName"),BZ11)</f>
        <v>Albemarle Corp</v>
      </c>
      <c r="CA11" s="774" t="str" cm="1">
        <f t="array" aca="1" ref="CA11" ca="1">IF(Reuters=1,_xll.TR(CA7,"TR.CommonName"),CA11)</f>
        <v>Ashland Inc</v>
      </c>
      <c r="CB11" s="774" t="str" cm="1">
        <f t="array" aca="1" ref="CB11" ca="1">IF(Reuters=1,_xll.TR(CB7,"TR.CommonName"),CB11)</f>
        <v>Avient Corp</v>
      </c>
      <c r="CC11" s="774" t="str" cm="1">
        <f t="array" aca="1" ref="CC11" ca="1">IF(Reuters=1,_xll.TR(CC7,"TR.CommonName"),CC11)</f>
        <v>Huntsman Corp</v>
      </c>
      <c r="CD11" s="774" t="str" cm="1">
        <f t="array" aca="1" ref="CD11" ca="1">IF(Reuters=1,_xll.TR(CD7,"TR.CommonName"),CD11)</f>
        <v>FMC Corp</v>
      </c>
      <c r="CE11" s="774" t="str" cm="1">
        <f t="array" aca="1" ref="CE11" ca="1">IF(Reuters=1,_xll.TR(CE7,"TR.CommonName"),CE11)</f>
        <v>PPG Industries Inc</v>
      </c>
      <c r="CF11" s="774" t="str" cm="1">
        <f t="array" aca="1" ref="CF11" ca="1">IF(Reuters=1,_xll.TR(CF7,"TR.CommonName"),CF11)</f>
        <v>Solvay SA</v>
      </c>
      <c r="CG11" s="774" t="str" cm="1">
        <f t="array" aca="1" ref="CG11" ca="1">IF(Reuters=1,_xll.TR(CG7,"TR.CommonName"),CG11)</f>
        <v>Eastman Chemical Co</v>
      </c>
      <c r="CI11" s="774" t="str" cm="1">
        <f t="array" aca="1" ref="CI11" ca="1">IF(Reuters=1,_xll.TR(CI7,"TR.CommonName"),CI11)</f>
        <v>3M Co</v>
      </c>
      <c r="CJ11" s="774" t="str" cm="1">
        <f t="array" aca="1" ref="CJ11" ca="1">IF(Reuters=1,_xll.TR(CJ7,"TR.CommonName"),CJ11)</f>
        <v>Albemarle Corp</v>
      </c>
      <c r="CK11" s="774" t="str" cm="1">
        <f t="array" aca="1" ref="CK11" ca="1">IF(Reuters=1,_xll.TR(CK7,"TR.CommonName"),CK11)</f>
        <v>Ashland Inc</v>
      </c>
      <c r="CL11" s="774" t="str" cm="1">
        <f t="array" aca="1" ref="CL11" ca="1">IF(Reuters=1,_xll.TR(CL7,"TR.CommonName"),CL11)</f>
        <v>Avient Corp</v>
      </c>
      <c r="CM11" s="774" t="str" cm="1">
        <f t="array" aca="1" ref="CM11" ca="1">IF(Reuters=1,_xll.TR(CM7,"TR.CommonName"),CM11)</f>
        <v>Huntsman Corp</v>
      </c>
      <c r="CN11" s="774" t="str" cm="1">
        <f t="array" aca="1" ref="CN11" ca="1">IF(Reuters=1,_xll.TR(CN7,"TR.CommonName"),CN11)</f>
        <v>FMC Corp</v>
      </c>
      <c r="CO11" s="774" t="str" cm="1">
        <f t="array" aca="1" ref="CO11" ca="1">IF(Reuters=1,_xll.TR(CO7,"TR.CommonName"),CO11)</f>
        <v>PPG Industries Inc</v>
      </c>
      <c r="CP11" s="774" t="str" cm="1">
        <f t="array" aca="1" ref="CP11" ca="1">IF(Reuters=1,_xll.TR(CP7,"TR.CommonName"),CP11)</f>
        <v>Solvay SA</v>
      </c>
      <c r="CQ11" s="774" t="str" cm="1">
        <f t="array" aca="1" ref="CQ11" ca="1">IF(Reuters=1,_xll.TR(CQ7,"TR.CommonName"),CQ11)</f>
        <v>Eastman Chemical Co</v>
      </c>
      <c r="CS11" s="774" t="str" cm="1">
        <f t="array" aca="1" ref="CS11" ca="1">IF(NPSwitch=1,_xll.TR(CS7,"TR.CommonName"),CS11)</f>
        <v>3M Co</v>
      </c>
      <c r="CT11" s="774" t="str" cm="1">
        <f t="array" aca="1" ref="CT11" ca="1">IF(NPSwitch=1,_xll.TR(CT7,"TR.CommonName"),CT11)</f>
        <v>Albemarle Corp</v>
      </c>
      <c r="CU11" s="774" t="str" cm="1">
        <f t="array" aca="1" ref="CU11" ca="1">IF(NPSwitch=1,_xll.TR(CU7,"TR.CommonName"),CU11)</f>
        <v>Ashland Inc</v>
      </c>
      <c r="CV11" s="774" t="str" cm="1">
        <f t="array" aca="1" ref="CV11" ca="1">IF(NPSwitch=1,_xll.TR(CV7,"TR.CommonName"),CV11)</f>
        <v>Avient Corp</v>
      </c>
      <c r="CW11" s="774" t="str" cm="1">
        <f t="array" aca="1" ref="CW11" ca="1">IF(NPSwitch=1,_xll.TR(CW7,"TR.CommonName"),CW11)</f>
        <v>FMC Corp</v>
      </c>
      <c r="CX11" s="774" t="str" cm="1">
        <f t="array" aca="1" ref="CX11" ca="1">IF(NPSwitch=1,_xll.TR(CX7,"TR.CommonName"),CX11)</f>
        <v>PPG Industries Inc</v>
      </c>
      <c r="CY11" s="774" t="str" cm="1">
        <f t="array" aca="1" ref="CY11" ca="1">IF(NPSwitch=1,_xll.TR(CY7,"TR.CommonName"),CY11)</f>
        <v>Solvay SA</v>
      </c>
      <c r="CZ11" s="774" t="str" cm="1">
        <f t="array" aca="1" ref="CZ11" ca="1">IF(NPSwitch=1,_xll.TR(CZ7,"TR.CommonName"),CZ11)</f>
        <v>Eastman Chemical Co</v>
      </c>
      <c r="DA11" s="774" t="str" cm="1">
        <f t="array" aca="1" ref="DA11" ca="1">IF(NPSwitch=1,_xll.TR(DA7,"TR.CommonName"),DA11)</f>
        <v>Celanese Corp</v>
      </c>
      <c r="DB11" s="774" t="str" cm="1">
        <f t="array" aca="1" ref="DB11" ca="1">IF(NPSwitch=1,_xll.TR(DB7,"TR.CommonName"),DB11)</f>
        <v>BASF SE</v>
      </c>
      <c r="DC11" s="774" t="str" cm="1">
        <f t="array" aca="1" ref="DC11" ca="1">IF(NPSwitch=1,_xll.TR(DC7,"TR.CommonName"),DC11)</f>
        <v>Dow Inc</v>
      </c>
      <c r="DD11" s="774" t="str" cm="1">
        <f t="array" aca="1" ref="DD11" ca="1">IF(NPSwitch=1,_xll.TR(DD7,"TR.CommonName"),DD11)</f>
        <v>LyondellBasell Industries NV</v>
      </c>
      <c r="DE11" s="774" t="str" cm="1">
        <f t="array" aca="1" ref="DE11" ca="1">IF(NPSwitch=1,_xll.TR(DE7,"TR.CommonName"),DE11)</f>
        <v>Dupont De Nemours Inc</v>
      </c>
      <c r="DF11" s="774" t="str" cm="1">
        <f t="array" aca="1" ref="DF11" ca="1">IF(NPSwitch=1,_xll.TR(DF7,"TR.CommonName"),DF11)</f>
        <v>Avient Corp</v>
      </c>
      <c r="DG11" s="774" t="str" cm="1">
        <f t="array" aca="1" ref="DG11" ca="1">IF(NPSwitch=1,_xll.TR(DG7,"TR.CommonName"),DG11)</f>
        <v>Huntsman Corp</v>
      </c>
      <c r="DH11" s="774" t="str" cm="1">
        <f t="array" aca="1" ref="DH11" ca="1">IF(NPSwitch=1,_xll.TR(DH7,"TR.CommonName"),DH11)</f>
        <v>Westlake Corp</v>
      </c>
    </row>
    <row r="12" spans="1:112" ht="5.2" customHeight="1">
      <c r="A12" s="762"/>
      <c r="B12" s="762"/>
      <c r="C12" s="762"/>
      <c r="D12" s="762"/>
      <c r="E12" s="762"/>
      <c r="F12" s="762"/>
      <c r="G12" s="762"/>
      <c r="H12" s="762"/>
      <c r="I12" s="762"/>
      <c r="J12" s="762"/>
      <c r="K12" s="762"/>
      <c r="L12" s="762"/>
      <c r="M12" s="762"/>
      <c r="O12" s="762"/>
      <c r="P12" s="762"/>
      <c r="Q12" s="762"/>
      <c r="R12" s="762"/>
      <c r="S12" s="762"/>
      <c r="T12" s="762"/>
      <c r="U12" s="762"/>
      <c r="V12" s="762"/>
      <c r="W12" s="762"/>
      <c r="Y12" s="762"/>
      <c r="Z12" s="762"/>
      <c r="AA12" s="762"/>
      <c r="AB12" s="762"/>
      <c r="AC12" s="762"/>
      <c r="AD12" s="762"/>
      <c r="AE12" s="762"/>
      <c r="AF12" s="762"/>
      <c r="AG12" s="762"/>
      <c r="AI12" s="762"/>
      <c r="AJ12" s="762"/>
      <c r="AK12" s="762"/>
      <c r="AL12" s="762"/>
      <c r="AM12" s="762"/>
      <c r="AN12" s="762"/>
      <c r="AO12" s="762"/>
      <c r="AP12" s="762"/>
      <c r="AQ12" s="762"/>
      <c r="AS12" s="762"/>
      <c r="AT12" s="762"/>
      <c r="AU12" s="762"/>
      <c r="AV12" s="762"/>
      <c r="AW12" s="762"/>
      <c r="AX12" s="762"/>
      <c r="AY12" s="762"/>
      <c r="AZ12" s="762"/>
      <c r="BA12" s="762"/>
      <c r="BC12" s="762"/>
      <c r="BD12" s="762"/>
      <c r="BE12" s="762"/>
      <c r="BF12" s="762"/>
      <c r="BG12" s="762"/>
      <c r="BH12" s="762"/>
      <c r="BI12" s="762"/>
      <c r="BJ12" s="762"/>
      <c r="BK12" s="762"/>
      <c r="BO12" s="762"/>
      <c r="BP12" s="762"/>
      <c r="BQ12" s="762"/>
      <c r="BR12" s="762"/>
      <c r="BS12" s="762"/>
      <c r="BT12" s="762"/>
      <c r="BU12" s="762"/>
      <c r="BV12" s="762"/>
      <c r="BW12" s="762"/>
      <c r="BY12" s="762"/>
      <c r="BZ12" s="762"/>
      <c r="CA12" s="762"/>
      <c r="CB12" s="762"/>
      <c r="CC12" s="762"/>
      <c r="CD12" s="762"/>
      <c r="CE12" s="762"/>
      <c r="CF12" s="762"/>
      <c r="CG12" s="762"/>
      <c r="CI12" s="762"/>
      <c r="CJ12" s="762"/>
      <c r="CK12" s="762"/>
      <c r="CL12" s="762"/>
      <c r="CM12" s="762"/>
      <c r="CN12" s="762"/>
      <c r="CO12" s="762"/>
      <c r="CP12" s="762"/>
      <c r="CQ12" s="762"/>
      <c r="CU12" s="762"/>
      <c r="DA12" s="762"/>
    </row>
    <row r="13" spans="1:112" ht="11.25" customHeight="1" outlineLevel="1">
      <c r="A13" s="762"/>
      <c r="B13" s="762"/>
      <c r="C13" s="762" t="s">
        <v>1160</v>
      </c>
      <c r="D13" s="762"/>
      <c r="E13" s="775">
        <v>1</v>
      </c>
      <c r="F13" s="775">
        <v>1</v>
      </c>
      <c r="G13" s="775">
        <v>1</v>
      </c>
      <c r="H13" s="775">
        <v>1</v>
      </c>
      <c r="I13" s="775">
        <v>1</v>
      </c>
      <c r="J13" s="775">
        <v>1</v>
      </c>
      <c r="K13" s="775">
        <v>1</v>
      </c>
      <c r="L13" s="775">
        <v>1</v>
      </c>
      <c r="M13" s="775">
        <v>1</v>
      </c>
      <c r="O13" s="997">
        <f ca="1">MIN(O22:O80)</f>
        <v>34287.178697520001</v>
      </c>
      <c r="P13" s="997">
        <f t="shared" ref="P13:W13" ca="1" si="12">MIN(P22:P80)</f>
        <v>982.00281249</v>
      </c>
      <c r="Q13" s="997">
        <f t="shared" ca="1" si="12"/>
        <v>568.78370712000003</v>
      </c>
      <c r="R13" s="997">
        <f t="shared" ca="1" si="12"/>
        <v>225.75954576000001</v>
      </c>
      <c r="S13" s="997">
        <f t="shared" ca="1" si="12"/>
        <v>682.19227193999996</v>
      </c>
      <c r="T13" s="997">
        <f t="shared" ca="1" si="12"/>
        <v>618.57152188999999</v>
      </c>
      <c r="U13" s="997">
        <f t="shared" ca="1" si="12"/>
        <v>5946.8910881100001</v>
      </c>
      <c r="V13" s="997">
        <f t="shared" ca="1" si="12"/>
        <v>4555.6509231301397</v>
      </c>
      <c r="W13" s="997">
        <f t="shared" ca="1" si="12"/>
        <v>1796.39502937</v>
      </c>
      <c r="X13" s="998"/>
      <c r="Y13" s="997">
        <f ca="1">MIN(Y22:Y80)</f>
        <v>470.5</v>
      </c>
      <c r="Z13" s="997">
        <f t="shared" ref="Z13:AG13" ca="1" si="13">MIN(Z22:Z80)</f>
        <v>18.993500000000001</v>
      </c>
      <c r="AA13" s="997">
        <f t="shared" ca="1" si="13"/>
        <v>104</v>
      </c>
      <c r="AB13" s="997">
        <f t="shared" ca="1" si="13"/>
        <v>27.524999999999999</v>
      </c>
      <c r="AC13" s="997">
        <f t="shared" ca="1" si="13"/>
        <v>142.07499999999999</v>
      </c>
      <c r="AD13" s="997">
        <f t="shared" ca="1" si="13"/>
        <v>31.3</v>
      </c>
      <c r="AE13" s="997">
        <f t="shared" ca="1" si="13"/>
        <v>114.25</v>
      </c>
      <c r="AF13" s="997">
        <f t="shared" ca="1" si="13"/>
        <v>450.5</v>
      </c>
      <c r="AG13" s="997">
        <f t="shared" ca="1" si="13"/>
        <v>64</v>
      </c>
      <c r="AH13" s="998"/>
      <c r="AI13" s="997">
        <f ca="1">MIN(AI22:AI80)</f>
        <v>33902.178697520001</v>
      </c>
      <c r="AJ13" s="997">
        <f t="shared" ref="AJ13:AQ13" ca="1" si="14">MIN(AJ22:AJ80)</f>
        <v>1131.74381249</v>
      </c>
      <c r="AK13" s="997">
        <f t="shared" ca="1" si="14"/>
        <v>301.03168576000002</v>
      </c>
      <c r="AL13" s="997">
        <f t="shared" ca="1" si="14"/>
        <v>593.37604032000002</v>
      </c>
      <c r="AM13" s="997">
        <f t="shared" ca="1" si="14"/>
        <v>4096.5630788400003</v>
      </c>
      <c r="AN13" s="997">
        <f t="shared" ca="1" si="14"/>
        <v>1514.3715218899999</v>
      </c>
      <c r="AO13" s="997">
        <f t="shared" ca="1" si="14"/>
        <v>9543.8910881100001</v>
      </c>
      <c r="AP13" s="997">
        <f t="shared" ca="1" si="14"/>
        <v>3656.01305009</v>
      </c>
      <c r="AQ13" s="997">
        <f t="shared" ca="1" si="14"/>
        <v>2939.39502937</v>
      </c>
      <c r="AS13" s="775">
        <f ca="1">MIN(AS22:AS80)</f>
        <v>19.774999999999999</v>
      </c>
      <c r="AT13" s="775">
        <f t="shared" ref="AT13:BA13" ca="1" si="15">MIN(AT22:AT80)</f>
        <v>9.56666666666667</v>
      </c>
      <c r="AU13" s="775">
        <f t="shared" ca="1" si="15"/>
        <v>10.283333333333299</v>
      </c>
      <c r="AV13" s="775">
        <f t="shared" ca="1" si="15"/>
        <v>11.741666666666699</v>
      </c>
      <c r="AW13" s="775">
        <f t="shared" ca="1" si="15"/>
        <v>9.6333333333333293</v>
      </c>
      <c r="AX13" s="775">
        <f t="shared" ca="1" si="15"/>
        <v>7.5333333333333297</v>
      </c>
      <c r="AY13" s="775">
        <f t="shared" ca="1" si="15"/>
        <v>14.233333333333301</v>
      </c>
      <c r="AZ13" s="775">
        <f t="shared" ca="1" si="15"/>
        <v>5.62083333333333</v>
      </c>
      <c r="BA13" s="775">
        <f t="shared" ca="1" si="15"/>
        <v>10.1444433333333</v>
      </c>
      <c r="BC13" s="775">
        <v>1</v>
      </c>
      <c r="BD13" s="775">
        <v>1</v>
      </c>
      <c r="BE13" s="775">
        <v>1</v>
      </c>
      <c r="BF13" s="775">
        <v>1</v>
      </c>
      <c r="BG13" s="775">
        <v>1</v>
      </c>
      <c r="BH13" s="775">
        <v>1</v>
      </c>
      <c r="BI13" s="775">
        <v>1</v>
      </c>
      <c r="BJ13" s="775">
        <v>1</v>
      </c>
      <c r="BK13" s="775">
        <v>1</v>
      </c>
      <c r="BO13" s="775">
        <f ca="1">MIN(BO22:BO80)</f>
        <v>15780</v>
      </c>
      <c r="BP13" s="775">
        <f t="shared" ref="BP13:BW13" ca="1" si="16">MIN(BP22:BP80)</f>
        <v>896.52300000000002</v>
      </c>
      <c r="BQ13" s="775">
        <f t="shared" ca="1" si="16"/>
        <v>4945</v>
      </c>
      <c r="BR13" s="775">
        <f t="shared" ca="1" si="16"/>
        <v>1936.1</v>
      </c>
      <c r="BS13" s="775">
        <f t="shared" ca="1" si="16"/>
        <v>7649</v>
      </c>
      <c r="BT13" s="775">
        <f t="shared" ca="1" si="16"/>
        <v>1852.7</v>
      </c>
      <c r="BU13" s="775">
        <f t="shared" ca="1" si="16"/>
        <v>7915</v>
      </c>
      <c r="BV13" s="775">
        <f t="shared" ca="1" si="16"/>
        <v>5696</v>
      </c>
      <c r="BW13" s="775">
        <f t="shared" ca="1" si="16"/>
        <v>4905</v>
      </c>
      <c r="BY13" s="775">
        <f ca="1">MIN(BY22:BY80)</f>
        <v>9014.75</v>
      </c>
      <c r="BZ13" s="775">
        <f t="shared" ref="BZ13:CG13" ca="1" si="17">MIN(BZ22:BZ80)</f>
        <v>694.22175000000004</v>
      </c>
      <c r="CA13" s="775">
        <f t="shared" ca="1" si="17"/>
        <v>3059.75</v>
      </c>
      <c r="CB13" s="775">
        <f t="shared" ca="1" si="17"/>
        <v>650.65</v>
      </c>
      <c r="CC13" s="775">
        <f t="shared" ca="1" si="17"/>
        <v>5455.5249999999996</v>
      </c>
      <c r="CD13" s="775">
        <f t="shared" ca="1" si="17"/>
        <v>1316.2750000000001</v>
      </c>
      <c r="CE13" s="775">
        <f t="shared" ca="1" si="17"/>
        <v>4411.5</v>
      </c>
      <c r="CF13" s="775">
        <f t="shared" ca="1" si="17"/>
        <v>5549.5</v>
      </c>
      <c r="CG13" s="775">
        <f t="shared" ca="1" si="17"/>
        <v>3035.75</v>
      </c>
      <c r="CI13" s="997">
        <f ca="1">MIN(CI22:CI80)</f>
        <v>3362</v>
      </c>
      <c r="CJ13" s="997">
        <f t="shared" ref="CJ13:CQ13" ca="1" si="18">MIN(CJ22:CJ80)</f>
        <v>174.24100000000001</v>
      </c>
      <c r="CK13" s="997">
        <f t="shared" ca="1" si="18"/>
        <v>248</v>
      </c>
      <c r="CL13" s="997">
        <f t="shared" ca="1" si="18"/>
        <v>35.200000000000003</v>
      </c>
      <c r="CM13" s="997">
        <f t="shared" ca="1" si="18"/>
        <v>351</v>
      </c>
      <c r="CN13" s="997">
        <f t="shared" ca="1" si="18"/>
        <v>305.7</v>
      </c>
      <c r="CO13" s="997">
        <f t="shared" ca="1" si="18"/>
        <v>1272</v>
      </c>
      <c r="CP13" s="997">
        <f t="shared" ca="1" si="18"/>
        <v>766</v>
      </c>
      <c r="CQ13" s="997">
        <f t="shared" ca="1" si="18"/>
        <v>583</v>
      </c>
      <c r="CS13" s="997">
        <f t="shared" ref="CS13:DH13" ca="1" si="19">MIN(CS22:CS80)</f>
        <v>5511</v>
      </c>
      <c r="CT13" s="997">
        <f t="shared" ca="1" si="19"/>
        <v>496.49074999999999</v>
      </c>
      <c r="CU13" s="997">
        <f t="shared" ca="1" si="19"/>
        <v>863</v>
      </c>
      <c r="CV13" s="997">
        <f t="shared" ca="1" si="19"/>
        <v>371.32499999999999</v>
      </c>
      <c r="CW13" s="997">
        <f t="shared" ca="1" si="19"/>
        <v>925.77499999999998</v>
      </c>
      <c r="CX13" s="997">
        <f t="shared" ca="1" si="19"/>
        <v>2319.75</v>
      </c>
      <c r="CY13" s="997">
        <f t="shared" ca="1" si="19"/>
        <v>3285.5</v>
      </c>
      <c r="CZ13" s="997">
        <f t="shared" ca="1" si="19"/>
        <v>2927</v>
      </c>
      <c r="DA13" s="997">
        <f t="shared" ca="1" si="19"/>
        <v>1811.25</v>
      </c>
      <c r="DB13" s="997">
        <f t="shared" ca="1" si="19"/>
        <v>13388.424999999999</v>
      </c>
      <c r="DC13" s="997">
        <f t="shared" ca="1" si="19"/>
        <v>0</v>
      </c>
      <c r="DD13" s="997">
        <f t="shared" ca="1" si="19"/>
        <v>7171.25</v>
      </c>
      <c r="DE13" s="997">
        <f t="shared" ca="1" si="19"/>
        <v>0</v>
      </c>
      <c r="DF13" s="997">
        <f t="shared" ca="1" si="19"/>
        <v>371.32499999999999</v>
      </c>
      <c r="DG13" s="997">
        <f t="shared" ca="1" si="19"/>
        <v>3423</v>
      </c>
      <c r="DH13" s="997">
        <f t="shared" ca="1" si="19"/>
        <v>856.64724999999999</v>
      </c>
    </row>
    <row r="14" spans="1:112" ht="11.25" customHeight="1" outlineLevel="1">
      <c r="A14" s="762"/>
      <c r="B14" s="762"/>
      <c r="C14" s="762" t="s">
        <v>1161</v>
      </c>
      <c r="D14" s="762"/>
      <c r="E14" s="775">
        <v>30</v>
      </c>
      <c r="F14" s="775">
        <v>30</v>
      </c>
      <c r="G14" s="775">
        <v>30</v>
      </c>
      <c r="H14" s="775">
        <v>30</v>
      </c>
      <c r="I14" s="775">
        <v>30</v>
      </c>
      <c r="J14" s="775">
        <v>30</v>
      </c>
      <c r="K14" s="775">
        <v>30</v>
      </c>
      <c r="L14" s="775">
        <v>30</v>
      </c>
      <c r="M14" s="775">
        <v>30</v>
      </c>
      <c r="O14" s="997">
        <f ca="1">MAX(O20:O80)</f>
        <v>105330.36621363999</v>
      </c>
      <c r="P14" s="997">
        <f t="shared" ref="P14:W14" ca="1" si="20">MAX(P20:P80)</f>
        <v>8552.5645766399903</v>
      </c>
      <c r="Q14" s="997">
        <f t="shared" ca="1" si="20"/>
        <v>8836.7835366800009</v>
      </c>
      <c r="R14" s="997">
        <f t="shared" ca="1" si="20"/>
        <v>3635.9239353799999</v>
      </c>
      <c r="S14" s="997">
        <f t="shared" ca="1" si="20"/>
        <v>6575.9215208799997</v>
      </c>
      <c r="T14" s="997">
        <f t="shared" ca="1" si="20"/>
        <v>9840.9410101600006</v>
      </c>
      <c r="U14" s="997">
        <f t="shared" ca="1" si="20"/>
        <v>32212.604196609998</v>
      </c>
      <c r="V14" s="997">
        <f t="shared" ca="1" si="20"/>
        <v>10502.940492</v>
      </c>
      <c r="W14" s="997">
        <f t="shared" ca="1" si="20"/>
        <v>12684.39042808</v>
      </c>
      <c r="X14" s="998"/>
      <c r="Y14" s="997">
        <f ca="1">MAX(Y20:Y80)</f>
        <v>4967.25</v>
      </c>
      <c r="Z14" s="997">
        <f t="shared" ref="Z14:AG14" ca="1" si="21">MAX(Z20:Z80)</f>
        <v>1045.5125</v>
      </c>
      <c r="AA14" s="997">
        <f t="shared" ca="1" si="21"/>
        <v>1332.5</v>
      </c>
      <c r="AB14" s="997">
        <f t="shared" ca="1" si="21"/>
        <v>404.27499999999998</v>
      </c>
      <c r="AC14" s="997">
        <f t="shared" ca="1" si="21"/>
        <v>1692.25</v>
      </c>
      <c r="AD14" s="997">
        <f t="shared" ca="1" si="21"/>
        <v>224</v>
      </c>
      <c r="AE14" s="997">
        <f t="shared" ca="1" si="21"/>
        <v>2683.75</v>
      </c>
      <c r="AF14" s="997">
        <f t="shared" ca="1" si="21"/>
        <v>4489</v>
      </c>
      <c r="AG14" s="997">
        <f t="shared" ca="1" si="21"/>
        <v>1268.75</v>
      </c>
      <c r="AH14" s="998"/>
      <c r="AI14" s="997">
        <f ca="1">MAX(AI20:AI80)</f>
        <v>111755.52568960001</v>
      </c>
      <c r="AJ14" s="997">
        <f t="shared" ref="AJ14:AQ14" ca="1" si="22">MAX(AJ20:AJ80)</f>
        <v>12044.85357664</v>
      </c>
      <c r="AK14" s="997">
        <f t="shared" ca="1" si="22"/>
        <v>10936.619530399999</v>
      </c>
      <c r="AL14" s="997">
        <f t="shared" ca="1" si="22"/>
        <v>4470.1595636499997</v>
      </c>
      <c r="AM14" s="997">
        <f t="shared" ca="1" si="22"/>
        <v>11962.1727295</v>
      </c>
      <c r="AN14" s="997">
        <f t="shared" ca="1" si="22"/>
        <v>11495.041010159999</v>
      </c>
      <c r="AO14" s="997">
        <f t="shared" ca="1" si="22"/>
        <v>35157.294030700003</v>
      </c>
      <c r="AP14" s="997">
        <f t="shared" ca="1" si="22"/>
        <v>14198.423475199999</v>
      </c>
      <c r="AQ14" s="997">
        <f t="shared" ca="1" si="22"/>
        <v>19159.497498749999</v>
      </c>
      <c r="AS14" s="775">
        <f ca="1">MAX(AS20:AS80)</f>
        <v>22.129166666666698</v>
      </c>
      <c r="AT14" s="775">
        <f t="shared" ref="AT14:BA14" ca="1" si="23">MAX(AT20:AT80)</f>
        <v>16.097224166666699</v>
      </c>
      <c r="AU14" s="775">
        <f t="shared" ca="1" si="23"/>
        <v>10.283333333333299</v>
      </c>
      <c r="AV14" s="775">
        <f t="shared" ca="1" si="23"/>
        <v>12.554166666666699</v>
      </c>
      <c r="AW14" s="775">
        <f t="shared" ca="1" si="23"/>
        <v>9.8333333333333304</v>
      </c>
      <c r="AX14" s="775">
        <f t="shared" ca="1" si="23"/>
        <v>9.4350000000000005</v>
      </c>
      <c r="AY14" s="775">
        <f t="shared" ca="1" si="23"/>
        <v>18.466666666666701</v>
      </c>
      <c r="AZ14" s="775">
        <f t="shared" ca="1" si="23"/>
        <v>10.294442500000001</v>
      </c>
      <c r="BA14" s="775">
        <f t="shared" ca="1" si="23"/>
        <v>11.904166666666701</v>
      </c>
      <c r="BC14" s="775">
        <v>30</v>
      </c>
      <c r="BD14" s="775">
        <v>30</v>
      </c>
      <c r="BE14" s="775">
        <v>30</v>
      </c>
      <c r="BF14" s="775">
        <v>30</v>
      </c>
      <c r="BG14" s="775">
        <v>30</v>
      </c>
      <c r="BH14" s="775">
        <v>30</v>
      </c>
      <c r="BI14" s="775">
        <v>30</v>
      </c>
      <c r="BJ14" s="775">
        <v>30</v>
      </c>
      <c r="BK14" s="775">
        <v>30</v>
      </c>
      <c r="BO14" s="775">
        <f ca="1">MAX(BO20:BO80)</f>
        <v>31821</v>
      </c>
      <c r="BP14" s="775">
        <f t="shared" ref="BP14:BW14" ca="1" si="24">MAX(BP20:BP80)</f>
        <v>2884.1790000000001</v>
      </c>
      <c r="BQ14" s="775">
        <f t="shared" ca="1" si="24"/>
        <v>9065</v>
      </c>
      <c r="BR14" s="775">
        <f t="shared" ca="1" si="24"/>
        <v>3972.4</v>
      </c>
      <c r="BS14" s="775">
        <f t="shared" ca="1" si="24"/>
        <v>12740.4</v>
      </c>
      <c r="BT14" s="775">
        <f t="shared" ca="1" si="24"/>
        <v>3874.8</v>
      </c>
      <c r="BU14" s="775">
        <f t="shared" ca="1" si="24"/>
        <v>15849</v>
      </c>
      <c r="BV14" s="775">
        <f t="shared" ca="1" si="24"/>
        <v>11068</v>
      </c>
      <c r="BW14" s="775">
        <f t="shared" ca="1" si="24"/>
        <v>9772</v>
      </c>
      <c r="BY14" s="775">
        <f ca="1">MAX(BY20:BY80)</f>
        <v>24326.5</v>
      </c>
      <c r="BZ14" s="775">
        <f t="shared" ref="BZ14:CG14" ca="1" si="25">MAX(BZ20:BZ80)</f>
        <v>7231.8774999999996</v>
      </c>
      <c r="CA14" s="775">
        <f t="shared" ca="1" si="25"/>
        <v>7926.75</v>
      </c>
      <c r="CB14" s="775">
        <f t="shared" ca="1" si="25"/>
        <v>1977.15</v>
      </c>
      <c r="CC14" s="775">
        <f t="shared" ca="1" si="25"/>
        <v>6944</v>
      </c>
      <c r="CD14" s="775">
        <f t="shared" ca="1" si="25"/>
        <v>4253.1750000000002</v>
      </c>
      <c r="CE14" s="775">
        <f t="shared" ca="1" si="25"/>
        <v>9674.25</v>
      </c>
      <c r="CF14" s="775">
        <f t="shared" ca="1" si="25"/>
        <v>12908.75</v>
      </c>
      <c r="CG14" s="775">
        <f t="shared" ca="1" si="25"/>
        <v>11199</v>
      </c>
      <c r="CI14" s="997">
        <f ca="1">MAX(CI20:CI80)</f>
        <v>8572</v>
      </c>
      <c r="CJ14" s="997">
        <f t="shared" ref="CJ14:CQ14" ca="1" si="26">MAX(CJ20:CJ80)</f>
        <v>766.09799999999996</v>
      </c>
      <c r="CK14" s="997">
        <f t="shared" ca="1" si="26"/>
        <v>1424</v>
      </c>
      <c r="CL14" s="997">
        <f t="shared" ca="1" si="26"/>
        <v>477.9</v>
      </c>
      <c r="CM14" s="997">
        <f t="shared" ca="1" si="26"/>
        <v>1573.4</v>
      </c>
      <c r="CN14" s="997">
        <f t="shared" ca="1" si="26"/>
        <v>823.6</v>
      </c>
      <c r="CO14" s="997">
        <f t="shared" ca="1" si="26"/>
        <v>2587</v>
      </c>
      <c r="CP14" s="997">
        <f t="shared" ca="1" si="26"/>
        <v>2468</v>
      </c>
      <c r="CQ14" s="997">
        <f t="shared" ca="1" si="26"/>
        <v>2376</v>
      </c>
      <c r="CS14" s="997">
        <f t="shared" ref="CS14:DH14" ca="1" si="27">MAX(CS20:CS80)</f>
        <v>8616.5</v>
      </c>
      <c r="CT14" s="997">
        <f t="shared" ca="1" si="27"/>
        <v>2507.5059999999999</v>
      </c>
      <c r="CU14" s="997">
        <f t="shared" ca="1" si="27"/>
        <v>2837</v>
      </c>
      <c r="CV14" s="997">
        <f t="shared" ca="1" si="27"/>
        <v>704.42499999999995</v>
      </c>
      <c r="CW14" s="997">
        <f t="shared" ca="1" si="27"/>
        <v>1529.825</v>
      </c>
      <c r="CX14" s="997">
        <f t="shared" ca="1" si="27"/>
        <v>3061.75</v>
      </c>
      <c r="CY14" s="997">
        <f t="shared" ca="1" si="27"/>
        <v>6223.25</v>
      </c>
      <c r="CZ14" s="997">
        <f t="shared" ca="1" si="27"/>
        <v>5092.75</v>
      </c>
      <c r="DA14" s="997">
        <f t="shared" ca="1" si="27"/>
        <v>3741.75</v>
      </c>
      <c r="DB14" s="997">
        <f t="shared" ca="1" si="27"/>
        <v>24843.25</v>
      </c>
      <c r="DC14" s="997">
        <f t="shared" ca="1" si="27"/>
        <v>0</v>
      </c>
      <c r="DD14" s="997">
        <f t="shared" ca="1" si="27"/>
        <v>8948.25</v>
      </c>
      <c r="DE14" s="997">
        <f t="shared" ca="1" si="27"/>
        <v>0</v>
      </c>
      <c r="DF14" s="997">
        <f t="shared" ca="1" si="27"/>
        <v>704.42499999999995</v>
      </c>
      <c r="DG14" s="997">
        <f t="shared" ca="1" si="27"/>
        <v>4994.75</v>
      </c>
      <c r="DH14" s="997">
        <f t="shared" ca="1" si="27"/>
        <v>2972.7565</v>
      </c>
    </row>
    <row r="15" spans="1:112" s="1111" customFormat="1" ht="11.25" customHeight="1">
      <c r="E15" s="1112">
        <f ca="1">E18/E16-1</f>
        <v>0.20379643490757249</v>
      </c>
      <c r="F15" s="1112">
        <f t="shared" ref="F15:M15" ca="1" si="28">F18/F16-1</f>
        <v>0.24177291121432876</v>
      </c>
      <c r="G15" s="1112">
        <f t="shared" ca="1" si="28"/>
        <v>0.31934656546609719</v>
      </c>
      <c r="H15" s="1112">
        <f t="shared" ca="1" si="28"/>
        <v>0.25206532503191204</v>
      </c>
      <c r="I15" s="1112">
        <f t="shared" ca="1" si="28"/>
        <v>0.1758133446801311</v>
      </c>
      <c r="J15" s="1112">
        <f t="shared" ca="1" si="28"/>
        <v>0.26283019539117158</v>
      </c>
      <c r="K15" s="1112">
        <f t="shared" ca="1" si="28"/>
        <v>0.23986640400656989</v>
      </c>
      <c r="L15" s="1112">
        <f t="shared" ca="1" si="28"/>
        <v>0.16719005214852145</v>
      </c>
      <c r="M15" s="1112">
        <f t="shared" ca="1" si="28"/>
        <v>0.17517862801169892</v>
      </c>
      <c r="O15" s="1245">
        <f ca="1">O18/O16-1</f>
        <v>0.26374667953781583</v>
      </c>
      <c r="P15" s="1245">
        <f t="shared" ref="P15:W15" ca="1" si="29">P18/P16-1</f>
        <v>0.52503474159815022</v>
      </c>
      <c r="Q15" s="1245">
        <f t="shared" ca="1" si="29"/>
        <v>0.38862166493229267</v>
      </c>
      <c r="R15" s="1245">
        <f t="shared" ca="1" si="29"/>
        <v>0.67194103421488349</v>
      </c>
      <c r="S15" s="1245">
        <f t="shared" ca="1" si="29"/>
        <v>0.29650818076856611</v>
      </c>
      <c r="T15" s="1245">
        <f t="shared" ca="1" si="29"/>
        <v>0.58735170733496833</v>
      </c>
      <c r="U15" s="1245">
        <f t="shared" ca="1" si="29"/>
        <v>0.4642867652193523</v>
      </c>
      <c r="V15" s="1245">
        <f t="shared" ca="1" si="29"/>
        <v>0.22979829073241009</v>
      </c>
      <c r="W15" s="1245">
        <f t="shared" ca="1" si="29"/>
        <v>0.49779136625808684</v>
      </c>
      <c r="X15" s="1245"/>
      <c r="Y15" s="1245">
        <f ca="1">Y18/Y16-1</f>
        <v>0.43584294810223745</v>
      </c>
      <c r="Z15" s="1245">
        <f t="shared" ref="Z15:AG15" ca="1" si="30">Z18/Z16-1</f>
        <v>0.85947459205391108</v>
      </c>
      <c r="AA15" s="1245">
        <f t="shared" ca="1" si="30"/>
        <v>0.62615495400326782</v>
      </c>
      <c r="AB15" s="1245">
        <f t="shared" ca="1" si="30"/>
        <v>0.63550165932517588</v>
      </c>
      <c r="AC15" s="1245">
        <f t="shared" ca="1" si="30"/>
        <v>0.5893191517751819</v>
      </c>
      <c r="AD15" s="1245">
        <f t="shared" ca="1" si="30"/>
        <v>0.43382975098135379</v>
      </c>
      <c r="AE15" s="1245">
        <f t="shared" ca="1" si="30"/>
        <v>0.66040783265334779</v>
      </c>
      <c r="AF15" s="1245">
        <f t="shared" ca="1" si="30"/>
        <v>0.54650423375565871</v>
      </c>
      <c r="AG15" s="1245">
        <f t="shared" ca="1" si="30"/>
        <v>0.72409825767323266</v>
      </c>
      <c r="AH15" s="1245"/>
      <c r="AI15" s="1245"/>
      <c r="AJ15" s="1245"/>
      <c r="AK15" s="1245"/>
      <c r="AL15" s="1245"/>
      <c r="AM15" s="1245"/>
      <c r="AN15" s="1245"/>
      <c r="AO15" s="1245"/>
      <c r="AP15" s="1245"/>
      <c r="AQ15" s="1245"/>
      <c r="AS15" s="1006">
        <f>_xlfn.XLOOKUP(AS7,'Peer Analysiss'!$B$12:$B$27,'Peer Analysiss'!$EL$12:$EL$27)</f>
        <v>8.4945873670652698</v>
      </c>
      <c r="AT15" s="1006">
        <f>_xlfn.XLOOKUP(AT7,'Peer Analysiss'!$B$12:$B$27,'Peer Analysiss'!$EL$12:$EL$27)</f>
        <v>5.2988582631631296</v>
      </c>
      <c r="AU15" s="1006">
        <f>_xlfn.XLOOKUP(AU7,'Peer Analysiss'!$B$12:$B$27,'Peer Analysiss'!$EL$12:$EL$27)</f>
        <v>9.3807682741073801</v>
      </c>
      <c r="AV15" s="1006">
        <f>_xlfn.XLOOKUP(AV7,'Peer Analysiss'!$B$12:$B$27,'Peer Analysiss'!$EL$12:$EL$27)</f>
        <v>8.9985662475123007</v>
      </c>
      <c r="AW15" s="1006">
        <f>_xlfn.XLOOKUP(AW7,'Peer Analysiss'!$B$12:$B$27,'Peer Analysiss'!$EL$12:$EL$27)</f>
        <v>6.8935998836551304</v>
      </c>
      <c r="AX15" s="1006">
        <f>_xlfn.XLOOKUP(AX7,'Peer Analysiss'!$B$12:$B$27,'Peer Analysiss'!$EL$12:$EL$27)</f>
        <v>11.3215005231866</v>
      </c>
      <c r="AY15" s="1006">
        <f>_xlfn.XLOOKUP(AY7,'Peer Analysiss'!$B$12:$B$27,'Peer Analysiss'!$EL$12:$EL$27)</f>
        <v>13.211278096151601</v>
      </c>
      <c r="AZ15" s="1006">
        <f>_xlfn.XLOOKUP(AZ7,'Peer Analysiss'!$B$12:$B$27,'Peer Analysiss'!$EL$12:$EL$27)</f>
        <v>4.8870211407538404</v>
      </c>
      <c r="BA15" s="1006">
        <f>_xlfn.XLOOKUP(BA7,'Peer Analysiss'!$B$12:$B$27,'Peer Analysiss'!$EL$12:$EL$27)</f>
        <v>7.6585533433844102</v>
      </c>
      <c r="BC15" s="1112">
        <f ca="1">BC18/BC16-1</f>
        <v>0.20468902221706831</v>
      </c>
      <c r="BD15" s="1112">
        <f t="shared" ref="BD15:BK15" ca="1" si="31">BD18/BD16-1</f>
        <v>0.2982029743916732</v>
      </c>
      <c r="BE15" s="1112">
        <f t="shared" ca="1" si="31"/>
        <v>0.47965350357805558</v>
      </c>
      <c r="BF15" s="1112">
        <f t="shared" ca="1" si="31"/>
        <v>0.31889604311992326</v>
      </c>
      <c r="BG15" s="1112" t="e">
        <f t="shared" ca="1" si="31"/>
        <v>#DIV/0!</v>
      </c>
      <c r="BH15" s="1112">
        <f t="shared" ca="1" si="31"/>
        <v>0.31248945416435792</v>
      </c>
      <c r="BI15" s="1112">
        <f t="shared" ca="1" si="31"/>
        <v>0.26828801995273044</v>
      </c>
      <c r="BJ15" s="1112">
        <f t="shared" ca="1" si="31"/>
        <v>0.2285765037810108</v>
      </c>
      <c r="BK15" s="1112">
        <f t="shared" ca="1" si="31"/>
        <v>0.2404846501643072</v>
      </c>
      <c r="BL15" s="1113"/>
      <c r="BO15" s="1006"/>
      <c r="BP15" s="1006"/>
      <c r="BQ15" s="1006"/>
      <c r="BR15" s="1006"/>
      <c r="BS15" s="1006"/>
      <c r="BT15" s="1006"/>
      <c r="BU15" s="1006"/>
      <c r="BV15" s="1006"/>
      <c r="BW15" s="1006"/>
      <c r="BY15" s="1006"/>
      <c r="BZ15" s="1006"/>
      <c r="CA15" s="1006"/>
      <c r="CB15" s="1006"/>
      <c r="CC15" s="1006"/>
      <c r="CD15" s="1006"/>
      <c r="CE15" s="1006"/>
      <c r="CF15" s="1006"/>
      <c r="CG15" s="1006"/>
      <c r="CI15" s="1245"/>
      <c r="CJ15" s="1245"/>
      <c r="CK15" s="1245"/>
      <c r="CL15" s="1245"/>
      <c r="CM15" s="1245"/>
      <c r="CN15" s="1245"/>
      <c r="CO15" s="1245"/>
      <c r="CP15" s="1245"/>
      <c r="CQ15" s="1245"/>
      <c r="CR15" s="761"/>
      <c r="CS15" s="1245"/>
      <c r="CT15" s="1245"/>
      <c r="CU15" s="1245"/>
      <c r="CV15" s="1245"/>
      <c r="CW15" s="1245"/>
      <c r="CX15" s="1245"/>
      <c r="CY15" s="1245"/>
      <c r="CZ15" s="1245"/>
      <c r="DA15" s="1245"/>
      <c r="DB15" s="1245"/>
      <c r="DC15" s="1245"/>
      <c r="DD15" s="1245"/>
      <c r="DE15" s="1245"/>
      <c r="DF15" s="1245"/>
      <c r="DG15" s="1245"/>
      <c r="DH15" s="1245"/>
    </row>
    <row r="16" spans="1:112" s="770" customFormat="1" ht="11.25" customHeight="1">
      <c r="C16" s="776" t="s">
        <v>482</v>
      </c>
      <c r="E16" s="777">
        <f t="shared" ref="E16:M16" ca="1" si="32">+AVERAGEIFS(E20:E97,E20:E97,"&lt;"&amp;E$14,E20:E97,"&gt;"&amp;E$13)</f>
        <v>10.403042388837694</v>
      </c>
      <c r="F16" s="777">
        <f t="shared" ca="1" si="32"/>
        <v>9.7041732066473507</v>
      </c>
      <c r="G16" s="777">
        <f t="shared" ca="1" si="32"/>
        <v>7.5056411727390895</v>
      </c>
      <c r="H16" s="777">
        <f t="shared" ca="1" si="32"/>
        <v>7.2782303834362585</v>
      </c>
      <c r="I16" s="777">
        <f t="shared" ca="1" si="32"/>
        <v>6.5537388397965728</v>
      </c>
      <c r="J16" s="777">
        <f t="shared" ca="1" si="32"/>
        <v>8.6650900504759072</v>
      </c>
      <c r="K16" s="777">
        <f t="shared" ca="1" si="32"/>
        <v>8.727804017947383</v>
      </c>
      <c r="L16" s="777">
        <f t="shared" ca="1" si="32"/>
        <v>5.9361931292423975</v>
      </c>
      <c r="M16" s="777">
        <f t="shared" ca="1" si="32"/>
        <v>6.7974175946574382</v>
      </c>
      <c r="N16" s="762"/>
      <c r="O16" s="999">
        <f t="shared" ref="O16:W16" ca="1" si="33">+AVERAGEIFS(O20:O97,O20:O97,"&lt;"&amp;O$14,O20:O97,"&gt;"&amp;O$13)</f>
        <v>67115.795391898588</v>
      </c>
      <c r="P16" s="999">
        <f t="shared" ca="1" si="33"/>
        <v>3803.2646204198409</v>
      </c>
      <c r="Q16" s="999">
        <f t="shared" ca="1" si="33"/>
        <v>4524.1832825372367</v>
      </c>
      <c r="R16" s="999">
        <f t="shared" ca="1" si="33"/>
        <v>1603.6212454865329</v>
      </c>
      <c r="S16" s="999">
        <f t="shared" ca="1" si="33"/>
        <v>4220.4607051187704</v>
      </c>
      <c r="T16" s="999">
        <f t="shared" ca="1" si="33"/>
        <v>4404.0140232877411</v>
      </c>
      <c r="U16" s="999">
        <f t="shared" ca="1" si="33"/>
        <v>17034.526230419466</v>
      </c>
      <c r="V16" s="999">
        <f t="shared" ca="1" si="33"/>
        <v>7583.2157642587526</v>
      </c>
      <c r="W16" s="999">
        <f t="shared" ca="1" si="33"/>
        <v>6842.8253073052729</v>
      </c>
      <c r="X16" s="998"/>
      <c r="Y16" s="999">
        <f t="shared" ref="Y16:AG16" ca="1" si="34">+AVERAGEIFS(Y20:Y97,Y20:Y97,"&lt;"&amp;Y$14,Y20:Y97,"&gt;"&amp;Y$13)</f>
        <v>2778.9797297297296</v>
      </c>
      <c r="Z16" s="999">
        <f t="shared" ca="1" si="34"/>
        <v>327.28329225352121</v>
      </c>
      <c r="AA16" s="999">
        <f t="shared" ca="1" si="34"/>
        <v>576.34121621621625</v>
      </c>
      <c r="AB16" s="999">
        <f t="shared" ca="1" si="34"/>
        <v>152.52226027397262</v>
      </c>
      <c r="AC16" s="999">
        <f t="shared" ca="1" si="34"/>
        <v>505.828125</v>
      </c>
      <c r="AD16" s="999">
        <f t="shared" ca="1" si="34"/>
        <v>117.04357142857141</v>
      </c>
      <c r="AE16" s="999">
        <f t="shared" ca="1" si="34"/>
        <v>998.81666666666672</v>
      </c>
      <c r="AF16" s="999">
        <f t="shared" ca="1" si="34"/>
        <v>1318.508064516129</v>
      </c>
      <c r="AG16" s="999">
        <f t="shared" ca="1" si="34"/>
        <v>346.36111111111109</v>
      </c>
      <c r="AH16" s="998"/>
      <c r="AI16" s="999">
        <f t="shared" ref="AI16:AQ16" ca="1" si="35">+AVERAGEIFS(AI20:AI97,AI20:AI97,"&lt;"&amp;AI$14,AI20:AI97,"&gt;"&amp;AI$13)</f>
        <v>68977.691009960632</v>
      </c>
      <c r="AJ16" s="999">
        <f t="shared" ca="1" si="35"/>
        <v>5120.2393208881822</v>
      </c>
      <c r="AK16" s="999">
        <f t="shared" ca="1" si="35"/>
        <v>6064.7611250061846</v>
      </c>
      <c r="AL16" s="999">
        <f t="shared" ca="1" si="35"/>
        <v>2128.9851668745837</v>
      </c>
      <c r="AM16" s="999">
        <f t="shared" ca="1" si="35"/>
        <v>8131.9583876731667</v>
      </c>
      <c r="AN16" s="999">
        <f t="shared" ca="1" si="35"/>
        <v>5410.2156361909683</v>
      </c>
      <c r="AO16" s="999">
        <f t="shared" ca="1" si="35"/>
        <v>19461.188206286715</v>
      </c>
      <c r="AP16" s="999">
        <f t="shared" ca="1" si="35"/>
        <v>9383.5591249155914</v>
      </c>
      <c r="AQ16" s="999">
        <f t="shared" ca="1" si="35"/>
        <v>9898.101597990415</v>
      </c>
      <c r="AR16" s="762"/>
      <c r="AS16" s="777">
        <f t="shared" ref="AS16:AZ16" ca="1" si="36">+AVERAGEIFS(AS20:AS97,AS20:AS97,"&lt;"&amp;AS$14,AS20:AS97,"&gt;"&amp;AS$13)</f>
        <v>20.982534652777769</v>
      </c>
      <c r="AT16" s="777">
        <f t="shared" ca="1" si="36"/>
        <v>12.645648555555558</v>
      </c>
      <c r="AU16" s="777" t="e">
        <f t="shared" ca="1" si="36"/>
        <v>#DIV/0!</v>
      </c>
      <c r="AV16" s="777">
        <f t="shared" ca="1" si="36"/>
        <v>12.268750000000001</v>
      </c>
      <c r="AW16" s="777">
        <f t="shared" ca="1" si="36"/>
        <v>9.7666666666666693</v>
      </c>
      <c r="AX16" s="777" t="e">
        <f t="shared" ca="1" si="36"/>
        <v>#DIV/0!</v>
      </c>
      <c r="AY16" s="777">
        <f t="shared" ca="1" si="36"/>
        <v>16.235457401960797</v>
      </c>
      <c r="AZ16" s="777">
        <f t="shared" ca="1" si="36"/>
        <v>7.9974825694444469</v>
      </c>
      <c r="BA16" s="777">
        <f t="shared" ref="BA16" ca="1" si="37">+AVERAGEIFS(BA20:BA97,BA20:BA97,"&lt;"&amp;BA$14,BA20:BA97,"&gt;"&amp;BA$13)</f>
        <v>11.374999097222224</v>
      </c>
      <c r="BC16" s="777">
        <f t="shared" ref="BC16:BK16" ca="1" si="38">+AVERAGEIFS(BC20:BC97,BC20:BC97,"&lt;"&amp;BC$14,BC20:BC97,"&gt;"&amp;BC$13)</f>
        <v>10.682400340701754</v>
      </c>
      <c r="BD16" s="777">
        <f t="shared" ca="1" si="38"/>
        <v>9.7122799156491215</v>
      </c>
      <c r="BE16" s="777">
        <f t="shared" ca="1" si="38"/>
        <v>9.0765320906071434</v>
      </c>
      <c r="BF16" s="777">
        <f t="shared" ca="1" si="38"/>
        <v>11.293342283358491</v>
      </c>
      <c r="BG16" s="777" t="e">
        <f t="shared" ca="1" si="38"/>
        <v>#DIV/0!</v>
      </c>
      <c r="BH16" s="777">
        <f t="shared" ca="1" si="38"/>
        <v>8.9079271983859662</v>
      </c>
      <c r="BI16" s="777">
        <f t="shared" ca="1" si="38"/>
        <v>8.9174514906315796</v>
      </c>
      <c r="BJ16" s="777">
        <f t="shared" ca="1" si="38"/>
        <v>6.707478805754385</v>
      </c>
      <c r="BK16" s="777">
        <f t="shared" ca="1" si="38"/>
        <v>7.0735467799473675</v>
      </c>
      <c r="BL16" s="761"/>
      <c r="BO16" s="777">
        <f t="shared" ref="BO16:BW16" ca="1" si="39">+AVERAGEIFS(BO20:BO97,BO20:BO97,"&lt;"&amp;BO$14,BO20:BO97,"&gt;"&amp;BO$13)</f>
        <v>24996.223880597016</v>
      </c>
      <c r="BP16" s="777">
        <f t="shared" ca="1" si="39"/>
        <v>2123.5330317460312</v>
      </c>
      <c r="BQ16" s="777">
        <f t="shared" ca="1" si="39"/>
        <v>7149.3220338983047</v>
      </c>
      <c r="BR16" s="777">
        <f t="shared" ca="1" si="39"/>
        <v>2755.2394736842098</v>
      </c>
      <c r="BS16" s="777">
        <f t="shared" ca="1" si="39"/>
        <v>10042.478431372549</v>
      </c>
      <c r="BT16" s="777">
        <f t="shared" ca="1" si="39"/>
        <v>2769.1985074626868</v>
      </c>
      <c r="BU16" s="777">
        <f t="shared" ca="1" si="39"/>
        <v>12588.184210526315</v>
      </c>
      <c r="BV16" s="777">
        <f t="shared" ca="1" si="39"/>
        <v>8917.1166666666668</v>
      </c>
      <c r="BW16" s="777">
        <f t="shared" ca="1" si="39"/>
        <v>7348.3098591549297</v>
      </c>
      <c r="BY16" s="777">
        <f t="shared" ref="BY16:CG16" ca="1" si="40">+AVERAGEIFS(BY20:BY97,BY20:BY97,"&lt;"&amp;BY$14,BY20:BY97,"&gt;"&amp;BY$13)</f>
        <v>17414.71212121212</v>
      </c>
      <c r="BZ16" s="777">
        <f t="shared" ca="1" si="40"/>
        <v>3038.3935337837834</v>
      </c>
      <c r="CA16" s="777">
        <f t="shared" ca="1" si="40"/>
        <v>5324.2664473684208</v>
      </c>
      <c r="CB16" s="777">
        <f t="shared" ca="1" si="40"/>
        <v>1370.7478873239436</v>
      </c>
      <c r="CC16" s="777">
        <f t="shared" ca="1" si="40"/>
        <v>6011.6423076923083</v>
      </c>
      <c r="CD16" s="777">
        <f t="shared" ca="1" si="40"/>
        <v>2286.4369230769234</v>
      </c>
      <c r="CE16" s="777">
        <f t="shared" ca="1" si="40"/>
        <v>6737.7457627118647</v>
      </c>
      <c r="CF16" s="777">
        <f t="shared" ca="1" si="40"/>
        <v>8279.440217391304</v>
      </c>
      <c r="CG16" s="777">
        <f t="shared" ca="1" si="40"/>
        <v>4782.625</v>
      </c>
      <c r="CI16" s="999">
        <f t="shared" ref="CI16:CQ16" ca="1" si="41">+AVERAGEIFS(CI20:CI97,CI20:CI97,"&lt;"&amp;CI$14,CI20:CI97,"&gt;"&amp;CI$13)</f>
        <v>6605.6470588235297</v>
      </c>
      <c r="CJ16" s="999">
        <f t="shared" ca="1" si="41"/>
        <v>420.57631746031745</v>
      </c>
      <c r="CK16" s="999">
        <f t="shared" ca="1" si="41"/>
        <v>671.29411764705878</v>
      </c>
      <c r="CL16" s="999">
        <f t="shared" ca="1" si="41"/>
        <v>204.9</v>
      </c>
      <c r="CM16" s="999">
        <f t="shared" ca="1" si="41"/>
        <v>1036.8</v>
      </c>
      <c r="CN16" s="999">
        <f t="shared" ca="1" si="41"/>
        <v>548.566129032258</v>
      </c>
      <c r="CO16" s="999">
        <f t="shared" ca="1" si="41"/>
        <v>1848.4285714285713</v>
      </c>
      <c r="CP16" s="999">
        <f t="shared" ca="1" si="41"/>
        <v>1615.5714285714287</v>
      </c>
      <c r="CQ16" s="999">
        <f t="shared" ca="1" si="41"/>
        <v>1376.8684210526317</v>
      </c>
      <c r="CR16" s="761"/>
      <c r="CS16" s="999">
        <f t="shared" ref="CS16:DH16" ca="1" si="42">+AVERAGEIFS(CS20:CS97,CS20:CS97,"&lt;"&amp;CS$14,CS20:CS97,"&gt;"&amp;CS$13)</f>
        <v>6892.7538461538461</v>
      </c>
      <c r="CT16" s="999">
        <f t="shared" ca="1" si="42"/>
        <v>1189.0565076923076</v>
      </c>
      <c r="CU16" s="999">
        <f t="shared" ca="1" si="42"/>
        <v>1752.4703947368421</v>
      </c>
      <c r="CV16" s="999">
        <f t="shared" ca="1" si="42"/>
        <v>503.65625000000011</v>
      </c>
      <c r="CW16" s="999">
        <f t="shared" ca="1" si="42"/>
        <v>1051.2047619047619</v>
      </c>
      <c r="CX16" s="999">
        <f t="shared" ca="1" si="42"/>
        <v>2697.5246478873241</v>
      </c>
      <c r="CY16" s="999">
        <f t="shared" ca="1" si="42"/>
        <v>4569.3491379310344</v>
      </c>
      <c r="CZ16" s="999">
        <f t="shared" ca="1" si="42"/>
        <v>3523.1440677966102</v>
      </c>
      <c r="DA16" s="999">
        <f t="shared" ca="1" si="42"/>
        <v>2975.0490196078431</v>
      </c>
      <c r="DB16" s="999">
        <f t="shared" ca="1" si="42"/>
        <v>16990.846484375001</v>
      </c>
      <c r="DC16" s="999" t="e">
        <f t="shared" ca="1" si="42"/>
        <v>#DIV/0!</v>
      </c>
      <c r="DD16" s="999">
        <f t="shared" ca="1" si="42"/>
        <v>7982.0131578947367</v>
      </c>
      <c r="DE16" s="999" t="e">
        <f t="shared" ca="1" si="42"/>
        <v>#DIV/0!</v>
      </c>
      <c r="DF16" s="999">
        <f t="shared" ca="1" si="42"/>
        <v>503.65625000000011</v>
      </c>
      <c r="DG16" s="999">
        <f t="shared" ca="1" si="42"/>
        <v>3919.9898936170212</v>
      </c>
      <c r="DH16" s="999">
        <f t="shared" ca="1" si="42"/>
        <v>1415.5910238095241</v>
      </c>
    </row>
    <row r="17" spans="1:112" s="770" customFormat="1" ht="11.25" customHeight="1">
      <c r="C17" s="776" t="s">
        <v>1162</v>
      </c>
      <c r="E17" s="777" cm="1">
        <f t="array" aca="1" ref="E17" ca="1">+E16-_xlfn.STDEV.P(IF(E20:E94&lt;E$14,IF(E20:E94&gt;E$13,E20:E94)))</f>
        <v>8.2829394378002164</v>
      </c>
      <c r="F17" s="777" cm="1">
        <f t="array" aca="1" ref="F17" ca="1">+F16-_xlfn.STDEV.P(IF(F20:F94&lt;F$14,IF(F20:F94&gt;F$13,F20:F94)))</f>
        <v>7.3579669995481325</v>
      </c>
      <c r="G17" s="777" cm="1">
        <f t="array" aca="1" ref="G17" ca="1">+G16-_xlfn.STDEV.P(IF(G20:G94&lt;G$14,IF(G20:G94&gt;G$13,G20:G94)))</f>
        <v>5.1087404426039305</v>
      </c>
      <c r="H17" s="777" cm="1">
        <f t="array" aca="1" ref="H17" ca="1">+H16-_xlfn.STDEV.P(IF(H20:H94&lt;H$14,IF(H20:H94&gt;H$13,H20:H94)))</f>
        <v>5.4436408761782609</v>
      </c>
      <c r="I17" s="777" cm="1">
        <f t="array" aca="1" ref="I17" ca="1">+I16-_xlfn.STDEV.P(IF(I20:I94&lt;I$14,IF(I20:I94&gt;I$13,I20:I94)))</f>
        <v>5.4015040942118553</v>
      </c>
      <c r="J17" s="777" cm="1">
        <f t="array" aca="1" ref="J17" ca="1">+J16-_xlfn.STDEV.P(IF(J20:J94&lt;J$14,IF(J20:J94&gt;J$13,J20:J94)))</f>
        <v>6.3876427394272293</v>
      </c>
      <c r="K17" s="777" cm="1">
        <f t="array" aca="1" ref="K17" ca="1">+K16-_xlfn.STDEV.P(IF(K20:K94&lt;K$14,IF(K20:K94&gt;K$13,K20:K94)))</f>
        <v>6.6342970532882521</v>
      </c>
      <c r="L17" s="777" cm="1">
        <f t="array" aca="1" ref="L17" ca="1">+L16-_xlfn.STDEV.P(IF(L20:L94&lt;L$14,IF(L20:L94&gt;L$13,L20:L94)))</f>
        <v>4.9437206904006663</v>
      </c>
      <c r="M17" s="777" cm="1">
        <f t="array" aca="1" ref="M17" ca="1">+M16-_xlfn.STDEV.P(IF(M20:M94&lt;M$14,IF(M20:M94&gt;M$13,M20:M94)))</f>
        <v>5.6066553064027662</v>
      </c>
      <c r="N17" s="762"/>
      <c r="O17" s="999" cm="1">
        <f t="array" aca="1" ref="O17" ca="1">+O16-_xlfn.STDEV.P(IF(O20:O94&lt;O$14,IF(O20:O94&gt;O$13,O20:O94)))</f>
        <v>49414.2272127459</v>
      </c>
      <c r="P17" s="999" cm="1">
        <f t="array" aca="1" ref="P17" ca="1">+P16-_xlfn.STDEV.P(IF(P20:P94&lt;P$14,IF(P20:P94&gt;P$13,P20:P94)))</f>
        <v>1806.4185632083222</v>
      </c>
      <c r="Q17" s="999" cm="1">
        <f t="array" aca="1" ref="Q17" ca="1">+Q16-_xlfn.STDEV.P(IF(Q20:Q94&lt;Q$14,IF(Q20:Q94&gt;Q$13,Q20:Q94)))</f>
        <v>2765.9876428187713</v>
      </c>
      <c r="R17" s="999" cm="1">
        <f t="array" aca="1" ref="R17" ca="1">+R16-_xlfn.STDEV.P(IF(R20:R94&lt;R$14,IF(R20:R94&gt;R$13,R20:R94)))</f>
        <v>526.08232730535269</v>
      </c>
      <c r="S17" s="999" cm="1">
        <f t="array" aca="1" ref="S17" ca="1">+S16-_xlfn.STDEV.P(IF(S20:S94&lt;S$14,IF(S20:S94&gt;S$13,S20:S94)))</f>
        <v>2969.0595794387837</v>
      </c>
      <c r="T17" s="999" cm="1">
        <f t="array" aca="1" ref="T17" ca="1">+T16-_xlfn.STDEV.P(IF(T20:T94&lt;T$14,IF(T20:T94&gt;T$13,T20:T94)))</f>
        <v>1817.3088675825443</v>
      </c>
      <c r="U17" s="999" cm="1">
        <f t="array" aca="1" ref="U17" ca="1">+U16-_xlfn.STDEV.P(IF(U20:U94&lt;U$14,IF(U20:U94&gt;U$13,U20:U94)))</f>
        <v>9125.6211498538032</v>
      </c>
      <c r="V17" s="999" cm="1">
        <f t="array" aca="1" ref="V17" ca="1">+V16-_xlfn.STDEV.P(IF(V20:V94&lt;V$14,IF(V20:V94&gt;V$13,V20:V94)))</f>
        <v>5840.6057433770238</v>
      </c>
      <c r="W17" s="999" cm="1">
        <f t="array" aca="1" ref="W17" ca="1">+W16-_xlfn.STDEV.P(IF(W20:W94&lt;W$14,IF(W20:W94&gt;W$13,W20:W94)))</f>
        <v>3436.5259485163674</v>
      </c>
      <c r="X17" s="998"/>
      <c r="Y17" s="999" cm="1">
        <f t="array" aca="1" ref="Y17" ca="1">+Y16-_xlfn.STDEV.P(IF(Y20:Y94&lt;Y$14,IF(Y20:Y94&gt;Y$13,Y20:Y94)))</f>
        <v>1567.7810116079652</v>
      </c>
      <c r="Z17" s="999" cm="1">
        <f t="array" aca="1" ref="Z17" ca="1">+Z16-_xlfn.STDEV.P(IF(Z20:Z94&lt;Z$14,IF(Z20:Z94&gt;Z$13,Z20:Z94)))</f>
        <v>45.991618157865105</v>
      </c>
      <c r="AA17" s="999" cm="1">
        <f t="array" aca="1" ref="AA17" ca="1">+AA16-_xlfn.STDEV.P(IF(AA20:AA94&lt;AA$14,IF(AA20:AA94&gt;AA$13,AA20:AA94)))</f>
        <v>215.46230848616392</v>
      </c>
      <c r="AB17" s="999" cm="1">
        <f t="array" aca="1" ref="AB17" ca="1">+AB16-_xlfn.STDEV.P(IF(AB20:AB94&lt;AB$14,IF(AB20:AB94&gt;AB$13,AB20:AB94)))</f>
        <v>55.594110785836662</v>
      </c>
      <c r="AC17" s="999" cm="1">
        <f t="array" aca="1" ref="AC17" ca="1">+AC16-_xlfn.STDEV.P(IF(AC20:AC94&lt;AC$14,IF(AC20:AC94&gt;AC$13,AC20:AC94)))</f>
        <v>207.73392343096924</v>
      </c>
      <c r="AD17" s="999" cm="1">
        <f t="array" aca="1" ref="AD17" ca="1">+AD16-_xlfn.STDEV.P(IF(AD20:AD94&lt;AD$14,IF(AD20:AD94&gt;AD$13,AD20:AD94)))</f>
        <v>66.266587981745957</v>
      </c>
      <c r="AE17" s="999" cm="1">
        <f t="array" aca="1" ref="AE17" ca="1">+AE16-_xlfn.STDEV.P(IF(AE20:AE94&lt;AE$14,IF(AE20:AE94&gt;AE$13,AE20:AE94)))</f>
        <v>339.19031661529198</v>
      </c>
      <c r="AF17" s="999" cm="1">
        <f t="array" aca="1" ref="AF17" ca="1">+AF16-_xlfn.STDEV.P(IF(AF20:AF94&lt;AF$14,IF(AF20:AF94&gt;AF$13,AF20:AF94)))</f>
        <v>597.93782501708529</v>
      </c>
      <c r="AG17" s="999" cm="1">
        <f t="array" aca="1" ref="AG17" ca="1">+AG16-_xlfn.STDEV.P(IF(AG20:AG94&lt;AG$14,IF(AG20:AG94&gt;AG$13,AG20:AG94)))</f>
        <v>95.561634029790582</v>
      </c>
      <c r="AH17" s="998"/>
      <c r="AI17" s="999" cm="1">
        <f t="array" aca="1" ref="AI17" ca="1">+AI16-_xlfn.STDEV.P(IF(AI20:AI94&lt;AI$14,IF(AI20:AI94&gt;AI$13,AI20:AI94)))</f>
        <v>50717.825129106059</v>
      </c>
      <c r="AJ17" s="999" cm="1">
        <f t="array" aca="1" ref="AJ17" ca="1">+AJ16-_xlfn.STDEV.P(IF(AJ20:AJ94&lt;AJ$14,IF(AJ20:AJ94&gt;AJ$13,AJ20:AJ94)))</f>
        <v>2254.9790189489909</v>
      </c>
      <c r="AK17" s="999" cm="1">
        <f t="array" aca="1" ref="AK17" ca="1">+AK16-_xlfn.STDEV.P(IF(AK20:AK94&lt;AK$14,IF(AK20:AK94&gt;AK$13,AK20:AK94)))</f>
        <v>3440.7161250734989</v>
      </c>
      <c r="AL17" s="999" cm="1">
        <f t="array" aca="1" ref="AL17" ca="1">+AL16-_xlfn.STDEV.P(IF(AL20:AL94&lt;AL$14,IF(AL20:AL94&gt;AL$13,AL20:AL94)))</f>
        <v>895.02768829772504</v>
      </c>
      <c r="AM17" s="999" cm="1">
        <f t="array" aca="1" ref="AM17" ca="1">+AM16-_xlfn.STDEV.P(IF(AM20:AM94&lt;AM$14,IF(AM20:AM94&gt;AM$13,AM20:AM94)))</f>
        <v>6515.5338433310535</v>
      </c>
      <c r="AN17" s="999" cm="1">
        <f t="array" aca="1" ref="AN17" ca="1">+AN16-_xlfn.STDEV.P(IF(AN20:AN94&lt;AN$14,IF(AN20:AN94&gt;AN$13,AN20:AN94)))</f>
        <v>2593.0083646405715</v>
      </c>
      <c r="AO17" s="999" cm="1">
        <f t="array" aca="1" ref="AO17" ca="1">+AO16-_xlfn.STDEV.P(IF(AO20:AO94&lt;AO$14,IF(AO20:AO94&gt;AO$13,AO20:AO94)))</f>
        <v>11222.049902896399</v>
      </c>
      <c r="AP17" s="999" cm="1">
        <f t="array" aca="1" ref="AP17" ca="1">+AP16-_xlfn.STDEV.P(IF(AP20:AP94&lt;AP$14,IF(AP20:AP94&gt;AP$13,AP20:AP94)))</f>
        <v>7054.3622507655291</v>
      </c>
      <c r="AQ17" s="999" cm="1">
        <f t="array" aca="1" ref="AQ17" ca="1">+AQ16-_xlfn.STDEV.P(IF(AQ20:AQ94&lt;AQ$14,IF(AQ20:AQ94&gt;AQ$13,AQ20:AQ94)))</f>
        <v>4529.8941286407817</v>
      </c>
      <c r="AR17" s="762"/>
      <c r="AS17" s="777" cm="1">
        <f t="array" aca="1" ref="AS17" ca="1">+AS16-_xlfn.STDEV.P(IF(AS20:AS94&lt;AS$14,IF(AS20:AS94&gt;AS$13,AS20:AS94)))</f>
        <v>20.285508522137189</v>
      </c>
      <c r="AT17" s="777" cm="1">
        <f t="array" aca="1" ref="AT17" ca="1">+AT16-_xlfn.STDEV.P(IF(AT20:AT94&lt;AT$14,IF(AT20:AT94&gt;AT$13,AT20:AT94)))</f>
        <v>10.852454488665364</v>
      </c>
      <c r="AU17" s="777" t="e" cm="1">
        <f t="array" aca="1" ref="AU17" ca="1">+AU16-_xlfn.STDEV.P(IF(AU20:AU94&lt;AU$14,IF(AU20:AU94&gt;AU$13,AU20:AU94)))</f>
        <v>#DIV/0!</v>
      </c>
      <c r="AV17" s="777" cm="1">
        <f t="array" aca="1" ref="AV17" ca="1">+AV16-_xlfn.STDEV.P(IF(AV20:AV94&lt;AV$14,IF(AV20:AV94&gt;AV$13,AV20:AV94)))</f>
        <v>12.100000000000001</v>
      </c>
      <c r="AW17" s="777" cm="1">
        <f t="array" aca="1" ref="AW17" ca="1">+AW16-_xlfn.STDEV.P(IF(AW20:AW94&lt;AW$14,IF(AW20:AW94&gt;AW$13,AW20:AW94)))</f>
        <v>9.7666666666666693</v>
      </c>
      <c r="AX17" s="777" t="e" cm="1">
        <f t="array" aca="1" ref="AX17" ca="1">+AX16-_xlfn.STDEV.P(IF(AX20:AX94&lt;AX$14,IF(AX20:AX94&gt;AX$13,AX20:AX94)))</f>
        <v>#DIV/0!</v>
      </c>
      <c r="AY17" s="777" cm="1">
        <f t="array" aca="1" ref="AY17" ca="1">+AY16-_xlfn.STDEV.P(IF(AY20:AY94&lt;AY$14,IF(AY20:AY94&gt;AY$13,AY20:AY94)))</f>
        <v>15.165352194579823</v>
      </c>
      <c r="AZ17" s="777" cm="1">
        <f t="array" aca="1" ref="AZ17" ca="1">+AZ16-_xlfn.STDEV.P(IF(AZ20:AZ94&lt;AZ$14,IF(AZ20:AZ94&gt;AZ$13,AZ20:AZ94)))</f>
        <v>6.8395418495439246</v>
      </c>
      <c r="BA17" s="777" cm="1">
        <f t="array" aca="1" ref="BA17" ca="1">+BA16-_xlfn.STDEV.P(IF(BA20:BA94&lt;BA$14,IF(BA20:BA94&gt;BA$13,BA20:BA94)))</f>
        <v>10.952833655055697</v>
      </c>
      <c r="BC17" s="777" cm="1">
        <f t="array" aca="1" ref="BC17" ca="1">+BC16-_xlfn.STDEV.P(IF(BC20:BC94&lt;BC$14,IF(BC20:BC94&gt;BC$13,BC20:BC94)))</f>
        <v>8.4958302600322337</v>
      </c>
      <c r="BD17" s="777" cm="1">
        <f t="array" aca="1" ref="BD17" ca="1">+BD16-_xlfn.STDEV.P(IF(BD20:BD94&lt;BD$14,IF(BD20:BD94&gt;BD$13,BD20:BD94)))</f>
        <v>6.8160491566780435</v>
      </c>
      <c r="BE17" s="777" cm="1">
        <f t="array" aca="1" ref="BE17" ca="1">+BE16-_xlfn.STDEV.P(IF(BE20:BE94&lt;BE$14,IF(BE20:BE94&gt;BE$13,BE20:BE94)))</f>
        <v>4.7229416730087737</v>
      </c>
      <c r="BF17" s="777" cm="1">
        <f t="array" aca="1" ref="BF17" ca="1">+BF16-_xlfn.STDEV.P(IF(BF20:BF94&lt;BF$14,IF(BF20:BF94&gt;BF$13,BF20:BF94)))</f>
        <v>7.6919401155965499</v>
      </c>
      <c r="BG17" s="777" t="e" cm="1">
        <f t="array" aca="1" ref="BG17" ca="1">+BG16-_xlfn.STDEV.P(IF(BG20:BG94&lt;BG$14,IF(BG20:BG94&gt;BG$13,BG20:BG94)))</f>
        <v>#DIV/0!</v>
      </c>
      <c r="BH17" s="777" cm="1">
        <f t="array" aca="1" ref="BH17" ca="1">+BH16-_xlfn.STDEV.P(IF(BH20:BH94&lt;BH$14,IF(BH20:BH94&gt;BH$13,BH20:BH94)))</f>
        <v>6.1242938904264959</v>
      </c>
      <c r="BI17" s="777" cm="1">
        <f t="array" aca="1" ref="BI17" ca="1">+BI16-_xlfn.STDEV.P(IF(BI20:BI94&lt;BI$14,IF(BI20:BI94&gt;BI$13,BI20:BI94)))</f>
        <v>6.525006087185508</v>
      </c>
      <c r="BJ17" s="777" cm="1">
        <f t="array" aca="1" ref="BJ17" ca="1">+BJ16-_xlfn.STDEV.P(IF(BJ20:BJ94&lt;BJ$14,IF(BJ20:BJ94&gt;BJ$13,BJ20:BJ94)))</f>
        <v>5.1743067511498175</v>
      </c>
      <c r="BK17" s="777" cm="1">
        <f t="array" aca="1" ref="BK17" ca="1">+BK16-_xlfn.STDEV.P(IF(BK20:BK94&lt;BK$14,IF(BK20:BK94&gt;BK$13,BK20:BK94)))</f>
        <v>5.372467357150863</v>
      </c>
      <c r="BL17" s="761"/>
      <c r="BO17" s="777" cm="1">
        <f t="array" aca="1" ref="BO17" ca="1">+BO16-_xlfn.STDEV.P(IF(BO20:BO94&lt;BO$14,IF(BO20:BO94&gt;BO$13,BO20:BO94)))</f>
        <v>19786.273154583083</v>
      </c>
      <c r="BP17" s="777" cm="1">
        <f t="array" aca="1" ref="BP17" ca="1">+BP16-_xlfn.STDEV.P(IF(BP20:BP94&lt;BP$14,IF(BP20:BP94&gt;BP$13,BP20:BP94)))</f>
        <v>1517.6736661061807</v>
      </c>
      <c r="BQ17" s="777" cm="1">
        <f t="array" aca="1" ref="BQ17" ca="1">+BQ16-_xlfn.STDEV.P(IF(BQ20:BQ94&lt;BQ$14,IF(BQ20:BQ94&gt;BQ$13,BQ20:BQ94)))</f>
        <v>6163.3475879015659</v>
      </c>
      <c r="BR17" s="777" cm="1">
        <f t="array" aca="1" ref="BR17" ca="1">+BR16-_xlfn.STDEV.P(IF(BR20:BR94&lt;BR$14,IF(BR20:BR94&gt;BR$13,BR20:BR94)))</f>
        <v>2291.7228336199678</v>
      </c>
      <c r="BS17" s="777" cm="1">
        <f t="array" aca="1" ref="BS17" ca="1">+BS16-_xlfn.STDEV.P(IF(BS20:BS94&lt;BS$14,IF(BS20:BS94&gt;BS$13,BS20:BS94)))</f>
        <v>8724.0347648885909</v>
      </c>
      <c r="BT17" s="777" cm="1">
        <f t="array" aca="1" ref="BT17" ca="1">+BT16-_xlfn.STDEV.P(IF(BT20:BT94&lt;BT$14,IF(BT20:BT94&gt;BT$13,BT20:BT94)))</f>
        <v>2195.7861072270116</v>
      </c>
      <c r="BU17" s="777" cm="1">
        <f t="array" aca="1" ref="BU17" ca="1">+BU16-_xlfn.STDEV.P(IF(BU20:BU94&lt;BU$14,IF(BU20:BU94&gt;BU$13,BU20:BU94)))</f>
        <v>10071.184500504191</v>
      </c>
      <c r="BV17" s="777" cm="1">
        <f t="array" aca="1" ref="BV17" ca="1">+BV16-_xlfn.STDEV.P(IF(BV20:BV94&lt;BV$14,IF(BV20:BV94&gt;BV$13,BV20:BV94)))</f>
        <v>7242.0776212098172</v>
      </c>
      <c r="BW17" s="777" cm="1">
        <f t="array" aca="1" ref="BW17" ca="1">+BW16-_xlfn.STDEV.P(IF(BW20:BW94&lt;BW$14,IF(BW20:BW94&gt;BW$13,BW20:BW94)))</f>
        <v>5807.26849159214</v>
      </c>
      <c r="BY17" s="777" cm="1">
        <f t="array" aca="1" ref="BY17" ca="1">+BY16-_xlfn.STDEV.P(IF(BY20:BY94&lt;BY$14,IF(BY20:BY94&gt;BY$13,BY20:BY94)))</f>
        <v>12029.261781259527</v>
      </c>
      <c r="BZ17" s="777" cm="1">
        <f t="array" aca="1" ref="BZ17" ca="1">+BZ16-_xlfn.STDEV.P(IF(BZ20:BZ94&lt;BZ$14,IF(BZ20:BZ94&gt;BZ$13,BZ20:BZ94)))</f>
        <v>1133.4267602279024</v>
      </c>
      <c r="CA17" s="777" cm="1">
        <f t="array" aca="1" ref="CA17" ca="1">+CA16-_xlfn.STDEV.P(IF(CA20:CA94&lt;CA$14,IF(CA20:CA94&gt;CA$13,CA20:CA94)))</f>
        <v>3875.7777330776098</v>
      </c>
      <c r="CB17" s="777" cm="1">
        <f t="array" aca="1" ref="CB17" ca="1">+CB16-_xlfn.STDEV.P(IF(CB20:CB94&lt;CB$14,IF(CB20:CB94&gt;CB$13,CB20:CB94)))</f>
        <v>973.34944014151972</v>
      </c>
      <c r="CC17" s="777" cm="1">
        <f t="array" aca="1" ref="CC17" ca="1">+CC16-_xlfn.STDEV.P(IF(CC20:CC94&lt;CC$14,IF(CC20:CC94&gt;CC$13,CC20:CC94)))</f>
        <v>5678.3640121966064</v>
      </c>
      <c r="CD17" s="777" cm="1">
        <f t="array" aca="1" ref="CD17" ca="1">+CD16-_xlfn.STDEV.P(IF(CD20:CD94&lt;CD$14,IF(CD20:CD94&gt;CD$13,CD20:CD94)))</f>
        <v>1458.6027364895135</v>
      </c>
      <c r="CE17" s="777" cm="1">
        <f t="array" aca="1" ref="CE17" ca="1">+CE16-_xlfn.STDEV.P(IF(CE20:CE94&lt;CE$14,IF(CE20:CE94&gt;CE$13,CE20:CE94)))</f>
        <v>5063.5067011189867</v>
      </c>
      <c r="CF17" s="777" cm="1">
        <f t="array" aca="1" ref="CF17" ca="1">+CF16-_xlfn.STDEV.P(IF(CF20:CF94&lt;CF$14,IF(CF20:CF94&gt;CF$13,CF20:CF94)))</f>
        <v>6426.1875060982193</v>
      </c>
      <c r="CG17" s="777" cm="1">
        <f t="array" aca="1" ref="CG17" ca="1">+CG16-_xlfn.STDEV.P(IF(CG20:CG94&lt;CG$14,IF(CG20:CG94&gt;CG$13,CG20:CG94)))</f>
        <v>2330.0401868640711</v>
      </c>
      <c r="CI17" s="999" cm="1">
        <f t="array" aca="1" ref="CI17" ca="1">+CI16-_xlfn.STDEV.P(IF(CI20:CI94&lt;CI$14,IF(CI20:CI94&gt;CI$13,CI20:CI94)))</f>
        <v>5084.1638397211145</v>
      </c>
      <c r="CJ17" s="999" cm="1">
        <f t="array" aca="1" ref="CJ17" ca="1">+CJ16-_xlfn.STDEV.P(IF(CJ20:CJ94&lt;CJ$14,IF(CJ20:CJ94&gt;CJ$13,CJ20:CJ94)))</f>
        <v>235.43438162044868</v>
      </c>
      <c r="CK17" s="999" cm="1">
        <f t="array" aca="1" ref="CK17" ca="1">+CK16-_xlfn.STDEV.P(IF(CK20:CK94&lt;CK$14,IF(CK20:CK94&gt;CK$13,CK20:CK94)))</f>
        <v>403.81622385275091</v>
      </c>
      <c r="CL17" s="999" cm="1">
        <f t="array" aca="1" ref="CL17" ca="1">+CL16-_xlfn.STDEV.P(IF(CL20:CL94&lt;CL$14,IF(CL20:CL94&gt;CL$13,CL20:CL94)))</f>
        <v>83.98876837294624</v>
      </c>
      <c r="CM17" s="999" cm="1">
        <f t="array" aca="1" ref="CM17" ca="1">+CM16-_xlfn.STDEV.P(IF(CM20:CM94&lt;CM$14,IF(CM20:CM94&gt;CM$13,CM20:CM94)))</f>
        <v>786.72087945889575</v>
      </c>
      <c r="CN17" s="999" cm="1">
        <f t="array" aca="1" ref="CN17" ca="1">+CN16-_xlfn.STDEV.P(IF(CN20:CN94&lt;CN$14,IF(CN20:CN94&gt;CN$13,CN20:CN94)))</f>
        <v>393.04678271623203</v>
      </c>
      <c r="CO17" s="999" cm="1">
        <f t="array" aca="1" ref="CO17" ca="1">+CO16-_xlfn.STDEV.P(IF(CO20:CO94&lt;CO$14,IF(CO20:CO94&gt;CO$13,CO20:CO94)))</f>
        <v>1485.2162082553689</v>
      </c>
      <c r="CP17" s="999" cm="1">
        <f t="array" aca="1" ref="CP17" ca="1">+CP16-_xlfn.STDEV.P(IF(CP20:CP94&lt;CP$14,IF(CP20:CP94&gt;CP$13,CP20:CP94)))</f>
        <v>1151.0484025292785</v>
      </c>
      <c r="CQ17" s="999" cm="1">
        <f t="array" aca="1" ref="CQ17" ca="1">+CQ16-_xlfn.STDEV.P(IF(CQ20:CQ94&lt;CQ$14,IF(CQ20:CQ94&gt;CQ$13,CQ20:CQ94)))</f>
        <v>764.51697959202295</v>
      </c>
      <c r="CR17" s="761"/>
      <c r="CS17" s="999" cm="1">
        <f t="array" aca="1" ref="CS17" ca="1">+CS16-_xlfn.STDEV.P(IF(CS20:CS94&lt;CS$14,IF(CS20:CS94&gt;CS$13,CS20:CS94)))</f>
        <v>5712.1128326066191</v>
      </c>
      <c r="CT17" s="999" cm="1">
        <f t="array" aca="1" ref="CT17" ca="1">+CT16-_xlfn.STDEV.P(IF(CT20:CT94&lt;CT$14,IF(CT20:CT94&gt;CT$13,CT20:CT94)))</f>
        <v>612.59699833162381</v>
      </c>
      <c r="CU17" s="999" cm="1">
        <f t="array" aca="1" ref="CU17" ca="1">+CU16-_xlfn.STDEV.P(IF(CU20:CU94&lt;CU$14,IF(CU20:CU94&gt;CU$13,CU20:CU94)))</f>
        <v>1191.9979623950835</v>
      </c>
      <c r="CV17" s="999" cm="1">
        <f t="array" aca="1" ref="CV17" ca="1">+CV16-_xlfn.STDEV.P(IF(CV20:CV94&lt;CV$14,IF(CV20:CV94&gt;CV$13,CV20:CV94)))</f>
        <v>407.3287409583445</v>
      </c>
      <c r="CW17" s="999" cm="1">
        <f t="array" aca="1" ref="CW17" ca="1">+CW16-_xlfn.STDEV.P(IF(CW20:CW94&lt;CW$14,IF(CW20:CW94&gt;CW$13,CW20:CW94)))</f>
        <v>936.52714815049887</v>
      </c>
      <c r="CX17" s="999" cm="1">
        <f t="array" aca="1" ref="CX17" ca="1">+CX16-_xlfn.STDEV.P(IF(CX20:CX94&lt;CX$14,IF(CX20:CX94&gt;CX$13,CX20:CX94)))</f>
        <v>2526.734720735793</v>
      </c>
      <c r="CY17" s="999" cm="1">
        <f t="array" aca="1" ref="CY17" ca="1">+CY16-_xlfn.STDEV.P(IF(CY20:CY94&lt;CY$14,IF(CY20:CY94&gt;CY$13,CY20:CY94)))</f>
        <v>3683.9607145785421</v>
      </c>
      <c r="CZ17" s="999" cm="1">
        <f t="array" aca="1" ref="CZ17" ca="1">+CZ16-_xlfn.STDEV.P(IF(CZ20:CZ94&lt;CZ$14,IF(CZ20:CZ94&gt;CZ$13,CZ20:CZ94)))</f>
        <v>2969.3900204773727</v>
      </c>
      <c r="DA17" s="999" cm="1">
        <f t="array" aca="1" ref="DA17" ca="1">+DA16-_xlfn.STDEV.P(IF(DA20:DA94&lt;DA$14,IF(DA20:DA94&gt;DA$13,DA20:DA94)))</f>
        <v>2357.3922005517511</v>
      </c>
      <c r="DB17" s="999" cm="1">
        <f t="array" aca="1" ref="DB17" ca="1">+DB16-_xlfn.STDEV.P(IF(DB20:DB94&lt;DB$14,IF(DB20:DB94&gt;DB$13,DB20:DB94)))</f>
        <v>13641.20545170685</v>
      </c>
      <c r="DC17" s="999" t="e" cm="1">
        <f t="array" aca="1" ref="DC17" ca="1">+DC16-_xlfn.STDEV.P(IF(DC20:DC94&lt;DC$14,IF(DC20:DC94&gt;DC$13,DC20:DC94)))</f>
        <v>#DIV/0!</v>
      </c>
      <c r="DD17" s="999" cm="1">
        <f t="array" aca="1" ref="DD17" ca="1">+DD16-_xlfn.STDEV.P(IF(DD20:DD94&lt;DD$14,IF(DD20:DD94&gt;DD$13,DD20:DD94)))</f>
        <v>7431.6293535693258</v>
      </c>
      <c r="DE17" s="999" t="e" cm="1">
        <f t="array" aca="1" ref="DE17" ca="1">+DE16-_xlfn.STDEV.P(IF(DE20:DE94&lt;DE$14,IF(DE20:DE94&gt;DE$13,DE20:DE94)))</f>
        <v>#DIV/0!</v>
      </c>
      <c r="DF17" s="999" cm="1">
        <f t="array" aca="1" ref="DF17" ca="1">+DF16-_xlfn.STDEV.P(IF(DF20:DF94&lt;DF$14,IF(DF20:DF94&gt;DF$13,DF20:DF94)))</f>
        <v>407.3287409583445</v>
      </c>
      <c r="DG17" s="999" cm="1">
        <f t="array" aca="1" ref="DG17" ca="1">+DG16-_xlfn.STDEV.P(IF(DG20:DG94&lt;DG$14,IF(DG20:DG94&gt;DG$13,DG20:DG94)))</f>
        <v>3539.3007708640384</v>
      </c>
      <c r="DH17" s="999" cm="1">
        <f t="array" aca="1" ref="DH17" ca="1">+DH16-_xlfn.STDEV.P(IF(DH20:DH94&lt;DH$14,IF(DH20:DH94&gt;DH$13,DH20:DH94)))</f>
        <v>857.01555737846377</v>
      </c>
    </row>
    <row r="18" spans="1:112" s="770" customFormat="1" ht="11.25" customHeight="1">
      <c r="C18" s="776" t="s">
        <v>1163</v>
      </c>
      <c r="E18" s="777" cm="1">
        <f t="array" aca="1" ref="E18" ca="1">+E16+_xlfn.STDEV.P(IF(E20:E94&lt;E$14,IF(E20:E94&gt;E$13,E20:E94)))</f>
        <v>12.523145339875171</v>
      </c>
      <c r="F18" s="777" cm="1">
        <f t="array" aca="1" ref="F18" ca="1">+F16+_xlfn.STDEV.P(IF(F20:F94&lt;F$14,IF(F20:F94&gt;F$13,F20:F94)))</f>
        <v>12.050379413746569</v>
      </c>
      <c r="G18" s="777" cm="1">
        <f t="array" aca="1" ref="G18" ca="1">+G16+_xlfn.STDEV.P(IF(G20:G94&lt;G$14,IF(G20:G94&gt;G$13,G20:G94)))</f>
        <v>9.9025419028742476</v>
      </c>
      <c r="H18" s="777" cm="1">
        <f t="array" aca="1" ref="H18" ca="1">+H16+_xlfn.STDEV.P(IF(H20:H94&lt;H$14,IF(H20:H94&gt;H$13,H20:H94)))</f>
        <v>9.1128198906942561</v>
      </c>
      <c r="I18" s="777" cm="1">
        <f t="array" aca="1" ref="I18" ca="1">+I16+_xlfn.STDEV.P(IF(I20:I94&lt;I$14,IF(I20:I94&gt;I$13,I20:I94)))</f>
        <v>7.7059735853812903</v>
      </c>
      <c r="J18" s="777" cm="1">
        <f t="array" aca="1" ref="J18" ca="1">+J16+_xlfn.STDEV.P(IF(J20:J94&lt;J$14,IF(J20:J94&gt;J$13,J20:J94)))</f>
        <v>10.942537361524586</v>
      </c>
      <c r="K18" s="777" cm="1">
        <f t="array" aca="1" ref="K18" ca="1">+K16+_xlfn.STDEV.P(IF(K20:K94&lt;K$14,IF(K20:K94&gt;K$13,K20:K94)))</f>
        <v>10.821310982606514</v>
      </c>
      <c r="L18" s="777" cm="1">
        <f t="array" aca="1" ref="L18" ca="1">+L16+_xlfn.STDEV.P(IF(L20:L94&lt;L$14,IF(L20:L94&gt;L$13,L20:L94)))</f>
        <v>6.9286655680841287</v>
      </c>
      <c r="M18" s="777" cm="1">
        <f t="array" aca="1" ref="M18" ca="1">+M16+_xlfn.STDEV.P(IF(M20:M94&lt;M$14,IF(M20:M94&gt;M$13,M20:M94)))</f>
        <v>7.9881798829121102</v>
      </c>
      <c r="N18" s="762"/>
      <c r="O18" s="999" cm="1">
        <f t="array" aca="1" ref="O18" ca="1">+O16+_xlfn.STDEV.P(IF(O20:O94&lt;O$14,IF(O20:O94&gt;O$13,O20:O94)))</f>
        <v>84817.363571051275</v>
      </c>
      <c r="P18" s="999" cm="1">
        <f t="array" aca="1" ref="P18" ca="1">+P16+_xlfn.STDEV.P(IF(P20:P94&lt;P$14,IF(P20:P94&gt;P$13,P20:P94)))</f>
        <v>5800.1106776313591</v>
      </c>
      <c r="Q18" s="999" cm="1">
        <f t="array" aca="1" ref="Q18" ca="1">+Q16+_xlfn.STDEV.P(IF(Q20:Q94&lt;Q$14,IF(Q20:Q94&gt;Q$13,Q20:Q94)))</f>
        <v>6282.3789222557025</v>
      </c>
      <c r="R18" s="999" cm="1">
        <f t="array" aca="1" ref="R18" ca="1">+R16+_xlfn.STDEV.P(IF(R20:R94&lt;R$14,IF(R20:R94&gt;R$13,R20:R94)))</f>
        <v>2681.1601636677133</v>
      </c>
      <c r="S18" s="999" cm="1">
        <f t="array" aca="1" ref="S18" ca="1">+S16+_xlfn.STDEV.P(IF(S20:S94&lt;S$14,IF(S20:S94&gt;S$13,S20:S94)))</f>
        <v>5471.8618307987572</v>
      </c>
      <c r="T18" s="999" cm="1">
        <f t="array" aca="1" ref="T18" ca="1">+T16+_xlfn.STDEV.P(IF(T20:T94&lt;T$14,IF(T20:T94&gt;T$13,T20:T94)))</f>
        <v>6990.7191789929384</v>
      </c>
      <c r="U18" s="999" cm="1">
        <f t="array" aca="1" ref="U18" ca="1">+U16+_xlfn.STDEV.P(IF(U20:U94&lt;U$14,IF(U20:U94&gt;U$13,U20:U94)))</f>
        <v>24943.431310985128</v>
      </c>
      <c r="V18" s="999" cm="1">
        <f t="array" aca="1" ref="V18" ca="1">+V16+_xlfn.STDEV.P(IF(V20:V94&lt;V$14,IF(V20:V94&gt;V$13,V20:V94)))</f>
        <v>9325.8257851404815</v>
      </c>
      <c r="W18" s="999" cm="1">
        <f t="array" aca="1" ref="W18" ca="1">+W16+_xlfn.STDEV.P(IF(W20:W94&lt;W$14,IF(W20:W94&gt;W$13,W20:W94)))</f>
        <v>10249.124666094178</v>
      </c>
      <c r="X18" s="998"/>
      <c r="Y18" s="999" cm="1">
        <f t="array" aca="1" ref="Y18" ca="1">+Y16+_xlfn.STDEV.P(IF(Y20:Y94&lt;Y$14,IF(Y20:Y94&gt;Y$13,Y20:Y94)))</f>
        <v>3990.1784478514937</v>
      </c>
      <c r="Z18" s="999" cm="1">
        <f t="array" aca="1" ref="Z18" ca="1">+Z16+_xlfn.STDEV.P(IF(Z20:Z94&lt;Z$14,IF(Z20:Z94&gt;Z$13,Z20:Z94)))</f>
        <v>608.57496634917732</v>
      </c>
      <c r="AA18" s="999" cm="1">
        <f t="array" aca="1" ref="AA18" ca="1">+AA16+_xlfn.STDEV.P(IF(AA20:AA94&lt;AA$14,IF(AA20:AA94&gt;AA$13,AA20:AA94)))</f>
        <v>937.22012394626859</v>
      </c>
      <c r="AB18" s="999" cm="1">
        <f t="array" aca="1" ref="AB18" ca="1">+AB16+_xlfn.STDEV.P(IF(AB20:AB94&lt;AB$14,IF(AB20:AB94&gt;AB$13,AB20:AB94)))</f>
        <v>249.45040976210856</v>
      </c>
      <c r="AC18" s="999" cm="1">
        <f t="array" aca="1" ref="AC18" ca="1">+AC16+_xlfn.STDEV.P(IF(AC20:AC94&lt;AC$14,IF(AC20:AC94&gt;AC$13,AC20:AC94)))</f>
        <v>803.9223265690307</v>
      </c>
      <c r="AD18" s="999" cm="1">
        <f t="array" aca="1" ref="AD18" ca="1">+AD16+_xlfn.STDEV.P(IF(AD20:AD94&lt;AD$14,IF(AD20:AD94&gt;AD$13,AD20:AD94)))</f>
        <v>167.82055487539685</v>
      </c>
      <c r="AE18" s="999" cm="1">
        <f t="array" aca="1" ref="AE18" ca="1">+AE16+_xlfn.STDEV.P(IF(AE20:AE94&lt;AE$14,IF(AE20:AE94&gt;AE$13,AE20:AE94)))</f>
        <v>1658.4430167180415</v>
      </c>
      <c r="AF18" s="999" cm="1">
        <f t="array" aca="1" ref="AF18" ca="1">+AF16+_xlfn.STDEV.P(IF(AF20:AF94&lt;AF$14,IF(AF20:AF94&gt;AF$13,AF20:AF94)))</f>
        <v>2039.0783040151728</v>
      </c>
      <c r="AG18" s="999" cm="1">
        <f t="array" aca="1" ref="AG18" ca="1">+AG16+_xlfn.STDEV.P(IF(AG20:AG94&lt;AG$14,IF(AG20:AG94&gt;AG$13,AG20:AG94)))</f>
        <v>597.16058819243153</v>
      </c>
      <c r="AH18" s="998"/>
      <c r="AI18" s="999" cm="1">
        <f t="array" aca="1" ref="AI18" ca="1">+AI16+_xlfn.STDEV.P(IF(AI20:AI94&lt;AI$14,IF(AI20:AI94&gt;AI$13,AI20:AI94)))</f>
        <v>87237.556890815205</v>
      </c>
      <c r="AJ18" s="999" cm="1">
        <f t="array" aca="1" ref="AJ18" ca="1">+AJ16+_xlfn.STDEV.P(IF(AJ20:AJ94&lt;AJ$14,IF(AJ20:AJ94&gt;AJ$13,AJ20:AJ94)))</f>
        <v>7985.499622827374</v>
      </c>
      <c r="AK18" s="999" cm="1">
        <f t="array" aca="1" ref="AK18" ca="1">+AK16+_xlfn.STDEV.P(IF(AK20:AK94&lt;AK$14,IF(AK20:AK94&gt;AK$13,AK20:AK94)))</f>
        <v>8688.8061249388702</v>
      </c>
      <c r="AL18" s="999" cm="1">
        <f t="array" aca="1" ref="AL18" ca="1">+AL16+_xlfn.STDEV.P(IF(AL20:AL94&lt;AL$14,IF(AL20:AL94&gt;AL$13,AL20:AL94)))</f>
        <v>3362.9426454514423</v>
      </c>
      <c r="AM18" s="999" cm="1">
        <f t="array" aca="1" ref="AM18" ca="1">+AM16+_xlfn.STDEV.P(IF(AM20:AM94&lt;AM$14,IF(AM20:AM94&gt;AM$13,AM20:AM94)))</f>
        <v>9748.3829320152799</v>
      </c>
      <c r="AN18" s="999" cm="1">
        <f t="array" aca="1" ref="AN18" ca="1">+AN16+_xlfn.STDEV.P(IF(AN20:AN94&lt;AN$14,IF(AN20:AN94&gt;AN$13,AN20:AN94)))</f>
        <v>8227.4229077413656</v>
      </c>
      <c r="AO18" s="999" cm="1">
        <f t="array" aca="1" ref="AO18" ca="1">+AO16+_xlfn.STDEV.P(IF(AO20:AO94&lt;AO$14,IF(AO20:AO94&gt;AO$13,AO20:AO94)))</f>
        <v>27700.326509677034</v>
      </c>
      <c r="AP18" s="999" cm="1">
        <f t="array" aca="1" ref="AP18" ca="1">+AP16+_xlfn.STDEV.P(IF(AP20:AP94&lt;AP$14,IF(AP20:AP94&gt;AP$13,AP20:AP94)))</f>
        <v>11712.755999065654</v>
      </c>
      <c r="AQ18" s="999" cm="1">
        <f t="array" aca="1" ref="AQ18" ca="1">+AQ16+_xlfn.STDEV.P(IF(AQ20:AQ94&lt;AQ$14,IF(AQ20:AQ94&gt;AQ$13,AQ20:AQ94)))</f>
        <v>15266.309067340047</v>
      </c>
      <c r="AR18" s="762"/>
      <c r="AS18" s="777" cm="1">
        <f t="array" aca="1" ref="AS18" ca="1">+AS16+_xlfn.STDEV.P(IF(AS20:AS94&lt;AS$14,IF(AS20:AS94&gt;AS$13,AS20:AS94)))</f>
        <v>21.679560783418349</v>
      </c>
      <c r="AT18" s="777" cm="1">
        <f t="array" aca="1" ref="AT18" ca="1">+AT16+_xlfn.STDEV.P(IF(AT20:AT94&lt;AT$14,IF(AT20:AT94&gt;AT$13,AT20:AT94)))</f>
        <v>14.438842622445753</v>
      </c>
      <c r="AU18" s="777" t="e" cm="1">
        <f t="array" aca="1" ref="AU18" ca="1">+AU16+_xlfn.STDEV.P(IF(AU20:AU94&lt;AU$14,IF(AU20:AU94&gt;AU$13,AU20:AU94)))</f>
        <v>#DIV/0!</v>
      </c>
      <c r="AV18" s="777" cm="1">
        <f t="array" aca="1" ref="AV18" ca="1">+AV16+_xlfn.STDEV.P(IF(AV20:AV94&lt;AV$14,IF(AV20:AV94&gt;AV$13,AV20:AV94)))</f>
        <v>12.4375</v>
      </c>
      <c r="AW18" s="777" cm="1">
        <f t="array" aca="1" ref="AW18" ca="1">+AW16+_xlfn.STDEV.P(IF(AW20:AW94&lt;AW$14,IF(AW20:AW94&gt;AW$13,AW20:AW94)))</f>
        <v>9.7666666666666693</v>
      </c>
      <c r="AX18" s="777" t="e" cm="1">
        <f t="array" aca="1" ref="AX18" ca="1">+AX16+_xlfn.STDEV.P(IF(AX20:AX94&lt;AX$14,IF(AX20:AX94&gt;AX$13,AX20:AX94)))</f>
        <v>#DIV/0!</v>
      </c>
      <c r="AY18" s="777" cm="1">
        <f t="array" aca="1" ref="AY18" ca="1">+AY16+_xlfn.STDEV.P(IF(AY20:AY94&lt;AY$14,IF(AY20:AY94&gt;AY$13,AY20:AY94)))</f>
        <v>17.30556260934177</v>
      </c>
      <c r="AZ18" s="777" cm="1">
        <f t="array" aca="1" ref="AZ18" ca="1">+AZ16+_xlfn.STDEV.P(IF(AZ20:AZ94&lt;AZ$14,IF(AZ20:AZ94&gt;AZ$13,AZ20:AZ94)))</f>
        <v>9.1554232893449701</v>
      </c>
      <c r="BA18" s="777" cm="1">
        <f t="array" aca="1" ref="BA18" ca="1">+BA16+_xlfn.STDEV.P(IF(BA20:BA94&lt;BA$14,IF(BA20:BA94&gt;BA$13,BA20:BA94)))</f>
        <v>11.797164539388751</v>
      </c>
      <c r="BC18" s="777" cm="1">
        <f t="array" aca="1" ref="BC18" ca="1">+BC16+_xlfn.STDEV.P(IF(BC20:BC94&lt;BC$14,IF(BC20:BC94&gt;BC$13,BC20:BC94)))</f>
        <v>12.868970421371275</v>
      </c>
      <c r="BD18" s="777" cm="1">
        <f t="array" aca="1" ref="BD18" ca="1">+BD16+_xlfn.STDEV.P(IF(BD20:BD94&lt;BD$14,IF(BD20:BD94&gt;BD$13,BD20:BD94)))</f>
        <v>12.608510674620199</v>
      </c>
      <c r="BE18" s="777" cm="1">
        <f t="array" aca="1" ref="BE18" ca="1">+BE16+_xlfn.STDEV.P(IF(BE20:BE94&lt;BE$14,IF(BE20:BE94&gt;BE$13,BE20:BE94)))</f>
        <v>13.430122508205514</v>
      </c>
      <c r="BF18" s="777" cm="1">
        <f t="array" aca="1" ref="BF18" ca="1">+BF16+_xlfn.STDEV.P(IF(BF20:BF94&lt;BF$14,IF(BF20:BF94&gt;BF$13,BF20:BF94)))</f>
        <v>14.894744451120433</v>
      </c>
      <c r="BG18" s="777" t="e" cm="1">
        <f t="array" aca="1" ref="BG18" ca="1">+BG16+_xlfn.STDEV.P(IF(BG20:BG94&lt;BG$14,IF(BG20:BG94&gt;BG$13,BG20:BG94)))</f>
        <v>#DIV/0!</v>
      </c>
      <c r="BH18" s="777" cm="1">
        <f t="array" aca="1" ref="BH18" ca="1">+BH16+_xlfn.STDEV.P(IF(BH20:BH94&lt;BH$14,IF(BH20:BH94&gt;BH$13,BH20:BH94)))</f>
        <v>11.691560506345436</v>
      </c>
      <c r="BI18" s="777" cm="1">
        <f t="array" aca="1" ref="BI18" ca="1">+BI16+_xlfn.STDEV.P(IF(BI20:BI94&lt;BI$14,IF(BI20:BI94&gt;BI$13,BI20:BI94)))</f>
        <v>11.309896894077651</v>
      </c>
      <c r="BJ18" s="777" cm="1">
        <f t="array" aca="1" ref="BJ18" ca="1">+BJ16+_xlfn.STDEV.P(IF(BJ20:BJ94&lt;BJ$14,IF(BJ20:BJ94&gt;BJ$13,BJ20:BJ94)))</f>
        <v>8.2406508603589526</v>
      </c>
      <c r="BK18" s="777" cm="1">
        <f t="array" aca="1" ref="BK18" ca="1">+BK16+_xlfn.STDEV.P(IF(BK20:BK94&lt;BK$14,IF(BK20:BK94&gt;BK$13,BK20:BK94)))</f>
        <v>8.7746262027438711</v>
      </c>
      <c r="BL18" s="761"/>
      <c r="BO18" s="777" cm="1">
        <f t="array" aca="1" ref="BO18" ca="1">+BO16+_xlfn.STDEV.P(IF(BO20:BO94&lt;BO$14,IF(BO20:BO94&gt;BO$13,BO20:BO94)))</f>
        <v>30206.174606610948</v>
      </c>
      <c r="BP18" s="777" cm="1">
        <f t="array" aca="1" ref="BP18" ca="1">+BP16+_xlfn.STDEV.P(IF(BP20:BP94&lt;BP$14,IF(BP20:BP94&gt;BP$13,BP20:BP94)))</f>
        <v>2729.3923973858818</v>
      </c>
      <c r="BQ18" s="777" cm="1">
        <f t="array" aca="1" ref="BQ18" ca="1">+BQ16+_xlfn.STDEV.P(IF(BQ20:BQ94&lt;BQ$14,IF(BQ20:BQ94&gt;BQ$13,BQ20:BQ94)))</f>
        <v>8135.2964798950434</v>
      </c>
      <c r="BR18" s="777" cm="1">
        <f t="array" aca="1" ref="BR18" ca="1">+BR16+_xlfn.STDEV.P(IF(BR20:BR94&lt;BR$14,IF(BR20:BR94&gt;BR$13,BR20:BR94)))</f>
        <v>3218.7561137484518</v>
      </c>
      <c r="BS18" s="777" cm="1">
        <f t="array" aca="1" ref="BS18" ca="1">+BS16+_xlfn.STDEV.P(IF(BS20:BS94&lt;BS$14,IF(BS20:BS94&gt;BS$13,BS20:BS94)))</f>
        <v>11360.922097856506</v>
      </c>
      <c r="BT18" s="777" cm="1">
        <f t="array" aca="1" ref="BT18" ca="1">+BT16+_xlfn.STDEV.P(IF(BT20:BT94&lt;BT$14,IF(BT20:BT94&gt;BT$13,BT20:BT94)))</f>
        <v>3342.6109076983621</v>
      </c>
      <c r="BU18" s="777" cm="1">
        <f t="array" aca="1" ref="BU18" ca="1">+BU16+_xlfn.STDEV.P(IF(BU20:BU94&lt;BU$14,IF(BU20:BU94&gt;BU$13,BU20:BU94)))</f>
        <v>15105.183920548439</v>
      </c>
      <c r="BV18" s="777" cm="1">
        <f t="array" aca="1" ref="BV18" ca="1">+BV16+_xlfn.STDEV.P(IF(BV20:BV94&lt;BV$14,IF(BV20:BV94&gt;BV$13,BV20:BV94)))</f>
        <v>10592.155712123516</v>
      </c>
      <c r="BW18" s="777" cm="1">
        <f t="array" aca="1" ref="BW18" ca="1">+BW16+_xlfn.STDEV.P(IF(BW20:BW94&lt;BW$14,IF(BW20:BW94&gt;BW$13,BW20:BW94)))</f>
        <v>8889.3512267177193</v>
      </c>
      <c r="BY18" s="777" cm="1">
        <f t="array" aca="1" ref="BY18" ca="1">+BY16+_xlfn.STDEV.P(IF(BY20:BY94&lt;BY$14,IF(BY20:BY94&gt;BY$13,BY20:BY94)))</f>
        <v>22800.162461164713</v>
      </c>
      <c r="BZ18" s="777" cm="1">
        <f t="array" aca="1" ref="BZ18" ca="1">+BZ16+_xlfn.STDEV.P(IF(BZ20:BZ94&lt;BZ$14,IF(BZ20:BZ94&gt;BZ$13,BZ20:BZ94)))</f>
        <v>4943.3603073396644</v>
      </c>
      <c r="CA18" s="777" cm="1">
        <f t="array" aca="1" ref="CA18" ca="1">+CA16+_xlfn.STDEV.P(IF(CA20:CA94&lt;CA$14,IF(CA20:CA94&gt;CA$13,CA20:CA94)))</f>
        <v>6772.7551616592318</v>
      </c>
      <c r="CB18" s="777" cm="1">
        <f t="array" aca="1" ref="CB18" ca="1">+CB16+_xlfn.STDEV.P(IF(CB20:CB94&lt;CB$14,IF(CB20:CB94&gt;CB$13,CB20:CB94)))</f>
        <v>1768.1463345063676</v>
      </c>
      <c r="CC18" s="777" cm="1">
        <f t="array" aca="1" ref="CC18" ca="1">+CC16+_xlfn.STDEV.P(IF(CC20:CC94&lt;CC$14,IF(CC20:CC94&gt;CC$13,CC20:CC94)))</f>
        <v>6344.9206031880103</v>
      </c>
      <c r="CD18" s="777" cm="1">
        <f t="array" aca="1" ref="CD18" ca="1">+CD16+_xlfn.STDEV.P(IF(CD20:CD94&lt;CD$14,IF(CD20:CD94&gt;CD$13,CD20:CD94)))</f>
        <v>3114.2711096643334</v>
      </c>
      <c r="CE18" s="777" cm="1">
        <f t="array" aca="1" ref="CE18" ca="1">+CE16+_xlfn.STDEV.P(IF(CE20:CE94&lt;CE$14,IF(CE20:CE94&gt;CE$13,CE20:CE94)))</f>
        <v>8411.9848243047436</v>
      </c>
      <c r="CF18" s="777" cm="1">
        <f t="array" aca="1" ref="CF18" ca="1">+CF16+_xlfn.STDEV.P(IF(CF20:CF94&lt;CF$14,IF(CF20:CF94&gt;CF$13,CF20:CF94)))</f>
        <v>10132.69292868439</v>
      </c>
      <c r="CG18" s="777" cm="1">
        <f t="array" aca="1" ref="CG18" ca="1">+CG16+_xlfn.STDEV.P(IF(CG20:CG94&lt;CG$14,IF(CG20:CG94&gt;CG$13,CG20:CG94)))</f>
        <v>7235.2098131359289</v>
      </c>
      <c r="CI18" s="999" cm="1">
        <f t="array" aca="1" ref="CI18" ca="1">+CI16+_xlfn.STDEV.P(IF(CI20:CI94&lt;CI$14,IF(CI20:CI94&gt;CI$13,CI20:CI94)))</f>
        <v>8127.1302779259449</v>
      </c>
      <c r="CJ18" s="999" cm="1">
        <f t="array" aca="1" ref="CJ18" ca="1">+CJ16+_xlfn.STDEV.P(IF(CJ20:CJ94&lt;CJ$14,IF(CJ20:CJ94&gt;CJ$13,CJ20:CJ94)))</f>
        <v>605.71825330018623</v>
      </c>
      <c r="CK18" s="999" cm="1">
        <f t="array" aca="1" ref="CK18" ca="1">+CK16+_xlfn.STDEV.P(IF(CK20:CK94&lt;CK$14,IF(CK20:CK94&gt;CK$13,CK20:CK94)))</f>
        <v>938.77201144136666</v>
      </c>
      <c r="CL18" s="999" cm="1">
        <f t="array" aca="1" ref="CL18" ca="1">+CL16+_xlfn.STDEV.P(IF(CL20:CL94&lt;CL$14,IF(CL20:CL94&gt;CL$13,CL20:CL94)))</f>
        <v>325.81123162705376</v>
      </c>
      <c r="CM18" s="999" cm="1">
        <f t="array" aca="1" ref="CM18" ca="1">+CM16+_xlfn.STDEV.P(IF(CM20:CM94&lt;CM$14,IF(CM20:CM94&gt;CM$13,CM20:CM94)))</f>
        <v>1286.8791205411042</v>
      </c>
      <c r="CN18" s="999" cm="1">
        <f t="array" aca="1" ref="CN18" ca="1">+CN16+_xlfn.STDEV.P(IF(CN20:CN94&lt;CN$14,IF(CN20:CN94&gt;CN$13,CN20:CN94)))</f>
        <v>704.08547534828404</v>
      </c>
      <c r="CO18" s="999" cm="1">
        <f t="array" aca="1" ref="CO18" ca="1">+CO16+_xlfn.STDEV.P(IF(CO20:CO94&lt;CO$14,IF(CO20:CO94&gt;CO$13,CO20:CO94)))</f>
        <v>2211.6409346017736</v>
      </c>
      <c r="CP18" s="999" cm="1">
        <f t="array" aca="1" ref="CP18" ca="1">+CP16+_xlfn.STDEV.P(IF(CP20:CP94&lt;CP$14,IF(CP20:CP94&gt;CP$13,CP20:CP94)))</f>
        <v>2080.0944546135788</v>
      </c>
      <c r="CQ18" s="999" cm="1">
        <f t="array" aca="1" ref="CQ18" ca="1">+CQ16+_xlfn.STDEV.P(IF(CQ20:CQ94&lt;CQ$14,IF(CQ20:CQ94&gt;CQ$13,CQ20:CQ94)))</f>
        <v>1989.2198625132405</v>
      </c>
      <c r="CR18" s="761"/>
      <c r="CS18" s="999" cm="1">
        <f t="array" aca="1" ref="CS18" ca="1">+CS16+_xlfn.STDEV.P(IF(CS20:CS94&lt;CS$14,IF(CS20:CS94&gt;CS$13,CS20:CS94)))</f>
        <v>8073.3948597010731</v>
      </c>
      <c r="CT18" s="999" cm="1">
        <f t="array" aca="1" ref="CT18" ca="1">+CT16+_xlfn.STDEV.P(IF(CT20:CT94&lt;CT$14,IF(CT20:CT94&gt;CT$13,CT20:CT94)))</f>
        <v>1765.5160170529914</v>
      </c>
      <c r="CU18" s="999" cm="1">
        <f t="array" aca="1" ref="CU18" ca="1">+CU16+_xlfn.STDEV.P(IF(CU20:CU94&lt;CU$14,IF(CU20:CU94&gt;CU$13,CU20:CU94)))</f>
        <v>2312.9428270786007</v>
      </c>
      <c r="CV18" s="999" cm="1">
        <f t="array" aca="1" ref="CV18" ca="1">+CV16+_xlfn.STDEV.P(IF(CV20:CV94&lt;CV$14,IF(CV20:CV94&gt;CV$13,CV20:CV94)))</f>
        <v>599.98375904165573</v>
      </c>
      <c r="CW18" s="999" cm="1">
        <f t="array" aca="1" ref="CW18" ca="1">+CW16+_xlfn.STDEV.P(IF(CW20:CW94&lt;CW$14,IF(CW20:CW94&gt;CW$13,CW20:CW94)))</f>
        <v>1165.8823756590248</v>
      </c>
      <c r="CX18" s="999" cm="1">
        <f t="array" aca="1" ref="CX18" ca="1">+CX16+_xlfn.STDEV.P(IF(CX20:CX94&lt;CX$14,IF(CX20:CX94&gt;CX$13,CX20:CX94)))</f>
        <v>2868.3145750388553</v>
      </c>
      <c r="CY18" s="999" cm="1">
        <f t="array" aca="1" ref="CY18" ca="1">+CY16+_xlfn.STDEV.P(IF(CY20:CY94&lt;CY$14,IF(CY20:CY94&gt;CY$13,CY20:CY94)))</f>
        <v>5454.7375612835267</v>
      </c>
      <c r="CZ18" s="999" cm="1">
        <f t="array" aca="1" ref="CZ18" ca="1">+CZ16+_xlfn.STDEV.P(IF(CZ20:CZ94&lt;CZ$14,IF(CZ20:CZ94&gt;CZ$13,CZ20:CZ94)))</f>
        <v>4076.8981151158478</v>
      </c>
      <c r="DA18" s="999" cm="1">
        <f t="array" aca="1" ref="DA18" ca="1">+DA16+_xlfn.STDEV.P(IF(DA20:DA94&lt;DA$14,IF(DA20:DA94&gt;DA$13,DA20:DA94)))</f>
        <v>3592.7058386639351</v>
      </c>
      <c r="DB18" s="999" cm="1">
        <f t="array" aca="1" ref="DB18" ca="1">+DB16+_xlfn.STDEV.P(IF(DB20:DB94&lt;DB$14,IF(DB20:DB94&gt;DB$13,DB20:DB94)))</f>
        <v>20340.487517043151</v>
      </c>
      <c r="DC18" s="999" t="e" cm="1">
        <f t="array" aca="1" ref="DC18" ca="1">+DC16+_xlfn.STDEV.P(IF(DC20:DC94&lt;DC$14,IF(DC20:DC94&gt;DC$13,DC20:DC94)))</f>
        <v>#DIV/0!</v>
      </c>
      <c r="DD18" s="999" cm="1">
        <f t="array" aca="1" ref="DD18" ca="1">+DD16+_xlfn.STDEV.P(IF(DD20:DD94&lt;DD$14,IF(DD20:DD94&gt;DD$13,DD20:DD94)))</f>
        <v>8532.3969622201475</v>
      </c>
      <c r="DE18" s="999" t="e" cm="1">
        <f t="array" aca="1" ref="DE18" ca="1">+DE16+_xlfn.STDEV.P(IF(DE20:DE94&lt;DE$14,IF(DE20:DE94&gt;DE$13,DE20:DE94)))</f>
        <v>#DIV/0!</v>
      </c>
      <c r="DF18" s="999" cm="1">
        <f t="array" aca="1" ref="DF18" ca="1">+DF16+_xlfn.STDEV.P(IF(DF20:DF94&lt;DF$14,IF(DF20:DF94&gt;DF$13,DF20:DF94)))</f>
        <v>599.98375904165573</v>
      </c>
      <c r="DG18" s="999" cm="1">
        <f t="array" aca="1" ref="DG18" ca="1">+DG16+_xlfn.STDEV.P(IF(DG20:DG94&lt;DG$14,IF(DG20:DG94&gt;DG$13,DG20:DG94)))</f>
        <v>4300.6790163700043</v>
      </c>
      <c r="DH18" s="999" cm="1">
        <f t="array" aca="1" ref="DH18" ca="1">+DH16+_xlfn.STDEV.P(IF(DH20:DH94&lt;DH$14,IF(DH20:DH94&gt;DH$13,DH20:DH94)))</f>
        <v>1974.1664902405846</v>
      </c>
    </row>
    <row r="19" spans="1:112" ht="5.2" customHeight="1">
      <c r="A19" s="762"/>
      <c r="B19" s="762"/>
      <c r="C19" s="762"/>
      <c r="D19" s="762"/>
      <c r="E19" s="762"/>
      <c r="F19" s="762"/>
      <c r="G19" s="762"/>
      <c r="H19" s="762"/>
      <c r="I19" s="762"/>
      <c r="J19" s="762"/>
      <c r="K19" s="762"/>
      <c r="L19" s="762" t="s">
        <v>1457</v>
      </c>
      <c r="M19" s="762"/>
      <c r="O19" s="998"/>
      <c r="P19" s="998"/>
      <c r="Q19" s="998"/>
      <c r="R19" s="998"/>
      <c r="S19" s="998"/>
      <c r="T19" s="998"/>
      <c r="U19" s="998"/>
      <c r="V19" s="998" t="s">
        <v>1457</v>
      </c>
      <c r="W19" s="998"/>
      <c r="X19" s="998"/>
      <c r="Y19" s="998"/>
      <c r="Z19" s="998"/>
      <c r="AA19" s="998"/>
      <c r="AB19" s="998"/>
      <c r="AC19" s="998"/>
      <c r="AD19" s="998"/>
      <c r="AE19" s="998"/>
      <c r="AF19" s="998" t="s">
        <v>1457</v>
      </c>
      <c r="AG19" s="998"/>
      <c r="AH19" s="998"/>
      <c r="AI19" s="998"/>
      <c r="AJ19" s="998"/>
      <c r="AK19" s="998"/>
      <c r="AL19" s="998"/>
      <c r="AM19" s="998"/>
      <c r="AN19" s="998"/>
      <c r="AO19" s="998"/>
      <c r="AP19" s="998" t="s">
        <v>1457</v>
      </c>
      <c r="AQ19" s="998"/>
      <c r="AS19" s="762"/>
      <c r="AT19" s="762"/>
      <c r="AU19" s="762"/>
      <c r="AV19" s="762"/>
      <c r="AW19" s="762"/>
      <c r="AX19" s="762"/>
      <c r="AY19" s="762"/>
      <c r="AZ19" s="762"/>
      <c r="BA19" s="762"/>
      <c r="BC19" s="762"/>
      <c r="BD19" s="762"/>
      <c r="BE19" s="762"/>
      <c r="BF19" s="762"/>
      <c r="BG19" s="762"/>
      <c r="BH19" s="762"/>
      <c r="BI19" s="762"/>
      <c r="BJ19" s="762" t="s">
        <v>1457</v>
      </c>
      <c r="BK19" s="762"/>
      <c r="BO19" s="762"/>
      <c r="BP19" s="762"/>
      <c r="BQ19" s="762"/>
      <c r="BR19" s="762"/>
      <c r="BS19" s="762"/>
      <c r="BT19" s="762"/>
      <c r="BU19" s="762"/>
      <c r="BV19" s="762"/>
      <c r="BW19" s="762"/>
      <c r="BY19" s="762"/>
      <c r="BZ19" s="762"/>
      <c r="CA19" s="762"/>
      <c r="CB19" s="762"/>
      <c r="CC19" s="762"/>
      <c r="CD19" s="762"/>
      <c r="CE19" s="762"/>
      <c r="CF19" s="762"/>
      <c r="CG19" s="762"/>
      <c r="CI19" s="998"/>
      <c r="CJ19" s="998"/>
      <c r="CK19" s="998"/>
      <c r="CL19" s="998"/>
      <c r="CM19" s="998"/>
      <c r="CN19" s="998"/>
      <c r="CO19" s="998"/>
      <c r="CP19" s="998"/>
      <c r="CQ19" s="998"/>
      <c r="CS19" s="998"/>
      <c r="CT19" s="998"/>
      <c r="CU19" s="998"/>
      <c r="CV19" s="998"/>
      <c r="CW19" s="998"/>
      <c r="CX19" s="998"/>
      <c r="CY19" s="998"/>
      <c r="CZ19" s="998"/>
      <c r="DA19" s="998"/>
      <c r="DB19" s="998"/>
      <c r="DC19" s="998"/>
      <c r="DD19" s="998"/>
      <c r="DE19" s="998"/>
      <c r="DF19" s="998"/>
      <c r="DG19" s="998"/>
      <c r="DH19" s="998"/>
    </row>
    <row r="20" spans="1:112" ht="11.25" customHeight="1">
      <c r="C20" s="969">
        <v>36981</v>
      </c>
      <c r="D20" s="974">
        <f t="shared" ref="D20:D83" si="43">+C20+45</f>
        <v>37026</v>
      </c>
      <c r="E20" s="765" t="str" cm="1">
        <f t="array" aca="1" ref="E20" ca="1">IF(NPSwitch=1,_xll.TR(E$7,E$6,"Sdate=#1 Period=#2 NULL=BLANK",,$D20,$E$4),E20)</f>
        <v/>
      </c>
      <c r="F20" s="765" t="str" cm="1">
        <f t="array" aca="1" ref="F20" ca="1">IF(NPSwitch=1,_xll.TR(F$7,F$6,"Sdate=#1 Period=#2 NULL=BLANK",,$D20,$E$4),F20)</f>
        <v/>
      </c>
      <c r="G20" s="765" t="str" cm="1">
        <f t="array" aca="1" ref="G20" ca="1">IF(NPSwitch=1,_xll.TR(G$7,G$6,"Sdate=#1 Period=#2 NULL=BLANK",,$D20,$E$4),G20)</f>
        <v/>
      </c>
      <c r="H20" s="765" t="str" cm="1">
        <f t="array" aca="1" ref="H20" ca="1">IF(NPSwitch=1,_xll.TR(H$7,H$6,"Sdate=#1 Period=#2 NULL=BLANK",,$D20,$E$4),H20)</f>
        <v/>
      </c>
      <c r="I20" s="765" t="str" cm="1">
        <f t="array" aca="1" ref="I20" ca="1">IF(NPSwitch=1,_xll.TR(I$7,I$6,"Sdate=#1 Period=#2 NULL=BLANK",,$D20,$E$4),I20)</f>
        <v/>
      </c>
      <c r="J20" s="765" t="str" cm="1">
        <f t="array" aca="1" ref="J20" ca="1">IF(NPSwitch=1,_xll.TR(J$7,J$6,"Sdate=#1 Period=#2 NULL=BLANK",,$D20,$E$4),J20)</f>
        <v/>
      </c>
      <c r="K20" s="765" t="str" cm="1">
        <f t="array" aca="1" ref="K20" ca="1">IF(NPSwitch=1,_xll.TR(K$7,K$6,"Sdate=#1 Period=#2 NULL=BLANK",,$D20,$E$4),K20)</f>
        <v/>
      </c>
      <c r="L20" s="765" cm="1">
        <f t="array" aca="1" ref="L20" ca="1">IF(NPSwitch=1,_xll.TR(L$7,L$6,"Sdate=#1 Period=#2 NULL=BLANK",,$D20,$E$4),L20)</f>
        <v>4.6401501461467802</v>
      </c>
      <c r="M20" s="765" t="str" cm="1">
        <f t="array" aca="1" ref="M20" ca="1">IF(NPSwitch=1,_xll.TR(M$7,M$6,"Sdate=#1 Period=#2 NULL=BLANK",,$D20,$E$4),M20)</f>
        <v/>
      </c>
      <c r="O20" s="1000" cm="1">
        <f t="array" aca="1" ref="O20" ca="1">IF(NPSwitch=1,_xll.TR(O$7,O$6,"Sdate=#1 Period=#2 Scale=6 NULL=BLANK",,$D20,$O$4),O20)</f>
        <v>46777.262375550003</v>
      </c>
      <c r="P20" s="1000" cm="1">
        <f t="array" aca="1" ref="P20" ca="1">IF(NPSwitch=1,_xll.TR(P$7,P$6,"Sdate=#1 Period=#2 Scale=6 NULL=BLANK",,$D20,$O$4),P20)</f>
        <v>1022.78594376</v>
      </c>
      <c r="Q20" s="1000" cm="1">
        <f t="array" aca="1" ref="Q20" ca="1">IF(NPSwitch=1,_xll.TR(Q$7,Q$6,"Sdate=#1 Period=#2 Scale=6 NULL=BLANK",,$D20,$O$4),Q20)</f>
        <v>2975.7233937599999</v>
      </c>
      <c r="R20" s="1000" cm="1">
        <f t="array" aca="1" ref="R20" ca="1">IF(NPSwitch=1,_xll.TR(R$7,R$6,"Sdate=#1 Period=#2 Scale=6 NULL=BLANK",,$D20,$O$4),R20)</f>
        <v>831.01550444999896</v>
      </c>
      <c r="S20" s="1000" t="str" cm="1">
        <f t="array" aca="1" ref="S20" ca="1">IF(NPSwitch=1,_xll.TR(S$7,S$6,"Sdate=#1 Period=#2 Scale=6 NULL=BLANK",,$D20,$O$4),S20)</f>
        <v/>
      </c>
      <c r="T20" s="1000" cm="1">
        <f t="array" aca="1" ref="T20" ca="1">IF(NPSwitch=1,_xll.TR(T$7,T$6,"Sdate=#1 Period=#2 Scale=6 NULL=BLANK",,$D20,$O$4),T20)</f>
        <v>2332.1802509499998</v>
      </c>
      <c r="U20" s="1000" cm="1">
        <f t="array" aca="1" ref="U20" ca="1">IF(NPSwitch=1,_xll.TR(U$7,U$6,"Sdate=#1 Period=#2 Scale=6 NULL=BLANK",,$D20,$O$4),U20)</f>
        <v>9561.6077788000002</v>
      </c>
      <c r="V20" s="1000" cm="1">
        <f t="array" aca="1" ref="V20" ca="1">IF(NPSwitch=1,_xll.TR(V$7,V$6,"Sdate=#1 Period=#2 Scale=6 NULL=BLANK",,$D20,$O$4),V20)</f>
        <v>4586.7054800293699</v>
      </c>
      <c r="W20" s="1000" cm="1">
        <f t="array" aca="1" ref="W20" ca="1">IF(NPSwitch=1,_xll.TR(W$7,W$6,"Sdate=#1 Period=#2 Scale=6 NULL=BLANK",,$D20,$O$4),W20)</f>
        <v>4026.7849230000002</v>
      </c>
      <c r="X20" s="998"/>
      <c r="Y20" s="1000" cm="1">
        <f t="array" aca="1" ref="Y20" ca="1">IF(NPSwitch=1,_xll.TR(Y$7,Y$6,"Sdate=#1 Period=#2 Scale=6 NULL=BLANK",,$D20,$O$4),Y20)</f>
        <v>409</v>
      </c>
      <c r="Z20" s="1000" cm="1">
        <f t="array" aca="1" ref="Z20" ca="1">IF(NPSwitch=1,_xll.TR(Z$7,Z$6,"Sdate=#1 Period=#2 Scale=6 NULL=BLANK",,$D20,$O$4),Z20)</f>
        <v>17.62425</v>
      </c>
      <c r="AA20" s="1000" cm="1">
        <f t="array" aca="1" ref="AA20" ca="1">IF(NPSwitch=1,_xll.TR(AA$7,AA$6,"Sdate=#1 Period=#2 Scale=6 NULL=BLANK",,$D20,$O$4),AA20)</f>
        <v>70.25</v>
      </c>
      <c r="AB20" s="1000" cm="1">
        <f t="array" aca="1" ref="AB20" ca="1">IF(NPSwitch=1,_xll.TR(AB$7,AB$6,"Sdate=#1 Period=#2 Scale=6 NULL=BLANK",,$D20,$O$4),AB20)</f>
        <v>52.225000000000001</v>
      </c>
      <c r="AC20" s="1000" t="str" cm="1">
        <f t="array" aca="1" ref="AC20" ca="1">IF(NPSwitch=1,_xll.TR(AC$7,AC$6,"Sdate=#1 Period=#2 Scale=6 NULL=BLANK",,$D20,$O$4),AC20)</f>
        <v/>
      </c>
      <c r="AD20" s="1000" cm="1">
        <f t="array" aca="1" ref="AD20" ca="1">IF(NPSwitch=1,_xll.TR(AD$7,AD$6,"Sdate=#1 Period=#2 Scale=6 NULL=BLANK",,$D20,$O$4),AD20)</f>
        <v>38.049999999999997</v>
      </c>
      <c r="AE20" s="1000" cm="1">
        <f t="array" aca="1" ref="AE20" ca="1">IF(NPSwitch=1,_xll.TR(AE$7,AE$6,"Sdate=#1 Period=#2 Scale=6 NULL=BLANK",,$D20,$O$4),AE20)</f>
        <v>117</v>
      </c>
      <c r="AF20" s="1000" t="str" cm="1">
        <f t="array" aca="1" ref="AF20" ca="1">IF(NPSwitch=1,_xll.TR(AF$7,AF$6,"Sdate=#1 Period=#2 Scale=6 NULL=BLANK",,$D20,$O$4),AF20)</f>
        <v/>
      </c>
      <c r="AG20" s="1000" cm="1">
        <f t="array" aca="1" ref="AG20" ca="1">IF(NPSwitch=1,_xll.TR(AG$7,AG$6,"Sdate=#1 Period=#2 Scale=6 NULL=BLANK",,$D20,$O$4),AG20)</f>
        <v>97.25</v>
      </c>
      <c r="AH20" s="998"/>
      <c r="AI20" s="1000" cm="1">
        <f t="array" aca="1" ref="AI20" ca="1">IF(NPSwitch=1,_xll.TR(AI$7,AI$6,"Sdate=#1 Period=#2 Scale=6 NULL=BLANK",,$D20,$O$4),AI20)</f>
        <v>49805.262375550003</v>
      </c>
      <c r="AJ20" s="1000" cm="1">
        <f t="array" aca="1" ref="AJ20" ca="1">IF(NPSwitch=1,_xll.TR(AJ$7,AJ$6,"Sdate=#1 Period=#2 Scale=6 NULL=BLANK",,$D20,$O$4),AJ20)</f>
        <v>1095.8949437599999</v>
      </c>
      <c r="AK20" s="1000" cm="1">
        <f t="array" aca="1" ref="AK20" ca="1">IF(NPSwitch=1,_xll.TR(AK$7,AK$6,"Sdate=#1 Period=#2 Scale=6 NULL=BLANK",,$D20,$O$4),AK20)</f>
        <v>5053.7233937600004</v>
      </c>
      <c r="AL20" s="1000" cm="1">
        <f t="array" aca="1" ref="AL20" ca="1">IF(NPSwitch=1,_xll.TR(AL$7,AL$6,"Sdate=#1 Period=#2 Scale=6 NULL=BLANK",,$D20,$O$4),AL20)</f>
        <v>1432.21550445</v>
      </c>
      <c r="AM20" s="1000" t="str" cm="1">
        <f t="array" aca="1" ref="AM20" ca="1">IF(NPSwitch=1,_xll.TR(AM$7,AM$6,"Sdate=#1 Period=#2 Scale=6 NULL=BLANK",,$D20,$O$4),AM20)</f>
        <v/>
      </c>
      <c r="AN20" s="1000" cm="1">
        <f t="array" aca="1" ref="AN20" ca="1">IF(NPSwitch=1,_xll.TR(AN$7,AN$6,"Sdate=#1 Period=#2 Scale=6 NULL=BLANK",,$D20,$O$4),AN20)</f>
        <v>3700.0802509499999</v>
      </c>
      <c r="AO20" s="1000" cm="1">
        <f t="array" aca="1" ref="AO20" ca="1">IF(NPSwitch=1,_xll.TR(AO$7,AO$6,"Sdate=#1 Period=#2 Scale=6 NULL=BLANK",,$D20,$O$4),AO20)</f>
        <v>12599.6077788</v>
      </c>
      <c r="AP20" s="1000" cm="1">
        <f t="array" aca="1" ref="AP20" ca="1">IF(NPSwitch=1,_xll.TR(AP$7,AP$6,"Sdate=#1 Period=#2 Scale=6 NULL=BLANK",,$D20,$O$4),AP20)</f>
        <v>6056.7054800289998</v>
      </c>
      <c r="AQ20" s="1000" cm="1">
        <f t="array" aca="1" ref="AQ20" ca="1">IF(NPSwitch=1,_xll.TR(AQ$7,AQ$6,"Sdate=#1 Period=#2 Scale=6 NULL=BLANK",,$D20,$O$4),AQ20)</f>
        <v>6170.7849230000002</v>
      </c>
      <c r="AS20" s="765" t="str" cm="1">
        <f t="array" aca="1" ref="AS20" ca="1">IF(NPSwitch=1,_xll.TR(AS$7,AS$6,"Sdate=#1 Period=#2 NULL=BLANK Scale=6",,$D20,$AS$4),AS20)</f>
        <v/>
      </c>
      <c r="AT20" s="765" t="str" cm="1">
        <f t="array" aca="1" ref="AT20" ca="1">IF(NPSwitch=1,_xll.TR(AT$7,AT$6,"Sdate=#1 Period=#2 NULL=BLANK Scale=6",,$D20,$AS$4),AT20)</f>
        <v/>
      </c>
      <c r="AU20" s="765" t="str" cm="1">
        <f t="array" aca="1" ref="AU20" ca="1">IF(NPSwitch=1,_xll.TR(AU$7,AU$6,"Sdate=#1 Period=#2 NULL=BLANK Scale=6",,$D20,$AS$4),AU20)</f>
        <v/>
      </c>
      <c r="AV20" s="765" t="str" cm="1">
        <f t="array" aca="1" ref="AV20" ca="1">IF(NPSwitch=1,_xll.TR(AV$7,AV$6,"Sdate=#1 Period=#2 NULL=BLANK Scale=6",,$D20,$AS$4),AV20)</f>
        <v/>
      </c>
      <c r="AW20" s="765" t="str" cm="1">
        <f t="array" aca="1" ref="AW20" ca="1">IF(NPSwitch=1,_xll.TR(AW$7,AW$6,"Sdate=#1 Period=#2 NULL=BLANK Scale=6",,$D20,$AS$4),AW20)</f>
        <v/>
      </c>
      <c r="AX20" s="765" t="str" cm="1">
        <f t="array" aca="1" ref="AX20" ca="1">IF(NPSwitch=1,_xll.TR(AX$7,AX$6,"Sdate=#1 Period=#2 NULL=BLANK Scale=6",,$D20,$AS$4),AX20)</f>
        <v/>
      </c>
      <c r="AY20" s="765" t="str" cm="1">
        <f t="array" aca="1" ref="AY20" ca="1">IF(NPSwitch=1,_xll.TR(AY$7,AY$6,"Sdate=#1 Period=#2 NULL=BLANK Scale=6",,$D20,$AS$4),AY20)</f>
        <v/>
      </c>
      <c r="AZ20" s="765" t="str" cm="1">
        <f t="array" aca="1" ref="AZ20" ca="1">IF(NPSwitch=1,_xll.TR(AZ$7,AZ$6,"Sdate=#1 Period=#2 NULL=BLANK Scale=6",,$D20,$AS$4),AZ20)</f>
        <v/>
      </c>
      <c r="BA20" s="765" t="str" cm="1">
        <f t="array" aca="1" ref="BA20" ca="1">IF(NPSwitch=1,_xll.TR(BA$7,BA$6,"Sdate=#1 Period=#2 NULL=BLANK Scale=6",,$D20,$AS$4),BA20)</f>
        <v/>
      </c>
      <c r="BC20" s="765" cm="1">
        <f t="array" aca="1" ref="BC20" ca="1">IF(NPSwitch=1,_xll.TR(BC$7,BC$6,"Sdate=#1 Period=#2 NULL=BLANK",,$D20,$BC$4),BC20)</f>
        <v>12.377053274</v>
      </c>
      <c r="BD20" s="765" cm="1">
        <f t="array" aca="1" ref="BD20" ca="1">IF(NPSwitch=1,_xll.TR(BD$7,BD$6,"Sdate=#1 Period=#2 NULL=BLANK",,$D20,$BC$4),BD20)</f>
        <v>5.3489861999999997</v>
      </c>
      <c r="BE20" s="765" cm="1">
        <f t="array" aca="1" ref="BE20" ca="1">IF(NPSwitch=1,_xll.TR(BE$7,BE$6,"Sdate=#1 Period=#2 NULL=BLANK",,$D20,$BC$4),BE20)</f>
        <v>5.3763014829999998</v>
      </c>
      <c r="BF20" s="765" cm="1">
        <f t="array" aca="1" ref="BF20" ca="1">IF(NPSwitch=1,_xll.TR(BF$7,BF$6,"Sdate=#1 Period=#2 NULL=BLANK",,$D20,$BC$4),BF20)</f>
        <v>13.460672034</v>
      </c>
      <c r="BG20" s="765" t="str" cm="1">
        <f t="array" aca="1" ref="BG20" ca="1">IF(NPSwitch=1,_xll.TR(BG$7,BG$6,"Sdate=#1 Period=#2 NULL=BLANK",,$D20,$BC$4),BG20)</f>
        <v/>
      </c>
      <c r="BH20" s="765" cm="1">
        <f t="array" aca="1" ref="BH20" ca="1">IF(NPSwitch=1,_xll.TR(BH$7,BH$6,"Sdate=#1 Period=#2 NULL=BLANK",,$D20,$BC$4),BH20)</f>
        <v>10.437461921000001</v>
      </c>
      <c r="BI20" s="765" cm="1">
        <f t="array" aca="1" ref="BI20" ca="1">IF(NPSwitch=1,_xll.TR(BI$7,BI$6,"Sdate=#1 Period=#2 NULL=BLANK",,$D20,$BC$4),BI20)</f>
        <v>7.8307071339999998</v>
      </c>
      <c r="BJ20" s="765" cm="1">
        <f t="array" aca="1" ref="BJ20" ca="1">IF(NPSwitch=1,_xll.TR(BJ$7,BJ$6,"Sdate=#1 Period=#2 NULL=BLANK",,$D20,$BC$4),BJ20)</f>
        <v>5.0388564730000001</v>
      </c>
      <c r="BK20" s="765" cm="1">
        <f t="array" aca="1" ref="BK20" ca="1">IF(NPSwitch=1,_xll.TR(BK$7,BK$6,"Sdate=#1 Period=#2 NULL=BLANK",,$D20,$BC$4),BK20)</f>
        <v>6.3420194480000003</v>
      </c>
      <c r="BO20" s="765" cm="1">
        <f t="array" aca="1" ref="BO20" ca="1">IF(NPSwitch=1,_xll.TR(BO$7,BO$6,"Sdate=#1 Period=#2 NULL=BLANK Scale=6",,$D20,$AS$4),BO20)</f>
        <v>16813</v>
      </c>
      <c r="BP20" s="765" cm="1">
        <f t="array" aca="1" ref="BP20" ca="1">IF(NPSwitch=1,_xll.TR(BP$7,BP$6,"Sdate=#1 Period=#2 NULL=BLANK Scale=6",,$D20,$AS$4),BP20)</f>
        <v>906.47900000000004</v>
      </c>
      <c r="BQ20" s="765" cm="1">
        <f t="array" aca="1" ref="BQ20" ca="1">IF(NPSwitch=1,_xll.TR(BQ$7,BQ$6,"Sdate=#1 Period=#2 NULL=BLANK Scale=6",,$D20,$AS$4),BQ20)</f>
        <v>7779</v>
      </c>
      <c r="BR20" s="765" cm="1">
        <f t="array" aca="1" ref="BR20" ca="1">IF(NPSwitch=1,_xll.TR(BR$7,BR$6,"Sdate=#1 Period=#2 NULL=BLANK Scale=6",,$D20,$AS$4),BR20)</f>
        <v>2252</v>
      </c>
      <c r="BS20" s="765" t="str" cm="1">
        <f t="array" aca="1" ref="BS20" ca="1">IF(NPSwitch=1,_xll.TR(BS$7,BS$6,"Sdate=#1 Period=#2 NULL=BLANK Scale=6",,$D20,$AS$4),BS20)</f>
        <v/>
      </c>
      <c r="BT20" s="765" cm="1">
        <f t="array" aca="1" ref="BT20" ca="1">IF(NPSwitch=1,_xll.TR(BT$7,BT$6,"Sdate=#1 Period=#2 NULL=BLANK Scale=6",,$D20,$AS$4),BT20)</f>
        <v>3369.1</v>
      </c>
      <c r="BU20" s="765" cm="1">
        <f t="array" aca="1" ref="BU20" ca="1">IF(NPSwitch=1,_xll.TR(BU$7,BU$6,"Sdate=#1 Period=#2 NULL=BLANK Scale=6",,$D20,$AS$4),BU20)</f>
        <v>8576</v>
      </c>
      <c r="BV20" s="765" t="str" cm="1">
        <f t="array" aca="1" ref="BV20" ca="1">IF(NPSwitch=1,_xll.TR(BV$7,BV$6,"Sdate=#1 Period=#2 NULL=BLANK Scale=6",,$D20,$AS$4),BV20)</f>
        <v/>
      </c>
      <c r="BW20" s="765" cm="1">
        <f t="array" aca="1" ref="BW20" ca="1">IF(NPSwitch=1,_xll.TR(BW$7,BW$6,"Sdate=#1 Period=#2 NULL=BLANK Scale=6",,$D20,$AS$4),BW20)</f>
        <v>5419</v>
      </c>
      <c r="BY20" s="765" cm="1">
        <f t="array" aca="1" ref="BY20" ca="1">IF(NPSwitch=1,_xll.TR(BY$7,BY$6,"Sdate=#1 Period=#2 NULL=BLANK Scale=6",,$D20,$AS$4),BY20)</f>
        <v>9449</v>
      </c>
      <c r="BZ20" s="765" cm="1">
        <f t="array" aca="1" ref="BZ20" ca="1">IF(NPSwitch=1,_xll.TR(BZ$7,BZ$6,"Sdate=#1 Period=#2 NULL=BLANK Scale=6",,$D20,$AS$4),BZ20)</f>
        <v>658.69050000000004</v>
      </c>
      <c r="CA20" s="765" cm="1">
        <f t="array" aca="1" ref="CA20" ca="1">IF(NPSwitch=1,_xll.TR(CA$7,CA$6,"Sdate=#1 Period=#2 NULL=BLANK Scale=6",,$D20,$AS$4),CA20)</f>
        <v>4207.25</v>
      </c>
      <c r="CB20" s="765" cm="1">
        <f t="array" aca="1" ref="CB20" ca="1">IF(NPSwitch=1,_xll.TR(CB$7,CB$6,"Sdate=#1 Period=#2 NULL=BLANK Scale=6",,$D20,$AS$4),CB20)</f>
        <v>1336.075</v>
      </c>
      <c r="CC20" s="765" t="str" cm="1">
        <f t="array" aca="1" ref="CC20" ca="1">IF(NPSwitch=1,_xll.TR(CC$7,CC$6,"Sdate=#1 Period=#2 NULL=BLANK Scale=6",,$D20,$AS$4),CC20)</f>
        <v/>
      </c>
      <c r="CD20" s="765" cm="1">
        <f t="array" aca="1" ref="CD20" ca="1">IF(NPSwitch=1,_xll.TR(CD$7,CD$6,"Sdate=#1 Period=#2 NULL=BLANK Scale=6",,$D20,$AS$4),CD20)</f>
        <v>2065.375</v>
      </c>
      <c r="CE20" s="765" cm="1">
        <f t="array" aca="1" ref="CE20" ca="1">IF(NPSwitch=1,_xll.TR(CE$7,CE$6,"Sdate=#1 Period=#2 NULL=BLANK Scale=6",,$D20,$AS$4),CE20)</f>
        <v>6154</v>
      </c>
      <c r="CF20" s="765" t="str" cm="1">
        <f t="array" aca="1" ref="CF20" ca="1">IF(NPSwitch=1,_xll.TR(CF$7,CF$6,"Sdate=#1 Period=#2 NULL=BLANK Scale=6",,$D20,$AS$4),CF20)</f>
        <v/>
      </c>
      <c r="CG20" s="765" cm="1">
        <f t="array" aca="1" ref="CG20" ca="1">IF(NPSwitch=1,_xll.TR(CG$7,CG$6,"Sdate=#1 Period=#2 NULL=BLANK Scale=6",,$D20,$AS$4),CG20)</f>
        <v>3866.25</v>
      </c>
      <c r="CI20" s="1000" cm="1">
        <f t="array" aca="1" ref="CI20" ca="1">IF(NPSwitch=1,_xll.TR(CI$7,CI$6,"Sdate=#1 Period=#2 NULL=BLANK Scale=6",,$D20,$AS$4),CI20)</f>
        <v>4024</v>
      </c>
      <c r="CJ20" s="1000" cm="1">
        <f t="array" aca="1" ref="CJ20" ca="1">IF(NPSwitch=1,_xll.TR(CJ$7,CJ$6,"Sdate=#1 Period=#2 NULL=BLANK Scale=6",,$D20,$AS$4),CJ20)</f>
        <v>204.87899999999999</v>
      </c>
      <c r="CK20" s="1000" cm="1">
        <f t="array" aca="1" ref="CK20" ca="1">IF(NPSwitch=1,_xll.TR(CK$7,CK$6,"Sdate=#1 Period=#2 NULL=BLANK Scale=6",,$D20,$AS$4),CK20)</f>
        <v>940</v>
      </c>
      <c r="CL20" s="1000" cm="1">
        <f t="array" aca="1" ref="CL20" ca="1">IF(NPSwitch=1,_xll.TR(CL$7,CL$6,"Sdate=#1 Period=#2 NULL=BLANK Scale=6",,$D20,$AS$4),CL20)</f>
        <v>106.4</v>
      </c>
      <c r="CM20" s="1000" t="str" cm="1">
        <f t="array" aca="1" ref="CM20" ca="1">IF(NPSwitch=1,_xll.TR(CM$7,CM$6,"Sdate=#1 Period=#2 NULL=BLANK Scale=6",,$D20,$AS$4),CM20)</f>
        <v/>
      </c>
      <c r="CN20" s="1000" t="str" cm="1">
        <f t="array" aca="1" ref="CN20" ca="1">IF(NPSwitch=1,_xll.TR(CN$7,CN$6,"Sdate=#1 Period=#2 NULL=BLANK Scale=6",,$D20,$AS$4),CN20)</f>
        <v/>
      </c>
      <c r="CO20" s="1000" cm="1">
        <f t="array" aca="1" ref="CO20" ca="1">IF(NPSwitch=1,_xll.TR(CO$7,CO$6,"Sdate=#1 Period=#2 NULL=BLANK Scale=6",,$D20,$AS$4),CO20)</f>
        <v>1609</v>
      </c>
      <c r="CP20" s="1000" t="str" cm="1">
        <f t="array" aca="1" ref="CP20" ca="1">IF(NPSwitch=1,_xll.TR(CP$7,CP$6,"Sdate=#1 Period=#2 NULL=BLANK Scale=6",,$D20,$AS$4),CP20)</f>
        <v/>
      </c>
      <c r="CQ20" s="1000" cm="1">
        <f t="array" aca="1" ref="CQ20" ca="1">IF(NPSwitch=1,_xll.TR(CQ$7,CQ$6,"Sdate=#1 Period=#2 NULL=BLANK Scale=6",,$D20,$AS$4),CQ20)</f>
        <v>973</v>
      </c>
      <c r="CS20" s="1000" cm="1">
        <f t="array" aca="1" ref="CS20" ca="1">IF(NPSwitch=1,_xll.TR(CS$7,CS$6,"Sdate=#1 Period=#2 NULL=BLANK Scale=6",,$D20,$AS$4),CS20)</f>
        <v>5730.5</v>
      </c>
      <c r="CT20" s="1000" cm="1">
        <f t="array" aca="1" ref="CT20" ca="1">IF(NPSwitch=1,_xll.TR(CT$7,CT$6,"Sdate=#1 Period=#2 NULL=BLANK Scale=6",,$D20,$AS$4),CT20)</f>
        <v>484.18574999999998</v>
      </c>
      <c r="CU20" s="1000" cm="1">
        <f t="array" aca="1" ref="CU20" ca="1">IF(NPSwitch=1,_xll.TR(CU$7,CU$6,"Sdate=#1 Period=#2 NULL=BLANK Scale=6",,$D20,$AS$4),CU20)</f>
        <v>1425.25</v>
      </c>
      <c r="CV20" s="1000" cm="1">
        <f t="array" aca="1" ref="CV20" ca="1">IF(NPSwitch=1,_xll.TR(CV$7,CV$6,"Sdate=#1 Period=#2 NULL=BLANK Scale=6",,$D20,$AS$4),CV20)</f>
        <v>621.32500000000005</v>
      </c>
      <c r="CW20" s="1000" cm="1">
        <f t="array" aca="1" ref="CW20" ca="1">IF(NPSwitch=1,_xll.TR(CW$7,CW$6,"Sdate=#1 Period=#2 NULL=BLANK Scale=6",,$D20,$AS$4),CW20)</f>
        <v>1529.825</v>
      </c>
      <c r="CX20" s="1000" cm="1">
        <f t="array" aca="1" ref="CX20" ca="1">IF(NPSwitch=1,_xll.TR(CX$7,CX$6,"Sdate=#1 Period=#2 NULL=BLANK Scale=6",,$D20,$AS$4),CX20)</f>
        <v>2902.5</v>
      </c>
      <c r="CY20" s="1000" t="str" cm="1">
        <f t="array" aca="1" ref="CY20" ca="1">IF(NPSwitch=1,_xll.TR(CY$7,CY$6,"Sdate=#1 Period=#2 NULL=BLANK Scale=6",,$D20,$AS$4),CY20)</f>
        <v/>
      </c>
      <c r="CZ20" s="1000" cm="1">
        <f t="array" aca="1" ref="CZ20" ca="1">IF(NPSwitch=1,_xll.TR(CZ$7,CZ$6,"Sdate=#1 Period=#2 NULL=BLANK Scale=6",,$D20,$AS$4),CZ20)</f>
        <v>3879.75</v>
      </c>
      <c r="DA20" s="1000" t="str" cm="1">
        <f t="array" aca="1" ref="DA20" ca="1">IF(NPSwitch=1,_xll.TR(DA$7,DA$6,"Sdate=#1 Period=#2 NULL=BLANK Scale=6",,$D20,$AS$4),DA20)</f>
        <v/>
      </c>
      <c r="DB20" s="1000" t="str" cm="1">
        <f t="array" aca="1" ref="DB20" ca="1">IF(NPSwitch=1,_xll.TR(DB$7,DB$6,"Sdate=#1 Period=#2 NULL=BLANK Scale=6",,$D20,$AS$4),DB20)</f>
        <v/>
      </c>
      <c r="DC20" s="1000" t="str" cm="1">
        <f t="array" aca="1" ref="DC20" ca="1">IF(NPSwitch=1,_xll.TR(DC$7,DC$6,"Sdate=#1 Period=#2 NULL=BLANK Scale=6",,$D20,$AS$4),DC20)</f>
        <v/>
      </c>
      <c r="DD20" s="1000" t="str" cm="1">
        <f t="array" aca="1" ref="DD20" ca="1">IF(NPSwitch=1,_xll.TR(DD$7,DD$6,"Sdate=#1 Period=#2 NULL=BLANK Scale=6",,$D20,$AS$4),DD20)</f>
        <v/>
      </c>
      <c r="DE20" s="1000" t="str" cm="1">
        <f t="array" aca="1" ref="DE20" ca="1">IF(NPSwitch=1,_xll.TR(DE$7,DE$6,"Sdate=#1 Period=#2 NULL=BLANK Scale=6",,$D20,$AS$4),DE20)</f>
        <v/>
      </c>
      <c r="DF20" s="1000" cm="1">
        <f t="array" aca="1" ref="DF20" ca="1">IF(NPSwitch=1,_xll.TR(DF$7,DF$6,"Sdate=#1 Period=#2 NULL=BLANK Scale=6",,$D20,$AS$4),DF20)</f>
        <v>621.32500000000005</v>
      </c>
      <c r="DG20" s="1000" t="str" cm="1">
        <f t="array" aca="1" ref="DG20" ca="1">IF(NPSwitch=1,_xll.TR(DG$7,DG$6,"Sdate=#1 Period=#2 NULL=BLANK Scale=6",,$D20,$AS$4),DG20)</f>
        <v/>
      </c>
      <c r="DH20" s="1000" t="str" cm="1">
        <f t="array" aca="1" ref="DH20" ca="1">IF(NPSwitch=1,_xll.TR(DH$7,DH$6,"Sdate=#1 Period=#2 NULL=BLANK Scale=6",,$D20,$AS$4),DH20)</f>
        <v/>
      </c>
    </row>
    <row r="21" spans="1:112" ht="11.25" customHeight="1">
      <c r="C21" s="971">
        <f t="shared" ref="C21:C84" si="44">+EOMONTH(C20,3)</f>
        <v>37072</v>
      </c>
      <c r="D21" s="974">
        <f t="shared" si="43"/>
        <v>37117</v>
      </c>
      <c r="E21" s="765" t="str" cm="1">
        <f t="array" aca="1" ref="E21" ca="1">IF(NPSwitch=1,_xll.TR(E$7,E$6,"Sdate=#1 Period=#2 NULL=BLANK",,$D21,$E$4),E21)</f>
        <v/>
      </c>
      <c r="F21" s="765" t="str" cm="1">
        <f t="array" aca="1" ref="F21" ca="1">IF(NPSwitch=1,_xll.TR(F$7,F$6,"Sdate=#1 Period=#2 NULL=BLANK",,$D21,$E$4),F21)</f>
        <v/>
      </c>
      <c r="G21" s="765" t="str" cm="1">
        <f t="array" aca="1" ref="G21" ca="1">IF(NPSwitch=1,_xll.TR(G$7,G$6,"Sdate=#1 Period=#2 NULL=BLANK",,$D21,$E$4),G21)</f>
        <v/>
      </c>
      <c r="H21" s="765" t="str" cm="1">
        <f t="array" aca="1" ref="H21" ca="1">IF(NPSwitch=1,_xll.TR(H$7,H$6,"Sdate=#1 Period=#2 NULL=BLANK",,$D21,$E$4),H21)</f>
        <v/>
      </c>
      <c r="I21" s="765" t="str" cm="1">
        <f t="array" aca="1" ref="I21" ca="1">IF(NPSwitch=1,_xll.TR(I$7,I$6,"Sdate=#1 Period=#2 NULL=BLANK",,$D21,$E$4),I21)</f>
        <v/>
      </c>
      <c r="J21" s="765" t="str" cm="1">
        <f t="array" aca="1" ref="J21" ca="1">IF(NPSwitch=1,_xll.TR(J$7,J$6,"Sdate=#1 Period=#2 NULL=BLANK",,$D21,$E$4),J21)</f>
        <v/>
      </c>
      <c r="K21" s="765" t="str" cm="1">
        <f t="array" aca="1" ref="K21" ca="1">IF(NPSwitch=1,_xll.TR(K$7,K$6,"Sdate=#1 Period=#2 NULL=BLANK",,$D21,$E$4),K21)</f>
        <v/>
      </c>
      <c r="L21" s="765" cm="1">
        <f t="array" aca="1" ref="L21" ca="1">IF(NPSwitch=1,_xll.TR(L$7,L$6,"Sdate=#1 Period=#2 NULL=BLANK",,$D21,$E$4),L21)</f>
        <v>5.0840229232798801</v>
      </c>
      <c r="M21" s="765" t="str" cm="1">
        <f t="array" aca="1" ref="M21" ca="1">IF(NPSwitch=1,_xll.TR(M$7,M$6,"Sdate=#1 Period=#2 NULL=BLANK",,$D21,$E$4),M21)</f>
        <v/>
      </c>
      <c r="O21" s="1000" cm="1">
        <f t="array" aca="1" ref="O21" ca="1">IF(NPSwitch=1,_xll.TR(O$7,O$6,"Sdate=#1 Period=#2 Scale=6 NULL=BLANK",,$D21,$O$4),O21)</f>
        <v>42999.080812699998</v>
      </c>
      <c r="P21" s="1000" cm="1">
        <f t="array" aca="1" ref="P21" ca="1">IF(NPSwitch=1,_xll.TR(P$7,P$6,"Sdate=#1 Period=#2 Scale=6 NULL=BLANK",,$D21,$O$4),P21)</f>
        <v>936.63730692000001</v>
      </c>
      <c r="Q21" s="1000" cm="1">
        <f t="array" aca="1" ref="Q21" ca="1">IF(NPSwitch=1,_xll.TR(Q$7,Q$6,"Sdate=#1 Period=#2 Scale=6 NULL=BLANK",,$D21,$O$4),Q21)</f>
        <v>2852.5938866699998</v>
      </c>
      <c r="R21" s="1000" cm="1">
        <f t="array" aca="1" ref="R21" ca="1">IF(NPSwitch=1,_xll.TR(R$7,R$6,"Sdate=#1 Period=#2 Scale=6 NULL=BLANK",,$D21,$O$4),R21)</f>
        <v>957.78058139999996</v>
      </c>
      <c r="S21" s="1000" t="str" cm="1">
        <f t="array" aca="1" ref="S21" ca="1">IF(NPSwitch=1,_xll.TR(S$7,S$6,"Sdate=#1 Period=#2 Scale=6 NULL=BLANK",,$D21,$O$4),S21)</f>
        <v/>
      </c>
      <c r="T21" s="1000" cm="1">
        <f t="array" aca="1" ref="T21" ca="1">IF(NPSwitch=1,_xll.TR(T$7,T$6,"Sdate=#1 Period=#2 Scale=6 NULL=BLANK",,$D21,$O$4),T21)</f>
        <v>1960.338303</v>
      </c>
      <c r="U21" s="1000" cm="1">
        <f t="array" aca="1" ref="U21" ca="1">IF(NPSwitch=1,_xll.TR(U$7,U$6,"Sdate=#1 Period=#2 Scale=6 NULL=BLANK",,$D21,$O$4),U21)</f>
        <v>9235.6402329400007</v>
      </c>
      <c r="V21" s="1000" cm="1">
        <f t="array" aca="1" ref="V21" ca="1">IF(NPSwitch=1,_xll.TR(V$7,V$6,"Sdate=#1 Period=#2 Scale=6 NULL=BLANK",,$D21,$O$4),V21)</f>
        <v>5223.27949426138</v>
      </c>
      <c r="W21" s="1000" cm="1">
        <f t="array" aca="1" ref="W21" ca="1">IF(NPSwitch=1,_xll.TR(W$7,W$6,"Sdate=#1 Period=#2 Scale=6 NULL=BLANK",,$D21,$O$4),W21)</f>
        <v>3257.0319513600002</v>
      </c>
      <c r="X21" s="998"/>
      <c r="Y21" s="1000" cm="1">
        <f t="array" aca="1" ref="Y21" ca="1">IF(NPSwitch=1,_xll.TR(Y$7,Y$6,"Sdate=#1 Period=#2 Scale=6 NULL=BLANK",,$D21,$O$4),Y21)</f>
        <v>441.5</v>
      </c>
      <c r="Z21" s="1000" cm="1">
        <f t="array" aca="1" ref="Z21" ca="1">IF(NPSwitch=1,_xll.TR(Z$7,Z$6,"Sdate=#1 Period=#2 Scale=6 NULL=BLANK",,$D21,$O$4),Z21)</f>
        <v>15.149749999999999</v>
      </c>
      <c r="AA21" s="1000" cm="1">
        <f t="array" aca="1" ref="AA21" ca="1">IF(NPSwitch=1,_xll.TR(AA$7,AA$6,"Sdate=#1 Period=#2 Scale=6 NULL=BLANK",,$D21,$O$4),AA21)</f>
        <v>80.5</v>
      </c>
      <c r="AB21" s="1000" cm="1">
        <f t="array" aca="1" ref="AB21" ca="1">IF(NPSwitch=1,_xll.TR(AB$7,AB$6,"Sdate=#1 Period=#2 Scale=6 NULL=BLANK",,$D21,$O$4),AB21)</f>
        <v>49.55</v>
      </c>
      <c r="AC21" s="1000" t="str" cm="1">
        <f t="array" aca="1" ref="AC21" ca="1">IF(NPSwitch=1,_xll.TR(AC$7,AC$6,"Sdate=#1 Period=#2 Scale=6 NULL=BLANK",,$D21,$O$4),AC21)</f>
        <v/>
      </c>
      <c r="AD21" s="1000" cm="1">
        <f t="array" aca="1" ref="AD21" ca="1">IF(NPSwitch=1,_xll.TR(AD$7,AD$6,"Sdate=#1 Period=#2 Scale=6 NULL=BLANK",,$D21,$O$4),AD21)</f>
        <v>32.1</v>
      </c>
      <c r="AE21" s="1000" cm="1">
        <f t="array" aca="1" ref="AE21" ca="1">IF(NPSwitch=1,_xll.TR(AE$7,AE$6,"Sdate=#1 Period=#2 Scale=6 NULL=BLANK",,$D21,$O$4),AE21)</f>
        <v>110.5</v>
      </c>
      <c r="AF21" s="1000" t="str" cm="1">
        <f t="array" aca="1" ref="AF21" ca="1">IF(NPSwitch=1,_xll.TR(AF$7,AF$6,"Sdate=#1 Period=#2 Scale=6 NULL=BLANK",,$D21,$O$4),AF21)</f>
        <v/>
      </c>
      <c r="AG21" s="1000" cm="1">
        <f t="array" aca="1" ref="AG21" ca="1">IF(NPSwitch=1,_xll.TR(AG$7,AG$6,"Sdate=#1 Period=#2 Scale=6 NULL=BLANK",,$D21,$O$4),AG21)</f>
        <v>72.5</v>
      </c>
      <c r="AH21" s="998"/>
      <c r="AI21" s="1000" cm="1">
        <f t="array" aca="1" ref="AI21" ca="1">IF(NPSwitch=1,_xll.TR(AI$7,AI$6,"Sdate=#1 Period=#2 Scale=6 NULL=BLANK",,$D21,$O$4),AI21)</f>
        <v>46105.080812699998</v>
      </c>
      <c r="AJ21" s="1000" cm="1">
        <f t="array" aca="1" ref="AJ21" ca="1">IF(NPSwitch=1,_xll.TR(AJ$7,AJ$6,"Sdate=#1 Period=#2 Scale=6 NULL=BLANK",,$D21,$O$4),AJ21)</f>
        <v>1038.47130692</v>
      </c>
      <c r="AK21" s="1000" cm="1">
        <f t="array" aca="1" ref="AK21" ca="1">IF(NPSwitch=1,_xll.TR(AK$7,AK$6,"Sdate=#1 Period=#2 Scale=6 NULL=BLANK",,$D21,$O$4),AK21)</f>
        <v>4778.5938866699998</v>
      </c>
      <c r="AL21" s="1000" cm="1">
        <f t="array" aca="1" ref="AL21" ca="1">IF(NPSwitch=1,_xll.TR(AL$7,AL$6,"Sdate=#1 Period=#2 Scale=6 NULL=BLANK",,$D21,$O$4),AL21)</f>
        <v>1395.3805814</v>
      </c>
      <c r="AM21" s="1000" t="str" cm="1">
        <f t="array" aca="1" ref="AM21" ca="1">IF(NPSwitch=1,_xll.TR(AM$7,AM$6,"Sdate=#1 Period=#2 Scale=6 NULL=BLANK",,$D21,$O$4),AM21)</f>
        <v/>
      </c>
      <c r="AN21" s="1000" cm="1">
        <f t="array" aca="1" ref="AN21" ca="1">IF(NPSwitch=1,_xll.TR(AN$7,AN$6,"Sdate=#1 Period=#2 Scale=6 NULL=BLANK",,$D21,$O$4),AN21)</f>
        <v>3203.9383029999999</v>
      </c>
      <c r="AO21" s="1000" cm="1">
        <f t="array" aca="1" ref="AO21" ca="1">IF(NPSwitch=1,_xll.TR(AO$7,AO$6,"Sdate=#1 Period=#2 Scale=6 NULL=BLANK",,$D21,$O$4),AO21)</f>
        <v>12071.640232940001</v>
      </c>
      <c r="AP21" s="1000" cm="1">
        <f t="array" aca="1" ref="AP21" ca="1">IF(NPSwitch=1,_xll.TR(AP$7,AP$6,"Sdate=#1 Period=#2 Scale=6 NULL=BLANK",,$D21,$O$4),AP21)</f>
        <v>6693.2794942609999</v>
      </c>
      <c r="AQ21" s="1000" cm="1">
        <f t="array" aca="1" ref="AQ21" ca="1">IF(NPSwitch=1,_xll.TR(AQ$7,AQ$6,"Sdate=#1 Period=#2 Scale=6 NULL=BLANK",,$D21,$O$4),AQ21)</f>
        <v>5551.0319513599998</v>
      </c>
      <c r="AS21" s="765" t="str" cm="1">
        <f t="array" aca="1" ref="AS21" ca="1">IF(NPSwitch=1,_xll.TR(AS$7,AS$6,"Sdate=#1 Period=#2 NULL=BLANK Scale=6",,$D21,$AS$4),AS21)</f>
        <v/>
      </c>
      <c r="AT21" s="765" t="str" cm="1">
        <f t="array" aca="1" ref="AT21" ca="1">IF(NPSwitch=1,_xll.TR(AT$7,AT$6,"Sdate=#1 Period=#2 NULL=BLANK Scale=6",,$D21,$AS$4),AT21)</f>
        <v/>
      </c>
      <c r="AU21" s="765" t="str" cm="1">
        <f t="array" aca="1" ref="AU21" ca="1">IF(NPSwitch=1,_xll.TR(AU$7,AU$6,"Sdate=#1 Period=#2 NULL=BLANK Scale=6",,$D21,$AS$4),AU21)</f>
        <v/>
      </c>
      <c r="AV21" s="765" t="str" cm="1">
        <f t="array" aca="1" ref="AV21" ca="1">IF(NPSwitch=1,_xll.TR(AV$7,AV$6,"Sdate=#1 Period=#2 NULL=BLANK Scale=6",,$D21,$AS$4),AV21)</f>
        <v/>
      </c>
      <c r="AW21" s="765" t="str" cm="1">
        <f t="array" aca="1" ref="AW21" ca="1">IF(NPSwitch=1,_xll.TR(AW$7,AW$6,"Sdate=#1 Period=#2 NULL=BLANK Scale=6",,$D21,$AS$4),AW21)</f>
        <v/>
      </c>
      <c r="AX21" s="765" t="str" cm="1">
        <f t="array" aca="1" ref="AX21" ca="1">IF(NPSwitch=1,_xll.TR(AX$7,AX$6,"Sdate=#1 Period=#2 NULL=BLANK Scale=6",,$D21,$AS$4),AX21)</f>
        <v/>
      </c>
      <c r="AY21" s="765" t="str" cm="1">
        <f t="array" aca="1" ref="AY21" ca="1">IF(NPSwitch=1,_xll.TR(AY$7,AY$6,"Sdate=#1 Period=#2 NULL=BLANK Scale=6",,$D21,$AS$4),AY21)</f>
        <v/>
      </c>
      <c r="AZ21" s="765" t="str" cm="1">
        <f t="array" aca="1" ref="AZ21" ca="1">IF(NPSwitch=1,_xll.TR(AZ$7,AZ$6,"Sdate=#1 Period=#2 NULL=BLANK Scale=6",,$D21,$AS$4),AZ21)</f>
        <v/>
      </c>
      <c r="BA21" s="765" t="str" cm="1">
        <f t="array" aca="1" ref="BA21" ca="1">IF(NPSwitch=1,_xll.TR(BA$7,BA$6,"Sdate=#1 Period=#2 NULL=BLANK Scale=6",,$D21,$AS$4),BA21)</f>
        <v/>
      </c>
      <c r="BC21" s="765" cm="1">
        <f t="array" aca="1" ref="BC21" ca="1">IF(NPSwitch=1,_xll.TR(BC$7,BC$6,"Sdate=#1 Period=#2 NULL=BLANK",,$D21,$BC$4),BC21)</f>
        <v>12.778570070000001</v>
      </c>
      <c r="BD21" s="765" cm="1">
        <f t="array" aca="1" ref="BD21" ca="1">IF(NPSwitch=1,_xll.TR(BD$7,BD$6,"Sdate=#1 Period=#2 NULL=BLANK",,$D21,$BC$4),BD21)</f>
        <v>5.3929472059999997</v>
      </c>
      <c r="BE21" s="765" cm="1">
        <f t="array" aca="1" ref="BE21" ca="1">IF(NPSwitch=1,_xll.TR(BE$7,BE$6,"Sdate=#1 Period=#2 NULL=BLANK",,$D21,$BC$4),BE21)</f>
        <v>4.585982617</v>
      </c>
      <c r="BF21" s="765" cm="1">
        <f t="array" aca="1" ref="BF21" ca="1">IF(NPSwitch=1,_xll.TR(BF$7,BF$6,"Sdate=#1 Period=#2 NULL=BLANK",,$D21,$BC$4),BF21)</f>
        <v>11.541609441</v>
      </c>
      <c r="BG21" s="765" t="str" cm="1">
        <f t="array" aca="1" ref="BG21" ca="1">IF(NPSwitch=1,_xll.TR(BG$7,BG$6,"Sdate=#1 Period=#2 NULL=BLANK",,$D21,$BC$4),BG21)</f>
        <v/>
      </c>
      <c r="BH21" s="765" cm="1">
        <f t="array" aca="1" ref="BH21" ca="1">IF(NPSwitch=1,_xll.TR(BH$7,BH$6,"Sdate=#1 Period=#2 NULL=BLANK",,$D21,$BC$4),BH21)</f>
        <v>11.234005270000001</v>
      </c>
      <c r="BI21" s="765" cm="1">
        <f t="array" aca="1" ref="BI21" ca="1">IF(NPSwitch=1,_xll.TR(BI$7,BI$6,"Sdate=#1 Period=#2 NULL=BLANK",,$D21,$BC$4),BI21)</f>
        <v>7.8899609369999997</v>
      </c>
      <c r="BJ21" s="765" cm="1">
        <f t="array" aca="1" ref="BJ21" ca="1">IF(NPSwitch=1,_xll.TR(BJ$7,BJ$6,"Sdate=#1 Period=#2 NULL=BLANK",,$D21,$BC$4),BJ21)</f>
        <v>5.5684521580000004</v>
      </c>
      <c r="BK21" s="765" cm="1">
        <f t="array" aca="1" ref="BK21" ca="1">IF(NPSwitch=1,_xll.TR(BK$7,BK$6,"Sdate=#1 Period=#2 NULL=BLANK",,$D21,$BC$4),BK21)</f>
        <v>6.0799911839999998</v>
      </c>
      <c r="BO21" s="765" cm="1">
        <f t="array" aca="1" ref="BO21" ca="1">IF(NPSwitch=1,_xll.TR(BO$7,BO$6,"Sdate=#1 Period=#2 NULL=BLANK Scale=6",,$D21,$AS$4),BO21)</f>
        <v>16643</v>
      </c>
      <c r="BP21" s="765" cm="1">
        <f t="array" aca="1" ref="BP21" ca="1">IF(NPSwitch=1,_xll.TR(BP$7,BP$6,"Sdate=#1 Period=#2 NULL=BLANK Scale=6",,$D21,$AS$4),BP21)</f>
        <v>891.55899999999997</v>
      </c>
      <c r="BQ21" s="765" cm="1">
        <f t="array" aca="1" ref="BQ21" ca="1">IF(NPSwitch=1,_xll.TR(BQ$7,BQ$6,"Sdate=#1 Period=#2 NULL=BLANK Scale=6",,$D21,$AS$4),BQ21)</f>
        <v>7729</v>
      </c>
      <c r="BR21" s="765" cm="1">
        <f t="array" aca="1" ref="BR21" ca="1">IF(NPSwitch=1,_xll.TR(BR$7,BR$6,"Sdate=#1 Period=#2 NULL=BLANK Scale=6",,$D21,$AS$4),BR21)</f>
        <v>2586.1999999999998</v>
      </c>
      <c r="BS21" s="765" t="str" cm="1">
        <f t="array" aca="1" ref="BS21" ca="1">IF(NPSwitch=1,_xll.TR(BS$7,BS$6,"Sdate=#1 Period=#2 NULL=BLANK Scale=6",,$D21,$AS$4),BS21)</f>
        <v/>
      </c>
      <c r="BT21" s="765" cm="1">
        <f t="array" aca="1" ref="BT21" ca="1">IF(NPSwitch=1,_xll.TR(BT$7,BT$6,"Sdate=#1 Period=#2 NULL=BLANK Scale=6",,$D21,$AS$4),BT21)</f>
        <v>2881.4</v>
      </c>
      <c r="BU21" s="765" cm="1">
        <f t="array" aca="1" ref="BU21" ca="1">IF(NPSwitch=1,_xll.TR(BU$7,BU$6,"Sdate=#1 Period=#2 NULL=BLANK Scale=6",,$D21,$AS$4),BU21)</f>
        <v>8465</v>
      </c>
      <c r="BV21" s="765" t="str" cm="1">
        <f t="array" aca="1" ref="BV21" ca="1">IF(NPSwitch=1,_xll.TR(BV$7,BV$6,"Sdate=#1 Period=#2 NULL=BLANK Scale=6",,$D21,$AS$4),BV21)</f>
        <v/>
      </c>
      <c r="BW21" s="765" cm="1">
        <f t="array" aca="1" ref="BW21" ca="1">IF(NPSwitch=1,_xll.TR(BW$7,BW$6,"Sdate=#1 Period=#2 NULL=BLANK Scale=6",,$D21,$AS$4),BW21)</f>
        <v>5505</v>
      </c>
      <c r="BY21" s="765" cm="1">
        <f t="array" aca="1" ref="BY21" ca="1">IF(NPSwitch=1,_xll.TR(BY$7,BY$6,"Sdate=#1 Period=#2 NULL=BLANK Scale=6",,$D21,$AS$4),BY21)</f>
        <v>9439</v>
      </c>
      <c r="BZ21" s="765" cm="1">
        <f t="array" aca="1" ref="BZ21" ca="1">IF(NPSwitch=1,_xll.TR(BZ$7,BZ$6,"Sdate=#1 Period=#2 NULL=BLANK Scale=6",,$D21,$AS$4),BZ21)</f>
        <v>664.18574999999998</v>
      </c>
      <c r="CA21" s="765" cm="1">
        <f t="array" aca="1" ref="CA21" ca="1">IF(NPSwitch=1,_xll.TR(CA$7,CA$6,"Sdate=#1 Period=#2 NULL=BLANK Scale=6",,$D21,$AS$4),CA21)</f>
        <v>4169.5</v>
      </c>
      <c r="CB21" s="765" cm="1">
        <f t="array" aca="1" ref="CB21" ca="1">IF(NPSwitch=1,_xll.TR(CB$7,CB$6,"Sdate=#1 Period=#2 NULL=BLANK Scale=6",,$D21,$AS$4),CB21)</f>
        <v>1471.1</v>
      </c>
      <c r="CC21" s="765" t="str" cm="1">
        <f t="array" aca="1" ref="CC21" ca="1">IF(NPSwitch=1,_xll.TR(CC$7,CC$6,"Sdate=#1 Period=#2 NULL=BLANK Scale=6",,$D21,$AS$4),CC21)</f>
        <v/>
      </c>
      <c r="CD21" s="765" cm="1">
        <f t="array" aca="1" ref="CD21" ca="1">IF(NPSwitch=1,_xll.TR(CD$7,CD$6,"Sdate=#1 Period=#2 NULL=BLANK Scale=6",,$D21,$AS$4),CD21)</f>
        <v>1991.2</v>
      </c>
      <c r="CE21" s="765" cm="1">
        <f t="array" aca="1" ref="CE21" ca="1">IF(NPSwitch=1,_xll.TR(CE$7,CE$6,"Sdate=#1 Period=#2 NULL=BLANK Scale=6",,$D21,$AS$4),CE21)</f>
        <v>6114.75</v>
      </c>
      <c r="CF21" s="765" t="str" cm="1">
        <f t="array" aca="1" ref="CF21" ca="1">IF(NPSwitch=1,_xll.TR(CF$7,CF$6,"Sdate=#1 Period=#2 NULL=BLANK Scale=6",,$D21,$AS$4),CF21)</f>
        <v/>
      </c>
      <c r="CG21" s="765" cm="1">
        <f t="array" aca="1" ref="CG21" ca="1">IF(NPSwitch=1,_xll.TR(CG$7,CG$6,"Sdate=#1 Period=#2 NULL=BLANK Scale=6",,$D21,$AS$4),CG21)</f>
        <v>3931</v>
      </c>
      <c r="CI21" s="1000" cm="1">
        <f t="array" aca="1" ref="CI21" ca="1">IF(NPSwitch=1,_xll.TR(CI$7,CI$6,"Sdate=#1 Period=#2 NULL=BLANK Scale=6",,$D21,$AS$4),CI21)</f>
        <v>3608</v>
      </c>
      <c r="CJ21" s="1000" cm="1">
        <f t="array" aca="1" ref="CJ21" ca="1">IF(NPSwitch=1,_xll.TR(CJ$7,CJ$6,"Sdate=#1 Period=#2 NULL=BLANK Scale=6",,$D21,$AS$4),CJ21)</f>
        <v>192.56100000000001</v>
      </c>
      <c r="CK21" s="1000" cm="1">
        <f t="array" aca="1" ref="CK21" ca="1">IF(NPSwitch=1,_xll.TR(CK$7,CK$6,"Sdate=#1 Period=#2 NULL=BLANK Scale=6",,$D21,$AS$4),CK21)</f>
        <v>1042</v>
      </c>
      <c r="CL21" s="1000" cm="1">
        <f t="array" aca="1" ref="CL21" ca="1">IF(NPSwitch=1,_xll.TR(CL$7,CL$6,"Sdate=#1 Period=#2 NULL=BLANK Scale=6",,$D21,$AS$4),CL21)</f>
        <v>120.9</v>
      </c>
      <c r="CM21" s="1000" t="str" cm="1">
        <f t="array" aca="1" ref="CM21" ca="1">IF(NPSwitch=1,_xll.TR(CM$7,CM$6,"Sdate=#1 Period=#2 NULL=BLANK Scale=6",,$D21,$AS$4),CM21)</f>
        <v/>
      </c>
      <c r="CN21" s="1000" t="str" cm="1">
        <f t="array" aca="1" ref="CN21" ca="1">IF(NPSwitch=1,_xll.TR(CN$7,CN$6,"Sdate=#1 Period=#2 NULL=BLANK Scale=6",,$D21,$AS$4),CN21)</f>
        <v/>
      </c>
      <c r="CO21" s="1000" cm="1">
        <f t="array" aca="1" ref="CO21" ca="1">IF(NPSwitch=1,_xll.TR(CO$7,CO$6,"Sdate=#1 Period=#2 NULL=BLANK Scale=6",,$D21,$AS$4),CO21)</f>
        <v>1530</v>
      </c>
      <c r="CP21" s="1000" t="str" cm="1">
        <f t="array" aca="1" ref="CP21" ca="1">IF(NPSwitch=1,_xll.TR(CP$7,CP$6,"Sdate=#1 Period=#2 NULL=BLANK Scale=6",,$D21,$AS$4),CP21)</f>
        <v/>
      </c>
      <c r="CQ21" s="1000" cm="1">
        <f t="array" aca="1" ref="CQ21" ca="1">IF(NPSwitch=1,_xll.TR(CQ$7,CQ$6,"Sdate=#1 Period=#2 NULL=BLANK Scale=6",,$D21,$AS$4),CQ21)</f>
        <v>913</v>
      </c>
      <c r="CS21" s="1000" cm="1">
        <f t="array" aca="1" ref="CS21" ca="1">IF(NPSwitch=1,_xll.TR(CS$7,CS$6,"Sdate=#1 Period=#2 NULL=BLANK Scale=6",,$D21,$AS$4),CS21)</f>
        <v>5757.75</v>
      </c>
      <c r="CT21" s="1000" cm="1">
        <f t="array" aca="1" ref="CT21" ca="1">IF(NPSwitch=1,_xll.TR(CT$7,CT$6,"Sdate=#1 Period=#2 NULL=BLANK Scale=6",,$D21,$AS$4),CT21)</f>
        <v>482.4665</v>
      </c>
      <c r="CU21" s="1000" cm="1">
        <f t="array" aca="1" ref="CU21" ca="1">IF(NPSwitch=1,_xll.TR(CU$7,CU$6,"Sdate=#1 Period=#2 NULL=BLANK Scale=6",,$D21,$AS$4),CU21)</f>
        <v>1415.25</v>
      </c>
      <c r="CV21" s="1000" cm="1">
        <f t="array" aca="1" ref="CV21" ca="1">IF(NPSwitch=1,_xll.TR(CV$7,CV$6,"Sdate=#1 Period=#2 NULL=BLANK Scale=6",,$D21,$AS$4),CV21)</f>
        <v>704.42499999999995</v>
      </c>
      <c r="CW21" s="1000" cm="1">
        <f t="array" aca="1" ref="CW21" ca="1">IF(NPSwitch=1,_xll.TR(CW$7,CW$6,"Sdate=#1 Period=#2 NULL=BLANK Scale=6",,$D21,$AS$4),CW21)</f>
        <v>1470.0250000000001</v>
      </c>
      <c r="CX21" s="1000" cm="1">
        <f t="array" aca="1" ref="CX21" ca="1">IF(NPSwitch=1,_xll.TR(CX$7,CX$6,"Sdate=#1 Period=#2 NULL=BLANK Scale=6",,$D21,$AS$4),CX21)</f>
        <v>2872.75</v>
      </c>
      <c r="CY21" s="1000" t="str" cm="1">
        <f t="array" aca="1" ref="CY21" ca="1">IF(NPSwitch=1,_xll.TR(CY$7,CY$6,"Sdate=#1 Period=#2 NULL=BLANK Scale=6",,$D21,$AS$4),CY21)</f>
        <v/>
      </c>
      <c r="CZ21" s="1000" cm="1">
        <f t="array" aca="1" ref="CZ21" ca="1">IF(NPSwitch=1,_xll.TR(CZ$7,CZ$6,"Sdate=#1 Period=#2 NULL=BLANK Scale=6",,$D21,$AS$4),CZ21)</f>
        <v>3860.75</v>
      </c>
      <c r="DA21" s="1000" t="str" cm="1">
        <f t="array" aca="1" ref="DA21" ca="1">IF(NPSwitch=1,_xll.TR(DA$7,DA$6,"Sdate=#1 Period=#2 NULL=BLANK Scale=6",,$D21,$AS$4),DA21)</f>
        <v/>
      </c>
      <c r="DB21" s="1000" t="str" cm="1">
        <f t="array" aca="1" ref="DB21" ca="1">IF(NPSwitch=1,_xll.TR(DB$7,DB$6,"Sdate=#1 Period=#2 NULL=BLANK Scale=6",,$D21,$AS$4),DB21)</f>
        <v/>
      </c>
      <c r="DC21" s="1000" t="str" cm="1">
        <f t="array" aca="1" ref="DC21" ca="1">IF(NPSwitch=1,_xll.TR(DC$7,DC$6,"Sdate=#1 Period=#2 NULL=BLANK Scale=6",,$D21,$AS$4),DC21)</f>
        <v/>
      </c>
      <c r="DD21" s="1000" t="str" cm="1">
        <f t="array" aca="1" ref="DD21" ca="1">IF(NPSwitch=1,_xll.TR(DD$7,DD$6,"Sdate=#1 Period=#2 NULL=BLANK Scale=6",,$D21,$AS$4),DD21)</f>
        <v/>
      </c>
      <c r="DE21" s="1000" t="str" cm="1">
        <f t="array" aca="1" ref="DE21" ca="1">IF(NPSwitch=1,_xll.TR(DE$7,DE$6,"Sdate=#1 Period=#2 NULL=BLANK Scale=6",,$D21,$AS$4),DE21)</f>
        <v/>
      </c>
      <c r="DF21" s="1000" cm="1">
        <f t="array" aca="1" ref="DF21" ca="1">IF(NPSwitch=1,_xll.TR(DF$7,DF$6,"Sdate=#1 Period=#2 NULL=BLANK Scale=6",,$D21,$AS$4),DF21)</f>
        <v>704.42499999999995</v>
      </c>
      <c r="DG21" s="1000" t="str" cm="1">
        <f t="array" aca="1" ref="DG21" ca="1">IF(NPSwitch=1,_xll.TR(DG$7,DG$6,"Sdate=#1 Period=#2 NULL=BLANK Scale=6",,$D21,$AS$4),DG21)</f>
        <v/>
      </c>
      <c r="DH21" s="1000" t="str" cm="1">
        <f t="array" aca="1" ref="DH21" ca="1">IF(NPSwitch=1,_xll.TR(DH$7,DH$6,"Sdate=#1 Period=#2 NULL=BLANK Scale=6",,$D21,$AS$4),DH21)</f>
        <v/>
      </c>
    </row>
    <row r="22" spans="1:112" ht="11.25" customHeight="1">
      <c r="C22" s="972">
        <f t="shared" si="44"/>
        <v>37164</v>
      </c>
      <c r="D22" s="974">
        <f t="shared" si="43"/>
        <v>37209</v>
      </c>
      <c r="E22" s="765" t="str" cm="1">
        <f t="array" aca="1" ref="E22" ca="1">IF(NPSwitch=1,_xll.TR(E$7,E$6,"Sdate=#1 Period=#2 NULL=BLANK",,$D22,$E$4),E22)</f>
        <v/>
      </c>
      <c r="F22" s="765" t="str" cm="1">
        <f t="array" aca="1" ref="F22" ca="1">IF(NPSwitch=1,_xll.TR(F$7,F$6,"Sdate=#1 Period=#2 NULL=BLANK",,$D22,$E$4),F22)</f>
        <v/>
      </c>
      <c r="G22" s="765" t="str" cm="1">
        <f t="array" aca="1" ref="G22" ca="1">IF(NPSwitch=1,_xll.TR(G$7,G$6,"Sdate=#1 Period=#2 NULL=BLANK",,$D22,$E$4),G22)</f>
        <v/>
      </c>
      <c r="H22" s="765" t="str" cm="1">
        <f t="array" aca="1" ref="H22" ca="1">IF(NPSwitch=1,_xll.TR(H$7,H$6,"Sdate=#1 Period=#2 NULL=BLANK",,$D22,$E$4),H22)</f>
        <v/>
      </c>
      <c r="I22" s="765" t="str" cm="1">
        <f t="array" aca="1" ref="I22" ca="1">IF(NPSwitch=1,_xll.TR(I$7,I$6,"Sdate=#1 Period=#2 NULL=BLANK",,$D22,$E$4),I22)</f>
        <v/>
      </c>
      <c r="J22" s="765" t="str" cm="1">
        <f t="array" aca="1" ref="J22" ca="1">IF(NPSwitch=1,_xll.TR(J$7,J$6,"Sdate=#1 Period=#2 NULL=BLANK",,$D22,$E$4),J22)</f>
        <v/>
      </c>
      <c r="K22" s="765" t="str" cm="1">
        <f t="array" aca="1" ref="K22" ca="1">IF(NPSwitch=1,_xll.TR(K$7,K$6,"Sdate=#1 Period=#2 NULL=BLANK",,$D22,$E$4),K22)</f>
        <v/>
      </c>
      <c r="L22" s="765" cm="1">
        <f t="array" aca="1" ref="L22" ca="1">IF(NPSwitch=1,_xll.TR(L$7,L$6,"Sdate=#1 Period=#2 NULL=BLANK",,$D22,$E$4),L22)</f>
        <v>5.1361377680920102</v>
      </c>
      <c r="M22" s="765" t="str" cm="1">
        <f t="array" aca="1" ref="M22" ca="1">IF(NPSwitch=1,_xll.TR(M$7,M$6,"Sdate=#1 Period=#2 NULL=BLANK",,$D22,$E$4),M22)</f>
        <v/>
      </c>
      <c r="O22" s="1000" cm="1">
        <f t="array" aca="1" ref="O22" ca="1">IF(NPSwitch=1,_xll.TR(O$7,O$6,"Sdate=#1 Period=#2 Scale=6 NULL=BLANK",,$D22,$O$4),O22)</f>
        <v>45034.915835100001</v>
      </c>
      <c r="P22" s="1000" cm="1">
        <f t="array" aca="1" ref="P22" ca="1">IF(NPSwitch=1,_xll.TR(P$7,P$6,"Sdate=#1 Period=#2 Scale=6 NULL=BLANK",,$D22,$O$4),P22)</f>
        <v>982.00281249</v>
      </c>
      <c r="Q22" s="1000" cm="1">
        <f t="array" aca="1" ref="Q22" ca="1">IF(NPSwitch=1,_xll.TR(Q$7,Q$6,"Sdate=#1 Period=#2 Scale=6 NULL=BLANK",,$D22,$O$4),Q22)</f>
        <v>2884.55274194</v>
      </c>
      <c r="R22" s="1000" cm="1">
        <f t="array" aca="1" ref="R22" ca="1">IF(NPSwitch=1,_xll.TR(R$7,R$6,"Sdate=#1 Period=#2 Scale=6 NULL=BLANK",,$D22,$O$4),R22)</f>
        <v>845.10051299999998</v>
      </c>
      <c r="S22" s="1000" t="str" cm="1">
        <f t="array" aca="1" ref="S22" ca="1">IF(NPSwitch=1,_xll.TR(S$7,S$6,"Sdate=#1 Period=#2 Scale=6 NULL=BLANK",,$D22,$O$4),S22)</f>
        <v/>
      </c>
      <c r="T22" s="1000" cm="1">
        <f t="array" aca="1" ref="T22" ca="1">IF(NPSwitch=1,_xll.TR(T$7,T$6,"Sdate=#1 Period=#2 Scale=6 NULL=BLANK",,$D22,$O$4),T22)</f>
        <v>1607.4390203</v>
      </c>
      <c r="U22" s="1000" cm="1">
        <f t="array" aca="1" ref="U22" ca="1">IF(NPSwitch=1,_xll.TR(U$7,U$6,"Sdate=#1 Period=#2 Scale=6 NULL=BLANK",,$D22,$O$4),U22)</f>
        <v>9053.4496011699994</v>
      </c>
      <c r="V22" s="1000" cm="1">
        <f t="array" aca="1" ref="V22" ca="1">IF(NPSwitch=1,_xll.TR(V$7,V$6,"Sdate=#1 Period=#2 Scale=6 NULL=BLANK",,$D22,$O$4),V22)</f>
        <v>5143.1807772388102</v>
      </c>
      <c r="W22" s="1000" cm="1">
        <f t="array" aca="1" ref="W22" ca="1">IF(NPSwitch=1,_xll.TR(W$7,W$6,"Sdate=#1 Period=#2 Scale=6 NULL=BLANK",,$D22,$O$4),W22)</f>
        <v>2903.0830303500002</v>
      </c>
      <c r="X22" s="998"/>
      <c r="Y22" s="1000" cm="1">
        <f t="array" aca="1" ref="Y22" ca="1">IF(NPSwitch=1,_xll.TR(Y$7,Y$6,"Sdate=#1 Period=#2 Scale=6 NULL=BLANK",,$D22,$O$4),Y22)</f>
        <v>470.5</v>
      </c>
      <c r="Z22" s="1000" cm="1">
        <f t="array" aca="1" ref="Z22" ca="1">IF(NPSwitch=1,_xll.TR(Z$7,Z$6,"Sdate=#1 Period=#2 Scale=6 NULL=BLANK",,$D22,$O$4),Z22)</f>
        <v>18.993500000000001</v>
      </c>
      <c r="AA22" s="1000" cm="1">
        <f t="array" aca="1" ref="AA22" ca="1">IF(NPSwitch=1,_xll.TR(AA$7,AA$6,"Sdate=#1 Period=#2 Scale=6 NULL=BLANK",,$D22,$O$4),AA22)</f>
        <v>122.75</v>
      </c>
      <c r="AB22" s="1000" cm="1">
        <f t="array" aca="1" ref="AB22" ca="1">IF(NPSwitch=1,_xll.TR(AB$7,AB$6,"Sdate=#1 Period=#2 Scale=6 NULL=BLANK",,$D22,$O$4),AB22)</f>
        <v>34.85</v>
      </c>
      <c r="AC22" s="1000" t="str" cm="1">
        <f t="array" aca="1" ref="AC22" ca="1">IF(NPSwitch=1,_xll.TR(AC$7,AC$6,"Sdate=#1 Period=#2 Scale=6 NULL=BLANK",,$D22,$O$4),AC22)</f>
        <v/>
      </c>
      <c r="AD22" s="1000" cm="1">
        <f t="array" aca="1" ref="AD22" ca="1">IF(NPSwitch=1,_xll.TR(AD$7,AD$6,"Sdate=#1 Period=#2 Scale=6 NULL=BLANK",,$D22,$O$4),AD22)</f>
        <v>48.524999999999999</v>
      </c>
      <c r="AE22" s="1000" cm="1">
        <f t="array" aca="1" ref="AE22" ca="1">IF(NPSwitch=1,_xll.TR(AE$7,AE$6,"Sdate=#1 Period=#2 Scale=6 NULL=BLANK",,$D22,$O$4),AE22)</f>
        <v>116.5</v>
      </c>
      <c r="AF22" s="1000" t="str" cm="1">
        <f t="array" aca="1" ref="AF22" ca="1">IF(NPSwitch=1,_xll.TR(AF$7,AF$6,"Sdate=#1 Period=#2 Scale=6 NULL=BLANK",,$D22,$O$4),AF22)</f>
        <v/>
      </c>
      <c r="AG22" s="1000" cm="1">
        <f t="array" aca="1" ref="AG22" ca="1">IF(NPSwitch=1,_xll.TR(AG$7,AG$6,"Sdate=#1 Period=#2 Scale=6 NULL=BLANK",,$D22,$O$4),AG22)</f>
        <v>72.75</v>
      </c>
      <c r="AH22" s="998"/>
      <c r="AI22" s="1000" cm="1">
        <f t="array" aca="1" ref="AI22" ca="1">IF(NPSwitch=1,_xll.TR(AI$7,AI$6,"Sdate=#1 Period=#2 Scale=6 NULL=BLANK",,$D22,$O$4),AI22)</f>
        <v>47954.915835100001</v>
      </c>
      <c r="AJ22" s="1000" cm="1">
        <f t="array" aca="1" ref="AJ22" ca="1">IF(NPSwitch=1,_xll.TR(AJ$7,AJ$6,"Sdate=#1 Period=#2 Scale=6 NULL=BLANK",,$D22,$O$4),AJ22)</f>
        <v>1131.74381249</v>
      </c>
      <c r="AK22" s="1000" cm="1">
        <f t="array" aca="1" ref="AK22" ca="1">IF(NPSwitch=1,_xll.TR(AK$7,AK$6,"Sdate=#1 Period=#2 Scale=6 NULL=BLANK",,$D22,$O$4),AK22)</f>
        <v>4810.5527419399996</v>
      </c>
      <c r="AL22" s="1000" cm="1">
        <f t="array" aca="1" ref="AL22" ca="1">IF(NPSwitch=1,_xll.TR(AL$7,AL$6,"Sdate=#1 Period=#2 Scale=6 NULL=BLANK",,$D22,$O$4),AL22)</f>
        <v>1309.6005130000001</v>
      </c>
      <c r="AM22" s="1000" t="str" cm="1">
        <f t="array" aca="1" ref="AM22" ca="1">IF(NPSwitch=1,_xll.TR(AM$7,AM$6,"Sdate=#1 Period=#2 Scale=6 NULL=BLANK",,$D22,$O$4),AM22)</f>
        <v/>
      </c>
      <c r="AN22" s="1000" cm="1">
        <f t="array" aca="1" ref="AN22" ca="1">IF(NPSwitch=1,_xll.TR(AN$7,AN$6,"Sdate=#1 Period=#2 Scale=6 NULL=BLANK",,$D22,$O$4),AN22)</f>
        <v>2831.5390203000002</v>
      </c>
      <c r="AO22" s="1000" cm="1">
        <f t="array" aca="1" ref="AO22" ca="1">IF(NPSwitch=1,_xll.TR(AO$7,AO$6,"Sdate=#1 Period=#2 Scale=6 NULL=BLANK",,$D22,$O$4),AO22)</f>
        <v>11685.449601169999</v>
      </c>
      <c r="AP22" s="1000" cm="1">
        <f t="array" aca="1" ref="AP22" ca="1">IF(NPSwitch=1,_xll.TR(AP$7,AP$6,"Sdate=#1 Period=#2 Scale=6 NULL=BLANK",,$D22,$O$4),AP22)</f>
        <v>6613.1807772390002</v>
      </c>
      <c r="AQ22" s="1000" cm="1">
        <f t="array" aca="1" ref="AQ22" ca="1">IF(NPSwitch=1,_xll.TR(AQ$7,AQ$6,"Sdate=#1 Period=#2 Scale=6 NULL=BLANK",,$D22,$O$4),AQ22)</f>
        <v>5119.0830303499997</v>
      </c>
      <c r="AS22" s="765" t="str" cm="1">
        <f t="array" aca="1" ref="AS22" ca="1">IF(NPSwitch=1,_xll.TR(AS$7,AS$6,"Sdate=#1 Period=#2 NULL=BLANK Scale=6",,$D22,$AS$4),AS22)</f>
        <v/>
      </c>
      <c r="AT22" s="765" t="str" cm="1">
        <f t="array" aca="1" ref="AT22" ca="1">IF(NPSwitch=1,_xll.TR(AT$7,AT$6,"Sdate=#1 Period=#2 NULL=BLANK Scale=6",,$D22,$AS$4),AT22)</f>
        <v/>
      </c>
      <c r="AU22" s="765" t="str" cm="1">
        <f t="array" aca="1" ref="AU22" ca="1">IF(NPSwitch=1,_xll.TR(AU$7,AU$6,"Sdate=#1 Period=#2 NULL=BLANK Scale=6",,$D22,$AS$4),AU22)</f>
        <v/>
      </c>
      <c r="AV22" s="765" t="str" cm="1">
        <f t="array" aca="1" ref="AV22" ca="1">IF(NPSwitch=1,_xll.TR(AV$7,AV$6,"Sdate=#1 Period=#2 NULL=BLANK Scale=6",,$D22,$AS$4),AV22)</f>
        <v/>
      </c>
      <c r="AW22" s="765" t="str" cm="1">
        <f t="array" aca="1" ref="AW22" ca="1">IF(NPSwitch=1,_xll.TR(AW$7,AW$6,"Sdate=#1 Period=#2 NULL=BLANK Scale=6",,$D22,$AS$4),AW22)</f>
        <v/>
      </c>
      <c r="AX22" s="765" t="str" cm="1">
        <f t="array" aca="1" ref="AX22" ca="1">IF(NPSwitch=1,_xll.TR(AX$7,AX$6,"Sdate=#1 Period=#2 NULL=BLANK Scale=6",,$D22,$AS$4),AX22)</f>
        <v/>
      </c>
      <c r="AY22" s="765" t="str" cm="1">
        <f t="array" aca="1" ref="AY22" ca="1">IF(NPSwitch=1,_xll.TR(AY$7,AY$6,"Sdate=#1 Period=#2 NULL=BLANK Scale=6",,$D22,$AS$4),AY22)</f>
        <v/>
      </c>
      <c r="AZ22" s="765" t="str" cm="1">
        <f t="array" aca="1" ref="AZ22" ca="1">IF(NPSwitch=1,_xll.TR(AZ$7,AZ$6,"Sdate=#1 Period=#2 NULL=BLANK Scale=6",,$D22,$AS$4),AZ22)</f>
        <v/>
      </c>
      <c r="BA22" s="765" t="str" cm="1">
        <f t="array" aca="1" ref="BA22" ca="1">IF(NPSwitch=1,_xll.TR(BA$7,BA$6,"Sdate=#1 Period=#2 NULL=BLANK Scale=6",,$D22,$AS$4),BA22)</f>
        <v/>
      </c>
      <c r="BC22" s="765" cm="1">
        <f t="array" aca="1" ref="BC22" ca="1">IF(NPSwitch=1,_xll.TR(BC$7,BC$6,"Sdate=#1 Period=#2 NULL=BLANK",,$D22,$BC$4),BC22)</f>
        <v>14.005524485</v>
      </c>
      <c r="BD22" s="765" cm="1">
        <f t="array" aca="1" ref="BD22" ca="1">IF(NPSwitch=1,_xll.TR(BD$7,BD$6,"Sdate=#1 Period=#2 NULL=BLANK",,$D22,$BC$4),BD22)</f>
        <v>6.1710050460000003</v>
      </c>
      <c r="BE22" s="765" cm="1">
        <f t="array" aca="1" ref="BE22" ca="1">IF(NPSwitch=1,_xll.TR(BE$7,BE$6,"Sdate=#1 Period=#2 NULL=BLANK",,$D22,$BC$4),BE22)</f>
        <v>4.6166533029999997</v>
      </c>
      <c r="BF22" s="765" cm="1">
        <f t="array" aca="1" ref="BF22" ca="1">IF(NPSwitch=1,_xll.TR(BF$7,BF$6,"Sdate=#1 Period=#2 NULL=BLANK",,$D22,$BC$4),BF22)</f>
        <v>10.004587571</v>
      </c>
      <c r="BG22" s="765" t="str" cm="1">
        <f t="array" aca="1" ref="BG22" ca="1">IF(NPSwitch=1,_xll.TR(BG$7,BG$6,"Sdate=#1 Period=#2 NULL=BLANK",,$D22,$BC$4),BG22)</f>
        <v/>
      </c>
      <c r="BH22" s="765" cm="1">
        <f t="array" aca="1" ref="BH22" ca="1">IF(NPSwitch=1,_xll.TR(BH$7,BH$6,"Sdate=#1 Period=#2 NULL=BLANK",,$D22,$BC$4),BH22)</f>
        <v>13.225310696999999</v>
      </c>
      <c r="BI22" s="765" cm="1">
        <f t="array" aca="1" ref="BI22" ca="1">IF(NPSwitch=1,_xll.TR(BI$7,BI$6,"Sdate=#1 Period=#2 NULL=BLANK",,$D22,$BC$4),BI22)</f>
        <v>8.1773615119999992</v>
      </c>
      <c r="BJ22" s="765" cm="1">
        <f t="array" aca="1" ref="BJ22" ca="1">IF(NPSwitch=1,_xll.TR(BJ$7,BJ$6,"Sdate=#1 Period=#2 NULL=BLANK",,$D22,$BC$4),BJ22)</f>
        <v>5.5018142909999996</v>
      </c>
      <c r="BK22" s="765" cm="1">
        <f t="array" aca="1" ref="BK22" ca="1">IF(NPSwitch=1,_xll.TR(BK$7,BK$6,"Sdate=#1 Period=#2 NULL=BLANK",,$D22,$BC$4),BK22)</f>
        <v>6.0509255680000003</v>
      </c>
      <c r="BO22" s="765" cm="1">
        <f t="array" aca="1" ref="BO22" ca="1">IF(NPSwitch=1,_xll.TR(BO$7,BO$6,"Sdate=#1 Period=#2 NULL=BLANK Scale=6",,$D22,$AS$4),BO22)</f>
        <v>16334</v>
      </c>
      <c r="BP22" s="765" cm="1">
        <f t="array" aca="1" ref="BP22" ca="1">IF(NPSwitch=1,_xll.TR(BP$7,BP$6,"Sdate=#1 Period=#2 NULL=BLANK Scale=6",,$D22,$AS$4),BP22)</f>
        <v>896.52300000000002</v>
      </c>
      <c r="BQ22" s="765" cm="1">
        <f t="array" aca="1" ref="BQ22" ca="1">IF(NPSwitch=1,_xll.TR(BQ$7,BQ$6,"Sdate=#1 Period=#2 NULL=BLANK Scale=6",,$D22,$AS$4),BQ22)</f>
        <v>7719</v>
      </c>
      <c r="BR22" s="765" cm="1">
        <f t="array" aca="1" ref="BR22" ca="1">IF(NPSwitch=1,_xll.TR(BR$7,BR$6,"Sdate=#1 Period=#2 NULL=BLANK Scale=6",,$D22,$AS$4),BR22)</f>
        <v>2767.5</v>
      </c>
      <c r="BS22" s="765" t="str" cm="1">
        <f t="array" aca="1" ref="BS22" ca="1">IF(NPSwitch=1,_xll.TR(BS$7,BS$6,"Sdate=#1 Period=#2 NULL=BLANK Scale=6",,$D22,$AS$4),BS22)</f>
        <v/>
      </c>
      <c r="BT22" s="765" cm="1">
        <f t="array" aca="1" ref="BT22" ca="1">IF(NPSwitch=1,_xll.TR(BT$7,BT$6,"Sdate=#1 Period=#2 NULL=BLANK Scale=6",,$D22,$AS$4),BT22)</f>
        <v>2405.6</v>
      </c>
      <c r="BU22" s="765" cm="1">
        <f t="array" aca="1" ref="BU22" ca="1">IF(NPSwitch=1,_xll.TR(BU$7,BU$6,"Sdate=#1 Period=#2 NULL=BLANK Scale=6",,$D22,$AS$4),BU22)</f>
        <v>8320</v>
      </c>
      <c r="BV22" s="765" t="str" cm="1">
        <f t="array" aca="1" ref="BV22" ca="1">IF(NPSwitch=1,_xll.TR(BV$7,BV$6,"Sdate=#1 Period=#2 NULL=BLANK Scale=6",,$D22,$AS$4),BV22)</f>
        <v/>
      </c>
      <c r="BW22" s="765" cm="1">
        <f t="array" aca="1" ref="BW22" ca="1">IF(NPSwitch=1,_xll.TR(BW$7,BW$6,"Sdate=#1 Period=#2 NULL=BLANK Scale=6",,$D22,$AS$4),BW22)</f>
        <v>5491</v>
      </c>
      <c r="BY22" s="765" cm="1">
        <f t="array" aca="1" ref="BY22" ca="1">IF(NPSwitch=1,_xll.TR(BY$7,BY$6,"Sdate=#1 Period=#2 NULL=BLANK Scale=6",,$D22,$AS$4),BY22)</f>
        <v>9431</v>
      </c>
      <c r="BZ22" s="765" cm="1">
        <f t="array" aca="1" ref="BZ22" ca="1">IF(NPSwitch=1,_xll.TR(BZ$7,BZ$6,"Sdate=#1 Period=#2 NULL=BLANK Scale=6",,$D22,$AS$4),BZ22)</f>
        <v>694.22175000000004</v>
      </c>
      <c r="CA22" s="765" cm="1">
        <f t="array" aca="1" ref="CA22" ca="1">IF(NPSwitch=1,_xll.TR(CA$7,CA$6,"Sdate=#1 Period=#2 NULL=BLANK Scale=6",,$D22,$AS$4),CA22)</f>
        <v>4146</v>
      </c>
      <c r="CB22" s="765" cm="1">
        <f t="array" aca="1" ref="CB22" ca="1">IF(NPSwitch=1,_xll.TR(CB$7,CB$6,"Sdate=#1 Period=#2 NULL=BLANK Scale=6",,$D22,$AS$4),CB22)</f>
        <v>1373.8</v>
      </c>
      <c r="CC22" s="765" t="str" cm="1">
        <f t="array" aca="1" ref="CC22" ca="1">IF(NPSwitch=1,_xll.TR(CC$7,CC$6,"Sdate=#1 Period=#2 NULL=BLANK Scale=6",,$D22,$AS$4),CC22)</f>
        <v/>
      </c>
      <c r="CD22" s="765" cm="1">
        <f t="array" aca="1" ref="CD22" ca="1">IF(NPSwitch=1,_xll.TR(CD$7,CD$6,"Sdate=#1 Period=#2 NULL=BLANK Scale=6",,$D22,$AS$4),CD22)</f>
        <v>1968.4</v>
      </c>
      <c r="CE22" s="765" cm="1">
        <f t="array" aca="1" ref="CE22" ca="1">IF(NPSwitch=1,_xll.TR(CE$7,CE$6,"Sdate=#1 Period=#2 NULL=BLANK Scale=6",,$D22,$AS$4),CE22)</f>
        <v>6059</v>
      </c>
      <c r="CF22" s="765" t="str" cm="1">
        <f t="array" aca="1" ref="CF22" ca="1">IF(NPSwitch=1,_xll.TR(CF$7,CF$6,"Sdate=#1 Period=#2 NULL=BLANK Scale=6",,$D22,$AS$4),CF22)</f>
        <v/>
      </c>
      <c r="CG22" s="765" cm="1">
        <f t="array" aca="1" ref="CG22" ca="1">IF(NPSwitch=1,_xll.TR(CG$7,CG$6,"Sdate=#1 Period=#2 NULL=BLANK Scale=6",,$D22,$AS$4),CG22)</f>
        <v>3933.25</v>
      </c>
      <c r="CI22" s="1000" cm="1">
        <f t="array" aca="1" ref="CI22" ca="1">IF(NPSwitch=1,_xll.TR(CI$7,CI$6,"Sdate=#1 Period=#2 NULL=BLANK Scale=6",,$D22,$AS$4),CI22)</f>
        <v>3424</v>
      </c>
      <c r="CJ22" s="1000" cm="1">
        <f t="array" aca="1" ref="CJ22" ca="1">IF(NPSwitch=1,_xll.TR(CJ$7,CJ$6,"Sdate=#1 Period=#2 NULL=BLANK Scale=6",,$D22,$AS$4),CJ22)</f>
        <v>183.39699999999999</v>
      </c>
      <c r="CK22" s="1000" cm="1">
        <f t="array" aca="1" ref="CK22" ca="1">IF(NPSwitch=1,_xll.TR(CK$7,CK$6,"Sdate=#1 Period=#2 NULL=BLANK Scale=6",,$D22,$AS$4),CK22)</f>
        <v>1101</v>
      </c>
      <c r="CL22" s="1000" cm="1">
        <f t="array" aca="1" ref="CL22" ca="1">IF(NPSwitch=1,_xll.TR(CL$7,CL$6,"Sdate=#1 Period=#2 NULL=BLANK Scale=6",,$D22,$AS$4),CL22)</f>
        <v>130.9</v>
      </c>
      <c r="CM22" s="1000" t="str" cm="1">
        <f t="array" aca="1" ref="CM22" ca="1">IF(NPSwitch=1,_xll.TR(CM$7,CM$6,"Sdate=#1 Period=#2 NULL=BLANK Scale=6",,$D22,$AS$4),CM22)</f>
        <v/>
      </c>
      <c r="CN22" s="1000" t="str" cm="1">
        <f t="array" aca="1" ref="CN22" ca="1">IF(NPSwitch=1,_xll.TR(CN$7,CN$6,"Sdate=#1 Period=#2 NULL=BLANK Scale=6",,$D22,$AS$4),CN22)</f>
        <v/>
      </c>
      <c r="CO22" s="1000" cm="1">
        <f t="array" aca="1" ref="CO22" ca="1">IF(NPSwitch=1,_xll.TR(CO$7,CO$6,"Sdate=#1 Period=#2 NULL=BLANK Scale=6",,$D22,$AS$4),CO22)</f>
        <v>1429</v>
      </c>
      <c r="CP22" s="1000" t="str" cm="1">
        <f t="array" aca="1" ref="CP22" ca="1">IF(NPSwitch=1,_xll.TR(CP$7,CP$6,"Sdate=#1 Period=#2 NULL=BLANK Scale=6",,$D22,$AS$4),CP22)</f>
        <v/>
      </c>
      <c r="CQ22" s="1000" cm="1">
        <f t="array" aca="1" ref="CQ22" ca="1">IF(NPSwitch=1,_xll.TR(CQ$7,CQ$6,"Sdate=#1 Period=#2 NULL=BLANK Scale=6",,$D22,$AS$4),CQ22)</f>
        <v>846</v>
      </c>
      <c r="CS22" s="1000" cm="1">
        <f t="array" aca="1" ref="CS22" ca="1">IF(NPSwitch=1,_xll.TR(CS$7,CS$6,"Sdate=#1 Period=#2 NULL=BLANK Scale=6",,$D22,$AS$4),CS22)</f>
        <v>5827</v>
      </c>
      <c r="CT22" s="1000" cm="1">
        <f t="array" aca="1" ref="CT22" ca="1">IF(NPSwitch=1,_xll.TR(CT$7,CT$6,"Sdate=#1 Period=#2 NULL=BLANK Scale=6",,$D22,$AS$4),CT22)</f>
        <v>496.49074999999999</v>
      </c>
      <c r="CU22" s="1000" cm="1">
        <f t="array" aca="1" ref="CU22" ca="1">IF(NPSwitch=1,_xll.TR(CU$7,CU$6,"Sdate=#1 Period=#2 NULL=BLANK Scale=6",,$D22,$AS$4),CU22)</f>
        <v>1419.75</v>
      </c>
      <c r="CV22" s="1000" cm="1">
        <f t="array" aca="1" ref="CV22" ca="1">IF(NPSwitch=1,_xll.TR(CV$7,CV$6,"Sdate=#1 Period=#2 NULL=BLANK Scale=6",,$D22,$AS$4),CV22)</f>
        <v>685.47500000000002</v>
      </c>
      <c r="CW22" s="1000" cm="1">
        <f t="array" aca="1" ref="CW22" ca="1">IF(NPSwitch=1,_xll.TR(CW$7,CW$6,"Sdate=#1 Period=#2 NULL=BLANK Scale=6",,$D22,$AS$4),CW22)</f>
        <v>1414.175</v>
      </c>
      <c r="CX22" s="1000" cm="1">
        <f t="array" aca="1" ref="CX22" ca="1">IF(NPSwitch=1,_xll.TR(CX$7,CX$6,"Sdate=#1 Period=#2 NULL=BLANK Scale=6",,$D22,$AS$4),CX22)</f>
        <v>2845.5</v>
      </c>
      <c r="CY22" s="1000" t="str" cm="1">
        <f t="array" aca="1" ref="CY22" ca="1">IF(NPSwitch=1,_xll.TR(CY$7,CY$6,"Sdate=#1 Period=#2 NULL=BLANK Scale=6",,$D22,$AS$4),CY22)</f>
        <v/>
      </c>
      <c r="CZ22" s="1000" cm="1">
        <f t="array" aca="1" ref="CZ22" ca="1">IF(NPSwitch=1,_xll.TR(CZ$7,CZ$6,"Sdate=#1 Period=#2 NULL=BLANK Scale=6",,$D22,$AS$4),CZ22)</f>
        <v>3813.75</v>
      </c>
      <c r="DA22" s="1000" t="str" cm="1">
        <f t="array" aca="1" ref="DA22" ca="1">IF(NPSwitch=1,_xll.TR(DA$7,DA$6,"Sdate=#1 Period=#2 NULL=BLANK Scale=6",,$D22,$AS$4),DA22)</f>
        <v/>
      </c>
      <c r="DB22" s="1000" t="str" cm="1">
        <f t="array" aca="1" ref="DB22" ca="1">IF(NPSwitch=1,_xll.TR(DB$7,DB$6,"Sdate=#1 Period=#2 NULL=BLANK Scale=6",,$D22,$AS$4),DB22)</f>
        <v/>
      </c>
      <c r="DC22" s="1000" t="str" cm="1">
        <f t="array" aca="1" ref="DC22" ca="1">IF(NPSwitch=1,_xll.TR(DC$7,DC$6,"Sdate=#1 Period=#2 NULL=BLANK Scale=6",,$D22,$AS$4),DC22)</f>
        <v/>
      </c>
      <c r="DD22" s="1000" t="str" cm="1">
        <f t="array" aca="1" ref="DD22" ca="1">IF(NPSwitch=1,_xll.TR(DD$7,DD$6,"Sdate=#1 Period=#2 NULL=BLANK Scale=6",,$D22,$AS$4),DD22)</f>
        <v/>
      </c>
      <c r="DE22" s="1000" t="str" cm="1">
        <f t="array" aca="1" ref="DE22" ca="1">IF(NPSwitch=1,_xll.TR(DE$7,DE$6,"Sdate=#1 Period=#2 NULL=BLANK Scale=6",,$D22,$AS$4),DE22)</f>
        <v/>
      </c>
      <c r="DF22" s="1000" cm="1">
        <f t="array" aca="1" ref="DF22" ca="1">IF(NPSwitch=1,_xll.TR(DF$7,DF$6,"Sdate=#1 Period=#2 NULL=BLANK Scale=6",,$D22,$AS$4),DF22)</f>
        <v>685.47500000000002</v>
      </c>
      <c r="DG22" s="1000" t="str" cm="1">
        <f t="array" aca="1" ref="DG22" ca="1">IF(NPSwitch=1,_xll.TR(DG$7,DG$6,"Sdate=#1 Period=#2 NULL=BLANK Scale=6",,$D22,$AS$4),DG22)</f>
        <v/>
      </c>
      <c r="DH22" s="1000" t="str" cm="1">
        <f t="array" aca="1" ref="DH22" ca="1">IF(NPSwitch=1,_xll.TR(DH$7,DH$6,"Sdate=#1 Period=#2 NULL=BLANK Scale=6",,$D22,$AS$4),DH22)</f>
        <v/>
      </c>
    </row>
    <row r="23" spans="1:112" ht="11.25" customHeight="1">
      <c r="C23" s="973">
        <f t="shared" si="44"/>
        <v>37256</v>
      </c>
      <c r="D23" s="974">
        <f t="shared" si="43"/>
        <v>37301</v>
      </c>
      <c r="E23" s="765" t="str" cm="1">
        <f t="array" aca="1" ref="E23" ca="1">IF(NPSwitch=1,_xll.TR(E$7,E$6,"Sdate=#1 Period=#2 NULL=BLANK",,$D23,$E$4),E23)</f>
        <v/>
      </c>
      <c r="F23" s="765" t="str" cm="1">
        <f t="array" aca="1" ref="F23" ca="1">IF(NPSwitch=1,_xll.TR(F$7,F$6,"Sdate=#1 Period=#2 NULL=BLANK",,$D23,$E$4),F23)</f>
        <v/>
      </c>
      <c r="G23" s="765" t="str" cm="1">
        <f t="array" aca="1" ref="G23" ca="1">IF(NPSwitch=1,_xll.TR(G$7,G$6,"Sdate=#1 Period=#2 NULL=BLANK",,$D23,$E$4),G23)</f>
        <v/>
      </c>
      <c r="H23" s="765" t="str" cm="1">
        <f t="array" aca="1" ref="H23" ca="1">IF(NPSwitch=1,_xll.TR(H$7,H$6,"Sdate=#1 Period=#2 NULL=BLANK",,$D23,$E$4),H23)</f>
        <v/>
      </c>
      <c r="I23" s="765" t="str" cm="1">
        <f t="array" aca="1" ref="I23" ca="1">IF(NPSwitch=1,_xll.TR(I$7,I$6,"Sdate=#1 Period=#2 NULL=BLANK",,$D23,$E$4),I23)</f>
        <v/>
      </c>
      <c r="J23" s="765" t="str" cm="1">
        <f t="array" aca="1" ref="J23" ca="1">IF(NPSwitch=1,_xll.TR(J$7,J$6,"Sdate=#1 Period=#2 NULL=BLANK",,$D23,$E$4),J23)</f>
        <v/>
      </c>
      <c r="K23" s="765" t="str" cm="1">
        <f t="array" aca="1" ref="K23" ca="1">IF(NPSwitch=1,_xll.TR(K$7,K$6,"Sdate=#1 Period=#2 NULL=BLANK",,$D23,$E$4),K23)</f>
        <v/>
      </c>
      <c r="L23" s="765" cm="1">
        <f t="array" aca="1" ref="L23" ca="1">IF(NPSwitch=1,_xll.TR(L$7,L$6,"Sdate=#1 Period=#2 NULL=BLANK",,$D23,$E$4),L23)</f>
        <v>5.8099334817420401</v>
      </c>
      <c r="M23" s="765" t="str" cm="1">
        <f t="array" aca="1" ref="M23" ca="1">IF(NPSwitch=1,_xll.TR(M$7,M$6,"Sdate=#1 Period=#2 NULL=BLANK",,$D23,$E$4),M23)</f>
        <v/>
      </c>
      <c r="O23" s="1000" cm="1">
        <f t="array" aca="1" ref="O23" ca="1">IF(NPSwitch=1,_xll.TR(O$7,O$6,"Sdate=#1 Period=#2 Scale=6 NULL=BLANK",,$D23,$O$4),O23)</f>
        <v>45610.015538500003</v>
      </c>
      <c r="P23" s="1000" cm="1">
        <f t="array" aca="1" ref="P23" ca="1">IF(NPSwitch=1,_xll.TR(P$7,P$6,"Sdate=#1 Period=#2 Scale=6 NULL=BLANK",,$D23,$O$4),P23)</f>
        <v>1103.3313499999999</v>
      </c>
      <c r="Q23" s="1000" cm="1">
        <f t="array" aca="1" ref="Q23" ca="1">IF(NPSwitch=1,_xll.TR(Q$7,Q$6,"Sdate=#1 Period=#2 Scale=6 NULL=BLANK",,$D23,$O$4),Q23)</f>
        <v>3063.8362846</v>
      </c>
      <c r="R23" s="1000" cm="1">
        <f t="array" aca="1" ref="R23" ca="1">IF(NPSwitch=1,_xll.TR(R$7,R$6,"Sdate=#1 Period=#2 Scale=6 NULL=BLANK",,$D23,$O$4),R23)</f>
        <v>929.61056429999996</v>
      </c>
      <c r="S23" s="1000" t="str" cm="1">
        <f t="array" aca="1" ref="S23" ca="1">IF(NPSwitch=1,_xll.TR(S$7,S$6,"Sdate=#1 Period=#2 Scale=6 NULL=BLANK",,$D23,$O$4),S23)</f>
        <v/>
      </c>
      <c r="T23" s="1000" cm="1">
        <f t="array" aca="1" ref="T23" ca="1">IF(NPSwitch=1,_xll.TR(T$7,T$6,"Sdate=#1 Period=#2 Scale=6 NULL=BLANK",,$D23,$O$4),T23)</f>
        <v>1061.4279799999999</v>
      </c>
      <c r="U23" s="1000" cm="1">
        <f t="array" aca="1" ref="U23" ca="1">IF(NPSwitch=1,_xll.TR(U$7,U$6,"Sdate=#1 Period=#2 Scale=6 NULL=BLANK",,$D23,$O$4),U23)</f>
        <v>8141.8603899500004</v>
      </c>
      <c r="V23" s="1000" cm="1">
        <f t="array" aca="1" ref="V23" ca="1">IF(NPSwitch=1,_xll.TR(V$7,V$6,"Sdate=#1 Period=#2 Scale=6 NULL=BLANK",,$D23,$O$4),V23)</f>
        <v>6330.3741735572003</v>
      </c>
      <c r="W23" s="1000" cm="1">
        <f t="array" aca="1" ref="W23" ca="1">IF(NPSwitch=1,_xll.TR(W$7,W$6,"Sdate=#1 Period=#2 Scale=6 NULL=BLANK",,$D23,$O$4),W23)</f>
        <v>3062.3751858000001</v>
      </c>
      <c r="X23" s="998"/>
      <c r="Y23" s="1000" cm="1">
        <f t="array" aca="1" ref="Y23" ca="1">IF(NPSwitch=1,_xll.TR(Y$7,Y$6,"Sdate=#1 Period=#2 Scale=6 NULL=BLANK",,$D23,$O$4),Y23)</f>
        <v>549</v>
      </c>
      <c r="Z23" s="1000" cm="1">
        <f t="array" aca="1" ref="Z23" ca="1">IF(NPSwitch=1,_xll.TR(Z$7,Z$6,"Sdate=#1 Period=#2 Scale=6 NULL=BLANK",,$D23,$O$4),Z23)</f>
        <v>21.81475</v>
      </c>
      <c r="AA23" s="1000" cm="1">
        <f t="array" aca="1" ref="AA23" ca="1">IF(NPSwitch=1,_xll.TR(AA$7,AA$6,"Sdate=#1 Period=#2 Scale=6 NULL=BLANK",,$D23,$O$4),AA23)</f>
        <v>161.75</v>
      </c>
      <c r="AB23" s="1000" cm="1">
        <f t="array" aca="1" ref="AB23" ca="1">IF(NPSwitch=1,_xll.TR(AB$7,AB$6,"Sdate=#1 Period=#2 Scale=6 NULL=BLANK",,$D23,$O$4),AB23)</f>
        <v>29.925000000000001</v>
      </c>
      <c r="AC23" s="1000" t="str" cm="1">
        <f t="array" aca="1" ref="AC23" ca="1">IF(NPSwitch=1,_xll.TR(AC$7,AC$6,"Sdate=#1 Period=#2 Scale=6 NULL=BLANK",,$D23,$O$4),AC23)</f>
        <v/>
      </c>
      <c r="AD23" s="1000" cm="1">
        <f t="array" aca="1" ref="AD23" ca="1">IF(NPSwitch=1,_xll.TR(AD$7,AD$6,"Sdate=#1 Period=#2 Scale=6 NULL=BLANK",,$D23,$O$4),AD23)</f>
        <v>52.55</v>
      </c>
      <c r="AE23" s="1000" cm="1">
        <f t="array" aca="1" ref="AE23" ca="1">IF(NPSwitch=1,_xll.TR(AE$7,AE$6,"Sdate=#1 Period=#2 Scale=6 NULL=BLANK",,$D23,$O$4),AE23)</f>
        <v>115.75</v>
      </c>
      <c r="AF23" s="1000" t="str" cm="1">
        <f t="array" aca="1" ref="AF23" ca="1">IF(NPSwitch=1,_xll.TR(AF$7,AF$6,"Sdate=#1 Period=#2 Scale=6 NULL=BLANK",,$D23,$O$4),AF23)</f>
        <v/>
      </c>
      <c r="AG23" s="1000" cm="1">
        <f t="array" aca="1" ref="AG23" ca="1">IF(NPSwitch=1,_xll.TR(AG$7,AG$6,"Sdate=#1 Period=#2 Scale=6 NULL=BLANK",,$D23,$O$4),AG23)</f>
        <v>64</v>
      </c>
      <c r="AH23" s="998"/>
      <c r="AI23" s="1000" cm="1">
        <f t="array" aca="1" ref="AI23" ca="1">IF(NPSwitch=1,_xll.TR(AI$7,AI$6,"Sdate=#1 Period=#2 Scale=6 NULL=BLANK",,$D23,$O$4),AI23)</f>
        <v>48530.015538500003</v>
      </c>
      <c r="AJ23" s="1000" cm="1">
        <f t="array" aca="1" ref="AJ23" ca="1">IF(NPSwitch=1,_xll.TR(AJ$7,AJ$6,"Sdate=#1 Period=#2 Scale=6 NULL=BLANK",,$D23,$O$4),AJ23)</f>
        <v>1253.0723499999999</v>
      </c>
      <c r="AK23" s="1000" cm="1">
        <f t="array" aca="1" ref="AK23" ca="1">IF(NPSwitch=1,_xll.TR(AK$7,AK$6,"Sdate=#1 Period=#2 Scale=6 NULL=BLANK",,$D23,$O$4),AK23)</f>
        <v>4644.8362846</v>
      </c>
      <c r="AL23" s="1000" cm="1">
        <f t="array" aca="1" ref="AL23" ca="1">IF(NPSwitch=1,_xll.TR(AL$7,AL$6,"Sdate=#1 Period=#2 Scale=6 NULL=BLANK",,$D23,$O$4),AL23)</f>
        <v>1394.1105643000001</v>
      </c>
      <c r="AM23" s="1000" t="str" cm="1">
        <f t="array" aca="1" ref="AM23" ca="1">IF(NPSwitch=1,_xll.TR(AM$7,AM$6,"Sdate=#1 Period=#2 Scale=6 NULL=BLANK",,$D23,$O$4),AM23)</f>
        <v/>
      </c>
      <c r="AN23" s="1000" cm="1">
        <f t="array" aca="1" ref="AN23" ca="1">IF(NPSwitch=1,_xll.TR(AN$7,AN$6,"Sdate=#1 Period=#2 Scale=6 NULL=BLANK",,$D23,$O$4),AN23)</f>
        <v>2285.5279799999998</v>
      </c>
      <c r="AO23" s="1000" cm="1">
        <f t="array" aca="1" ref="AO23" ca="1">IF(NPSwitch=1,_xll.TR(AO$7,AO$6,"Sdate=#1 Period=#2 Scale=6 NULL=BLANK",,$D23,$O$4),AO23)</f>
        <v>10773.860389949999</v>
      </c>
      <c r="AP23" s="1000" cm="1">
        <f t="array" aca="1" ref="AP23" ca="1">IF(NPSwitch=1,_xll.TR(AP$7,AP$6,"Sdate=#1 Period=#2 Scale=6 NULL=BLANK",,$D23,$O$4),AP23)</f>
        <v>7800.3741735570002</v>
      </c>
      <c r="AQ23" s="1000" cm="1">
        <f t="array" aca="1" ref="AQ23" ca="1">IF(NPSwitch=1,_xll.TR(AQ$7,AQ$6,"Sdate=#1 Period=#2 Scale=6 NULL=BLANK",,$D23,$O$4),AQ23)</f>
        <v>5278.3751857999996</v>
      </c>
      <c r="AS23" s="765" t="str" cm="1">
        <f t="array" aca="1" ref="AS23" ca="1">IF(NPSwitch=1,_xll.TR(AS$7,AS$6,"Sdate=#1 Period=#2 NULL=BLANK Scale=6",,$D23,$AS$4),AS23)</f>
        <v/>
      </c>
      <c r="AT23" s="765" t="str" cm="1">
        <f t="array" aca="1" ref="AT23" ca="1">IF(NPSwitch=1,_xll.TR(AT$7,AT$6,"Sdate=#1 Period=#2 NULL=BLANK Scale=6",,$D23,$AS$4),AT23)</f>
        <v/>
      </c>
      <c r="AU23" s="765" t="str" cm="1">
        <f t="array" aca="1" ref="AU23" ca="1">IF(NPSwitch=1,_xll.TR(AU$7,AU$6,"Sdate=#1 Period=#2 NULL=BLANK Scale=6",,$D23,$AS$4),AU23)</f>
        <v/>
      </c>
      <c r="AV23" s="765" t="str" cm="1">
        <f t="array" aca="1" ref="AV23" ca="1">IF(NPSwitch=1,_xll.TR(AV$7,AV$6,"Sdate=#1 Period=#2 NULL=BLANK Scale=6",,$D23,$AS$4),AV23)</f>
        <v/>
      </c>
      <c r="AW23" s="765" t="str" cm="1">
        <f t="array" aca="1" ref="AW23" ca="1">IF(NPSwitch=1,_xll.TR(AW$7,AW$6,"Sdate=#1 Period=#2 NULL=BLANK Scale=6",,$D23,$AS$4),AW23)</f>
        <v/>
      </c>
      <c r="AX23" s="765" t="str" cm="1">
        <f t="array" aca="1" ref="AX23" ca="1">IF(NPSwitch=1,_xll.TR(AX$7,AX$6,"Sdate=#1 Period=#2 NULL=BLANK Scale=6",,$D23,$AS$4),AX23)</f>
        <v/>
      </c>
      <c r="AY23" s="765" t="str" cm="1">
        <f t="array" aca="1" ref="AY23" ca="1">IF(NPSwitch=1,_xll.TR(AY$7,AY$6,"Sdate=#1 Period=#2 NULL=BLANK Scale=6",,$D23,$AS$4),AY23)</f>
        <v/>
      </c>
      <c r="AZ23" s="765" t="str" cm="1">
        <f t="array" aca="1" ref="AZ23" ca="1">IF(NPSwitch=1,_xll.TR(AZ$7,AZ$6,"Sdate=#1 Period=#2 NULL=BLANK Scale=6",,$D23,$AS$4),AZ23)</f>
        <v/>
      </c>
      <c r="BA23" s="765" t="str" cm="1">
        <f t="array" aca="1" ref="BA23" ca="1">IF(NPSwitch=1,_xll.TR(BA$7,BA$6,"Sdate=#1 Period=#2 NULL=BLANK Scale=6",,$D23,$AS$4),BA23)</f>
        <v/>
      </c>
      <c r="BC23" s="765" cm="1">
        <f t="array" aca="1" ref="BC23" ca="1">IF(NPSwitch=1,_xll.TR(BC$7,BC$6,"Sdate=#1 Period=#2 NULL=BLANK",,$D23,$BC$4),BC23)</f>
        <v>14.173485847</v>
      </c>
      <c r="BD23" s="765" cm="1">
        <f t="array" aca="1" ref="BD23" ca="1">IF(NPSwitch=1,_xll.TR(BD$7,BD$6,"Sdate=#1 Period=#2 NULL=BLANK",,$D23,$BC$4),BD23)</f>
        <v>6.8325673269999996</v>
      </c>
      <c r="BE23" s="765" cm="1">
        <f t="array" aca="1" ref="BE23" ca="1">IF(NPSwitch=1,_xll.TR(BE$7,BE$6,"Sdate=#1 Period=#2 NULL=BLANK",,$D23,$BC$4),BE23)</f>
        <v>4.4236536040000001</v>
      </c>
      <c r="BF23" s="765" cm="1">
        <f t="array" aca="1" ref="BF23" ca="1">IF(NPSwitch=1,_xll.TR(BF$7,BF$6,"Sdate=#1 Period=#2 NULL=BLANK",,$D23,$BC$4),BF23)</f>
        <v>10.650195296</v>
      </c>
      <c r="BG23" s="765" t="str" cm="1">
        <f t="array" aca="1" ref="BG23" ca="1">IF(NPSwitch=1,_xll.TR(BG$7,BG$6,"Sdate=#1 Period=#2 NULL=BLANK",,$D23,$BC$4),BG23)</f>
        <v/>
      </c>
      <c r="BH23" s="765" cm="1">
        <f t="array" aca="1" ref="BH23" ca="1">IF(NPSwitch=1,_xll.TR(BH$7,BH$6,"Sdate=#1 Period=#2 NULL=BLANK",,$D23,$BC$4),BH23)</f>
        <v>10.675048949000001</v>
      </c>
      <c r="BI23" s="765" cm="1">
        <f t="array" aca="1" ref="BI23" ca="1">IF(NPSwitch=1,_xll.TR(BI$7,BI$6,"Sdate=#1 Period=#2 NULL=BLANK",,$D23,$BC$4),BI23)</f>
        <v>7.539440441</v>
      </c>
      <c r="BJ23" s="765" cm="1">
        <f t="array" aca="1" ref="BJ23" ca="1">IF(NPSwitch=1,_xll.TR(BJ$7,BJ$6,"Sdate=#1 Period=#2 NULL=BLANK",,$D23,$BC$4),BJ23)</f>
        <v>6.4894959849999996</v>
      </c>
      <c r="BK23" s="765" cm="1">
        <f t="array" aca="1" ref="BK23" ca="1">IF(NPSwitch=1,_xll.TR(BK$7,BK$6,"Sdate=#1 Period=#2 NULL=BLANK",,$D23,$BC$4),BK23)</f>
        <v>6.2392141680000002</v>
      </c>
      <c r="BO23" s="765" cm="1">
        <f t="array" aca="1" ref="BO23" ca="1">IF(NPSwitch=1,_xll.TR(BO$7,BO$6,"Sdate=#1 Period=#2 NULL=BLANK Scale=6",,$D23,$AS$4),BO23)</f>
        <v>16054</v>
      </c>
      <c r="BP23" s="765" cm="1">
        <f t="array" aca="1" ref="BP23" ca="1">IF(NPSwitch=1,_xll.TR(BP$7,BP$6,"Sdate=#1 Period=#2 NULL=BLANK Scale=6",,$D23,$AS$4),BP23)</f>
        <v>916.899</v>
      </c>
      <c r="BQ23" s="765" cm="1">
        <f t="array" aca="1" ref="BQ23" ca="1">IF(NPSwitch=1,_xll.TR(BQ$7,BQ$6,"Sdate=#1 Period=#2 NULL=BLANK Scale=6",,$D23,$AS$4),BQ23)</f>
        <v>7653</v>
      </c>
      <c r="BR23" s="765" cm="1">
        <f t="array" aca="1" ref="BR23" ca="1">IF(NPSwitch=1,_xll.TR(BR$7,BR$6,"Sdate=#1 Period=#2 NULL=BLANK Scale=6",,$D23,$AS$4),BR23)</f>
        <v>2654.6</v>
      </c>
      <c r="BS23" s="765" t="str" cm="1">
        <f t="array" aca="1" ref="BS23" ca="1">IF(NPSwitch=1,_xll.TR(BS$7,BS$6,"Sdate=#1 Period=#2 NULL=BLANK Scale=6",,$D23,$AS$4),BS23)</f>
        <v/>
      </c>
      <c r="BT23" s="765" cm="1">
        <f t="array" aca="1" ref="BT23" ca="1">IF(NPSwitch=1,_xll.TR(BT$7,BT$6,"Sdate=#1 Period=#2 NULL=BLANK Scale=6",,$D23,$AS$4),BT23)</f>
        <v>1943</v>
      </c>
      <c r="BU23" s="765" cm="1">
        <f t="array" aca="1" ref="BU23" ca="1">IF(NPSwitch=1,_xll.TR(BU$7,BU$6,"Sdate=#1 Period=#2 NULL=BLANK Scale=6",,$D23,$AS$4),BU23)</f>
        <v>8169</v>
      </c>
      <c r="BV23" s="765" t="str" cm="1">
        <f t="array" aca="1" ref="BV23" ca="1">IF(NPSwitch=1,_xll.TR(BV$7,BV$6,"Sdate=#1 Period=#2 NULL=BLANK Scale=6",,$D23,$AS$4),BV23)</f>
        <v/>
      </c>
      <c r="BW23" s="765" cm="1">
        <f t="array" aca="1" ref="BW23" ca="1">IF(NPSwitch=1,_xll.TR(BW$7,BW$6,"Sdate=#1 Period=#2 NULL=BLANK Scale=6",,$D23,$AS$4),BW23)</f>
        <v>5390</v>
      </c>
      <c r="BY23" s="765" cm="1">
        <f t="array" aca="1" ref="BY23" ca="1">IF(NPSwitch=1,_xll.TR(BY$7,BY$6,"Sdate=#1 Period=#2 NULL=BLANK Scale=6",,$D23,$AS$4),BY23)</f>
        <v>9333.75</v>
      </c>
      <c r="BZ23" s="765" cm="1">
        <f t="array" aca="1" ref="BZ23" ca="1">IF(NPSwitch=1,_xll.TR(BZ$7,BZ$6,"Sdate=#1 Period=#2 NULL=BLANK Scale=6",,$D23,$AS$4),BZ23)</f>
        <v>720.87924999999996</v>
      </c>
      <c r="CA23" s="765" cm="1">
        <f t="array" aca="1" ref="CA23" ca="1">IF(NPSwitch=1,_xll.TR(CA$7,CA$6,"Sdate=#1 Period=#2 NULL=BLANK Scale=6",,$D23,$AS$4),CA23)</f>
        <v>4133.25</v>
      </c>
      <c r="CB23" s="765" cm="1">
        <f t="array" aca="1" ref="CB23" ca="1">IF(NPSwitch=1,_xll.TR(CB$7,CB$6,"Sdate=#1 Period=#2 NULL=BLANK Scale=6",,$D23,$AS$4),CB23)</f>
        <v>1286.6500000000001</v>
      </c>
      <c r="CC23" s="765" t="str" cm="1">
        <f t="array" aca="1" ref="CC23" ca="1">IF(NPSwitch=1,_xll.TR(CC$7,CC$6,"Sdate=#1 Period=#2 NULL=BLANK Scale=6",,$D23,$AS$4),CC23)</f>
        <v/>
      </c>
      <c r="CD23" s="765" cm="1">
        <f t="array" aca="1" ref="CD23" ca="1">IF(NPSwitch=1,_xll.TR(CD$7,CD$6,"Sdate=#1 Period=#2 NULL=BLANK Scale=6",,$D23,$AS$4),CD23)</f>
        <v>1801.575</v>
      </c>
      <c r="CE23" s="765" cm="1">
        <f t="array" aca="1" ref="CE23" ca="1">IF(NPSwitch=1,_xll.TR(CE$7,CE$6,"Sdate=#1 Period=#2 NULL=BLANK Scale=6",,$D23,$AS$4),CE23)</f>
        <v>5909.25</v>
      </c>
      <c r="CF23" s="765" t="str" cm="1">
        <f t="array" aca="1" ref="CF23" ca="1">IF(NPSwitch=1,_xll.TR(CF$7,CF$6,"Sdate=#1 Period=#2 NULL=BLANK Scale=6",,$D23,$AS$4),CF23)</f>
        <v/>
      </c>
      <c r="CG23" s="765" cm="1">
        <f t="array" aca="1" ref="CG23" ca="1">IF(NPSwitch=1,_xll.TR(CG$7,CG$6,"Sdate=#1 Period=#2 NULL=BLANK Scale=6",,$D23,$AS$4),CG23)</f>
        <v>3870</v>
      </c>
      <c r="CI23" s="1000" cm="1">
        <f t="array" aca="1" ref="CI23" ca="1">IF(NPSwitch=1,_xll.TR(CI$7,CI$6,"Sdate=#1 Period=#2 NULL=BLANK Scale=6",,$D23,$AS$4),CI23)</f>
        <v>3362</v>
      </c>
      <c r="CJ23" s="1000" cm="1">
        <f t="array" aca="1" ref="CJ23" ca="1">IF(NPSwitch=1,_xll.TR(CJ$7,CJ$6,"Sdate=#1 Period=#2 NULL=BLANK Scale=6",,$D23,$AS$4),CJ23)</f>
        <v>178.11099999999999</v>
      </c>
      <c r="CK23" s="1000" cm="1">
        <f t="array" aca="1" ref="CK23" ca="1">IF(NPSwitch=1,_xll.TR(CK$7,CK$6,"Sdate=#1 Period=#2 NULL=BLANK Scale=6",,$D23,$AS$4),CK23)</f>
        <v>1050</v>
      </c>
      <c r="CL23" s="1000" cm="1">
        <f t="array" aca="1" ref="CL23" ca="1">IF(NPSwitch=1,_xll.TR(CL$7,CL$6,"Sdate=#1 Period=#2 NULL=BLANK Scale=6",,$D23,$AS$4),CL23)</f>
        <v>127.4</v>
      </c>
      <c r="CM23" s="1000" t="str" cm="1">
        <f t="array" aca="1" ref="CM23" ca="1">IF(NPSwitch=1,_xll.TR(CM$7,CM$6,"Sdate=#1 Period=#2 NULL=BLANK Scale=6",,$D23,$AS$4),CM23)</f>
        <v/>
      </c>
      <c r="CN23" s="1000" t="str" cm="1">
        <f t="array" aca="1" ref="CN23" ca="1">IF(NPSwitch=1,_xll.TR(CN$7,CN$6,"Sdate=#1 Period=#2 NULL=BLANK Scale=6",,$D23,$AS$4),CN23)</f>
        <v/>
      </c>
      <c r="CO23" s="1000" cm="1">
        <f t="array" aca="1" ref="CO23" ca="1">IF(NPSwitch=1,_xll.TR(CO$7,CO$6,"Sdate=#1 Period=#2 NULL=BLANK Scale=6",,$D23,$AS$4),CO23)</f>
        <v>1385</v>
      </c>
      <c r="CP23" s="1000" t="str" cm="1">
        <f t="array" aca="1" ref="CP23" ca="1">IF(NPSwitch=1,_xll.TR(CP$7,CP$6,"Sdate=#1 Period=#2 NULL=BLANK Scale=6",,$D23,$AS$4),CP23)</f>
        <v/>
      </c>
      <c r="CQ23" s="1000" cm="1">
        <f t="array" aca="1" ref="CQ23" ca="1">IF(NPSwitch=1,_xll.TR(CQ$7,CQ$6,"Sdate=#1 Period=#2 NULL=BLANK Scale=6",,$D23,$AS$4),CQ23)</f>
        <v>761</v>
      </c>
      <c r="CS23" s="1000" cm="1">
        <f t="array" aca="1" ref="CS23" ca="1">IF(NPSwitch=1,_xll.TR(CS$7,CS$6,"Sdate=#1 Period=#2 NULL=BLANK Scale=6",,$D23,$AS$4),CS23)</f>
        <v>5775</v>
      </c>
      <c r="CT23" s="1000" cm="1">
        <f t="array" aca="1" ref="CT23" ca="1">IF(NPSwitch=1,_xll.TR(CT$7,CT$6,"Sdate=#1 Period=#2 NULL=BLANK Scale=6",,$D23,$AS$4),CT23)</f>
        <v>506.39024999999998</v>
      </c>
      <c r="CU23" s="1000" cm="1">
        <f t="array" aca="1" ref="CU23" ca="1">IF(NPSwitch=1,_xll.TR(CU$7,CU$6,"Sdate=#1 Period=#2 NULL=BLANK Scale=6",,$D23,$AS$4),CU23)</f>
        <v>1426.75</v>
      </c>
      <c r="CV23" s="1000" cm="1">
        <f t="array" aca="1" ref="CV23" ca="1">IF(NPSwitch=1,_xll.TR(CV$7,CV$6,"Sdate=#1 Period=#2 NULL=BLANK Scale=6",,$D23,$AS$4),CV23)</f>
        <v>680.42499999999995</v>
      </c>
      <c r="CW23" s="1000" cm="1">
        <f t="array" aca="1" ref="CW23" ca="1">IF(NPSwitch=1,_xll.TR(CW$7,CW$6,"Sdate=#1 Period=#2 NULL=BLANK Scale=6",,$D23,$AS$4),CW23)</f>
        <v>1346.425</v>
      </c>
      <c r="CX23" s="1000" cm="1">
        <f t="array" aca="1" ref="CX23" ca="1">IF(NPSwitch=1,_xll.TR(CX$7,CX$6,"Sdate=#1 Period=#2 NULL=BLANK Scale=6",,$D23,$AS$4),CX23)</f>
        <v>2798.25</v>
      </c>
      <c r="CY23" s="1000" t="str" cm="1">
        <f t="array" aca="1" ref="CY23" ca="1">IF(NPSwitch=1,_xll.TR(CY$7,CY$6,"Sdate=#1 Period=#2 NULL=BLANK Scale=6",,$D23,$AS$4),CY23)</f>
        <v/>
      </c>
      <c r="CZ23" s="1000" cm="1">
        <f t="array" aca="1" ref="CZ23" ca="1">IF(NPSwitch=1,_xll.TR(CZ$7,CZ$6,"Sdate=#1 Period=#2 NULL=BLANK Scale=6",,$D23,$AS$4),CZ23)</f>
        <v>3739.25</v>
      </c>
      <c r="DA23" s="1000" t="str" cm="1">
        <f t="array" aca="1" ref="DA23" ca="1">IF(NPSwitch=1,_xll.TR(DA$7,DA$6,"Sdate=#1 Period=#2 NULL=BLANK Scale=6",,$D23,$AS$4),DA23)</f>
        <v/>
      </c>
      <c r="DB23" s="1000" t="str" cm="1">
        <f t="array" aca="1" ref="DB23" ca="1">IF(NPSwitch=1,_xll.TR(DB$7,DB$6,"Sdate=#1 Period=#2 NULL=BLANK Scale=6",,$D23,$AS$4),DB23)</f>
        <v/>
      </c>
      <c r="DC23" s="1000" t="str" cm="1">
        <f t="array" aca="1" ref="DC23" ca="1">IF(NPSwitch=1,_xll.TR(DC$7,DC$6,"Sdate=#1 Period=#2 NULL=BLANK Scale=6",,$D23,$AS$4),DC23)</f>
        <v/>
      </c>
      <c r="DD23" s="1000" t="str" cm="1">
        <f t="array" aca="1" ref="DD23" ca="1">IF(NPSwitch=1,_xll.TR(DD$7,DD$6,"Sdate=#1 Period=#2 NULL=BLANK Scale=6",,$D23,$AS$4),DD23)</f>
        <v/>
      </c>
      <c r="DE23" s="1000" t="str" cm="1">
        <f t="array" aca="1" ref="DE23" ca="1">IF(NPSwitch=1,_xll.TR(DE$7,DE$6,"Sdate=#1 Period=#2 NULL=BLANK Scale=6",,$D23,$AS$4),DE23)</f>
        <v/>
      </c>
      <c r="DF23" s="1000" cm="1">
        <f t="array" aca="1" ref="DF23" ca="1">IF(NPSwitch=1,_xll.TR(DF$7,DF$6,"Sdate=#1 Period=#2 NULL=BLANK Scale=6",,$D23,$AS$4),DF23)</f>
        <v>680.42499999999995</v>
      </c>
      <c r="DG23" s="1000" t="str" cm="1">
        <f t="array" aca="1" ref="DG23" ca="1">IF(NPSwitch=1,_xll.TR(DG$7,DG$6,"Sdate=#1 Period=#2 NULL=BLANK Scale=6",,$D23,$AS$4),DG23)</f>
        <v/>
      </c>
      <c r="DH23" s="1000" t="str" cm="1">
        <f t="array" aca="1" ref="DH23" ca="1">IF(NPSwitch=1,_xll.TR(DH$7,DH$6,"Sdate=#1 Period=#2 NULL=BLANK Scale=6",,$D23,$AS$4),DH23)</f>
        <v/>
      </c>
    </row>
    <row r="24" spans="1:112" ht="11.25" customHeight="1">
      <c r="C24" s="969">
        <f t="shared" si="44"/>
        <v>37346</v>
      </c>
      <c r="D24" s="974">
        <f t="shared" si="43"/>
        <v>37391</v>
      </c>
      <c r="E24" s="765" t="str" cm="1">
        <f t="array" aca="1" ref="E24" ca="1">IF(NPSwitch=1,_xll.TR(E$7,E$6,"Sdate=#1 Period=#2 NULL=BLANK",,$D24,$E$4),E24)</f>
        <v/>
      </c>
      <c r="F24" s="765" t="str" cm="1">
        <f t="array" aca="1" ref="F24" ca="1">IF(NPSwitch=1,_xll.TR(F$7,F$6,"Sdate=#1 Period=#2 NULL=BLANK",,$D24,$E$4),F24)</f>
        <v/>
      </c>
      <c r="G24" s="765" t="str" cm="1">
        <f t="array" aca="1" ref="G24" ca="1">IF(NPSwitch=1,_xll.TR(G$7,G$6,"Sdate=#1 Period=#2 NULL=BLANK",,$D24,$E$4),G24)</f>
        <v/>
      </c>
      <c r="H24" s="765" t="str" cm="1">
        <f t="array" aca="1" ref="H24" ca="1">IF(NPSwitch=1,_xll.TR(H$7,H$6,"Sdate=#1 Period=#2 NULL=BLANK",,$D24,$E$4),H24)</f>
        <v/>
      </c>
      <c r="I24" s="765" t="str" cm="1">
        <f t="array" aca="1" ref="I24" ca="1">IF(NPSwitch=1,_xll.TR(I$7,I$6,"Sdate=#1 Period=#2 NULL=BLANK",,$D24,$E$4),I24)</f>
        <v/>
      </c>
      <c r="J24" s="765" t="str" cm="1">
        <f t="array" aca="1" ref="J24" ca="1">IF(NPSwitch=1,_xll.TR(J$7,J$6,"Sdate=#1 Period=#2 NULL=BLANK",,$D24,$E$4),J24)</f>
        <v/>
      </c>
      <c r="K24" s="765" cm="1">
        <f t="array" aca="1" ref="K24" ca="1">IF(NPSwitch=1,_xll.TR(K$7,K$6,"Sdate=#1 Period=#2 NULL=BLANK",,$D24,$E$4),K24)</f>
        <v>8.3350850635176705</v>
      </c>
      <c r="L24" s="765" cm="1">
        <f t="array" aca="1" ref="L24" ca="1">IF(NPSwitch=1,_xll.TR(L$7,L$6,"Sdate=#1 Period=#2 NULL=BLANK",,$D24,$E$4),L24)</f>
        <v>6.0914980632811799</v>
      </c>
      <c r="M24" s="765" t="str" cm="1">
        <f t="array" aca="1" ref="M24" ca="1">IF(NPSwitch=1,_xll.TR(M$7,M$6,"Sdate=#1 Period=#2 NULL=BLANK",,$D24,$E$4),M24)</f>
        <v/>
      </c>
      <c r="O24" s="1000" cm="1">
        <f t="array" aca="1" ref="O24" ca="1">IF(NPSwitch=1,_xll.TR(O$7,O$6,"Sdate=#1 Period=#2 Scale=6 NULL=BLANK",,$D24,$O$4),O24)</f>
        <v>50420.556157999999</v>
      </c>
      <c r="P24" s="1000" cm="1">
        <f t="array" aca="1" ref="P24" ca="1">IF(NPSwitch=1,_xll.TR(P$7,P$6,"Sdate=#1 Period=#2 Scale=6 NULL=BLANK",,$D24,$O$4),P24)</f>
        <v>1304.9120537599999</v>
      </c>
      <c r="Q24" s="1000" cm="1">
        <f t="array" aca="1" ref="Q24" ca="1">IF(NPSwitch=1,_xll.TR(Q$7,Q$6,"Sdate=#1 Period=#2 Scale=6 NULL=BLANK",,$D24,$O$4),Q24)</f>
        <v>2736.5724024000001</v>
      </c>
      <c r="R24" s="1000" cm="1">
        <f t="array" aca="1" ref="R24" ca="1">IF(NPSwitch=1,_xll.TR(R$7,R$6,"Sdate=#1 Period=#2 Scale=6 NULL=BLANK",,$D24,$O$4),R24)</f>
        <v>1212.6375946999999</v>
      </c>
      <c r="S24" s="1000" t="str" cm="1">
        <f t="array" aca="1" ref="S24" ca="1">IF(NPSwitch=1,_xll.TR(S$7,S$6,"Sdate=#1 Period=#2 Scale=6 NULL=BLANK",,$D24,$O$4),S24)</f>
        <v/>
      </c>
      <c r="T24" s="1000" cm="1">
        <f t="array" aca="1" ref="T24" ca="1">IF(NPSwitch=1,_xll.TR(T$7,T$6,"Sdate=#1 Period=#2 Scale=6 NULL=BLANK",,$D24,$O$4),T24)</f>
        <v>1239.2770838199999</v>
      </c>
      <c r="U24" s="1000" cm="1">
        <f t="array" aca="1" ref="U24" ca="1">IF(NPSwitch=1,_xll.TR(U$7,U$6,"Sdate=#1 Period=#2 Scale=6 NULL=BLANK",,$D24,$O$4),U24)</f>
        <v>9782.2277481599995</v>
      </c>
      <c r="V24" s="1000" cm="1">
        <f t="array" aca="1" ref="V24" ca="1">IF(NPSwitch=1,_xll.TR(V$7,V$6,"Sdate=#1 Period=#2 Scale=6 NULL=BLANK",,$D24,$O$4),V24)</f>
        <v>6321.9336746591298</v>
      </c>
      <c r="W24" s="1000" cm="1">
        <f t="array" aca="1" ref="W24" ca="1">IF(NPSwitch=1,_xll.TR(W$7,W$6,"Sdate=#1 Period=#2 Scale=6 NULL=BLANK",,$D24,$O$4),W24)</f>
        <v>3608.73826739999</v>
      </c>
      <c r="X24" s="998"/>
      <c r="Y24" s="1000" cm="1">
        <f t="array" aca="1" ref="Y24" ca="1">IF(NPSwitch=1,_xll.TR(Y$7,Y$6,"Sdate=#1 Period=#2 Scale=6 NULL=BLANK",,$D24,$O$4),Y24)</f>
        <v>552.75</v>
      </c>
      <c r="Z24" s="1000" cm="1">
        <f t="array" aca="1" ref="Z24" ca="1">IF(NPSwitch=1,_xll.TR(Z$7,Z$6,"Sdate=#1 Period=#2 Scale=6 NULL=BLANK",,$D24,$O$4),Z24)</f>
        <v>25.547999999999998</v>
      </c>
      <c r="AA24" s="1000" cm="1">
        <f t="array" aca="1" ref="AA24" ca="1">IF(NPSwitch=1,_xll.TR(AA$7,AA$6,"Sdate=#1 Period=#2 Scale=6 NULL=BLANK",,$D24,$O$4),AA24)</f>
        <v>181.5</v>
      </c>
      <c r="AB24" s="1000" cm="1">
        <f t="array" aca="1" ref="AB24" ca="1">IF(NPSwitch=1,_xll.TR(AB$7,AB$6,"Sdate=#1 Period=#2 Scale=6 NULL=BLANK",,$D24,$O$4),AB24)</f>
        <v>27.524999999999999</v>
      </c>
      <c r="AC24" s="1000" t="str" cm="1">
        <f t="array" aca="1" ref="AC24" ca="1">IF(NPSwitch=1,_xll.TR(AC$7,AC$6,"Sdate=#1 Period=#2 Scale=6 NULL=BLANK",,$D24,$O$4),AC24)</f>
        <v/>
      </c>
      <c r="AD24" s="1000" cm="1">
        <f t="array" aca="1" ref="AD24" ca="1">IF(NPSwitch=1,_xll.TR(AD$7,AD$6,"Sdate=#1 Period=#2 Scale=6 NULL=BLANK",,$D24,$O$4),AD24)</f>
        <v>48.4</v>
      </c>
      <c r="AE24" s="1000" cm="1">
        <f t="array" aca="1" ref="AE24" ca="1">IF(NPSwitch=1,_xll.TR(AE$7,AE$6,"Sdate=#1 Period=#2 Scale=6 NULL=BLANK",,$D24,$O$4),AE24)</f>
        <v>114.25</v>
      </c>
      <c r="AF24" s="1000" t="str" cm="1">
        <f t="array" aca="1" ref="AF24" ca="1">IF(NPSwitch=1,_xll.TR(AF$7,AF$6,"Sdate=#1 Period=#2 Scale=6 NULL=BLANK",,$D24,$O$4),AF24)</f>
        <v/>
      </c>
      <c r="AG24" s="1000" cm="1">
        <f t="array" aca="1" ref="AG24" ca="1">IF(NPSwitch=1,_xll.TR(AG$7,AG$6,"Sdate=#1 Period=#2 Scale=6 NULL=BLANK",,$D24,$O$4),AG24)</f>
        <v>73</v>
      </c>
      <c r="AH24" s="998"/>
      <c r="AI24" s="1000" cm="1">
        <f t="array" aca="1" ref="AI24" ca="1">IF(NPSwitch=1,_xll.TR(AI$7,AI$6,"Sdate=#1 Period=#2 Scale=6 NULL=BLANK",,$D24,$O$4),AI24)</f>
        <v>53232.556157999999</v>
      </c>
      <c r="AJ24" s="1000" cm="1">
        <f t="array" aca="1" ref="AJ24" ca="1">IF(NPSwitch=1,_xll.TR(AJ$7,AJ$6,"Sdate=#1 Period=#2 Scale=6 NULL=BLANK",,$D24,$O$4),AJ24)</f>
        <v>1514.52505376</v>
      </c>
      <c r="AK24" s="1000" cm="1">
        <f t="array" aca="1" ref="AK24" ca="1">IF(NPSwitch=1,_xll.TR(AK$7,AK$6,"Sdate=#1 Period=#2 Scale=6 NULL=BLANK",,$D24,$O$4),AK24)</f>
        <v>4446.5724024000001</v>
      </c>
      <c r="AL24" s="1000" cm="1">
        <f t="array" aca="1" ref="AL24" ca="1">IF(NPSwitch=1,_xll.TR(AL$7,AL$6,"Sdate=#1 Period=#2 Scale=6 NULL=BLANK",,$D24,$O$4),AL24)</f>
        <v>1698.7375947</v>
      </c>
      <c r="AM24" s="1000" t="str" cm="1">
        <f t="array" aca="1" ref="AM24" ca="1">IF(NPSwitch=1,_xll.TR(AM$7,AM$6,"Sdate=#1 Period=#2 Scale=6 NULL=BLANK",,$D24,$O$4),AM24)</f>
        <v/>
      </c>
      <c r="AN24" s="1000" cm="1">
        <f t="array" aca="1" ref="AN24" ca="1">IF(NPSwitch=1,_xll.TR(AN$7,AN$6,"Sdate=#1 Period=#2 Scale=6 NULL=BLANK",,$D24,$O$4),AN24)</f>
        <v>2329.7770838199999</v>
      </c>
      <c r="AO24" s="1000" cm="1">
        <f t="array" aca="1" ref="AO24" ca="1">IF(NPSwitch=1,_xll.TR(AO$7,AO$6,"Sdate=#1 Period=#2 Scale=6 NULL=BLANK",,$D24,$O$4),AO24)</f>
        <v>12252.227748159999</v>
      </c>
      <c r="AP24" s="1000" cm="1">
        <f t="array" aca="1" ref="AP24" ca="1">IF(NPSwitch=1,_xll.TR(AP$7,AP$6,"Sdate=#1 Period=#2 Scale=6 NULL=BLANK",,$D24,$O$4),AP24)</f>
        <v>8371.9336746589997</v>
      </c>
      <c r="AQ24" s="1000" cm="1">
        <f t="array" aca="1" ref="AQ24" ca="1">IF(NPSwitch=1,_xll.TR(AQ$7,AQ$6,"Sdate=#1 Period=#2 Scale=6 NULL=BLANK",,$D24,$O$4),AQ24)</f>
        <v>5737.7382674</v>
      </c>
      <c r="AS24" s="765" t="str" cm="1">
        <f t="array" aca="1" ref="AS24" ca="1">IF(NPSwitch=1,_xll.TR(AS$7,AS$6,"Sdate=#1 Period=#2 NULL=BLANK Scale=6",,$D24,$AS$4),AS24)</f>
        <v/>
      </c>
      <c r="AT24" s="765" t="str" cm="1">
        <f t="array" aca="1" ref="AT24" ca="1">IF(NPSwitch=1,_xll.TR(AT$7,AT$6,"Sdate=#1 Period=#2 NULL=BLANK Scale=6",,$D24,$AS$4),AT24)</f>
        <v/>
      </c>
      <c r="AU24" s="765" t="str" cm="1">
        <f t="array" aca="1" ref="AU24" ca="1">IF(NPSwitch=1,_xll.TR(AU$7,AU$6,"Sdate=#1 Period=#2 NULL=BLANK Scale=6",,$D24,$AS$4),AU24)</f>
        <v/>
      </c>
      <c r="AV24" s="765" t="str" cm="1">
        <f t="array" aca="1" ref="AV24" ca="1">IF(NPSwitch=1,_xll.TR(AV$7,AV$6,"Sdate=#1 Period=#2 NULL=BLANK Scale=6",,$D24,$AS$4),AV24)</f>
        <v/>
      </c>
      <c r="AW24" s="765" t="str" cm="1">
        <f t="array" aca="1" ref="AW24" ca="1">IF(NPSwitch=1,_xll.TR(AW$7,AW$6,"Sdate=#1 Period=#2 NULL=BLANK Scale=6",,$D24,$AS$4),AW24)</f>
        <v/>
      </c>
      <c r="AX24" s="765" t="str" cm="1">
        <f t="array" aca="1" ref="AX24" ca="1">IF(NPSwitch=1,_xll.TR(AX$7,AX$6,"Sdate=#1 Period=#2 NULL=BLANK Scale=6",,$D24,$AS$4),AX24)</f>
        <v/>
      </c>
      <c r="AY24" s="765" t="str" cm="1">
        <f t="array" aca="1" ref="AY24" ca="1">IF(NPSwitch=1,_xll.TR(AY$7,AY$6,"Sdate=#1 Period=#2 NULL=BLANK Scale=6",,$D24,$AS$4),AY24)</f>
        <v/>
      </c>
      <c r="AZ24" s="765" t="str" cm="1">
        <f t="array" aca="1" ref="AZ24" ca="1">IF(NPSwitch=1,_xll.TR(AZ$7,AZ$6,"Sdate=#1 Period=#2 NULL=BLANK Scale=6",,$D24,$AS$4),AZ24)</f>
        <v/>
      </c>
      <c r="BA24" s="765" t="str" cm="1">
        <f t="array" aca="1" ref="BA24" ca="1">IF(NPSwitch=1,_xll.TR(BA$7,BA$6,"Sdate=#1 Period=#2 NULL=BLANK Scale=6",,$D24,$AS$4),BA24)</f>
        <v/>
      </c>
      <c r="BC24" s="765" cm="1">
        <f t="array" aca="1" ref="BC24" ca="1">IF(NPSwitch=1,_xll.TR(BC$7,BC$6,"Sdate=#1 Period=#2 NULL=BLANK",,$D24,$BC$4),BC24)</f>
        <v>15.679692534999999</v>
      </c>
      <c r="BD24" s="765" cm="1">
        <f t="array" aca="1" ref="BD24" ca="1">IF(NPSwitch=1,_xll.TR(BD$7,BD$6,"Sdate=#1 Period=#2 NULL=BLANK",,$D24,$BC$4),BD24)</f>
        <v>8.6921278789999992</v>
      </c>
      <c r="BE24" s="765" cm="1">
        <f t="array" aca="1" ref="BE24" ca="1">IF(NPSwitch=1,_xll.TR(BE$7,BE$6,"Sdate=#1 Period=#2 NULL=BLANK",,$D24,$BC$4),BE24)</f>
        <v>4.6954302029999999</v>
      </c>
      <c r="BF24" s="765" cm="1">
        <f t="array" aca="1" ref="BF24" ca="1">IF(NPSwitch=1,_xll.TR(BF$7,BF$6,"Sdate=#1 Period=#2 NULL=BLANK",,$D24,$BC$4),BF24)</f>
        <v>13.611679445</v>
      </c>
      <c r="BG24" s="765" t="str" cm="1">
        <f t="array" aca="1" ref="BG24" ca="1">IF(NPSwitch=1,_xll.TR(BG$7,BG$6,"Sdate=#1 Period=#2 NULL=BLANK",,$D24,$BC$4),BG24)</f>
        <v/>
      </c>
      <c r="BH24" s="765" cm="1">
        <f t="array" aca="1" ref="BH24" ca="1">IF(NPSwitch=1,_xll.TR(BH$7,BH$6,"Sdate=#1 Period=#2 NULL=BLANK",,$D24,$BC$4),BH24)</f>
        <v>5.692101353</v>
      </c>
      <c r="BI24" s="765" cm="1">
        <f t="array" aca="1" ref="BI24" ca="1">IF(NPSwitch=1,_xll.TR(BI$7,BI$6,"Sdate=#1 Period=#2 NULL=BLANK",,$D24,$BC$4),BI24)</f>
        <v>9.3743135029999998</v>
      </c>
      <c r="BJ24" s="765" cm="1">
        <f t="array" aca="1" ref="BJ24" ca="1">IF(NPSwitch=1,_xll.TR(BJ$7,BJ$6,"Sdate=#1 Period=#2 NULL=BLANK",,$D24,$BC$4),BJ24)</f>
        <v>7.8906066680000002</v>
      </c>
      <c r="BK24" s="765" cm="1">
        <f t="array" aca="1" ref="BK24" ca="1">IF(NPSwitch=1,_xll.TR(BK$7,BK$6,"Sdate=#1 Period=#2 NULL=BLANK",,$D24,$BC$4),BK24)</f>
        <v>7.8706972119999996</v>
      </c>
      <c r="BO24" s="765" cm="1">
        <f t="array" aca="1" ref="BO24" ca="1">IF(NPSwitch=1,_xll.TR(BO$7,BO$6,"Sdate=#1 Period=#2 NULL=BLANK Scale=6",,$D24,$AS$4),BO24)</f>
        <v>15780</v>
      </c>
      <c r="BP24" s="765" cm="1">
        <f t="array" aca="1" ref="BP24" ca="1">IF(NPSwitch=1,_xll.TR(BP$7,BP$6,"Sdate=#1 Period=#2 NULL=BLANK Scale=6",,$D24,$AS$4),BP24)</f>
        <v>924.31100000000004</v>
      </c>
      <c r="BQ24" s="765" cm="1">
        <f t="array" aca="1" ref="BQ24" ca="1">IF(NPSwitch=1,_xll.TR(BQ$7,BQ$6,"Sdate=#1 Period=#2 NULL=BLANK Scale=6",,$D24,$AS$4),BQ24)</f>
        <v>7592</v>
      </c>
      <c r="BR24" s="765" cm="1">
        <f t="array" aca="1" ref="BR24" ca="1">IF(NPSwitch=1,_xll.TR(BR$7,BR$6,"Sdate=#1 Period=#2 NULL=BLANK Scale=6",,$D24,$AS$4),BR24)</f>
        <v>2541.1999999999998</v>
      </c>
      <c r="BS24" s="765" t="str" cm="1">
        <f t="array" aca="1" ref="BS24" ca="1">IF(NPSwitch=1,_xll.TR(BS$7,BS$6,"Sdate=#1 Period=#2 NULL=BLANK Scale=6",,$D24,$AS$4),BS24)</f>
        <v/>
      </c>
      <c r="BT24" s="765" cm="1">
        <f t="array" aca="1" ref="BT24" ca="1">IF(NPSwitch=1,_xll.TR(BT$7,BT$6,"Sdate=#1 Period=#2 NULL=BLANK Scale=6",,$D24,$AS$4),BT24)</f>
        <v>1930</v>
      </c>
      <c r="BU24" s="765" cm="1">
        <f t="array" aca="1" ref="BU24" ca="1">IF(NPSwitch=1,_xll.TR(BU$7,BU$6,"Sdate=#1 Period=#2 NULL=BLANK Scale=6",,$D24,$AS$4),BU24)</f>
        <v>7945</v>
      </c>
      <c r="BV24" s="765" t="str" cm="1">
        <f t="array" aca="1" ref="BV24" ca="1">IF(NPSwitch=1,_xll.TR(BV$7,BV$6,"Sdate=#1 Period=#2 NULL=BLANK Scale=6",,$D24,$AS$4),BV24)</f>
        <v/>
      </c>
      <c r="BW24" s="765" cm="1">
        <f t="array" aca="1" ref="BW24" ca="1">IF(NPSwitch=1,_xll.TR(BW$7,BW$6,"Sdate=#1 Period=#2 NULL=BLANK Scale=6",,$D24,$AS$4),BW24)</f>
        <v>5282</v>
      </c>
      <c r="BY24" s="765" cm="1">
        <f t="array" aca="1" ref="BY24" ca="1">IF(NPSwitch=1,_xll.TR(BY$7,BY$6,"Sdate=#1 Period=#2 NULL=BLANK Scale=6",,$D24,$AS$4),BY24)</f>
        <v>9120.5</v>
      </c>
      <c r="BZ24" s="765" cm="1">
        <f t="array" aca="1" ref="BZ24" ca="1">IF(NPSwitch=1,_xll.TR(BZ$7,BZ$6,"Sdate=#1 Period=#2 NULL=BLANK Scale=6",,$D24,$AS$4),BZ24)</f>
        <v>745.18</v>
      </c>
      <c r="CA24" s="765" cm="1">
        <f t="array" aca="1" ref="CA24" ca="1">IF(NPSwitch=1,_xll.TR(CA$7,CA$6,"Sdate=#1 Period=#2 NULL=BLANK Scale=6",,$D24,$AS$4),CA24)</f>
        <v>4108</v>
      </c>
      <c r="CB24" s="765" cm="1">
        <f t="array" aca="1" ref="CB24" ca="1">IF(NPSwitch=1,_xll.TR(CB$7,CB$6,"Sdate=#1 Period=#2 NULL=BLANK Scale=6",,$D24,$AS$4),CB24)</f>
        <v>1221</v>
      </c>
      <c r="CC24" s="765" t="str" cm="1">
        <f t="array" aca="1" ref="CC24" ca="1">IF(NPSwitch=1,_xll.TR(CC$7,CC$6,"Sdate=#1 Period=#2 NULL=BLANK Scale=6",,$D24,$AS$4),CC24)</f>
        <v/>
      </c>
      <c r="CD24" s="765" cm="1">
        <f t="array" aca="1" ref="CD24" ca="1">IF(NPSwitch=1,_xll.TR(CD$7,CD$6,"Sdate=#1 Period=#2 NULL=BLANK Scale=6",,$D24,$AS$4),CD24)</f>
        <v>1588.2249999999999</v>
      </c>
      <c r="CE24" s="765" cm="1">
        <f t="array" aca="1" ref="CE24" ca="1">IF(NPSwitch=1,_xll.TR(CE$7,CE$6,"Sdate=#1 Period=#2 NULL=BLANK Scale=6",,$D24,$AS$4),CE24)</f>
        <v>5771.5</v>
      </c>
      <c r="CF24" s="765" t="str" cm="1">
        <f t="array" aca="1" ref="CF24" ca="1">IF(NPSwitch=1,_xll.TR(CF$7,CF$6,"Sdate=#1 Period=#2 NULL=BLANK Scale=6",,$D24,$AS$4),CF24)</f>
        <v/>
      </c>
      <c r="CG24" s="765" cm="1">
        <f t="array" aca="1" ref="CG24" ca="1">IF(NPSwitch=1,_xll.TR(CG$7,CG$6,"Sdate=#1 Period=#2 NULL=BLANK Scale=6",,$D24,$AS$4),CG24)</f>
        <v>3763</v>
      </c>
      <c r="CI24" s="1000" cm="1">
        <f t="array" aca="1" ref="CI24" ca="1">IF(NPSwitch=1,_xll.TR(CI$7,CI$6,"Sdate=#1 Period=#2 NULL=BLANK Scale=6",,$D24,$AS$4),CI24)</f>
        <v>3395</v>
      </c>
      <c r="CJ24" s="1000" cm="1">
        <f t="array" aca="1" ref="CJ24" ca="1">IF(NPSwitch=1,_xll.TR(CJ$7,CJ$6,"Sdate=#1 Period=#2 NULL=BLANK Scale=6",,$D24,$AS$4),CJ24)</f>
        <v>174.24100000000001</v>
      </c>
      <c r="CK24" s="1000" cm="1">
        <f t="array" aca="1" ref="CK24" ca="1">IF(NPSwitch=1,_xll.TR(CK$7,CK$6,"Sdate=#1 Period=#2 NULL=BLANK Scale=6",,$D24,$AS$4),CK24)</f>
        <v>957</v>
      </c>
      <c r="CL24" s="1000" cm="1">
        <f t="array" aca="1" ref="CL24" ca="1">IF(NPSwitch=1,_xll.TR(CL$7,CL$6,"Sdate=#1 Period=#2 NULL=BLANK Scale=6",,$D24,$AS$4),CL24)</f>
        <v>124.8</v>
      </c>
      <c r="CM24" s="1000" t="str" cm="1">
        <f t="array" aca="1" ref="CM24" ca="1">IF(NPSwitch=1,_xll.TR(CM$7,CM$6,"Sdate=#1 Period=#2 NULL=BLANK Scale=6",,$D24,$AS$4),CM24)</f>
        <v/>
      </c>
      <c r="CN24" s="1000" cm="1">
        <f t="array" aca="1" ref="CN24" ca="1">IF(NPSwitch=1,_xll.TR(CN$7,CN$6,"Sdate=#1 Period=#2 NULL=BLANK Scale=6",,$D24,$AS$4),CN24)</f>
        <v>409.3</v>
      </c>
      <c r="CO24" s="1000" cm="1">
        <f t="array" aca="1" ref="CO24" ca="1">IF(NPSwitch=1,_xll.TR(CO$7,CO$6,"Sdate=#1 Period=#2 NULL=BLANK Scale=6",,$D24,$AS$4),CO24)</f>
        <v>1307</v>
      </c>
      <c r="CP24" s="1000" t="str" cm="1">
        <f t="array" aca="1" ref="CP24" ca="1">IF(NPSwitch=1,_xll.TR(CP$7,CP$6,"Sdate=#1 Period=#2 NULL=BLANK Scale=6",,$D24,$AS$4),CP24)</f>
        <v/>
      </c>
      <c r="CQ24" s="1000" cm="1">
        <f t="array" aca="1" ref="CQ24" ca="1">IF(NPSwitch=1,_xll.TR(CQ$7,CQ$6,"Sdate=#1 Period=#2 NULL=BLANK Scale=6",,$D24,$AS$4),CQ24)</f>
        <v>729</v>
      </c>
      <c r="CS24" s="1000" cm="1">
        <f t="array" aca="1" ref="CS24" ca="1">IF(NPSwitch=1,_xll.TR(CS$7,CS$6,"Sdate=#1 Period=#2 NULL=BLANK Scale=6",,$D24,$AS$4),CS24)</f>
        <v>5683.75</v>
      </c>
      <c r="CT24" s="1000" cm="1">
        <f t="array" aca="1" ref="CT24" ca="1">IF(NPSwitch=1,_xll.TR(CT$7,CT$6,"Sdate=#1 Period=#2 NULL=BLANK Scale=6",,$D24,$AS$4),CT24)</f>
        <v>516.61500000000001</v>
      </c>
      <c r="CU24" s="1000" cm="1">
        <f t="array" aca="1" ref="CU24" ca="1">IF(NPSwitch=1,_xll.TR(CU$7,CU$6,"Sdate=#1 Period=#2 NULL=BLANK Scale=6",,$D24,$AS$4),CU24)</f>
        <v>1429.75</v>
      </c>
      <c r="CV24" s="1000" cm="1">
        <f t="array" aca="1" ref="CV24" ca="1">IF(NPSwitch=1,_xll.TR(CV$7,CV$6,"Sdate=#1 Period=#2 NULL=BLANK Scale=6",,$D24,$AS$4),CV24)</f>
        <v>674.65</v>
      </c>
      <c r="CW24" s="1000" cm="1">
        <f t="array" aca="1" ref="CW24" ca="1">IF(NPSwitch=1,_xll.TR(CW$7,CW$6,"Sdate=#1 Period=#2 NULL=BLANK Scale=6",,$D24,$AS$4),CW24)</f>
        <v>1206.125</v>
      </c>
      <c r="CX24" s="1000" cm="1">
        <f t="array" aca="1" ref="CX24" ca="1">IF(NPSwitch=1,_xll.TR(CX$7,CX$6,"Sdate=#1 Period=#2 NULL=BLANK Scale=6",,$D24,$AS$4),CX24)</f>
        <v>2759.75</v>
      </c>
      <c r="CY24" s="1000" t="str" cm="1">
        <f t="array" aca="1" ref="CY24" ca="1">IF(NPSwitch=1,_xll.TR(CY$7,CY$6,"Sdate=#1 Period=#2 NULL=BLANK Scale=6",,$D24,$AS$4),CY24)</f>
        <v/>
      </c>
      <c r="CZ24" s="1000" cm="1">
        <f t="array" aca="1" ref="CZ24" ca="1">IF(NPSwitch=1,_xll.TR(CZ$7,CZ$6,"Sdate=#1 Period=#2 NULL=BLANK Scale=6",,$D24,$AS$4),CZ24)</f>
        <v>3670.5</v>
      </c>
      <c r="DA24" s="1000" t="str" cm="1">
        <f t="array" aca="1" ref="DA24" ca="1">IF(NPSwitch=1,_xll.TR(DA$7,DA$6,"Sdate=#1 Period=#2 NULL=BLANK Scale=6",,$D24,$AS$4),DA24)</f>
        <v/>
      </c>
      <c r="DB24" s="1000" cm="1">
        <f t="array" aca="1" ref="DB24" ca="1">IF(NPSwitch=1,_xll.TR(DB$7,DB$6,"Sdate=#1 Period=#2 NULL=BLANK Scale=6",,$D24,$AS$4),DB24)</f>
        <v>15878</v>
      </c>
      <c r="DC24" s="1000" t="str" cm="1">
        <f t="array" aca="1" ref="DC24" ca="1">IF(NPSwitch=1,_xll.TR(DC$7,DC$6,"Sdate=#1 Period=#2 NULL=BLANK Scale=6",,$D24,$AS$4),DC24)</f>
        <v/>
      </c>
      <c r="DD24" s="1000" t="str" cm="1">
        <f t="array" aca="1" ref="DD24" ca="1">IF(NPSwitch=1,_xll.TR(DD$7,DD$6,"Sdate=#1 Period=#2 NULL=BLANK Scale=6",,$D24,$AS$4),DD24)</f>
        <v/>
      </c>
      <c r="DE24" s="1000" t="str" cm="1">
        <f t="array" aca="1" ref="DE24" ca="1">IF(NPSwitch=1,_xll.TR(DE$7,DE$6,"Sdate=#1 Period=#2 NULL=BLANK Scale=6",,$D24,$AS$4),DE24)</f>
        <v/>
      </c>
      <c r="DF24" s="1000" cm="1">
        <f t="array" aca="1" ref="DF24" ca="1">IF(NPSwitch=1,_xll.TR(DF$7,DF$6,"Sdate=#1 Period=#2 NULL=BLANK Scale=6",,$D24,$AS$4),DF24)</f>
        <v>674.65</v>
      </c>
      <c r="DG24" s="1000" t="str" cm="1">
        <f t="array" aca="1" ref="DG24" ca="1">IF(NPSwitch=1,_xll.TR(DG$7,DG$6,"Sdate=#1 Period=#2 NULL=BLANK Scale=6",,$D24,$AS$4),DG24)</f>
        <v/>
      </c>
      <c r="DH24" s="1000" t="str" cm="1">
        <f t="array" aca="1" ref="DH24" ca="1">IF(NPSwitch=1,_xll.TR(DH$7,DH$6,"Sdate=#1 Period=#2 NULL=BLANK Scale=6",,$D24,$AS$4),DH24)</f>
        <v/>
      </c>
    </row>
    <row r="25" spans="1:112" ht="11.25" customHeight="1">
      <c r="C25" s="971">
        <f t="shared" si="44"/>
        <v>37437</v>
      </c>
      <c r="D25" s="974">
        <f t="shared" si="43"/>
        <v>37482</v>
      </c>
      <c r="E25" s="765" cm="1">
        <f t="array" aca="1" ref="E25" ca="1">IF(NPSwitch=1,_xll.TR(E$7,E$6,"Sdate=#1 Period=#2 NULL=BLANK",,$D25,$E$4),E25)</f>
        <v>11.346485559668301</v>
      </c>
      <c r="F25" s="765" t="str" cm="1">
        <f t="array" aca="1" ref="F25" ca="1">IF(NPSwitch=1,_xll.TR(F$7,F$6,"Sdate=#1 Period=#2 NULL=BLANK",,$D25,$E$4),F25)</f>
        <v/>
      </c>
      <c r="G25" s="765" cm="1">
        <f t="array" aca="1" ref="G25" ca="1">IF(NPSwitch=1,_xll.TR(G$7,G$6,"Sdate=#1 Period=#2 NULL=BLANK",,$D25,$E$4),G25)</f>
        <v>4.3062504087113798</v>
      </c>
      <c r="H25" s="765" t="str" cm="1">
        <f t="array" aca="1" ref="H25" ca="1">IF(NPSwitch=1,_xll.TR(H$7,H$6,"Sdate=#1 Period=#2 NULL=BLANK",,$D25,$E$4),H25)</f>
        <v/>
      </c>
      <c r="I25" s="765" t="str" cm="1">
        <f t="array" aca="1" ref="I25" ca="1">IF(NPSwitch=1,_xll.TR(I$7,I$6,"Sdate=#1 Period=#2 NULL=BLANK",,$D25,$E$4),I25)</f>
        <v/>
      </c>
      <c r="J25" s="765" cm="1">
        <f t="array" aca="1" ref="J25" ca="1">IF(NPSwitch=1,_xll.TR(J$7,J$6,"Sdate=#1 Period=#2 NULL=BLANK",,$D25,$E$4),J25)</f>
        <v>5.9114493232187497</v>
      </c>
      <c r="K25" s="765" cm="1">
        <f t="array" aca="1" ref="K25" ca="1">IF(NPSwitch=1,_xll.TR(K$7,K$6,"Sdate=#1 Period=#2 NULL=BLANK",,$D25,$E$4),K25)</f>
        <v>7.8228830996743799</v>
      </c>
      <c r="L25" s="765" cm="1">
        <f t="array" aca="1" ref="L25" ca="1">IF(NPSwitch=1,_xll.TR(L$7,L$6,"Sdate=#1 Period=#2 NULL=BLANK",,$D25,$E$4),L25)</f>
        <v>5.6321232801301697</v>
      </c>
      <c r="M25" s="765" cm="1">
        <f t="array" aca="1" ref="M25" ca="1">IF(NPSwitch=1,_xll.TR(M$7,M$6,"Sdate=#1 Period=#2 NULL=BLANK",,$D25,$E$4),M25)</f>
        <v>6.87088793062152</v>
      </c>
      <c r="O25" s="1000" cm="1">
        <f t="array" aca="1" ref="O25" ca="1">IF(NPSwitch=1,_xll.TR(O$7,O$6,"Sdate=#1 Period=#2 Scale=6 NULL=BLANK",,$D25,$O$4),O25)</f>
        <v>49348.573656239998</v>
      </c>
      <c r="P25" s="1000" cm="1">
        <f t="array" aca="1" ref="P25" ca="1">IF(NPSwitch=1,_xll.TR(P$7,P$6,"Sdate=#1 Period=#2 Scale=6 NULL=BLANK",,$D25,$O$4),P25)</f>
        <v>1296.1263368</v>
      </c>
      <c r="Q25" s="1000" cm="1">
        <f t="array" aca="1" ref="Q25" ca="1">IF(NPSwitch=1,_xll.TR(Q$7,Q$6,"Sdate=#1 Period=#2 Scale=6 NULL=BLANK",,$D25,$O$4),Q25)</f>
        <v>2089.5776274</v>
      </c>
      <c r="R25" s="1000" cm="1">
        <f t="array" aca="1" ref="R25" ca="1">IF(NPSwitch=1,_xll.TR(R$7,R$6,"Sdate=#1 Period=#2 Scale=6 NULL=BLANK",,$D25,$O$4),R25)</f>
        <v>925.19288559999995</v>
      </c>
      <c r="S25" s="1000" t="str" cm="1">
        <f t="array" aca="1" ref="S25" ca="1">IF(NPSwitch=1,_xll.TR(S$7,S$6,"Sdate=#1 Period=#2 Scale=6 NULL=BLANK",,$D25,$O$4),S25)</f>
        <v/>
      </c>
      <c r="T25" s="1000" cm="1">
        <f t="array" aca="1" ref="T25" ca="1">IF(NPSwitch=1,_xll.TR(T$7,T$6,"Sdate=#1 Period=#2 Scale=6 NULL=BLANK",,$D25,$O$4),T25)</f>
        <v>940.66378342999997</v>
      </c>
      <c r="U25" s="1000" cm="1">
        <f t="array" aca="1" ref="U25" ca="1">IF(NPSwitch=1,_xll.TR(U$7,U$6,"Sdate=#1 Period=#2 Scale=6 NULL=BLANK",,$D25,$O$4),U25)</f>
        <v>9697.2977623200004</v>
      </c>
      <c r="V25" s="1000" cm="1">
        <f t="array" aca="1" ref="V25" ca="1">IF(NPSwitch=1,_xll.TR(V$7,V$6,"Sdate=#1 Period=#2 Scale=6 NULL=BLANK",,$D25,$O$4),V25)</f>
        <v>5836.6049880197397</v>
      </c>
      <c r="W25" s="1000" cm="1">
        <f t="array" aca="1" ref="W25" ca="1">IF(NPSwitch=1,_xll.TR(W$7,W$6,"Sdate=#1 Period=#2 Scale=6 NULL=BLANK",,$D25,$O$4),W25)</f>
        <v>3555.9517080000001</v>
      </c>
      <c r="X25" s="998"/>
      <c r="Y25" s="1000" cm="1">
        <f t="array" aca="1" ref="Y25" ca="1">IF(NPSwitch=1,_xll.TR(Y$7,Y$6,"Sdate=#1 Period=#2 Scale=6 NULL=BLANK",,$D25,$O$4),Y25)</f>
        <v>577.5</v>
      </c>
      <c r="Z25" s="1000" cm="1">
        <f t="array" aca="1" ref="Z25" ca="1">IF(NPSwitch=1,_xll.TR(Z$7,Z$6,"Sdate=#1 Period=#2 Scale=6 NULL=BLANK",,$D25,$O$4),Z25)</f>
        <v>31.927250000000001</v>
      </c>
      <c r="AA25" s="1000" cm="1">
        <f t="array" aca="1" ref="AA25" ca="1">IF(NPSwitch=1,_xll.TR(AA$7,AA$6,"Sdate=#1 Period=#2 Scale=6 NULL=BLANK",,$D25,$O$4),AA25)</f>
        <v>189.25</v>
      </c>
      <c r="AB25" s="1000" cm="1">
        <f t="array" aca="1" ref="AB25" ca="1">IF(NPSwitch=1,_xll.TR(AB$7,AB$6,"Sdate=#1 Period=#2 Scale=6 NULL=BLANK",,$D25,$O$4),AB25)</f>
        <v>30.024999999999999</v>
      </c>
      <c r="AC25" s="1000" t="str" cm="1">
        <f t="array" aca="1" ref="AC25" ca="1">IF(NPSwitch=1,_xll.TR(AC$7,AC$6,"Sdate=#1 Period=#2 Scale=6 NULL=BLANK",,$D25,$O$4),AC25)</f>
        <v/>
      </c>
      <c r="AD25" s="1000" cm="1">
        <f t="array" aca="1" ref="AD25" ca="1">IF(NPSwitch=1,_xll.TR(AD$7,AD$6,"Sdate=#1 Period=#2 Scale=6 NULL=BLANK",,$D25,$O$4),AD25)</f>
        <v>52.875</v>
      </c>
      <c r="AE25" s="1000" cm="1">
        <f t="array" aca="1" ref="AE25" ca="1">IF(NPSwitch=1,_xll.TR(AE$7,AE$6,"Sdate=#1 Period=#2 Scale=6 NULL=BLANK",,$D25,$O$4),AE25)</f>
        <v>118.75</v>
      </c>
      <c r="AF25" s="1000" t="str" cm="1">
        <f t="array" aca="1" ref="AF25" ca="1">IF(NPSwitch=1,_xll.TR(AF$7,AF$6,"Sdate=#1 Period=#2 Scale=6 NULL=BLANK",,$D25,$O$4),AF25)</f>
        <v/>
      </c>
      <c r="AG25" s="1000" cm="1">
        <f t="array" aca="1" ref="AG25" ca="1">IF(NPSwitch=1,_xll.TR(AG$7,AG$6,"Sdate=#1 Period=#2 Scale=6 NULL=BLANK",,$D25,$O$4),AG25)</f>
        <v>74</v>
      </c>
      <c r="AH25" s="998"/>
      <c r="AI25" s="1000" cm="1">
        <f t="array" aca="1" ref="AI25" ca="1">IF(NPSwitch=1,_xll.TR(AI$7,AI$6,"Sdate=#1 Period=#2 Scale=6 NULL=BLANK",,$D25,$O$4),AI25)</f>
        <v>51854.573656239998</v>
      </c>
      <c r="AJ25" s="1000" cm="1">
        <f t="array" aca="1" ref="AJ25" ca="1">IF(NPSwitch=1,_xll.TR(AJ$7,AJ$6,"Sdate=#1 Period=#2 Scale=6 NULL=BLANK",,$D25,$O$4),AJ25)</f>
        <v>1473.6323368000001</v>
      </c>
      <c r="AK25" s="1000" cm="1">
        <f t="array" aca="1" ref="AK25" ca="1">IF(NPSwitch=1,_xll.TR(AK$7,AK$6,"Sdate=#1 Period=#2 Scale=6 NULL=BLANK",,$D25,$O$4),AK25)</f>
        <v>3890.5776274</v>
      </c>
      <c r="AL25" s="1000" cm="1">
        <f t="array" aca="1" ref="AL25" ca="1">IF(NPSwitch=1,_xll.TR(AL$7,AL$6,"Sdate=#1 Period=#2 Scale=6 NULL=BLANK",,$D25,$O$4),AL25)</f>
        <v>1502.2928856000001</v>
      </c>
      <c r="AM25" s="1000" t="str" cm="1">
        <f t="array" aca="1" ref="AM25" ca="1">IF(NPSwitch=1,_xll.TR(AM$7,AM$6,"Sdate=#1 Period=#2 Scale=6 NULL=BLANK",,$D25,$O$4),AM25)</f>
        <v/>
      </c>
      <c r="AN25" s="1000" cm="1">
        <f t="array" aca="1" ref="AN25" ca="1">IF(NPSwitch=1,_xll.TR(AN$7,AN$6,"Sdate=#1 Period=#2 Scale=6 NULL=BLANK",,$D25,$O$4),AN25)</f>
        <v>1891.66378343</v>
      </c>
      <c r="AO25" s="1000" cm="1">
        <f t="array" aca="1" ref="AO25" ca="1">IF(NPSwitch=1,_xll.TR(AO$7,AO$6,"Sdate=#1 Period=#2 Scale=6 NULL=BLANK",,$D25,$O$4),AO25)</f>
        <v>12012.29776232</v>
      </c>
      <c r="AP25" s="1000" cm="1">
        <f t="array" aca="1" ref="AP25" ca="1">IF(NPSwitch=1,_xll.TR(AP$7,AP$6,"Sdate=#1 Period=#2 Scale=6 NULL=BLANK",,$D25,$O$4),AP25)</f>
        <v>7886.6049880199998</v>
      </c>
      <c r="AQ25" s="1000" cm="1">
        <f t="array" aca="1" ref="AQ25" ca="1">IF(NPSwitch=1,_xll.TR(AQ$7,AQ$6,"Sdate=#1 Period=#2 Scale=6 NULL=BLANK",,$D25,$O$4),AQ25)</f>
        <v>5545.9517079999996</v>
      </c>
      <c r="AS25" s="765" t="str" cm="1">
        <f t="array" aca="1" ref="AS25" ca="1">IF(NPSwitch=1,_xll.TR(AS$7,AS$6,"Sdate=#1 Period=#2 NULL=BLANK Scale=6",,$D25,$AS$4),AS25)</f>
        <v/>
      </c>
      <c r="AT25" s="765" t="str" cm="1">
        <f t="array" aca="1" ref="AT25" ca="1">IF(NPSwitch=1,_xll.TR(AT$7,AT$6,"Sdate=#1 Period=#2 NULL=BLANK Scale=6",,$D25,$AS$4),AT25)</f>
        <v/>
      </c>
      <c r="AU25" s="765" t="str" cm="1">
        <f t="array" aca="1" ref="AU25" ca="1">IF(NPSwitch=1,_xll.TR(AU$7,AU$6,"Sdate=#1 Period=#2 NULL=BLANK Scale=6",,$D25,$AS$4),AU25)</f>
        <v/>
      </c>
      <c r="AV25" s="765" t="str" cm="1">
        <f t="array" aca="1" ref="AV25" ca="1">IF(NPSwitch=1,_xll.TR(AV$7,AV$6,"Sdate=#1 Period=#2 NULL=BLANK Scale=6",,$D25,$AS$4),AV25)</f>
        <v/>
      </c>
      <c r="AW25" s="765" t="str" cm="1">
        <f t="array" aca="1" ref="AW25" ca="1">IF(NPSwitch=1,_xll.TR(AW$7,AW$6,"Sdate=#1 Period=#2 NULL=BLANK Scale=6",,$D25,$AS$4),AW25)</f>
        <v/>
      </c>
      <c r="AX25" s="765" t="str" cm="1">
        <f t="array" aca="1" ref="AX25" ca="1">IF(NPSwitch=1,_xll.TR(AX$7,AX$6,"Sdate=#1 Period=#2 NULL=BLANK Scale=6",,$D25,$AS$4),AX25)</f>
        <v/>
      </c>
      <c r="AY25" s="765" t="str" cm="1">
        <f t="array" aca="1" ref="AY25" ca="1">IF(NPSwitch=1,_xll.TR(AY$7,AY$6,"Sdate=#1 Period=#2 NULL=BLANK Scale=6",,$D25,$AS$4),AY25)</f>
        <v/>
      </c>
      <c r="AZ25" s="765" t="str" cm="1">
        <f t="array" aca="1" ref="AZ25" ca="1">IF(NPSwitch=1,_xll.TR(AZ$7,AZ$6,"Sdate=#1 Period=#2 NULL=BLANK Scale=6",,$D25,$AS$4),AZ25)</f>
        <v/>
      </c>
      <c r="BA25" s="765" t="str" cm="1">
        <f t="array" aca="1" ref="BA25" ca="1">IF(NPSwitch=1,_xll.TR(BA$7,BA$6,"Sdate=#1 Period=#2 NULL=BLANK Scale=6",,$D25,$AS$4),BA25)</f>
        <v/>
      </c>
      <c r="BC25" s="765" cm="1">
        <f t="array" aca="1" ref="BC25" ca="1">IF(NPSwitch=1,_xll.TR(BC$7,BC$6,"Sdate=#1 Period=#2 NULL=BLANK",,$D25,$BC$4),BC25)</f>
        <v>13.347380606</v>
      </c>
      <c r="BD25" s="765" cm="1">
        <f t="array" aca="1" ref="BD25" ca="1">IF(NPSwitch=1,_xll.TR(BD$7,BD$6,"Sdate=#1 Period=#2 NULL=BLANK",,$D25,$BC$4),BD25)</f>
        <v>8.1877560660000004</v>
      </c>
      <c r="BE25" s="765" cm="1">
        <f t="array" aca="1" ref="BE25" ca="1">IF(NPSwitch=1,_xll.TR(BE$7,BE$6,"Sdate=#1 Period=#2 NULL=BLANK",,$D25,$BC$4),BE25)</f>
        <v>5.5421333720000003</v>
      </c>
      <c r="BF25" s="765" cm="1">
        <f t="array" aca="1" ref="BF25" ca="1">IF(NPSwitch=1,_xll.TR(BF$7,BF$6,"Sdate=#1 Period=#2 NULL=BLANK",,$D25,$BC$4),BF25)</f>
        <v>12.334095940999999</v>
      </c>
      <c r="BG25" s="765" t="str" cm="1">
        <f t="array" aca="1" ref="BG25" ca="1">IF(NPSwitch=1,_xll.TR(BG$7,BG$6,"Sdate=#1 Period=#2 NULL=BLANK",,$D25,$BC$4),BG25)</f>
        <v/>
      </c>
      <c r="BH25" s="765" cm="1">
        <f t="array" aca="1" ref="BH25" ca="1">IF(NPSwitch=1,_xll.TR(BH$7,BH$6,"Sdate=#1 Period=#2 NULL=BLANK",,$D25,$BC$4),BH25)</f>
        <v>4.8994140980000003</v>
      </c>
      <c r="BI25" s="765" cm="1">
        <f t="array" aca="1" ref="BI25" ca="1">IF(NPSwitch=1,_xll.TR(BI$7,BI$6,"Sdate=#1 Period=#2 NULL=BLANK",,$D25,$BC$4),BI25)</f>
        <v>9.4436303160000001</v>
      </c>
      <c r="BJ25" s="765" cm="1">
        <f t="array" aca="1" ref="BJ25" ca="1">IF(NPSwitch=1,_xll.TR(BJ$7,BJ$6,"Sdate=#1 Period=#2 NULL=BLANK",,$D25,$BC$4),BJ25)</f>
        <v>7.4331809499999997</v>
      </c>
      <c r="BK25" s="765" cm="1">
        <f t="array" aca="1" ref="BK25" ca="1">IF(NPSwitch=1,_xll.TR(BK$7,BK$6,"Sdate=#1 Period=#2 NULL=BLANK",,$D25,$BC$4),BK25)</f>
        <v>7.9912848820000004</v>
      </c>
      <c r="BO25" s="765" cm="1">
        <f t="array" aca="1" ref="BO25" ca="1">IF(NPSwitch=1,_xll.TR(BO$7,BO$6,"Sdate=#1 Period=#2 NULL=BLANK Scale=6",,$D25,$AS$4),BO25)</f>
        <v>15868</v>
      </c>
      <c r="BP25" s="765" cm="1">
        <f t="array" aca="1" ref="BP25" ca="1">IF(NPSwitch=1,_xll.TR(BP$7,BP$6,"Sdate=#1 Period=#2 NULL=BLANK Scale=6",,$D25,$AS$4),BP25)</f>
        <v>965.73099999999999</v>
      </c>
      <c r="BQ25" s="765" cm="1">
        <f t="array" aca="1" ref="BQ25" ca="1">IF(NPSwitch=1,_xll.TR(BQ$7,BQ$6,"Sdate=#1 Period=#2 NULL=BLANK Scale=6",,$D25,$AS$4),BQ25)</f>
        <v>7536</v>
      </c>
      <c r="BR25" s="765" cm="1">
        <f t="array" aca="1" ref="BR25" ca="1">IF(NPSwitch=1,_xll.TR(BR$7,BR$6,"Sdate=#1 Period=#2 NULL=BLANK Scale=6",,$D25,$AS$4),BR25)</f>
        <v>2516.6999999999998</v>
      </c>
      <c r="BS25" s="765" t="str" cm="1">
        <f t="array" aca="1" ref="BS25" ca="1">IF(NPSwitch=1,_xll.TR(BS$7,BS$6,"Sdate=#1 Period=#2 NULL=BLANK Scale=6",,$D25,$AS$4),BS25)</f>
        <v/>
      </c>
      <c r="BT25" s="765" cm="1">
        <f t="array" aca="1" ref="BT25" ca="1">IF(NPSwitch=1,_xll.TR(BT$7,BT$6,"Sdate=#1 Period=#2 NULL=BLANK Scale=6",,$D25,$AS$4),BT25)</f>
        <v>1889.2</v>
      </c>
      <c r="BU25" s="765" cm="1">
        <f t="array" aca="1" ref="BU25" ca="1">IF(NPSwitch=1,_xll.TR(BU$7,BU$6,"Sdate=#1 Period=#2 NULL=BLANK Scale=6",,$D25,$AS$4),BU25)</f>
        <v>7915</v>
      </c>
      <c r="BV25" s="765" t="str" cm="1">
        <f t="array" aca="1" ref="BV25" ca="1">IF(NPSwitch=1,_xll.TR(BV$7,BV$6,"Sdate=#1 Period=#2 NULL=BLANK Scale=6",,$D25,$AS$4),BV25)</f>
        <v/>
      </c>
      <c r="BW25" s="765" cm="1">
        <f t="array" aca="1" ref="BW25" ca="1">IF(NPSwitch=1,_xll.TR(BW$7,BW$6,"Sdate=#1 Period=#2 NULL=BLANK Scale=6",,$D25,$AS$4),BW25)</f>
        <v>5275</v>
      </c>
      <c r="BY25" s="765" cm="1">
        <f t="array" aca="1" ref="BY25" ca="1">IF(NPSwitch=1,_xll.TR(BY$7,BY$6,"Sdate=#1 Period=#2 NULL=BLANK Scale=6",,$D25,$AS$4),BY25)</f>
        <v>9014.75</v>
      </c>
      <c r="BZ25" s="765" cm="1">
        <f t="array" aca="1" ref="BZ25" ca="1">IF(NPSwitch=1,_xll.TR(BZ$7,BZ$6,"Sdate=#1 Period=#2 NULL=BLANK Scale=6",,$D25,$AS$4),BZ25)</f>
        <v>761.25149999999996</v>
      </c>
      <c r="CA25" s="765" cm="1">
        <f t="array" aca="1" ref="CA25" ca="1">IF(NPSwitch=1,_xll.TR(CA$7,CA$6,"Sdate=#1 Period=#2 NULL=BLANK Scale=6",,$D25,$AS$4),CA25)</f>
        <v>4103.5</v>
      </c>
      <c r="CB25" s="765" cm="1">
        <f t="array" aca="1" ref="CB25" ca="1">IF(NPSwitch=1,_xll.TR(CB$7,CB$6,"Sdate=#1 Period=#2 NULL=BLANK Scale=6",,$D25,$AS$4),CB25)</f>
        <v>1226.825</v>
      </c>
      <c r="CC25" s="765" t="str" cm="1">
        <f t="array" aca="1" ref="CC25" ca="1">IF(NPSwitch=1,_xll.TR(CC$7,CC$6,"Sdate=#1 Period=#2 NULL=BLANK Scale=6",,$D25,$AS$4),CC25)</f>
        <v/>
      </c>
      <c r="CD25" s="765" cm="1">
        <f t="array" aca="1" ref="CD25" ca="1">IF(NPSwitch=1,_xll.TR(CD$7,CD$6,"Sdate=#1 Period=#2 NULL=BLANK Scale=6",,$D25,$AS$4),CD25)</f>
        <v>1467.05</v>
      </c>
      <c r="CE25" s="765" cm="1">
        <f t="array" aca="1" ref="CE25" ca="1">IF(NPSwitch=1,_xll.TR(CE$7,CE$6,"Sdate=#1 Period=#2 NULL=BLANK Scale=6",,$D25,$AS$4),CE25)</f>
        <v>5561.5</v>
      </c>
      <c r="CF25" s="765" t="str" cm="1">
        <f t="array" aca="1" ref="CF25" ca="1">IF(NPSwitch=1,_xll.TR(CF$7,CF$6,"Sdate=#1 Period=#2 NULL=BLANK Scale=6",,$D25,$AS$4),CF25)</f>
        <v/>
      </c>
      <c r="CG25" s="765" cm="1">
        <f t="array" aca="1" ref="CG25" ca="1">IF(NPSwitch=1,_xll.TR(CG$7,CG$6,"Sdate=#1 Period=#2 NULL=BLANK Scale=6",,$D25,$AS$4),CG25)</f>
        <v>3649.5</v>
      </c>
      <c r="CI25" s="1000" cm="1">
        <f t="array" aca="1" ref="CI25" ca="1">IF(NPSwitch=1,_xll.TR(CI$7,CI$6,"Sdate=#1 Period=#2 NULL=BLANK Scale=6",,$D25,$AS$4),CI25)</f>
        <v>3885</v>
      </c>
      <c r="CJ25" s="1000" cm="1">
        <f t="array" aca="1" ref="CJ25" ca="1">IF(NPSwitch=1,_xll.TR(CJ$7,CJ$6,"Sdate=#1 Period=#2 NULL=BLANK Scale=6",,$D25,$AS$4),CJ25)</f>
        <v>179.98</v>
      </c>
      <c r="CK25" s="1000" cm="1">
        <f t="array" aca="1" ref="CK25" ca="1">IF(NPSwitch=1,_xll.TR(CK$7,CK$6,"Sdate=#1 Period=#2 NULL=BLANK Scale=6",,$D25,$AS$4),CK25)</f>
        <v>712</v>
      </c>
      <c r="CL25" s="1000" cm="1">
        <f t="array" aca="1" ref="CL25" ca="1">IF(NPSwitch=1,_xll.TR(CL$7,CL$6,"Sdate=#1 Period=#2 NULL=BLANK Scale=6",,$D25,$AS$4),CL25)</f>
        <v>121.8</v>
      </c>
      <c r="CM25" s="1000" t="str" cm="1">
        <f t="array" aca="1" ref="CM25" ca="1">IF(NPSwitch=1,_xll.TR(CM$7,CM$6,"Sdate=#1 Period=#2 NULL=BLANK Scale=6",,$D25,$AS$4),CM25)</f>
        <v/>
      </c>
      <c r="CN25" s="1000" cm="1">
        <f t="array" aca="1" ref="CN25" ca="1">IF(NPSwitch=1,_xll.TR(CN$7,CN$6,"Sdate=#1 Period=#2 NULL=BLANK Scale=6",,$D25,$AS$4),CN25)</f>
        <v>386.1</v>
      </c>
      <c r="CO25" s="1000" cm="1">
        <f t="array" aca="1" ref="CO25" ca="1">IF(NPSwitch=1,_xll.TR(CO$7,CO$6,"Sdate=#1 Period=#2 NULL=BLANK Scale=6",,$D25,$AS$4),CO25)</f>
        <v>1272</v>
      </c>
      <c r="CP25" s="1000" t="str" cm="1">
        <f t="array" aca="1" ref="CP25" ca="1">IF(NPSwitch=1,_xll.TR(CP$7,CP$6,"Sdate=#1 Period=#2 NULL=BLANK Scale=6",,$D25,$AS$4),CP25)</f>
        <v/>
      </c>
      <c r="CQ25" s="1000" cm="1">
        <f t="array" aca="1" ref="CQ25" ca="1">IF(NPSwitch=1,_xll.TR(CQ$7,CQ$6,"Sdate=#1 Period=#2 NULL=BLANK Scale=6",,$D25,$AS$4),CQ25)</f>
        <v>694</v>
      </c>
      <c r="CS25" s="1000" cm="1">
        <f t="array" aca="1" ref="CS25" ca="1">IF(NPSwitch=1,_xll.TR(CS$7,CS$6,"Sdate=#1 Period=#2 NULL=BLANK Scale=6",,$D25,$AS$4),CS25)</f>
        <v>5617</v>
      </c>
      <c r="CT25" s="1000" cm="1">
        <f t="array" aca="1" ref="CT25" ca="1">IF(NPSwitch=1,_xll.TR(CT$7,CT$6,"Sdate=#1 Period=#2 NULL=BLANK Scale=6",,$D25,$AS$4),CT25)</f>
        <v>530.81100000000004</v>
      </c>
      <c r="CU25" s="1000" cm="1">
        <f t="array" aca="1" ref="CU25" ca="1">IF(NPSwitch=1,_xll.TR(CU$7,CU$6,"Sdate=#1 Period=#2 NULL=BLANK Scale=6",,$D25,$AS$4),CU25)</f>
        <v>1400.75</v>
      </c>
      <c r="CV25" s="1000" cm="1">
        <f t="array" aca="1" ref="CV25" ca="1">IF(NPSwitch=1,_xll.TR(CV$7,CV$6,"Sdate=#1 Period=#2 NULL=BLANK Scale=6",,$D25,$AS$4),CV25)</f>
        <v>677.07500000000005</v>
      </c>
      <c r="CW25" s="1000" cm="1">
        <f t="array" aca="1" ref="CW25" ca="1">IF(NPSwitch=1,_xll.TR(CW$7,CW$6,"Sdate=#1 Period=#2 NULL=BLANK Scale=6",,$D25,$AS$4),CW25)</f>
        <v>1140.55</v>
      </c>
      <c r="CX25" s="1000" cm="1">
        <f t="array" aca="1" ref="CX25" ca="1">IF(NPSwitch=1,_xll.TR(CX$7,CX$6,"Sdate=#1 Period=#2 NULL=BLANK Scale=6",,$D25,$AS$4),CX25)</f>
        <v>2728</v>
      </c>
      <c r="CY25" s="1000" t="str" cm="1">
        <f t="array" aca="1" ref="CY25" ca="1">IF(NPSwitch=1,_xll.TR(CY$7,CY$6,"Sdate=#1 Period=#2 NULL=BLANK Scale=6",,$D25,$AS$4),CY25)</f>
        <v/>
      </c>
      <c r="CZ25" s="1000" cm="1">
        <f t="array" aca="1" ref="CZ25" ca="1">IF(NPSwitch=1,_xll.TR(CZ$7,CZ$6,"Sdate=#1 Period=#2 NULL=BLANK Scale=6",,$D25,$AS$4),CZ25)</f>
        <v>3633.75</v>
      </c>
      <c r="DA25" s="1000" t="str" cm="1">
        <f t="array" aca="1" ref="DA25" ca="1">IF(NPSwitch=1,_xll.TR(DA$7,DA$6,"Sdate=#1 Period=#2 NULL=BLANK Scale=6",,$D25,$AS$4),DA25)</f>
        <v/>
      </c>
      <c r="DB25" s="1000" cm="1">
        <f t="array" aca="1" ref="DB25" ca="1">IF(NPSwitch=1,_xll.TR(DB$7,DB$6,"Sdate=#1 Period=#2 NULL=BLANK Scale=6",,$D25,$AS$4),DB25)</f>
        <v>15724</v>
      </c>
      <c r="DC25" s="1000" t="str" cm="1">
        <f t="array" aca="1" ref="DC25" ca="1">IF(NPSwitch=1,_xll.TR(DC$7,DC$6,"Sdate=#1 Period=#2 NULL=BLANK Scale=6",,$D25,$AS$4),DC25)</f>
        <v/>
      </c>
      <c r="DD25" s="1000" t="str" cm="1">
        <f t="array" aca="1" ref="DD25" ca="1">IF(NPSwitch=1,_xll.TR(DD$7,DD$6,"Sdate=#1 Period=#2 NULL=BLANK Scale=6",,$D25,$AS$4),DD25)</f>
        <v/>
      </c>
      <c r="DE25" s="1000" t="str" cm="1">
        <f t="array" aca="1" ref="DE25" ca="1">IF(NPSwitch=1,_xll.TR(DE$7,DE$6,"Sdate=#1 Period=#2 NULL=BLANK Scale=6",,$D25,$AS$4),DE25)</f>
        <v/>
      </c>
      <c r="DF25" s="1000" cm="1">
        <f t="array" aca="1" ref="DF25" ca="1">IF(NPSwitch=1,_xll.TR(DF$7,DF$6,"Sdate=#1 Period=#2 NULL=BLANK Scale=6",,$D25,$AS$4),DF25)</f>
        <v>677.07500000000005</v>
      </c>
      <c r="DG25" s="1000" t="str" cm="1">
        <f t="array" aca="1" ref="DG25" ca="1">IF(NPSwitch=1,_xll.TR(DG$7,DG$6,"Sdate=#1 Period=#2 NULL=BLANK Scale=6",,$D25,$AS$4),DG25)</f>
        <v/>
      </c>
      <c r="DH25" s="1000" t="str" cm="1">
        <f t="array" aca="1" ref="DH25" ca="1">IF(NPSwitch=1,_xll.TR(DH$7,DH$6,"Sdate=#1 Period=#2 NULL=BLANK Scale=6",,$D25,$AS$4),DH25)</f>
        <v/>
      </c>
    </row>
    <row r="26" spans="1:112" ht="11.25" customHeight="1">
      <c r="C26" s="972">
        <f t="shared" si="44"/>
        <v>37529</v>
      </c>
      <c r="D26" s="974">
        <f t="shared" si="43"/>
        <v>37574</v>
      </c>
      <c r="E26" s="765" cm="1">
        <f t="array" aca="1" ref="E26" ca="1">IF(NPSwitch=1,_xll.TR(E$7,E$6,"Sdate=#1 Period=#2 NULL=BLANK",,$D26,$E$4),E26)</f>
        <v>11.548097242715601</v>
      </c>
      <c r="F26" s="765" cm="1">
        <f t="array" aca="1" ref="F26" ca="1">IF(NPSwitch=1,_xll.TR(F$7,F$6,"Sdate=#1 Period=#2 NULL=BLANK",,$D26,$E$4),F26)</f>
        <v>6.7771163446766201</v>
      </c>
      <c r="G26" s="765" cm="1">
        <f t="array" aca="1" ref="G26" ca="1">IF(NPSwitch=1,_xll.TR(G$7,G$6,"Sdate=#1 Period=#2 NULL=BLANK",,$D26,$E$4),G26)</f>
        <v>3.5560493731521801</v>
      </c>
      <c r="H26" s="765" cm="1">
        <f t="array" aca="1" ref="H26" ca="1">IF(NPSwitch=1,_xll.TR(H$7,H$6,"Sdate=#1 Period=#2 NULL=BLANK",,$D26,$E$4),H26)</f>
        <v>6.1083837516334798</v>
      </c>
      <c r="I26" s="765" t="str" cm="1">
        <f t="array" aca="1" ref="I26" ca="1">IF(NPSwitch=1,_xll.TR(I$7,I$6,"Sdate=#1 Period=#2 NULL=BLANK",,$D26,$E$4),I26)</f>
        <v/>
      </c>
      <c r="J26" s="765" cm="1">
        <f t="array" aca="1" ref="J26" ca="1">IF(NPSwitch=1,_xll.TR(J$7,J$6,"Sdate=#1 Period=#2 NULL=BLANK",,$D26,$E$4),J26)</f>
        <v>5.4199726915467998</v>
      </c>
      <c r="K26" s="765" cm="1">
        <f t="array" aca="1" ref="K26" ca="1">IF(NPSwitch=1,_xll.TR(K$7,K$6,"Sdate=#1 Period=#2 NULL=BLANK",,$D26,$E$4),K26)</f>
        <v>7.0123643203411499</v>
      </c>
      <c r="L26" s="765" cm="1">
        <f t="array" aca="1" ref="L26" ca="1">IF(NPSwitch=1,_xll.TR(L$7,L$6,"Sdate=#1 Period=#2 NULL=BLANK",,$D26,$E$4),L26)</f>
        <v>5.0650201264330104</v>
      </c>
      <c r="M26" s="765" cm="1">
        <f t="array" aca="1" ref="M26" ca="1">IF(NPSwitch=1,_xll.TR(M$7,M$6,"Sdate=#1 Period=#2 NULL=BLANK",,$D26,$E$4),M26)</f>
        <v>6.0751136412586</v>
      </c>
      <c r="O26" s="1000" cm="1">
        <f t="array" aca="1" ref="O26" ca="1">IF(NPSwitch=1,_xll.TR(O$7,O$6,"Sdate=#1 Period=#2 Scale=6 NULL=BLANK",,$D26,$O$4),O26)</f>
        <v>50725.563719999998</v>
      </c>
      <c r="P26" s="1000" cm="1">
        <f t="array" aca="1" ref="P26" ca="1">IF(NPSwitch=1,_xll.TR(P$7,P$6,"Sdate=#1 Period=#2 Scale=6 NULL=BLANK",,$D26,$O$4),P26)</f>
        <v>1220.3413852799999</v>
      </c>
      <c r="Q26" s="1000" cm="1">
        <f t="array" aca="1" ref="Q26" ca="1">IF(NPSwitch=1,_xll.TR(Q$7,Q$6,"Sdate=#1 Period=#2 Scale=6 NULL=BLANK",,$D26,$O$4),Q26)</f>
        <v>1706.0549249999999</v>
      </c>
      <c r="R26" s="1000" cm="1">
        <f t="array" aca="1" ref="R26" ca="1">IF(NPSwitch=1,_xll.TR(R$7,R$6,"Sdate=#1 Period=#2 Scale=6 NULL=BLANK",,$D26,$O$4),R26)</f>
        <v>723.93483590000005</v>
      </c>
      <c r="S26" s="1000" t="str" cm="1">
        <f t="array" aca="1" ref="S26" ca="1">IF(NPSwitch=1,_xll.TR(S$7,S$6,"Sdate=#1 Period=#2 Scale=6 NULL=BLANK",,$D26,$O$4),S26)</f>
        <v/>
      </c>
      <c r="T26" s="1000" cm="1">
        <f t="array" aca="1" ref="T26" ca="1">IF(NPSwitch=1,_xll.TR(T$7,T$6,"Sdate=#1 Period=#2 Scale=6 NULL=BLANK",,$D26,$O$4),T26)</f>
        <v>966.27678461999994</v>
      </c>
      <c r="U26" s="1000" cm="1">
        <f t="array" aca="1" ref="U26" ca="1">IF(NPSwitch=1,_xll.TR(U$7,U$6,"Sdate=#1 Period=#2 Scale=6 NULL=BLANK",,$D26,$O$4),U26)</f>
        <v>8270.1117094199999</v>
      </c>
      <c r="V26" s="1000" cm="1">
        <f t="array" aca="1" ref="V26" ca="1">IF(NPSwitch=1,_xll.TR(V$7,V$6,"Sdate=#1 Period=#2 Scale=6 NULL=BLANK",,$D26,$O$4),V26)</f>
        <v>5169.8055750717103</v>
      </c>
      <c r="W26" s="1000" cm="1">
        <f t="array" aca="1" ref="W26" ca="1">IF(NPSwitch=1,_xll.TR(W$7,W$6,"Sdate=#1 Period=#2 Scale=6 NULL=BLANK",,$D26,$O$4),W26)</f>
        <v>2945.6608473000001</v>
      </c>
      <c r="X26" s="998"/>
      <c r="Y26" s="1000" cm="1">
        <f t="array" aca="1" ref="Y26" ca="1">IF(NPSwitch=1,_xll.TR(Y$7,Y$6,"Sdate=#1 Period=#2 Scale=6 NULL=BLANK",,$D26,$O$4),Y26)</f>
        <v>673</v>
      </c>
      <c r="Z26" s="1000" cm="1">
        <f t="array" aca="1" ref="Z26" ca="1">IF(NPSwitch=1,_xll.TR(Z$7,Z$6,"Sdate=#1 Period=#2 Scale=6 NULL=BLANK",,$D26,$O$4),Z26)</f>
        <v>32.395000000000003</v>
      </c>
      <c r="AA26" s="1000" cm="1">
        <f t="array" aca="1" ref="AA26" ca="1">IF(NPSwitch=1,_xll.TR(AA$7,AA$6,"Sdate=#1 Period=#2 Scale=6 NULL=BLANK",,$D26,$O$4),AA26)</f>
        <v>152.75</v>
      </c>
      <c r="AB26" s="1000" cm="1">
        <f t="array" aca="1" ref="AB26" ca="1">IF(NPSwitch=1,_xll.TR(AB$7,AB$6,"Sdate=#1 Period=#2 Scale=6 NULL=BLANK",,$D26,$O$4),AB26)</f>
        <v>35.075000000000003</v>
      </c>
      <c r="AC26" s="1000" t="str" cm="1">
        <f t="array" aca="1" ref="AC26" ca="1">IF(NPSwitch=1,_xll.TR(AC$7,AC$6,"Sdate=#1 Period=#2 Scale=6 NULL=BLANK",,$D26,$O$4),AC26)</f>
        <v/>
      </c>
      <c r="AD26" s="1000" cm="1">
        <f t="array" aca="1" ref="AD26" ca="1">IF(NPSwitch=1,_xll.TR(AD$7,AD$6,"Sdate=#1 Period=#2 Scale=6 NULL=BLANK",,$D26,$O$4),AD26)</f>
        <v>31.3</v>
      </c>
      <c r="AE26" s="1000" cm="1">
        <f t="array" aca="1" ref="AE26" ca="1">IF(NPSwitch=1,_xll.TR(AE$7,AE$6,"Sdate=#1 Period=#2 Scale=6 NULL=BLANK",,$D26,$O$4),AE26)</f>
        <v>119.75</v>
      </c>
      <c r="AF26" s="1000" t="str" cm="1">
        <f t="array" aca="1" ref="AF26" ca="1">IF(NPSwitch=1,_xll.TR(AF$7,AF$6,"Sdate=#1 Period=#2 Scale=6 NULL=BLANK",,$D26,$O$4),AF26)</f>
        <v/>
      </c>
      <c r="AG26" s="1000" cm="1">
        <f t="array" aca="1" ref="AG26" ca="1">IF(NPSwitch=1,_xll.TR(AG$7,AG$6,"Sdate=#1 Period=#2 Scale=6 NULL=BLANK",,$D26,$O$4),AG26)</f>
        <v>77.25</v>
      </c>
      <c r="AH26" s="998"/>
      <c r="AI26" s="1000" cm="1">
        <f t="array" aca="1" ref="AI26" ca="1">IF(NPSwitch=1,_xll.TR(AI$7,AI$6,"Sdate=#1 Period=#2 Scale=6 NULL=BLANK",,$D26,$O$4),AI26)</f>
        <v>53231.563719999998</v>
      </c>
      <c r="AJ26" s="1000" cm="1">
        <f t="array" aca="1" ref="AJ26" ca="1">IF(NPSwitch=1,_xll.TR(AJ$7,AJ$6,"Sdate=#1 Period=#2 Scale=6 NULL=BLANK",,$D26,$O$4),AJ26)</f>
        <v>1362.2003852800001</v>
      </c>
      <c r="AK26" s="1000" cm="1">
        <f t="array" aca="1" ref="AK26" ca="1">IF(NPSwitch=1,_xll.TR(AK$7,AK$6,"Sdate=#1 Period=#2 Scale=6 NULL=BLANK",,$D26,$O$4),AK26)</f>
        <v>3507.0549249999999</v>
      </c>
      <c r="AL26" s="1000" cm="1">
        <f t="array" aca="1" ref="AL26" ca="1">IF(NPSwitch=1,_xll.TR(AL$7,AL$6,"Sdate=#1 Period=#2 Scale=6 NULL=BLANK",,$D26,$O$4),AL26)</f>
        <v>1301.0348359</v>
      </c>
      <c r="AM26" s="1000" t="str" cm="1">
        <f t="array" aca="1" ref="AM26" ca="1">IF(NPSwitch=1,_xll.TR(AM$7,AM$6,"Sdate=#1 Period=#2 Scale=6 NULL=BLANK",,$D26,$O$4),AM26)</f>
        <v/>
      </c>
      <c r="AN26" s="1000" cm="1">
        <f t="array" aca="1" ref="AN26" ca="1">IF(NPSwitch=1,_xll.TR(AN$7,AN$6,"Sdate=#1 Period=#2 Scale=6 NULL=BLANK",,$D26,$O$4),AN26)</f>
        <v>1862.0767846199999</v>
      </c>
      <c r="AO26" s="1000" cm="1">
        <f t="array" aca="1" ref="AO26" ca="1">IF(NPSwitch=1,_xll.TR(AO$7,AO$6,"Sdate=#1 Period=#2 Scale=6 NULL=BLANK",,$D26,$O$4),AO26)</f>
        <v>10442.11170942</v>
      </c>
      <c r="AP26" s="1000" cm="1">
        <f t="array" aca="1" ref="AP26" ca="1">IF(NPSwitch=1,_xll.TR(AP$7,AP$6,"Sdate=#1 Period=#2 Scale=6 NULL=BLANK",,$D26,$O$4),AP26)</f>
        <v>7219.8055750719996</v>
      </c>
      <c r="AQ26" s="1000" cm="1">
        <f t="array" aca="1" ref="AQ26" ca="1">IF(NPSwitch=1,_xll.TR(AQ$7,AQ$6,"Sdate=#1 Period=#2 Scale=6 NULL=BLANK",,$D26,$O$4),AQ26)</f>
        <v>4857.6608472999997</v>
      </c>
      <c r="AS26" s="765" t="str" cm="1">
        <f t="array" aca="1" ref="AS26" ca="1">IF(NPSwitch=1,_xll.TR(AS$7,AS$6,"Sdate=#1 Period=#2 NULL=BLANK Scale=6",,$D26,$AS$4),AS26)</f>
        <v/>
      </c>
      <c r="AT26" s="765" t="str" cm="1">
        <f t="array" aca="1" ref="AT26" ca="1">IF(NPSwitch=1,_xll.TR(AT$7,AT$6,"Sdate=#1 Period=#2 NULL=BLANK Scale=6",,$D26,$AS$4),AT26)</f>
        <v/>
      </c>
      <c r="AU26" s="765" t="str" cm="1">
        <f t="array" aca="1" ref="AU26" ca="1">IF(NPSwitch=1,_xll.TR(AU$7,AU$6,"Sdate=#1 Period=#2 NULL=BLANK Scale=6",,$D26,$AS$4),AU26)</f>
        <v/>
      </c>
      <c r="AV26" s="765" t="str" cm="1">
        <f t="array" aca="1" ref="AV26" ca="1">IF(NPSwitch=1,_xll.TR(AV$7,AV$6,"Sdate=#1 Period=#2 NULL=BLANK Scale=6",,$D26,$AS$4),AV26)</f>
        <v/>
      </c>
      <c r="AW26" s="765" t="str" cm="1">
        <f t="array" aca="1" ref="AW26" ca="1">IF(NPSwitch=1,_xll.TR(AW$7,AW$6,"Sdate=#1 Period=#2 NULL=BLANK Scale=6",,$D26,$AS$4),AW26)</f>
        <v/>
      </c>
      <c r="AX26" s="765" t="str" cm="1">
        <f t="array" aca="1" ref="AX26" ca="1">IF(NPSwitch=1,_xll.TR(AX$7,AX$6,"Sdate=#1 Period=#2 NULL=BLANK Scale=6",,$D26,$AS$4),AX26)</f>
        <v/>
      </c>
      <c r="AY26" s="765" t="str" cm="1">
        <f t="array" aca="1" ref="AY26" ca="1">IF(NPSwitch=1,_xll.TR(AY$7,AY$6,"Sdate=#1 Period=#2 NULL=BLANK Scale=6",,$D26,$AS$4),AY26)</f>
        <v/>
      </c>
      <c r="AZ26" s="765" t="str" cm="1">
        <f t="array" aca="1" ref="AZ26" ca="1">IF(NPSwitch=1,_xll.TR(AZ$7,AZ$6,"Sdate=#1 Period=#2 NULL=BLANK Scale=6",,$D26,$AS$4),AZ26)</f>
        <v/>
      </c>
      <c r="BA26" s="765" t="str" cm="1">
        <f t="array" aca="1" ref="BA26" ca="1">IF(NPSwitch=1,_xll.TR(BA$7,BA$6,"Sdate=#1 Period=#2 NULL=BLANK Scale=6",,$D26,$AS$4),BA26)</f>
        <v/>
      </c>
      <c r="BC26" s="765" cm="1">
        <f t="array" aca="1" ref="BC26" ca="1">IF(NPSwitch=1,_xll.TR(BC$7,BC$6,"Sdate=#1 Period=#2 NULL=BLANK",,$D26,$BC$4),BC26)</f>
        <v>13.701818203</v>
      </c>
      <c r="BD26" s="765" cm="1">
        <f t="array" aca="1" ref="BD26" ca="1">IF(NPSwitch=1,_xll.TR(BD$7,BD$6,"Sdate=#1 Period=#2 NULL=BLANK",,$D26,$BC$4),BD26)</f>
        <v>7.2514553230000001</v>
      </c>
      <c r="BE26" s="765" cm="1">
        <f t="array" aca="1" ref="BE26" ca="1">IF(NPSwitch=1,_xll.TR(BE$7,BE$6,"Sdate=#1 Period=#2 NULL=BLANK",,$D26,$BC$4),BE26)</f>
        <v>4.9958047360000002</v>
      </c>
      <c r="BF26" s="765" cm="1">
        <f t="array" aca="1" ref="BF26" ca="1">IF(NPSwitch=1,_xll.TR(BF$7,BF$6,"Sdate=#1 Period=#2 NULL=BLANK",,$D26,$BC$4),BF26)</f>
        <v>10.681731000999999</v>
      </c>
      <c r="BG26" s="765" t="str" cm="1">
        <f t="array" aca="1" ref="BG26" ca="1">IF(NPSwitch=1,_xll.TR(BG$7,BG$6,"Sdate=#1 Period=#2 NULL=BLANK",,$D26,$BC$4),BG26)</f>
        <v/>
      </c>
      <c r="BH26" s="765" cm="1">
        <f t="array" aca="1" ref="BH26" ca="1">IF(NPSwitch=1,_xll.TR(BH$7,BH$6,"Sdate=#1 Period=#2 NULL=BLANK",,$D26,$BC$4),BH26)</f>
        <v>4.7188970719999999</v>
      </c>
      <c r="BI26" s="765" cm="1">
        <f t="array" aca="1" ref="BI26" ca="1">IF(NPSwitch=1,_xll.TR(BI$7,BI$6,"Sdate=#1 Period=#2 NULL=BLANK",,$D26,$BC$4),BI26)</f>
        <v>7.9166881800000004</v>
      </c>
      <c r="BJ26" s="765" cm="1">
        <f t="array" aca="1" ref="BJ26" ca="1">IF(NPSwitch=1,_xll.TR(BJ$7,BJ$6,"Sdate=#1 Period=#2 NULL=BLANK",,$D26,$BC$4),BJ26)</f>
        <v>6.8047177899999998</v>
      </c>
      <c r="BK26" s="765" cm="1">
        <f t="array" aca="1" ref="BK26" ca="1">IF(NPSwitch=1,_xll.TR(BK$7,BK$6,"Sdate=#1 Period=#2 NULL=BLANK",,$D26,$BC$4),BK26)</f>
        <v>7.5429516259999998</v>
      </c>
      <c r="BO26" s="765" cm="1">
        <f t="array" aca="1" ref="BO26" ca="1">IF(NPSwitch=1,_xll.TR(BO$7,BO$6,"Sdate=#1 Period=#2 NULL=BLANK Scale=6",,$D26,$AS$4),BO26)</f>
        <v>16050</v>
      </c>
      <c r="BP26" s="765" cm="1">
        <f t="array" aca="1" ref="BP26" ca="1">IF(NPSwitch=1,_xll.TR(BP$7,BP$6,"Sdate=#1 Period=#2 NULL=BLANK Scale=6",,$D26,$AS$4),BP26)</f>
        <v>995.428</v>
      </c>
      <c r="BQ26" s="765" cm="1">
        <f t="array" aca="1" ref="BQ26" ca="1">IF(NPSwitch=1,_xll.TR(BQ$7,BQ$6,"Sdate=#1 Period=#2 NULL=BLANK Scale=6",,$D26,$AS$4),BQ26)</f>
        <v>7440</v>
      </c>
      <c r="BR26" s="765" cm="1">
        <f t="array" aca="1" ref="BR26" ca="1">IF(NPSwitch=1,_xll.TR(BR$7,BR$6,"Sdate=#1 Period=#2 NULL=BLANK Scale=6",,$D26,$AS$4),BR26)</f>
        <v>2507.8000000000002</v>
      </c>
      <c r="BS26" s="765" t="str" cm="1">
        <f t="array" aca="1" ref="BS26" ca="1">IF(NPSwitch=1,_xll.TR(BS$7,BS$6,"Sdate=#1 Period=#2 NULL=BLANK Scale=6",,$D26,$AS$4),BS26)</f>
        <v/>
      </c>
      <c r="BT26" s="765" cm="1">
        <f t="array" aca="1" ref="BT26" ca="1">IF(NPSwitch=1,_xll.TR(BT$7,BT$6,"Sdate=#1 Period=#2 NULL=BLANK Scale=6",,$D26,$AS$4),BT26)</f>
        <v>1883</v>
      </c>
      <c r="BU26" s="765" cm="1">
        <f t="array" aca="1" ref="BU26" ca="1">IF(NPSwitch=1,_xll.TR(BU$7,BU$6,"Sdate=#1 Period=#2 NULL=BLANK Scale=6",,$D26,$AS$4),BU26)</f>
        <v>7984</v>
      </c>
      <c r="BV26" s="765" t="str" cm="1">
        <f t="array" aca="1" ref="BV26" ca="1">IF(NPSwitch=1,_xll.TR(BV$7,BV$6,"Sdate=#1 Period=#2 NULL=BLANK Scale=6",,$D26,$AS$4),BV26)</f>
        <v/>
      </c>
      <c r="BW26" s="765" cm="1">
        <f t="array" aca="1" ref="BW26" ca="1">IF(NPSwitch=1,_xll.TR(BW$7,BW$6,"Sdate=#1 Period=#2 NULL=BLANK Scale=6",,$D26,$AS$4),BW26)</f>
        <v>5276</v>
      </c>
      <c r="BY26" s="765" cm="1">
        <f t="array" aca="1" ref="BY26" ca="1">IF(NPSwitch=1,_xll.TR(BY$7,BY$6,"Sdate=#1 Period=#2 NULL=BLANK Scale=6",,$D26,$AS$4),BY26)</f>
        <v>9115.5</v>
      </c>
      <c r="BZ26" s="765" cm="1">
        <f t="array" aca="1" ref="BZ26" ca="1">IF(NPSwitch=1,_xll.TR(BZ$7,BZ$6,"Sdate=#1 Period=#2 NULL=BLANK Scale=6",,$D26,$AS$4),BZ26)</f>
        <v>749.98175000000003</v>
      </c>
      <c r="CA26" s="765" cm="1">
        <f t="array" aca="1" ref="CA26" ca="1">IF(NPSwitch=1,_xll.TR(CA$7,CA$6,"Sdate=#1 Period=#2 NULL=BLANK Scale=6",,$D26,$AS$4),CA26)</f>
        <v>4074.25</v>
      </c>
      <c r="CB26" s="765" cm="1">
        <f t="array" aca="1" ref="CB26" ca="1">IF(NPSwitch=1,_xll.TR(CB$7,CB$6,"Sdate=#1 Period=#2 NULL=BLANK Scale=6",,$D26,$AS$4),CB26)</f>
        <v>1228.125</v>
      </c>
      <c r="CC26" s="765" t="str" cm="1">
        <f t="array" aca="1" ref="CC26" ca="1">IF(NPSwitch=1,_xll.TR(CC$7,CC$6,"Sdate=#1 Period=#2 NULL=BLANK Scale=6",,$D26,$AS$4),CC26)</f>
        <v/>
      </c>
      <c r="CD26" s="765" cm="1">
        <f t="array" aca="1" ref="CD26" ca="1">IF(NPSwitch=1,_xll.TR(CD$7,CD$6,"Sdate=#1 Period=#2 NULL=BLANK Scale=6",,$D26,$AS$4),CD26)</f>
        <v>1316.2750000000001</v>
      </c>
      <c r="CE26" s="765" cm="1">
        <f t="array" aca="1" ref="CE26" ca="1">IF(NPSwitch=1,_xll.TR(CE$7,CE$6,"Sdate=#1 Period=#2 NULL=BLANK Scale=6",,$D26,$AS$4),CE26)</f>
        <v>5365</v>
      </c>
      <c r="CF26" s="765" t="str" cm="1">
        <f t="array" aca="1" ref="CF26" ca="1">IF(NPSwitch=1,_xll.TR(CF$7,CF$6,"Sdate=#1 Period=#2 NULL=BLANK Scale=6",,$D26,$AS$4),CF26)</f>
        <v/>
      </c>
      <c r="CG26" s="765" cm="1">
        <f t="array" aca="1" ref="CG26" ca="1">IF(NPSwitch=1,_xll.TR(CG$7,CG$6,"Sdate=#1 Period=#2 NULL=BLANK Scale=6",,$D26,$AS$4),CG26)</f>
        <v>3531</v>
      </c>
      <c r="CI26" s="1000" cm="1">
        <f t="array" aca="1" ref="CI26" ca="1">IF(NPSwitch=1,_xll.TR(CI$7,CI$6,"Sdate=#1 Period=#2 NULL=BLANK Scale=6",,$D26,$AS$4),CI26)</f>
        <v>4053</v>
      </c>
      <c r="CJ26" s="1000" cm="1">
        <f t="array" aca="1" ref="CJ26" ca="1">IF(NPSwitch=1,_xll.TR(CJ$7,CJ$6,"Sdate=#1 Period=#2 NULL=BLANK Scale=6",,$D26,$AS$4),CJ26)</f>
        <v>187.852</v>
      </c>
      <c r="CK26" s="1000" cm="1">
        <f t="array" aca="1" ref="CK26" ca="1">IF(NPSwitch=1,_xll.TR(CK$7,CK$6,"Sdate=#1 Period=#2 NULL=BLANK Scale=6",,$D26,$AS$4),CK26)</f>
        <v>539</v>
      </c>
      <c r="CL26" s="1000" cm="1">
        <f t="array" aca="1" ref="CL26" ca="1">IF(NPSwitch=1,_xll.TR(CL$7,CL$6,"Sdate=#1 Period=#2 NULL=BLANK Scale=6",,$D26,$AS$4),CL26)</f>
        <v>117.6</v>
      </c>
      <c r="CM26" s="1000" t="str" cm="1">
        <f t="array" aca="1" ref="CM26" ca="1">IF(NPSwitch=1,_xll.TR(CM$7,CM$6,"Sdate=#1 Period=#2 NULL=BLANK Scale=6",,$D26,$AS$4),CM26)</f>
        <v/>
      </c>
      <c r="CN26" s="1000" cm="1">
        <f t="array" aca="1" ref="CN26" ca="1">IF(NPSwitch=1,_xll.TR(CN$7,CN$6,"Sdate=#1 Period=#2 NULL=BLANK Scale=6",,$D26,$AS$4),CN26)</f>
        <v>394.6</v>
      </c>
      <c r="CO26" s="1000" cm="1">
        <f t="array" aca="1" ref="CO26" ca="1">IF(NPSwitch=1,_xll.TR(CO$7,CO$6,"Sdate=#1 Period=#2 NULL=BLANK Scale=6",,$D26,$AS$4),CO26)</f>
        <v>1319</v>
      </c>
      <c r="CP26" s="1000" t="str" cm="1">
        <f t="array" aca="1" ref="CP26" ca="1">IF(NPSwitch=1,_xll.TR(CP$7,CP$6,"Sdate=#1 Period=#2 NULL=BLANK Scale=6",,$D26,$AS$4),CP26)</f>
        <v/>
      </c>
      <c r="CQ26" s="1000" cm="1">
        <f t="array" aca="1" ref="CQ26" ca="1">IF(NPSwitch=1,_xll.TR(CQ$7,CQ$6,"Sdate=#1 Period=#2 NULL=BLANK Scale=6",,$D26,$AS$4),CQ26)</f>
        <v>644</v>
      </c>
      <c r="CS26" s="1000" cm="1">
        <f t="array" aca="1" ref="CS26" ca="1">IF(NPSwitch=1,_xll.TR(CS$7,CS$6,"Sdate=#1 Period=#2 NULL=BLANK Scale=6",,$D26,$AS$4),CS26)</f>
        <v>5526.5</v>
      </c>
      <c r="CT26" s="1000" cm="1">
        <f t="array" aca="1" ref="CT26" ca="1">IF(NPSwitch=1,_xll.TR(CT$7,CT$6,"Sdate=#1 Period=#2 NULL=BLANK Scale=6",,$D26,$AS$4),CT26)</f>
        <v>525.78650000000005</v>
      </c>
      <c r="CU26" s="1000" cm="1">
        <f t="array" aca="1" ref="CU26" ca="1">IF(NPSwitch=1,_xll.TR(CU$7,CU$6,"Sdate=#1 Period=#2 NULL=BLANK Scale=6",,$D26,$AS$4),CU26)</f>
        <v>1363.5</v>
      </c>
      <c r="CV26" s="1000" cm="1">
        <f t="array" aca="1" ref="CV26" ca="1">IF(NPSwitch=1,_xll.TR(CV$7,CV$6,"Sdate=#1 Period=#2 NULL=BLANK Scale=6",,$D26,$AS$4),CV26)</f>
        <v>681</v>
      </c>
      <c r="CW26" s="1000" cm="1">
        <f t="array" aca="1" ref="CW26" ca="1">IF(NPSwitch=1,_xll.TR(CW$7,CW$6,"Sdate=#1 Period=#2 NULL=BLANK Scale=6",,$D26,$AS$4),CW26)</f>
        <v>1068.175</v>
      </c>
      <c r="CX26" s="1000" cm="1">
        <f t="array" aca="1" ref="CX26" ca="1">IF(NPSwitch=1,_xll.TR(CX$7,CX$6,"Sdate=#1 Period=#2 NULL=BLANK Scale=6",,$D26,$AS$4),CX26)</f>
        <v>2681.75</v>
      </c>
      <c r="CY26" s="1000" t="str" cm="1">
        <f t="array" aca="1" ref="CY26" ca="1">IF(NPSwitch=1,_xll.TR(CY$7,CY$6,"Sdate=#1 Period=#2 NULL=BLANK Scale=6",,$D26,$AS$4),CY26)</f>
        <v/>
      </c>
      <c r="CZ26" s="1000" cm="1">
        <f t="array" aca="1" ref="CZ26" ca="1">IF(NPSwitch=1,_xll.TR(CZ$7,CZ$6,"Sdate=#1 Period=#2 NULL=BLANK Scale=6",,$D26,$AS$4),CZ26)</f>
        <v>3590.25</v>
      </c>
      <c r="DA26" s="1000" t="str" cm="1">
        <f t="array" aca="1" ref="DA26" ca="1">IF(NPSwitch=1,_xll.TR(DA$7,DA$6,"Sdate=#1 Period=#2 NULL=BLANK Scale=6",,$D26,$AS$4),DA26)</f>
        <v/>
      </c>
      <c r="DB26" s="1000" cm="1">
        <f t="array" aca="1" ref="DB26" ca="1">IF(NPSwitch=1,_xll.TR(DB$7,DB$6,"Sdate=#1 Period=#2 NULL=BLANK Scale=6",,$D26,$AS$4),DB26)</f>
        <v>13821.25</v>
      </c>
      <c r="DC26" s="1000" t="str" cm="1">
        <f t="array" aca="1" ref="DC26" ca="1">IF(NPSwitch=1,_xll.TR(DC$7,DC$6,"Sdate=#1 Period=#2 NULL=BLANK Scale=6",,$D26,$AS$4),DC26)</f>
        <v/>
      </c>
      <c r="DD26" s="1000" t="str" cm="1">
        <f t="array" aca="1" ref="DD26" ca="1">IF(NPSwitch=1,_xll.TR(DD$7,DD$6,"Sdate=#1 Period=#2 NULL=BLANK Scale=6",,$D26,$AS$4),DD26)</f>
        <v/>
      </c>
      <c r="DE26" s="1000" t="str" cm="1">
        <f t="array" aca="1" ref="DE26" ca="1">IF(NPSwitch=1,_xll.TR(DE$7,DE$6,"Sdate=#1 Period=#2 NULL=BLANK Scale=6",,$D26,$AS$4),DE26)</f>
        <v/>
      </c>
      <c r="DF26" s="1000" cm="1">
        <f t="array" aca="1" ref="DF26" ca="1">IF(NPSwitch=1,_xll.TR(DF$7,DF$6,"Sdate=#1 Period=#2 NULL=BLANK Scale=6",,$D26,$AS$4),DF26)</f>
        <v>681</v>
      </c>
      <c r="DG26" s="1000" t="str" cm="1">
        <f t="array" aca="1" ref="DG26" ca="1">IF(NPSwitch=1,_xll.TR(DG$7,DG$6,"Sdate=#1 Period=#2 NULL=BLANK Scale=6",,$D26,$AS$4),DG26)</f>
        <v/>
      </c>
      <c r="DH26" s="1000" t="str" cm="1">
        <f t="array" aca="1" ref="DH26" ca="1">IF(NPSwitch=1,_xll.TR(DH$7,DH$6,"Sdate=#1 Period=#2 NULL=BLANK Scale=6",,$D26,$AS$4),DH26)</f>
        <v/>
      </c>
    </row>
    <row r="27" spans="1:112" ht="11.25" customHeight="1">
      <c r="C27" s="973">
        <f t="shared" si="44"/>
        <v>37621</v>
      </c>
      <c r="D27" s="974">
        <f t="shared" si="43"/>
        <v>37666</v>
      </c>
      <c r="E27" s="765" cm="1">
        <f t="array" aca="1" ref="E27" ca="1">IF(NPSwitch=1,_xll.TR(E$7,E$6,"Sdate=#1 Period=#2 NULL=BLANK",,$D27,$E$4),E27)</f>
        <v>10.8752947286892</v>
      </c>
      <c r="F27" s="765" t="str" cm="1">
        <f t="array" aca="1" ref="F27" ca="1">IF(NPSwitch=1,_xll.TR(F$7,F$6,"Sdate=#1 Period=#2 NULL=BLANK",,$D27,$E$4),F27)</f>
        <v/>
      </c>
      <c r="G27" s="765" cm="1">
        <f t="array" aca="1" ref="G27" ca="1">IF(NPSwitch=1,_xll.TR(G$7,G$6,"Sdate=#1 Period=#2 NULL=BLANK",,$D27,$E$4),G27)</f>
        <v>3.4934233181705898</v>
      </c>
      <c r="H27" s="765" t="str" cm="1">
        <f t="array" aca="1" ref="H27" ca="1">IF(NPSwitch=1,_xll.TR(H$7,H$6,"Sdate=#1 Period=#2 NULL=BLANK",,$D27,$E$4),H27)</f>
        <v/>
      </c>
      <c r="I27" s="765" t="str" cm="1">
        <f t="array" aca="1" ref="I27" ca="1">IF(NPSwitch=1,_xll.TR(I$7,I$6,"Sdate=#1 Period=#2 NULL=BLANK",,$D27,$E$4),I27)</f>
        <v/>
      </c>
      <c r="J27" s="765" cm="1">
        <f t="array" aca="1" ref="J27" ca="1">IF(NPSwitch=1,_xll.TR(J$7,J$6,"Sdate=#1 Period=#2 NULL=BLANK",,$D27,$E$4),J27)</f>
        <v>4.30688208339574</v>
      </c>
      <c r="K27" s="765" cm="1">
        <f t="array" aca="1" ref="K27" ca="1">IF(NPSwitch=1,_xll.TR(K$7,K$6,"Sdate=#1 Period=#2 NULL=BLANK",,$D27,$E$4),K27)</f>
        <v>6.6675137233761701</v>
      </c>
      <c r="L27" s="765" cm="1">
        <f t="array" aca="1" ref="L27" ca="1">IF(NPSwitch=1,_xll.TR(L$7,L$6,"Sdate=#1 Period=#2 NULL=BLANK",,$D27,$E$4),L27)</f>
        <v>4.81031945505634</v>
      </c>
      <c r="M27" s="765" t="str" cm="1">
        <f t="array" aca="1" ref="M27" ca="1">IF(NPSwitch=1,_xll.TR(M$7,M$6,"Sdate=#1 Period=#2 NULL=BLANK",,$D27,$E$4),M27)</f>
        <v/>
      </c>
      <c r="O27" s="1000" cm="1">
        <f t="array" aca="1" ref="O27" ca="1">IF(NPSwitch=1,_xll.TR(O$7,O$6,"Sdate=#1 Period=#2 Scale=6 NULL=BLANK",,$D27,$O$4),O27)</f>
        <v>48782.45622285</v>
      </c>
      <c r="P27" s="1000" cm="1">
        <f t="array" aca="1" ref="P27" ca="1">IF(NPSwitch=1,_xll.TR(P$7,P$6,"Sdate=#1 Period=#2 Scale=6 NULL=BLANK",,$D27,$O$4),P27)</f>
        <v>1044.3864536999999</v>
      </c>
      <c r="Q27" s="1000" cm="1">
        <f t="array" aca="1" ref="Q27" ca="1">IF(NPSwitch=1,_xll.TR(Q$7,Q$6,"Sdate=#1 Period=#2 Scale=6 NULL=BLANK",,$D27,$O$4),Q27)</f>
        <v>1856.4858703999901</v>
      </c>
      <c r="R27" s="1000" cm="1">
        <f t="array" aca="1" ref="R27" ca="1">IF(NPSwitch=1,_xll.TR(R$7,R$6,"Sdate=#1 Period=#2 Scale=6 NULL=BLANK",,$D27,$O$4),R27)</f>
        <v>320.73062349999998</v>
      </c>
      <c r="S27" s="1000" t="str" cm="1">
        <f t="array" aca="1" ref="S27" ca="1">IF(NPSwitch=1,_xll.TR(S$7,S$6,"Sdate=#1 Period=#2 Scale=6 NULL=BLANK",,$D27,$O$4),S27)</f>
        <v/>
      </c>
      <c r="T27" s="1000" cm="1">
        <f t="array" aca="1" ref="T27" ca="1">IF(NPSwitch=1,_xll.TR(T$7,T$6,"Sdate=#1 Period=#2 Scale=6 NULL=BLANK",,$D27,$O$4),T27)</f>
        <v>618.57152188999999</v>
      </c>
      <c r="U27" s="1000" cm="1">
        <f t="array" aca="1" ref="U27" ca="1">IF(NPSwitch=1,_xll.TR(U$7,U$6,"Sdate=#1 Period=#2 Scale=6 NULL=BLANK",,$D27,$O$4),U27)</f>
        <v>8031.5185013399996</v>
      </c>
      <c r="V27" s="1000" cm="1">
        <f t="array" aca="1" ref="V27" ca="1">IF(NPSwitch=1,_xll.TR(V$7,V$6,"Sdate=#1 Period=#2 Scale=6 NULL=BLANK",,$D27,$O$4),V27)</f>
        <v>4794.2033741073201</v>
      </c>
      <c r="W27" s="1000" cm="1">
        <f t="array" aca="1" ref="W27" ca="1">IF(NPSwitch=1,_xll.TR(W$7,W$6,"Sdate=#1 Period=#2 Scale=6 NULL=BLANK",,$D27,$O$4),W27)</f>
        <v>2494.4180459999998</v>
      </c>
      <c r="X27" s="998"/>
      <c r="Y27" s="1000" cm="1">
        <f t="array" aca="1" ref="Y27" ca="1">IF(NPSwitch=1,_xll.TR(Y$7,Y$6,"Sdate=#1 Period=#2 Scale=6 NULL=BLANK",,$D27,$O$4),Y27)</f>
        <v>673.5</v>
      </c>
      <c r="Z27" s="1000" cm="1">
        <f t="array" aca="1" ref="Z27" ca="1">IF(NPSwitch=1,_xll.TR(Z$7,Z$6,"Sdate=#1 Period=#2 Scale=6 NULL=BLANK",,$D27,$O$4),Z27)</f>
        <v>36.694749999999999</v>
      </c>
      <c r="AA27" s="1000" cm="1">
        <f t="array" aca="1" ref="AA27" ca="1">IF(NPSwitch=1,_xll.TR(AA$7,AA$6,"Sdate=#1 Period=#2 Scale=6 NULL=BLANK",,$D27,$O$4),AA27)</f>
        <v>116.5</v>
      </c>
      <c r="AB27" s="1000" cm="1">
        <f t="array" aca="1" ref="AB27" ca="1">IF(NPSwitch=1,_xll.TR(AB$7,AB$6,"Sdate=#1 Period=#2 Scale=6 NULL=BLANK",,$D27,$O$4),AB27)</f>
        <v>40.875</v>
      </c>
      <c r="AC27" s="1000" t="str" cm="1">
        <f t="array" aca="1" ref="AC27" ca="1">IF(NPSwitch=1,_xll.TR(AC$7,AC$6,"Sdate=#1 Period=#2 Scale=6 NULL=BLANK",,$D27,$O$4),AC27)</f>
        <v/>
      </c>
      <c r="AD27" s="1000" cm="1">
        <f t="array" aca="1" ref="AD27" ca="1">IF(NPSwitch=1,_xll.TR(AD$7,AD$6,"Sdate=#1 Period=#2 Scale=6 NULL=BLANK",,$D27,$O$4),AD27)</f>
        <v>47.85</v>
      </c>
      <c r="AE27" s="1000" cm="1">
        <f t="array" aca="1" ref="AE27" ca="1">IF(NPSwitch=1,_xll.TR(AE$7,AE$6,"Sdate=#1 Period=#2 Scale=6 NULL=BLANK",,$D27,$O$4),AE27)</f>
        <v>122</v>
      </c>
      <c r="AF27" s="1000" t="str" cm="1">
        <f t="array" aca="1" ref="AF27" ca="1">IF(NPSwitch=1,_xll.TR(AF$7,AF$6,"Sdate=#1 Period=#2 Scale=6 NULL=BLANK",,$D27,$O$4),AF27)</f>
        <v/>
      </c>
      <c r="AG27" s="1000" cm="1">
        <f t="array" aca="1" ref="AG27" ca="1">IF(NPSwitch=1,_xll.TR(AG$7,AG$6,"Sdate=#1 Period=#2 Scale=6 NULL=BLANK",,$D27,$O$4),AG27)</f>
        <v>80</v>
      </c>
      <c r="AH27" s="998"/>
      <c r="AI27" s="1000" cm="1">
        <f t="array" aca="1" ref="AI27" ca="1">IF(NPSwitch=1,_xll.TR(AI$7,AI$6,"Sdate=#1 Period=#2 Scale=6 NULL=BLANK",,$D27,$O$4),AI27)</f>
        <v>51427.45622285</v>
      </c>
      <c r="AJ27" s="1000" cm="1">
        <f t="array" aca="1" ref="AJ27" ca="1">IF(NPSwitch=1,_xll.TR(AJ$7,AJ$6,"Sdate=#1 Period=#2 Scale=6 NULL=BLANK",,$D27,$O$4),AJ27)</f>
        <v>1186.2454537000001</v>
      </c>
      <c r="AK27" s="1000" cm="1">
        <f t="array" aca="1" ref="AK27" ca="1">IF(NPSwitch=1,_xll.TR(AK$7,AK$6,"Sdate=#1 Period=#2 Scale=6 NULL=BLANK",,$D27,$O$4),AK27)</f>
        <v>3563.4858703999998</v>
      </c>
      <c r="AL27" s="1000" cm="1">
        <f t="array" aca="1" ref="AL27" ca="1">IF(NPSwitch=1,_xll.TR(AL$7,AL$6,"Sdate=#1 Period=#2 Scale=6 NULL=BLANK",,$D27,$O$4),AL27)</f>
        <v>892.43062350000002</v>
      </c>
      <c r="AM27" s="1000" t="str" cm="1">
        <f t="array" aca="1" ref="AM27" ca="1">IF(NPSwitch=1,_xll.TR(AM$7,AM$6,"Sdate=#1 Period=#2 Scale=6 NULL=BLANK",,$D27,$O$4),AM27)</f>
        <v/>
      </c>
      <c r="AN27" s="1000" cm="1">
        <f t="array" aca="1" ref="AN27" ca="1">IF(NPSwitch=1,_xll.TR(AN$7,AN$6,"Sdate=#1 Period=#2 Scale=6 NULL=BLANK",,$D27,$O$4),AN27)</f>
        <v>1514.3715218899999</v>
      </c>
      <c r="AO27" s="1000" cm="1">
        <f t="array" aca="1" ref="AO27" ca="1">IF(NPSwitch=1,_xll.TR(AO$7,AO$6,"Sdate=#1 Period=#2 Scale=6 NULL=BLANK",,$D27,$O$4),AO27)</f>
        <v>10203.518501340001</v>
      </c>
      <c r="AP27" s="1000" cm="1">
        <f t="array" aca="1" ref="AP27" ca="1">IF(NPSwitch=1,_xll.TR(AP$7,AP$6,"Sdate=#1 Period=#2 Scale=6 NULL=BLANK",,$D27,$O$4),AP27)</f>
        <v>6844.2033741069999</v>
      </c>
      <c r="AQ27" s="1000" cm="1">
        <f t="array" aca="1" ref="AQ27" ca="1">IF(NPSwitch=1,_xll.TR(AQ$7,AQ$6,"Sdate=#1 Period=#2 Scale=6 NULL=BLANK",,$D27,$O$4),AQ27)</f>
        <v>4406.4180459999998</v>
      </c>
      <c r="AS27" s="765" t="str" cm="1">
        <f t="array" aca="1" ref="AS27" ca="1">IF(NPSwitch=1,_xll.TR(AS$7,AS$6,"Sdate=#1 Period=#2 NULL=BLANK Scale=6",,$D27,$AS$4),AS27)</f>
        <v/>
      </c>
      <c r="AT27" s="765" t="str" cm="1">
        <f t="array" aca="1" ref="AT27" ca="1">IF(NPSwitch=1,_xll.TR(AT$7,AT$6,"Sdate=#1 Period=#2 NULL=BLANK Scale=6",,$D27,$AS$4),AT27)</f>
        <v/>
      </c>
      <c r="AU27" s="765" t="str" cm="1">
        <f t="array" aca="1" ref="AU27" ca="1">IF(NPSwitch=1,_xll.TR(AU$7,AU$6,"Sdate=#1 Period=#2 NULL=BLANK Scale=6",,$D27,$AS$4),AU27)</f>
        <v/>
      </c>
      <c r="AV27" s="765" t="str" cm="1">
        <f t="array" aca="1" ref="AV27" ca="1">IF(NPSwitch=1,_xll.TR(AV$7,AV$6,"Sdate=#1 Period=#2 NULL=BLANK Scale=6",,$D27,$AS$4),AV27)</f>
        <v/>
      </c>
      <c r="AW27" s="765" t="str" cm="1">
        <f t="array" aca="1" ref="AW27" ca="1">IF(NPSwitch=1,_xll.TR(AW$7,AW$6,"Sdate=#1 Period=#2 NULL=BLANK Scale=6",,$D27,$AS$4),AW27)</f>
        <v/>
      </c>
      <c r="AX27" s="765" t="str" cm="1">
        <f t="array" aca="1" ref="AX27" ca="1">IF(NPSwitch=1,_xll.TR(AX$7,AX$6,"Sdate=#1 Period=#2 NULL=BLANK Scale=6",,$D27,$AS$4),AX27)</f>
        <v/>
      </c>
      <c r="AY27" s="765" t="str" cm="1">
        <f t="array" aca="1" ref="AY27" ca="1">IF(NPSwitch=1,_xll.TR(AY$7,AY$6,"Sdate=#1 Period=#2 NULL=BLANK Scale=6",,$D27,$AS$4),AY27)</f>
        <v/>
      </c>
      <c r="AZ27" s="765" t="str" cm="1">
        <f t="array" aca="1" ref="AZ27" ca="1">IF(NPSwitch=1,_xll.TR(AZ$7,AZ$6,"Sdate=#1 Period=#2 NULL=BLANK Scale=6",,$D27,$AS$4),AZ27)</f>
        <v/>
      </c>
      <c r="BA27" s="765" t="str" cm="1">
        <f t="array" aca="1" ref="BA27" ca="1">IF(NPSwitch=1,_xll.TR(BA$7,BA$6,"Sdate=#1 Period=#2 NULL=BLANK Scale=6",,$D27,$AS$4),BA27)</f>
        <v/>
      </c>
      <c r="BC27" s="765" cm="1">
        <f t="array" aca="1" ref="BC27" ca="1">IF(NPSwitch=1,_xll.TR(BC$7,BC$6,"Sdate=#1 Period=#2 NULL=BLANK",,$D27,$BC$4),BC27)</f>
        <v>12.688738274</v>
      </c>
      <c r="BD27" s="765" cm="1">
        <f t="array" aca="1" ref="BD27" ca="1">IF(NPSwitch=1,_xll.TR(BD$7,BD$6,"Sdate=#1 Period=#2 NULL=BLANK",,$D27,$BC$4),BD27)</f>
        <v>6.3147874589999997</v>
      </c>
      <c r="BE27" s="765" cm="1">
        <f t="array" aca="1" ref="BE27" ca="1">IF(NPSwitch=1,_xll.TR(BE$7,BE$6,"Sdate=#1 Period=#2 NULL=BLANK",,$D27,$BC$4),BE27)</f>
        <v>7.7131728800000001</v>
      </c>
      <c r="BF27" s="765" cm="1">
        <f t="array" aca="1" ref="BF27" ca="1">IF(NPSwitch=1,_xll.TR(BF$7,BF$6,"Sdate=#1 Period=#2 NULL=BLANK",,$D27,$BC$4),BF27)</f>
        <v>12.534137971</v>
      </c>
      <c r="BG27" s="765" t="str" cm="1">
        <f t="array" aca="1" ref="BG27" ca="1">IF(NPSwitch=1,_xll.TR(BG$7,BG$6,"Sdate=#1 Period=#2 NULL=BLANK",,$D27,$BC$4),BG27)</f>
        <v/>
      </c>
      <c r="BH27" s="765" cm="1">
        <f t="array" aca="1" ref="BH27" ca="1">IF(NPSwitch=1,_xll.TR(BH$7,BH$6,"Sdate=#1 Period=#2 NULL=BLANK",,$D27,$BC$4),BH27)</f>
        <v>3.8377382710000001</v>
      </c>
      <c r="BI27" s="765" cm="1">
        <f t="array" aca="1" ref="BI27" ca="1">IF(NPSwitch=1,_xll.TR(BI$7,BI$6,"Sdate=#1 Period=#2 NULL=BLANK",,$D27,$BC$4),BI27)</f>
        <v>7.7357987120000002</v>
      </c>
      <c r="BJ27" s="765" cm="1">
        <f t="array" aca="1" ref="BJ27" ca="1">IF(NPSwitch=1,_xll.TR(BJ$7,BJ$6,"Sdate=#1 Period=#2 NULL=BLANK",,$D27,$BC$4),BJ27)</f>
        <v>6.4507100599999996</v>
      </c>
      <c r="BK27" s="765" cm="1">
        <f t="array" aca="1" ref="BK27" ca="1">IF(NPSwitch=1,_xll.TR(BK$7,BK$6,"Sdate=#1 Period=#2 NULL=BLANK",,$D27,$BC$4),BK27)</f>
        <v>6.8422640469999996</v>
      </c>
      <c r="BO27" s="765" cm="1">
        <f t="array" aca="1" ref="BO27" ca="1">IF(NPSwitch=1,_xll.TR(BO$7,BO$6,"Sdate=#1 Period=#2 NULL=BLANK Scale=6",,$D27,$AS$4),BO27)</f>
        <v>16332</v>
      </c>
      <c r="BP27" s="765" cm="1">
        <f t="array" aca="1" ref="BP27" ca="1">IF(NPSwitch=1,_xll.TR(BP$7,BP$6,"Sdate=#1 Period=#2 NULL=BLANK Scale=6",,$D27,$AS$4),BP27)</f>
        <v>1007.918</v>
      </c>
      <c r="BQ27" s="765" cm="1">
        <f t="array" aca="1" ref="BQ27" ca="1">IF(NPSwitch=1,_xll.TR(BQ$7,BQ$6,"Sdate=#1 Period=#2 NULL=BLANK Scale=6",,$D27,$AS$4),BQ27)</f>
        <v>7366</v>
      </c>
      <c r="BR27" s="765" cm="1">
        <f t="array" aca="1" ref="BR27" ca="1">IF(NPSwitch=1,_xll.TR(BR$7,BR$6,"Sdate=#1 Period=#2 NULL=BLANK Scale=6",,$D27,$AS$4),BR27)</f>
        <v>2363.5</v>
      </c>
      <c r="BS27" s="765" t="str" cm="1">
        <f t="array" aca="1" ref="BS27" ca="1">IF(NPSwitch=1,_xll.TR(BS$7,BS$6,"Sdate=#1 Period=#2 NULL=BLANK Scale=6",,$D27,$AS$4),BS27)</f>
        <v/>
      </c>
      <c r="BT27" s="765" cm="1">
        <f t="array" aca="1" ref="BT27" ca="1">IF(NPSwitch=1,_xll.TR(BT$7,BT$6,"Sdate=#1 Period=#2 NULL=BLANK Scale=6",,$D27,$AS$4),BT27)</f>
        <v>1852.9</v>
      </c>
      <c r="BU27" s="765" cm="1">
        <f t="array" aca="1" ref="BU27" ca="1">IF(NPSwitch=1,_xll.TR(BU$7,BU$6,"Sdate=#1 Period=#2 NULL=BLANK Scale=6",,$D27,$AS$4),BU27)</f>
        <v>8067</v>
      </c>
      <c r="BV27" s="765" cm="1">
        <f t="array" aca="1" ref="BV27" ca="1">IF(NPSwitch=1,_xll.TR(BV$7,BV$6,"Sdate=#1 Period=#2 NULL=BLANK Scale=6",,$D27,$AS$4),BV27)</f>
        <v>7919</v>
      </c>
      <c r="BW27" s="765" cm="1">
        <f t="array" aca="1" ref="BW27" ca="1">IF(NPSwitch=1,_xll.TR(BW$7,BW$6,"Sdate=#1 Period=#2 NULL=BLANK Scale=6",,$D27,$AS$4),BW27)</f>
        <v>5320</v>
      </c>
      <c r="BY27" s="765" cm="1">
        <f t="array" aca="1" ref="BY27" ca="1">IF(NPSwitch=1,_xll.TR(BY$7,BY$6,"Sdate=#1 Period=#2 NULL=BLANK Scale=6",,$D27,$AS$4),BY27)</f>
        <v>9213.25</v>
      </c>
      <c r="BZ27" s="765" cm="1">
        <f t="array" aca="1" ref="BZ27" ca="1">IF(NPSwitch=1,_xll.TR(BZ$7,BZ$6,"Sdate=#1 Period=#2 NULL=BLANK Scale=6",,$D27,$AS$4),BZ27)</f>
        <v>750.34375</v>
      </c>
      <c r="CA27" s="765" cm="1">
        <f t="array" aca="1" ref="CA27" ca="1">IF(NPSwitch=1,_xll.TR(CA$7,CA$6,"Sdate=#1 Period=#2 NULL=BLANK Scale=6",,$D27,$AS$4),CA27)</f>
        <v>4028.5</v>
      </c>
      <c r="CB27" s="765" cm="1">
        <f t="array" aca="1" ref="CB27" ca="1">IF(NPSwitch=1,_xll.TR(CB$7,CB$6,"Sdate=#1 Period=#2 NULL=BLANK Scale=6",,$D27,$AS$4),CB27)</f>
        <v>1227.4749999999999</v>
      </c>
      <c r="CC27" s="765" t="str" cm="1">
        <f t="array" aca="1" ref="CC27" ca="1">IF(NPSwitch=1,_xll.TR(CC$7,CC$6,"Sdate=#1 Period=#2 NULL=BLANK Scale=6",,$D27,$AS$4),CC27)</f>
        <v/>
      </c>
      <c r="CD27" s="765" cm="1">
        <f t="array" aca="1" ref="CD27" ca="1">IF(NPSwitch=1,_xll.TR(CD$7,CD$6,"Sdate=#1 Period=#2 NULL=BLANK Scale=6",,$D27,$AS$4),CD27)</f>
        <v>1448.95</v>
      </c>
      <c r="CE27" s="765" cm="1">
        <f t="array" aca="1" ref="CE27" ca="1">IF(NPSwitch=1,_xll.TR(CE$7,CE$6,"Sdate=#1 Period=#2 NULL=BLANK Scale=6",,$D27,$AS$4),CE27)</f>
        <v>5048.75</v>
      </c>
      <c r="CF27" s="765" t="str" cm="1">
        <f t="array" aca="1" ref="CF27" ca="1">IF(NPSwitch=1,_xll.TR(CF$7,CF$6,"Sdate=#1 Period=#2 NULL=BLANK Scale=6",,$D27,$AS$4),CF27)</f>
        <v/>
      </c>
      <c r="CG27" s="765" cm="1">
        <f t="array" aca="1" ref="CG27" ca="1">IF(NPSwitch=1,_xll.TR(CG$7,CG$6,"Sdate=#1 Period=#2 NULL=BLANK Scale=6",,$D27,$AS$4),CG27)</f>
        <v>3468.25</v>
      </c>
      <c r="CI27" s="1000" cm="1">
        <f t="array" aca="1" ref="CI27" ca="1">IF(NPSwitch=1,_xll.TR(CI$7,CI$6,"Sdate=#1 Period=#2 NULL=BLANK Scale=6",,$D27,$AS$4),CI27)</f>
        <v>4202</v>
      </c>
      <c r="CJ27" s="1000" cm="1">
        <f t="array" aca="1" ref="CJ27" ca="1">IF(NPSwitch=1,_xll.TR(CJ$7,CJ$6,"Sdate=#1 Period=#2 NULL=BLANK Scale=6",,$D27,$AS$4),CJ27)</f>
        <v>184.97200000000001</v>
      </c>
      <c r="CK27" s="1000" cm="1">
        <f t="array" aca="1" ref="CK27" ca="1">IF(NPSwitch=1,_xll.TR(CK$7,CK$6,"Sdate=#1 Period=#2 NULL=BLANK Scale=6",,$D27,$AS$4),CK27)</f>
        <v>472</v>
      </c>
      <c r="CL27" s="1000" cm="1">
        <f t="array" aca="1" ref="CL27" ca="1">IF(NPSwitch=1,_xll.TR(CL$7,CL$6,"Sdate=#1 Period=#2 NULL=BLANK Scale=6",,$D27,$AS$4),CL27)</f>
        <v>88.3</v>
      </c>
      <c r="CM27" s="1000" t="str" cm="1">
        <f t="array" aca="1" ref="CM27" ca="1">IF(NPSwitch=1,_xll.TR(CM$7,CM$6,"Sdate=#1 Period=#2 NULL=BLANK Scale=6",,$D27,$AS$4),CM27)</f>
        <v/>
      </c>
      <c r="CN27" s="1000" cm="1">
        <f t="array" aca="1" ref="CN27" ca="1">IF(NPSwitch=1,_xll.TR(CN$7,CN$6,"Sdate=#1 Period=#2 NULL=BLANK Scale=6",,$D27,$AS$4),CN27)</f>
        <v>305.7</v>
      </c>
      <c r="CO27" s="1000" cm="1">
        <f t="array" aca="1" ref="CO27" ca="1">IF(NPSwitch=1,_xll.TR(CO$7,CO$6,"Sdate=#1 Period=#2 NULL=BLANK Scale=6",,$D27,$AS$4),CO27)</f>
        <v>1330</v>
      </c>
      <c r="CP27" s="1000" cm="1">
        <f t="array" aca="1" ref="CP27" ca="1">IF(NPSwitch=1,_xll.TR(CP$7,CP$6,"Sdate=#1 Period=#2 NULL=BLANK Scale=6",,$D27,$AS$4),CP27)</f>
        <v>1467</v>
      </c>
      <c r="CQ27" s="1000" cm="1">
        <f t="array" aca="1" ref="CQ27" ca="1">IF(NPSwitch=1,_xll.TR(CQ$7,CQ$6,"Sdate=#1 Period=#2 NULL=BLANK Scale=6",,$D27,$AS$4),CQ27)</f>
        <v>610</v>
      </c>
      <c r="CS27" s="1000" cm="1">
        <f t="array" aca="1" ref="CS27" ca="1">IF(NPSwitch=1,_xll.TR(CS$7,CS$6,"Sdate=#1 Period=#2 NULL=BLANK Scale=6",,$D27,$AS$4),CS27)</f>
        <v>5528</v>
      </c>
      <c r="CT27" s="1000" cm="1">
        <f t="array" aca="1" ref="CT27" ca="1">IF(NPSwitch=1,_xll.TR(CT$7,CT$6,"Sdate=#1 Period=#2 NULL=BLANK Scale=6",,$D27,$AS$4),CT27)</f>
        <v>523.13625000000002</v>
      </c>
      <c r="CU27" s="1000" cm="1">
        <f t="array" aca="1" ref="CU27" ca="1">IF(NPSwitch=1,_xll.TR(CU$7,CU$6,"Sdate=#1 Period=#2 NULL=BLANK Scale=6",,$D27,$AS$4),CU27)</f>
        <v>1322</v>
      </c>
      <c r="CV27" s="1000" cm="1">
        <f t="array" aca="1" ref="CV27" ca="1">IF(NPSwitch=1,_xll.TR(CV$7,CV$6,"Sdate=#1 Period=#2 NULL=BLANK Scale=6",,$D27,$AS$4),CV27)</f>
        <v>637.07500000000005</v>
      </c>
      <c r="CW27" s="1000" cm="1">
        <f t="array" aca="1" ref="CW27" ca="1">IF(NPSwitch=1,_xll.TR(CW$7,CW$6,"Sdate=#1 Period=#2 NULL=BLANK Scale=6",,$D27,$AS$4),CW27)</f>
        <v>1065.0999999999999</v>
      </c>
      <c r="CX27" s="1000" cm="1">
        <f t="array" aca="1" ref="CX27" ca="1">IF(NPSwitch=1,_xll.TR(CX$7,CX$6,"Sdate=#1 Period=#2 NULL=BLANK Scale=6",,$D27,$AS$4),CX27)</f>
        <v>2651.75</v>
      </c>
      <c r="CY27" s="1000" t="str" cm="1">
        <f t="array" aca="1" ref="CY27" ca="1">IF(NPSwitch=1,_xll.TR(CY$7,CY$6,"Sdate=#1 Period=#2 NULL=BLANK Scale=6",,$D27,$AS$4),CY27)</f>
        <v/>
      </c>
      <c r="CZ27" s="1000" cm="1">
        <f t="array" aca="1" ref="CZ27" ca="1">IF(NPSwitch=1,_xll.TR(CZ$7,CZ$6,"Sdate=#1 Period=#2 NULL=BLANK Scale=6",,$D27,$AS$4),CZ27)</f>
        <v>3621.75</v>
      </c>
      <c r="DA27" s="1000" t="str" cm="1">
        <f t="array" aca="1" ref="DA27" ca="1">IF(NPSwitch=1,_xll.TR(DA$7,DA$6,"Sdate=#1 Period=#2 NULL=BLANK Scale=6",,$D27,$AS$4),DA27)</f>
        <v/>
      </c>
      <c r="DB27" s="1000" cm="1">
        <f t="array" aca="1" ref="DB27" ca="1">IF(NPSwitch=1,_xll.TR(DB$7,DB$6,"Sdate=#1 Period=#2 NULL=BLANK Scale=6",,$D27,$AS$4),DB27)</f>
        <v>13821.25</v>
      </c>
      <c r="DC27" s="1000" t="str" cm="1">
        <f t="array" aca="1" ref="DC27" ca="1">IF(NPSwitch=1,_xll.TR(DC$7,DC$6,"Sdate=#1 Period=#2 NULL=BLANK Scale=6",,$D27,$AS$4),DC27)</f>
        <v/>
      </c>
      <c r="DD27" s="1000" t="str" cm="1">
        <f t="array" aca="1" ref="DD27" ca="1">IF(NPSwitch=1,_xll.TR(DD$7,DD$6,"Sdate=#1 Period=#2 NULL=BLANK Scale=6",,$D27,$AS$4),DD27)</f>
        <v/>
      </c>
      <c r="DE27" s="1000" t="str" cm="1">
        <f t="array" aca="1" ref="DE27" ca="1">IF(NPSwitch=1,_xll.TR(DE$7,DE$6,"Sdate=#1 Period=#2 NULL=BLANK Scale=6",,$D27,$AS$4),DE27)</f>
        <v/>
      </c>
      <c r="DF27" s="1000" cm="1">
        <f t="array" aca="1" ref="DF27" ca="1">IF(NPSwitch=1,_xll.TR(DF$7,DF$6,"Sdate=#1 Period=#2 NULL=BLANK Scale=6",,$D27,$AS$4),DF27)</f>
        <v>637.07500000000005</v>
      </c>
      <c r="DG27" s="1000" t="str" cm="1">
        <f t="array" aca="1" ref="DG27" ca="1">IF(NPSwitch=1,_xll.TR(DG$7,DG$6,"Sdate=#1 Period=#2 NULL=BLANK Scale=6",,$D27,$AS$4),DG27)</f>
        <v/>
      </c>
      <c r="DH27" s="1000" t="str" cm="1">
        <f t="array" aca="1" ref="DH27" ca="1">IF(NPSwitch=1,_xll.TR(DH$7,DH$6,"Sdate=#1 Period=#2 NULL=BLANK Scale=6",,$D27,$AS$4),DH27)</f>
        <v/>
      </c>
    </row>
    <row r="28" spans="1:112" ht="11.25" customHeight="1">
      <c r="C28" s="969">
        <f t="shared" si="44"/>
        <v>37711</v>
      </c>
      <c r="D28" s="974">
        <f t="shared" si="43"/>
        <v>37756</v>
      </c>
      <c r="E28" s="765" cm="1">
        <f t="array" aca="1" ref="E28" ca="1">IF(NPSwitch=1,_xll.TR(E$7,E$6,"Sdate=#1 Period=#2 NULL=BLANK",,$D28,$E$4),E28)</f>
        <v>10.973575283349501</v>
      </c>
      <c r="F28" s="765" t="str" cm="1">
        <f t="array" aca="1" ref="F28" ca="1">IF(NPSwitch=1,_xll.TR(F$7,F$6,"Sdate=#1 Period=#2 NULL=BLANK",,$D28,$E$4),F28)</f>
        <v/>
      </c>
      <c r="G28" s="765" cm="1">
        <f t="array" aca="1" ref="G28" ca="1">IF(NPSwitch=1,_xll.TR(G$7,G$6,"Sdate=#1 Period=#2 NULL=BLANK",,$D28,$E$4),G28)</f>
        <v>3.9135191925817798</v>
      </c>
      <c r="H28" s="765" cm="1">
        <f t="array" aca="1" ref="H28" ca="1">IF(NPSwitch=1,_xll.TR(H$7,H$6,"Sdate=#1 Period=#2 NULL=BLANK",,$D28,$E$4),H28)</f>
        <v>5.4252790672259703</v>
      </c>
      <c r="I28" s="765" t="str" cm="1">
        <f t="array" aca="1" ref="I28" ca="1">IF(NPSwitch=1,_xll.TR(I$7,I$6,"Sdate=#1 Period=#2 NULL=BLANK",,$D28,$E$4),I28)</f>
        <v/>
      </c>
      <c r="J28" s="765" cm="1">
        <f t="array" aca="1" ref="J28" ca="1">IF(NPSwitch=1,_xll.TR(J$7,J$6,"Sdate=#1 Period=#2 NULL=BLANK",,$D28,$E$4),J28)</f>
        <v>7.1091920690328996</v>
      </c>
      <c r="K28" s="765" cm="1">
        <f t="array" aca="1" ref="K28" ca="1">IF(NPSwitch=1,_xll.TR(K$7,K$6,"Sdate=#1 Period=#2 NULL=BLANK",,$D28,$E$4),K28)</f>
        <v>6.9111330210570303</v>
      </c>
      <c r="L28" s="765" cm="1">
        <f t="array" aca="1" ref="L28" ca="1">IF(NPSwitch=1,_xll.TR(L$7,L$6,"Sdate=#1 Period=#2 NULL=BLANK",,$D28,$E$4),L28)</f>
        <v>5.3431890401648099</v>
      </c>
      <c r="M28" s="765" cm="1">
        <f t="array" aca="1" ref="M28" ca="1">IF(NPSwitch=1,_xll.TR(M$7,M$6,"Sdate=#1 Period=#2 NULL=BLANK",,$D28,$E$4),M28)</f>
        <v>6.4170304622231198</v>
      </c>
      <c r="N28" s="1002">
        <f ca="1">AVERAGE(G28:L28)</f>
        <v>5.740462478012498</v>
      </c>
      <c r="O28" s="1000" cm="1">
        <f t="array" aca="1" ref="O28" ca="1">IF(NPSwitch=1,_xll.TR(O$7,O$6,"Sdate=#1 Period=#2 Scale=6 NULL=BLANK",,$D28,$O$4),O28)</f>
        <v>49186.440148349997</v>
      </c>
      <c r="P28" s="1000" cm="1">
        <f t="array" aca="1" ref="P28" ca="1">IF(NPSwitch=1,_xll.TR(P$7,P$6,"Sdate=#1 Period=#2 Scale=6 NULL=BLANK",,$D28,$O$4),P28)</f>
        <v>1072.0135659800001</v>
      </c>
      <c r="Q28" s="1000" cm="1">
        <f t="array" aca="1" ref="Q28" ca="1">IF(NPSwitch=1,_xll.TR(Q$7,Q$6,"Sdate=#1 Period=#2 Scale=6 NULL=BLANK",,$D28,$O$4),Q28)</f>
        <v>2183.08131783</v>
      </c>
      <c r="R28" s="1000" cm="1">
        <f t="array" aca="1" ref="R28" ca="1">IF(NPSwitch=1,_xll.TR(R$7,R$6,"Sdate=#1 Period=#2 Scale=6 NULL=BLANK",,$D28,$O$4),R28)</f>
        <v>444.78846570000002</v>
      </c>
      <c r="S28" s="1000" t="str" cm="1">
        <f t="array" aca="1" ref="S28" ca="1">IF(NPSwitch=1,_xll.TR(S$7,S$6,"Sdate=#1 Period=#2 Scale=6 NULL=BLANK",,$D28,$O$4),S28)</f>
        <v/>
      </c>
      <c r="T28" s="1000" cm="1">
        <f t="array" aca="1" ref="T28" ca="1">IF(NPSwitch=1,_xll.TR(T$7,T$6,"Sdate=#1 Period=#2 Scale=6 NULL=BLANK",,$D28,$O$4),T28)</f>
        <v>853.52705691999995</v>
      </c>
      <c r="U28" s="1000" cm="1">
        <f t="array" aca="1" ref="U28" ca="1">IF(NPSwitch=1,_xll.TR(U$7,U$6,"Sdate=#1 Period=#2 Scale=6 NULL=BLANK",,$D28,$O$4),U28)</f>
        <v>8155.0341316499998</v>
      </c>
      <c r="V28" s="1000" cm="1">
        <f t="array" aca="1" ref="V28" ca="1">IF(NPSwitch=1,_xll.TR(V$7,V$6,"Sdate=#1 Period=#2 Scale=6 NULL=BLANK",,$D28,$O$4),V28)</f>
        <v>5363.9370497274704</v>
      </c>
      <c r="W28" s="1000" cm="1">
        <f t="array" aca="1" ref="W28" ca="1">IF(NPSwitch=1,_xll.TR(W$7,W$6,"Sdate=#1 Period=#2 Scale=6 NULL=BLANK",,$D28,$O$4),W28)</f>
        <v>2409.7689934199998</v>
      </c>
      <c r="X28" s="998"/>
      <c r="Y28" s="1000" cm="1">
        <f t="array" aca="1" ref="Y28" ca="1">IF(NPSwitch=1,_xll.TR(Y$7,Y$6,"Sdate=#1 Period=#2 Scale=6 NULL=BLANK",,$D28,$O$4),Y28)</f>
        <v>666.25</v>
      </c>
      <c r="Z28" s="1000" cm="1">
        <f t="array" aca="1" ref="Z28" ca="1">IF(NPSwitch=1,_xll.TR(Z$7,Z$6,"Sdate=#1 Period=#2 Scale=6 NULL=BLANK",,$D28,$O$4),Z28)</f>
        <v>39.392000000000003</v>
      </c>
      <c r="AA28" s="1000" cm="1">
        <f t="array" aca="1" ref="AA28" ca="1">IF(NPSwitch=1,_xll.TR(AA$7,AA$6,"Sdate=#1 Period=#2 Scale=6 NULL=BLANK",,$D28,$O$4),AA28)</f>
        <v>104</v>
      </c>
      <c r="AB28" s="1000" cm="1">
        <f t="array" aca="1" ref="AB28" ca="1">IF(NPSwitch=1,_xll.TR(AB$7,AB$6,"Sdate=#1 Period=#2 Scale=6 NULL=BLANK",,$D28,$O$4),AB28)</f>
        <v>47.825000000000003</v>
      </c>
      <c r="AC28" s="1000" t="str" cm="1">
        <f t="array" aca="1" ref="AC28" ca="1">IF(NPSwitch=1,_xll.TR(AC$7,AC$6,"Sdate=#1 Period=#2 Scale=6 NULL=BLANK",,$D28,$O$4),AC28)</f>
        <v/>
      </c>
      <c r="AD28" s="1000" cm="1">
        <f t="array" aca="1" ref="AD28" ca="1">IF(NPSwitch=1,_xll.TR(AD$7,AD$6,"Sdate=#1 Period=#2 Scale=6 NULL=BLANK",,$D28,$O$4),AD28)</f>
        <v>59.3</v>
      </c>
      <c r="AE28" s="1000" cm="1">
        <f t="array" aca="1" ref="AE28" ca="1">IF(NPSwitch=1,_xll.TR(AE$7,AE$6,"Sdate=#1 Period=#2 Scale=6 NULL=BLANK",,$D28,$O$4),AE28)</f>
        <v>123.25</v>
      </c>
      <c r="AF28" s="1000" t="str" cm="1">
        <f t="array" aca="1" ref="AF28" ca="1">IF(NPSwitch=1,_xll.TR(AF$7,AF$6,"Sdate=#1 Period=#2 Scale=6 NULL=BLANK",,$D28,$O$4),AF28)</f>
        <v/>
      </c>
      <c r="AG28" s="1000" cm="1">
        <f t="array" aca="1" ref="AG28" ca="1">IF(NPSwitch=1,_xll.TR(AG$7,AG$6,"Sdate=#1 Period=#2 Scale=6 NULL=BLANK",,$D28,$O$4),AG28)</f>
        <v>78.75</v>
      </c>
      <c r="AH28" s="998"/>
      <c r="AI28" s="1000" cm="1">
        <f t="array" aca="1" ref="AI28" ca="1">IF(NPSwitch=1,_xll.TR(AI$7,AI$6,"Sdate=#1 Period=#2 Scale=6 NULL=BLANK",,$D28,$O$4),AI28)</f>
        <v>52238.440148349997</v>
      </c>
      <c r="AJ28" s="1000" cm="1">
        <f t="array" aca="1" ref="AJ28" ca="1">IF(NPSwitch=1,_xll.TR(AJ$7,AJ$6,"Sdate=#1 Period=#2 Scale=6 NULL=BLANK",,$D28,$O$4),AJ28)</f>
        <v>1218.0215659800001</v>
      </c>
      <c r="AK28" s="1000" cm="1">
        <f t="array" aca="1" ref="AK28" ca="1">IF(NPSwitch=1,_xll.TR(AK$7,AK$6,"Sdate=#1 Period=#2 Scale=6 NULL=BLANK",,$D28,$O$4),AK28)</f>
        <v>3888.08131783</v>
      </c>
      <c r="AL28" s="1000" cm="1">
        <f t="array" aca="1" ref="AL28" ca="1">IF(NPSwitch=1,_xll.TR(AL$7,AL$6,"Sdate=#1 Period=#2 Scale=6 NULL=BLANK",,$D28,$O$4),AL28)</f>
        <v>1029.2884657</v>
      </c>
      <c r="AM28" s="1000" t="str" cm="1">
        <f t="array" aca="1" ref="AM28" ca="1">IF(NPSwitch=1,_xll.TR(AM$7,AM$6,"Sdate=#1 Period=#2 Scale=6 NULL=BLANK",,$D28,$O$4),AM28)</f>
        <v/>
      </c>
      <c r="AN28" s="1000" cm="1">
        <f t="array" aca="1" ref="AN28" ca="1">IF(NPSwitch=1,_xll.TR(AN$7,AN$6,"Sdate=#1 Period=#2 Scale=6 NULL=BLANK",,$D28,$O$4),AN28)</f>
        <v>2155.4270569199998</v>
      </c>
      <c r="AO28" s="1000" cm="1">
        <f t="array" aca="1" ref="AO28" ca="1">IF(NPSwitch=1,_xll.TR(AO$7,AO$6,"Sdate=#1 Period=#2 Scale=6 NULL=BLANK",,$D28,$O$4),AO28)</f>
        <v>10254.03413165</v>
      </c>
      <c r="AP28" s="1000" cm="1">
        <f t="array" aca="1" ref="AP28" ca="1">IF(NPSwitch=1,_xll.TR(AP$7,AP$6,"Sdate=#1 Period=#2 Scale=6 NULL=BLANK",,$D28,$O$4),AP28)</f>
        <v>7600.9370497270002</v>
      </c>
      <c r="AQ28" s="1000" cm="1">
        <f t="array" aca="1" ref="AQ28" ca="1">IF(NPSwitch=1,_xll.TR(AQ$7,AQ$6,"Sdate=#1 Period=#2 Scale=6 NULL=BLANK",,$D28,$O$4),AQ28)</f>
        <v>4590.7689934199998</v>
      </c>
      <c r="AS28" s="765" t="str" cm="1">
        <f t="array" aca="1" ref="AS28" ca="1">IF(NPSwitch=1,_xll.TR(AS$7,AS$6,"Sdate=#1 Period=#2 NULL=BLANK Scale=6",,$D28,$AS$4),AS28)</f>
        <v/>
      </c>
      <c r="AT28" s="765" t="str" cm="1">
        <f t="array" aca="1" ref="AT28" ca="1">IF(NPSwitch=1,_xll.TR(AT$7,AT$6,"Sdate=#1 Period=#2 NULL=BLANK Scale=6",,$D28,$AS$4),AT28)</f>
        <v/>
      </c>
      <c r="AU28" s="765" t="str" cm="1">
        <f t="array" aca="1" ref="AU28" ca="1">IF(NPSwitch=1,_xll.TR(AU$7,AU$6,"Sdate=#1 Period=#2 NULL=BLANK Scale=6",,$D28,$AS$4),AU28)</f>
        <v/>
      </c>
      <c r="AV28" s="765" t="str" cm="1">
        <f t="array" aca="1" ref="AV28" ca="1">IF(NPSwitch=1,_xll.TR(AV$7,AV$6,"Sdate=#1 Period=#2 NULL=BLANK Scale=6",,$D28,$AS$4),AV28)</f>
        <v/>
      </c>
      <c r="AW28" s="765" t="str" cm="1">
        <f t="array" aca="1" ref="AW28" ca="1">IF(NPSwitch=1,_xll.TR(AW$7,AW$6,"Sdate=#1 Period=#2 NULL=BLANK Scale=6",,$D28,$AS$4),AW28)</f>
        <v/>
      </c>
      <c r="AX28" s="765" t="str" cm="1">
        <f t="array" aca="1" ref="AX28" ca="1">IF(NPSwitch=1,_xll.TR(AX$7,AX$6,"Sdate=#1 Period=#2 NULL=BLANK Scale=6",,$D28,$AS$4),AX28)</f>
        <v/>
      </c>
      <c r="AY28" s="765" t="str" cm="1">
        <f t="array" aca="1" ref="AY28" ca="1">IF(NPSwitch=1,_xll.TR(AY$7,AY$6,"Sdate=#1 Period=#2 NULL=BLANK Scale=6",,$D28,$AS$4),AY28)</f>
        <v/>
      </c>
      <c r="AZ28" s="765" t="str" cm="1">
        <f t="array" aca="1" ref="AZ28" ca="1">IF(NPSwitch=1,_xll.TR(AZ$7,AZ$6,"Sdate=#1 Period=#2 NULL=BLANK Scale=6",,$D28,$AS$4),AZ28)</f>
        <v/>
      </c>
      <c r="BA28" s="765" t="str" cm="1">
        <f t="array" aca="1" ref="BA28" ca="1">IF(NPSwitch=1,_xll.TR(BA$7,BA$6,"Sdate=#1 Period=#2 NULL=BLANK Scale=6",,$D28,$AS$4),BA28)</f>
        <v/>
      </c>
      <c r="BC28" s="765" cm="1">
        <f t="array" aca="1" ref="BC28" ca="1">IF(NPSwitch=1,_xll.TR(BC$7,BC$6,"Sdate=#1 Period=#2 NULL=BLANK",,$D28,$BC$4),BC28)</f>
        <v>12.437723845000001</v>
      </c>
      <c r="BD28" s="765" cm="1">
        <f t="array" aca="1" ref="BD28" ca="1">IF(NPSwitch=1,_xll.TR(BD$7,BD$6,"Sdate=#1 Period=#2 NULL=BLANK",,$D28,$BC$4),BD28)</f>
        <v>6.5649153309999999</v>
      </c>
      <c r="BE28" s="765" cm="1">
        <f t="array" aca="1" ref="BE28" ca="1">IF(NPSwitch=1,_xll.TR(BE$7,BE$6,"Sdate=#1 Period=#2 NULL=BLANK",,$D28,$BC$4),BE28)</f>
        <v>8.717671116</v>
      </c>
      <c r="BF28" s="765" cm="1">
        <f t="array" aca="1" ref="BF28" ca="1">IF(NPSwitch=1,_xll.TR(BF$7,BF$6,"Sdate=#1 Period=#2 NULL=BLANK",,$D28,$BC$4),BF28)</f>
        <v>39.285819302</v>
      </c>
      <c r="BG28" s="765" t="str" cm="1">
        <f t="array" aca="1" ref="BG28" ca="1">IF(NPSwitch=1,_xll.TR(BG$7,BG$6,"Sdate=#1 Period=#2 NULL=BLANK",,$D28,$BC$4),BG28)</f>
        <v/>
      </c>
      <c r="BH28" s="765" cm="1">
        <f t="array" aca="1" ref="BH28" ca="1">IF(NPSwitch=1,_xll.TR(BH$7,BH$6,"Sdate=#1 Period=#2 NULL=BLANK",,$D28,$BC$4),BH28)</f>
        <v>6.8841490160000003</v>
      </c>
      <c r="BI28" s="765" cm="1">
        <f t="array" aca="1" ref="BI28" ca="1">IF(NPSwitch=1,_xll.TR(BI$7,BI$6,"Sdate=#1 Period=#2 NULL=BLANK",,$D28,$BC$4),BI28)</f>
        <v>7.7977445870000004</v>
      </c>
      <c r="BJ28" s="765" cm="1">
        <f t="array" aca="1" ref="BJ28" ca="1">IF(NPSwitch=1,_xll.TR(BJ$7,BJ$6,"Sdate=#1 Period=#2 NULL=BLANK",,$D28,$BC$4),BJ28)</f>
        <v>4.9453071240000002</v>
      </c>
      <c r="BK28" s="765" cm="1">
        <f t="array" aca="1" ref="BK28" ca="1">IF(NPSwitch=1,_xll.TR(BK$7,BK$6,"Sdate=#1 Period=#2 NULL=BLANK",,$D28,$BC$4),BK28)</f>
        <v>7.7677986350000001</v>
      </c>
      <c r="BO28" s="765" cm="1">
        <f t="array" aca="1" ref="BO28" ca="1">IF(NPSwitch=1,_xll.TR(BO$7,BO$6,"Sdate=#1 Period=#2 NULL=BLANK Scale=6",,$D28,$AS$4),BO28)</f>
        <v>16760</v>
      </c>
      <c r="BP28" s="765" cm="1">
        <f t="array" aca="1" ref="BP28" ca="1">IF(NPSwitch=1,_xll.TR(BP$7,BP$6,"Sdate=#1 Period=#2 NULL=BLANK Scale=6",,$D28,$AS$4),BP28)</f>
        <v>1042.835</v>
      </c>
      <c r="BQ28" s="765" cm="1">
        <f t="array" aca="1" ref="BQ28" ca="1">IF(NPSwitch=1,_xll.TR(BQ$7,BQ$6,"Sdate=#1 Period=#2 NULL=BLANK Scale=6",,$D28,$AS$4),BQ28)</f>
        <v>7412</v>
      </c>
      <c r="BR28" s="765" cm="1">
        <f t="array" aca="1" ref="BR28" ca="1">IF(NPSwitch=1,_xll.TR(BR$7,BR$6,"Sdate=#1 Period=#2 NULL=BLANK Scale=6",,$D28,$AS$4),BR28)</f>
        <v>2259.6</v>
      </c>
      <c r="BS28" s="765" t="str" cm="1">
        <f t="array" aca="1" ref="BS28" ca="1">IF(NPSwitch=1,_xll.TR(BS$7,BS$6,"Sdate=#1 Period=#2 NULL=BLANK Scale=6",,$D28,$AS$4),BS28)</f>
        <v/>
      </c>
      <c r="BT28" s="765" cm="1">
        <f t="array" aca="1" ref="BT28" ca="1">IF(NPSwitch=1,_xll.TR(BT$7,BT$6,"Sdate=#1 Period=#2 NULL=BLANK Scale=6",,$D28,$AS$4),BT28)</f>
        <v>1852.7</v>
      </c>
      <c r="BU28" s="765" cm="1">
        <f t="array" aca="1" ref="BU28" ca="1">IF(NPSwitch=1,_xll.TR(BU$7,BU$6,"Sdate=#1 Period=#2 NULL=BLANK Scale=6",,$D28,$AS$4),BU28)</f>
        <v>8263</v>
      </c>
      <c r="BV28" s="765" cm="1">
        <f t="array" aca="1" ref="BV28" ca="1">IF(NPSwitch=1,_xll.TR(BV$7,BV$6,"Sdate=#1 Period=#2 NULL=BLANK Scale=6",,$D28,$AS$4),BV28)</f>
        <v>7842</v>
      </c>
      <c r="BW28" s="765" cm="1">
        <f t="array" aca="1" ref="BW28" ca="1">IF(NPSwitch=1,_xll.TR(BW$7,BW$6,"Sdate=#1 Period=#2 NULL=BLANK Scale=6",,$D28,$AS$4),BW28)</f>
        <v>5525</v>
      </c>
      <c r="BY28" s="765" cm="1">
        <f t="array" aca="1" ref="BY28" ca="1">IF(NPSwitch=1,_xll.TR(BY$7,BY$6,"Sdate=#1 Period=#2 NULL=BLANK Scale=6",,$D28,$AS$4),BY28)</f>
        <v>9402.75</v>
      </c>
      <c r="BZ28" s="765" cm="1">
        <f t="array" aca="1" ref="BZ28" ca="1">IF(NPSwitch=1,_xll.TR(BZ$7,BZ$6,"Sdate=#1 Period=#2 NULL=BLANK Scale=6",,$D28,$AS$4),BZ28)</f>
        <v>751.65499999999997</v>
      </c>
      <c r="CA28" s="765" cm="1">
        <f t="array" aca="1" ref="CA28" ca="1">IF(NPSwitch=1,_xll.TR(CA$7,CA$6,"Sdate=#1 Period=#2 NULL=BLANK Scale=6",,$D28,$AS$4),CA28)</f>
        <v>3978</v>
      </c>
      <c r="CB28" s="765" cm="1">
        <f t="array" aca="1" ref="CB28" ca="1">IF(NPSwitch=1,_xll.TR(CB$7,CB$6,"Sdate=#1 Period=#2 NULL=BLANK Scale=6",,$D28,$AS$4),CB28)</f>
        <v>1238.8499999999999</v>
      </c>
      <c r="CC28" s="765" t="str" cm="1">
        <f t="array" aca="1" ref="CC28" ca="1">IF(NPSwitch=1,_xll.TR(CC$7,CC$6,"Sdate=#1 Period=#2 NULL=BLANK Scale=6",,$D28,$AS$4),CC28)</f>
        <v/>
      </c>
      <c r="CD28" s="765" cm="1">
        <f t="array" aca="1" ref="CD28" ca="1">IF(NPSwitch=1,_xll.TR(CD$7,CD$6,"Sdate=#1 Period=#2 NULL=BLANK Scale=6",,$D28,$AS$4),CD28)</f>
        <v>1566.9749999999999</v>
      </c>
      <c r="CE28" s="765" cm="1">
        <f t="array" aca="1" ref="CE28" ca="1">IF(NPSwitch=1,_xll.TR(CE$7,CE$6,"Sdate=#1 Period=#2 NULL=BLANK Scale=6",,$D28,$AS$4),CE28)</f>
        <v>4757</v>
      </c>
      <c r="CF28" s="765" t="str" cm="1">
        <f t="array" aca="1" ref="CF28" ca="1">IF(NPSwitch=1,_xll.TR(CF$7,CF$6,"Sdate=#1 Period=#2 NULL=BLANK Scale=6",,$D28,$AS$4),CF28)</f>
        <v/>
      </c>
      <c r="CG28" s="765" cm="1">
        <f t="array" aca="1" ref="CG28" ca="1">IF(NPSwitch=1,_xll.TR(CG$7,CG$6,"Sdate=#1 Period=#2 NULL=BLANK Scale=6",,$D28,$AS$4),CG28)</f>
        <v>3460.5</v>
      </c>
      <c r="CI28" s="1000" cm="1">
        <f t="array" aca="1" ref="CI28" ca="1">IF(NPSwitch=1,_xll.TR(CI$7,CI$6,"Sdate=#1 Period=#2 NULL=BLANK Scale=6",,$D28,$AS$4),CI28)</f>
        <v>4200</v>
      </c>
      <c r="CJ28" s="1000" cm="1">
        <f t="array" aca="1" ref="CJ28" ca="1">IF(NPSwitch=1,_xll.TR(CJ$7,CJ$6,"Sdate=#1 Period=#2 NULL=BLANK Scale=6",,$D28,$AS$4),CJ28)</f>
        <v>185.535</v>
      </c>
      <c r="CK28" s="1000" cm="1">
        <f t="array" aca="1" ref="CK28" ca="1">IF(NPSwitch=1,_xll.TR(CK$7,CK$6,"Sdate=#1 Period=#2 NULL=BLANK Scale=6",,$D28,$AS$4),CK28)</f>
        <v>446</v>
      </c>
      <c r="CL28" s="1000" cm="1">
        <f t="array" aca="1" ref="CL28" ca="1">IF(NPSwitch=1,_xll.TR(CL$7,CL$6,"Sdate=#1 Period=#2 NULL=BLANK Scale=6",,$D28,$AS$4),CL28)</f>
        <v>72.599999999999994</v>
      </c>
      <c r="CM28" s="1000" t="str" cm="1">
        <f t="array" aca="1" ref="CM28" ca="1">IF(NPSwitch=1,_xll.TR(CM$7,CM$6,"Sdate=#1 Period=#2 NULL=BLANK Scale=6",,$D28,$AS$4),CM28)</f>
        <v/>
      </c>
      <c r="CN28" s="1000" cm="1">
        <f t="array" aca="1" ref="CN28" ca="1">IF(NPSwitch=1,_xll.TR(CN$7,CN$6,"Sdate=#1 Period=#2 NULL=BLANK Scale=6",,$D28,$AS$4),CN28)</f>
        <v>313.10000000000002</v>
      </c>
      <c r="CO28" s="1000" cm="1">
        <f t="array" aca="1" ref="CO28" ca="1">IF(NPSwitch=1,_xll.TR(CO$7,CO$6,"Sdate=#1 Period=#2 NULL=BLANK Scale=6",,$D28,$AS$4),CO28)</f>
        <v>1315</v>
      </c>
      <c r="CP28" s="1000" cm="1">
        <f t="array" aca="1" ref="CP28" ca="1">IF(NPSwitch=1,_xll.TR(CP$7,CP$6,"Sdate=#1 Period=#2 NULL=BLANK Scale=6",,$D28,$AS$4),CP28)</f>
        <v>1537</v>
      </c>
      <c r="CQ28" s="1000" cm="1">
        <f t="array" aca="1" ref="CQ28" ca="1">IF(NPSwitch=1,_xll.TR(CQ$7,CQ$6,"Sdate=#1 Period=#2 NULL=BLANK Scale=6",,$D28,$AS$4),CQ28)</f>
        <v>591</v>
      </c>
      <c r="CS28" s="1000" cm="1">
        <f t="array" aca="1" ref="CS28" ca="1">IF(NPSwitch=1,_xll.TR(CS$7,CS$6,"Sdate=#1 Period=#2 NULL=BLANK Scale=6",,$D28,$AS$4),CS28)</f>
        <v>5543.5</v>
      </c>
      <c r="CT28" s="1000" cm="1">
        <f t="array" aca="1" ref="CT28" ca="1">IF(NPSwitch=1,_xll.TR(CT$7,CT$6,"Sdate=#1 Period=#2 NULL=BLANK Scale=6",,$D28,$AS$4),CT28)</f>
        <v>521.36900000000003</v>
      </c>
      <c r="CU28" s="1000" cm="1">
        <f t="array" aca="1" ref="CU28" ca="1">IF(NPSwitch=1,_xll.TR(CU$7,CU$6,"Sdate=#1 Period=#2 NULL=BLANK Scale=6",,$D28,$AS$4),CU28)</f>
        <v>1278</v>
      </c>
      <c r="CV28" s="1000" cm="1">
        <f t="array" aca="1" ref="CV28" ca="1">IF(NPSwitch=1,_xll.TR(CV$7,CV$6,"Sdate=#1 Period=#2 NULL=BLANK Scale=6",,$D28,$AS$4),CV28)</f>
        <v>636.9</v>
      </c>
      <c r="CW28" s="1000" cm="1">
        <f t="array" aca="1" ref="CW28" ca="1">IF(NPSwitch=1,_xll.TR(CW$7,CW$6,"Sdate=#1 Period=#2 NULL=BLANK Scale=6",,$D28,$AS$4),CW28)</f>
        <v>1069.25</v>
      </c>
      <c r="CX28" s="1000" cm="1">
        <f t="array" aca="1" ref="CX28" ca="1">IF(NPSwitch=1,_xll.TR(CX$7,CX$6,"Sdate=#1 Period=#2 NULL=BLANK Scale=6",,$D28,$AS$4),CX28)</f>
        <v>2630.75</v>
      </c>
      <c r="CY28" s="1000" t="str" cm="1">
        <f t="array" aca="1" ref="CY28" ca="1">IF(NPSwitch=1,_xll.TR(CY$7,CY$6,"Sdate=#1 Period=#2 NULL=BLANK Scale=6",,$D28,$AS$4),CY28)</f>
        <v/>
      </c>
      <c r="CZ28" s="1000" cm="1">
        <f t="array" aca="1" ref="CZ28" ca="1">IF(NPSwitch=1,_xll.TR(CZ$7,CZ$6,"Sdate=#1 Period=#2 NULL=BLANK Scale=6",,$D28,$AS$4),CZ28)</f>
        <v>3658.5</v>
      </c>
      <c r="DA28" s="1000" t="str" cm="1">
        <f t="array" aca="1" ref="DA28" ca="1">IF(NPSwitch=1,_xll.TR(DA$7,DA$6,"Sdate=#1 Period=#2 NULL=BLANK Scale=6",,$D28,$AS$4),DA28)</f>
        <v/>
      </c>
      <c r="DB28" s="1000" cm="1">
        <f t="array" aca="1" ref="DB28" ca="1">IF(NPSwitch=1,_xll.TR(DB$7,DB$6,"Sdate=#1 Period=#2 NULL=BLANK Scale=6",,$D28,$AS$4),DB28)</f>
        <v>13585.25</v>
      </c>
      <c r="DC28" s="1000" t="str" cm="1">
        <f t="array" aca="1" ref="DC28" ca="1">IF(NPSwitch=1,_xll.TR(DC$7,DC$6,"Sdate=#1 Period=#2 NULL=BLANK Scale=6",,$D28,$AS$4),DC28)</f>
        <v/>
      </c>
      <c r="DD28" s="1000" t="str" cm="1">
        <f t="array" aca="1" ref="DD28" ca="1">IF(NPSwitch=1,_xll.TR(DD$7,DD$6,"Sdate=#1 Period=#2 NULL=BLANK Scale=6",,$D28,$AS$4),DD28)</f>
        <v/>
      </c>
      <c r="DE28" s="1000" t="str" cm="1">
        <f t="array" aca="1" ref="DE28" ca="1">IF(NPSwitch=1,_xll.TR(DE$7,DE$6,"Sdate=#1 Period=#2 NULL=BLANK Scale=6",,$D28,$AS$4),DE28)</f>
        <v/>
      </c>
      <c r="DF28" s="1000" cm="1">
        <f t="array" aca="1" ref="DF28" ca="1">IF(NPSwitch=1,_xll.TR(DF$7,DF$6,"Sdate=#1 Period=#2 NULL=BLANK Scale=6",,$D28,$AS$4),DF28)</f>
        <v>636.9</v>
      </c>
      <c r="DG28" s="1000" t="str" cm="1">
        <f t="array" aca="1" ref="DG28" ca="1">IF(NPSwitch=1,_xll.TR(DG$7,DG$6,"Sdate=#1 Period=#2 NULL=BLANK Scale=6",,$D28,$AS$4),DG28)</f>
        <v/>
      </c>
      <c r="DH28" s="1000" t="str" cm="1">
        <f t="array" aca="1" ref="DH28" ca="1">IF(NPSwitch=1,_xll.TR(DH$7,DH$6,"Sdate=#1 Period=#2 NULL=BLANK Scale=6",,$D28,$AS$4),DH28)</f>
        <v/>
      </c>
    </row>
    <row r="29" spans="1:112" ht="11.25" customHeight="1">
      <c r="C29" s="971">
        <f t="shared" si="44"/>
        <v>37802</v>
      </c>
      <c r="D29" s="974">
        <f t="shared" si="43"/>
        <v>37847</v>
      </c>
      <c r="E29" s="765" cm="1">
        <f t="array" aca="1" ref="E29" ca="1">IF(NPSwitch=1,_xll.TR(E$7,E$6,"Sdate=#1 Period=#2 NULL=BLANK",,$D29,$E$4),E29)</f>
        <v>11.835226817083401</v>
      </c>
      <c r="F29" s="765" t="str" cm="1">
        <f t="array" aca="1" ref="F29" ca="1">IF(NPSwitch=1,_xll.TR(F$7,F$6,"Sdate=#1 Period=#2 NULL=BLANK",,$D29,$E$4),F29)</f>
        <v/>
      </c>
      <c r="G29" s="765" cm="1">
        <f t="array" aca="1" ref="G29" ca="1">IF(NPSwitch=1,_xll.TR(G$7,G$6,"Sdate=#1 Period=#2 NULL=BLANK",,$D29,$E$4),G29)</f>
        <v>6.3690756487361204</v>
      </c>
      <c r="H29" s="765" cm="1">
        <f t="array" aca="1" ref="H29" ca="1">IF(NPSwitch=1,_xll.TR(H$7,H$6,"Sdate=#1 Period=#2 NULL=BLANK",,$D29,$E$4),H29)</f>
        <v>7.34102129071292</v>
      </c>
      <c r="I29" s="765" t="str" cm="1">
        <f t="array" aca="1" ref="I29" ca="1">IF(NPSwitch=1,_xll.TR(I$7,I$6,"Sdate=#1 Period=#2 NULL=BLANK",,$D29,$E$4),I29)</f>
        <v/>
      </c>
      <c r="J29" s="765" cm="1">
        <f t="array" aca="1" ref="J29" ca="1">IF(NPSwitch=1,_xll.TR(J$7,J$6,"Sdate=#1 Period=#2 NULL=BLANK",,$D29,$E$4),J29)</f>
        <v>6.3256057775329904</v>
      </c>
      <c r="K29" s="765" cm="1">
        <f t="array" aca="1" ref="K29" ca="1">IF(NPSwitch=1,_xll.TR(K$7,K$6,"Sdate=#1 Period=#2 NULL=BLANK",,$D29,$E$4),K29)</f>
        <v>7.4561239142743201</v>
      </c>
      <c r="L29" s="765" cm="1">
        <f t="array" aca="1" ref="L29" ca="1">IF(NPSwitch=1,_xll.TR(L$7,L$6,"Sdate=#1 Period=#2 NULL=BLANK",,$D29,$E$4),L29)</f>
        <v>5.4337842366830698</v>
      </c>
      <c r="M29" s="765" cm="1">
        <f t="array" aca="1" ref="M29" ca="1">IF(NPSwitch=1,_xll.TR(M$7,M$6,"Sdate=#1 Period=#2 NULL=BLANK",,$D29,$E$4),M29)</f>
        <v>6.7750575682194203</v>
      </c>
      <c r="N29" s="1002">
        <f t="shared" ref="N29:N92" ca="1" si="45">AVERAGE(G29:L29)</f>
        <v>6.5851221735878838</v>
      </c>
      <c r="O29" s="1000" cm="1">
        <f t="array" aca="1" ref="O29" ca="1">IF(NPSwitch=1,_xll.TR(O$7,O$6,"Sdate=#1 Period=#2 Scale=6 NULL=BLANK",,$D29,$O$4),O29)</f>
        <v>55648.297540200001</v>
      </c>
      <c r="P29" s="1000" cm="1">
        <f t="array" aca="1" ref="P29" ca="1">IF(NPSwitch=1,_xll.TR(P$7,P$6,"Sdate=#1 Period=#2 Scale=6 NULL=BLANK",,$D29,$O$4),P29)</f>
        <v>1118.7464891699999</v>
      </c>
      <c r="Q29" s="1000" cm="1">
        <f t="array" aca="1" ref="Q29" ca="1">IF(NPSwitch=1,_xll.TR(Q$7,Q$6,"Sdate=#1 Period=#2 Scale=6 NULL=BLANK",,$D29,$O$4),Q29)</f>
        <v>2266.6406839199999</v>
      </c>
      <c r="R29" s="1000" cm="1">
        <f t="array" aca="1" ref="R29" ca="1">IF(NPSwitch=1,_xll.TR(R$7,R$6,"Sdate=#1 Period=#2 Scale=6 NULL=BLANK",,$D29,$O$4),R29)</f>
        <v>412.748469</v>
      </c>
      <c r="S29" s="1000" t="str" cm="1">
        <f t="array" aca="1" ref="S29" ca="1">IF(NPSwitch=1,_xll.TR(S$7,S$6,"Sdate=#1 Period=#2 Scale=6 NULL=BLANK",,$D29,$O$4),S29)</f>
        <v/>
      </c>
      <c r="T29" s="1000" cm="1">
        <f t="array" aca="1" ref="T29" ca="1">IF(NPSwitch=1,_xll.TR(T$7,T$6,"Sdate=#1 Period=#2 Scale=6 NULL=BLANK",,$D29,$O$4),T29)</f>
        <v>845.88509627999997</v>
      </c>
      <c r="U29" s="1000" cm="1">
        <f t="array" aca="1" ref="U29" ca="1">IF(NPSwitch=1,_xll.TR(U$7,U$6,"Sdate=#1 Period=#2 Scale=6 NULL=BLANK",,$D29,$O$4),U29)</f>
        <v>9311.4953256000008</v>
      </c>
      <c r="V29" s="1000" cm="1">
        <f t="array" aca="1" ref="V29" ca="1">IF(NPSwitch=1,_xll.TR(V$7,V$6,"Sdate=#1 Period=#2 Scale=6 NULL=BLANK",,$D29,$O$4),V29)</f>
        <v>4958.7931026198103</v>
      </c>
      <c r="W29" s="1000" cm="1">
        <f t="array" aca="1" ref="W29" ca="1">IF(NPSwitch=1,_xll.TR(W$7,W$6,"Sdate=#1 Period=#2 Scale=6 NULL=BLANK",,$D29,$O$4),W29)</f>
        <v>2738.6018880500001</v>
      </c>
      <c r="X29" s="998"/>
      <c r="Y29" s="1000" cm="1">
        <f t="array" aca="1" ref="Y29" ca="1">IF(NPSwitch=1,_xll.TR(Y$7,Y$6,"Sdate=#1 Period=#2 Scale=6 NULL=BLANK",,$D29,$O$4),Y29)</f>
        <v>743.5</v>
      </c>
      <c r="Z29" s="1000" cm="1">
        <f t="array" aca="1" ref="Z29" ca="1">IF(NPSwitch=1,_xll.TR(Z$7,Z$6,"Sdate=#1 Period=#2 Scale=6 NULL=BLANK",,$D29,$O$4),Z29)</f>
        <v>43.539250000000003</v>
      </c>
      <c r="AA29" s="1000" cm="1">
        <f t="array" aca="1" ref="AA29" ca="1">IF(NPSwitch=1,_xll.TR(AA$7,AA$6,"Sdate=#1 Period=#2 Scale=6 NULL=BLANK",,$D29,$O$4),AA29)</f>
        <v>106.75</v>
      </c>
      <c r="AB29" s="1000" cm="1">
        <f t="array" aca="1" ref="AB29" ca="1">IF(NPSwitch=1,_xll.TR(AB$7,AB$6,"Sdate=#1 Period=#2 Scale=6 NULL=BLANK",,$D29,$O$4),AB29)</f>
        <v>52.075000000000003</v>
      </c>
      <c r="AC29" s="1000" t="str" cm="1">
        <f t="array" aca="1" ref="AC29" ca="1">IF(NPSwitch=1,_xll.TR(AC$7,AC$6,"Sdate=#1 Period=#2 Scale=6 NULL=BLANK",,$D29,$O$4),AC29)</f>
        <v/>
      </c>
      <c r="AD29" s="1000" cm="1">
        <f t="array" aca="1" ref="AD29" ca="1">IF(NPSwitch=1,_xll.TR(AD$7,AD$6,"Sdate=#1 Period=#2 Scale=6 NULL=BLANK",,$D29,$O$4),AD29)</f>
        <v>70.150000000000006</v>
      </c>
      <c r="AE29" s="1000" cm="1">
        <f t="array" aca="1" ref="AE29" ca="1">IF(NPSwitch=1,_xll.TR(AE$7,AE$6,"Sdate=#1 Period=#2 Scale=6 NULL=BLANK",,$D29,$O$4),AE29)</f>
        <v>127.5</v>
      </c>
      <c r="AF29" s="1000" t="str" cm="1">
        <f t="array" aca="1" ref="AF29" ca="1">IF(NPSwitch=1,_xll.TR(AF$7,AF$6,"Sdate=#1 Period=#2 Scale=6 NULL=BLANK",,$D29,$O$4),AF29)</f>
        <v/>
      </c>
      <c r="AG29" s="1000" cm="1">
        <f t="array" aca="1" ref="AG29" ca="1">IF(NPSwitch=1,_xll.TR(AG$7,AG$6,"Sdate=#1 Period=#2 Scale=6 NULL=BLANK",,$D29,$O$4),AG29)</f>
        <v>77.5</v>
      </c>
      <c r="AH29" s="998"/>
      <c r="AI29" s="1000" cm="1">
        <f t="array" aca="1" ref="AI29" ca="1">IF(NPSwitch=1,_xll.TR(AI$7,AI$6,"Sdate=#1 Period=#2 Scale=6 NULL=BLANK",,$D29,$O$4),AI29)</f>
        <v>57989.297540200001</v>
      </c>
      <c r="AJ29" s="1000" cm="1">
        <f t="array" aca="1" ref="AJ29" ca="1">IF(NPSwitch=1,_xll.TR(AJ$7,AJ$6,"Sdate=#1 Period=#2 Scale=6 NULL=BLANK",,$D29,$O$4),AJ29)</f>
        <v>1245.8314891699999</v>
      </c>
      <c r="AK29" s="1000" cm="1">
        <f t="array" aca="1" ref="AK29" ca="1">IF(NPSwitch=1,_xll.TR(AK$7,AK$6,"Sdate=#1 Period=#2 Scale=6 NULL=BLANK",,$D29,$O$4),AK29)</f>
        <v>4014.6406839199999</v>
      </c>
      <c r="AL29" s="1000" cm="1">
        <f t="array" aca="1" ref="AL29" ca="1">IF(NPSwitch=1,_xll.TR(AL$7,AL$6,"Sdate=#1 Period=#2 Scale=6 NULL=BLANK",,$D29,$O$4),AL29)</f>
        <v>1213.348469</v>
      </c>
      <c r="AM29" s="1000" t="str" cm="1">
        <f t="array" aca="1" ref="AM29" ca="1">IF(NPSwitch=1,_xll.TR(AM$7,AM$6,"Sdate=#1 Period=#2 Scale=6 NULL=BLANK",,$D29,$O$4),AM29)</f>
        <v/>
      </c>
      <c r="AN29" s="1000" cm="1">
        <f t="array" aca="1" ref="AN29" ca="1">IF(NPSwitch=1,_xll.TR(AN$7,AN$6,"Sdate=#1 Period=#2 Scale=6 NULL=BLANK",,$D29,$O$4),AN29)</f>
        <v>2086.3850962800002</v>
      </c>
      <c r="AO29" s="1000" cm="1">
        <f t="array" aca="1" ref="AO29" ca="1">IF(NPSwitch=1,_xll.TR(AO$7,AO$6,"Sdate=#1 Period=#2 Scale=6 NULL=BLANK",,$D29,$O$4),AO29)</f>
        <v>11231.495325600001</v>
      </c>
      <c r="AP29" s="1000" cm="1">
        <f t="array" aca="1" ref="AP29" ca="1">IF(NPSwitch=1,_xll.TR(AP$7,AP$6,"Sdate=#1 Period=#2 Scale=6 NULL=BLANK",,$D29,$O$4),AP29)</f>
        <v>7280.7931026200004</v>
      </c>
      <c r="AQ29" s="1000" cm="1">
        <f t="array" aca="1" ref="AQ29" ca="1">IF(NPSwitch=1,_xll.TR(AQ$7,AQ$6,"Sdate=#1 Period=#2 Scale=6 NULL=BLANK",,$D29,$O$4),AQ29)</f>
        <v>4934.6018880499996</v>
      </c>
      <c r="AS29" s="765" t="str" cm="1">
        <f t="array" aca="1" ref="AS29" ca="1">IF(NPSwitch=1,_xll.TR(AS$7,AS$6,"Sdate=#1 Period=#2 NULL=BLANK Scale=6",,$D29,$AS$4),AS29)</f>
        <v/>
      </c>
      <c r="AT29" s="765" t="str" cm="1">
        <f t="array" aca="1" ref="AT29" ca="1">IF(NPSwitch=1,_xll.TR(AT$7,AT$6,"Sdate=#1 Period=#2 NULL=BLANK Scale=6",,$D29,$AS$4),AT29)</f>
        <v/>
      </c>
      <c r="AU29" s="765" t="str" cm="1">
        <f t="array" aca="1" ref="AU29" ca="1">IF(NPSwitch=1,_xll.TR(AU$7,AU$6,"Sdate=#1 Period=#2 NULL=BLANK Scale=6",,$D29,$AS$4),AU29)</f>
        <v/>
      </c>
      <c r="AV29" s="765" t="str" cm="1">
        <f t="array" aca="1" ref="AV29" ca="1">IF(NPSwitch=1,_xll.TR(AV$7,AV$6,"Sdate=#1 Period=#2 NULL=BLANK Scale=6",,$D29,$AS$4),AV29)</f>
        <v/>
      </c>
      <c r="AW29" s="765" t="str" cm="1">
        <f t="array" aca="1" ref="AW29" ca="1">IF(NPSwitch=1,_xll.TR(AW$7,AW$6,"Sdate=#1 Period=#2 NULL=BLANK Scale=6",,$D29,$AS$4),AW29)</f>
        <v/>
      </c>
      <c r="AX29" s="765" t="str" cm="1">
        <f t="array" aca="1" ref="AX29" ca="1">IF(NPSwitch=1,_xll.TR(AX$7,AX$6,"Sdate=#1 Period=#2 NULL=BLANK Scale=6",,$D29,$AS$4),AX29)</f>
        <v/>
      </c>
      <c r="AY29" s="765" t="str" cm="1">
        <f t="array" aca="1" ref="AY29" ca="1">IF(NPSwitch=1,_xll.TR(AY$7,AY$6,"Sdate=#1 Period=#2 NULL=BLANK Scale=6",,$D29,$AS$4),AY29)</f>
        <v/>
      </c>
      <c r="AZ29" s="765" t="str" cm="1">
        <f t="array" aca="1" ref="AZ29" ca="1">IF(NPSwitch=1,_xll.TR(AZ$7,AZ$6,"Sdate=#1 Period=#2 NULL=BLANK Scale=6",,$D29,$AS$4),AZ29)</f>
        <v/>
      </c>
      <c r="BA29" s="765" t="str" cm="1">
        <f t="array" aca="1" ref="BA29" ca="1">IF(NPSwitch=1,_xll.TR(BA$7,BA$6,"Sdate=#1 Period=#2 NULL=BLANK Scale=6",,$D29,$AS$4),BA29)</f>
        <v/>
      </c>
      <c r="BC29" s="765" cm="1">
        <f t="array" aca="1" ref="BC29" ca="1">IF(NPSwitch=1,_xll.TR(BC$7,BC$6,"Sdate=#1 Period=#2 NULL=BLANK",,$D29,$BC$4),BC29)</f>
        <v>13.420341944</v>
      </c>
      <c r="BD29" s="765" cm="1">
        <f t="array" aca="1" ref="BD29" ca="1">IF(NPSwitch=1,_xll.TR(BD$7,BD$6,"Sdate=#1 Period=#2 NULL=BLANK",,$D29,$BC$4),BD29)</f>
        <v>6.6576789520000004</v>
      </c>
      <c r="BE29" s="765" cm="1">
        <f t="array" aca="1" ref="BE29" ca="1">IF(NPSwitch=1,_xll.TR(BE$7,BE$6,"Sdate=#1 Period=#2 NULL=BLANK",,$D29,$BC$4),BE29)</f>
        <v>8.921423742</v>
      </c>
      <c r="BF29" s="765" cm="1">
        <f t="array" aca="1" ref="BF29" ca="1">IF(NPSwitch=1,_xll.TR(BF$7,BF$6,"Sdate=#1 Period=#2 NULL=BLANK",,$D29,$BC$4),BF29)</f>
        <v>252.78093104199999</v>
      </c>
      <c r="BG29" s="765" t="str" cm="1">
        <f t="array" aca="1" ref="BG29" ca="1">IF(NPSwitch=1,_xll.TR(BG$7,BG$6,"Sdate=#1 Period=#2 NULL=BLANK",,$D29,$BC$4),BG29)</f>
        <v/>
      </c>
      <c r="BH29" s="765" cm="1">
        <f t="array" aca="1" ref="BH29" ca="1">IF(NPSwitch=1,_xll.TR(BH$7,BH$6,"Sdate=#1 Period=#2 NULL=BLANK",,$D29,$BC$4),BH29)</f>
        <v>6.5077513920000003</v>
      </c>
      <c r="BI29" s="765" cm="1">
        <f t="array" aca="1" ref="BI29" ca="1">IF(NPSwitch=1,_xll.TR(BI$7,BI$6,"Sdate=#1 Period=#2 NULL=BLANK",,$D29,$BC$4),BI29)</f>
        <v>8.4068078780000004</v>
      </c>
      <c r="BJ29" s="765" cm="1">
        <f t="array" aca="1" ref="BJ29" ca="1">IF(NPSwitch=1,_xll.TR(BJ$7,BJ$6,"Sdate=#1 Period=#2 NULL=BLANK",,$D29,$BC$4),BJ29)</f>
        <v>5.5241222329999999</v>
      </c>
      <c r="BK29" s="765" cm="1">
        <f t="array" aca="1" ref="BK29" ca="1">IF(NPSwitch=1,_xll.TR(BK$7,BK$6,"Sdate=#1 Period=#2 NULL=BLANK",,$D29,$BC$4),BK29)</f>
        <v>8.2518426219999998</v>
      </c>
      <c r="BO29" s="765" cm="1">
        <f t="array" aca="1" ref="BO29" ca="1">IF(NPSwitch=1,_xll.TR(BO$7,BO$6,"Sdate=#1 Period=#2 NULL=BLANK Scale=6",,$D29,$AS$4),BO29)</f>
        <v>17179</v>
      </c>
      <c r="BP29" s="765" cm="1">
        <f t="array" aca="1" ref="BP29" ca="1">IF(NPSwitch=1,_xll.TR(BP$7,BP$6,"Sdate=#1 Period=#2 NULL=BLANK Scale=6",,$D29,$AS$4),BP29)</f>
        <v>1061.952</v>
      </c>
      <c r="BQ29" s="765" cm="1">
        <f t="array" aca="1" ref="BQ29" ca="1">IF(NPSwitch=1,_xll.TR(BQ$7,BQ$6,"Sdate=#1 Period=#2 NULL=BLANK Scale=6",,$D29,$AS$4),BQ29)</f>
        <v>7421</v>
      </c>
      <c r="BR29" s="765" cm="1">
        <f t="array" aca="1" ref="BR29" ca="1">IF(NPSwitch=1,_xll.TR(BR$7,BR$6,"Sdate=#1 Period=#2 NULL=BLANK Scale=6",,$D29,$AS$4),BR29)</f>
        <v>2093.5</v>
      </c>
      <c r="BS29" s="765" t="str" cm="1">
        <f t="array" aca="1" ref="BS29" ca="1">IF(NPSwitch=1,_xll.TR(BS$7,BS$6,"Sdate=#1 Period=#2 NULL=BLANK Scale=6",,$D29,$AS$4),BS29)</f>
        <v/>
      </c>
      <c r="BT29" s="765" cm="1">
        <f t="array" aca="1" ref="BT29" ca="1">IF(NPSwitch=1,_xll.TR(BT$7,BT$6,"Sdate=#1 Period=#2 NULL=BLANK Scale=6",,$D29,$AS$4),BT29)</f>
        <v>1880.3</v>
      </c>
      <c r="BU29" s="765" cm="1">
        <f t="array" aca="1" ref="BU29" ca="1">IF(NPSwitch=1,_xll.TR(BU$7,BU$6,"Sdate=#1 Period=#2 NULL=BLANK Scale=6",,$D29,$AS$4),BU29)</f>
        <v>8433</v>
      </c>
      <c r="BV29" s="765" cm="1">
        <f t="array" aca="1" ref="BV29" ca="1">IF(NPSwitch=1,_xll.TR(BV$7,BV$6,"Sdate=#1 Period=#2 NULL=BLANK Scale=6",,$D29,$AS$4),BV29)</f>
        <v>7660</v>
      </c>
      <c r="BW29" s="765" cm="1">
        <f t="array" aca="1" ref="BW29" ca="1">IF(NPSwitch=1,_xll.TR(BW$7,BW$6,"Sdate=#1 Period=#2 NULL=BLANK Scale=6",,$D29,$AS$4),BW29)</f>
        <v>5611</v>
      </c>
      <c r="BY29" s="765" cm="1">
        <f t="array" aca="1" ref="BY29" ca="1">IF(NPSwitch=1,_xll.TR(BY$7,BY$6,"Sdate=#1 Period=#2 NULL=BLANK Scale=6",,$D29,$AS$4),BY29)</f>
        <v>9640.75</v>
      </c>
      <c r="BZ29" s="765" cm="1">
        <f t="array" aca="1" ref="BZ29" ca="1">IF(NPSwitch=1,_xll.TR(BZ$7,BZ$6,"Sdate=#1 Period=#2 NULL=BLANK Scale=6",,$D29,$AS$4),BZ29)</f>
        <v>756.02049999999997</v>
      </c>
      <c r="CA29" s="765" cm="1">
        <f t="array" aca="1" ref="CA29" ca="1">IF(NPSwitch=1,_xll.TR(CA$7,CA$6,"Sdate=#1 Period=#2 NULL=BLANK Scale=6",,$D29,$AS$4),CA29)</f>
        <v>3937.25</v>
      </c>
      <c r="CB29" s="765" cm="1">
        <f t="array" aca="1" ref="CB29" ca="1">IF(NPSwitch=1,_xll.TR(CB$7,CB$6,"Sdate=#1 Period=#2 NULL=BLANK Scale=6",,$D29,$AS$4),CB29)</f>
        <v>1276.4749999999999</v>
      </c>
      <c r="CC29" s="765" t="str" cm="1">
        <f t="array" aca="1" ref="CC29" ca="1">IF(NPSwitch=1,_xll.TR(CC$7,CC$6,"Sdate=#1 Period=#2 NULL=BLANK Scale=6",,$D29,$AS$4),CC29)</f>
        <v/>
      </c>
      <c r="CD29" s="765" cm="1">
        <f t="array" aca="1" ref="CD29" ca="1">IF(NPSwitch=1,_xll.TR(CD$7,CD$6,"Sdate=#1 Period=#2 NULL=BLANK Scale=6",,$D29,$AS$4),CD29)</f>
        <v>1679.8</v>
      </c>
      <c r="CE29" s="765" cm="1">
        <f t="array" aca="1" ref="CE29" ca="1">IF(NPSwitch=1,_xll.TR(CE$7,CE$6,"Sdate=#1 Period=#2 NULL=BLANK Scale=6",,$D29,$AS$4),CE29)</f>
        <v>4588.75</v>
      </c>
      <c r="CF29" s="765" t="str" cm="1">
        <f t="array" aca="1" ref="CF29" ca="1">IF(NPSwitch=1,_xll.TR(CF$7,CF$6,"Sdate=#1 Period=#2 NULL=BLANK Scale=6",,$D29,$AS$4),CF29)</f>
        <v/>
      </c>
      <c r="CG29" s="765" cm="1">
        <f t="array" aca="1" ref="CG29" ca="1">IF(NPSwitch=1,_xll.TR(CG$7,CG$6,"Sdate=#1 Period=#2 NULL=BLANK Scale=6",,$D29,$AS$4),CG29)</f>
        <v>3478.75</v>
      </c>
      <c r="CI29" s="1000" cm="1">
        <f t="array" aca="1" ref="CI29" ca="1">IF(NPSwitch=1,_xll.TR(CI$7,CI$6,"Sdate=#1 Period=#2 NULL=BLANK Scale=6",,$D29,$AS$4),CI29)</f>
        <v>4321</v>
      </c>
      <c r="CJ29" s="1000" cm="1">
        <f t="array" aca="1" ref="CJ29" ca="1">IF(NPSwitch=1,_xll.TR(CJ$7,CJ$6,"Sdate=#1 Period=#2 NULL=BLANK Scale=6",,$D29,$AS$4),CJ29)</f>
        <v>187.12700000000001</v>
      </c>
      <c r="CK29" s="1000" cm="1">
        <f t="array" aca="1" ref="CK29" ca="1">IF(NPSwitch=1,_xll.TR(CK$7,CK$6,"Sdate=#1 Period=#2 NULL=BLANK Scale=6",,$D29,$AS$4),CK29)</f>
        <v>449</v>
      </c>
      <c r="CL29" s="1000" cm="1">
        <f t="array" aca="1" ref="CL29" ca="1">IF(NPSwitch=1,_xll.TR(CL$7,CL$6,"Sdate=#1 Period=#2 NULL=BLANK Scale=6",,$D29,$AS$4),CL29)</f>
        <v>51.2</v>
      </c>
      <c r="CM29" s="1000" t="str" cm="1">
        <f t="array" aca="1" ref="CM29" ca="1">IF(NPSwitch=1,_xll.TR(CM$7,CM$6,"Sdate=#1 Period=#2 NULL=BLANK Scale=6",,$D29,$AS$4),CM29)</f>
        <v/>
      </c>
      <c r="CN29" s="1000" cm="1">
        <f t="array" aca="1" ref="CN29" ca="1">IF(NPSwitch=1,_xll.TR(CN$7,CN$6,"Sdate=#1 Period=#2 NULL=BLANK Scale=6",,$D29,$AS$4),CN29)</f>
        <v>320.60000000000002</v>
      </c>
      <c r="CO29" s="1000" cm="1">
        <f t="array" aca="1" ref="CO29" ca="1">IF(NPSwitch=1,_xll.TR(CO$7,CO$6,"Sdate=#1 Period=#2 NULL=BLANK Scale=6",,$D29,$AS$4),CO29)</f>
        <v>1336</v>
      </c>
      <c r="CP29" s="1000" cm="1">
        <f t="array" aca="1" ref="CP29" ca="1">IF(NPSwitch=1,_xll.TR(CP$7,CP$6,"Sdate=#1 Period=#2 NULL=BLANK Scale=6",,$D29,$AS$4),CP29)</f>
        <v>1318</v>
      </c>
      <c r="CQ29" s="1000" cm="1">
        <f t="array" aca="1" ref="CQ29" ca="1">IF(NPSwitch=1,_xll.TR(CQ$7,CQ$6,"Sdate=#1 Period=#2 NULL=BLANK Scale=6",,$D29,$AS$4),CQ29)</f>
        <v>598</v>
      </c>
      <c r="CS29" s="1000" cm="1">
        <f t="array" aca="1" ref="CS29" ca="1">IF(NPSwitch=1,_xll.TR(CS$7,CS$6,"Sdate=#1 Period=#2 NULL=BLANK Scale=6",,$D29,$AS$4),CS29)</f>
        <v>5544.25</v>
      </c>
      <c r="CT29" s="1000" cm="1">
        <f t="array" aca="1" ref="CT29" ca="1">IF(NPSwitch=1,_xll.TR(CT$7,CT$6,"Sdate=#1 Period=#2 NULL=BLANK Scale=6",,$D29,$AS$4),CT29)</f>
        <v>517.52224999999999</v>
      </c>
      <c r="CU29" s="1000" cm="1">
        <f t="array" aca="1" ref="CU29" ca="1">IF(NPSwitch=1,_xll.TR(CU$7,CU$6,"Sdate=#1 Period=#2 NULL=BLANK Scale=6",,$D29,$AS$4),CU29)</f>
        <v>1256.75</v>
      </c>
      <c r="CV29" s="1000" cm="1">
        <f t="array" aca="1" ref="CV29" ca="1">IF(NPSwitch=1,_xll.TR(CV$7,CV$6,"Sdate=#1 Period=#2 NULL=BLANK Scale=6",,$D29,$AS$4),CV29)</f>
        <v>632.92499999999995</v>
      </c>
      <c r="CW29" s="1000" cm="1">
        <f t="array" aca="1" ref="CW29" ca="1">IF(NPSwitch=1,_xll.TR(CW$7,CW$6,"Sdate=#1 Period=#2 NULL=BLANK Scale=6",,$D29,$AS$4),CW29)</f>
        <v>1074.75</v>
      </c>
      <c r="CX29" s="1000" cm="1">
        <f t="array" aca="1" ref="CX29" ca="1">IF(NPSwitch=1,_xll.TR(CX$7,CX$6,"Sdate=#1 Period=#2 NULL=BLANK Scale=6",,$D29,$AS$4),CX29)</f>
        <v>2614.75</v>
      </c>
      <c r="CY29" s="1000" t="str" cm="1">
        <f t="array" aca="1" ref="CY29" ca="1">IF(NPSwitch=1,_xll.TR(CY$7,CY$6,"Sdate=#1 Period=#2 NULL=BLANK Scale=6",,$D29,$AS$4),CY29)</f>
        <v/>
      </c>
      <c r="CZ29" s="1000" cm="1">
        <f t="array" aca="1" ref="CZ29" ca="1">IF(NPSwitch=1,_xll.TR(CZ$7,CZ$6,"Sdate=#1 Period=#2 NULL=BLANK Scale=6",,$D29,$AS$4),CZ29)</f>
        <v>3682.5</v>
      </c>
      <c r="DA29" s="1000" t="str" cm="1">
        <f t="array" aca="1" ref="DA29" ca="1">IF(NPSwitch=1,_xll.TR(DA$7,DA$6,"Sdate=#1 Period=#2 NULL=BLANK Scale=6",,$D29,$AS$4),DA29)</f>
        <v/>
      </c>
      <c r="DB29" s="1000" cm="1">
        <f t="array" aca="1" ref="DB29" ca="1">IF(NPSwitch=1,_xll.TR(DB$7,DB$6,"Sdate=#1 Period=#2 NULL=BLANK Scale=6",,$D29,$AS$4),DB29)</f>
        <v>13590.75</v>
      </c>
      <c r="DC29" s="1000" t="str" cm="1">
        <f t="array" aca="1" ref="DC29" ca="1">IF(NPSwitch=1,_xll.TR(DC$7,DC$6,"Sdate=#1 Period=#2 NULL=BLANK Scale=6",,$D29,$AS$4),DC29)</f>
        <v/>
      </c>
      <c r="DD29" s="1000" t="str" cm="1">
        <f t="array" aca="1" ref="DD29" ca="1">IF(NPSwitch=1,_xll.TR(DD$7,DD$6,"Sdate=#1 Period=#2 NULL=BLANK Scale=6",,$D29,$AS$4),DD29)</f>
        <v/>
      </c>
      <c r="DE29" s="1000" t="str" cm="1">
        <f t="array" aca="1" ref="DE29" ca="1">IF(NPSwitch=1,_xll.TR(DE$7,DE$6,"Sdate=#1 Period=#2 NULL=BLANK Scale=6",,$D29,$AS$4),DE29)</f>
        <v/>
      </c>
      <c r="DF29" s="1000" cm="1">
        <f t="array" aca="1" ref="DF29" ca="1">IF(NPSwitch=1,_xll.TR(DF$7,DF$6,"Sdate=#1 Period=#2 NULL=BLANK Scale=6",,$D29,$AS$4),DF29)</f>
        <v>632.92499999999995</v>
      </c>
      <c r="DG29" s="1000" t="str" cm="1">
        <f t="array" aca="1" ref="DG29" ca="1">IF(NPSwitch=1,_xll.TR(DG$7,DG$6,"Sdate=#1 Period=#2 NULL=BLANK Scale=6",,$D29,$AS$4),DG29)</f>
        <v/>
      </c>
      <c r="DH29" s="1000" t="str" cm="1">
        <f t="array" aca="1" ref="DH29" ca="1">IF(NPSwitch=1,_xll.TR(DH$7,DH$6,"Sdate=#1 Period=#2 NULL=BLANK Scale=6",,$D29,$AS$4),DH29)</f>
        <v/>
      </c>
    </row>
    <row r="30" spans="1:112" ht="11.25" customHeight="1">
      <c r="C30" s="972">
        <f t="shared" si="44"/>
        <v>37894</v>
      </c>
      <c r="D30" s="974">
        <f t="shared" si="43"/>
        <v>37939</v>
      </c>
      <c r="E30" s="765" cm="1">
        <f t="array" aca="1" ref="E30" ca="1">IF(NPSwitch=1,_xll.TR(E$7,E$6,"Sdate=#1 Period=#2 NULL=BLANK",,$D30,$E$4),E30)</f>
        <v>12.7114847373676</v>
      </c>
      <c r="F30" s="765" t="str" cm="1">
        <f t="array" aca="1" ref="F30" ca="1">IF(NPSwitch=1,_xll.TR(F$7,F$6,"Sdate=#1 Period=#2 NULL=BLANK",,$D30,$E$4),F30)</f>
        <v/>
      </c>
      <c r="G30" s="765" cm="1">
        <f t="array" aca="1" ref="G30" ca="1">IF(NPSwitch=1,_xll.TR(G$7,G$6,"Sdate=#1 Period=#2 NULL=BLANK",,$D30,$E$4),G30)</f>
        <v>9.9429121766224</v>
      </c>
      <c r="H30" s="765" cm="1">
        <f t="array" aca="1" ref="H30" ca="1">IF(NPSwitch=1,_xll.TR(H$7,H$6,"Sdate=#1 Period=#2 NULL=BLANK",,$D30,$E$4),H30)</f>
        <v>7.5843378864845299</v>
      </c>
      <c r="I30" s="765" t="str" cm="1">
        <f t="array" aca="1" ref="I30" ca="1">IF(NPSwitch=1,_xll.TR(I$7,I$6,"Sdate=#1 Period=#2 NULL=BLANK",,$D30,$E$4),I30)</f>
        <v/>
      </c>
      <c r="J30" s="765" cm="1">
        <f t="array" aca="1" ref="J30" ca="1">IF(NPSwitch=1,_xll.TR(J$7,J$6,"Sdate=#1 Period=#2 NULL=BLANK",,$D30,$E$4),J30)</f>
        <v>6.0305246609578003</v>
      </c>
      <c r="K30" s="765" cm="1">
        <f t="array" aca="1" ref="K30" ca="1">IF(NPSwitch=1,_xll.TR(K$7,K$6,"Sdate=#1 Period=#2 NULL=BLANK",,$D30,$E$4),K30)</f>
        <v>7.5979281350410099</v>
      </c>
      <c r="L30" s="765" cm="1">
        <f t="array" aca="1" ref="L30" ca="1">IF(NPSwitch=1,_xll.TR(L$7,L$6,"Sdate=#1 Period=#2 NULL=BLANK",,$D30,$E$4),L30)</f>
        <v>5.9834191608168803</v>
      </c>
      <c r="M30" s="765" cm="1">
        <f t="array" aca="1" ref="M30" ca="1">IF(NPSwitch=1,_xll.TR(M$7,M$6,"Sdate=#1 Period=#2 NULL=BLANK",,$D30,$E$4),M30)</f>
        <v>6.8654685030770901</v>
      </c>
      <c r="N30" s="1002">
        <f t="shared" ca="1" si="45"/>
        <v>7.4278244039845234</v>
      </c>
      <c r="O30" s="1000" cm="1">
        <f t="array" aca="1" ref="O30" ca="1">IF(NPSwitch=1,_xll.TR(O$7,O$6,"Sdate=#1 Period=#2 Scale=6 NULL=BLANK",,$D30,$O$4),O30)</f>
        <v>61636.864581490001</v>
      </c>
      <c r="P30" s="1000" cm="1">
        <f t="array" aca="1" ref="P30" ca="1">IF(NPSwitch=1,_xll.TR(P$7,P$6,"Sdate=#1 Period=#2 Scale=6 NULL=BLANK",,$D30,$O$4),P30)</f>
        <v>1124.71313872</v>
      </c>
      <c r="Q30" s="1000" cm="1">
        <f t="array" aca="1" ref="Q30" ca="1">IF(NPSwitch=1,_xll.TR(Q$7,Q$6,"Sdate=#1 Period=#2 Scale=6 NULL=BLANK",,$D30,$O$4),Q30)</f>
        <v>2682.3959507</v>
      </c>
      <c r="R30" s="1000" cm="1">
        <f t="array" aca="1" ref="R30" ca="1">IF(NPSwitch=1,_xll.TR(R$7,R$6,"Sdate=#1 Period=#2 Scale=6 NULL=BLANK",,$D30,$O$4),R30)</f>
        <v>477.09612079999999</v>
      </c>
      <c r="S30" s="1000" t="str" cm="1">
        <f t="array" aca="1" ref="S30" ca="1">IF(NPSwitch=1,_xll.TR(S$7,S$6,"Sdate=#1 Period=#2 Scale=6 NULL=BLANK",,$D30,$O$4),S30)</f>
        <v/>
      </c>
      <c r="T30" s="1000" cm="1">
        <f t="array" aca="1" ref="T30" ca="1">IF(NPSwitch=1,_xll.TR(T$7,T$6,"Sdate=#1 Period=#2 Scale=6 NULL=BLANK",,$D30,$O$4),T30)</f>
        <v>1022.68460952</v>
      </c>
      <c r="U30" s="1000" cm="1">
        <f t="array" aca="1" ref="U30" ca="1">IF(NPSwitch=1,_xll.TR(U$7,U$6,"Sdate=#1 Period=#2 Scale=6 NULL=BLANK",,$D30,$O$4),U30)</f>
        <v>9872.7084434999997</v>
      </c>
      <c r="V30" s="1000" cm="1">
        <f t="array" aca="1" ref="V30" ca="1">IF(NPSwitch=1,_xll.TR(V$7,V$6,"Sdate=#1 Period=#2 Scale=6 NULL=BLANK",,$D30,$O$4),V30)</f>
        <v>5469.4432859534199</v>
      </c>
      <c r="W30" s="1000" cm="1">
        <f t="array" aca="1" ref="W30" ca="1">IF(NPSwitch=1,_xll.TR(W$7,W$6,"Sdate=#1 Period=#2 Scale=6 NULL=BLANK",,$D30,$O$4),W30)</f>
        <v>2710.1571123799999</v>
      </c>
      <c r="X30" s="998"/>
      <c r="Y30" s="1000" cm="1">
        <f t="array" aca="1" ref="Y30" ca="1">IF(NPSwitch=1,_xll.TR(Y$7,Y$6,"Sdate=#1 Period=#2 Scale=6 NULL=BLANK",,$D30,$O$4),Y30)</f>
        <v>858</v>
      </c>
      <c r="Z30" s="1000" cm="1">
        <f t="array" aca="1" ref="Z30" ca="1">IF(NPSwitch=1,_xll.TR(Z$7,Z$6,"Sdate=#1 Period=#2 Scale=6 NULL=BLANK",,$D30,$O$4),Z30)</f>
        <v>39.713250000000002</v>
      </c>
      <c r="AA30" s="1000" cm="1">
        <f t="array" aca="1" ref="AA30" ca="1">IF(NPSwitch=1,_xll.TR(AA$7,AA$6,"Sdate=#1 Period=#2 Scale=6 NULL=BLANK",,$D30,$O$4),AA30)</f>
        <v>140</v>
      </c>
      <c r="AB30" s="1000" cm="1">
        <f t="array" aca="1" ref="AB30" ca="1">IF(NPSwitch=1,_xll.TR(AB$7,AB$6,"Sdate=#1 Period=#2 Scale=6 NULL=BLANK",,$D30,$O$4),AB30)</f>
        <v>51.325000000000003</v>
      </c>
      <c r="AC30" s="1000" t="str" cm="1">
        <f t="array" aca="1" ref="AC30" ca="1">IF(NPSwitch=1,_xll.TR(AC$7,AC$6,"Sdate=#1 Period=#2 Scale=6 NULL=BLANK",,$D30,$O$4),AC30)</f>
        <v/>
      </c>
      <c r="AD30" s="1000" cm="1">
        <f t="array" aca="1" ref="AD30" ca="1">IF(NPSwitch=1,_xll.TR(AD$7,AD$6,"Sdate=#1 Period=#2 Scale=6 NULL=BLANK",,$D30,$O$4),AD30)</f>
        <v>99.1</v>
      </c>
      <c r="AE30" s="1000" cm="1">
        <f t="array" aca="1" ref="AE30" ca="1">IF(NPSwitch=1,_xll.TR(AE$7,AE$6,"Sdate=#1 Period=#2 Scale=6 NULL=BLANK",,$D30,$O$4),AE30)</f>
        <v>157.5</v>
      </c>
      <c r="AF30" s="1000" t="str" cm="1">
        <f t="array" aca="1" ref="AF30" ca="1">IF(NPSwitch=1,_xll.TR(AF$7,AF$6,"Sdate=#1 Period=#2 Scale=6 NULL=BLANK",,$D30,$O$4),AF30)</f>
        <v/>
      </c>
      <c r="AG30" s="1000" cm="1">
        <f t="array" aca="1" ref="AG30" ca="1">IF(NPSwitch=1,_xll.TR(AG$7,AG$6,"Sdate=#1 Period=#2 Scale=6 NULL=BLANK",,$D30,$O$4),AG30)</f>
        <v>68.75</v>
      </c>
      <c r="AH30" s="998"/>
      <c r="AI30" s="1000" cm="1">
        <f t="array" aca="1" ref="AI30" ca="1">IF(NPSwitch=1,_xll.TR(AI$7,AI$6,"Sdate=#1 Period=#2 Scale=6 NULL=BLANK",,$D30,$O$4),AI30)</f>
        <v>63644.864581490001</v>
      </c>
      <c r="AJ30" s="1000" cm="1">
        <f t="array" aca="1" ref="AJ30" ca="1">IF(NPSwitch=1,_xll.TR(AJ$7,AJ$6,"Sdate=#1 Period=#2 Scale=6 NULL=BLANK",,$D30,$O$4),AJ30)</f>
        <v>1332.1081387199999</v>
      </c>
      <c r="AK30" s="1000" cm="1">
        <f t="array" aca="1" ref="AK30" ca="1">IF(NPSwitch=1,_xll.TR(AK$7,AK$6,"Sdate=#1 Period=#2 Scale=6 NULL=BLANK",,$D30,$O$4),AK30)</f>
        <v>4430.3959507</v>
      </c>
      <c r="AL30" s="1000" cm="1">
        <f t="array" aca="1" ref="AL30" ca="1">IF(NPSwitch=1,_xll.TR(AL$7,AL$6,"Sdate=#1 Period=#2 Scale=6 NULL=BLANK",,$D30,$O$4),AL30)</f>
        <v>1223.7961207999999</v>
      </c>
      <c r="AM30" s="1000" t="str" cm="1">
        <f t="array" aca="1" ref="AM30" ca="1">IF(NPSwitch=1,_xll.TR(AM$7,AM$6,"Sdate=#1 Period=#2 Scale=6 NULL=BLANK",,$D30,$O$4),AM30)</f>
        <v/>
      </c>
      <c r="AN30" s="1000" cm="1">
        <f t="array" aca="1" ref="AN30" ca="1">IF(NPSwitch=1,_xll.TR(AN$7,AN$6,"Sdate=#1 Period=#2 Scale=6 NULL=BLANK",,$D30,$O$4),AN30)</f>
        <v>1996.78460952</v>
      </c>
      <c r="AO30" s="1000" cm="1">
        <f t="array" aca="1" ref="AO30" ca="1">IF(NPSwitch=1,_xll.TR(AO$7,AO$6,"Sdate=#1 Period=#2 Scale=6 NULL=BLANK",,$D30,$O$4),AO30)</f>
        <v>11466.7084435</v>
      </c>
      <c r="AP30" s="1000" cm="1">
        <f t="array" aca="1" ref="AP30" ca="1">IF(NPSwitch=1,_xll.TR(AP$7,AP$6,"Sdate=#1 Period=#2 Scale=6 NULL=BLANK",,$D30,$O$4),AP30)</f>
        <v>7714.4432859529998</v>
      </c>
      <c r="AQ30" s="1000" cm="1">
        <f t="array" aca="1" ref="AQ30" ca="1">IF(NPSwitch=1,_xll.TR(AQ$7,AQ$6,"Sdate=#1 Period=#2 Scale=6 NULL=BLANK",,$D30,$O$4),AQ30)</f>
        <v>4866.1571123800004</v>
      </c>
      <c r="AS30" s="765" t="str" cm="1">
        <f t="array" aca="1" ref="AS30" ca="1">IF(NPSwitch=1,_xll.TR(AS$7,AS$6,"Sdate=#1 Period=#2 NULL=BLANK Scale=6",,$D30,$AS$4),AS30)</f>
        <v/>
      </c>
      <c r="AT30" s="765" t="str" cm="1">
        <f t="array" aca="1" ref="AT30" ca="1">IF(NPSwitch=1,_xll.TR(AT$7,AT$6,"Sdate=#1 Period=#2 NULL=BLANK Scale=6",,$D30,$AS$4),AT30)</f>
        <v/>
      </c>
      <c r="AU30" s="765" t="str" cm="1">
        <f t="array" aca="1" ref="AU30" ca="1">IF(NPSwitch=1,_xll.TR(AU$7,AU$6,"Sdate=#1 Period=#2 NULL=BLANK Scale=6",,$D30,$AS$4),AU30)</f>
        <v/>
      </c>
      <c r="AV30" s="765" t="str" cm="1">
        <f t="array" aca="1" ref="AV30" ca="1">IF(NPSwitch=1,_xll.TR(AV$7,AV$6,"Sdate=#1 Period=#2 NULL=BLANK Scale=6",,$D30,$AS$4),AV30)</f>
        <v/>
      </c>
      <c r="AW30" s="765" t="str" cm="1">
        <f t="array" aca="1" ref="AW30" ca="1">IF(NPSwitch=1,_xll.TR(AW$7,AW$6,"Sdate=#1 Period=#2 NULL=BLANK Scale=6",,$D30,$AS$4),AW30)</f>
        <v/>
      </c>
      <c r="AX30" s="765" t="str" cm="1">
        <f t="array" aca="1" ref="AX30" ca="1">IF(NPSwitch=1,_xll.TR(AX$7,AX$6,"Sdate=#1 Period=#2 NULL=BLANK Scale=6",,$D30,$AS$4),AX30)</f>
        <v/>
      </c>
      <c r="AY30" s="765" t="str" cm="1">
        <f t="array" aca="1" ref="AY30" ca="1">IF(NPSwitch=1,_xll.TR(AY$7,AY$6,"Sdate=#1 Period=#2 NULL=BLANK Scale=6",,$D30,$AS$4),AY30)</f>
        <v/>
      </c>
      <c r="AZ30" s="765" t="str" cm="1">
        <f t="array" aca="1" ref="AZ30" ca="1">IF(NPSwitch=1,_xll.TR(AZ$7,AZ$6,"Sdate=#1 Period=#2 NULL=BLANK Scale=6",,$D30,$AS$4),AZ30)</f>
        <v/>
      </c>
      <c r="BA30" s="765" t="str" cm="1">
        <f t="array" aca="1" ref="BA30" ca="1">IF(NPSwitch=1,_xll.TR(BA$7,BA$6,"Sdate=#1 Period=#2 NULL=BLANK Scale=6",,$D30,$AS$4),BA30)</f>
        <v/>
      </c>
      <c r="BC30" s="765" cm="1">
        <f t="array" aca="1" ref="BC30" ca="1">IF(NPSwitch=1,_xll.TR(BC$7,BC$6,"Sdate=#1 Period=#2 NULL=BLANK",,$D30,$BC$4),BC30)</f>
        <v>14.111943366</v>
      </c>
      <c r="BD30" s="765" cm="1">
        <f t="array" aca="1" ref="BD30" ca="1">IF(NPSwitch=1,_xll.TR(BD$7,BD$6,"Sdate=#1 Period=#2 NULL=BLANK",,$D30,$BC$4),BD30)</f>
        <v>7.4083795690000001</v>
      </c>
      <c r="BE30" s="765" cm="1">
        <f t="array" aca="1" ref="BE30" ca="1">IF(NPSwitch=1,_xll.TR(BE$7,BE$6,"Sdate=#1 Period=#2 NULL=BLANK",,$D30,$BC$4),BE30)</f>
        <v>9.8453243350000008</v>
      </c>
      <c r="BF30" s="765" cm="1">
        <f t="array" aca="1" ref="BF30" ca="1">IF(NPSwitch=1,_xll.TR(BF$7,BF$6,"Sdate=#1 Period=#2 NULL=BLANK",,$D30,$BC$4),BF30)</f>
        <v>34.766935250000003</v>
      </c>
      <c r="BG30" s="765" t="str" cm="1">
        <f t="array" aca="1" ref="BG30" ca="1">IF(NPSwitch=1,_xll.TR(BG$7,BG$6,"Sdate=#1 Period=#2 NULL=BLANK",,$D30,$BC$4),BG30)</f>
        <v/>
      </c>
      <c r="BH30" s="765" cm="1">
        <f t="array" aca="1" ref="BH30" ca="1">IF(NPSwitch=1,_xll.TR(BH$7,BH$6,"Sdate=#1 Period=#2 NULL=BLANK",,$D30,$BC$4),BH30)</f>
        <v>6.3249433310000001</v>
      </c>
      <c r="BI30" s="765" cm="1">
        <f t="array" aca="1" ref="BI30" ca="1">IF(NPSwitch=1,_xll.TR(BI$7,BI$6,"Sdate=#1 Period=#2 NULL=BLANK",,$D30,$BC$4),BI30)</f>
        <v>8.4812932270000001</v>
      </c>
      <c r="BJ30" s="765" cm="1">
        <f t="array" aca="1" ref="BJ30" ca="1">IF(NPSwitch=1,_xll.TR(BJ$7,BJ$6,"Sdate=#1 Period=#2 NULL=BLANK",,$D30,$BC$4),BJ30)</f>
        <v>6.0983741389999997</v>
      </c>
      <c r="BK30" s="765" cm="1">
        <f t="array" aca="1" ref="BK30" ca="1">IF(NPSwitch=1,_xll.TR(BK$7,BK$6,"Sdate=#1 Period=#2 NULL=BLANK",,$D30,$BC$4),BK30)</f>
        <v>8.3467531939999997</v>
      </c>
      <c r="BO30" s="765" cm="1">
        <f t="array" aca="1" ref="BO30" ca="1">IF(NPSwitch=1,_xll.TR(BO$7,BO$6,"Sdate=#1 Period=#2 NULL=BLANK Scale=6",,$D30,$AS$4),BO30)</f>
        <v>17652</v>
      </c>
      <c r="BP30" s="765" cm="1">
        <f t="array" aca="1" ref="BP30" ca="1">IF(NPSwitch=1,_xll.TR(BP$7,BP$6,"Sdate=#1 Period=#2 NULL=BLANK Scale=6",,$D30,$AS$4),BP30)</f>
        <v>1066.789</v>
      </c>
      <c r="BQ30" s="765" cm="1">
        <f t="array" aca="1" ref="BQ30" ca="1">IF(NPSwitch=1,_xll.TR(BQ$7,BQ$6,"Sdate=#1 Period=#2 NULL=BLANK Scale=6",,$D30,$AS$4),BQ30)</f>
        <v>7530</v>
      </c>
      <c r="BR30" s="765" cm="1">
        <f t="array" aca="1" ref="BR30" ca="1">IF(NPSwitch=1,_xll.TR(BR$7,BR$6,"Sdate=#1 Period=#2 NULL=BLANK Scale=6",,$D30,$AS$4),BR30)</f>
        <v>1936.1</v>
      </c>
      <c r="BS30" s="765" t="str" cm="1">
        <f t="array" aca="1" ref="BS30" ca="1">IF(NPSwitch=1,_xll.TR(BS$7,BS$6,"Sdate=#1 Period=#2 NULL=BLANK Scale=6",,$D30,$AS$4),BS30)</f>
        <v/>
      </c>
      <c r="BT30" s="765" cm="1">
        <f t="array" aca="1" ref="BT30" ca="1">IF(NPSwitch=1,_xll.TR(BT$7,BT$6,"Sdate=#1 Period=#2 NULL=BLANK Scale=6",,$D30,$AS$4),BT30)</f>
        <v>1874.2</v>
      </c>
      <c r="BU30" s="765" cm="1">
        <f t="array" aca="1" ref="BU30" ca="1">IF(NPSwitch=1,_xll.TR(BU$7,BU$6,"Sdate=#1 Period=#2 NULL=BLANK Scale=6",,$D30,$AS$4),BU30)</f>
        <v>8571</v>
      </c>
      <c r="BV30" s="765" cm="1">
        <f t="array" aca="1" ref="BV30" ca="1">IF(NPSwitch=1,_xll.TR(BV$7,BV$6,"Sdate=#1 Period=#2 NULL=BLANK Scale=6",,$D30,$AS$4),BV30)</f>
        <v>7591</v>
      </c>
      <c r="BW30" s="765" cm="1">
        <f t="array" aca="1" ref="BW30" ca="1">IF(NPSwitch=1,_xll.TR(BW$7,BW$6,"Sdate=#1 Period=#2 NULL=BLANK Scale=6",,$D30,$AS$4),BW30)</f>
        <v>5681</v>
      </c>
      <c r="BY30" s="765" cm="1">
        <f t="array" aca="1" ref="BY30" ca="1">IF(NPSwitch=1,_xll.TR(BY$7,BY$6,"Sdate=#1 Period=#2 NULL=BLANK Scale=6",,$D30,$AS$4),BY30)</f>
        <v>9870.5</v>
      </c>
      <c r="BZ30" s="765" cm="1">
        <f t="array" aca="1" ref="BZ30" ca="1">IF(NPSwitch=1,_xll.TR(BZ$7,BZ$6,"Sdate=#1 Period=#2 NULL=BLANK Scale=6",,$D30,$AS$4),BZ30)</f>
        <v>780.10874999999999</v>
      </c>
      <c r="CA30" s="765" cm="1">
        <f t="array" aca="1" ref="CA30" ca="1">IF(NPSwitch=1,_xll.TR(CA$7,CA$6,"Sdate=#1 Period=#2 NULL=BLANK Scale=6",,$D30,$AS$4),CA30)</f>
        <v>3909</v>
      </c>
      <c r="CB30" s="765" cm="1">
        <f t="array" aca="1" ref="CB30" ca="1">IF(NPSwitch=1,_xll.TR(CB$7,CB$6,"Sdate=#1 Period=#2 NULL=BLANK Scale=6",,$D30,$AS$4),CB30)</f>
        <v>1287.0999999999999</v>
      </c>
      <c r="CC30" s="765" t="str" cm="1">
        <f t="array" aca="1" ref="CC30" ca="1">IF(NPSwitch=1,_xll.TR(CC$7,CC$6,"Sdate=#1 Period=#2 NULL=BLANK Scale=6",,$D30,$AS$4),CC30)</f>
        <v/>
      </c>
      <c r="CD30" s="765" cm="1">
        <f t="array" aca="1" ref="CD30" ca="1">IF(NPSwitch=1,_xll.TR(CD$7,CD$6,"Sdate=#1 Period=#2 NULL=BLANK Scale=6",,$D30,$AS$4),CD30)</f>
        <v>1748.45</v>
      </c>
      <c r="CE30" s="765" cm="1">
        <f t="array" aca="1" ref="CE30" ca="1">IF(NPSwitch=1,_xll.TR(CE$7,CE$6,"Sdate=#1 Period=#2 NULL=BLANK Scale=6",,$D30,$AS$4),CE30)</f>
        <v>4411.5</v>
      </c>
      <c r="CF30" s="765" t="str" cm="1">
        <f t="array" aca="1" ref="CF30" ca="1">IF(NPSwitch=1,_xll.TR(CF$7,CF$6,"Sdate=#1 Period=#2 NULL=BLANK Scale=6",,$D30,$AS$4),CF30)</f>
        <v/>
      </c>
      <c r="CG30" s="765" cm="1">
        <f t="array" aca="1" ref="CG30" ca="1">IF(NPSwitch=1,_xll.TR(CG$7,CG$6,"Sdate=#1 Period=#2 NULL=BLANK Scale=6",,$D30,$AS$4),CG30)</f>
        <v>3414.75</v>
      </c>
      <c r="CI30" s="1000" cm="1">
        <f t="array" aca="1" ref="CI30" ca="1">IF(NPSwitch=1,_xll.TR(CI$7,CI$6,"Sdate=#1 Period=#2 NULL=BLANK Scale=6",,$D30,$AS$4),CI30)</f>
        <v>4510</v>
      </c>
      <c r="CJ30" s="1000" cm="1">
        <f t="array" aca="1" ref="CJ30" ca="1">IF(NPSwitch=1,_xll.TR(CJ$7,CJ$6,"Sdate=#1 Period=#2 NULL=BLANK Scale=6",,$D30,$AS$4),CJ30)</f>
        <v>179.81100000000001</v>
      </c>
      <c r="CK30" s="1000" cm="1">
        <f t="array" aca="1" ref="CK30" ca="1">IF(NPSwitch=1,_xll.TR(CK$7,CK$6,"Sdate=#1 Period=#2 NULL=BLANK Scale=6",,$D30,$AS$4),CK30)</f>
        <v>469</v>
      </c>
      <c r="CL30" s="1000" cm="1">
        <f t="array" aca="1" ref="CL30" ca="1">IF(NPSwitch=1,_xll.TR(CL$7,CL$6,"Sdate=#1 Period=#2 NULL=BLANK Scale=6",,$D30,$AS$4),CL30)</f>
        <v>35.200000000000003</v>
      </c>
      <c r="CM30" s="1000" t="str" cm="1">
        <f t="array" aca="1" ref="CM30" ca="1">IF(NPSwitch=1,_xll.TR(CM$7,CM$6,"Sdate=#1 Period=#2 NULL=BLANK Scale=6",,$D30,$AS$4),CM30)</f>
        <v/>
      </c>
      <c r="CN30" s="1000" cm="1">
        <f t="array" aca="1" ref="CN30" ca="1">IF(NPSwitch=1,_xll.TR(CN$7,CN$6,"Sdate=#1 Period=#2 NULL=BLANK Scale=6",,$D30,$AS$4),CN30)</f>
        <v>315.7</v>
      </c>
      <c r="CO30" s="1000" cm="1">
        <f t="array" aca="1" ref="CO30" ca="1">IF(NPSwitch=1,_xll.TR(CO$7,CO$6,"Sdate=#1 Period=#2 NULL=BLANK Scale=6",,$D30,$AS$4),CO30)</f>
        <v>1352</v>
      </c>
      <c r="CP30" s="1000" cm="1">
        <f t="array" aca="1" ref="CP30" ca="1">IF(NPSwitch=1,_xll.TR(CP$7,CP$6,"Sdate=#1 Period=#2 NULL=BLANK Scale=6",,$D30,$AS$4),CP30)</f>
        <v>1265</v>
      </c>
      <c r="CQ30" s="1000" cm="1">
        <f t="array" aca="1" ref="CQ30" ca="1">IF(NPSwitch=1,_xll.TR(CQ$7,CQ$6,"Sdate=#1 Period=#2 NULL=BLANK Scale=6",,$D30,$AS$4),CQ30)</f>
        <v>583</v>
      </c>
      <c r="CS30" s="1000" cm="1">
        <f t="array" aca="1" ref="CS30" ca="1">IF(NPSwitch=1,_xll.TR(CS$7,CS$6,"Sdate=#1 Period=#2 NULL=BLANK Scale=6",,$D30,$AS$4),CS30)</f>
        <v>5548.25</v>
      </c>
      <c r="CT30" s="1000" cm="1">
        <f t="array" aca="1" ref="CT30" ca="1">IF(NPSwitch=1,_xll.TR(CT$7,CT$6,"Sdate=#1 Period=#2 NULL=BLANK Scale=6",,$D30,$AS$4),CT30)</f>
        <v>520.70299999999997</v>
      </c>
      <c r="CU30" s="1000" cm="1">
        <f t="array" aca="1" ref="CU30" ca="1">IF(NPSwitch=1,_xll.TR(CU$7,CU$6,"Sdate=#1 Period=#2 NULL=BLANK Scale=6",,$D30,$AS$4),CU30)</f>
        <v>1252</v>
      </c>
      <c r="CV30" s="1000" cm="1">
        <f t="array" aca="1" ref="CV30" ca="1">IF(NPSwitch=1,_xll.TR(CV$7,CV$6,"Sdate=#1 Period=#2 NULL=BLANK Scale=6",,$D30,$AS$4),CV30)</f>
        <v>625.54999999999995</v>
      </c>
      <c r="CW30" s="1000" cm="1">
        <f t="array" aca="1" ref="CW30" ca="1">IF(NPSwitch=1,_xll.TR(CW$7,CW$6,"Sdate=#1 Period=#2 NULL=BLANK Scale=6",,$D30,$AS$4),CW30)</f>
        <v>1078.75</v>
      </c>
      <c r="CX30" s="1000" cm="1">
        <f t="array" aca="1" ref="CX30" ca="1">IF(NPSwitch=1,_xll.TR(CX$7,CX$6,"Sdate=#1 Period=#2 NULL=BLANK Scale=6",,$D30,$AS$4),CX30)</f>
        <v>2599</v>
      </c>
      <c r="CY30" s="1000" t="str" cm="1">
        <f t="array" aca="1" ref="CY30" ca="1">IF(NPSwitch=1,_xll.TR(CY$7,CY$6,"Sdate=#1 Period=#2 NULL=BLANK Scale=6",,$D30,$AS$4),CY30)</f>
        <v/>
      </c>
      <c r="CZ30" s="1000" cm="1">
        <f t="array" aca="1" ref="CZ30" ca="1">IF(NPSwitch=1,_xll.TR(CZ$7,CZ$6,"Sdate=#1 Period=#2 NULL=BLANK Scale=6",,$D30,$AS$4),CZ30)</f>
        <v>3645</v>
      </c>
      <c r="DA30" s="1000" t="str" cm="1">
        <f t="array" aca="1" ref="DA30" ca="1">IF(NPSwitch=1,_xll.TR(DA$7,DA$6,"Sdate=#1 Period=#2 NULL=BLANK Scale=6",,$D30,$AS$4),DA30)</f>
        <v/>
      </c>
      <c r="DB30" s="1000" cm="1">
        <f t="array" aca="1" ref="DB30" ca="1">IF(NPSwitch=1,_xll.TR(DB$7,DB$6,"Sdate=#1 Period=#2 NULL=BLANK Scale=6",,$D30,$AS$4),DB30)</f>
        <v>13605.75</v>
      </c>
      <c r="DC30" s="1000" t="str" cm="1">
        <f t="array" aca="1" ref="DC30" ca="1">IF(NPSwitch=1,_xll.TR(DC$7,DC$6,"Sdate=#1 Period=#2 NULL=BLANK Scale=6",,$D30,$AS$4),DC30)</f>
        <v/>
      </c>
      <c r="DD30" s="1000" t="str" cm="1">
        <f t="array" aca="1" ref="DD30" ca="1">IF(NPSwitch=1,_xll.TR(DD$7,DD$6,"Sdate=#1 Period=#2 NULL=BLANK Scale=6",,$D30,$AS$4),DD30)</f>
        <v/>
      </c>
      <c r="DE30" s="1000" t="str" cm="1">
        <f t="array" aca="1" ref="DE30" ca="1">IF(NPSwitch=1,_xll.TR(DE$7,DE$6,"Sdate=#1 Period=#2 NULL=BLANK Scale=6",,$D30,$AS$4),DE30)</f>
        <v/>
      </c>
      <c r="DF30" s="1000" cm="1">
        <f t="array" aca="1" ref="DF30" ca="1">IF(NPSwitch=1,_xll.TR(DF$7,DF$6,"Sdate=#1 Period=#2 NULL=BLANK Scale=6",,$D30,$AS$4),DF30)</f>
        <v>625.54999999999995</v>
      </c>
      <c r="DG30" s="1000" t="str" cm="1">
        <f t="array" aca="1" ref="DG30" ca="1">IF(NPSwitch=1,_xll.TR(DG$7,DG$6,"Sdate=#1 Period=#2 NULL=BLANK Scale=6",,$D30,$AS$4),DG30)</f>
        <v/>
      </c>
      <c r="DH30" s="1000" t="str" cm="1">
        <f t="array" aca="1" ref="DH30" ca="1">IF(NPSwitch=1,_xll.TR(DH$7,DH$6,"Sdate=#1 Period=#2 NULL=BLANK Scale=6",,$D30,$AS$4),DH30)</f>
        <v/>
      </c>
    </row>
    <row r="31" spans="1:112" ht="11.25" customHeight="1">
      <c r="C31" s="973">
        <f t="shared" si="44"/>
        <v>37986</v>
      </c>
      <c r="D31" s="974">
        <f t="shared" si="43"/>
        <v>38031</v>
      </c>
      <c r="E31" s="765" cm="1">
        <f t="array" aca="1" ref="E31" ca="1">IF(NPSwitch=1,_xll.TR(E$7,E$6,"Sdate=#1 Period=#2 NULL=BLANK",,$D31,$E$4),E31)</f>
        <v>12.070003363043099</v>
      </c>
      <c r="F31" s="765" cm="1">
        <f t="array" aca="1" ref="F31" ca="1">IF(NPSwitch=1,_xll.TR(F$7,F$6,"Sdate=#1 Period=#2 NULL=BLANK",,$D31,$E$4),F31)</f>
        <v>7.4146073379895698</v>
      </c>
      <c r="G31" s="765" cm="1">
        <f t="array" aca="1" ref="G31" ca="1">IF(NPSwitch=1,_xll.TR(G$7,G$6,"Sdate=#1 Period=#2 NULL=BLANK",,$D31,$E$4),G31)</f>
        <v>4.9764995241042298</v>
      </c>
      <c r="H31" s="765" cm="1">
        <f t="array" aca="1" ref="H31" ca="1">IF(NPSwitch=1,_xll.TR(H$7,H$6,"Sdate=#1 Period=#2 NULL=BLANK",,$D31,$E$4),H31)</f>
        <v>10.270315850052301</v>
      </c>
      <c r="I31" s="765" t="str" cm="1">
        <f t="array" aca="1" ref="I31" ca="1">IF(NPSwitch=1,_xll.TR(I$7,I$6,"Sdate=#1 Period=#2 NULL=BLANK",,$D31,$E$4),I31)</f>
        <v/>
      </c>
      <c r="J31" s="765" cm="1">
        <f t="array" aca="1" ref="J31" ca="1">IF(NPSwitch=1,_xll.TR(J$7,J$6,"Sdate=#1 Period=#2 NULL=BLANK",,$D31,$E$4),J31)</f>
        <v>6.8977609064886201</v>
      </c>
      <c r="K31" s="765" cm="1">
        <f t="array" aca="1" ref="K31" ca="1">IF(NPSwitch=1,_xll.TR(K$7,K$6,"Sdate=#1 Period=#2 NULL=BLANK",,$D31,$E$4),K31)</f>
        <v>7.8058565154212296</v>
      </c>
      <c r="L31" s="765" cm="1">
        <f t="array" aca="1" ref="L31" ca="1">IF(NPSwitch=1,_xll.TR(L$7,L$6,"Sdate=#1 Period=#2 NULL=BLANK",,$D31,$E$4),L31)</f>
        <v>6.1276091901463499</v>
      </c>
      <c r="M31" s="765" cm="1">
        <f t="array" aca="1" ref="M31" ca="1">IF(NPSwitch=1,_xll.TR(M$7,M$6,"Sdate=#1 Period=#2 NULL=BLANK",,$D31,$E$4),M31)</f>
        <v>7.8432490350863402</v>
      </c>
      <c r="N31" s="1002">
        <f t="shared" ca="1" si="45"/>
        <v>7.215608397242546</v>
      </c>
      <c r="O31" s="1000" cm="1">
        <f t="array" aca="1" ref="O31" ca="1">IF(NPSwitch=1,_xll.TR(O$7,O$6,"Sdate=#1 Period=#2 Scale=6 NULL=BLANK",,$D31,$O$4),O31)</f>
        <v>62439.129165120001</v>
      </c>
      <c r="P31" s="1000" cm="1">
        <f t="array" aca="1" ref="P31" ca="1">IF(NPSwitch=1,_xll.TR(P$7,P$6,"Sdate=#1 Period=#2 Scale=6 NULL=BLANK",,$D31,$O$4),P31)</f>
        <v>1190.3820599999999</v>
      </c>
      <c r="Q31" s="1000" cm="1">
        <f t="array" aca="1" ref="Q31" ca="1">IF(NPSwitch=1,_xll.TR(Q$7,Q$6,"Sdate=#1 Period=#2 Scale=6 NULL=BLANK",,$D31,$O$4),Q31)</f>
        <v>3225.0090783999999</v>
      </c>
      <c r="R31" s="1000" cm="1">
        <f t="array" aca="1" ref="R31" ca="1">IF(NPSwitch=1,_xll.TR(R$7,R$6,"Sdate=#1 Period=#2 Scale=6 NULL=BLANK",,$D31,$O$4),R31)</f>
        <v>562.42292701999997</v>
      </c>
      <c r="S31" s="1000" t="str" cm="1">
        <f t="array" aca="1" ref="S31" ca="1">IF(NPSwitch=1,_xll.TR(S$7,S$6,"Sdate=#1 Period=#2 Scale=6 NULL=BLANK",,$D31,$O$4),S31)</f>
        <v/>
      </c>
      <c r="T31" s="1000" cm="1">
        <f t="array" aca="1" ref="T31" ca="1">IF(NPSwitch=1,_xll.TR(T$7,T$6,"Sdate=#1 Period=#2 Scale=6 NULL=BLANK",,$D31,$O$4),T31)</f>
        <v>1334.2893404399999</v>
      </c>
      <c r="U31" s="1000" cm="1">
        <f t="array" aca="1" ref="U31" ca="1">IF(NPSwitch=1,_xll.TR(U$7,U$6,"Sdate=#1 Period=#2 Scale=6 NULL=BLANK",,$D31,$O$4),U31)</f>
        <v>10102.642334</v>
      </c>
      <c r="V31" s="1000" cm="1">
        <f t="array" aca="1" ref="V31" ca="1">IF(NPSwitch=1,_xll.TR(V$7,V$6,"Sdate=#1 Period=#2 Scale=6 NULL=BLANK",,$D31,$O$4),V31)</f>
        <v>5663.57476060918</v>
      </c>
      <c r="W31" s="1000" cm="1">
        <f t="array" aca="1" ref="W31" ca="1">IF(NPSwitch=1,_xll.TR(W$7,W$6,"Sdate=#1 Period=#2 Scale=6 NULL=BLANK",,$D31,$O$4),W31)</f>
        <v>3271.21806642</v>
      </c>
      <c r="X31" s="998"/>
      <c r="Y31" s="1000" cm="1">
        <f t="array" aca="1" ref="Y31" ca="1">IF(NPSwitch=1,_xll.TR(Y$7,Y$6,"Sdate=#1 Period=#2 Scale=6 NULL=BLANK",,$D31,$O$4),Y31)</f>
        <v>1162.5</v>
      </c>
      <c r="Z31" s="1000" cm="1">
        <f t="array" aca="1" ref="Z31" ca="1">IF(NPSwitch=1,_xll.TR(Z$7,Z$6,"Sdate=#1 Period=#2 Scale=6 NULL=BLANK",,$D31,$O$4),Z31)</f>
        <v>36.560499999999998</v>
      </c>
      <c r="AA31" s="1000" cm="1">
        <f t="array" aca="1" ref="AA31" ca="1">IF(NPSwitch=1,_xll.TR(AA$7,AA$6,"Sdate=#1 Period=#2 Scale=6 NULL=BLANK",,$D31,$O$4),AA31)</f>
        <v>160.5</v>
      </c>
      <c r="AB31" s="1000" cm="1">
        <f t="array" aca="1" ref="AB31" ca="1">IF(NPSwitch=1,_xll.TR(AB$7,AB$6,"Sdate=#1 Period=#2 Scale=6 NULL=BLANK",,$D31,$O$4),AB31)</f>
        <v>53.15</v>
      </c>
      <c r="AC31" s="1000" t="str" cm="1">
        <f t="array" aca="1" ref="AC31" ca="1">IF(NPSwitch=1,_xll.TR(AC$7,AC$6,"Sdate=#1 Period=#2 Scale=6 NULL=BLANK",,$D31,$O$4),AC31)</f>
        <v/>
      </c>
      <c r="AD31" s="1000" cm="1">
        <f t="array" aca="1" ref="AD31" ca="1">IF(NPSwitch=1,_xll.TR(AD$7,AD$6,"Sdate=#1 Period=#2 Scale=6 NULL=BLANK",,$D31,$O$4),AD31)</f>
        <v>90.95</v>
      </c>
      <c r="AE31" s="1000" cm="1">
        <f t="array" aca="1" ref="AE31" ca="1">IF(NPSwitch=1,_xll.TR(AE$7,AE$6,"Sdate=#1 Period=#2 Scale=6 NULL=BLANK",,$D31,$O$4),AE31)</f>
        <v>253</v>
      </c>
      <c r="AF31" s="1000" cm="1">
        <f t="array" aca="1" ref="AF31" ca="1">IF(NPSwitch=1,_xll.TR(AF$7,AF$6,"Sdate=#1 Period=#2 Scale=6 NULL=BLANK",,$D31,$O$4),AF31)</f>
        <v>694</v>
      </c>
      <c r="AG31" s="1000" cm="1">
        <f t="array" aca="1" ref="AG31" ca="1">IF(NPSwitch=1,_xll.TR(AG$7,AG$6,"Sdate=#1 Period=#2 Scale=6 NULL=BLANK",,$D31,$O$4),AG31)</f>
        <v>189</v>
      </c>
      <c r="AH31" s="998"/>
      <c r="AI31" s="1000" cm="1">
        <f t="array" aca="1" ref="AI31" ca="1">IF(NPSwitch=1,_xll.TR(AI$7,AI$6,"Sdate=#1 Period=#2 Scale=6 NULL=BLANK",,$D31,$O$4),AI31)</f>
        <v>64447.129165120001</v>
      </c>
      <c r="AJ31" s="1000" cm="1">
        <f t="array" aca="1" ref="AJ31" ca="1">IF(NPSwitch=1,_xll.TR(AJ$7,AJ$6,"Sdate=#1 Period=#2 Scale=6 NULL=BLANK",,$D31,$O$4),AJ31)</f>
        <v>1397.7770599999999</v>
      </c>
      <c r="AK31" s="1000" cm="1">
        <f t="array" aca="1" ref="AK31" ca="1">IF(NPSwitch=1,_xll.TR(AK$7,AK$6,"Sdate=#1 Period=#2 Scale=6 NULL=BLANK",,$D31,$O$4),AK31)</f>
        <v>4598.0090784000004</v>
      </c>
      <c r="AL31" s="1000" cm="1">
        <f t="array" aca="1" ref="AL31" ca="1">IF(NPSwitch=1,_xll.TR(AL$7,AL$6,"Sdate=#1 Period=#2 Scale=6 NULL=BLANK",,$D31,$O$4),AL31)</f>
        <v>1309.1229270199999</v>
      </c>
      <c r="AM31" s="1000" t="str" cm="1">
        <f t="array" aca="1" ref="AM31" ca="1">IF(NPSwitch=1,_xll.TR(AM$7,AM$6,"Sdate=#1 Period=#2 Scale=6 NULL=BLANK",,$D31,$O$4),AM31)</f>
        <v/>
      </c>
      <c r="AN31" s="1000" cm="1">
        <f t="array" aca="1" ref="AN31" ca="1">IF(NPSwitch=1,_xll.TR(AN$7,AN$6,"Sdate=#1 Period=#2 Scale=6 NULL=BLANK",,$D31,$O$4),AN31)</f>
        <v>2308.3893404400001</v>
      </c>
      <c r="AO31" s="1000" cm="1">
        <f t="array" aca="1" ref="AO31" ca="1">IF(NPSwitch=1,_xll.TR(AO$7,AO$6,"Sdate=#1 Period=#2 Scale=6 NULL=BLANK",,$D31,$O$4),AO31)</f>
        <v>11696.642334</v>
      </c>
      <c r="AP31" s="1000" cm="1">
        <f t="array" aca="1" ref="AP31" ca="1">IF(NPSwitch=1,_xll.TR(AP$7,AP$6,"Sdate=#1 Period=#2 Scale=6 NULL=BLANK",,$D31,$O$4),AP31)</f>
        <v>7908.5747606089999</v>
      </c>
      <c r="AQ31" s="1000" cm="1">
        <f t="array" aca="1" ref="AQ31" ca="1">IF(NPSwitch=1,_xll.TR(AQ$7,AQ$6,"Sdate=#1 Period=#2 Scale=6 NULL=BLANK",,$D31,$O$4),AQ31)</f>
        <v>5427.2180664199996</v>
      </c>
      <c r="AS31" s="765" t="str" cm="1">
        <f t="array" aca="1" ref="AS31" ca="1">IF(NPSwitch=1,_xll.TR(AS$7,AS$6,"Sdate=#1 Period=#2 NULL=BLANK Scale=6",,$D31,$AS$4),AS31)</f>
        <v/>
      </c>
      <c r="AT31" s="765" t="str" cm="1">
        <f t="array" aca="1" ref="AT31" ca="1">IF(NPSwitch=1,_xll.TR(AT$7,AT$6,"Sdate=#1 Period=#2 NULL=BLANK Scale=6",,$D31,$AS$4),AT31)</f>
        <v/>
      </c>
      <c r="AU31" s="765" t="str" cm="1">
        <f t="array" aca="1" ref="AU31" ca="1">IF(NPSwitch=1,_xll.TR(AU$7,AU$6,"Sdate=#1 Period=#2 NULL=BLANK Scale=6",,$D31,$AS$4),AU31)</f>
        <v/>
      </c>
      <c r="AV31" s="765" t="str" cm="1">
        <f t="array" aca="1" ref="AV31" ca="1">IF(NPSwitch=1,_xll.TR(AV$7,AV$6,"Sdate=#1 Period=#2 NULL=BLANK Scale=6",,$D31,$AS$4),AV31)</f>
        <v/>
      </c>
      <c r="AW31" s="765" t="str" cm="1">
        <f t="array" aca="1" ref="AW31" ca="1">IF(NPSwitch=1,_xll.TR(AW$7,AW$6,"Sdate=#1 Period=#2 NULL=BLANK Scale=6",,$D31,$AS$4),AW31)</f>
        <v/>
      </c>
      <c r="AX31" s="765" t="str" cm="1">
        <f t="array" aca="1" ref="AX31" ca="1">IF(NPSwitch=1,_xll.TR(AX$7,AX$6,"Sdate=#1 Period=#2 NULL=BLANK Scale=6",,$D31,$AS$4),AX31)</f>
        <v/>
      </c>
      <c r="AY31" s="765" t="str" cm="1">
        <f t="array" aca="1" ref="AY31" ca="1">IF(NPSwitch=1,_xll.TR(AY$7,AY$6,"Sdate=#1 Period=#2 NULL=BLANK Scale=6",,$D31,$AS$4),AY31)</f>
        <v/>
      </c>
      <c r="AZ31" s="765" t="str" cm="1">
        <f t="array" aca="1" ref="AZ31" ca="1">IF(NPSwitch=1,_xll.TR(AZ$7,AZ$6,"Sdate=#1 Period=#2 NULL=BLANK Scale=6",,$D31,$AS$4),AZ31)</f>
        <v/>
      </c>
      <c r="BA31" s="765" t="str" cm="1">
        <f t="array" aca="1" ref="BA31" ca="1">IF(NPSwitch=1,_xll.TR(BA$7,BA$6,"Sdate=#1 Period=#2 NULL=BLANK Scale=6",,$D31,$AS$4),BA31)</f>
        <v/>
      </c>
      <c r="BC31" s="765" cm="1">
        <f t="array" aca="1" ref="BC31" ca="1">IF(NPSwitch=1,_xll.TR(BC$7,BC$6,"Sdate=#1 Period=#2 NULL=BLANK",,$D31,$BC$4),BC31)</f>
        <v>14.289829083000001</v>
      </c>
      <c r="BD31" s="765" cm="1">
        <f t="array" aca="1" ref="BD31" ca="1">IF(NPSwitch=1,_xll.TR(BD$7,BD$6,"Sdate=#1 Period=#2 NULL=BLANK",,$D31,$BC$4),BD31)</f>
        <v>7.773590381</v>
      </c>
      <c r="BE31" s="765" cm="1">
        <f t="array" aca="1" ref="BE31" ca="1">IF(NPSwitch=1,_xll.TR(BE$7,BE$6,"Sdate=#1 Period=#2 NULL=BLANK",,$D31,$BC$4),BE31)</f>
        <v>8.7414621260000001</v>
      </c>
      <c r="BF31" s="765" cm="1">
        <f t="array" aca="1" ref="BF31" ca="1">IF(NPSwitch=1,_xll.TR(BF$7,BF$6,"Sdate=#1 Period=#2 NULL=BLANK",,$D31,$BC$4),BF31)</f>
        <v>37.190992244999997</v>
      </c>
      <c r="BG31" s="765" t="str" cm="1">
        <f t="array" aca="1" ref="BG31" ca="1">IF(NPSwitch=1,_xll.TR(BG$7,BG$6,"Sdate=#1 Period=#2 NULL=BLANK",,$D31,$BC$4),BG31)</f>
        <v/>
      </c>
      <c r="BH31" s="765" cm="1">
        <f t="array" aca="1" ref="BH31" ca="1">IF(NPSwitch=1,_xll.TR(BH$7,BH$6,"Sdate=#1 Period=#2 NULL=BLANK",,$D31,$BC$4),BH31)</f>
        <v>7.311971303</v>
      </c>
      <c r="BI31" s="765" cm="1">
        <f t="array" aca="1" ref="BI31" ca="1">IF(NPSwitch=1,_xll.TR(BI$7,BI$6,"Sdate=#1 Period=#2 NULL=BLANK",,$D31,$BC$4),BI31)</f>
        <v>8.6513626729999995</v>
      </c>
      <c r="BJ31" s="765" cm="1">
        <f t="array" aca="1" ref="BJ31" ca="1">IF(NPSwitch=1,_xll.TR(BJ$7,BJ$6,"Sdate=#1 Period=#2 NULL=BLANK",,$D31,$BC$4),BJ31)</f>
        <v>6.2518377550000004</v>
      </c>
      <c r="BK31" s="765" cm="1">
        <f t="array" aca="1" ref="BK31" ca="1">IF(NPSwitch=1,_xll.TR(BK$7,BK$6,"Sdate=#1 Period=#2 NULL=BLANK",,$D31,$BC$4),BK31)</f>
        <v>9.3091218980000008</v>
      </c>
      <c r="BO31" s="765" cm="1">
        <f t="array" aca="1" ref="BO31" ca="1">IF(NPSwitch=1,_xll.TR(BO$7,BO$6,"Sdate=#1 Period=#2 NULL=BLANK Scale=6",,$D31,$AS$4),BO31)</f>
        <v>18232</v>
      </c>
      <c r="BP31" s="765" cm="1">
        <f t="array" aca="1" ref="BP31" ca="1">IF(NPSwitch=1,_xll.TR(BP$7,BP$6,"Sdate=#1 Period=#2 NULL=BLANK Scale=6",,$D31,$AS$4),BP31)</f>
        <v>1110.2370000000001</v>
      </c>
      <c r="BQ31" s="765" cm="1">
        <f t="array" aca="1" ref="BQ31" ca="1">IF(NPSwitch=1,_xll.TR(BQ$7,BQ$6,"Sdate=#1 Period=#2 NULL=BLANK Scale=6",,$D31,$AS$4),BQ31)</f>
        <v>7728</v>
      </c>
      <c r="BR31" s="765" cm="1">
        <f t="array" aca="1" ref="BR31" ca="1">IF(NPSwitch=1,_xll.TR(BR$7,BR$6,"Sdate=#1 Period=#2 NULL=BLANK Scale=6",,$D31,$AS$4),BR31)</f>
        <v>1964.5</v>
      </c>
      <c r="BS31" s="765" t="str" cm="1">
        <f t="array" aca="1" ref="BS31" ca="1">IF(NPSwitch=1,_xll.TR(BS$7,BS$6,"Sdate=#1 Period=#2 NULL=BLANK Scale=6",,$D31,$AS$4),BS31)</f>
        <v/>
      </c>
      <c r="BT31" s="765" cm="1">
        <f t="array" aca="1" ref="BT31" ca="1">IF(NPSwitch=1,_xll.TR(BT$7,BT$6,"Sdate=#1 Period=#2 NULL=BLANK Scale=6",,$D31,$AS$4),BT31)</f>
        <v>1921.4</v>
      </c>
      <c r="BU31" s="765" cm="1">
        <f t="array" aca="1" ref="BU31" ca="1">IF(NPSwitch=1,_xll.TR(BU$7,BU$6,"Sdate=#1 Period=#2 NULL=BLANK Scale=6",,$D31,$AS$4),BU31)</f>
        <v>8756</v>
      </c>
      <c r="BV31" s="765" cm="1">
        <f t="array" aca="1" ref="BV31" ca="1">IF(NPSwitch=1,_xll.TR(BV$7,BV$6,"Sdate=#1 Period=#2 NULL=BLANK Scale=6",,$D31,$AS$4),BV31)</f>
        <v>7557</v>
      </c>
      <c r="BW31" s="765" cm="1">
        <f t="array" aca="1" ref="BW31" ca="1">IF(NPSwitch=1,_xll.TR(BW$7,BW$6,"Sdate=#1 Period=#2 NULL=BLANK Scale=6",,$D31,$AS$4),BW31)</f>
        <v>5800</v>
      </c>
      <c r="BY31" s="765" cm="1">
        <f t="array" aca="1" ref="BY31" ca="1">IF(NPSwitch=1,_xll.TR(BY$7,BY$6,"Sdate=#1 Period=#2 NULL=BLANK Scale=6",,$D31,$AS$4),BY31)</f>
        <v>10233.5</v>
      </c>
      <c r="BZ31" s="765" cm="1">
        <f t="array" aca="1" ref="BZ31" ca="1">IF(NPSwitch=1,_xll.TR(BZ$7,BZ$6,"Sdate=#1 Period=#2 NULL=BLANK Scale=6",,$D31,$AS$4),BZ31)</f>
        <v>805.0675</v>
      </c>
      <c r="CA31" s="765" cm="1">
        <f t="array" aca="1" ref="CA31" ca="1">IF(NPSwitch=1,_xll.TR(CA$7,CA$6,"Sdate=#1 Period=#2 NULL=BLANK Scale=6",,$D31,$AS$4),CA31)</f>
        <v>3906.75</v>
      </c>
      <c r="CB31" s="765" cm="1">
        <f t="array" aca="1" ref="CB31" ca="1">IF(NPSwitch=1,_xll.TR(CB$7,CB$6,"Sdate=#1 Period=#2 NULL=BLANK Scale=6",,$D31,$AS$4),CB31)</f>
        <v>1283.9000000000001</v>
      </c>
      <c r="CC31" s="765" t="str" cm="1">
        <f t="array" aca="1" ref="CC31" ca="1">IF(NPSwitch=1,_xll.TR(CC$7,CC$6,"Sdate=#1 Period=#2 NULL=BLANK Scale=6",,$D31,$AS$4),CC31)</f>
        <v/>
      </c>
      <c r="CD31" s="765" cm="1">
        <f t="array" aca="1" ref="CD31" ca="1">IF(NPSwitch=1,_xll.TR(CD$7,CD$6,"Sdate=#1 Period=#2 NULL=BLANK Scale=6",,$D31,$AS$4),CD31)</f>
        <v>1740.7</v>
      </c>
      <c r="CE31" s="765" cm="1">
        <f t="array" aca="1" ref="CE31" ca="1">IF(NPSwitch=1,_xll.TR(CE$7,CE$6,"Sdate=#1 Period=#2 NULL=BLANK Scale=6",,$D31,$AS$4),CE31)</f>
        <v>4507</v>
      </c>
      <c r="CF31" s="765" cm="1">
        <f t="array" aca="1" ref="CF31" ca="1">IF(NPSwitch=1,_xll.TR(CF$7,CF$6,"Sdate=#1 Period=#2 NULL=BLANK Scale=6",,$D31,$AS$4),CF31)</f>
        <v>5549.5</v>
      </c>
      <c r="CG31" s="765" cm="1">
        <f t="array" aca="1" ref="CG31" ca="1">IF(NPSwitch=1,_xll.TR(CG$7,CG$6,"Sdate=#1 Period=#2 NULL=BLANK Scale=6",,$D31,$AS$4),CG31)</f>
        <v>3491.75</v>
      </c>
      <c r="CI31" s="1000" cm="1">
        <f t="array" aca="1" ref="CI31" ca="1">IF(NPSwitch=1,_xll.TR(CI$7,CI$6,"Sdate=#1 Period=#2 NULL=BLANK Scale=6",,$D31,$AS$4),CI31)</f>
        <v>4677</v>
      </c>
      <c r="CJ31" s="1000" cm="1">
        <f t="array" aca="1" ref="CJ31" ca="1">IF(NPSwitch=1,_xll.TR(CJ$7,CJ$6,"Sdate=#1 Period=#2 NULL=BLANK Scale=6",,$D31,$AS$4),CJ31)</f>
        <v>186.887</v>
      </c>
      <c r="CK31" s="1000" cm="1">
        <f t="array" aca="1" ref="CK31" ca="1">IF(NPSwitch=1,_xll.TR(CK$7,CK$6,"Sdate=#1 Period=#2 NULL=BLANK Scale=6",,$D31,$AS$4),CK31)</f>
        <v>525</v>
      </c>
      <c r="CL31" s="1000" cm="1">
        <f t="array" aca="1" ref="CL31" ca="1">IF(NPSwitch=1,_xll.TR(CL$7,CL$6,"Sdate=#1 Period=#2 NULL=BLANK Scale=6",,$D31,$AS$4),CL31)</f>
        <v>57.6</v>
      </c>
      <c r="CM31" s="1000" t="str" cm="1">
        <f t="array" aca="1" ref="CM31" ca="1">IF(NPSwitch=1,_xll.TR(CM$7,CM$6,"Sdate=#1 Period=#2 NULL=BLANK Scale=6",,$D31,$AS$4),CM31)</f>
        <v/>
      </c>
      <c r="CN31" s="1000" cm="1">
        <f t="array" aca="1" ref="CN31" ca="1">IF(NPSwitch=1,_xll.TR(CN$7,CN$6,"Sdate=#1 Period=#2 NULL=BLANK Scale=6",,$D31,$AS$4),CN31)</f>
        <v>321.2</v>
      </c>
      <c r="CO31" s="1000" cm="1">
        <f t="array" aca="1" ref="CO31" ca="1">IF(NPSwitch=1,_xll.TR(CO$7,CO$6,"Sdate=#1 Period=#2 NULL=BLANK Scale=6",,$D31,$AS$4),CO31)</f>
        <v>1386</v>
      </c>
      <c r="CP31" s="1000" cm="1">
        <f t="array" aca="1" ref="CP31" ca="1">IF(NPSwitch=1,_xll.TR(CP$7,CP$6,"Sdate=#1 Period=#2 NULL=BLANK Scale=6",,$D31,$AS$4),CP31)</f>
        <v>1144</v>
      </c>
      <c r="CQ31" s="1000" cm="1">
        <f t="array" aca="1" ref="CQ31" ca="1">IF(NPSwitch=1,_xll.TR(CQ$7,CQ$6,"Sdate=#1 Period=#2 NULL=BLANK Scale=6",,$D31,$AS$4),CQ31)</f>
        <v>590</v>
      </c>
      <c r="CS31" s="1000" cm="1">
        <f t="array" aca="1" ref="CS31" ca="1">IF(NPSwitch=1,_xll.TR(CS$7,CS$6,"Sdate=#1 Period=#2 NULL=BLANK Scale=6",,$D31,$AS$4),CS31)</f>
        <v>5545.25</v>
      </c>
      <c r="CT31" s="1000" cm="1">
        <f t="array" aca="1" ref="CT31" ca="1">IF(NPSwitch=1,_xll.TR(CT$7,CT$6,"Sdate=#1 Period=#2 NULL=BLANK Scale=6",,$D31,$AS$4),CT31)</f>
        <v>522.68650000000002</v>
      </c>
      <c r="CU31" s="1000" cm="1">
        <f t="array" aca="1" ref="CU31" ca="1">IF(NPSwitch=1,_xll.TR(CU$7,CU$6,"Sdate=#1 Period=#2 NULL=BLANK Scale=6",,$D31,$AS$4),CU31)</f>
        <v>1255.5</v>
      </c>
      <c r="CV31" s="1000" cm="1">
        <f t="array" aca="1" ref="CV31" ca="1">IF(NPSwitch=1,_xll.TR(CV$7,CV$6,"Sdate=#1 Period=#2 NULL=BLANK Scale=6",,$D31,$AS$4),CV31)</f>
        <v>620.1</v>
      </c>
      <c r="CW31" s="1000" cm="1">
        <f t="array" aca="1" ref="CW31" ca="1">IF(NPSwitch=1,_xll.TR(CW$7,CW$6,"Sdate=#1 Period=#2 NULL=BLANK Scale=6",,$D31,$AS$4),CW31)</f>
        <v>1091.9000000000001</v>
      </c>
      <c r="CX31" s="1000" cm="1">
        <f t="array" aca="1" ref="CX31" ca="1">IF(NPSwitch=1,_xll.TR(CX$7,CX$6,"Sdate=#1 Period=#2 NULL=BLANK Scale=6",,$D31,$AS$4),CX31)</f>
        <v>2582.5</v>
      </c>
      <c r="CY31" s="1000" cm="1">
        <f t="array" aca="1" ref="CY31" ca="1">IF(NPSwitch=1,_xll.TR(CY$7,CY$6,"Sdate=#1 Period=#2 NULL=BLANK Scale=6",,$D31,$AS$4),CY31)</f>
        <v>3480.5</v>
      </c>
      <c r="CZ31" s="1000" cm="1">
        <f t="array" aca="1" ref="CZ31" ca="1">IF(NPSwitch=1,_xll.TR(CZ$7,CZ$6,"Sdate=#1 Period=#2 NULL=BLANK Scale=6",,$D31,$AS$4),CZ31)</f>
        <v>3561.5</v>
      </c>
      <c r="DA31" s="1000" t="str" cm="1">
        <f t="array" aca="1" ref="DA31" ca="1">IF(NPSwitch=1,_xll.TR(DA$7,DA$6,"Sdate=#1 Period=#2 NULL=BLANK Scale=6",,$D31,$AS$4),DA31)</f>
        <v/>
      </c>
      <c r="DB31" s="1000" cm="1">
        <f t="array" aca="1" ref="DB31" ca="1">IF(NPSwitch=1,_xll.TR(DB$7,DB$6,"Sdate=#1 Period=#2 NULL=BLANK Scale=6",,$D31,$AS$4),DB31)</f>
        <v>13605.75</v>
      </c>
      <c r="DC31" s="1000" t="str" cm="1">
        <f t="array" aca="1" ref="DC31" ca="1">IF(NPSwitch=1,_xll.TR(DC$7,DC$6,"Sdate=#1 Period=#2 NULL=BLANK Scale=6",,$D31,$AS$4),DC31)</f>
        <v/>
      </c>
      <c r="DD31" s="1000" t="str" cm="1">
        <f t="array" aca="1" ref="DD31" ca="1">IF(NPSwitch=1,_xll.TR(DD$7,DD$6,"Sdate=#1 Period=#2 NULL=BLANK Scale=6",,$D31,$AS$4),DD31)</f>
        <v/>
      </c>
      <c r="DE31" s="1000" t="str" cm="1">
        <f t="array" aca="1" ref="DE31" ca="1">IF(NPSwitch=1,_xll.TR(DE$7,DE$6,"Sdate=#1 Period=#2 NULL=BLANK Scale=6",,$D31,$AS$4),DE31)</f>
        <v/>
      </c>
      <c r="DF31" s="1000" cm="1">
        <f t="array" aca="1" ref="DF31" ca="1">IF(NPSwitch=1,_xll.TR(DF$7,DF$6,"Sdate=#1 Period=#2 NULL=BLANK Scale=6",,$D31,$AS$4),DF31)</f>
        <v>620.1</v>
      </c>
      <c r="DG31" s="1000" t="str" cm="1">
        <f t="array" aca="1" ref="DG31" ca="1">IF(NPSwitch=1,_xll.TR(DG$7,DG$6,"Sdate=#1 Period=#2 NULL=BLANK Scale=6",,$D31,$AS$4),DG31)</f>
        <v/>
      </c>
      <c r="DH31" s="1000" t="str" cm="1">
        <f t="array" aca="1" ref="DH31" ca="1">IF(NPSwitch=1,_xll.TR(DH$7,DH$6,"Sdate=#1 Period=#2 NULL=BLANK Scale=6",,$D31,$AS$4),DH31)</f>
        <v/>
      </c>
    </row>
    <row r="32" spans="1:112" ht="11.25" customHeight="1">
      <c r="C32" s="969">
        <f t="shared" si="44"/>
        <v>38077</v>
      </c>
      <c r="D32" s="974">
        <f t="shared" si="43"/>
        <v>38122</v>
      </c>
      <c r="E32" s="765" cm="1">
        <f t="array" aca="1" ref="E32" ca="1">IF(NPSwitch=1,_xll.TR(E$7,E$6,"Sdate=#1 Period=#2 NULL=BLANK",,$D32,$E$4),E32)</f>
        <v>11.6143385144559</v>
      </c>
      <c r="F32" s="765" cm="1">
        <f t="array" aca="1" ref="F32" ca="1">IF(NPSwitch=1,_xll.TR(F$7,F$6,"Sdate=#1 Period=#2 NULL=BLANK",,$D32,$E$4),F32)</f>
        <v>6.5402357818229699</v>
      </c>
      <c r="G32" s="765" cm="1">
        <f t="array" aca="1" ref="G32" ca="1">IF(NPSwitch=1,_xll.TR(G$7,G$6,"Sdate=#1 Period=#2 NULL=BLANK",,$D32,$E$4),G32)</f>
        <v>8.0855559614059693</v>
      </c>
      <c r="H32" s="765" cm="1">
        <f t="array" aca="1" ref="H32" ca="1">IF(NPSwitch=1,_xll.TR(H$7,H$6,"Sdate=#1 Period=#2 NULL=BLANK",,$D32,$E$4),H32)</f>
        <v>7.9655369000837801</v>
      </c>
      <c r="I32" s="765" t="str" cm="1">
        <f t="array" aca="1" ref="I32" ca="1">IF(NPSwitch=1,_xll.TR(I$7,I$6,"Sdate=#1 Period=#2 NULL=BLANK",,$D32,$E$4),I32)</f>
        <v/>
      </c>
      <c r="J32" s="765" cm="1">
        <f t="array" aca="1" ref="J32" ca="1">IF(NPSwitch=1,_xll.TR(J$7,J$6,"Sdate=#1 Period=#2 NULL=BLANK",,$D32,$E$4),J32)</f>
        <v>7.2475954996220997</v>
      </c>
      <c r="K32" s="765" cm="1">
        <f t="array" aca="1" ref="K32" ca="1">IF(NPSwitch=1,_xll.TR(K$7,K$6,"Sdate=#1 Period=#2 NULL=BLANK",,$D32,$E$4),K32)</f>
        <v>6.9779605617044602</v>
      </c>
      <c r="L32" s="765" cm="1">
        <f t="array" aca="1" ref="L32" ca="1">IF(NPSwitch=1,_xll.TR(L$7,L$6,"Sdate=#1 Period=#2 NULL=BLANK",,$D32,$E$4),L32)</f>
        <v>6.2884751692341396</v>
      </c>
      <c r="M32" s="765" cm="1">
        <f t="array" aca="1" ref="M32" ca="1">IF(NPSwitch=1,_xll.TR(M$7,M$6,"Sdate=#1 Period=#2 NULL=BLANK",,$D32,$E$4),M32)</f>
        <v>7.5569167040128704</v>
      </c>
      <c r="N32" s="1002">
        <f t="shared" ca="1" si="45"/>
        <v>7.3130248184100903</v>
      </c>
      <c r="O32" s="1000" cm="1">
        <f t="array" aca="1" ref="O32" ca="1">IF(NPSwitch=1,_xll.TR(O$7,O$6,"Sdate=#1 Period=#2 Scale=6 NULL=BLANK",,$D32,$O$4),O32)</f>
        <v>65675.494670290005</v>
      </c>
      <c r="P32" s="1000" cm="1">
        <f t="array" aca="1" ref="P32" ca="1">IF(NPSwitch=1,_xll.TR(P$7,P$6,"Sdate=#1 Period=#2 Scale=6 NULL=BLANK",,$D32,$O$4),P32)</f>
        <v>1147.4018409600001</v>
      </c>
      <c r="Q32" s="1000" cm="1">
        <f t="array" aca="1" ref="Q32" ca="1">IF(NPSwitch=1,_xll.TR(Q$7,Q$6,"Sdate=#1 Period=#2 Scale=6 NULL=BLANK",,$D32,$O$4),Q32)</f>
        <v>3221.6813420399999</v>
      </c>
      <c r="R32" s="1000" cm="1">
        <f t="array" aca="1" ref="R32" ca="1">IF(NPSwitch=1,_xll.TR(R$7,R$6,"Sdate=#1 Period=#2 Scale=6 NULL=BLANK",,$D32,$O$4),R32)</f>
        <v>610.80591032999996</v>
      </c>
      <c r="S32" s="1000" t="str" cm="1">
        <f t="array" aca="1" ref="S32" ca="1">IF(NPSwitch=1,_xll.TR(S$7,S$6,"Sdate=#1 Period=#2 Scale=6 NULL=BLANK",,$D32,$O$4),S32)</f>
        <v/>
      </c>
      <c r="T32" s="1000" cm="1">
        <f t="array" aca="1" ref="T32" ca="1">IF(NPSwitch=1,_xll.TR(T$7,T$6,"Sdate=#1 Period=#2 Scale=6 NULL=BLANK",,$D32,$O$4),T32)</f>
        <v>1410.5142802800001</v>
      </c>
      <c r="U32" s="1000" cm="1">
        <f t="array" aca="1" ref="U32" ca="1">IF(NPSwitch=1,_xll.TR(U$7,U$6,"Sdate=#1 Period=#2 Scale=6 NULL=BLANK",,$D32,$O$4),U32)</f>
        <v>9970.3095433500002</v>
      </c>
      <c r="V32" s="1000" cm="1">
        <f t="array" aca="1" ref="V32" ca="1">IF(NPSwitch=1,_xll.TR(V$7,V$6,"Sdate=#1 Period=#2 Scale=6 NULL=BLANK",,$D32,$O$4),V32)</f>
        <v>5832.3847385707004</v>
      </c>
      <c r="W32" s="1000" cm="1">
        <f t="array" aca="1" ref="W32" ca="1">IF(NPSwitch=1,_xll.TR(W$7,W$6,"Sdate=#1 Period=#2 Scale=6 NULL=BLANK",,$D32,$O$4),W32)</f>
        <v>3453.8552709800001</v>
      </c>
      <c r="X32" s="998"/>
      <c r="Y32" s="1000" cm="1">
        <f t="array" aca="1" ref="Y32" ca="1">IF(NPSwitch=1,_xll.TR(Y$7,Y$6,"Sdate=#1 Period=#2 Scale=6 NULL=BLANK",,$D32,$O$4),Y32)</f>
        <v>1476.75</v>
      </c>
      <c r="Z32" s="1000" cm="1">
        <f t="array" aca="1" ref="Z32" ca="1">IF(NPSwitch=1,_xll.TR(Z$7,Z$6,"Sdate=#1 Period=#2 Scale=6 NULL=BLANK",,$D32,$O$4),Z32)</f>
        <v>39.119</v>
      </c>
      <c r="AA32" s="1000" cm="1">
        <f t="array" aca="1" ref="AA32" ca="1">IF(NPSwitch=1,_xll.TR(AA$7,AA$6,"Sdate=#1 Period=#2 Scale=6 NULL=BLANK",,$D32,$O$4),AA32)</f>
        <v>179</v>
      </c>
      <c r="AB32" s="1000" cm="1">
        <f t="array" aca="1" ref="AB32" ca="1">IF(NPSwitch=1,_xll.TR(AB$7,AB$6,"Sdate=#1 Period=#2 Scale=6 NULL=BLANK",,$D32,$O$4),AB32)</f>
        <v>55.524999999999999</v>
      </c>
      <c r="AC32" s="1000" t="str" cm="1">
        <f t="array" aca="1" ref="AC32" ca="1">IF(NPSwitch=1,_xll.TR(AC$7,AC$6,"Sdate=#1 Period=#2 Scale=6 NULL=BLANK",,$D32,$O$4),AC32)</f>
        <v/>
      </c>
      <c r="AD32" s="1000" cm="1">
        <f t="array" aca="1" ref="AD32" ca="1">IF(NPSwitch=1,_xll.TR(AD$7,AD$6,"Sdate=#1 Period=#2 Scale=6 NULL=BLANK",,$D32,$O$4),AD32)</f>
        <v>92.224999999999994</v>
      </c>
      <c r="AE32" s="1000" cm="1">
        <f t="array" aca="1" ref="AE32" ca="1">IF(NPSwitch=1,_xll.TR(AE$7,AE$6,"Sdate=#1 Period=#2 Scale=6 NULL=BLANK",,$D32,$O$4),AE32)</f>
        <v>350.25</v>
      </c>
      <c r="AF32" s="1000" cm="1">
        <f t="array" aca="1" ref="AF32" ca="1">IF(NPSwitch=1,_xll.TR(AF$7,AF$6,"Sdate=#1 Period=#2 Scale=6 NULL=BLANK",,$D32,$O$4),AF32)</f>
        <v>850.25</v>
      </c>
      <c r="AG32" s="1000" cm="1">
        <f t="array" aca="1" ref="AG32" ca="1">IF(NPSwitch=1,_xll.TR(AG$7,AG$6,"Sdate=#1 Period=#2 Scale=6 NULL=BLANK",,$D32,$O$4),AG32)</f>
        <v>180.5</v>
      </c>
      <c r="AH32" s="998"/>
      <c r="AI32" s="1000" cm="1">
        <f t="array" aca="1" ref="AI32" ca="1">IF(NPSwitch=1,_xll.TR(AI$7,AI$6,"Sdate=#1 Period=#2 Scale=6 NULL=BLANK",,$D32,$O$4),AI32)</f>
        <v>66911.494670290005</v>
      </c>
      <c r="AJ32" s="1000" cm="1">
        <f t="array" aca="1" ref="AJ32" ca="1">IF(NPSwitch=1,_xll.TR(AJ$7,AJ$6,"Sdate=#1 Period=#2 Scale=6 NULL=BLANK",,$D32,$O$4),AJ32)</f>
        <v>1315.8318409599999</v>
      </c>
      <c r="AK32" s="1000" cm="1">
        <f t="array" aca="1" ref="AK32" ca="1">IF(NPSwitch=1,_xll.TR(AK$7,AK$6,"Sdate=#1 Period=#2 Scale=6 NULL=BLANK",,$D32,$O$4),AK32)</f>
        <v>4600.6813420400003</v>
      </c>
      <c r="AL32" s="1000" cm="1">
        <f t="array" aca="1" ref="AL32" ca="1">IF(NPSwitch=1,_xll.TR(AL$7,AL$6,"Sdate=#1 Period=#2 Scale=6 NULL=BLANK",,$D32,$O$4),AL32)</f>
        <v>1346.9059103300001</v>
      </c>
      <c r="AM32" s="1000" t="str" cm="1">
        <f t="array" aca="1" ref="AM32" ca="1">IF(NPSwitch=1,_xll.TR(AM$7,AM$6,"Sdate=#1 Period=#2 Scale=6 NULL=BLANK",,$D32,$O$4),AM32)</f>
        <v/>
      </c>
      <c r="AN32" s="1000" cm="1">
        <f t="array" aca="1" ref="AN32" ca="1">IF(NPSwitch=1,_xll.TR(AN$7,AN$6,"Sdate=#1 Period=#2 Scale=6 NULL=BLANK",,$D32,$O$4),AN32)</f>
        <v>2515.3142802799998</v>
      </c>
      <c r="AO32" s="1000" cm="1">
        <f t="array" aca="1" ref="AO32" ca="1">IF(NPSwitch=1,_xll.TR(AO$7,AO$6,"Sdate=#1 Period=#2 Scale=6 NULL=BLANK",,$D32,$O$4),AO32)</f>
        <v>11296.30954335</v>
      </c>
      <c r="AP32" s="1000" cm="1">
        <f t="array" aca="1" ref="AP32" ca="1">IF(NPSwitch=1,_xll.TR(AP$7,AP$6,"Sdate=#1 Period=#2 Scale=6 NULL=BLANK",,$D32,$O$4),AP32)</f>
        <v>7984.3847385709996</v>
      </c>
      <c r="AQ32" s="1000" cm="1">
        <f t="array" aca="1" ref="AQ32" ca="1">IF(NPSwitch=1,_xll.TR(AQ$7,AQ$6,"Sdate=#1 Period=#2 Scale=6 NULL=BLANK",,$D32,$O$4),AQ32)</f>
        <v>5625.8552709799997</v>
      </c>
      <c r="AS32" s="765" t="str" cm="1">
        <f t="array" aca="1" ref="AS32" ca="1">IF(NPSwitch=1,_xll.TR(AS$7,AS$6,"Sdate=#1 Period=#2 NULL=BLANK Scale=6",,$D32,$AS$4),AS32)</f>
        <v/>
      </c>
      <c r="AT32" s="765" t="str" cm="1">
        <f t="array" aca="1" ref="AT32" ca="1">IF(NPSwitch=1,_xll.TR(AT$7,AT$6,"Sdate=#1 Period=#2 NULL=BLANK Scale=6",,$D32,$AS$4),AT32)</f>
        <v/>
      </c>
      <c r="AU32" s="765" t="str" cm="1">
        <f t="array" aca="1" ref="AU32" ca="1">IF(NPSwitch=1,_xll.TR(AU$7,AU$6,"Sdate=#1 Period=#2 NULL=BLANK Scale=6",,$D32,$AS$4),AU32)</f>
        <v/>
      </c>
      <c r="AV32" s="765" t="str" cm="1">
        <f t="array" aca="1" ref="AV32" ca="1">IF(NPSwitch=1,_xll.TR(AV$7,AV$6,"Sdate=#1 Period=#2 NULL=BLANK Scale=6",,$D32,$AS$4),AV32)</f>
        <v/>
      </c>
      <c r="AW32" s="765" t="str" cm="1">
        <f t="array" aca="1" ref="AW32" ca="1">IF(NPSwitch=1,_xll.TR(AW$7,AW$6,"Sdate=#1 Period=#2 NULL=BLANK Scale=6",,$D32,$AS$4),AW32)</f>
        <v/>
      </c>
      <c r="AX32" s="765" t="str" cm="1">
        <f t="array" aca="1" ref="AX32" ca="1">IF(NPSwitch=1,_xll.TR(AX$7,AX$6,"Sdate=#1 Period=#2 NULL=BLANK Scale=6",,$D32,$AS$4),AX32)</f>
        <v/>
      </c>
      <c r="AY32" s="765" t="str" cm="1">
        <f t="array" aca="1" ref="AY32" ca="1">IF(NPSwitch=1,_xll.TR(AY$7,AY$6,"Sdate=#1 Period=#2 NULL=BLANK Scale=6",,$D32,$AS$4),AY32)</f>
        <v/>
      </c>
      <c r="AZ32" s="765" t="str" cm="1">
        <f t="array" aca="1" ref="AZ32" ca="1">IF(NPSwitch=1,_xll.TR(AZ$7,AZ$6,"Sdate=#1 Period=#2 NULL=BLANK Scale=6",,$D32,$AS$4),AZ32)</f>
        <v/>
      </c>
      <c r="BA32" s="765" t="str" cm="1">
        <f t="array" aca="1" ref="BA32" ca="1">IF(NPSwitch=1,_xll.TR(BA$7,BA$6,"Sdate=#1 Period=#2 NULL=BLANK Scale=6",,$D32,$AS$4),BA32)</f>
        <v/>
      </c>
      <c r="BC32" s="765" cm="1">
        <f t="array" aca="1" ref="BC32" ca="1">IF(NPSwitch=1,_xll.TR(BC$7,BC$6,"Sdate=#1 Period=#2 NULL=BLANK",,$D32,$BC$4),BC32)</f>
        <v>13.299839927000001</v>
      </c>
      <c r="BD32" s="765" cm="1">
        <f t="array" aca="1" ref="BD32" ca="1">IF(NPSwitch=1,_xll.TR(BD$7,BD$6,"Sdate=#1 Period=#2 NULL=BLANK",,$D32,$BC$4),BD32)</f>
        <v>6.9919648069999996</v>
      </c>
      <c r="BE32" s="765" cm="1">
        <f t="array" aca="1" ref="BE32" ca="1">IF(NPSwitch=1,_xll.TR(BE$7,BE$6,"Sdate=#1 Period=#2 NULL=BLANK",,$D32,$BC$4),BE32)</f>
        <v>8.2597510629999995</v>
      </c>
      <c r="BF32" s="765" cm="1">
        <f t="array" aca="1" ref="BF32" ca="1">IF(NPSwitch=1,_xll.TR(BF$7,BF$6,"Sdate=#1 Period=#2 NULL=BLANK",,$D32,$BC$4),BF32)</f>
        <v>18.275521171000001</v>
      </c>
      <c r="BG32" s="765" t="str" cm="1">
        <f t="array" aca="1" ref="BG32" ca="1">IF(NPSwitch=1,_xll.TR(BG$7,BG$6,"Sdate=#1 Period=#2 NULL=BLANK",,$D32,$BC$4),BG32)</f>
        <v/>
      </c>
      <c r="BH32" s="765" cm="1">
        <f t="array" aca="1" ref="BH32" ca="1">IF(NPSwitch=1,_xll.TR(BH$7,BH$6,"Sdate=#1 Period=#2 NULL=BLANK",,$D32,$BC$4),BH32)</f>
        <v>7.5922555999999997</v>
      </c>
      <c r="BI32" s="765" cm="1">
        <f t="array" aca="1" ref="BI32" ca="1">IF(NPSwitch=1,_xll.TR(BI$7,BI$6,"Sdate=#1 Period=#2 NULL=BLANK",,$D32,$BC$4),BI32)</f>
        <v>7.893996886</v>
      </c>
      <c r="BJ32" s="765" cm="1">
        <f t="array" aca="1" ref="BJ32" ca="1">IF(NPSwitch=1,_xll.TR(BJ$7,BJ$6,"Sdate=#1 Period=#2 NULL=BLANK",,$D32,$BC$4),BJ32)</f>
        <v>7.3385889139999998</v>
      </c>
      <c r="BK32" s="765" cm="1">
        <f t="array" aca="1" ref="BK32" ca="1">IF(NPSwitch=1,_xll.TR(BK$7,BK$6,"Sdate=#1 Period=#2 NULL=BLANK",,$D32,$BC$4),BK32)</f>
        <v>9.3920789159999991</v>
      </c>
      <c r="BO32" s="765" cm="1">
        <f t="array" aca="1" ref="BO32" ca="1">IF(NPSwitch=1,_xll.TR(BO$7,BO$6,"Sdate=#1 Period=#2 NULL=BLANK Scale=6",,$D32,$AS$4),BO32)</f>
        <v>18853</v>
      </c>
      <c r="BP32" s="765" cm="1">
        <f t="array" aca="1" ref="BP32" ca="1">IF(NPSwitch=1,_xll.TR(BP$7,BP$6,"Sdate=#1 Period=#2 NULL=BLANK Scale=6",,$D32,$AS$4),BP32)</f>
        <v>1165.5070000000001</v>
      </c>
      <c r="BQ32" s="765" cm="1">
        <f t="array" aca="1" ref="BQ32" ca="1">IF(NPSwitch=1,_xll.TR(BQ$7,BQ$6,"Sdate=#1 Period=#2 NULL=BLANK Scale=6",,$D32,$AS$4),BQ32)</f>
        <v>7909</v>
      </c>
      <c r="BR32" s="765" cm="1">
        <f t="array" aca="1" ref="BR32" ca="1">IF(NPSwitch=1,_xll.TR(BR$7,BR$6,"Sdate=#1 Period=#2 NULL=BLANK Scale=6",,$D32,$AS$4),BR32)</f>
        <v>2007.7</v>
      </c>
      <c r="BS32" s="765" t="str" cm="1">
        <f t="array" aca="1" ref="BS32" ca="1">IF(NPSwitch=1,_xll.TR(BS$7,BS$6,"Sdate=#1 Period=#2 NULL=BLANK Scale=6",,$D32,$AS$4),BS32)</f>
        <v/>
      </c>
      <c r="BT32" s="765" cm="1">
        <f t="array" aca="1" ref="BT32" ca="1">IF(NPSwitch=1,_xll.TR(BT$7,BT$6,"Sdate=#1 Period=#2 NULL=BLANK Scale=6",,$D32,$AS$4),BT32)</f>
        <v>1993.1</v>
      </c>
      <c r="BU32" s="765" cm="1">
        <f t="array" aca="1" ref="BU32" ca="1">IF(NPSwitch=1,_xll.TR(BU$7,BU$6,"Sdate=#1 Period=#2 NULL=BLANK Scale=6",,$D32,$AS$4),BU32)</f>
        <v>8949</v>
      </c>
      <c r="BV32" s="765" cm="1">
        <f t="array" aca="1" ref="BV32" ca="1">IF(NPSwitch=1,_xll.TR(BV$7,BV$6,"Sdate=#1 Period=#2 NULL=BLANK Scale=6",,$D32,$AS$4),BV32)</f>
        <v>7486</v>
      </c>
      <c r="BW32" s="765" cm="1">
        <f t="array" aca="1" ref="BW32" ca="1">IF(NPSwitch=1,_xll.TR(BW$7,BW$6,"Sdate=#1 Period=#2 NULL=BLANK Scale=6",,$D32,$AS$4),BW32)</f>
        <v>5956</v>
      </c>
      <c r="BY32" s="765" cm="1">
        <f t="array" aca="1" ref="BY32" ca="1">IF(NPSwitch=1,_xll.TR(BY$7,BY$6,"Sdate=#1 Period=#2 NULL=BLANK Scale=6",,$D32,$AS$4),BY32)</f>
        <v>10556</v>
      </c>
      <c r="BZ32" s="765" cm="1">
        <f t="array" aca="1" ref="BZ32" ca="1">IF(NPSwitch=1,_xll.TR(BZ$7,BZ$6,"Sdate=#1 Period=#2 NULL=BLANK Scale=6",,$D32,$AS$4),BZ32)</f>
        <v>830.41650000000004</v>
      </c>
      <c r="CA32" s="765" cm="1">
        <f t="array" aca="1" ref="CA32" ca="1">IF(NPSwitch=1,_xll.TR(CA$7,CA$6,"Sdate=#1 Period=#2 NULL=BLANK Scale=6",,$D32,$AS$4),CA32)</f>
        <v>3912.25</v>
      </c>
      <c r="CB32" s="765" cm="1">
        <f t="array" aca="1" ref="CB32" ca="1">IF(NPSwitch=1,_xll.TR(CB$7,CB$6,"Sdate=#1 Period=#2 NULL=BLANK Scale=6",,$D32,$AS$4),CB32)</f>
        <v>1273.5250000000001</v>
      </c>
      <c r="CC32" s="765" t="str" cm="1">
        <f t="array" aca="1" ref="CC32" ca="1">IF(NPSwitch=1,_xll.TR(CC$7,CC$6,"Sdate=#1 Period=#2 NULL=BLANK Scale=6",,$D32,$AS$4),CC32)</f>
        <v/>
      </c>
      <c r="CD32" s="765" cm="1">
        <f t="array" aca="1" ref="CD32" ca="1">IF(NPSwitch=1,_xll.TR(CD$7,CD$6,"Sdate=#1 Period=#2 NULL=BLANK Scale=6",,$D32,$AS$4),CD32)</f>
        <v>1731.825</v>
      </c>
      <c r="CE32" s="765" cm="1">
        <f t="array" aca="1" ref="CE32" ca="1">IF(NPSwitch=1,_xll.TR(CE$7,CE$6,"Sdate=#1 Period=#2 NULL=BLANK Scale=6",,$D32,$AS$4),CE32)</f>
        <v>4595</v>
      </c>
      <c r="CF32" s="765" cm="1">
        <f t="array" aca="1" ref="CF32" ca="1">IF(NPSwitch=1,_xll.TR(CF$7,CF$6,"Sdate=#1 Period=#2 NULL=BLANK Scale=6",,$D32,$AS$4),CF32)</f>
        <v>5731</v>
      </c>
      <c r="CG32" s="765" cm="1">
        <f t="array" aca="1" ref="CG32" ca="1">IF(NPSwitch=1,_xll.TR(CG$7,CG$6,"Sdate=#1 Period=#2 NULL=BLANK Scale=6",,$D32,$AS$4),CG32)</f>
        <v>3408.5</v>
      </c>
      <c r="CI32" s="1000" cm="1">
        <f t="array" aca="1" ref="CI32" ca="1">IF(NPSwitch=1,_xll.TR(CI$7,CI$6,"Sdate=#1 Period=#2 NULL=BLANK Scale=6",,$D32,$AS$4),CI32)</f>
        <v>5031</v>
      </c>
      <c r="CJ32" s="1000" cm="1">
        <f t="array" aca="1" ref="CJ32" ca="1">IF(NPSwitch=1,_xll.TR(CJ$7,CJ$6,"Sdate=#1 Period=#2 NULL=BLANK Scale=6",,$D32,$AS$4),CJ32)</f>
        <v>188.19200000000001</v>
      </c>
      <c r="CK32" s="1000" cm="1">
        <f t="array" aca="1" ref="CK32" ca="1">IF(NPSwitch=1,_xll.TR(CK$7,CK$6,"Sdate=#1 Period=#2 NULL=BLANK Scale=6",,$D32,$AS$4),CK32)</f>
        <v>556</v>
      </c>
      <c r="CL32" s="1000" cm="1">
        <f t="array" aca="1" ref="CL32" ca="1">IF(NPSwitch=1,_xll.TR(CL$7,CL$6,"Sdate=#1 Period=#2 NULL=BLANK Scale=6",,$D32,$AS$4),CL32)</f>
        <v>73.7</v>
      </c>
      <c r="CM32" s="1000" t="str" cm="1">
        <f t="array" aca="1" ref="CM32" ca="1">IF(NPSwitch=1,_xll.TR(CM$7,CM$6,"Sdate=#1 Period=#2 NULL=BLANK Scale=6",,$D32,$AS$4),CM32)</f>
        <v/>
      </c>
      <c r="CN32" s="1000" cm="1">
        <f t="array" aca="1" ref="CN32" ca="1">IF(NPSwitch=1,_xll.TR(CN$7,CN$6,"Sdate=#1 Period=#2 NULL=BLANK Scale=6",,$D32,$AS$4),CN32)</f>
        <v>331.3</v>
      </c>
      <c r="CO32" s="1000" cm="1">
        <f t="array" aca="1" ref="CO32" ca="1">IF(NPSwitch=1,_xll.TR(CO$7,CO$6,"Sdate=#1 Period=#2 NULL=BLANK Scale=6",,$D32,$AS$4),CO32)</f>
        <v>1431</v>
      </c>
      <c r="CP32" s="1000" cm="1">
        <f t="array" aca="1" ref="CP32" ca="1">IF(NPSwitch=1,_xll.TR(CP$7,CP$6,"Sdate=#1 Period=#2 NULL=BLANK Scale=6",,$D32,$AS$4),CP32)</f>
        <v>1088</v>
      </c>
      <c r="CQ32" s="1000" cm="1">
        <f t="array" aca="1" ref="CQ32" ca="1">IF(NPSwitch=1,_xll.TR(CQ$7,CQ$6,"Sdate=#1 Period=#2 NULL=BLANK Scale=6",,$D32,$AS$4),CQ32)</f>
        <v>599</v>
      </c>
      <c r="CS32" s="1000" cm="1">
        <f t="array" aca="1" ref="CS32" ca="1">IF(NPSwitch=1,_xll.TR(CS$7,CS$6,"Sdate=#1 Period=#2 NULL=BLANK Scale=6",,$D32,$AS$4),CS32)</f>
        <v>5535.75</v>
      </c>
      <c r="CT32" s="1000" cm="1">
        <f t="array" aca="1" ref="CT32" ca="1">IF(NPSwitch=1,_xll.TR(CT$7,CT$6,"Sdate=#1 Period=#2 NULL=BLANK Scale=6",,$D32,$AS$4),CT32)</f>
        <v>522.00625000000002</v>
      </c>
      <c r="CU32" s="1000" cm="1">
        <f t="array" aca="1" ref="CU32" ca="1">IF(NPSwitch=1,_xll.TR(CU$7,CU$6,"Sdate=#1 Period=#2 NULL=BLANK Scale=6",,$D32,$AS$4),CU32)</f>
        <v>1256.75</v>
      </c>
      <c r="CV32" s="1000" cm="1">
        <f t="array" aca="1" ref="CV32" ca="1">IF(NPSwitch=1,_xll.TR(CV$7,CV$6,"Sdate=#1 Period=#2 NULL=BLANK Scale=6",,$D32,$AS$4),CV32)</f>
        <v>570.42499999999995</v>
      </c>
      <c r="CW32" s="1000" cm="1">
        <f t="array" aca="1" ref="CW32" ca="1">IF(NPSwitch=1,_xll.TR(CW$7,CW$6,"Sdate=#1 Period=#2 NULL=BLANK Scale=6",,$D32,$AS$4),CW32)</f>
        <v>1098.95</v>
      </c>
      <c r="CX32" s="1000" cm="1">
        <f t="array" aca="1" ref="CX32" ca="1">IF(NPSwitch=1,_xll.TR(CX$7,CX$6,"Sdate=#1 Period=#2 NULL=BLANK Scale=6",,$D32,$AS$4),CX32)</f>
        <v>2557.75</v>
      </c>
      <c r="CY32" s="1000" cm="1">
        <f t="array" aca="1" ref="CY32" ca="1">IF(NPSwitch=1,_xll.TR(CY$7,CY$6,"Sdate=#1 Period=#2 NULL=BLANK Scale=6",,$D32,$AS$4),CY32)</f>
        <v>3473</v>
      </c>
      <c r="CZ32" s="1000" cm="1">
        <f t="array" aca="1" ref="CZ32" ca="1">IF(NPSwitch=1,_xll.TR(CZ$7,CZ$6,"Sdate=#1 Period=#2 NULL=BLANK Scale=6",,$D32,$AS$4),CZ32)</f>
        <v>3470</v>
      </c>
      <c r="DA32" s="1000" t="str" cm="1">
        <f t="array" aca="1" ref="DA32" ca="1">IF(NPSwitch=1,_xll.TR(DA$7,DA$6,"Sdate=#1 Period=#2 NULL=BLANK Scale=6",,$D32,$AS$4),DA32)</f>
        <v/>
      </c>
      <c r="DB32" s="1000" cm="1">
        <f t="array" aca="1" ref="DB32" ca="1">IF(NPSwitch=1,_xll.TR(DB$7,DB$6,"Sdate=#1 Period=#2 NULL=BLANK Scale=6",,$D32,$AS$4),DB32)</f>
        <v>13474.725</v>
      </c>
      <c r="DC32" s="1000" t="str" cm="1">
        <f t="array" aca="1" ref="DC32" ca="1">IF(NPSwitch=1,_xll.TR(DC$7,DC$6,"Sdate=#1 Period=#2 NULL=BLANK Scale=6",,$D32,$AS$4),DC32)</f>
        <v/>
      </c>
      <c r="DD32" s="1000" t="str" cm="1">
        <f t="array" aca="1" ref="DD32" ca="1">IF(NPSwitch=1,_xll.TR(DD$7,DD$6,"Sdate=#1 Period=#2 NULL=BLANK Scale=6",,$D32,$AS$4),DD32)</f>
        <v/>
      </c>
      <c r="DE32" s="1000" t="str" cm="1">
        <f t="array" aca="1" ref="DE32" ca="1">IF(NPSwitch=1,_xll.TR(DE$7,DE$6,"Sdate=#1 Period=#2 NULL=BLANK Scale=6",,$D32,$AS$4),DE32)</f>
        <v/>
      </c>
      <c r="DF32" s="1000" cm="1">
        <f t="array" aca="1" ref="DF32" ca="1">IF(NPSwitch=1,_xll.TR(DF$7,DF$6,"Sdate=#1 Period=#2 NULL=BLANK Scale=6",,$D32,$AS$4),DF32)</f>
        <v>570.42499999999995</v>
      </c>
      <c r="DG32" s="1000" t="str" cm="1">
        <f t="array" aca="1" ref="DG32" ca="1">IF(NPSwitch=1,_xll.TR(DG$7,DG$6,"Sdate=#1 Period=#2 NULL=BLANK Scale=6",,$D32,$AS$4),DG32)</f>
        <v/>
      </c>
      <c r="DH32" s="1000" t="str" cm="1">
        <f t="array" aca="1" ref="DH32" ca="1">IF(NPSwitch=1,_xll.TR(DH$7,DH$6,"Sdate=#1 Period=#2 NULL=BLANK Scale=6",,$D32,$AS$4),DH32)</f>
        <v/>
      </c>
    </row>
    <row r="33" spans="3:170" ht="11.25" customHeight="1">
      <c r="C33" s="971">
        <f t="shared" si="44"/>
        <v>38168</v>
      </c>
      <c r="D33" s="974">
        <f t="shared" si="43"/>
        <v>38213</v>
      </c>
      <c r="E33" s="765" cm="1">
        <f t="array" aca="1" ref="E33" ca="1">IF(NPSwitch=1,_xll.TR(E$7,E$6,"Sdate=#1 Period=#2 NULL=BLANK",,$D33,$E$4),E33)</f>
        <v>10.195943730429899</v>
      </c>
      <c r="F33" s="765" cm="1">
        <f t="array" aca="1" ref="F33" ca="1">IF(NPSwitch=1,_xll.TR(F$7,F$6,"Sdate=#1 Period=#2 NULL=BLANK",,$D33,$E$4),F33)</f>
        <v>5.8343438873004896</v>
      </c>
      <c r="G33" s="765" cm="1">
        <f t="array" aca="1" ref="G33" ca="1">IF(NPSwitch=1,_xll.TR(G$7,G$6,"Sdate=#1 Period=#2 NULL=BLANK",,$D33,$E$4),G33)</f>
        <v>10.456693501213699</v>
      </c>
      <c r="H33" s="765" cm="1">
        <f t="array" aca="1" ref="H33" ca="1">IF(NPSwitch=1,_xll.TR(H$7,H$6,"Sdate=#1 Period=#2 NULL=BLANK",,$D33,$E$4),H33)</f>
        <v>6.8207271209102398</v>
      </c>
      <c r="I33" s="765" t="str" cm="1">
        <f t="array" aca="1" ref="I33" ca="1">IF(NPSwitch=1,_xll.TR(I$7,I$6,"Sdate=#1 Period=#2 NULL=BLANK",,$D33,$E$4),I33)</f>
        <v/>
      </c>
      <c r="J33" s="765" cm="1">
        <f t="array" aca="1" ref="J33" ca="1">IF(NPSwitch=1,_xll.TR(J$7,J$6,"Sdate=#1 Period=#2 NULL=BLANK",,$D33,$E$4),J33)</f>
        <v>6.7629780774080901</v>
      </c>
      <c r="K33" s="765" cm="1">
        <f t="array" aca="1" ref="K33" ca="1">IF(NPSwitch=1,_xll.TR(K$7,K$6,"Sdate=#1 Period=#2 NULL=BLANK",,$D33,$E$4),K33)</f>
        <v>6.5953614431993604</v>
      </c>
      <c r="L33" s="765" cm="1">
        <f t="array" aca="1" ref="L33" ca="1">IF(NPSwitch=1,_xll.TR(L$7,L$6,"Sdate=#1 Period=#2 NULL=BLANK",,$D33,$E$4),L33)</f>
        <v>6.1008894224089198</v>
      </c>
      <c r="M33" s="765" cm="1">
        <f t="array" aca="1" ref="M33" ca="1">IF(NPSwitch=1,_xll.TR(M$7,M$6,"Sdate=#1 Period=#2 NULL=BLANK",,$D33,$E$4),M33)</f>
        <v>6.8471384363263397</v>
      </c>
      <c r="N33" s="1002">
        <f t="shared" ca="1" si="45"/>
        <v>7.3473299130280623</v>
      </c>
      <c r="O33" s="1000" cm="1">
        <f t="array" aca="1" ref="O33" ca="1">IF(NPSwitch=1,_xll.TR(O$7,O$6,"Sdate=#1 Period=#2 Scale=6 NULL=BLANK",,$D33,$O$4),O33)</f>
        <v>60784.738355659902</v>
      </c>
      <c r="P33" s="1000" cm="1">
        <f t="array" aca="1" ref="P33" ca="1">IF(NPSwitch=1,_xll.TR(P$7,P$6,"Sdate=#1 Period=#2 Scale=6 NULL=BLANK",,$D33,$O$4),P33)</f>
        <v>1290.6869278500001</v>
      </c>
      <c r="Q33" s="1000" cm="1">
        <f t="array" aca="1" ref="Q33" ca="1">IF(NPSwitch=1,_xll.TR(Q$7,Q$6,"Sdate=#1 Period=#2 Scale=6 NULL=BLANK",,$D33,$O$4),Q33)</f>
        <v>3487.2417422499998</v>
      </c>
      <c r="R33" s="1000" cm="1">
        <f t="array" aca="1" ref="R33" ca="1">IF(NPSwitch=1,_xll.TR(R$7,R$6,"Sdate=#1 Period=#2 Scale=6 NULL=BLANK",,$D33,$O$4),R33)</f>
        <v>613.09878816000003</v>
      </c>
      <c r="S33" s="1000" t="str" cm="1">
        <f t="array" aca="1" ref="S33" ca="1">IF(NPSwitch=1,_xll.TR(S$7,S$6,"Sdate=#1 Period=#2 Scale=6 NULL=BLANK",,$D33,$O$4),S33)</f>
        <v/>
      </c>
      <c r="T33" s="1000" cm="1">
        <f t="array" aca="1" ref="T33" ca="1">IF(NPSwitch=1,_xll.TR(T$7,T$6,"Sdate=#1 Period=#2 Scale=6 NULL=BLANK",,$D33,$O$4),T33)</f>
        <v>1531.48317</v>
      </c>
      <c r="U33" s="1000" cm="1">
        <f t="array" aca="1" ref="U33" ca="1">IF(NPSwitch=1,_xll.TR(U$7,U$6,"Sdate=#1 Period=#2 Scale=6 NULL=BLANK",,$D33,$O$4),U33)</f>
        <v>9732.1562290599995</v>
      </c>
      <c r="V33" s="1000" cm="1">
        <f t="array" aca="1" ref="V33" ca="1">IF(NPSwitch=1,_xll.TR(V$7,V$6,"Sdate=#1 Period=#2 Scale=6 NULL=BLANK",,$D33,$O$4),V33)</f>
        <v>5735.3190012428204</v>
      </c>
      <c r="W33" s="1000" cm="1">
        <f t="array" aca="1" ref="W33" ca="1">IF(NPSwitch=1,_xll.TR(W$7,W$6,"Sdate=#1 Period=#2 Scale=6 NULL=BLANK",,$D33,$O$4),W33)</f>
        <v>3341.2900675199999</v>
      </c>
      <c r="X33" s="998"/>
      <c r="Y33" s="1000" cm="1">
        <f t="array" aca="1" ref="Y33" ca="1">IF(NPSwitch=1,_xll.TR(Y$7,Y$6,"Sdate=#1 Period=#2 Scale=6 NULL=BLANK",,$D33,$O$4),Y33)</f>
        <v>1811.75</v>
      </c>
      <c r="Z33" s="1000" cm="1">
        <f t="array" aca="1" ref="Z33" ca="1">IF(NPSwitch=1,_xll.TR(Z$7,Z$6,"Sdate=#1 Period=#2 Scale=6 NULL=BLANK",,$D33,$O$4),Z33)</f>
        <v>36.283999999999999</v>
      </c>
      <c r="AA33" s="1000" cm="1">
        <f t="array" aca="1" ref="AA33" ca="1">IF(NPSwitch=1,_xll.TR(AA$7,AA$6,"Sdate=#1 Period=#2 Scale=6 NULL=BLANK",,$D33,$O$4),AA33)</f>
        <v>196.75</v>
      </c>
      <c r="AB33" s="1000" cm="1">
        <f t="array" aca="1" ref="AB33" ca="1">IF(NPSwitch=1,_xll.TR(AB$7,AB$6,"Sdate=#1 Period=#2 Scale=6 NULL=BLANK",,$D33,$O$4),AB33)</f>
        <v>52.9</v>
      </c>
      <c r="AC33" s="1000" t="str" cm="1">
        <f t="array" aca="1" ref="AC33" ca="1">IF(NPSwitch=1,_xll.TR(AC$7,AC$6,"Sdate=#1 Period=#2 Scale=6 NULL=BLANK",,$D33,$O$4),AC33)</f>
        <v/>
      </c>
      <c r="AD33" s="1000" cm="1">
        <f t="array" aca="1" ref="AD33" ca="1">IF(NPSwitch=1,_xll.TR(AD$7,AD$6,"Sdate=#1 Period=#2 Scale=6 NULL=BLANK",,$D33,$O$4),AD33)</f>
        <v>93.95</v>
      </c>
      <c r="AE33" s="1000" cm="1">
        <f t="array" aca="1" ref="AE33" ca="1">IF(NPSwitch=1,_xll.TR(AE$7,AE$6,"Sdate=#1 Period=#2 Scale=6 NULL=BLANK",,$D33,$O$4),AE33)</f>
        <v>457.75</v>
      </c>
      <c r="AF33" s="1000" cm="1">
        <f t="array" aca="1" ref="AF33" ca="1">IF(NPSwitch=1,_xll.TR(AF$7,AF$6,"Sdate=#1 Period=#2 Scale=6 NULL=BLANK",,$D33,$O$4),AF33)</f>
        <v>1027.25</v>
      </c>
      <c r="AG33" s="1000" cm="1">
        <f t="array" aca="1" ref="AG33" ca="1">IF(NPSwitch=1,_xll.TR(AG$7,AG$6,"Sdate=#1 Period=#2 Scale=6 NULL=BLANK",,$D33,$O$4),AG33)</f>
        <v>199.5</v>
      </c>
      <c r="AH33" s="998"/>
      <c r="AI33" s="1000" cm="1">
        <f t="array" aca="1" ref="AI33" ca="1">IF(NPSwitch=1,_xll.TR(AI$7,AI$6,"Sdate=#1 Period=#2 Scale=6 NULL=BLANK",,$D33,$O$4),AI33)</f>
        <v>61361.738355660003</v>
      </c>
      <c r="AJ33" s="1000" cm="1">
        <f t="array" aca="1" ref="AJ33" ca="1">IF(NPSwitch=1,_xll.TR(AJ$7,AJ$6,"Sdate=#1 Period=#2 Scale=6 NULL=BLANK",,$D33,$O$4),AJ33)</f>
        <v>1430.2829278500001</v>
      </c>
      <c r="AK33" s="1000" cm="1">
        <f t="array" aca="1" ref="AK33" ca="1">IF(NPSwitch=1,_xll.TR(AK$7,AK$6,"Sdate=#1 Period=#2 Scale=6 NULL=BLANK",,$D33,$O$4),AK33)</f>
        <v>4846.2417422500002</v>
      </c>
      <c r="AL33" s="1000" cm="1">
        <f t="array" aca="1" ref="AL33" ca="1">IF(NPSwitch=1,_xll.TR(AL$7,AL$6,"Sdate=#1 Period=#2 Scale=6 NULL=BLANK",,$D33,$O$4),AL33)</f>
        <v>1348.79878816</v>
      </c>
      <c r="AM33" s="1000" t="str" cm="1">
        <f t="array" aca="1" ref="AM33" ca="1">IF(NPSwitch=1,_xll.TR(AM$7,AM$6,"Sdate=#1 Period=#2 Scale=6 NULL=BLANK",,$D33,$O$4),AM33)</f>
        <v/>
      </c>
      <c r="AN33" s="1000" cm="1">
        <f t="array" aca="1" ref="AN33" ca="1">IF(NPSwitch=1,_xll.TR(AN$7,AN$6,"Sdate=#1 Period=#2 Scale=6 NULL=BLANK",,$D33,$O$4),AN33)</f>
        <v>2556.3831700000001</v>
      </c>
      <c r="AO33" s="1000" cm="1">
        <f t="array" aca="1" ref="AO33" ca="1">IF(NPSwitch=1,_xll.TR(AO$7,AO$6,"Sdate=#1 Period=#2 Scale=6 NULL=BLANK",,$D33,$O$4),AO33)</f>
        <v>10908.15622906</v>
      </c>
      <c r="AP33" s="1000" cm="1">
        <f t="array" aca="1" ref="AP33" ca="1">IF(NPSwitch=1,_xll.TR(AP$7,AP$6,"Sdate=#1 Period=#2 Scale=6 NULL=BLANK",,$D33,$O$4),AP33)</f>
        <v>7741.3190012429995</v>
      </c>
      <c r="AQ33" s="1000" cm="1">
        <f t="array" aca="1" ref="AQ33" ca="1">IF(NPSwitch=1,_xll.TR(AQ$7,AQ$6,"Sdate=#1 Period=#2 Scale=6 NULL=BLANK",,$D33,$O$4),AQ33)</f>
        <v>5350.2900675199999</v>
      </c>
      <c r="AS33" s="765" t="str" cm="1">
        <f t="array" aca="1" ref="AS33" ca="1">IF(NPSwitch=1,_xll.TR(AS$7,AS$6,"Sdate=#1 Period=#2 NULL=BLANK Scale=6",,$D33,$AS$4),AS33)</f>
        <v/>
      </c>
      <c r="AT33" s="765" t="str" cm="1">
        <f t="array" aca="1" ref="AT33" ca="1">IF(NPSwitch=1,_xll.TR(AT$7,AT$6,"Sdate=#1 Period=#2 NULL=BLANK Scale=6",,$D33,$AS$4),AT33)</f>
        <v/>
      </c>
      <c r="AU33" s="765" t="str" cm="1">
        <f t="array" aca="1" ref="AU33" ca="1">IF(NPSwitch=1,_xll.TR(AU$7,AU$6,"Sdate=#1 Period=#2 NULL=BLANK Scale=6",,$D33,$AS$4),AU33)</f>
        <v/>
      </c>
      <c r="AV33" s="765" t="str" cm="1">
        <f t="array" aca="1" ref="AV33" ca="1">IF(NPSwitch=1,_xll.TR(AV$7,AV$6,"Sdate=#1 Period=#2 NULL=BLANK Scale=6",,$D33,$AS$4),AV33)</f>
        <v/>
      </c>
      <c r="AW33" s="765" t="str" cm="1">
        <f t="array" aca="1" ref="AW33" ca="1">IF(NPSwitch=1,_xll.TR(AW$7,AW$6,"Sdate=#1 Period=#2 NULL=BLANK Scale=6",,$D33,$AS$4),AW33)</f>
        <v/>
      </c>
      <c r="AX33" s="765" t="str" cm="1">
        <f t="array" aca="1" ref="AX33" ca="1">IF(NPSwitch=1,_xll.TR(AX$7,AX$6,"Sdate=#1 Period=#2 NULL=BLANK Scale=6",,$D33,$AS$4),AX33)</f>
        <v/>
      </c>
      <c r="AY33" s="765" t="str" cm="1">
        <f t="array" aca="1" ref="AY33" ca="1">IF(NPSwitch=1,_xll.TR(AY$7,AY$6,"Sdate=#1 Period=#2 NULL=BLANK Scale=6",,$D33,$AS$4),AY33)</f>
        <v/>
      </c>
      <c r="AZ33" s="765" t="str" cm="1">
        <f t="array" aca="1" ref="AZ33" ca="1">IF(NPSwitch=1,_xll.TR(AZ$7,AZ$6,"Sdate=#1 Period=#2 NULL=BLANK Scale=6",,$D33,$AS$4),AZ33)</f>
        <v/>
      </c>
      <c r="BA33" s="765" t="str" cm="1">
        <f t="array" aca="1" ref="BA33" ca="1">IF(NPSwitch=1,_xll.TR(BA$7,BA$6,"Sdate=#1 Period=#2 NULL=BLANK Scale=6",,$D33,$AS$4),BA33)</f>
        <v/>
      </c>
      <c r="BC33" s="765" cm="1">
        <f t="array" aca="1" ref="BC33" ca="1">IF(NPSwitch=1,_xll.TR(BC$7,BC$6,"Sdate=#1 Period=#2 NULL=BLANK",,$D33,$BC$4),BC33)</f>
        <v>11.663512327999999</v>
      </c>
      <c r="BD33" s="765" cm="1">
        <f t="array" aca="1" ref="BD33" ca="1">IF(NPSwitch=1,_xll.TR(BD$7,BD$6,"Sdate=#1 Period=#2 NULL=BLANK",,$D33,$BC$4),BD33)</f>
        <v>7.4781343280000003</v>
      </c>
      <c r="BE33" s="765" cm="1">
        <f t="array" aca="1" ref="BE33" ca="1">IF(NPSwitch=1,_xll.TR(BE$7,BE$6,"Sdate=#1 Period=#2 NULL=BLANK",,$D33,$BC$4),BE33)</f>
        <v>6.8353198060000002</v>
      </c>
      <c r="BF33" s="765" cm="1">
        <f t="array" aca="1" ref="BF33" ca="1">IF(NPSwitch=1,_xll.TR(BF$7,BF$6,"Sdate=#1 Period=#2 NULL=BLANK",,$D33,$BC$4),BF33)</f>
        <v>13.487987882000001</v>
      </c>
      <c r="BG33" s="765" t="str" cm="1">
        <f t="array" aca="1" ref="BG33" ca="1">IF(NPSwitch=1,_xll.TR(BG$7,BG$6,"Sdate=#1 Period=#2 NULL=BLANK",,$D33,$BC$4),BG33)</f>
        <v/>
      </c>
      <c r="BH33" s="765" cm="1">
        <f t="array" aca="1" ref="BH33" ca="1">IF(NPSwitch=1,_xll.TR(BH$7,BH$6,"Sdate=#1 Period=#2 NULL=BLANK",,$D33,$BC$4),BH33)</f>
        <v>7.2727828450000001</v>
      </c>
      <c r="BI33" s="765" cm="1">
        <f t="array" aca="1" ref="BI33" ca="1">IF(NPSwitch=1,_xll.TR(BI$7,BI$6,"Sdate=#1 Period=#2 NULL=BLANK",,$D33,$BC$4),BI33)</f>
        <v>7.4662260290000004</v>
      </c>
      <c r="BJ33" s="765" cm="1">
        <f t="array" aca="1" ref="BJ33" ca="1">IF(NPSwitch=1,_xll.TR(BJ$7,BJ$6,"Sdate=#1 Period=#2 NULL=BLANK",,$D33,$BC$4),BJ33)</f>
        <v>6.802565027</v>
      </c>
      <c r="BK33" s="765" cm="1">
        <f t="array" aca="1" ref="BK33" ca="1">IF(NPSwitch=1,_xll.TR(BK$7,BK$6,"Sdate=#1 Period=#2 NULL=BLANK",,$D33,$BC$4),BK33)</f>
        <v>8.7423040319999998</v>
      </c>
      <c r="BO33" s="765" cm="1">
        <f t="array" aca="1" ref="BO33" ca="1">IF(NPSwitch=1,_xll.TR(BO$7,BO$6,"Sdate=#1 Period=#2 NULL=BLANK Scale=6",,$D33,$AS$4),BO33)</f>
        <v>19285</v>
      </c>
      <c r="BP33" s="765" cm="1">
        <f t="array" aca="1" ref="BP33" ca="1">IF(NPSwitch=1,_xll.TR(BP$7,BP$6,"Sdate=#1 Period=#2 NULL=BLANK Scale=6",,$D33,$AS$4),BP33)</f>
        <v>1220.443</v>
      </c>
      <c r="BQ33" s="765" cm="1">
        <f t="array" aca="1" ref="BQ33" ca="1">IF(NPSwitch=1,_xll.TR(BQ$7,BQ$6,"Sdate=#1 Period=#2 NULL=BLANK Scale=6",,$D33,$AS$4),BQ33)</f>
        <v>8109</v>
      </c>
      <c r="BR33" s="765" cm="1">
        <f t="array" aca="1" ref="BR33" ca="1">IF(NPSwitch=1,_xll.TR(BR$7,BR$6,"Sdate=#1 Period=#2 NULL=BLANK Scale=6",,$D33,$AS$4),BR33)</f>
        <v>2060.6999999999998</v>
      </c>
      <c r="BS33" s="765" t="str" cm="1">
        <f t="array" aca="1" ref="BS33" ca="1">IF(NPSwitch=1,_xll.TR(BS$7,BS$6,"Sdate=#1 Period=#2 NULL=BLANK Scale=6",,$D33,$AS$4),BS33)</f>
        <v/>
      </c>
      <c r="BT33" s="765" cm="1">
        <f t="array" aca="1" ref="BT33" ca="1">IF(NPSwitch=1,_xll.TR(BT$7,BT$6,"Sdate=#1 Period=#2 NULL=BLANK Scale=6",,$D33,$AS$4),BT33)</f>
        <v>2017.4</v>
      </c>
      <c r="BU33" s="765" cm="1">
        <f t="array" aca="1" ref="BU33" ca="1">IF(NPSwitch=1,_xll.TR(BU$7,BU$6,"Sdate=#1 Period=#2 NULL=BLANK Scale=6",,$D33,$AS$4),BU33)</f>
        <v>9074</v>
      </c>
      <c r="BV33" s="765" cm="1">
        <f t="array" aca="1" ref="BV33" ca="1">IF(NPSwitch=1,_xll.TR(BV$7,BV$6,"Sdate=#1 Period=#2 NULL=BLANK Scale=6",,$D33,$AS$4),BV33)</f>
        <v>7382</v>
      </c>
      <c r="BW33" s="765" cm="1">
        <f t="array" aca="1" ref="BW33" ca="1">IF(NPSwitch=1,_xll.TR(BW$7,BW$6,"Sdate=#1 Period=#2 NULL=BLANK Scale=6",,$D33,$AS$4),BW33)</f>
        <v>6151</v>
      </c>
      <c r="BY33" s="765" cm="1">
        <f t="array" aca="1" ref="BY33" ca="1">IF(NPSwitch=1,_xll.TR(BY$7,BY$6,"Sdate=#1 Period=#2 NULL=BLANK Scale=6",,$D33,$AS$4),BY33)</f>
        <v>10841.5</v>
      </c>
      <c r="BZ33" s="765" cm="1">
        <f t="array" aca="1" ref="BZ33" ca="1">IF(NPSwitch=1,_xll.TR(BZ$7,BZ$6,"Sdate=#1 Period=#2 NULL=BLANK Scale=6",,$D33,$AS$4),BZ33)</f>
        <v>845.85325</v>
      </c>
      <c r="CA33" s="765" cm="1">
        <f t="array" aca="1" ref="CA33" ca="1">IF(NPSwitch=1,_xll.TR(CA$7,CA$6,"Sdate=#1 Period=#2 NULL=BLANK Scale=6",,$D33,$AS$4),CA33)</f>
        <v>3922.5</v>
      </c>
      <c r="CB33" s="765" cm="1">
        <f t="array" aca="1" ref="CB33" ca="1">IF(NPSwitch=1,_xll.TR(CB$7,CB$6,"Sdate=#1 Period=#2 NULL=BLANK Scale=6",,$D33,$AS$4),CB33)</f>
        <v>1205.625</v>
      </c>
      <c r="CC33" s="765" t="str" cm="1">
        <f t="array" aca="1" ref="CC33" ca="1">IF(NPSwitch=1,_xll.TR(CC$7,CC$6,"Sdate=#1 Period=#2 NULL=BLANK Scale=6",,$D33,$AS$4),CC33)</f>
        <v/>
      </c>
      <c r="CD33" s="765" cm="1">
        <f t="array" aca="1" ref="CD33" ca="1">IF(NPSwitch=1,_xll.TR(CD$7,CD$6,"Sdate=#1 Period=#2 NULL=BLANK Scale=6",,$D33,$AS$4),CD33)</f>
        <v>1714.325</v>
      </c>
      <c r="CE33" s="765" cm="1">
        <f t="array" aca="1" ref="CE33" ca="1">IF(NPSwitch=1,_xll.TR(CE$7,CE$6,"Sdate=#1 Period=#2 NULL=BLANK Scale=6",,$D33,$AS$4),CE33)</f>
        <v>4674</v>
      </c>
      <c r="CF33" s="765" cm="1">
        <f t="array" aca="1" ref="CF33" ca="1">IF(NPSwitch=1,_xll.TR(CF$7,CF$6,"Sdate=#1 Period=#2 NULL=BLANK Scale=6",,$D33,$AS$4),CF33)</f>
        <v>5871.5</v>
      </c>
      <c r="CG33" s="765" cm="1">
        <f t="array" aca="1" ref="CG33" ca="1">IF(NPSwitch=1,_xll.TR(CG$7,CG$6,"Sdate=#1 Period=#2 NULL=BLANK Scale=6",,$D33,$AS$4),CG33)</f>
        <v>3310</v>
      </c>
      <c r="CI33" s="1000" cm="1">
        <f t="array" aca="1" ref="CI33" ca="1">IF(NPSwitch=1,_xll.TR(CI$7,CI$6,"Sdate=#1 Period=#2 NULL=BLANK Scale=6",,$D33,$AS$4),CI33)</f>
        <v>5261</v>
      </c>
      <c r="CJ33" s="1000" cm="1">
        <f t="array" aca="1" ref="CJ33" ca="1">IF(NPSwitch=1,_xll.TR(CJ$7,CJ$6,"Sdate=#1 Period=#2 NULL=BLANK Scale=6",,$D33,$AS$4),CJ33)</f>
        <v>191.262</v>
      </c>
      <c r="CK33" s="1000" cm="1">
        <f t="array" aca="1" ref="CK33" ca="1">IF(NPSwitch=1,_xll.TR(CK$7,CK$6,"Sdate=#1 Period=#2 NULL=BLANK Scale=6",,$D33,$AS$4),CK33)</f>
        <v>709</v>
      </c>
      <c r="CL33" s="1000" cm="1">
        <f t="array" aca="1" ref="CL33" ca="1">IF(NPSwitch=1,_xll.TR(CL$7,CL$6,"Sdate=#1 Period=#2 NULL=BLANK Scale=6",,$D33,$AS$4),CL33)</f>
        <v>100</v>
      </c>
      <c r="CM33" s="1000" t="str" cm="1">
        <f t="array" aca="1" ref="CM33" ca="1">IF(NPSwitch=1,_xll.TR(CM$7,CM$6,"Sdate=#1 Period=#2 NULL=BLANK Scale=6",,$D33,$AS$4),CM33)</f>
        <v/>
      </c>
      <c r="CN33" s="1000" cm="1">
        <f t="array" aca="1" ref="CN33" ca="1">IF(NPSwitch=1,_xll.TR(CN$7,CN$6,"Sdate=#1 Period=#2 NULL=BLANK Scale=6",,$D33,$AS$4),CN33)</f>
        <v>351.5</v>
      </c>
      <c r="CO33" s="1000" cm="1">
        <f t="array" aca="1" ref="CO33" ca="1">IF(NPSwitch=1,_xll.TR(CO$7,CO$6,"Sdate=#1 Period=#2 NULL=BLANK Scale=6",,$D33,$AS$4),CO33)</f>
        <v>1461</v>
      </c>
      <c r="CP33" s="1000" cm="1">
        <f t="array" aca="1" ref="CP33" ca="1">IF(NPSwitch=1,_xll.TR(CP$7,CP$6,"Sdate=#1 Period=#2 NULL=BLANK Scale=6",,$D33,$AS$4),CP33)</f>
        <v>1148</v>
      </c>
      <c r="CQ33" s="1000" cm="1">
        <f t="array" aca="1" ref="CQ33" ca="1">IF(NPSwitch=1,_xll.TR(CQ$7,CQ$6,"Sdate=#1 Period=#2 NULL=BLANK Scale=6",,$D33,$AS$4),CQ33)</f>
        <v>612</v>
      </c>
      <c r="CS33" s="1000" cm="1">
        <f t="array" aca="1" ref="CS33" ca="1">IF(NPSwitch=1,_xll.TR(CS$7,CS$6,"Sdate=#1 Period=#2 NULL=BLANK Scale=6",,$D33,$AS$4),CS33)</f>
        <v>5511</v>
      </c>
      <c r="CT33" s="1000" cm="1">
        <f t="array" aca="1" ref="CT33" ca="1">IF(NPSwitch=1,_xll.TR(CT$7,CT$6,"Sdate=#1 Period=#2 NULL=BLANK Scale=6",,$D33,$AS$4),CT33)</f>
        <v>520.48074999999994</v>
      </c>
      <c r="CU33" s="1000" cm="1">
        <f t="array" aca="1" ref="CU33" ca="1">IF(NPSwitch=1,_xll.TR(CU$7,CU$6,"Sdate=#1 Period=#2 NULL=BLANK Scale=6",,$D33,$AS$4),CU33)</f>
        <v>1255.25</v>
      </c>
      <c r="CV33" s="1000" cm="1">
        <f t="array" aca="1" ref="CV33" ca="1">IF(NPSwitch=1,_xll.TR(CV$7,CV$6,"Sdate=#1 Period=#2 NULL=BLANK Scale=6",,$D33,$AS$4),CV33)</f>
        <v>513.52499999999998</v>
      </c>
      <c r="CW33" s="1000" cm="1">
        <f t="array" aca="1" ref="CW33" ca="1">IF(NPSwitch=1,_xll.TR(CW$7,CW$6,"Sdate=#1 Period=#2 NULL=BLANK Scale=6",,$D33,$AS$4),CW33)</f>
        <v>1098.825</v>
      </c>
      <c r="CX33" s="1000" cm="1">
        <f t="array" aca="1" ref="CX33" ca="1">IF(NPSwitch=1,_xll.TR(CX$7,CX$6,"Sdate=#1 Period=#2 NULL=BLANK Scale=6",,$D33,$AS$4),CX33)</f>
        <v>2518.5</v>
      </c>
      <c r="CY33" s="1000" cm="1">
        <f t="array" aca="1" ref="CY33" ca="1">IF(NPSwitch=1,_xll.TR(CY$7,CY$6,"Sdate=#1 Period=#2 NULL=BLANK Scale=6",,$D33,$AS$4),CY33)</f>
        <v>3476.5</v>
      </c>
      <c r="CZ33" s="1000" cm="1">
        <f t="array" aca="1" ref="CZ33" ca="1">IF(NPSwitch=1,_xll.TR(CZ$7,CZ$6,"Sdate=#1 Period=#2 NULL=BLANK Scale=6",,$D33,$AS$4),CZ33)</f>
        <v>3347.25</v>
      </c>
      <c r="DA33" s="1000" t="str" cm="1">
        <f t="array" aca="1" ref="DA33" ca="1">IF(NPSwitch=1,_xll.TR(DA$7,DA$6,"Sdate=#1 Period=#2 NULL=BLANK Scale=6",,$D33,$AS$4),DA33)</f>
        <v/>
      </c>
      <c r="DB33" s="1000" cm="1">
        <f t="array" aca="1" ref="DB33" ca="1">IF(NPSwitch=1,_xll.TR(DB$7,DB$6,"Sdate=#1 Period=#2 NULL=BLANK Scale=6",,$D33,$AS$4),DB33)</f>
        <v>13526.475</v>
      </c>
      <c r="DC33" s="1000" t="str" cm="1">
        <f t="array" aca="1" ref="DC33" ca="1">IF(NPSwitch=1,_xll.TR(DC$7,DC$6,"Sdate=#1 Period=#2 NULL=BLANK Scale=6",,$D33,$AS$4),DC33)</f>
        <v/>
      </c>
      <c r="DD33" s="1000" t="str" cm="1">
        <f t="array" aca="1" ref="DD33" ca="1">IF(NPSwitch=1,_xll.TR(DD$7,DD$6,"Sdate=#1 Period=#2 NULL=BLANK Scale=6",,$D33,$AS$4),DD33)</f>
        <v/>
      </c>
      <c r="DE33" s="1000" t="str" cm="1">
        <f t="array" aca="1" ref="DE33" ca="1">IF(NPSwitch=1,_xll.TR(DE$7,DE$6,"Sdate=#1 Period=#2 NULL=BLANK Scale=6",,$D33,$AS$4),DE33)</f>
        <v/>
      </c>
      <c r="DF33" s="1000" cm="1">
        <f t="array" aca="1" ref="DF33" ca="1">IF(NPSwitch=1,_xll.TR(DF$7,DF$6,"Sdate=#1 Period=#2 NULL=BLANK Scale=6",,$D33,$AS$4),DF33)</f>
        <v>513.52499999999998</v>
      </c>
      <c r="DG33" s="1000" t="str" cm="1">
        <f t="array" aca="1" ref="DG33" ca="1">IF(NPSwitch=1,_xll.TR(DG$7,DG$6,"Sdate=#1 Period=#2 NULL=BLANK Scale=6",,$D33,$AS$4),DG33)</f>
        <v/>
      </c>
      <c r="DH33" s="1000" t="str" cm="1">
        <f t="array" aca="1" ref="DH33" ca="1">IF(NPSwitch=1,_xll.TR(DH$7,DH$6,"Sdate=#1 Period=#2 NULL=BLANK Scale=6",,$D33,$AS$4),DH33)</f>
        <v/>
      </c>
    </row>
    <row r="34" spans="3:170" ht="11.25" customHeight="1">
      <c r="C34" s="972">
        <f t="shared" si="44"/>
        <v>38260</v>
      </c>
      <c r="D34" s="974">
        <f t="shared" si="43"/>
        <v>38305</v>
      </c>
      <c r="E34" s="765" cm="1">
        <f t="array" aca="1" ref="E34" ca="1">IF(NPSwitch=1,_xll.TR(E$7,E$6,"Sdate=#1 Period=#2 NULL=BLANK",,$D34,$E$4),E34)</f>
        <v>10.4149045273669</v>
      </c>
      <c r="F34" s="765" cm="1">
        <f t="array" aca="1" ref="F34" ca="1">IF(NPSwitch=1,_xll.TR(F$7,F$6,"Sdate=#1 Period=#2 NULL=BLANK",,$D34,$E$4),F34)</f>
        <v>9.1317290622600495</v>
      </c>
      <c r="G34" s="765" cm="1">
        <f t="array" aca="1" ref="G34" ca="1">IF(NPSwitch=1,_xll.TR(G$7,G$6,"Sdate=#1 Period=#2 NULL=BLANK",,$D34,$E$4),G34)</f>
        <v>10.2262772891974</v>
      </c>
      <c r="H34" s="765" cm="1">
        <f t="array" aca="1" ref="H34" ca="1">IF(NPSwitch=1,_xll.TR(H$7,H$6,"Sdate=#1 Period=#2 NULL=BLANK",,$D34,$E$4),H34)</f>
        <v>6.5177076089283696</v>
      </c>
      <c r="I34" s="765" t="str" cm="1">
        <f t="array" aca="1" ref="I34" ca="1">IF(NPSwitch=1,_xll.TR(I$7,I$6,"Sdate=#1 Period=#2 NULL=BLANK",,$D34,$E$4),I34)</f>
        <v/>
      </c>
      <c r="J34" s="765" cm="1">
        <f t="array" aca="1" ref="J34" ca="1">IF(NPSwitch=1,_xll.TR(J$7,J$6,"Sdate=#1 Period=#2 NULL=BLANK",,$D34,$E$4),J34)</f>
        <v>7.0963120579702599</v>
      </c>
      <c r="K34" s="765" cm="1">
        <f t="array" aca="1" ref="K34" ca="1">IF(NPSwitch=1,_xll.TR(K$7,K$6,"Sdate=#1 Period=#2 NULL=BLANK",,$D34,$E$4),K34)</f>
        <v>7.31864340959884</v>
      </c>
      <c r="L34" s="765" cm="1">
        <f t="array" aca="1" ref="L34" ca="1">IF(NPSwitch=1,_xll.TR(L$7,L$6,"Sdate=#1 Period=#2 NULL=BLANK",,$D34,$E$4),L34)</f>
        <v>6.8905219958083697</v>
      </c>
      <c r="M34" s="765" cm="1">
        <f t="array" aca="1" ref="M34" ca="1">IF(NPSwitch=1,_xll.TR(M$7,M$6,"Sdate=#1 Period=#2 NULL=BLANK",,$D34,$E$4),M34)</f>
        <v>7.1984570420328797</v>
      </c>
      <c r="N34" s="1002">
        <f t="shared" ca="1" si="45"/>
        <v>7.6098924723006478</v>
      </c>
      <c r="O34" s="1000" cm="1">
        <f t="array" aca="1" ref="O34" ca="1">IF(NPSwitch=1,_xll.TR(O$7,O$6,"Sdate=#1 Period=#2 Scale=6 NULL=BLANK",,$D34,$O$4),O34)</f>
        <v>64369.172765039999</v>
      </c>
      <c r="P34" s="1000" cm="1">
        <f t="array" aca="1" ref="P34" ca="1">IF(NPSwitch=1,_xll.TR(P$7,P$6,"Sdate=#1 Period=#2 Scale=6 NULL=BLANK",,$D34,$O$4),P34)</f>
        <v>1633.0912863999999</v>
      </c>
      <c r="Q34" s="1000" cm="1">
        <f t="array" aca="1" ref="Q34" ca="1">IF(NPSwitch=1,_xll.TR(Q$7,Q$6,"Sdate=#1 Period=#2 Scale=6 NULL=BLANK",,$D34,$O$4),Q34)</f>
        <v>4109.7858152500003</v>
      </c>
      <c r="R34" s="1000" cm="1">
        <f t="array" aca="1" ref="R34" ca="1">IF(NPSwitch=1,_xll.TR(R$7,R$6,"Sdate=#1 Period=#2 Scale=6 NULL=BLANK",,$D34,$O$4),R34)</f>
        <v>816.29976284999998</v>
      </c>
      <c r="S34" s="1000" t="str" cm="1">
        <f t="array" aca="1" ref="S34" ca="1">IF(NPSwitch=1,_xll.TR(S$7,S$6,"Sdate=#1 Period=#2 Scale=6 NULL=BLANK",,$D34,$O$4),S34)</f>
        <v/>
      </c>
      <c r="T34" s="1000" cm="1">
        <f t="array" aca="1" ref="T34" ca="1">IF(NPSwitch=1,_xll.TR(T$7,T$6,"Sdate=#1 Period=#2 Scale=6 NULL=BLANK",,$D34,$O$4),T34)</f>
        <v>1791.17527352</v>
      </c>
      <c r="U34" s="1000" cm="1">
        <f t="array" aca="1" ref="U34" ca="1">IF(NPSwitch=1,_xll.TR(U$7,U$6,"Sdate=#1 Period=#2 Scale=6 NULL=BLANK",,$D34,$O$4),U34)</f>
        <v>11515.140741720001</v>
      </c>
      <c r="V34" s="1000" cm="1">
        <f t="array" aca="1" ref="V34" ca="1">IF(NPSwitch=1,_xll.TR(V$7,V$6,"Sdate=#1 Period=#2 Scale=6 NULL=BLANK",,$D34,$O$4),V34)</f>
        <v>7039.3760809956102</v>
      </c>
      <c r="W34" s="1000" cm="1">
        <f t="array" aca="1" ref="W34" ca="1">IF(NPSwitch=1,_xll.TR(W$7,W$6,"Sdate=#1 Period=#2 Scale=6 NULL=BLANK",,$D34,$O$4),W34)</f>
        <v>3977.4935569600002</v>
      </c>
      <c r="X34" s="998"/>
      <c r="Y34" s="1000" cm="1">
        <f t="array" aca="1" ref="Y34" ca="1">IF(NPSwitch=1,_xll.TR(Y$7,Y$6,"Sdate=#1 Period=#2 Scale=6 NULL=BLANK",,$D34,$O$4),Y34)</f>
        <v>2042</v>
      </c>
      <c r="Z34" s="1000" cm="1">
        <f t="array" aca="1" ref="Z34" ca="1">IF(NPSwitch=1,_xll.TR(Z$7,Z$6,"Sdate=#1 Period=#2 Scale=6 NULL=BLANK",,$D34,$O$4),Z34)</f>
        <v>46.290999999999997</v>
      </c>
      <c r="AA34" s="1000" cm="1">
        <f t="array" aca="1" ref="AA34" ca="1">IF(NPSwitch=1,_xll.TR(AA$7,AA$6,"Sdate=#1 Period=#2 Scale=6 NULL=BLANK",,$D34,$O$4),AA34)</f>
        <v>201.75</v>
      </c>
      <c r="AB34" s="1000" cm="1">
        <f t="array" aca="1" ref="AB34" ca="1">IF(NPSwitch=1,_xll.TR(AB$7,AB$6,"Sdate=#1 Period=#2 Scale=6 NULL=BLANK",,$D34,$O$4),AB34)</f>
        <v>68.974999999999994</v>
      </c>
      <c r="AC34" s="1000" t="str" cm="1">
        <f t="array" aca="1" ref="AC34" ca="1">IF(NPSwitch=1,_xll.TR(AC$7,AC$6,"Sdate=#1 Period=#2 Scale=6 NULL=BLANK",,$D34,$O$4),AC34)</f>
        <v/>
      </c>
      <c r="AD34" s="1000" cm="1">
        <f t="array" aca="1" ref="AD34" ca="1">IF(NPSwitch=1,_xll.TR(AD$7,AD$6,"Sdate=#1 Period=#2 Scale=6 NULL=BLANK",,$D34,$O$4),AD34)</f>
        <v>101.97499999999999</v>
      </c>
      <c r="AE34" s="1000" cm="1">
        <f t="array" aca="1" ref="AE34" ca="1">IF(NPSwitch=1,_xll.TR(AE$7,AE$6,"Sdate=#1 Period=#2 Scale=6 NULL=BLANK",,$D34,$O$4),AE34)</f>
        <v>527.25</v>
      </c>
      <c r="AF34" s="1000" cm="1">
        <f t="array" aca="1" ref="AF34" ca="1">IF(NPSwitch=1,_xll.TR(AF$7,AF$6,"Sdate=#1 Period=#2 Scale=6 NULL=BLANK",,$D34,$O$4),AF34)</f>
        <v>1230.5</v>
      </c>
      <c r="AG34" s="1000" cm="1">
        <f t="array" aca="1" ref="AG34" ca="1">IF(NPSwitch=1,_xll.TR(AG$7,AG$6,"Sdate=#1 Period=#2 Scale=6 NULL=BLANK",,$D34,$O$4),AG34)</f>
        <v>231</v>
      </c>
      <c r="AH34" s="998"/>
      <c r="AI34" s="1000" cm="1">
        <f t="array" aca="1" ref="AI34" ca="1">IF(NPSwitch=1,_xll.TR(AI$7,AI$6,"Sdate=#1 Period=#2 Scale=6 NULL=BLANK",,$D34,$O$4),AI34)</f>
        <v>65060.172765039999</v>
      </c>
      <c r="AJ34" s="1000" cm="1">
        <f t="array" aca="1" ref="AJ34" ca="1">IF(NPSwitch=1,_xll.TR(AJ$7,AJ$6,"Sdate=#1 Period=#2 Scale=6 NULL=BLANK",,$D34,$O$4),AJ34)</f>
        <v>2527.2592863999998</v>
      </c>
      <c r="AK34" s="1000" cm="1">
        <f t="array" aca="1" ref="AK34" ca="1">IF(NPSwitch=1,_xll.TR(AK$7,AK$6,"Sdate=#1 Period=#2 Scale=6 NULL=BLANK",,$D34,$O$4),AK34)</f>
        <v>5468.7858152500003</v>
      </c>
      <c r="AL34" s="1000" cm="1">
        <f t="array" aca="1" ref="AL34" ca="1">IF(NPSwitch=1,_xll.TR(AL$7,AL$6,"Sdate=#1 Period=#2 Scale=6 NULL=BLANK",,$D34,$O$4),AL34)</f>
        <v>1430.79976285</v>
      </c>
      <c r="AM34" s="1000" t="str" cm="1">
        <f t="array" aca="1" ref="AM34" ca="1">IF(NPSwitch=1,_xll.TR(AM$7,AM$6,"Sdate=#1 Period=#2 Scale=6 NULL=BLANK",,$D34,$O$4),AM34)</f>
        <v/>
      </c>
      <c r="AN34" s="1000" cm="1">
        <f t="array" aca="1" ref="AN34" ca="1">IF(NPSwitch=1,_xll.TR(AN$7,AN$6,"Sdate=#1 Period=#2 Scale=6 NULL=BLANK",,$D34,$O$4),AN34)</f>
        <v>2707.7752735200002</v>
      </c>
      <c r="AO34" s="1000" cm="1">
        <f t="array" aca="1" ref="AO34" ca="1">IF(NPSwitch=1,_xll.TR(AO$7,AO$6,"Sdate=#1 Period=#2 Scale=6 NULL=BLANK",,$D34,$O$4),AO34)</f>
        <v>12433.140741720001</v>
      </c>
      <c r="AP34" s="1000" cm="1">
        <f t="array" aca="1" ref="AP34" ca="1">IF(NPSwitch=1,_xll.TR(AP$7,AP$6,"Sdate=#1 Period=#2 Scale=6 NULL=BLANK",,$D34,$O$4),AP34)</f>
        <v>8894.3760809960004</v>
      </c>
      <c r="AQ34" s="1000" cm="1">
        <f t="array" aca="1" ref="AQ34" ca="1">IF(NPSwitch=1,_xll.TR(AQ$7,AQ$6,"Sdate=#1 Period=#2 Scale=6 NULL=BLANK",,$D34,$O$4),AQ34)</f>
        <v>5865.4935569600002</v>
      </c>
      <c r="AS34" s="765" t="str" cm="1">
        <f t="array" aca="1" ref="AS34" ca="1">IF(NPSwitch=1,_xll.TR(AS$7,AS$6,"Sdate=#1 Period=#2 NULL=BLANK Scale=6",,$D34,$AS$4),AS34)</f>
        <v/>
      </c>
      <c r="AT34" s="765" t="str" cm="1">
        <f t="array" aca="1" ref="AT34" ca="1">IF(NPSwitch=1,_xll.TR(AT$7,AT$6,"Sdate=#1 Period=#2 NULL=BLANK Scale=6",,$D34,$AS$4),AT34)</f>
        <v/>
      </c>
      <c r="AU34" s="765" t="str" cm="1">
        <f t="array" aca="1" ref="AU34" ca="1">IF(NPSwitch=1,_xll.TR(AU$7,AU$6,"Sdate=#1 Period=#2 NULL=BLANK Scale=6",,$D34,$AS$4),AU34)</f>
        <v/>
      </c>
      <c r="AV34" s="765" t="str" cm="1">
        <f t="array" aca="1" ref="AV34" ca="1">IF(NPSwitch=1,_xll.TR(AV$7,AV$6,"Sdate=#1 Period=#2 NULL=BLANK Scale=6",,$D34,$AS$4),AV34)</f>
        <v/>
      </c>
      <c r="AW34" s="765" t="str" cm="1">
        <f t="array" aca="1" ref="AW34" ca="1">IF(NPSwitch=1,_xll.TR(AW$7,AW$6,"Sdate=#1 Period=#2 NULL=BLANK Scale=6",,$D34,$AS$4),AW34)</f>
        <v/>
      </c>
      <c r="AX34" s="765" t="str" cm="1">
        <f t="array" aca="1" ref="AX34" ca="1">IF(NPSwitch=1,_xll.TR(AX$7,AX$6,"Sdate=#1 Period=#2 NULL=BLANK Scale=6",,$D34,$AS$4),AX34)</f>
        <v/>
      </c>
      <c r="AY34" s="765" t="str" cm="1">
        <f t="array" aca="1" ref="AY34" ca="1">IF(NPSwitch=1,_xll.TR(AY$7,AY$6,"Sdate=#1 Period=#2 NULL=BLANK Scale=6",,$D34,$AS$4),AY34)</f>
        <v/>
      </c>
      <c r="AZ34" s="765" t="str" cm="1">
        <f t="array" aca="1" ref="AZ34" ca="1">IF(NPSwitch=1,_xll.TR(AZ$7,AZ$6,"Sdate=#1 Period=#2 NULL=BLANK Scale=6",,$D34,$AS$4),AZ34)</f>
        <v/>
      </c>
      <c r="BA34" s="765" t="str" cm="1">
        <f t="array" aca="1" ref="BA34" ca="1">IF(NPSwitch=1,_xll.TR(BA$7,BA$6,"Sdate=#1 Period=#2 NULL=BLANK Scale=6",,$D34,$AS$4),BA34)</f>
        <v/>
      </c>
      <c r="BC34" s="765" cm="1">
        <f t="array" aca="1" ref="BC34" ca="1">IF(NPSwitch=1,_xll.TR(BC$7,BC$6,"Sdate=#1 Period=#2 NULL=BLANK",,$D34,$BC$4),BC34)</f>
        <v>12.014805681</v>
      </c>
      <c r="BD34" s="765" cm="1">
        <f t="array" aca="1" ref="BD34" ca="1">IF(NPSwitch=1,_xll.TR(BD$7,BD$6,"Sdate=#1 Period=#2 NULL=BLANK",,$D34,$BC$4),BD34)</f>
        <v>11.996806653</v>
      </c>
      <c r="BE34" s="765" cm="1">
        <f t="array" aca="1" ref="BE34" ca="1">IF(NPSwitch=1,_xll.TR(BE$7,BE$6,"Sdate=#1 Period=#2 NULL=BLANK",,$D34,$BC$4),BE34)</f>
        <v>7.7133791470000004</v>
      </c>
      <c r="BF34" s="765" cm="1">
        <f t="array" aca="1" ref="BF34" ca="1">IF(NPSwitch=1,_xll.TR(BF$7,BF$6,"Sdate=#1 Period=#2 NULL=BLANK",,$D34,$BC$4),BF34)</f>
        <v>10.913804446</v>
      </c>
      <c r="BG34" s="765" t="str" cm="1">
        <f t="array" aca="1" ref="BG34" ca="1">IF(NPSwitch=1,_xll.TR(BG$7,BG$6,"Sdate=#1 Period=#2 NULL=BLANK",,$D34,$BC$4),BG34)</f>
        <v/>
      </c>
      <c r="BH34" s="765" cm="1">
        <f t="array" aca="1" ref="BH34" ca="1">IF(NPSwitch=1,_xll.TR(BH$7,BH$6,"Sdate=#1 Period=#2 NULL=BLANK",,$D34,$BC$4),BH34)</f>
        <v>7.5299646090000003</v>
      </c>
      <c r="BI34" s="765" cm="1">
        <f t="array" aca="1" ref="BI34" ca="1">IF(NPSwitch=1,_xll.TR(BI$7,BI$6,"Sdate=#1 Period=#2 NULL=BLANK",,$D34,$BC$4),BI34)</f>
        <v>8.2502592840000002</v>
      </c>
      <c r="BJ34" s="765" cm="1">
        <f t="array" aca="1" ref="BJ34" ca="1">IF(NPSwitch=1,_xll.TR(BJ$7,BJ$6,"Sdate=#1 Period=#2 NULL=BLANK",,$D34,$BC$4),BJ34)</f>
        <v>7.3934963270000003</v>
      </c>
      <c r="BK34" s="765" cm="1">
        <f t="array" aca="1" ref="BK34" ca="1">IF(NPSwitch=1,_xll.TR(BK$7,BK$6,"Sdate=#1 Period=#2 NULL=BLANK",,$D34,$BC$4),BK34)</f>
        <v>8.8602621710000005</v>
      </c>
      <c r="BO34" s="765" cm="1">
        <f t="array" aca="1" ref="BO34" ca="1">IF(NPSwitch=1,_xll.TR(BO$7,BO$6,"Sdate=#1 Period=#2 NULL=BLANK Scale=6",,$D34,$AS$4),BO34)</f>
        <v>19638</v>
      </c>
      <c r="BP34" s="765" cm="1">
        <f t="array" aca="1" ref="BP34" ca="1">IF(NPSwitch=1,_xll.TR(BP$7,BP$6,"Sdate=#1 Period=#2 NULL=BLANK Scale=6",,$D34,$AS$4),BP34)</f>
        <v>1357.796</v>
      </c>
      <c r="BQ34" s="765" cm="1">
        <f t="array" aca="1" ref="BQ34" ca="1">IF(NPSwitch=1,_xll.TR(BQ$7,BQ$6,"Sdate=#1 Period=#2 NULL=BLANK Scale=6",,$D34,$AS$4),BQ34)</f>
        <v>8301</v>
      </c>
      <c r="BR34" s="765" cm="1">
        <f t="array" aca="1" ref="BR34" ca="1">IF(NPSwitch=1,_xll.TR(BR$7,BR$6,"Sdate=#1 Period=#2 NULL=BLANK Scale=6",,$D34,$AS$4),BR34)</f>
        <v>2119.6</v>
      </c>
      <c r="BS34" s="765" cm="1">
        <f t="array" aca="1" ref="BS34" ca="1">IF(NPSwitch=1,_xll.TR(BS$7,BS$6,"Sdate=#1 Period=#2 NULL=BLANK Scale=6",,$D34,$AS$4),BS34)</f>
        <v>10679.4</v>
      </c>
      <c r="BT34" s="765" cm="1">
        <f t="array" aca="1" ref="BT34" ca="1">IF(NPSwitch=1,_xll.TR(BT$7,BT$6,"Sdate=#1 Period=#2 NULL=BLANK Scale=6",,$D34,$AS$4),BT34)</f>
        <v>2044.4</v>
      </c>
      <c r="BU34" s="765" cm="1">
        <f t="array" aca="1" ref="BU34" ca="1">IF(NPSwitch=1,_xll.TR(BU$7,BU$6,"Sdate=#1 Period=#2 NULL=BLANK Scale=6",,$D34,$AS$4),BU34)</f>
        <v>9277</v>
      </c>
      <c r="BV34" s="765" cm="1">
        <f t="array" aca="1" ref="BV34" ca="1">IF(NPSwitch=1,_xll.TR(BV$7,BV$6,"Sdate=#1 Period=#2 NULL=BLANK Scale=6",,$D34,$AS$4),BV34)</f>
        <v>7414</v>
      </c>
      <c r="BW34" s="765" cm="1">
        <f t="array" aca="1" ref="BW34" ca="1">IF(NPSwitch=1,_xll.TR(BW$7,BW$6,"Sdate=#1 Period=#2 NULL=BLANK Scale=6",,$D34,$AS$4),BW34)</f>
        <v>6356</v>
      </c>
      <c r="BY34" s="765" cm="1">
        <f t="array" aca="1" ref="BY34" ca="1">IF(NPSwitch=1,_xll.TR(BY$7,BY$6,"Sdate=#1 Period=#2 NULL=BLANK Scale=6",,$D34,$AS$4),BY34)</f>
        <v>11055.5</v>
      </c>
      <c r="BZ34" s="765" cm="1">
        <f t="array" aca="1" ref="BZ34" ca="1">IF(NPSwitch=1,_xll.TR(BZ$7,BZ$6,"Sdate=#1 Period=#2 NULL=BLANK Scale=6",,$D34,$AS$4),BZ34)</f>
        <v>1042.7072499999999</v>
      </c>
      <c r="CA34" s="765" cm="1">
        <f t="array" aca="1" ref="CA34" ca="1">IF(NPSwitch=1,_xll.TR(CA$7,CA$6,"Sdate=#1 Period=#2 NULL=BLANK Scale=6",,$D34,$AS$4),CA34)</f>
        <v>4019.25</v>
      </c>
      <c r="CB34" s="765" cm="1">
        <f t="array" aca="1" ref="CB34" ca="1">IF(NPSwitch=1,_xll.TR(CB$7,CB$6,"Sdate=#1 Period=#2 NULL=BLANK Scale=6",,$D34,$AS$4),CB34)</f>
        <v>1154.9000000000001</v>
      </c>
      <c r="CC34" s="765" t="str" cm="1">
        <f t="array" aca="1" ref="CC34" ca="1">IF(NPSwitch=1,_xll.TR(CC$7,CC$6,"Sdate=#1 Period=#2 NULL=BLANK Scale=6",,$D34,$AS$4),CC34)</f>
        <v/>
      </c>
      <c r="CD34" s="765" cm="1">
        <f t="array" aca="1" ref="CD34" ca="1">IF(NPSwitch=1,_xll.TR(CD$7,CD$6,"Sdate=#1 Period=#2 NULL=BLANK Scale=6",,$D34,$AS$4),CD34)</f>
        <v>1756.85</v>
      </c>
      <c r="CE34" s="765" cm="1">
        <f t="array" aca="1" ref="CE34" ca="1">IF(NPSwitch=1,_xll.TR(CE$7,CE$6,"Sdate=#1 Period=#2 NULL=BLANK Scale=6",,$D34,$AS$4),CE34)</f>
        <v>4757.75</v>
      </c>
      <c r="CF34" s="765" cm="1">
        <f t="array" aca="1" ref="CF34" ca="1">IF(NPSwitch=1,_xll.TR(CF$7,CF$6,"Sdate=#1 Period=#2 NULL=BLANK Scale=6",,$D34,$AS$4),CF34)</f>
        <v>6047.5</v>
      </c>
      <c r="CG34" s="765" cm="1">
        <f t="array" aca="1" ref="CG34" ca="1">IF(NPSwitch=1,_xll.TR(CG$7,CG$6,"Sdate=#1 Period=#2 NULL=BLANK Scale=6",,$D34,$AS$4),CG34)</f>
        <v>3287.25</v>
      </c>
      <c r="CI34" s="1000" cm="1">
        <f t="array" aca="1" ref="CI34" ca="1">IF(NPSwitch=1,_xll.TR(CI$7,CI$6,"Sdate=#1 Period=#2 NULL=BLANK Scale=6",,$D34,$AS$4),CI34)</f>
        <v>5415</v>
      </c>
      <c r="CJ34" s="1000" cm="1">
        <f t="array" aca="1" ref="CJ34" ca="1">IF(NPSwitch=1,_xll.TR(CJ$7,CJ$6,"Sdate=#1 Period=#2 NULL=BLANK Scale=6",,$D34,$AS$4),CJ34)</f>
        <v>210.661</v>
      </c>
      <c r="CK34" s="1000" cm="1">
        <f t="array" aca="1" ref="CK34" ca="1">IF(NPSwitch=1,_xll.TR(CK$7,CK$6,"Sdate=#1 Period=#2 NULL=BLANK Scale=6",,$D34,$AS$4),CK34)</f>
        <v>855</v>
      </c>
      <c r="CL34" s="1000" cm="1">
        <f t="array" aca="1" ref="CL34" ca="1">IF(NPSwitch=1,_xll.TR(CL$7,CL$6,"Sdate=#1 Period=#2 NULL=BLANK Scale=6",,$D34,$AS$4),CL34)</f>
        <v>119.3</v>
      </c>
      <c r="CM34" s="1000" t="str" cm="1">
        <f t="array" aca="1" ref="CM34" ca="1">IF(NPSwitch=1,_xll.TR(CM$7,CM$6,"Sdate=#1 Period=#2 NULL=BLANK Scale=6",,$D34,$AS$4),CM34)</f>
        <v/>
      </c>
      <c r="CN34" s="1000" cm="1">
        <f t="array" aca="1" ref="CN34" ca="1">IF(NPSwitch=1,_xll.TR(CN$7,CN$6,"Sdate=#1 Period=#2 NULL=BLANK Scale=6",,$D34,$AS$4),CN34)</f>
        <v>359.6</v>
      </c>
      <c r="CO34" s="1000" cm="1">
        <f t="array" aca="1" ref="CO34" ca="1">IF(NPSwitch=1,_xll.TR(CO$7,CO$6,"Sdate=#1 Period=#2 NULL=BLANK Scale=6",,$D34,$AS$4),CO34)</f>
        <v>1507</v>
      </c>
      <c r="CP34" s="1000" cm="1">
        <f t="array" aca="1" ref="CP34" ca="1">IF(NPSwitch=1,_xll.TR(CP$7,CP$6,"Sdate=#1 Period=#2 NULL=BLANK Scale=6",,$D34,$AS$4),CP34)</f>
        <v>1213</v>
      </c>
      <c r="CQ34" s="1000" cm="1">
        <f t="array" aca="1" ref="CQ34" ca="1">IF(NPSwitch=1,_xll.TR(CQ$7,CQ$6,"Sdate=#1 Period=#2 NULL=BLANK Scale=6",,$D34,$AS$4),CQ34)</f>
        <v>662</v>
      </c>
      <c r="CS34" s="1000" cm="1">
        <f t="array" aca="1" ref="CS34" ca="1">IF(NPSwitch=1,_xll.TR(CS$7,CS$6,"Sdate=#1 Period=#2 NULL=BLANK Scale=6",,$D34,$AS$4),CS34)</f>
        <v>5511.25</v>
      </c>
      <c r="CT34" s="1000" cm="1">
        <f t="array" aca="1" ref="CT34" ca="1">IF(NPSwitch=1,_xll.TR(CT$7,CT$6,"Sdate=#1 Period=#2 NULL=BLANK Scale=6",,$D34,$AS$4),CT34)</f>
        <v>609.8895</v>
      </c>
      <c r="CU34" s="1000" cm="1">
        <f t="array" aca="1" ref="CU34" ca="1">IF(NPSwitch=1,_xll.TR(CU$7,CU$6,"Sdate=#1 Period=#2 NULL=BLANK Scale=6",,$D34,$AS$4),CU34)</f>
        <v>1251.25</v>
      </c>
      <c r="CV34" s="1000" cm="1">
        <f t="array" aca="1" ref="CV34" ca="1">IF(NPSwitch=1,_xll.TR(CV$7,CV$6,"Sdate=#1 Period=#2 NULL=BLANK Scale=6",,$D34,$AS$4),CV34)</f>
        <v>457.9</v>
      </c>
      <c r="CW34" s="1000" cm="1">
        <f t="array" aca="1" ref="CW34" ca="1">IF(NPSwitch=1,_xll.TR(CW$7,CW$6,"Sdate=#1 Period=#2 NULL=BLANK Scale=6",,$D34,$AS$4),CW34)</f>
        <v>1100.0999999999999</v>
      </c>
      <c r="CX34" s="1000" cm="1">
        <f t="array" aca="1" ref="CX34" ca="1">IF(NPSwitch=1,_xll.TR(CX$7,CX$6,"Sdate=#1 Period=#2 NULL=BLANK Scale=6",,$D34,$AS$4),CX34)</f>
        <v>2487.75</v>
      </c>
      <c r="CY34" s="1000" cm="1">
        <f t="array" aca="1" ref="CY34" ca="1">IF(NPSwitch=1,_xll.TR(CY$7,CY$6,"Sdate=#1 Period=#2 NULL=BLANK Scale=6",,$D34,$AS$4),CY34)</f>
        <v>3481</v>
      </c>
      <c r="CZ34" s="1000" cm="1">
        <f t="array" aca="1" ref="CZ34" ca="1">IF(NPSwitch=1,_xll.TR(CZ$7,CZ$6,"Sdate=#1 Period=#2 NULL=BLANK Scale=6",,$D34,$AS$4),CZ34)</f>
        <v>3285.25</v>
      </c>
      <c r="DA34" s="1000" t="str" cm="1">
        <f t="array" aca="1" ref="DA34" ca="1">IF(NPSwitch=1,_xll.TR(DA$7,DA$6,"Sdate=#1 Period=#2 NULL=BLANK Scale=6",,$D34,$AS$4),DA34)</f>
        <v/>
      </c>
      <c r="DB34" s="1000" cm="1">
        <f t="array" aca="1" ref="DB34" ca="1">IF(NPSwitch=1,_xll.TR(DB$7,DB$6,"Sdate=#1 Period=#2 NULL=BLANK Scale=6",,$D34,$AS$4),DB34)</f>
        <v>13545.725</v>
      </c>
      <c r="DC34" s="1000" t="str" cm="1">
        <f t="array" aca="1" ref="DC34" ca="1">IF(NPSwitch=1,_xll.TR(DC$7,DC$6,"Sdate=#1 Period=#2 NULL=BLANK Scale=6",,$D34,$AS$4),DC34)</f>
        <v/>
      </c>
      <c r="DD34" s="1000" t="str" cm="1">
        <f t="array" aca="1" ref="DD34" ca="1">IF(NPSwitch=1,_xll.TR(DD$7,DD$6,"Sdate=#1 Period=#2 NULL=BLANK Scale=6",,$D34,$AS$4),DD34)</f>
        <v/>
      </c>
      <c r="DE34" s="1000" t="str" cm="1">
        <f t="array" aca="1" ref="DE34" ca="1">IF(NPSwitch=1,_xll.TR(DE$7,DE$6,"Sdate=#1 Period=#2 NULL=BLANK Scale=6",,$D34,$AS$4),DE34)</f>
        <v/>
      </c>
      <c r="DF34" s="1000" cm="1">
        <f t="array" aca="1" ref="DF34" ca="1">IF(NPSwitch=1,_xll.TR(DF$7,DF$6,"Sdate=#1 Period=#2 NULL=BLANK Scale=6",,$D34,$AS$4),DF34)</f>
        <v>457.9</v>
      </c>
      <c r="DG34" s="1000" t="str" cm="1">
        <f t="array" aca="1" ref="DG34" ca="1">IF(NPSwitch=1,_xll.TR(DG$7,DG$6,"Sdate=#1 Period=#2 NULL=BLANK Scale=6",,$D34,$AS$4),DG34)</f>
        <v/>
      </c>
      <c r="DH34" s="1000" t="str" cm="1">
        <f t="array" aca="1" ref="DH34" ca="1">IF(NPSwitch=1,_xll.TR(DH$7,DH$6,"Sdate=#1 Period=#2 NULL=BLANK Scale=6",,$D34,$AS$4),DH34)</f>
        <v/>
      </c>
    </row>
    <row r="35" spans="3:170" ht="11.25" customHeight="1">
      <c r="C35" s="973">
        <f t="shared" si="44"/>
        <v>38352</v>
      </c>
      <c r="D35" s="974">
        <f t="shared" si="43"/>
        <v>38397</v>
      </c>
      <c r="E35" s="765" cm="1">
        <f t="array" aca="1" ref="E35" ca="1">IF(NPSwitch=1,_xll.TR(E$7,E$6,"Sdate=#1 Period=#2 NULL=BLANK",,$D35,$E$4),E35)</f>
        <v>10.5371407903595</v>
      </c>
      <c r="F35" s="765" cm="1">
        <f t="array" aca="1" ref="F35" ca="1">IF(NPSwitch=1,_xll.TR(F$7,F$6,"Sdate=#1 Period=#2 NULL=BLANK",,$D35,$E$4),F35)</f>
        <v>8.4810239999999997</v>
      </c>
      <c r="G35" s="765" cm="1">
        <f t="array" aca="1" ref="G35" ca="1">IF(NPSwitch=1,_xll.TR(G$7,G$6,"Sdate=#1 Period=#2 NULL=BLANK",,$D35,$E$4),G35)</f>
        <v>6.8159051195180798</v>
      </c>
      <c r="H35" s="765" cm="1">
        <f t="array" aca="1" ref="H35" ca="1">IF(NPSwitch=1,_xll.TR(H$7,H$6,"Sdate=#1 Period=#2 NULL=BLANK",,$D35,$E$4),H35)</f>
        <v>6.5239899077085601</v>
      </c>
      <c r="I35" s="765" t="str" cm="1">
        <f t="array" aca="1" ref="I35" ca="1">IF(NPSwitch=1,_xll.TR(I$7,I$6,"Sdate=#1 Period=#2 NULL=BLANK",,$D35,$E$4),I35)</f>
        <v/>
      </c>
      <c r="J35" s="765" cm="1">
        <f t="array" aca="1" ref="J35" ca="1">IF(NPSwitch=1,_xll.TR(J$7,J$6,"Sdate=#1 Period=#2 NULL=BLANK",,$D35,$E$4),J35)</f>
        <v>6.7003797540549801</v>
      </c>
      <c r="K35" s="765" cm="1">
        <f t="array" aca="1" ref="K35" ca="1">IF(NPSwitch=1,_xll.TR(K$7,K$6,"Sdate=#1 Period=#2 NULL=BLANK",,$D35,$E$4),K35)</f>
        <v>7.3815473673909899</v>
      </c>
      <c r="L35" s="765" cm="1">
        <f t="array" aca="1" ref="L35" ca="1">IF(NPSwitch=1,_xll.TR(L$7,L$6,"Sdate=#1 Period=#2 NULL=BLANK",,$D35,$E$4),L35)</f>
        <v>7.1357045111673898</v>
      </c>
      <c r="M35" s="765" cm="1">
        <f t="array" aca="1" ref="M35" ca="1">IF(NPSwitch=1,_xll.TR(M$7,M$6,"Sdate=#1 Period=#2 NULL=BLANK",,$D35,$E$4),M35)</f>
        <v>7.1596350422116304</v>
      </c>
      <c r="N35" s="1002">
        <f t="shared" ca="1" si="45"/>
        <v>6.9115053319679989</v>
      </c>
      <c r="O35" s="1000" cm="1">
        <f t="array" aca="1" ref="O35" ca="1">IF(NPSwitch=1,_xll.TR(O$7,O$6,"Sdate=#1 Period=#2 Scale=6 NULL=BLANK",,$D35,$O$4),O35)</f>
        <v>65354.683293239999</v>
      </c>
      <c r="P35" s="1000" cm="1">
        <f t="array" aca="1" ref="P35" ca="1">IF(NPSwitch=1,_xll.TR(P$7,P$6,"Sdate=#1 Period=#2 Scale=6 NULL=BLANK",,$D35,$O$4),P35)</f>
        <v>1499.7777120000001</v>
      </c>
      <c r="Q35" s="1000" cm="1">
        <f t="array" aca="1" ref="Q35" ca="1">IF(NPSwitch=1,_xll.TR(Q$7,Q$6,"Sdate=#1 Period=#2 Scale=6 NULL=BLANK",,$D35,$O$4),Q35)</f>
        <v>4583.8564073199996</v>
      </c>
      <c r="R35" s="1000" cm="1">
        <f t="array" aca="1" ref="R35" ca="1">IF(NPSwitch=1,_xll.TR(R$7,R$6,"Sdate=#1 Period=#2 Scale=6 NULL=BLANK",,$D35,$O$4),R35)</f>
        <v>826.37753769999904</v>
      </c>
      <c r="S35" s="1000" cm="1">
        <f t="array" aca="1" ref="S35" ca="1">IF(NPSwitch=1,_xll.TR(S$7,S$6,"Sdate=#1 Period=#2 Scale=6 NULL=BLANK",,$D35,$O$4),S35)</f>
        <v>5289.7727295000004</v>
      </c>
      <c r="T35" s="1000" cm="1">
        <f t="array" aca="1" ref="T35" ca="1">IF(NPSwitch=1,_xll.TR(T$7,T$6,"Sdate=#1 Period=#2 Scale=6 NULL=BLANK",,$D35,$O$4),T35)</f>
        <v>1773.686226</v>
      </c>
      <c r="U35" s="1000" cm="1">
        <f t="array" aca="1" ref="U35" ca="1">IF(NPSwitch=1,_xll.TR(U$7,U$6,"Sdate=#1 Period=#2 Scale=6 NULL=BLANK",,$D35,$O$4),U35)</f>
        <v>12286.508688960001</v>
      </c>
      <c r="V35" s="1000" cm="1">
        <f t="array" aca="1" ref="V35" ca="1">IF(NPSwitch=1,_xll.TR(V$7,V$6,"Sdate=#1 Period=#2 Scale=6 NULL=BLANK",,$D35,$O$4),V35)</f>
        <v>7343.2340413263601</v>
      </c>
      <c r="W35" s="1000" cm="1">
        <f t="array" aca="1" ref="W35" ca="1">IF(NPSwitch=1,_xll.TR(W$7,W$6,"Sdate=#1 Period=#2 Scale=6 NULL=BLANK",,$D35,$O$4),W35)</f>
        <v>4394.4604222899998</v>
      </c>
      <c r="X35" s="998"/>
      <c r="Y35" s="1000" cm="1">
        <f t="array" aca="1" ref="Y35" ca="1">IF(NPSwitch=1,_xll.TR(Y$7,Y$6,"Sdate=#1 Period=#2 Scale=6 NULL=BLANK",,$D35,$O$4),Y35)</f>
        <v>2272.25</v>
      </c>
      <c r="Z35" s="1000" cm="1">
        <f t="array" aca="1" ref="Z35" ca="1">IF(NPSwitch=1,_xll.TR(Z$7,Z$6,"Sdate=#1 Period=#2 Scale=6 NULL=BLANK",,$D35,$O$4),Z35)</f>
        <v>49.09525</v>
      </c>
      <c r="AA35" s="1000" cm="1">
        <f t="array" aca="1" ref="AA35" ca="1">IF(NPSwitch=1,_xll.TR(AA$7,AA$6,"Sdate=#1 Period=#2 Scale=6 NULL=BLANK",,$D35,$O$4),AA35)</f>
        <v>188</v>
      </c>
      <c r="AB35" s="1000" cm="1">
        <f t="array" aca="1" ref="AB35" ca="1">IF(NPSwitch=1,_xll.TR(AB$7,AB$6,"Sdate=#1 Period=#2 Scale=6 NULL=BLANK",,$D35,$O$4),AB35)</f>
        <v>66.45</v>
      </c>
      <c r="AC35" s="1000" t="str" cm="1">
        <f t="array" aca="1" ref="AC35" ca="1">IF(NPSwitch=1,_xll.TR(AC$7,AC$6,"Sdate=#1 Period=#2 Scale=6 NULL=BLANK",,$D35,$O$4),AC35)</f>
        <v/>
      </c>
      <c r="AD35" s="1000" cm="1">
        <f t="array" aca="1" ref="AD35" ca="1">IF(NPSwitch=1,_xll.TR(AD$7,AD$6,"Sdate=#1 Period=#2 Scale=6 NULL=BLANK",,$D35,$O$4),AD35)</f>
        <v>140.82499999999999</v>
      </c>
      <c r="AE35" s="1000" cm="1">
        <f t="array" aca="1" ref="AE35" ca="1">IF(NPSwitch=1,_xll.TR(AE$7,AE$6,"Sdate=#1 Period=#2 Scale=6 NULL=BLANK",,$D35,$O$4),AE35)</f>
        <v>579.75</v>
      </c>
      <c r="AF35" s="1000" cm="1">
        <f t="array" aca="1" ref="AF35" ca="1">IF(NPSwitch=1,_xll.TR(AF$7,AF$6,"Sdate=#1 Period=#2 Scale=6 NULL=BLANK",,$D35,$O$4),AF35)</f>
        <v>1230.5</v>
      </c>
      <c r="AG35" s="1000" cm="1">
        <f t="array" aca="1" ref="AG35" ca="1">IF(NPSwitch=1,_xll.TR(AG$7,AG$6,"Sdate=#1 Period=#2 Scale=6 NULL=BLANK",,$D35,$O$4),AG35)</f>
        <v>172.75</v>
      </c>
      <c r="AH35" s="998"/>
      <c r="AI35" s="1000" cm="1">
        <f t="array" aca="1" ref="AI35" ca="1">IF(NPSwitch=1,_xll.TR(AI$7,AI$6,"Sdate=#1 Period=#2 Scale=6 NULL=BLANK",,$D35,$O$4),AI35)</f>
        <v>66045.683293239999</v>
      </c>
      <c r="AJ35" s="1000" cm="1">
        <f t="array" aca="1" ref="AJ35" ca="1">IF(NPSwitch=1,_xll.TR(AJ$7,AJ$6,"Sdate=#1 Period=#2 Scale=6 NULL=BLANK",,$D35,$O$4),AJ35)</f>
        <v>2393.9457120000002</v>
      </c>
      <c r="AK35" s="1000" cm="1">
        <f t="array" aca="1" ref="AK35" ca="1">IF(NPSwitch=1,_xll.TR(AK$7,AK$6,"Sdate=#1 Period=#2 Scale=6 NULL=BLANK",,$D35,$O$4),AK35)</f>
        <v>6099.8564073199996</v>
      </c>
      <c r="AL35" s="1000" cm="1">
        <f t="array" aca="1" ref="AL35" ca="1">IF(NPSwitch=1,_xll.TR(AL$7,AL$6,"Sdate=#1 Period=#2 Scale=6 NULL=BLANK",,$D35,$O$4),AL35)</f>
        <v>1440.8775376999999</v>
      </c>
      <c r="AM35" s="1000" cm="1">
        <f t="array" aca="1" ref="AM35" ca="1">IF(NPSwitch=1,_xll.TR(AM$7,AM$6,"Sdate=#1 Period=#2 Scale=6 NULL=BLANK",,$D35,$O$4),AM35)</f>
        <v>11962.1727295</v>
      </c>
      <c r="AN35" s="1000" cm="1">
        <f t="array" aca="1" ref="AN35" ca="1">IF(NPSwitch=1,_xll.TR(AN$7,AN$6,"Sdate=#1 Period=#2 Scale=6 NULL=BLANK",,$D35,$O$4),AN35)</f>
        <v>2690.2862260000002</v>
      </c>
      <c r="AO35" s="1000" cm="1">
        <f t="array" aca="1" ref="AO35" ca="1">IF(NPSwitch=1,_xll.TR(AO$7,AO$6,"Sdate=#1 Period=#2 Scale=6 NULL=BLANK",,$D35,$O$4),AO35)</f>
        <v>13204.508688960001</v>
      </c>
      <c r="AP35" s="1000" cm="1">
        <f t="array" aca="1" ref="AP35" ca="1">IF(NPSwitch=1,_xll.TR(AP$7,AP$6,"Sdate=#1 Period=#2 Scale=6 NULL=BLANK",,$D35,$O$4),AP35)</f>
        <v>9198.2340413260008</v>
      </c>
      <c r="AQ35" s="1000" cm="1">
        <f t="array" aca="1" ref="AQ35" ca="1">IF(NPSwitch=1,_xll.TR(AQ$7,AQ$6,"Sdate=#1 Period=#2 Scale=6 NULL=BLANK",,$D35,$O$4),AQ35)</f>
        <v>6282.4604222899998</v>
      </c>
      <c r="AS35" s="765" t="str" cm="1">
        <f t="array" aca="1" ref="AS35" ca="1">IF(NPSwitch=1,_xll.TR(AS$7,AS$6,"Sdate=#1 Period=#2 NULL=BLANK Scale=6",,$D35,$AS$4),AS35)</f>
        <v/>
      </c>
      <c r="AT35" s="765" t="str" cm="1">
        <f t="array" aca="1" ref="AT35" ca="1">IF(NPSwitch=1,_xll.TR(AT$7,AT$6,"Sdate=#1 Period=#2 NULL=BLANK Scale=6",,$D35,$AS$4),AT35)</f>
        <v/>
      </c>
      <c r="AU35" s="765" t="str" cm="1">
        <f t="array" aca="1" ref="AU35" ca="1">IF(NPSwitch=1,_xll.TR(AU$7,AU$6,"Sdate=#1 Period=#2 NULL=BLANK Scale=6",,$D35,$AS$4),AU35)</f>
        <v/>
      </c>
      <c r="AV35" s="765" t="str" cm="1">
        <f t="array" aca="1" ref="AV35" ca="1">IF(NPSwitch=1,_xll.TR(AV$7,AV$6,"Sdate=#1 Period=#2 NULL=BLANK Scale=6",,$D35,$AS$4),AV35)</f>
        <v/>
      </c>
      <c r="AW35" s="765" t="str" cm="1">
        <f t="array" aca="1" ref="AW35" ca="1">IF(NPSwitch=1,_xll.TR(AW$7,AW$6,"Sdate=#1 Period=#2 NULL=BLANK Scale=6",,$D35,$AS$4),AW35)</f>
        <v/>
      </c>
      <c r="AX35" s="765" t="str" cm="1">
        <f t="array" aca="1" ref="AX35" ca="1">IF(NPSwitch=1,_xll.TR(AX$7,AX$6,"Sdate=#1 Period=#2 NULL=BLANK Scale=6",,$D35,$AS$4),AX35)</f>
        <v/>
      </c>
      <c r="AY35" s="765" t="str" cm="1">
        <f t="array" aca="1" ref="AY35" ca="1">IF(NPSwitch=1,_xll.TR(AY$7,AY$6,"Sdate=#1 Period=#2 NULL=BLANK Scale=6",,$D35,$AS$4),AY35)</f>
        <v/>
      </c>
      <c r="AZ35" s="765" t="str" cm="1">
        <f t="array" aca="1" ref="AZ35" ca="1">IF(NPSwitch=1,_xll.TR(AZ$7,AZ$6,"Sdate=#1 Period=#2 NULL=BLANK Scale=6",,$D35,$AS$4),AZ35)</f>
        <v/>
      </c>
      <c r="BA35" s="765" t="str" cm="1">
        <f t="array" aca="1" ref="BA35" ca="1">IF(NPSwitch=1,_xll.TR(BA$7,BA$6,"Sdate=#1 Period=#2 NULL=BLANK Scale=6",,$D35,$AS$4),BA35)</f>
        <v/>
      </c>
      <c r="BC35" s="765" cm="1">
        <f t="array" aca="1" ref="BC35" ca="1">IF(NPSwitch=1,_xll.TR(BC$7,BC$6,"Sdate=#1 Period=#2 NULL=BLANK",,$D35,$BC$4),BC35)</f>
        <v>12.196802086</v>
      </c>
      <c r="BD35" s="765" cm="1">
        <f t="array" aca="1" ref="BD35" ca="1">IF(NPSwitch=1,_xll.TR(BD$7,BD$6,"Sdate=#1 Period=#2 NULL=BLANK",,$D35,$BC$4),BD35)</f>
        <v>11.363972030999999</v>
      </c>
      <c r="BE35" s="765" cm="1">
        <f t="array" aca="1" ref="BE35" ca="1">IF(NPSwitch=1,_xll.TR(BE$7,BE$6,"Sdate=#1 Period=#2 NULL=BLANK",,$D35,$BC$4),BE35)</f>
        <v>6.482312866</v>
      </c>
      <c r="BF35" s="765" cm="1">
        <f t="array" aca="1" ref="BF35" ca="1">IF(NPSwitch=1,_xll.TR(BF$7,BF$6,"Sdate=#1 Period=#2 NULL=BLANK",,$D35,$BC$4),BF35)</f>
        <v>10.990675345</v>
      </c>
      <c r="BG35" s="765" t="str" cm="1">
        <f t="array" aca="1" ref="BG35" ca="1">IF(NPSwitch=1,_xll.TR(BG$7,BG$6,"Sdate=#1 Period=#2 NULL=BLANK",,$D35,$BC$4),BG35)</f>
        <v/>
      </c>
      <c r="BH35" s="765" cm="1">
        <f t="array" aca="1" ref="BH35" ca="1">IF(NPSwitch=1,_xll.TR(BH$7,BH$6,"Sdate=#1 Period=#2 NULL=BLANK",,$D35,$BC$4),BH35)</f>
        <v>7.4813298829999999</v>
      </c>
      <c r="BI35" s="765" cm="1">
        <f t="array" aca="1" ref="BI35" ca="1">IF(NPSwitch=1,_xll.TR(BI$7,BI$6,"Sdate=#1 Period=#2 NULL=BLANK",,$D35,$BC$4),BI35)</f>
        <v>8.7621159179999992</v>
      </c>
      <c r="BJ35" s="765" cm="1">
        <f t="array" aca="1" ref="BJ35" ca="1">IF(NPSwitch=1,_xll.TR(BJ$7,BJ$6,"Sdate=#1 Period=#2 NULL=BLANK",,$D35,$BC$4),BJ35)</f>
        <v>7.6460798350000001</v>
      </c>
      <c r="BK35" s="765" cm="1">
        <f t="array" aca="1" ref="BK35" ca="1">IF(NPSwitch=1,_xll.TR(BK$7,BK$6,"Sdate=#1 Period=#2 NULL=BLANK",,$D35,$BC$4),BK35)</f>
        <v>9.4901214839999994</v>
      </c>
      <c r="BM35" s="1014"/>
      <c r="BO35" s="765" cm="1">
        <f t="array" aca="1" ref="BO35" ca="1">IF(NPSwitch=1,_xll.TR(BO$7,BO$6,"Sdate=#1 Period=#2 NULL=BLANK Scale=6",,$D35,$AS$4),BO35)</f>
        <v>20011</v>
      </c>
      <c r="BP35" s="765" cm="1">
        <f t="array" aca="1" ref="BP35" ca="1">IF(NPSwitch=1,_xll.TR(BP$7,BP$6,"Sdate=#1 Period=#2 NULL=BLANK Scale=6",,$D35,$AS$4),BP35)</f>
        <v>1513.7370000000001</v>
      </c>
      <c r="BQ35" s="765" cm="1">
        <f t="array" aca="1" ref="BQ35" ca="1">IF(NPSwitch=1,_xll.TR(BQ$7,BQ$6,"Sdate=#1 Period=#2 NULL=BLANK Scale=6",,$D35,$AS$4),BQ35)</f>
        <v>8542</v>
      </c>
      <c r="BR35" s="765" cm="1">
        <f t="array" aca="1" ref="BR35" ca="1">IF(NPSwitch=1,_xll.TR(BR$7,BR$6,"Sdate=#1 Period=#2 NULL=BLANK Scale=6",,$D35,$AS$4),BR35)</f>
        <v>2190.1</v>
      </c>
      <c r="BS35" s="765" t="str" cm="1">
        <f t="array" aca="1" ref="BS35" ca="1">IF(NPSwitch=1,_xll.TR(BS$7,BS$6,"Sdate=#1 Period=#2 NULL=BLANK Scale=6",,$D35,$AS$4),BS35)</f>
        <v/>
      </c>
      <c r="BT35" s="765" cm="1">
        <f t="array" aca="1" ref="BT35" ca="1">IF(NPSwitch=1,_xll.TR(BT$7,BT$6,"Sdate=#1 Period=#2 NULL=BLANK Scale=6",,$D35,$AS$4),BT35)</f>
        <v>2051.1999999999998</v>
      </c>
      <c r="BU35" s="765" cm="1">
        <f t="array" aca="1" ref="BU35" ca="1">IF(NPSwitch=1,_xll.TR(BU$7,BU$6,"Sdate=#1 Period=#2 NULL=BLANK Scale=6",,$D35,$AS$4),BU35)</f>
        <v>9513</v>
      </c>
      <c r="BV35" s="765" cm="1">
        <f t="array" aca="1" ref="BV35" ca="1">IF(NPSwitch=1,_xll.TR(BV$7,BV$6,"Sdate=#1 Period=#2 NULL=BLANK Scale=6",,$D35,$AS$4),BV35)</f>
        <v>7414</v>
      </c>
      <c r="BW35" s="765" cm="1">
        <f t="array" aca="1" ref="BW35" ca="1">IF(NPSwitch=1,_xll.TR(BW$7,BW$6,"Sdate=#1 Period=#2 NULL=BLANK Scale=6",,$D35,$AS$4),BW35)</f>
        <v>6580</v>
      </c>
      <c r="BY35" s="765" cm="1">
        <f t="array" aca="1" ref="BY35" ca="1">IF(NPSwitch=1,_xll.TR(BY$7,BY$6,"Sdate=#1 Period=#2 NULL=BLANK Scale=6",,$D35,$AS$4),BY35)</f>
        <v>11649.75</v>
      </c>
      <c r="BZ35" s="765" cm="1">
        <f t="array" aca="1" ref="BZ35" ca="1">IF(NPSwitch=1,_xll.TR(BZ$7,BZ$6,"Sdate=#1 Period=#2 NULL=BLANK Scale=6",,$D35,$AS$4),BZ35)</f>
        <v>1240.50875</v>
      </c>
      <c r="CA35" s="765" cm="1">
        <f t="array" aca="1" ref="CA35" ca="1">IF(NPSwitch=1,_xll.TR(CA$7,CA$6,"Sdate=#1 Period=#2 NULL=BLANK Scale=6",,$D35,$AS$4),CA35)</f>
        <v>4172.75</v>
      </c>
      <c r="CB35" s="765" cm="1">
        <f t="array" aca="1" ref="CB35" ca="1">IF(NPSwitch=1,_xll.TR(CB$7,CB$6,"Sdate=#1 Period=#2 NULL=BLANK Scale=6",,$D35,$AS$4),CB35)</f>
        <v>1127.7</v>
      </c>
      <c r="CC35" s="765" t="str" cm="1">
        <f t="array" aca="1" ref="CC35" ca="1">IF(NPSwitch=1,_xll.TR(CC$7,CC$6,"Sdate=#1 Period=#2 NULL=BLANK Scale=6",,$D35,$AS$4),CC35)</f>
        <v/>
      </c>
      <c r="CD35" s="765" cm="1">
        <f t="array" aca="1" ref="CD35" ca="1">IF(NPSwitch=1,_xll.TR(CD$7,CD$6,"Sdate=#1 Period=#2 NULL=BLANK Scale=6",,$D35,$AS$4),CD35)</f>
        <v>1799.375</v>
      </c>
      <c r="CE35" s="765" cm="1">
        <f t="array" aca="1" ref="CE35" ca="1">IF(NPSwitch=1,_xll.TR(CE$7,CE$6,"Sdate=#1 Period=#2 NULL=BLANK Scale=6",,$D35,$AS$4),CE35)</f>
        <v>4833.75</v>
      </c>
      <c r="CF35" s="765" cm="1">
        <f t="array" aca="1" ref="CF35" ca="1">IF(NPSwitch=1,_xll.TR(CF$7,CF$6,"Sdate=#1 Period=#2 NULL=BLANK Scale=6",,$D35,$AS$4),CF35)</f>
        <v>6047.5</v>
      </c>
      <c r="CG35" s="765" cm="1">
        <f t="array" aca="1" ref="CG35" ca="1">IF(NPSwitch=1,_xll.TR(CG$7,CG$6,"Sdate=#1 Period=#2 NULL=BLANK Scale=6",,$D35,$AS$4),CG35)</f>
        <v>3199.75</v>
      </c>
      <c r="CI35" s="1000" cm="1">
        <f t="array" aca="1" ref="CI35" ca="1">IF(NPSwitch=1,_xll.TR(CI$7,CI$6,"Sdate=#1 Period=#2 NULL=BLANK Scale=6",,$D35,$AS$4),CI35)</f>
        <v>5577</v>
      </c>
      <c r="CJ35" s="1000" cm="1">
        <f t="array" aca="1" ref="CJ35" ca="1">IF(NPSwitch=1,_xll.TR(CJ$7,CJ$6,"Sdate=#1 Period=#2 NULL=BLANK Scale=6",,$D35,$AS$4),CJ35)</f>
        <v>220.607</v>
      </c>
      <c r="CK35" s="1000" cm="1">
        <f t="array" aca="1" ref="CK35" ca="1">IF(NPSwitch=1,_xll.TR(CK$7,CK$6,"Sdate=#1 Period=#2 NULL=BLANK Scale=6",,$D35,$AS$4),CK35)</f>
        <v>941</v>
      </c>
      <c r="CL35" s="1000" cm="1">
        <f t="array" aca="1" ref="CL35" ca="1">IF(NPSwitch=1,_xll.TR(CL$7,CL$6,"Sdate=#1 Period=#2 NULL=BLANK Scale=6",,$D35,$AS$4),CL35)</f>
        <v>119.8</v>
      </c>
      <c r="CM35" s="1000" t="str" cm="1">
        <f t="array" aca="1" ref="CM35" ca="1">IF(NPSwitch=1,_xll.TR(CM$7,CM$6,"Sdate=#1 Period=#2 NULL=BLANK Scale=6",,$D35,$AS$4),CM35)</f>
        <v/>
      </c>
      <c r="CN35" s="1000" cm="1">
        <f t="array" aca="1" ref="CN35" ca="1">IF(NPSwitch=1,_xll.TR(CN$7,CN$6,"Sdate=#1 Period=#2 NULL=BLANK Scale=6",,$D35,$AS$4),CN35)</f>
        <v>363.1</v>
      </c>
      <c r="CO35" s="1000" cm="1">
        <f t="array" aca="1" ref="CO35" ca="1">IF(NPSwitch=1,_xll.TR(CO$7,CO$6,"Sdate=#1 Period=#2 NULL=BLANK Scale=6",,$D35,$AS$4),CO35)</f>
        <v>1573</v>
      </c>
      <c r="CP35" s="1000" cm="1">
        <f t="array" aca="1" ref="CP35" ca="1">IF(NPSwitch=1,_xll.TR(CP$7,CP$6,"Sdate=#1 Period=#2 NULL=BLANK Scale=6",,$D35,$AS$4),CP35)</f>
        <v>1213</v>
      </c>
      <c r="CQ35" s="1000" cm="1">
        <f t="array" aca="1" ref="CQ35" ca="1">IF(NPSwitch=1,_xll.TR(CQ$7,CQ$6,"Sdate=#1 Period=#2 NULL=BLANK Scale=6",,$D35,$AS$4),CQ35)</f>
        <v>683</v>
      </c>
      <c r="CS35" s="1000" cm="1">
        <f t="array" aca="1" ref="CS35" ca="1">IF(NPSwitch=1,_xll.TR(CS$7,CS$6,"Sdate=#1 Period=#2 NULL=BLANK Scale=6",,$D35,$AS$4),CS35)</f>
        <v>5536.75</v>
      </c>
      <c r="CT35" s="1000" cm="1">
        <f t="array" aca="1" ref="CT35" ca="1">IF(NPSwitch=1,_xll.TR(CT$7,CT$6,"Sdate=#1 Period=#2 NULL=BLANK Scale=6",,$D35,$AS$4),CT35)</f>
        <v>702.13424999999995</v>
      </c>
      <c r="CU35" s="1000" cm="1">
        <f t="array" aca="1" ref="CU35" ca="1">IF(NPSwitch=1,_xll.TR(CU$7,CU$6,"Sdate=#1 Period=#2 NULL=BLANK Scale=6",,$D35,$AS$4),CU35)</f>
        <v>1251</v>
      </c>
      <c r="CV35" s="1000" cm="1">
        <f t="array" aca="1" ref="CV35" ca="1">IF(NPSwitch=1,_xll.TR(CV$7,CV$6,"Sdate=#1 Period=#2 NULL=BLANK Scale=6",,$D35,$AS$4),CV35)</f>
        <v>456.1</v>
      </c>
      <c r="CW35" s="1000" cm="1">
        <f t="array" aca="1" ref="CW35" ca="1">IF(NPSwitch=1,_xll.TR(CW$7,CW$6,"Sdate=#1 Period=#2 NULL=BLANK Scale=6",,$D35,$AS$4),CW35)</f>
        <v>1096.05</v>
      </c>
      <c r="CX35" s="1000" cm="1">
        <f t="array" aca="1" ref="CX35" ca="1">IF(NPSwitch=1,_xll.TR(CX$7,CX$6,"Sdate=#1 Period=#2 NULL=BLANK Scale=6",,$D35,$AS$4),CX35)</f>
        <v>2464</v>
      </c>
      <c r="CY35" s="1000" cm="1">
        <f t="array" aca="1" ref="CY35" ca="1">IF(NPSwitch=1,_xll.TR(CY$7,CY$6,"Sdate=#1 Period=#2 NULL=BLANK Scale=6",,$D35,$AS$4),CY35)</f>
        <v>3481</v>
      </c>
      <c r="CZ35" s="1000" cm="1">
        <f t="array" aca="1" ref="CZ35" ca="1">IF(NPSwitch=1,_xll.TR(CZ$7,CZ$6,"Sdate=#1 Period=#2 NULL=BLANK Scale=6",,$D35,$AS$4),CZ35)</f>
        <v>3228.5</v>
      </c>
      <c r="DA35" s="1000" t="str" cm="1">
        <f t="array" aca="1" ref="DA35" ca="1">IF(NPSwitch=1,_xll.TR(DA$7,DA$6,"Sdate=#1 Period=#2 NULL=BLANK Scale=6",,$D35,$AS$4),DA35)</f>
        <v/>
      </c>
      <c r="DB35" s="1000" cm="1">
        <f t="array" aca="1" ref="DB35" ca="1">IF(NPSwitch=1,_xll.TR(DB$7,DB$6,"Sdate=#1 Period=#2 NULL=BLANK Scale=6",,$D35,$AS$4),DB35)</f>
        <v>13545.725</v>
      </c>
      <c r="DC35" s="1000" t="str" cm="1">
        <f t="array" aca="1" ref="DC35" ca="1">IF(NPSwitch=1,_xll.TR(DC$7,DC$6,"Sdate=#1 Period=#2 NULL=BLANK Scale=6",,$D35,$AS$4),DC35)</f>
        <v/>
      </c>
      <c r="DD35" s="1000" t="str" cm="1">
        <f t="array" aca="1" ref="DD35" ca="1">IF(NPSwitch=1,_xll.TR(DD$7,DD$6,"Sdate=#1 Period=#2 NULL=BLANK Scale=6",,$D35,$AS$4),DD35)</f>
        <v/>
      </c>
      <c r="DE35" s="1000" t="str" cm="1">
        <f t="array" aca="1" ref="DE35" ca="1">IF(NPSwitch=1,_xll.TR(DE$7,DE$6,"Sdate=#1 Period=#2 NULL=BLANK Scale=6",,$D35,$AS$4),DE35)</f>
        <v/>
      </c>
      <c r="DF35" s="1000" cm="1">
        <f t="array" aca="1" ref="DF35" ca="1">IF(NPSwitch=1,_xll.TR(DF$7,DF$6,"Sdate=#1 Period=#2 NULL=BLANK Scale=6",,$D35,$AS$4),DF35)</f>
        <v>456.1</v>
      </c>
      <c r="DG35" s="1000" t="str" cm="1">
        <f t="array" aca="1" ref="DG35" ca="1">IF(NPSwitch=1,_xll.TR(DG$7,DG$6,"Sdate=#1 Period=#2 NULL=BLANK Scale=6",,$D35,$AS$4),DG35)</f>
        <v/>
      </c>
      <c r="DH35" s="1000" t="str" cm="1">
        <f t="array" aca="1" ref="DH35" ca="1">IF(NPSwitch=1,_xll.TR(DH$7,DH$6,"Sdate=#1 Period=#2 NULL=BLANK Scale=6",,$D35,$AS$4),DH35)</f>
        <v/>
      </c>
    </row>
    <row r="36" spans="3:170" ht="11.25" customHeight="1">
      <c r="C36" s="969">
        <f t="shared" si="44"/>
        <v>38442</v>
      </c>
      <c r="D36" s="974">
        <f t="shared" si="43"/>
        <v>38487</v>
      </c>
      <c r="E36" s="765" cm="1">
        <f t="array" aca="1" ref="E36" ca="1">IF(NPSwitch=1,_xll.TR(E$7,E$6,"Sdate=#1 Period=#2 NULL=BLANK",,$D36,$E$4),E36)</f>
        <v>9.2472056771569608</v>
      </c>
      <c r="F36" s="765" cm="1">
        <f t="array" aca="1" ref="F36" ca="1">IF(NPSwitch=1,_xll.TR(F$7,F$6,"Sdate=#1 Period=#2 NULL=BLANK",,$D36,$E$4),F36)</f>
        <v>8.5586214673467094</v>
      </c>
      <c r="G36" s="765" cm="1">
        <f t="array" aca="1" ref="G36" ca="1">IF(NPSwitch=1,_xll.TR(G$7,G$6,"Sdate=#1 Period=#2 NULL=BLANK",,$D36,$E$4),G36)</f>
        <v>8.1830442796306393</v>
      </c>
      <c r="H36" s="765" cm="1">
        <f t="array" aca="1" ref="H36" ca="1">IF(NPSwitch=1,_xll.TR(H$7,H$6,"Sdate=#1 Period=#2 NULL=BLANK",,$D36,$E$4),H36)</f>
        <v>5.53526972522456</v>
      </c>
      <c r="I36" s="765" cm="1">
        <f t="array" aca="1" ref="I36" ca="1">IF(NPSwitch=1,_xll.TR(I$7,I$6,"Sdate=#1 Period=#2 NULL=BLANK",,$D36,$E$4),I36)</f>
        <v>4.8846288847580803</v>
      </c>
      <c r="J36" s="765" cm="1">
        <f t="array" aca="1" ref="J36" ca="1">IF(NPSwitch=1,_xll.TR(J$7,J$6,"Sdate=#1 Period=#2 NULL=BLANK",,$D36,$E$4),J36)</f>
        <v>6.2084439224213499</v>
      </c>
      <c r="K36" s="765" cm="1">
        <f t="array" aca="1" ref="K36" ca="1">IF(NPSwitch=1,_xll.TR(K$7,K$6,"Sdate=#1 Period=#2 NULL=BLANK",,$D36,$E$4),K36)</f>
        <v>6.3996792799921396</v>
      </c>
      <c r="L36" s="765" cm="1">
        <f t="array" aca="1" ref="L36" ca="1">IF(NPSwitch=1,_xll.TR(L$7,L$6,"Sdate=#1 Period=#2 NULL=BLANK",,$D36,$E$4),L36)</f>
        <v>6.1692973583051796</v>
      </c>
      <c r="M36" s="765" cm="1">
        <f t="array" aca="1" ref="M36" ca="1">IF(NPSwitch=1,_xll.TR(M$7,M$6,"Sdate=#1 Period=#2 NULL=BLANK",,$D36,$E$4),M36)</f>
        <v>6.1408772534009701</v>
      </c>
      <c r="N36" s="1002">
        <f t="shared" ca="1" si="45"/>
        <v>6.2300605750553233</v>
      </c>
      <c r="O36" s="1000" cm="1">
        <f t="array" aca="1" ref="O36" ca="1">IF(NPSwitch=1,_xll.TR(O$7,O$6,"Sdate=#1 Period=#2 Scale=6 NULL=BLANK",,$D36,$O$4),O36)</f>
        <v>58187.203200049997</v>
      </c>
      <c r="P36" s="1000" cm="1">
        <f t="array" aca="1" ref="P36" ca="1">IF(NPSwitch=1,_xll.TR(P$7,P$6,"Sdate=#1 Period=#2 Scale=6 NULL=BLANK",,$D36,$O$4),P36)</f>
        <v>1688.2496812500001</v>
      </c>
      <c r="Q36" s="1000" cm="1">
        <f t="array" aca="1" ref="Q36" ca="1">IF(NPSwitch=1,_xll.TR(Q$7,Q$6,"Sdate=#1 Period=#2 Scale=6 NULL=BLANK",,$D36,$O$4),Q36)</f>
        <v>4758.4279127</v>
      </c>
      <c r="R36" s="1000" cm="1">
        <f t="array" aca="1" ref="R36" ca="1">IF(NPSwitch=1,_xll.TR(R$7,R$6,"Sdate=#1 Period=#2 Scale=6 NULL=BLANK",,$D36,$O$4),R36)</f>
        <v>587.80055679999998</v>
      </c>
      <c r="S36" s="1000" cm="1">
        <f t="array" aca="1" ref="S36" ca="1">IF(NPSwitch=1,_xll.TR(S$7,S$6,"Sdate=#1 Period=#2 Scale=6 NULL=BLANK",,$D36,$O$4),S36)</f>
        <v>4474.89616931</v>
      </c>
      <c r="T36" s="1000" cm="1">
        <f t="array" aca="1" ref="T36" ca="1">IF(NPSwitch=1,_xll.TR(T$7,T$6,"Sdate=#1 Period=#2 Scale=6 NULL=BLANK",,$D36,$O$4),T36)</f>
        <v>1924.52042339999</v>
      </c>
      <c r="U36" s="1000" cm="1">
        <f t="array" aca="1" ref="U36" ca="1">IF(NPSwitch=1,_xll.TR(U$7,U$6,"Sdate=#1 Period=#2 Scale=6 NULL=BLANK",,$D36,$O$4),U36)</f>
        <v>11072.1682335</v>
      </c>
      <c r="V36" s="1000" cm="1">
        <f t="array" aca="1" ref="V36" ca="1">IF(NPSwitch=1,_xll.TR(V$7,V$6,"Sdate=#1 Period=#2 Scale=6 NULL=BLANK",,$D36,$O$4),V36)</f>
        <v>7436.0795292051898</v>
      </c>
      <c r="W36" s="1000" cm="1">
        <f t="array" aca="1" ref="W36" ca="1">IF(NPSwitch=1,_xll.TR(W$7,W$6,"Sdate=#1 Period=#2 Scale=6 NULL=BLANK",,$D36,$O$4),W36)</f>
        <v>4543.9029421499999</v>
      </c>
      <c r="X36" s="998"/>
      <c r="Y36" s="1000" cm="1">
        <f t="array" aca="1" ref="Y36" ca="1">IF(NPSwitch=1,_xll.TR(Y$7,Y$6,"Sdate=#1 Period=#2 Scale=6 NULL=BLANK",,$D36,$O$4),Y36)</f>
        <v>2485</v>
      </c>
      <c r="Z36" s="1000" cm="1">
        <f t="array" aca="1" ref="Z36" ca="1">IF(NPSwitch=1,_xll.TR(Z$7,Z$6,"Sdate=#1 Period=#2 Scale=6 NULL=BLANK",,$D36,$O$4),Z36)</f>
        <v>54.91</v>
      </c>
      <c r="AA36" s="1000" cm="1">
        <f t="array" aca="1" ref="AA36" ca="1">IF(NPSwitch=1,_xll.TR(AA$7,AA$6,"Sdate=#1 Period=#2 Scale=6 NULL=BLANK",,$D36,$O$4),AA36)</f>
        <v>161.5</v>
      </c>
      <c r="AB36" s="1000" cm="1">
        <f t="array" aca="1" ref="AB36" ca="1">IF(NPSwitch=1,_xll.TR(AB$7,AB$6,"Sdate=#1 Period=#2 Scale=6 NULL=BLANK",,$D36,$O$4),AB36)</f>
        <v>59.3</v>
      </c>
      <c r="AC36" s="1000" t="str" cm="1">
        <f t="array" aca="1" ref="AC36" ca="1">IF(NPSwitch=1,_xll.TR(AC$7,AC$6,"Sdate=#1 Period=#2 Scale=6 NULL=BLANK",,$D36,$O$4),AC36)</f>
        <v/>
      </c>
      <c r="AD36" s="1000" cm="1">
        <f t="array" aca="1" ref="AD36" ca="1">IF(NPSwitch=1,_xll.TR(AD$7,AD$6,"Sdate=#1 Period=#2 Scale=6 NULL=BLANK",,$D36,$O$4),AD36)</f>
        <v>181.875</v>
      </c>
      <c r="AE36" s="1000" cm="1">
        <f t="array" aca="1" ref="AE36" ca="1">IF(NPSwitch=1,_xll.TR(AE$7,AE$6,"Sdate=#1 Period=#2 Scale=6 NULL=BLANK",,$D36,$O$4),AE36)</f>
        <v>632.5</v>
      </c>
      <c r="AF36" s="1000" cm="1">
        <f t="array" aca="1" ref="AF36" ca="1">IF(NPSwitch=1,_xll.TR(AF$7,AF$6,"Sdate=#1 Period=#2 Scale=6 NULL=BLANK",,$D36,$O$4),AF36)</f>
        <v>1368</v>
      </c>
      <c r="AG36" s="1000" cm="1">
        <f t="array" aca="1" ref="AG36" ca="1">IF(NPSwitch=1,_xll.TR(AG$7,AG$6,"Sdate=#1 Period=#2 Scale=6 NULL=BLANK",,$D36,$O$4),AG36)</f>
        <v>260.5</v>
      </c>
      <c r="AH36" s="998"/>
      <c r="AI36" s="1000" cm="1">
        <f t="array" aca="1" ref="AI36" ca="1">IF(NPSwitch=1,_xll.TR(AI$7,AI$6,"Sdate=#1 Period=#2 Scale=6 NULL=BLANK",,$D36,$O$4),AI36)</f>
        <v>58679.203200049997</v>
      </c>
      <c r="AJ36" s="1000" cm="1">
        <f t="array" aca="1" ref="AJ36" ca="1">IF(NPSwitch=1,_xll.TR(AJ$7,AJ$6,"Sdate=#1 Period=#2 Scale=6 NULL=BLANK",,$D36,$O$4),AJ36)</f>
        <v>2481.6956812499998</v>
      </c>
      <c r="AK36" s="1000" cm="1">
        <f t="array" aca="1" ref="AK36" ca="1">IF(NPSwitch=1,_xll.TR(AK$7,AK$6,"Sdate=#1 Period=#2 Scale=6 NULL=BLANK",,$D36,$O$4),AK36)</f>
        <v>6496.4279127</v>
      </c>
      <c r="AL36" s="1000" cm="1">
        <f t="array" aca="1" ref="AL36" ca="1">IF(NPSwitch=1,_xll.TR(AL$7,AL$6,"Sdate=#1 Period=#2 Scale=6 NULL=BLANK",,$D36,$O$4),AL36)</f>
        <v>1253.0005567999999</v>
      </c>
      <c r="AM36" s="1000" cm="1">
        <f t="array" aca="1" ref="AM36" ca="1">IF(NPSwitch=1,_xll.TR(AM$7,AM$6,"Sdate=#1 Period=#2 Scale=6 NULL=BLANK",,$D36,$O$4),AM36)</f>
        <v>9446.8961693099991</v>
      </c>
      <c r="AN36" s="1000" cm="1">
        <f t="array" aca="1" ref="AN36" ca="1">IF(NPSwitch=1,_xll.TR(AN$7,AN$6,"Sdate=#1 Period=#2 Scale=6 NULL=BLANK",,$D36,$O$4),AN36)</f>
        <v>2655.3204234</v>
      </c>
      <c r="AO36" s="1000" cm="1">
        <f t="array" aca="1" ref="AO36" ca="1">IF(NPSwitch=1,_xll.TR(AO$7,AO$6,"Sdate=#1 Period=#2 Scale=6 NULL=BLANK",,$D36,$O$4),AO36)</f>
        <v>11808.1682335</v>
      </c>
      <c r="AP36" s="1000" cm="1">
        <f t="array" aca="1" ref="AP36" ca="1">IF(NPSwitch=1,_xll.TR(AP$7,AP$6,"Sdate=#1 Period=#2 Scale=6 NULL=BLANK",,$D36,$O$4),AP36)</f>
        <v>8310.0795292050007</v>
      </c>
      <c r="AQ36" s="1000" cm="1">
        <f t="array" aca="1" ref="AQ36" ca="1">IF(NPSwitch=1,_xll.TR(AQ$7,AQ$6,"Sdate=#1 Period=#2 Scale=6 NULL=BLANK",,$D36,$O$4),AQ36)</f>
        <v>6206.9029421499999</v>
      </c>
      <c r="AS36" s="765" t="str" cm="1">
        <f t="array" aca="1" ref="AS36" ca="1">IF(NPSwitch=1,_xll.TR(AS$7,AS$6,"Sdate=#1 Period=#2 NULL=BLANK Scale=6",,$D36,$AS$4),AS36)</f>
        <v/>
      </c>
      <c r="AT36" s="765" t="str" cm="1">
        <f t="array" aca="1" ref="AT36" ca="1">IF(NPSwitch=1,_xll.TR(AT$7,AT$6,"Sdate=#1 Period=#2 NULL=BLANK Scale=6",,$D36,$AS$4),AT36)</f>
        <v/>
      </c>
      <c r="AU36" s="765" t="str" cm="1">
        <f t="array" aca="1" ref="AU36" ca="1">IF(NPSwitch=1,_xll.TR(AU$7,AU$6,"Sdate=#1 Period=#2 NULL=BLANK Scale=6",,$D36,$AS$4),AU36)</f>
        <v/>
      </c>
      <c r="AV36" s="765" t="str" cm="1">
        <f t="array" aca="1" ref="AV36" ca="1">IF(NPSwitch=1,_xll.TR(AV$7,AV$6,"Sdate=#1 Period=#2 NULL=BLANK Scale=6",,$D36,$AS$4),AV36)</f>
        <v/>
      </c>
      <c r="AW36" s="765" t="str" cm="1">
        <f t="array" aca="1" ref="AW36" ca="1">IF(NPSwitch=1,_xll.TR(AW$7,AW$6,"Sdate=#1 Period=#2 NULL=BLANK Scale=6",,$D36,$AS$4),AW36)</f>
        <v/>
      </c>
      <c r="AX36" s="765" t="str" cm="1">
        <f t="array" aca="1" ref="AX36" ca="1">IF(NPSwitch=1,_xll.TR(AX$7,AX$6,"Sdate=#1 Period=#2 NULL=BLANK Scale=6",,$D36,$AS$4),AX36)</f>
        <v/>
      </c>
      <c r="AY36" s="765" t="str" cm="1">
        <f t="array" aca="1" ref="AY36" ca="1">IF(NPSwitch=1,_xll.TR(AY$7,AY$6,"Sdate=#1 Period=#2 NULL=BLANK Scale=6",,$D36,$AS$4),AY36)</f>
        <v/>
      </c>
      <c r="AZ36" s="765" t="str" cm="1">
        <f t="array" aca="1" ref="AZ36" ca="1">IF(NPSwitch=1,_xll.TR(AZ$7,AZ$6,"Sdate=#1 Period=#2 NULL=BLANK Scale=6",,$D36,$AS$4),AZ36)</f>
        <v/>
      </c>
      <c r="BA36" s="765" t="str" cm="1">
        <f t="array" aca="1" ref="BA36" ca="1">IF(NPSwitch=1,_xll.TR(BA$7,BA$6,"Sdate=#1 Period=#2 NULL=BLANK Scale=6",,$D36,$AS$4),BA36)</f>
        <v/>
      </c>
      <c r="BC36" s="765" cm="1">
        <f t="array" aca="1" ref="BC36" ca="1">IF(NPSwitch=1,_xll.TR(BC$7,BC$6,"Sdate=#1 Period=#2 NULL=BLANK",,$D36,$BC$4),BC36)</f>
        <v>10.472818704</v>
      </c>
      <c r="BD36" s="765" cm="1">
        <f t="array" aca="1" ref="BD36" ca="1">IF(NPSwitch=1,_xll.TR(BD$7,BD$6,"Sdate=#1 Period=#2 NULL=BLANK",,$D36,$BC$4),BD36)</f>
        <v>10.479027473</v>
      </c>
      <c r="BE36" s="765" cm="1">
        <f t="array" aca="1" ref="BE36" ca="1">IF(NPSwitch=1,_xll.TR(BE$7,BE$6,"Sdate=#1 Period=#2 NULL=BLANK",,$D36,$BC$4),BE36)</f>
        <v>6.387834722</v>
      </c>
      <c r="BF36" s="765" cm="1">
        <f t="array" aca="1" ref="BF36" ca="1">IF(NPSwitch=1,_xll.TR(BF$7,BF$6,"Sdate=#1 Period=#2 NULL=BLANK",,$D36,$BC$4),BF36)</f>
        <v>9.2404170860000008</v>
      </c>
      <c r="BG36" s="765" t="str" cm="1">
        <f t="array" aca="1" ref="BG36" ca="1">IF(NPSwitch=1,_xll.TR(BG$7,BG$6,"Sdate=#1 Period=#2 NULL=BLANK",,$D36,$BC$4),BG36)</f>
        <v/>
      </c>
      <c r="BH36" s="765" cm="1">
        <f t="array" aca="1" ref="BH36" ca="1">IF(NPSwitch=1,_xll.TR(BH$7,BH$6,"Sdate=#1 Period=#2 NULL=BLANK",,$D36,$BC$4),BH36)</f>
        <v>6.6834141039999997</v>
      </c>
      <c r="BI36" s="765" cm="1">
        <f t="array" aca="1" ref="BI36" ca="1">IF(NPSwitch=1,_xll.TR(BI$7,BI$6,"Sdate=#1 Period=#2 NULL=BLANK",,$D36,$BC$4),BI36)</f>
        <v>7.7890291779999998</v>
      </c>
      <c r="BJ36" s="765" cm="1">
        <f t="array" aca="1" ref="BJ36" ca="1">IF(NPSwitch=1,_xll.TR(BJ$7,BJ$6,"Sdate=#1 Period=#2 NULL=BLANK",,$D36,$BC$4),BJ36)</f>
        <v>6.6215773139999996</v>
      </c>
      <c r="BK36" s="765" cm="1">
        <f t="array" aca="1" ref="BK36" ca="1">IF(NPSwitch=1,_xll.TR(BK$7,BK$6,"Sdate=#1 Period=#2 NULL=BLANK",,$D36,$BC$4),BK36)</f>
        <v>7.3367647070000004</v>
      </c>
      <c r="BM36" s="1014"/>
      <c r="BO36" s="765" cm="1">
        <f t="array" aca="1" ref="BO36" ca="1">IF(NPSwitch=1,_xll.TR(BO$7,BO$6,"Sdate=#1 Period=#2 NULL=BLANK Scale=6",,$D36,$AS$4),BO36)</f>
        <v>20238</v>
      </c>
      <c r="BP36" s="765" cm="1">
        <f t="array" aca="1" ref="BP36" ca="1">IF(NPSwitch=1,_xll.TR(BP$7,BP$6,"Sdate=#1 Period=#2 NULL=BLANK Scale=6",,$D36,$AS$4),BP36)</f>
        <v>1701.693</v>
      </c>
      <c r="BQ36" s="765" cm="1">
        <f t="array" aca="1" ref="BQ36" ca="1">IF(NPSwitch=1,_xll.TR(BQ$7,BQ$6,"Sdate=#1 Period=#2 NULL=BLANK Scale=6",,$D36,$AS$4),BQ36)</f>
        <v>8779</v>
      </c>
      <c r="BR36" s="765" cm="1">
        <f t="array" aca="1" ref="BR36" ca="1">IF(NPSwitch=1,_xll.TR(BR$7,BR$6,"Sdate=#1 Period=#2 NULL=BLANK Scale=6",,$D36,$AS$4),BR36)</f>
        <v>2266.3000000000002</v>
      </c>
      <c r="BS36" s="765" cm="1">
        <f t="array" aca="1" ref="BS36" ca="1">IF(NPSwitch=1,_xll.TR(BS$7,BS$6,"Sdate=#1 Period=#2 NULL=BLANK Scale=6",,$D36,$AS$4),BS36)</f>
        <v>12154.9</v>
      </c>
      <c r="BT36" s="765" cm="1">
        <f t="array" aca="1" ref="BT36" ca="1">IF(NPSwitch=1,_xll.TR(BT$7,BT$6,"Sdate=#1 Period=#2 NULL=BLANK Scale=6",,$D36,$AS$4),BT36)</f>
        <v>2097.9</v>
      </c>
      <c r="BU36" s="765" cm="1">
        <f t="array" aca="1" ref="BU36" ca="1">IF(NPSwitch=1,_xll.TR(BU$7,BU$6,"Sdate=#1 Period=#2 NULL=BLANK Scale=6",,$D36,$AS$4),BU36)</f>
        <v>9742</v>
      </c>
      <c r="BV36" s="765" cm="1">
        <f t="array" aca="1" ref="BV36" ca="1">IF(NPSwitch=1,_xll.TR(BV$7,BV$6,"Sdate=#1 Period=#2 NULL=BLANK Scale=6",,$D36,$AS$4),BV36)</f>
        <v>7532</v>
      </c>
      <c r="BW36" s="765" cm="1">
        <f t="array" aca="1" ref="BW36" ca="1">IF(NPSwitch=1,_xll.TR(BW$7,BW$6,"Sdate=#1 Period=#2 NULL=BLANK Scale=6",,$D36,$AS$4),BW36)</f>
        <v>6745</v>
      </c>
      <c r="BY36" s="765" cm="1">
        <f t="array" aca="1" ref="BY36" ca="1">IF(NPSwitch=1,_xll.TR(BY$7,BY$6,"Sdate=#1 Period=#2 NULL=BLANK Scale=6",,$D36,$AS$4),BY36)</f>
        <v>12218</v>
      </c>
      <c r="BZ36" s="765" cm="1">
        <f t="array" aca="1" ref="BZ36" ca="1">IF(NPSwitch=1,_xll.TR(BZ$7,BZ$6,"Sdate=#1 Period=#2 NULL=BLANK Scale=6",,$D36,$AS$4),BZ36)</f>
        <v>1460.364</v>
      </c>
      <c r="CA36" s="765" cm="1">
        <f t="array" aca="1" ref="CA36" ca="1">IF(NPSwitch=1,_xll.TR(CA$7,CA$6,"Sdate=#1 Period=#2 NULL=BLANK Scale=6",,$D36,$AS$4),CA36)</f>
        <v>4378.25</v>
      </c>
      <c r="CB36" s="765" cm="1">
        <f t="array" aca="1" ref="CB36" ca="1">IF(NPSwitch=1,_xll.TR(CB$7,CB$6,"Sdate=#1 Period=#2 NULL=BLANK Scale=6",,$D36,$AS$4),CB36)</f>
        <v>1107.675</v>
      </c>
      <c r="CC36" s="765" t="str" cm="1">
        <f t="array" aca="1" ref="CC36" ca="1">IF(NPSwitch=1,_xll.TR(CC$7,CC$6,"Sdate=#1 Period=#2 NULL=BLANK Scale=6",,$D36,$AS$4),CC36)</f>
        <v/>
      </c>
      <c r="CD36" s="765" cm="1">
        <f t="array" aca="1" ref="CD36" ca="1">IF(NPSwitch=1,_xll.TR(CD$7,CD$6,"Sdate=#1 Period=#2 NULL=BLANK Scale=6",,$D36,$AS$4),CD36)</f>
        <v>1833.45</v>
      </c>
      <c r="CE36" s="765" cm="1">
        <f t="array" aca="1" ref="CE36" ca="1">IF(NPSwitch=1,_xll.TR(CE$7,CE$6,"Sdate=#1 Period=#2 NULL=BLANK Scale=6",,$D36,$AS$4),CE36)</f>
        <v>4883.25</v>
      </c>
      <c r="CF36" s="765" cm="1">
        <f t="array" aca="1" ref="CF36" ca="1">IF(NPSwitch=1,_xll.TR(CF$7,CF$6,"Sdate=#1 Period=#2 NULL=BLANK Scale=6",,$D36,$AS$4),CF36)</f>
        <v>5975</v>
      </c>
      <c r="CG36" s="765" cm="1">
        <f t="array" aca="1" ref="CG36" ca="1">IF(NPSwitch=1,_xll.TR(CG$7,CG$6,"Sdate=#1 Period=#2 NULL=BLANK Scale=6",,$D36,$AS$4),CG36)</f>
        <v>3248</v>
      </c>
      <c r="CI36" s="1000" cm="1">
        <f t="array" aca="1" ref="CI36" ca="1">IF(NPSwitch=1,_xll.TR(CI$7,CI$6,"Sdate=#1 Period=#2 NULL=BLANK Scale=6",,$D36,$AS$4),CI36)</f>
        <v>5603</v>
      </c>
      <c r="CJ36" s="1000" cm="1">
        <f t="array" aca="1" ref="CJ36" ca="1">IF(NPSwitch=1,_xll.TR(CJ$7,CJ$6,"Sdate=#1 Period=#2 NULL=BLANK Scale=6",,$D36,$AS$4),CJ36)</f>
        <v>236.82499999999999</v>
      </c>
      <c r="CK36" s="1000" cm="1">
        <f t="array" aca="1" ref="CK36" ca="1">IF(NPSwitch=1,_xll.TR(CK$7,CK$6,"Sdate=#1 Period=#2 NULL=BLANK Scale=6",,$D36,$AS$4),CK36)</f>
        <v>1017</v>
      </c>
      <c r="CL36" s="1000" cm="1">
        <f t="array" aca="1" ref="CL36" ca="1">IF(NPSwitch=1,_xll.TR(CL$7,CL$6,"Sdate=#1 Period=#2 NULL=BLANK Scale=6",,$D36,$AS$4),CL36)</f>
        <v>123.8</v>
      </c>
      <c r="CM36" s="1000" t="str" cm="1">
        <f t="array" aca="1" ref="CM36" ca="1">IF(NPSwitch=1,_xll.TR(CM$7,CM$6,"Sdate=#1 Period=#2 NULL=BLANK Scale=6",,$D36,$AS$4),CM36)</f>
        <v/>
      </c>
      <c r="CN36" s="1000" cm="1">
        <f t="array" aca="1" ref="CN36" ca="1">IF(NPSwitch=1,_xll.TR(CN$7,CN$6,"Sdate=#1 Period=#2 NULL=BLANK Scale=6",,$D36,$AS$4),CN36)</f>
        <v>397.3</v>
      </c>
      <c r="CO36" s="1000" cm="1">
        <f t="array" aca="1" ref="CO36" ca="1">IF(NPSwitch=1,_xll.TR(CO$7,CO$6,"Sdate=#1 Period=#2 NULL=BLANK Scale=6",,$D36,$AS$4),CO36)</f>
        <v>1516</v>
      </c>
      <c r="CP36" s="1000" cm="1">
        <f t="array" aca="1" ref="CP36" ca="1">IF(NPSwitch=1,_xll.TR(CP$7,CP$6,"Sdate=#1 Period=#2 NULL=BLANK Scale=6",,$D36,$AS$4),CP36)</f>
        <v>1265</v>
      </c>
      <c r="CQ36" s="1000" cm="1">
        <f t="array" aca="1" ref="CQ36" ca="1">IF(NPSwitch=1,_xll.TR(CQ$7,CQ$6,"Sdate=#1 Period=#2 NULL=BLANK Scale=6",,$D36,$AS$4),CQ36)</f>
        <v>846</v>
      </c>
      <c r="CS36" s="1000" cm="1">
        <f t="array" aca="1" ref="CS36" ca="1">IF(NPSwitch=1,_xll.TR(CS$7,CS$6,"Sdate=#1 Period=#2 NULL=BLANK Scale=6",,$D36,$AS$4),CS36)</f>
        <v>5564.75</v>
      </c>
      <c r="CT36" s="1000" cm="1">
        <f t="array" aca="1" ref="CT36" ca="1">IF(NPSwitch=1,_xll.TR(CT$7,CT$6,"Sdate=#1 Period=#2 NULL=BLANK Scale=6",,$D36,$AS$4),CT36)</f>
        <v>801.12175000000002</v>
      </c>
      <c r="CU36" s="1000" cm="1">
        <f t="array" aca="1" ref="CU36" ca="1">IF(NPSwitch=1,_xll.TR(CU$7,CU$6,"Sdate=#1 Period=#2 NULL=BLANK Scale=6",,$D36,$AS$4),CU36)</f>
        <v>1263.25</v>
      </c>
      <c r="CV36" s="1000" cm="1">
        <f t="array" aca="1" ref="CV36" ca="1">IF(NPSwitch=1,_xll.TR(CV$7,CV$6,"Sdate=#1 Period=#2 NULL=BLANK Scale=6",,$D36,$AS$4),CV36)</f>
        <v>445.42500000000001</v>
      </c>
      <c r="CW36" s="1000" cm="1">
        <f t="array" aca="1" ref="CW36" ca="1">IF(NPSwitch=1,_xll.TR(CW$7,CW$6,"Sdate=#1 Period=#2 NULL=BLANK Scale=6",,$D36,$AS$4),CW36)</f>
        <v>1089.5250000000001</v>
      </c>
      <c r="CX36" s="1000" cm="1">
        <f t="array" aca="1" ref="CX36" ca="1">IF(NPSwitch=1,_xll.TR(CX$7,CX$6,"Sdate=#1 Period=#2 NULL=BLANK Scale=6",,$D36,$AS$4),CX36)</f>
        <v>2439</v>
      </c>
      <c r="CY36" s="1000" cm="1">
        <f t="array" aca="1" ref="CY36" ca="1">IF(NPSwitch=1,_xll.TR(CY$7,CY$6,"Sdate=#1 Period=#2 NULL=BLANK Scale=6",,$D36,$AS$4),CY36)</f>
        <v>3460.25</v>
      </c>
      <c r="CZ36" s="1000" cm="1">
        <f t="array" aca="1" ref="CZ36" ca="1">IF(NPSwitch=1,_xll.TR(CZ$7,CZ$6,"Sdate=#1 Period=#2 NULL=BLANK Scale=6",,$D36,$AS$4),CZ36)</f>
        <v>3176.25</v>
      </c>
      <c r="DA36" s="1000" t="str" cm="1">
        <f t="array" aca="1" ref="DA36" ca="1">IF(NPSwitch=1,_xll.TR(DA$7,DA$6,"Sdate=#1 Period=#2 NULL=BLANK Scale=6",,$D36,$AS$4),DA36)</f>
        <v/>
      </c>
      <c r="DB36" s="1000" cm="1">
        <f t="array" aca="1" ref="DB36" ca="1">IF(NPSwitch=1,_xll.TR(DB$7,DB$6,"Sdate=#1 Period=#2 NULL=BLANK Scale=6",,$D36,$AS$4),DB36)</f>
        <v>13396.424999999999</v>
      </c>
      <c r="DC36" s="1000" t="str" cm="1">
        <f t="array" aca="1" ref="DC36" ca="1">IF(NPSwitch=1,_xll.TR(DC$7,DC$6,"Sdate=#1 Period=#2 NULL=BLANK Scale=6",,$D36,$AS$4),DC36)</f>
        <v/>
      </c>
      <c r="DD36" s="1000" t="str" cm="1">
        <f t="array" aca="1" ref="DD36" ca="1">IF(NPSwitch=1,_xll.TR(DD$7,DD$6,"Sdate=#1 Period=#2 NULL=BLANK Scale=6",,$D36,$AS$4),DD36)</f>
        <v/>
      </c>
      <c r="DE36" s="1000" t="str" cm="1">
        <f t="array" aca="1" ref="DE36" ca="1">IF(NPSwitch=1,_xll.TR(DE$7,DE$6,"Sdate=#1 Period=#2 NULL=BLANK Scale=6",,$D36,$AS$4),DE36)</f>
        <v/>
      </c>
      <c r="DF36" s="1000" cm="1">
        <f t="array" aca="1" ref="DF36" ca="1">IF(NPSwitch=1,_xll.TR(DF$7,DF$6,"Sdate=#1 Period=#2 NULL=BLANK Scale=6",,$D36,$AS$4),DF36)</f>
        <v>445.42500000000001</v>
      </c>
      <c r="DG36" s="1000" t="str" cm="1">
        <f t="array" aca="1" ref="DG36" ca="1">IF(NPSwitch=1,_xll.TR(DG$7,DG$6,"Sdate=#1 Period=#2 NULL=BLANK Scale=6",,$D36,$AS$4),DG36)</f>
        <v/>
      </c>
      <c r="DH36" s="1000" cm="1">
        <f t="array" aca="1" ref="DH36" ca="1">IF(NPSwitch=1,_xll.TR(DH$7,DH$6,"Sdate=#1 Period=#2 NULL=BLANK Scale=6",,$D36,$AS$4),DH36)</f>
        <v>866.13924999999995</v>
      </c>
    </row>
    <row r="37" spans="3:170" ht="11.25" customHeight="1">
      <c r="C37" s="971">
        <f t="shared" si="44"/>
        <v>38533</v>
      </c>
      <c r="D37" s="974">
        <f t="shared" si="43"/>
        <v>38578</v>
      </c>
      <c r="E37" s="765" cm="1">
        <f t="array" aca="1" ref="E37" ca="1">IF(NPSwitch=1,_xll.TR(E$7,E$6,"Sdate=#1 Period=#2 NULL=BLANK",,$D37,$E$4),E37)</f>
        <v>8.5181585069270298</v>
      </c>
      <c r="F37" s="765" cm="1">
        <f t="array" aca="1" ref="F37" ca="1">IF(NPSwitch=1,_xll.TR(F$7,F$6,"Sdate=#1 Period=#2 NULL=BLANK",,$D37,$E$4),F37)</f>
        <v>8.1196576647345005</v>
      </c>
      <c r="G37" s="765" cm="1">
        <f t="array" aca="1" ref="G37" ca="1">IF(NPSwitch=1,_xll.TR(G$7,G$6,"Sdate=#1 Period=#2 NULL=BLANK",,$D37,$E$4),G37)</f>
        <v>6.6333215077605301</v>
      </c>
      <c r="H37" s="765" cm="1">
        <f t="array" aca="1" ref="H37" ca="1">IF(NPSwitch=1,_xll.TR(H$7,H$6,"Sdate=#1 Period=#2 NULL=BLANK",,$D37,$E$4),H37)</f>
        <v>6.1025989531252396</v>
      </c>
      <c r="I37" s="765" cm="1">
        <f t="array" aca="1" ref="I37" ca="1">IF(NPSwitch=1,_xll.TR(I$7,I$6,"Sdate=#1 Period=#2 NULL=BLANK",,$D37,$E$4),I37)</f>
        <v>4.9835236146653497</v>
      </c>
      <c r="J37" s="765" cm="1">
        <f t="array" aca="1" ref="J37" ca="1">IF(NPSwitch=1,_xll.TR(J$7,J$6,"Sdate=#1 Period=#2 NULL=BLANK",,$D37,$E$4),J37)</f>
        <v>6.5020152716734101</v>
      </c>
      <c r="K37" s="765" cm="1">
        <f t="array" aca="1" ref="K37" ca="1">IF(NPSwitch=1,_xll.TR(K$7,K$6,"Sdate=#1 Period=#2 NULL=BLANK",,$D37,$E$4),K37)</f>
        <v>6.4133694331197004</v>
      </c>
      <c r="L37" s="765" cm="1">
        <f t="array" aca="1" ref="L37" ca="1">IF(NPSwitch=1,_xll.TR(L$7,L$6,"Sdate=#1 Period=#2 NULL=BLANK",,$D37,$E$4),L37)</f>
        <v>5.87062605914688</v>
      </c>
      <c r="M37" s="765" cm="1">
        <f t="array" aca="1" ref="M37" ca="1">IF(NPSwitch=1,_xll.TR(M$7,M$6,"Sdate=#1 Period=#2 NULL=BLANK",,$D37,$E$4),M37)</f>
        <v>4.9706892077254903</v>
      </c>
      <c r="N37" s="1002">
        <f t="shared" ca="1" si="45"/>
        <v>6.0842424732485183</v>
      </c>
      <c r="O37" s="1000" cm="1">
        <f t="array" aca="1" ref="O37" ca="1">IF(NPSwitch=1,_xll.TR(O$7,O$6,"Sdate=#1 Period=#2 Scale=6 NULL=BLANK",,$D37,$O$4),O37)</f>
        <v>55039.278888659901</v>
      </c>
      <c r="P37" s="1000" cm="1">
        <f t="array" aca="1" ref="P37" ca="1">IF(NPSwitch=1,_xll.TR(P$7,P$6,"Sdate=#1 Period=#2 Scale=6 NULL=BLANK",,$D37,$O$4),P37)</f>
        <v>1738.3626305499999</v>
      </c>
      <c r="Q37" s="1000" cm="1">
        <f t="array" aca="1" ref="Q37" ca="1">IF(NPSwitch=1,_xll.TR(Q$7,Q$6,"Sdate=#1 Period=#2 Scale=6 NULL=BLANK",,$D37,$O$4),Q37)</f>
        <v>4637.4885000000004</v>
      </c>
      <c r="R37" s="1000" cm="1">
        <f t="array" aca="1" ref="R37" ca="1">IF(NPSwitch=1,_xll.TR(R$7,R$6,"Sdate=#1 Period=#2 Scale=6 NULL=BLANK",,$D37,$O$4),R37)</f>
        <v>690.03421803000003</v>
      </c>
      <c r="S37" s="1000" cm="1">
        <f t="array" aca="1" ref="S37" ca="1">IF(NPSwitch=1,_xll.TR(S$7,S$6,"Sdate=#1 Period=#2 Scale=6 NULL=BLANK",,$D37,$O$4),S37)</f>
        <v>4838.9100737999997</v>
      </c>
      <c r="T37" s="1000" cm="1">
        <f t="array" aca="1" ref="T37" ca="1">IF(NPSwitch=1,_xll.TR(T$7,T$6,"Sdate=#1 Period=#2 Scale=6 NULL=BLANK",,$D37,$O$4),T37)</f>
        <v>2283.6965872799901</v>
      </c>
      <c r="U37" s="1000" cm="1">
        <f t="array" aca="1" ref="U37" ca="1">IF(NPSwitch=1,_xll.TR(U$7,U$6,"Sdate=#1 Period=#2 Scale=6 NULL=BLANK",,$D37,$O$4),U37)</f>
        <v>10971.8296265399</v>
      </c>
      <c r="V37" s="1000" cm="1">
        <f t="array" aca="1" ref="V37" ca="1">IF(NPSwitch=1,_xll.TR(V$7,V$6,"Sdate=#1 Period=#2 Scale=6 NULL=BLANK",,$D37,$O$4),V37)</f>
        <v>7592.2287588196004</v>
      </c>
      <c r="W37" s="1000" cm="1">
        <f t="array" aca="1" ref="W37" ca="1">IF(NPSwitch=1,_xll.TR(W$7,W$6,"Sdate=#1 Period=#2 Scale=6 NULL=BLANK",,$D37,$O$4),W37)</f>
        <v>4263.738507</v>
      </c>
      <c r="X37" s="998"/>
      <c r="Y37" s="1000" cm="1">
        <f t="array" aca="1" ref="Y37" ca="1">IF(NPSwitch=1,_xll.TR(Y$7,Y$6,"Sdate=#1 Period=#2 Scale=6 NULL=BLANK",,$D37,$O$4),Y37)</f>
        <v>2349.75</v>
      </c>
      <c r="Z37" s="1000" cm="1">
        <f t="array" aca="1" ref="Z37" ca="1">IF(NPSwitch=1,_xll.TR(Z$7,Z$6,"Sdate=#1 Period=#2 Scale=6 NULL=BLANK",,$D37,$O$4),Z37)</f>
        <v>69.818749999999994</v>
      </c>
      <c r="AA37" s="1000" cm="1">
        <f t="array" aca="1" ref="AA37" ca="1">IF(NPSwitch=1,_xll.TR(AA$7,AA$6,"Sdate=#1 Period=#2 Scale=6 NULL=BLANK",,$D37,$O$4),AA37)</f>
        <v>288.75</v>
      </c>
      <c r="AB37" s="1000" cm="1">
        <f t="array" aca="1" ref="AB37" ca="1">IF(NPSwitch=1,_xll.TR(AB$7,AB$6,"Sdate=#1 Period=#2 Scale=6 NULL=BLANK",,$D37,$O$4),AB37)</f>
        <v>54.8</v>
      </c>
      <c r="AC37" s="1000" cm="1">
        <f t="array" aca="1" ref="AC37" ca="1">IF(NPSwitch=1,_xll.TR(AC$7,AC$6,"Sdate=#1 Period=#2 Scale=6 NULL=BLANK",,$D37,$O$4),AC37)</f>
        <v>247.55</v>
      </c>
      <c r="AD37" s="1000" cm="1">
        <f t="array" aca="1" ref="AD37" ca="1">IF(NPSwitch=1,_xll.TR(AD$7,AD$6,"Sdate=#1 Period=#2 Scale=6 NULL=BLANK",,$D37,$O$4),AD37)</f>
        <v>224</v>
      </c>
      <c r="AE37" s="1000" cm="1">
        <f t="array" aca="1" ref="AE37" ca="1">IF(NPSwitch=1,_xll.TR(AE$7,AE$6,"Sdate=#1 Period=#2 Scale=6 NULL=BLANK",,$D37,$O$4),AE37)</f>
        <v>604.25</v>
      </c>
      <c r="AF37" s="1000" cm="1">
        <f t="array" aca="1" ref="AF37" ca="1">IF(NPSwitch=1,_xll.TR(AF$7,AF$6,"Sdate=#1 Period=#2 Scale=6 NULL=BLANK",,$D37,$O$4),AF37)</f>
        <v>1444.5</v>
      </c>
      <c r="AG37" s="1000" cm="1">
        <f t="array" aca="1" ref="AG37" ca="1">IF(NPSwitch=1,_xll.TR(AG$7,AG$6,"Sdate=#1 Period=#2 Scale=6 NULL=BLANK",,$D37,$O$4),AG37)</f>
        <v>284.5</v>
      </c>
      <c r="AH37" s="998"/>
      <c r="AI37" s="1000" cm="1">
        <f t="array" aca="1" ref="AI37" ca="1">IF(NPSwitch=1,_xll.TR(AI$7,AI$6,"Sdate=#1 Period=#2 Scale=6 NULL=BLANK",,$D37,$O$4),AI37)</f>
        <v>55328.278888660003</v>
      </c>
      <c r="AJ37" s="1000" cm="1">
        <f t="array" aca="1" ref="AJ37" ca="1">IF(NPSwitch=1,_xll.TR(AJ$7,AJ$6,"Sdate=#1 Period=#2 Scale=6 NULL=BLANK",,$D37,$O$4),AJ37)</f>
        <v>2526.0796305499998</v>
      </c>
      <c r="AK37" s="1000" cm="1">
        <f t="array" aca="1" ref="AK37" ca="1">IF(NPSwitch=1,_xll.TR(AK$7,AK$6,"Sdate=#1 Period=#2 Scale=6 NULL=BLANK",,$D37,$O$4),AK37)</f>
        <v>4113.4885000000004</v>
      </c>
      <c r="AL37" s="1000" cm="1">
        <f t="array" aca="1" ref="AL37" ca="1">IF(NPSwitch=1,_xll.TR(AL$7,AL$6,"Sdate=#1 Period=#2 Scale=6 NULL=BLANK",,$D37,$O$4),AL37)</f>
        <v>1352.23421803</v>
      </c>
      <c r="AM37" s="1000" cm="1">
        <f t="array" aca="1" ref="AM37" ca="1">IF(NPSwitch=1,_xll.TR(AM$7,AM$6,"Sdate=#1 Period=#2 Scale=6 NULL=BLANK",,$D37,$O$4),AM37)</f>
        <v>9625.4100737999997</v>
      </c>
      <c r="AN37" s="1000" cm="1">
        <f t="array" aca="1" ref="AN37" ca="1">IF(NPSwitch=1,_xll.TR(AN$7,AN$6,"Sdate=#1 Period=#2 Scale=6 NULL=BLANK",,$D37,$O$4),AN37)</f>
        <v>2946.4965872799999</v>
      </c>
      <c r="AO37" s="1000" cm="1">
        <f t="array" aca="1" ref="AO37" ca="1">IF(NPSwitch=1,_xll.TR(AO$7,AO$6,"Sdate=#1 Period=#2 Scale=6 NULL=BLANK",,$D37,$O$4),AO37)</f>
        <v>11974.82962654</v>
      </c>
      <c r="AP37" s="1000" cm="1">
        <f t="array" aca="1" ref="AP37" ca="1">IF(NPSwitch=1,_xll.TR(AP$7,AP$6,"Sdate=#1 Period=#2 Scale=6 NULL=BLANK",,$D37,$O$4),AP37)</f>
        <v>8435.2287588199997</v>
      </c>
      <c r="AQ37" s="1000" cm="1">
        <f t="array" aca="1" ref="AQ37" ca="1">IF(NPSwitch=1,_xll.TR(AQ$7,AQ$6,"Sdate=#1 Period=#2 Scale=6 NULL=BLANK",,$D37,$O$4),AQ37)</f>
        <v>5476.738507</v>
      </c>
      <c r="AS37" s="765" t="str" cm="1">
        <f t="array" aca="1" ref="AS37" ca="1">IF(NPSwitch=1,_xll.TR(AS$7,AS$6,"Sdate=#1 Period=#2 NULL=BLANK Scale=6",,$D37,$AS$4),AS37)</f>
        <v/>
      </c>
      <c r="AT37" s="765" t="str" cm="1">
        <f t="array" aca="1" ref="AT37" ca="1">IF(NPSwitch=1,_xll.TR(AT$7,AT$6,"Sdate=#1 Period=#2 NULL=BLANK Scale=6",,$D37,$AS$4),AT37)</f>
        <v/>
      </c>
      <c r="AU37" s="765" t="str" cm="1">
        <f t="array" aca="1" ref="AU37" ca="1">IF(NPSwitch=1,_xll.TR(AU$7,AU$6,"Sdate=#1 Period=#2 NULL=BLANK Scale=6",,$D37,$AS$4),AU37)</f>
        <v/>
      </c>
      <c r="AV37" s="765" t="str" cm="1">
        <f t="array" aca="1" ref="AV37" ca="1">IF(NPSwitch=1,_xll.TR(AV$7,AV$6,"Sdate=#1 Period=#2 NULL=BLANK Scale=6",,$D37,$AS$4),AV37)</f>
        <v/>
      </c>
      <c r="AW37" s="765" t="str" cm="1">
        <f t="array" aca="1" ref="AW37" ca="1">IF(NPSwitch=1,_xll.TR(AW$7,AW$6,"Sdate=#1 Period=#2 NULL=BLANK Scale=6",,$D37,$AS$4),AW37)</f>
        <v/>
      </c>
      <c r="AX37" s="765" t="str" cm="1">
        <f t="array" aca="1" ref="AX37" ca="1">IF(NPSwitch=1,_xll.TR(AX$7,AX$6,"Sdate=#1 Period=#2 NULL=BLANK Scale=6",,$D37,$AS$4),AX37)</f>
        <v/>
      </c>
      <c r="AY37" s="765" t="str" cm="1">
        <f t="array" aca="1" ref="AY37" ca="1">IF(NPSwitch=1,_xll.TR(AY$7,AY$6,"Sdate=#1 Period=#2 NULL=BLANK Scale=6",,$D37,$AS$4),AY37)</f>
        <v/>
      </c>
      <c r="AZ37" s="765" t="str" cm="1">
        <f t="array" aca="1" ref="AZ37" ca="1">IF(NPSwitch=1,_xll.TR(AZ$7,AZ$6,"Sdate=#1 Period=#2 NULL=BLANK Scale=6",,$D37,$AS$4),AZ37)</f>
        <v/>
      </c>
      <c r="BA37" s="765" t="str" cm="1">
        <f t="array" aca="1" ref="BA37" ca="1">IF(NPSwitch=1,_xll.TR(BA$7,BA$6,"Sdate=#1 Period=#2 NULL=BLANK Scale=6",,$D37,$AS$4),BA37)</f>
        <v/>
      </c>
      <c r="BC37" s="765" cm="1">
        <f t="array" aca="1" ref="BC37" ca="1">IF(NPSwitch=1,_xll.TR(BC$7,BC$6,"Sdate=#1 Period=#2 NULL=BLANK",,$D37,$BC$4),BC37)</f>
        <v>9.787418873</v>
      </c>
      <c r="BD37" s="765" cm="1">
        <f t="array" aca="1" ref="BD37" ca="1">IF(NPSwitch=1,_xll.TR(BD$7,BD$6,"Sdate=#1 Period=#2 NULL=BLANK",,$D37,$BC$4),BD37)</f>
        <v>9.6685751759999992</v>
      </c>
      <c r="BE37" s="765" cm="1">
        <f t="array" aca="1" ref="BE37" ca="1">IF(NPSwitch=1,_xll.TR(BE$7,BE$6,"Sdate=#1 Period=#2 NULL=BLANK",,$D37,$BC$4),BE37)</f>
        <v>3.7125347469999999</v>
      </c>
      <c r="BF37" s="765" cm="1">
        <f t="array" aca="1" ref="BF37" ca="1">IF(NPSwitch=1,_xll.TR(BF$7,BF$6,"Sdate=#1 Period=#2 NULL=BLANK",,$D37,$BC$4),BF37)</f>
        <v>10.515040576000001</v>
      </c>
      <c r="BG37" s="765" t="str" cm="1">
        <f t="array" aca="1" ref="BG37" ca="1">IF(NPSwitch=1,_xll.TR(BG$7,BG$6,"Sdate=#1 Period=#2 NULL=BLANK",,$D37,$BC$4),BG37)</f>
        <v/>
      </c>
      <c r="BH37" s="765" cm="1">
        <f t="array" aca="1" ref="BH37" ca="1">IF(NPSwitch=1,_xll.TR(BH$7,BH$6,"Sdate=#1 Period=#2 NULL=BLANK",,$D37,$BC$4),BH37)</f>
        <v>7.1743281889999997</v>
      </c>
      <c r="BI37" s="765" cm="1">
        <f t="array" aca="1" ref="BI37" ca="1">IF(NPSwitch=1,_xll.TR(BI$7,BI$6,"Sdate=#1 Period=#2 NULL=BLANK",,$D37,$BC$4),BI37)</f>
        <v>7.6909631510000001</v>
      </c>
      <c r="BJ37" s="765" cm="1">
        <f t="array" aca="1" ref="BJ37" ca="1">IF(NPSwitch=1,_xll.TR(BJ$7,BJ$6,"Sdate=#1 Period=#2 NULL=BLANK",,$D37,$BC$4),BJ37)</f>
        <v>6.4000218200000001</v>
      </c>
      <c r="BK37" s="765" cm="1">
        <f t="array" aca="1" ref="BK37" ca="1">IF(NPSwitch=1,_xll.TR(BK$7,BK$6,"Sdate=#1 Period=#2 NULL=BLANK",,$D37,$BC$4),BK37)</f>
        <v>5.8574743390000004</v>
      </c>
      <c r="BM37" s="1014"/>
      <c r="BO37" s="765" cm="1">
        <f t="array" aca="1" ref="BO37" ca="1">IF(NPSwitch=1,_xll.TR(BO$7,BO$6,"Sdate=#1 Period=#2 NULL=BLANK Scale=6",,$D37,$AS$4),BO37)</f>
        <v>20520</v>
      </c>
      <c r="BP37" s="765" cm="1">
        <f t="array" aca="1" ref="BP37" ca="1">IF(NPSwitch=1,_xll.TR(BP$7,BP$6,"Sdate=#1 Period=#2 NULL=BLANK Scale=6",,$D37,$AS$4),BP37)</f>
        <v>1877.6880000000001</v>
      </c>
      <c r="BQ37" s="765" cm="1">
        <f t="array" aca="1" ref="BQ37" ca="1">IF(NPSwitch=1,_xll.TR(BQ$7,BQ$6,"Sdate=#1 Period=#2 NULL=BLANK Scale=6",,$D37,$AS$4),BQ37)</f>
        <v>9065</v>
      </c>
      <c r="BR37" s="765" cm="1">
        <f t="array" aca="1" ref="BR37" ca="1">IF(NPSwitch=1,_xll.TR(BR$7,BR$6,"Sdate=#1 Period=#2 NULL=BLANK Scale=6",,$D37,$AS$4),BR37)</f>
        <v>2328.9</v>
      </c>
      <c r="BS37" s="765" cm="1">
        <f t="array" aca="1" ref="BS37" ca="1">IF(NPSwitch=1,_xll.TR(BS$7,BS$6,"Sdate=#1 Period=#2 NULL=BLANK Scale=6",,$D37,$AS$4),BS37)</f>
        <v>12740.4</v>
      </c>
      <c r="BT37" s="765" cm="1">
        <f t="array" aca="1" ref="BT37" ca="1">IF(NPSwitch=1,_xll.TR(BT$7,BT$6,"Sdate=#1 Period=#2 NULL=BLANK Scale=6",,$D37,$AS$4),BT37)</f>
        <v>2129.1999999999998</v>
      </c>
      <c r="BU37" s="765" cm="1">
        <f t="array" aca="1" ref="BU37" ca="1">IF(NPSwitch=1,_xll.TR(BU$7,BU$6,"Sdate=#1 Period=#2 NULL=BLANK Scale=6",,$D37,$AS$4),BU37)</f>
        <v>9969</v>
      </c>
      <c r="BV37" s="765" cm="1">
        <f t="array" aca="1" ref="BV37" ca="1">IF(NPSwitch=1,_xll.TR(BV$7,BV$6,"Sdate=#1 Period=#2 NULL=BLANK Scale=6",,$D37,$AS$4),BV37)</f>
        <v>7833</v>
      </c>
      <c r="BW37" s="765" cm="1">
        <f t="array" aca="1" ref="BW37" ca="1">IF(NPSwitch=1,_xll.TR(BW$7,BW$6,"Sdate=#1 Period=#2 NULL=BLANK Scale=6",,$D37,$AS$4),BW37)</f>
        <v>6821</v>
      </c>
      <c r="BY37" s="765" cm="1">
        <f t="array" aca="1" ref="BY37" ca="1">IF(NPSwitch=1,_xll.TR(BY$7,BY$6,"Sdate=#1 Period=#2 NULL=BLANK Scale=6",,$D37,$AS$4),BY37)</f>
        <v>12492</v>
      </c>
      <c r="BZ37" s="765" cm="1">
        <f t="array" aca="1" ref="BZ37" ca="1">IF(NPSwitch=1,_xll.TR(BZ$7,BZ$6,"Sdate=#1 Period=#2 NULL=BLANK Scale=6",,$D37,$AS$4),BZ37)</f>
        <v>1696.6122499999999</v>
      </c>
      <c r="CA37" s="765" cm="1">
        <f t="array" aca="1" ref="CA37" ca="1">IF(NPSwitch=1,_xll.TR(CA$7,CA$6,"Sdate=#1 Period=#2 NULL=BLANK Scale=6",,$D37,$AS$4),CA37)</f>
        <v>4346.5</v>
      </c>
      <c r="CB37" s="765" cm="1">
        <f t="array" aca="1" ref="CB37" ca="1">IF(NPSwitch=1,_xll.TR(CB$7,CB$6,"Sdate=#1 Period=#2 NULL=BLANK Scale=6",,$D37,$AS$4),CB37)</f>
        <v>1093.5</v>
      </c>
      <c r="CC37" s="765" cm="1">
        <f t="array" aca="1" ref="CC37" ca="1">IF(NPSwitch=1,_xll.TR(CC$7,CC$6,"Sdate=#1 Period=#2 NULL=BLANK Scale=6",,$D37,$AS$4),CC37)</f>
        <v>6534.15</v>
      </c>
      <c r="CD37" s="765" cm="1">
        <f t="array" aca="1" ref="CD37" ca="1">IF(NPSwitch=1,_xll.TR(CD$7,CD$6,"Sdate=#1 Period=#2 NULL=BLANK Scale=6",,$D37,$AS$4),CD37)</f>
        <v>1857.425</v>
      </c>
      <c r="CE37" s="765" cm="1">
        <f t="array" aca="1" ref="CE37" ca="1">IF(NPSwitch=1,_xll.TR(CE$7,CE$6,"Sdate=#1 Period=#2 NULL=BLANK Scale=6",,$D37,$AS$4),CE37)</f>
        <v>4900</v>
      </c>
      <c r="CF37" s="765" cm="1">
        <f t="array" aca="1" ref="CF37" ca="1">IF(NPSwitch=1,_xll.TR(CF$7,CF$6,"Sdate=#1 Period=#2 NULL=BLANK Scale=6",,$D37,$AS$4),CF37)</f>
        <v>5925</v>
      </c>
      <c r="CG37" s="765" cm="1">
        <f t="array" aca="1" ref="CG37" ca="1">IF(NPSwitch=1,_xll.TR(CG$7,CG$6,"Sdate=#1 Period=#2 NULL=BLANK Scale=6",,$D37,$AS$4),CG37)</f>
        <v>3188.5</v>
      </c>
      <c r="CI37" s="1000" cm="1">
        <f t="array" aca="1" ref="CI37" ca="1">IF(NPSwitch=1,_xll.TR(CI$7,CI$6,"Sdate=#1 Period=#2 NULL=BLANK Scale=6",,$D37,$AS$4),CI37)</f>
        <v>5653</v>
      </c>
      <c r="CJ37" s="1000" cm="1">
        <f t="array" aca="1" ref="CJ37" ca="1">IF(NPSwitch=1,_xll.TR(CJ$7,CJ$6,"Sdate=#1 Period=#2 NULL=BLANK Scale=6",,$D37,$AS$4),CJ37)</f>
        <v>261.267</v>
      </c>
      <c r="CK37" s="1000" cm="1">
        <f t="array" aca="1" ref="CK37" ca="1">IF(NPSwitch=1,_xll.TR(CK$7,CK$6,"Sdate=#1 Period=#2 NULL=BLANK Scale=6",,$D37,$AS$4),CK37)</f>
        <v>1137</v>
      </c>
      <c r="CL37" s="1000" cm="1">
        <f t="array" aca="1" ref="CL37" ca="1">IF(NPSwitch=1,_xll.TR(CL$7,CL$6,"Sdate=#1 Period=#2 NULL=BLANK Scale=6",,$D37,$AS$4),CL37)</f>
        <v>116.8</v>
      </c>
      <c r="CM37" s="1000" cm="1">
        <f t="array" aca="1" ref="CM37" ca="1">IF(NPSwitch=1,_xll.TR(CM$7,CM$6,"Sdate=#1 Period=#2 NULL=BLANK Scale=6",,$D37,$AS$4),CM37)</f>
        <v>1570.6</v>
      </c>
      <c r="CN37" s="1000" cm="1">
        <f t="array" aca="1" ref="CN37" ca="1">IF(NPSwitch=1,_xll.TR(CN$7,CN$6,"Sdate=#1 Period=#2 NULL=BLANK Scale=6",,$D37,$AS$4),CN37)</f>
        <v>410.7</v>
      </c>
      <c r="CO37" s="1000" cm="1">
        <f t="array" aca="1" ref="CO37" ca="1">IF(NPSwitch=1,_xll.TR(CO$7,CO$6,"Sdate=#1 Period=#2 NULL=BLANK Scale=6",,$D37,$AS$4),CO37)</f>
        <v>1557</v>
      </c>
      <c r="CP37" s="1000" cm="1">
        <f t="array" aca="1" ref="CP37" ca="1">IF(NPSwitch=1,_xll.TR(CP$7,CP$6,"Sdate=#1 Period=#2 NULL=BLANK Scale=6",,$D37,$AS$4),CP37)</f>
        <v>1318</v>
      </c>
      <c r="CQ37" s="1000" cm="1">
        <f t="array" aca="1" ref="CQ37" ca="1">IF(NPSwitch=1,_xll.TR(CQ$7,CQ$6,"Sdate=#1 Period=#2 NULL=BLANK Scale=6",,$D37,$AS$4),CQ37)</f>
        <v>935</v>
      </c>
      <c r="CS37" s="1000" cm="1">
        <f t="array" aca="1" ref="CS37" ca="1">IF(NPSwitch=1,_xll.TR(CS$7,CS$6,"Sdate=#1 Period=#2 NULL=BLANK Scale=6",,$D37,$AS$4),CS37)</f>
        <v>5579.75</v>
      </c>
      <c r="CT37" s="1000" cm="1">
        <f t="array" aca="1" ref="CT37" ca="1">IF(NPSwitch=1,_xll.TR(CT$7,CT$6,"Sdate=#1 Period=#2 NULL=BLANK Scale=6",,$D37,$AS$4),CT37)</f>
        <v>894.23175000000003</v>
      </c>
      <c r="CU37" s="1000" cm="1">
        <f t="array" aca="1" ref="CU37" ca="1">IF(NPSwitch=1,_xll.TR(CU$7,CU$6,"Sdate=#1 Period=#2 NULL=BLANK Scale=6",,$D37,$AS$4),CU37)</f>
        <v>1303.75</v>
      </c>
      <c r="CV37" s="1000" cm="1">
        <f t="array" aca="1" ref="CV37" ca="1">IF(NPSwitch=1,_xll.TR(CV$7,CV$6,"Sdate=#1 Period=#2 NULL=BLANK Scale=6",,$D37,$AS$4),CV37)</f>
        <v>438.92500000000001</v>
      </c>
      <c r="CW37" s="1000" cm="1">
        <f t="array" aca="1" ref="CW37" ca="1">IF(NPSwitch=1,_xll.TR(CW$7,CW$6,"Sdate=#1 Period=#2 NULL=BLANK Scale=6",,$D37,$AS$4),CW37)</f>
        <v>1073.05</v>
      </c>
      <c r="CX37" s="1000" cm="1">
        <f t="array" aca="1" ref="CX37" ca="1">IF(NPSwitch=1,_xll.TR(CX$7,CX$6,"Sdate=#1 Period=#2 NULL=BLANK Scale=6",,$D37,$AS$4),CX37)</f>
        <v>2414.75</v>
      </c>
      <c r="CY37" s="1000" cm="1">
        <f t="array" aca="1" ref="CY37" ca="1">IF(NPSwitch=1,_xll.TR(CY$7,CY$6,"Sdate=#1 Period=#2 NULL=BLANK Scale=6",,$D37,$AS$4),CY37)</f>
        <v>3469</v>
      </c>
      <c r="CZ37" s="1000" cm="1">
        <f t="array" aca="1" ref="CZ37" ca="1">IF(NPSwitch=1,_xll.TR(CZ$7,CZ$6,"Sdate=#1 Period=#2 NULL=BLANK Scale=6",,$D37,$AS$4),CZ37)</f>
        <v>3152.25</v>
      </c>
      <c r="DA37" s="1000" cm="1">
        <f t="array" aca="1" ref="DA37" ca="1">IF(NPSwitch=1,_xll.TR(DA$7,DA$6,"Sdate=#1 Period=#2 NULL=BLANK Scale=6",,$D37,$AS$4),DA37)</f>
        <v>1811.25</v>
      </c>
      <c r="DB37" s="1000" cm="1">
        <f t="array" aca="1" ref="DB37" ca="1">IF(NPSwitch=1,_xll.TR(DB$7,DB$6,"Sdate=#1 Period=#2 NULL=BLANK Scale=6",,$D37,$AS$4),DB37)</f>
        <v>13388.424999999999</v>
      </c>
      <c r="DC37" s="1000" t="str" cm="1">
        <f t="array" aca="1" ref="DC37" ca="1">IF(NPSwitch=1,_xll.TR(DC$7,DC$6,"Sdate=#1 Period=#2 NULL=BLANK Scale=6",,$D37,$AS$4),DC37)</f>
        <v/>
      </c>
      <c r="DD37" s="1000" t="str" cm="1">
        <f t="array" aca="1" ref="DD37" ca="1">IF(NPSwitch=1,_xll.TR(DD$7,DD$6,"Sdate=#1 Period=#2 NULL=BLANK Scale=6",,$D37,$AS$4),DD37)</f>
        <v/>
      </c>
      <c r="DE37" s="1000" t="str" cm="1">
        <f t="array" aca="1" ref="DE37" ca="1">IF(NPSwitch=1,_xll.TR(DE$7,DE$6,"Sdate=#1 Period=#2 NULL=BLANK Scale=6",,$D37,$AS$4),DE37)</f>
        <v/>
      </c>
      <c r="DF37" s="1000" cm="1">
        <f t="array" aca="1" ref="DF37" ca="1">IF(NPSwitch=1,_xll.TR(DF$7,DF$6,"Sdate=#1 Period=#2 NULL=BLANK Scale=6",,$D37,$AS$4),DF37)</f>
        <v>438.92500000000001</v>
      </c>
      <c r="DG37" s="1000" cm="1">
        <f t="array" aca="1" ref="DG37" ca="1">IF(NPSwitch=1,_xll.TR(DG$7,DG$6,"Sdate=#1 Period=#2 NULL=BLANK Scale=6",,$D37,$AS$4),DG37)</f>
        <v>4994.75</v>
      </c>
      <c r="DH37" s="1000" cm="1">
        <f t="array" aca="1" ref="DH37" ca="1">IF(NPSwitch=1,_xll.TR(DH$7,DH$6,"Sdate=#1 Period=#2 NULL=BLANK Scale=6",,$D37,$AS$4),DH37)</f>
        <v>860.76499999999999</v>
      </c>
    </row>
    <row r="38" spans="3:170" ht="11.25" customHeight="1">
      <c r="C38" s="972">
        <f t="shared" si="44"/>
        <v>38625</v>
      </c>
      <c r="D38" s="974">
        <f t="shared" si="43"/>
        <v>38670</v>
      </c>
      <c r="E38" s="765" cm="1">
        <f t="array" aca="1" ref="E38" ca="1">IF(NPSwitch=1,_xll.TR(E$7,E$6,"Sdate=#1 Period=#2 NULL=BLANK",,$D38,$E$4),E38)</f>
        <v>9.2847972324486108</v>
      </c>
      <c r="F38" s="765" cm="1">
        <f t="array" aca="1" ref="F38" ca="1">IF(NPSwitch=1,_xll.TR(F$7,F$6,"Sdate=#1 Period=#2 NULL=BLANK",,$D38,$E$4),F38)</f>
        <v>7.92281796993875</v>
      </c>
      <c r="G38" s="765" cm="1">
        <f t="array" aca="1" ref="G38" ca="1">IF(NPSwitch=1,_xll.TR(G$7,G$6,"Sdate=#1 Period=#2 NULL=BLANK",,$D38,$E$4),G38)</f>
        <v>6.6187016053993997</v>
      </c>
      <c r="H38" s="765" cm="1">
        <f t="array" aca="1" ref="H38" ca="1">IF(NPSwitch=1,_xll.TR(H$7,H$6,"Sdate=#1 Period=#2 NULL=BLANK",,$D38,$E$4),H38)</f>
        <v>4.4733754879315697</v>
      </c>
      <c r="I38" s="765" cm="1">
        <f t="array" aca="1" ref="I38" ca="1">IF(NPSwitch=1,_xll.TR(I$7,I$6,"Sdate=#1 Period=#2 NULL=BLANK",,$D38,$E$4),I38)</f>
        <v>4.74316712646156</v>
      </c>
      <c r="J38" s="765" cm="1">
        <f t="array" aca="1" ref="J38" ca="1">IF(NPSwitch=1,_xll.TR(J$7,J$6,"Sdate=#1 Period=#2 NULL=BLANK",,$D38,$E$4),J38)</f>
        <v>5.59052488399327</v>
      </c>
      <c r="K38" s="765" cm="1">
        <f t="array" aca="1" ref="K38" ca="1">IF(NPSwitch=1,_xll.TR(K$7,K$6,"Sdate=#1 Period=#2 NULL=BLANK",,$D38,$E$4),K38)</f>
        <v>6.1616569107361503</v>
      </c>
      <c r="L38" s="765" cm="1">
        <f t="array" aca="1" ref="L38" ca="1">IF(NPSwitch=1,_xll.TR(L$7,L$6,"Sdate=#1 Period=#2 NULL=BLANK",,$D38,$E$4),L38)</f>
        <v>7.0350846079607603</v>
      </c>
      <c r="M38" s="765" cm="1">
        <f t="array" aca="1" ref="M38" ca="1">IF(NPSwitch=1,_xll.TR(M$7,M$6,"Sdate=#1 Period=#2 NULL=BLANK",,$D38,$E$4),M38)</f>
        <v>5.1884370354057499</v>
      </c>
      <c r="N38" s="1002">
        <f t="shared" ca="1" si="45"/>
        <v>5.7704184370804512</v>
      </c>
      <c r="O38" s="1000" cm="1">
        <f t="array" aca="1" ref="O38" ca="1">IF(NPSwitch=1,_xll.TR(O$7,O$6,"Sdate=#1 Period=#2 Scale=6 NULL=BLANK",,$D38,$O$4),O38)</f>
        <v>58993.557335579899</v>
      </c>
      <c r="P38" s="1000" cm="1">
        <f t="array" aca="1" ref="P38" ca="1">IF(NPSwitch=1,_xll.TR(P$7,P$6,"Sdate=#1 Period=#2 Scale=6 NULL=BLANK",,$D38,$O$4),P38)</f>
        <v>1731.5004117000001</v>
      </c>
      <c r="Q38" s="1000" cm="1">
        <f t="array" aca="1" ref="Q38" ca="1">IF(NPSwitch=1,_xll.TR(Q$7,Q$6,"Sdate=#1 Period=#2 Scale=6 NULL=BLANK",,$D38,$O$4),Q38)</f>
        <v>4055.0199444</v>
      </c>
      <c r="R38" s="1000" cm="1">
        <f t="array" aca="1" ref="R38" ca="1">IF(NPSwitch=1,_xll.TR(R$7,R$6,"Sdate=#1 Period=#2 Scale=6 NULL=BLANK",,$D38,$O$4),R38)</f>
        <v>508.41045423000003</v>
      </c>
      <c r="S38" s="1000" cm="1">
        <f t="array" aca="1" ref="S38" ca="1">IF(NPSwitch=1,_xll.TR(S$7,S$6,"Sdate=#1 Period=#2 Scale=6 NULL=BLANK",,$D38,$O$4),S38)</f>
        <v>4215.0323740800004</v>
      </c>
      <c r="T38" s="1000" cm="1">
        <f t="array" aca="1" ref="T38" ca="1">IF(NPSwitch=1,_xll.TR(T$7,T$6,"Sdate=#1 Period=#2 Scale=6 NULL=BLANK",,$D38,$O$4),T38)</f>
        <v>1888.9113829999999</v>
      </c>
      <c r="U38" s="1000" cm="1">
        <f t="array" aca="1" ref="U38" ca="1">IF(NPSwitch=1,_xll.TR(U$7,U$6,"Sdate=#1 Period=#2 Scale=6 NULL=BLANK",,$D38,$O$4),U38)</f>
        <v>10096.811166</v>
      </c>
      <c r="V38" s="1000" cm="1">
        <f t="array" aca="1" ref="V38" ca="1">IF(NPSwitch=1,_xll.TR(V$7,V$6,"Sdate=#1 Period=#2 Scale=6 NULL=BLANK",,$D38,$O$4),V38)</f>
        <v>8592.4269639999602</v>
      </c>
      <c r="W38" s="1000" cm="1">
        <f t="array" aca="1" ref="W38" ca="1">IF(NPSwitch=1,_xll.TR(W$7,W$6,"Sdate=#1 Period=#2 Scale=6 NULL=BLANK",,$D38,$O$4),W38)</f>
        <v>4453.8225179999999</v>
      </c>
      <c r="X38" s="998"/>
      <c r="Y38" s="1000" cm="1">
        <f t="array" aca="1" ref="Y38" ca="1">IF(NPSwitch=1,_xll.TR(Y$7,Y$6,"Sdate=#1 Period=#2 Scale=6 NULL=BLANK",,$D38,$O$4),Y38)</f>
        <v>2268</v>
      </c>
      <c r="Z38" s="1000" cm="1">
        <f t="array" aca="1" ref="Z38" ca="1">IF(NPSwitch=1,_xll.TR(Z$7,Z$6,"Sdate=#1 Period=#2 Scale=6 NULL=BLANK",,$D38,$O$4),Z38)</f>
        <v>66.579250000000002</v>
      </c>
      <c r="AA38" s="1000" cm="1">
        <f t="array" aca="1" ref="AA38" ca="1">IF(NPSwitch=1,_xll.TR(AA$7,AA$6,"Sdate=#1 Period=#2 Scale=6 NULL=BLANK",,$D38,$O$4),AA38)</f>
        <v>575</v>
      </c>
      <c r="AB38" s="1000" cm="1">
        <f t="array" aca="1" ref="AB38" ca="1">IF(NPSwitch=1,_xll.TR(AB$7,AB$6,"Sdate=#1 Period=#2 Scale=6 NULL=BLANK",,$D38,$O$4),AB38)</f>
        <v>37.950000000000003</v>
      </c>
      <c r="AC38" s="1000" cm="1">
        <f t="array" aca="1" ref="AC38" ca="1">IF(NPSwitch=1,_xll.TR(AC$7,AC$6,"Sdate=#1 Period=#2 Scale=6 NULL=BLANK",,$D38,$O$4),AC38)</f>
        <v>237.8</v>
      </c>
      <c r="AD38" s="1000" cm="1">
        <f t="array" aca="1" ref="AD38" ca="1">IF(NPSwitch=1,_xll.TR(AD$7,AD$6,"Sdate=#1 Period=#2 Scale=6 NULL=BLANK",,$D38,$O$4),AD38)</f>
        <v>201.15</v>
      </c>
      <c r="AE38" s="1000" cm="1">
        <f t="array" aca="1" ref="AE38" ca="1">IF(NPSwitch=1,_xll.TR(AE$7,AE$6,"Sdate=#1 Period=#2 Scale=6 NULL=BLANK",,$D38,$O$4),AE38)</f>
        <v>586.25</v>
      </c>
      <c r="AF38" s="1000" cm="1">
        <f t="array" aca="1" ref="AF38" ca="1">IF(NPSwitch=1,_xll.TR(AF$7,AF$6,"Sdate=#1 Period=#2 Scale=6 NULL=BLANK",,$D38,$O$4),AF38)</f>
        <v>1219</v>
      </c>
      <c r="AG38" s="1000" cm="1">
        <f t="array" aca="1" ref="AG38" ca="1">IF(NPSwitch=1,_xll.TR(AG$7,AG$6,"Sdate=#1 Period=#2 Scale=6 NULL=BLANK",,$D38,$O$4),AG38)</f>
        <v>311.25</v>
      </c>
      <c r="AH38" s="998"/>
      <c r="AI38" s="1000" cm="1">
        <f t="array" aca="1" ref="AI38" ca="1">IF(NPSwitch=1,_xll.TR(AI$7,AI$6,"Sdate=#1 Period=#2 Scale=6 NULL=BLANK",,$D38,$O$4),AI38)</f>
        <v>60643.557335580001</v>
      </c>
      <c r="AJ38" s="1000" cm="1">
        <f t="array" aca="1" ref="AJ38" ca="1">IF(NPSwitch=1,_xll.TR(AJ$7,AJ$6,"Sdate=#1 Period=#2 Scale=6 NULL=BLANK",,$D38,$O$4),AJ38)</f>
        <v>2565.2764117000002</v>
      </c>
      <c r="AK38" s="1000" cm="1">
        <f t="array" aca="1" ref="AK38" ca="1">IF(NPSwitch=1,_xll.TR(AK$7,AK$6,"Sdate=#1 Period=#2 Scale=6 NULL=BLANK",,$D38,$O$4),AK38)</f>
        <v>3531.0199444</v>
      </c>
      <c r="AL38" s="1000" cm="1">
        <f t="array" aca="1" ref="AL38" ca="1">IF(NPSwitch=1,_xll.TR(AL$7,AL$6,"Sdate=#1 Period=#2 Scale=6 NULL=BLANK",,$D38,$O$4),AL38)</f>
        <v>1141.81045423</v>
      </c>
      <c r="AM38" s="1000" cm="1">
        <f t="array" aca="1" ref="AM38" ca="1">IF(NPSwitch=1,_xll.TR(AM$7,AM$6,"Sdate=#1 Period=#2 Scale=6 NULL=BLANK",,$D38,$O$4),AM38)</f>
        <v>9001.5323740799995</v>
      </c>
      <c r="AN38" s="1000" cm="1">
        <f t="array" aca="1" ref="AN38" ca="1">IF(NPSwitch=1,_xll.TR(AN$7,AN$6,"Sdate=#1 Period=#2 Scale=6 NULL=BLANK",,$D38,$O$4),AN38)</f>
        <v>2546.1113829999999</v>
      </c>
      <c r="AO38" s="1000" cm="1">
        <f t="array" aca="1" ref="AO38" ca="1">IF(NPSwitch=1,_xll.TR(AO$7,AO$6,"Sdate=#1 Period=#2 Scale=6 NULL=BLANK",,$D38,$O$4),AO38)</f>
        <v>10990.811166</v>
      </c>
      <c r="AP38" s="1000" cm="1">
        <f t="array" aca="1" ref="AP38" ca="1">IF(NPSwitch=1,_xll.TR(AP$7,AP$6,"Sdate=#1 Period=#2 Scale=6 NULL=BLANK",,$D38,$O$4),AP38)</f>
        <v>10505.426964</v>
      </c>
      <c r="AQ38" s="1000" cm="1">
        <f t="array" aca="1" ref="AQ38" ca="1">IF(NPSwitch=1,_xll.TR(AQ$7,AQ$6,"Sdate=#1 Period=#2 Scale=6 NULL=BLANK",,$D38,$O$4),AQ38)</f>
        <v>5683.8225179999999</v>
      </c>
      <c r="AS38" s="765" t="str" cm="1">
        <f t="array" aca="1" ref="AS38" ca="1">IF(NPSwitch=1,_xll.TR(AS$7,AS$6,"Sdate=#1 Period=#2 NULL=BLANK Scale=6",,$D38,$AS$4),AS38)</f>
        <v/>
      </c>
      <c r="AT38" s="765" t="str" cm="1">
        <f t="array" aca="1" ref="AT38" ca="1">IF(NPSwitch=1,_xll.TR(AT$7,AT$6,"Sdate=#1 Period=#2 NULL=BLANK Scale=6",,$D38,$AS$4),AT38)</f>
        <v/>
      </c>
      <c r="AU38" s="765" t="str" cm="1">
        <f t="array" aca="1" ref="AU38" ca="1">IF(NPSwitch=1,_xll.TR(AU$7,AU$6,"Sdate=#1 Period=#2 NULL=BLANK Scale=6",,$D38,$AS$4),AU38)</f>
        <v/>
      </c>
      <c r="AV38" s="765" t="str" cm="1">
        <f t="array" aca="1" ref="AV38" ca="1">IF(NPSwitch=1,_xll.TR(AV$7,AV$6,"Sdate=#1 Period=#2 NULL=BLANK Scale=6",,$D38,$AS$4),AV38)</f>
        <v/>
      </c>
      <c r="AW38" s="765" t="str" cm="1">
        <f t="array" aca="1" ref="AW38" ca="1">IF(NPSwitch=1,_xll.TR(AW$7,AW$6,"Sdate=#1 Period=#2 NULL=BLANK Scale=6",,$D38,$AS$4),AW38)</f>
        <v/>
      </c>
      <c r="AX38" s="765" t="str" cm="1">
        <f t="array" aca="1" ref="AX38" ca="1">IF(NPSwitch=1,_xll.TR(AX$7,AX$6,"Sdate=#1 Period=#2 NULL=BLANK Scale=6",,$D38,$AS$4),AX38)</f>
        <v/>
      </c>
      <c r="AY38" s="765" t="str" cm="1">
        <f t="array" aca="1" ref="AY38" ca="1">IF(NPSwitch=1,_xll.TR(AY$7,AY$6,"Sdate=#1 Period=#2 NULL=BLANK Scale=6",,$D38,$AS$4),AY38)</f>
        <v/>
      </c>
      <c r="AZ38" s="765" t="str" cm="1">
        <f t="array" aca="1" ref="AZ38" ca="1">IF(NPSwitch=1,_xll.TR(AZ$7,AZ$6,"Sdate=#1 Period=#2 NULL=BLANK Scale=6",,$D38,$AS$4),AZ38)</f>
        <v/>
      </c>
      <c r="BA38" s="765" t="str" cm="1">
        <f t="array" aca="1" ref="BA38" ca="1">IF(NPSwitch=1,_xll.TR(BA$7,BA$6,"Sdate=#1 Period=#2 NULL=BLANK Scale=6",,$D38,$AS$4),BA38)</f>
        <v/>
      </c>
      <c r="BC38" s="765" cm="1">
        <f t="array" aca="1" ref="BC38" ca="1">IF(NPSwitch=1,_xll.TR(BC$7,BC$6,"Sdate=#1 Period=#2 NULL=BLANK",,$D38,$BC$4),BC38)</f>
        <v>10.548540151999999</v>
      </c>
      <c r="BD38" s="765" cm="1">
        <f t="array" aca="1" ref="BD38" ca="1">IF(NPSwitch=1,_xll.TR(BD$7,BD$6,"Sdate=#1 Period=#2 NULL=BLANK",,$D38,$BC$4),BD38)</f>
        <v>9.6731703529999997</v>
      </c>
      <c r="BE38" s="765" cm="1">
        <f t="array" aca="1" ref="BE38" ca="1">IF(NPSwitch=1,_xll.TR(BE$7,BE$6,"Sdate=#1 Period=#2 NULL=BLANK",,$D38,$BC$4),BE38)</f>
        <v>3.1868411050000001</v>
      </c>
      <c r="BF38" s="765" cm="1">
        <f t="array" aca="1" ref="BF38" ca="1">IF(NPSwitch=1,_xll.TR(BF$7,BF$6,"Sdate=#1 Period=#2 NULL=BLANK",,$D38,$BC$4),BF38)</f>
        <v>10.323783492</v>
      </c>
      <c r="BG38" s="765" t="str" cm="1">
        <f t="array" aca="1" ref="BG38" ca="1">IF(NPSwitch=1,_xll.TR(BG$7,BG$6,"Sdate=#1 Period=#2 NULL=BLANK",,$D38,$BC$4),BG38)</f>
        <v/>
      </c>
      <c r="BH38" s="765" cm="1">
        <f t="array" aca="1" ref="BH38" ca="1">IF(NPSwitch=1,_xll.TR(BH$7,BH$6,"Sdate=#1 Period=#2 NULL=BLANK",,$D38,$BC$4),BH38)</f>
        <v>6.1738879320000004</v>
      </c>
      <c r="BI38" s="765" cm="1">
        <f t="array" aca="1" ref="BI38" ca="1">IF(NPSwitch=1,_xll.TR(BI$7,BI$6,"Sdate=#1 Period=#2 NULL=BLANK",,$D38,$BC$4),BI38)</f>
        <v>7.2738657619999998</v>
      </c>
      <c r="BJ38" s="765" cm="1">
        <f t="array" aca="1" ref="BJ38" ca="1">IF(NPSwitch=1,_xll.TR(BJ$7,BJ$6,"Sdate=#1 Period=#2 NULL=BLANK",,$D38,$BC$4),BJ38)</f>
        <v>7.7416558320000002</v>
      </c>
      <c r="BK38" s="765" cm="1">
        <f t="array" aca="1" ref="BK38" ca="1">IF(NPSwitch=1,_xll.TR(BK$7,BK$6,"Sdate=#1 Period=#2 NULL=BLANK",,$D38,$BC$4),BK38)</f>
        <v>5.5723750179999998</v>
      </c>
      <c r="BM38" s="1014"/>
      <c r="BO38" s="765" cm="1">
        <f t="array" aca="1" ref="BO38" ca="1">IF(NPSwitch=1,_xll.TR(BO$7,BO$6,"Sdate=#1 Period=#2 NULL=BLANK Scale=6",,$D38,$AS$4),BO38)</f>
        <v>20933</v>
      </c>
      <c r="BP38" s="765" cm="1">
        <f t="array" aca="1" ref="BP38" ca="1">IF(NPSwitch=1,_xll.TR(BP$7,BP$6,"Sdate=#1 Period=#2 NULL=BLANK Scale=6",,$D38,$AS$4),BP38)</f>
        <v>1970.3889999999999</v>
      </c>
      <c r="BQ38" s="765" cm="1">
        <f t="array" aca="1" ref="BQ38" ca="1">IF(NPSwitch=1,_xll.TR(BQ$7,BQ$6,"Sdate=#1 Period=#2 NULL=BLANK Scale=6",,$D38,$AS$4),BQ38)</f>
        <v>8443</v>
      </c>
      <c r="BR38" s="765" cm="1">
        <f t="array" aca="1" ref="BR38" ca="1">IF(NPSwitch=1,_xll.TR(BR$7,BR$6,"Sdate=#1 Period=#2 NULL=BLANK Scale=6",,$D38,$AS$4),BR38)</f>
        <v>2388.3000000000002</v>
      </c>
      <c r="BS38" s="765" cm="1">
        <f t="array" aca="1" ref="BS38" ca="1">IF(NPSwitch=1,_xll.TR(BS$7,BS$6,"Sdate=#1 Period=#2 NULL=BLANK Scale=6",,$D38,$AS$4),BS38)</f>
        <v>12393.5</v>
      </c>
      <c r="BT38" s="765" cm="1">
        <f t="array" aca="1" ref="BT38" ca="1">IF(NPSwitch=1,_xll.TR(BT$7,BT$6,"Sdate=#1 Period=#2 NULL=BLANK Scale=6",,$D38,$AS$4),BT38)</f>
        <v>2141.6999999999998</v>
      </c>
      <c r="BU38" s="765" cm="1">
        <f t="array" aca="1" ref="BU38" ca="1">IF(NPSwitch=1,_xll.TR(BU$7,BU$6,"Sdate=#1 Period=#2 NULL=BLANK Scale=6",,$D38,$AS$4),BU38)</f>
        <v>10107</v>
      </c>
      <c r="BV38" s="765" cm="1">
        <f t="array" aca="1" ref="BV38" ca="1">IF(NPSwitch=1,_xll.TR(BV$7,BV$6,"Sdate=#1 Period=#2 NULL=BLANK Scale=6",,$D38,$AS$4),BV38)</f>
        <v>8104</v>
      </c>
      <c r="BW38" s="765" cm="1">
        <f t="array" aca="1" ref="BW38" ca="1">IF(NPSwitch=1,_xll.TR(BW$7,BW$6,"Sdate=#1 Period=#2 NULL=BLANK Scale=6",,$D38,$AS$4),BW38)</f>
        <v>6988</v>
      </c>
      <c r="BX38" s="1002"/>
      <c r="BY38" s="765" cm="1">
        <f t="array" aca="1" ref="BY38" ca="1">IF(NPSwitch=1,_xll.TR(BY$7,BY$6,"Sdate=#1 Period=#2 NULL=BLANK Scale=6",,$D38,$AS$4),BY38)</f>
        <v>13106</v>
      </c>
      <c r="BZ38" s="765" cm="1">
        <f t="array" aca="1" ref="BZ38" ca="1">IF(NPSwitch=1,_xll.TR(BZ$7,BZ$6,"Sdate=#1 Period=#2 NULL=BLANK Scale=6",,$D38,$AS$4),BZ38)</f>
        <v>1739.27475</v>
      </c>
      <c r="CA38" s="765" cm="1">
        <f t="array" aca="1" ref="CA38" ca="1">IF(NPSwitch=1,_xll.TR(CA$7,CA$6,"Sdate=#1 Period=#2 NULL=BLANK Scale=6",,$D38,$AS$4),CA38)</f>
        <v>4241.25</v>
      </c>
      <c r="CB38" s="765" cm="1">
        <f t="array" aca="1" ref="CB38" ca="1">IF(NPSwitch=1,_xll.TR(CB$7,CB$6,"Sdate=#1 Period=#2 NULL=BLANK Scale=6",,$D38,$AS$4),CB38)</f>
        <v>1081.75</v>
      </c>
      <c r="CC38" s="765" cm="1">
        <f t="array" aca="1" ref="CC38" ca="1">IF(NPSwitch=1,_xll.TR(CC$7,CC$6,"Sdate=#1 Period=#2 NULL=BLANK Scale=6",,$D38,$AS$4),CC38)</f>
        <v>6440.875</v>
      </c>
      <c r="CD38" s="765" cm="1">
        <f t="array" aca="1" ref="CD38" ca="1">IF(NPSwitch=1,_xll.TR(CD$7,CD$6,"Sdate=#1 Period=#2 NULL=BLANK Scale=6",,$D38,$AS$4),CD38)</f>
        <v>1836.25</v>
      </c>
      <c r="CE38" s="765" cm="1">
        <f t="array" aca="1" ref="CE38" ca="1">IF(NPSwitch=1,_xll.TR(CE$7,CE$6,"Sdate=#1 Period=#2 NULL=BLANK Scale=6",,$D38,$AS$4),CE38)</f>
        <v>4891.75</v>
      </c>
      <c r="CF38" s="765" cm="1">
        <f t="array" aca="1" ref="CF38" ca="1">IF(NPSwitch=1,_xll.TR(CF$7,CF$6,"Sdate=#1 Period=#2 NULL=BLANK Scale=6",,$D38,$AS$4),CF38)</f>
        <v>5893.75</v>
      </c>
      <c r="CG38" s="765" cm="1">
        <f t="array" aca="1" ref="CG38" ca="1">IF(NPSwitch=1,_xll.TR(CG$7,CG$6,"Sdate=#1 Period=#2 NULL=BLANK Scale=6",,$D38,$AS$4),CG38)</f>
        <v>3189.75</v>
      </c>
      <c r="CI38" s="1000" cm="1">
        <f t="array" aca="1" ref="CI38" ca="1">IF(NPSwitch=1,_xll.TR(CI$7,CI$6,"Sdate=#1 Period=#2 NULL=BLANK Scale=6",,$D38,$AS$4),CI38)</f>
        <v>5749</v>
      </c>
      <c r="CJ38" s="1000" cm="1">
        <f t="array" aca="1" ref="CJ38" ca="1">IF(NPSwitch=1,_xll.TR(CJ$7,CJ$6,"Sdate=#1 Period=#2 NULL=BLANK Scale=6",,$D38,$AS$4),CJ38)</f>
        <v>265.19499999999999</v>
      </c>
      <c r="CK38" s="1000" t="str" cm="1">
        <f t="array" aca="1" ref="CK38" ca="1">IF(NPSwitch=1,_xll.TR(CK$7,CK$6,"Sdate=#1 Period=#2 NULL=BLANK Scale=6",,$D38,$AS$4),CK38)</f>
        <v/>
      </c>
      <c r="CL38" s="1000" cm="1">
        <f t="array" aca="1" ref="CL38" ca="1">IF(NPSwitch=1,_xll.TR(CL$7,CL$6,"Sdate=#1 Period=#2 NULL=BLANK Scale=6",,$D38,$AS$4),CL38)</f>
        <v>110.6</v>
      </c>
      <c r="CM38" s="1000" cm="1">
        <f t="array" aca="1" ref="CM38" ca="1">IF(NPSwitch=1,_xll.TR(CM$7,CM$6,"Sdate=#1 Period=#2 NULL=BLANK Scale=6",,$D38,$AS$4),CM38)</f>
        <v>1573.4</v>
      </c>
      <c r="CN38" s="1000" cm="1">
        <f t="array" aca="1" ref="CN38" ca="1">IF(NPSwitch=1,_xll.TR(CN$7,CN$6,"Sdate=#1 Period=#2 NULL=BLANK Scale=6",,$D38,$AS$4),CN38)</f>
        <v>412.4</v>
      </c>
      <c r="CO38" s="1000" cm="1">
        <f t="array" aca="1" ref="CO38" ca="1">IF(NPSwitch=1,_xll.TR(CO$7,CO$6,"Sdate=#1 Period=#2 NULL=BLANK Scale=6",,$D38,$AS$4),CO38)</f>
        <v>1511</v>
      </c>
      <c r="CP38" s="1000" cm="1">
        <f t="array" aca="1" ref="CP38" ca="1">IF(NPSwitch=1,_xll.TR(CP$7,CP$6,"Sdate=#1 Period=#2 NULL=BLANK Scale=6",,$D38,$AS$4),CP38)</f>
        <v>1357</v>
      </c>
      <c r="CQ38" s="1000" cm="1">
        <f t="array" aca="1" ref="CQ38" ca="1">IF(NPSwitch=1,_xll.TR(CQ$7,CQ$6,"Sdate=#1 Period=#2 NULL=BLANK Scale=6",,$D38,$AS$4),CQ38)</f>
        <v>1020</v>
      </c>
      <c r="CS38" s="1000" cm="1">
        <f t="array" aca="1" ref="CS38" ca="1">IF(NPSwitch=1,_xll.TR(CS$7,CS$6,"Sdate=#1 Period=#2 NULL=BLANK Scale=6",,$D38,$AS$4),CS38)</f>
        <v>5613.75</v>
      </c>
      <c r="CT38" s="1000" cm="1">
        <f t="array" aca="1" ref="CT38" ca="1">IF(NPSwitch=1,_xll.TR(CT$7,CT$6,"Sdate=#1 Period=#2 NULL=BLANK Scale=6",,$D38,$AS$4),CT38)</f>
        <v>917.62800000000004</v>
      </c>
      <c r="CU38" s="1000" cm="1">
        <f t="array" aca="1" ref="CU38" ca="1">IF(NPSwitch=1,_xll.TR(CU$7,CU$6,"Sdate=#1 Period=#2 NULL=BLANK Scale=6",,$D38,$AS$4),CU38)</f>
        <v>1197.25</v>
      </c>
      <c r="CV38" s="1000" cm="1">
        <f t="array" aca="1" ref="CV38" ca="1">IF(NPSwitch=1,_xll.TR(CV$7,CV$6,"Sdate=#1 Period=#2 NULL=BLANK Scale=6",,$D38,$AS$4),CV38)</f>
        <v>432.52499999999998</v>
      </c>
      <c r="CW38" s="1000" cm="1">
        <f t="array" aca="1" ref="CW38" ca="1">IF(NPSwitch=1,_xll.TR(CW$7,CW$6,"Sdate=#1 Period=#2 NULL=BLANK Scale=6",,$D38,$AS$4),CW38)</f>
        <v>1057.4000000000001</v>
      </c>
      <c r="CX38" s="1000" cm="1">
        <f t="array" aca="1" ref="CX38" ca="1">IF(NPSwitch=1,_xll.TR(CX$7,CX$6,"Sdate=#1 Period=#2 NULL=BLANK Scale=6",,$D38,$AS$4),CX38)</f>
        <v>2393.75</v>
      </c>
      <c r="CY38" s="1000" cm="1">
        <f t="array" aca="1" ref="CY38" ca="1">IF(NPSwitch=1,_xll.TR(CY$7,CY$6,"Sdate=#1 Period=#2 NULL=BLANK Scale=6",,$D38,$AS$4),CY38)</f>
        <v>3509.75</v>
      </c>
      <c r="CZ38" s="1000" cm="1">
        <f t="array" aca="1" ref="CZ38" ca="1">IF(NPSwitch=1,_xll.TR(CZ$7,CZ$6,"Sdate=#1 Period=#2 NULL=BLANK Scale=6",,$D38,$AS$4),CZ38)</f>
        <v>3144.5</v>
      </c>
      <c r="DA38" s="1000" cm="1">
        <f t="array" aca="1" ref="DA38" ca="1">IF(NPSwitch=1,_xll.TR(DA$7,DA$6,"Sdate=#1 Period=#2 NULL=BLANK Scale=6",,$D38,$AS$4),DA38)</f>
        <v>1819.75</v>
      </c>
      <c r="DB38" s="1000" cm="1">
        <f t="array" aca="1" ref="DB38" ca="1">IF(NPSwitch=1,_xll.TR(DB$7,DB$6,"Sdate=#1 Period=#2 NULL=BLANK Scale=6",,$D38,$AS$4),DB38)</f>
        <v>13408.174999999999</v>
      </c>
      <c r="DC38" s="1000" t="str" cm="1">
        <f t="array" aca="1" ref="DC38" ca="1">IF(NPSwitch=1,_xll.TR(DC$7,DC$6,"Sdate=#1 Period=#2 NULL=BLANK Scale=6",,$D38,$AS$4),DC38)</f>
        <v/>
      </c>
      <c r="DD38" s="1000" t="str" cm="1">
        <f t="array" aca="1" ref="DD38" ca="1">IF(NPSwitch=1,_xll.TR(DD$7,DD$6,"Sdate=#1 Period=#2 NULL=BLANK Scale=6",,$D38,$AS$4),DD38)</f>
        <v/>
      </c>
      <c r="DE38" s="1000" t="str" cm="1">
        <f t="array" aca="1" ref="DE38" ca="1">IF(NPSwitch=1,_xll.TR(DE$7,DE$6,"Sdate=#1 Period=#2 NULL=BLANK Scale=6",,$D38,$AS$4),DE38)</f>
        <v/>
      </c>
      <c r="DF38" s="1000" cm="1">
        <f t="array" aca="1" ref="DF38" ca="1">IF(NPSwitch=1,_xll.TR(DF$7,DF$6,"Sdate=#1 Period=#2 NULL=BLANK Scale=6",,$D38,$AS$4),DF38)</f>
        <v>432.52499999999998</v>
      </c>
      <c r="DG38" s="1000" cm="1">
        <f t="array" aca="1" ref="DG38" ca="1">IF(NPSwitch=1,_xll.TR(DG$7,DG$6,"Sdate=#1 Period=#2 NULL=BLANK Scale=6",,$D38,$AS$4),DG38)</f>
        <v>4914.3500000000004</v>
      </c>
      <c r="DH38" s="1000" cm="1">
        <f t="array" aca="1" ref="DH38" ca="1">IF(NPSwitch=1,_xll.TR(DH$7,DH$6,"Sdate=#1 Period=#2 NULL=BLANK Scale=6",,$D38,$AS$4),DH38)</f>
        <v>856.64724999999999</v>
      </c>
    </row>
    <row r="39" spans="3:170" ht="11.25" customHeight="1">
      <c r="C39" s="973">
        <f t="shared" si="44"/>
        <v>38717</v>
      </c>
      <c r="D39" s="974">
        <f t="shared" si="43"/>
        <v>38762</v>
      </c>
      <c r="E39" s="765" cm="1">
        <f t="array" aca="1" ref="E39" ca="1">IF(NPSwitch=1,_xll.TR(E$7,E$6,"Sdate=#1 Period=#2 NULL=BLANK",,$D39,$E$4),E39)</f>
        <v>8.7401546211716106</v>
      </c>
      <c r="F39" s="765" cm="1">
        <f t="array" aca="1" ref="F39" ca="1">IF(NPSwitch=1,_xll.TR(F$7,F$6,"Sdate=#1 Period=#2 NULL=BLANK",,$D39,$E$4),F39)</f>
        <v>8.6775754678400006</v>
      </c>
      <c r="G39" s="765" cm="1">
        <f t="array" aca="1" ref="G39" ca="1">IF(NPSwitch=1,_xll.TR(G$7,G$6,"Sdate=#1 Period=#2 NULL=BLANK",,$D39,$E$4),G39)</f>
        <v>6.0740813233428703</v>
      </c>
      <c r="H39" s="765" cm="1">
        <f t="array" aca="1" ref="H39" ca="1">IF(NPSwitch=1,_xll.TR(H$7,H$6,"Sdate=#1 Period=#2 NULL=BLANK",,$D39,$E$4),H39)</f>
        <v>5.6052937037281598</v>
      </c>
      <c r="I39" s="765" cm="1">
        <f t="array" aca="1" ref="I39" ca="1">IF(NPSwitch=1,_xll.TR(I$7,I$6,"Sdate=#1 Period=#2 NULL=BLANK",,$D39,$E$4),I39)</f>
        <v>4.8375732900463104</v>
      </c>
      <c r="J39" s="765" cm="1">
        <f t="array" aca="1" ref="J39" ca="1">IF(NPSwitch=1,_xll.TR(J$7,J$6,"Sdate=#1 Period=#2 NULL=BLANK",,$D39,$E$4),J39)</f>
        <v>6.65901864139519</v>
      </c>
      <c r="K39" s="765" cm="1">
        <f t="array" aca="1" ref="K39" ca="1">IF(NPSwitch=1,_xll.TR(K$7,K$6,"Sdate=#1 Period=#2 NULL=BLANK",,$D39,$E$4),K39)</f>
        <v>6.1610815466557796</v>
      </c>
      <c r="L39" s="765" cm="1">
        <f t="array" aca="1" ref="L39" ca="1">IF(NPSwitch=1,_xll.TR(L$7,L$6,"Sdate=#1 Period=#2 NULL=BLANK",,$D39,$E$4),L39)</f>
        <v>6.4909001478257702</v>
      </c>
      <c r="M39" s="765" cm="1">
        <f t="array" aca="1" ref="M39" ca="1">IF(NPSwitch=1,_xll.TR(M$7,M$6,"Sdate=#1 Period=#2 NULL=BLANK",,$D39,$E$4),M39)</f>
        <v>5.1637922224389996</v>
      </c>
      <c r="N39" s="1002">
        <f t="shared" ca="1" si="45"/>
        <v>5.9713247754990135</v>
      </c>
      <c r="O39" s="1000" cm="1">
        <f t="array" aca="1" ref="O39" ca="1">IF(NPSwitch=1,_xll.TR(O$7,O$6,"Sdate=#1 Period=#2 Scale=6 NULL=BLANK",,$D39,$O$4),O39)</f>
        <v>55642.677508000001</v>
      </c>
      <c r="P39" s="1000" cm="1">
        <f t="array" aca="1" ref="P39" ca="1">IF(NPSwitch=1,_xll.TR(P$7,P$6,"Sdate=#1 Period=#2 Scale=6 NULL=BLANK",,$D39,$O$4),P39)</f>
        <v>2010.75963265</v>
      </c>
      <c r="Q39" s="1000" cm="1">
        <f t="array" aca="1" ref="Q39" ca="1">IF(NPSwitch=1,_xll.TR(Q$7,Q$6,"Sdate=#1 Period=#2 Scale=6 NULL=BLANK",,$D39,$O$4),Q39)</f>
        <v>4640.0718329800002</v>
      </c>
      <c r="R39" s="1000" cm="1">
        <f t="array" aca="1" ref="R39" ca="1">IF(NPSwitch=1,_xll.TR(R$7,R$6,"Sdate=#1 Period=#2 Scale=6 NULL=BLANK",,$D39,$O$4),R39)</f>
        <v>809.96312870999998</v>
      </c>
      <c r="S39" s="1000" cm="1">
        <f t="array" aca="1" ref="S39" ca="1">IF(NPSwitch=1,_xll.TR(S$7,S$6,"Sdate=#1 Period=#2 Scale=6 NULL=BLANK",,$D39,$O$4),S39)</f>
        <v>4503.8238181200004</v>
      </c>
      <c r="T39" s="1000" cm="1">
        <f t="array" aca="1" ref="T39" ca="1">IF(NPSwitch=1,_xll.TR(T$7,T$6,"Sdate=#1 Period=#2 Scale=6 NULL=BLANK",,$D39,$O$4),T39)</f>
        <v>2330.59068075</v>
      </c>
      <c r="U39" s="1000" cm="1">
        <f t="array" aca="1" ref="U39" ca="1">IF(NPSwitch=1,_xll.TR(U$7,U$6,"Sdate=#1 Period=#2 Scale=6 NULL=BLANK",,$D39,$O$4),U39)</f>
        <v>9944.7797695499994</v>
      </c>
      <c r="V39" s="1000" cm="1">
        <f t="array" aca="1" ref="V39" ca="1">IF(NPSwitch=1,_xll.TR(V$7,V$6,"Sdate=#1 Period=#2 Scale=6 NULL=BLANK",,$D39,$O$4),V39)</f>
        <v>7976.2714586820703</v>
      </c>
      <c r="W39" s="1000" cm="1">
        <f t="array" aca="1" ref="W39" ca="1">IF(NPSwitch=1,_xll.TR(W$7,W$6,"Sdate=#1 Period=#2 Scale=6 NULL=BLANK",,$D39,$O$4),W39)</f>
        <v>4040.2638776499998</v>
      </c>
      <c r="X39" s="998"/>
      <c r="Y39" s="1000" cm="1">
        <f t="array" aca="1" ref="Y39" ca="1">IF(NPSwitch=1,_xll.TR(Y$7,Y$6,"Sdate=#1 Period=#2 Scale=6 NULL=BLANK",,$D39,$O$4),Y39)</f>
        <v>1846.75</v>
      </c>
      <c r="Z39" s="1000" cm="1">
        <f t="array" aca="1" ref="Z39" ca="1">IF(NPSwitch=1,_xll.TR(Z$7,Z$6,"Sdate=#1 Period=#2 Scale=6 NULL=BLANK",,$D39,$O$4),Z39)</f>
        <v>69.624250000000004</v>
      </c>
      <c r="AA39" s="1000" cm="1">
        <f t="array" aca="1" ref="AA39" ca="1">IF(NPSwitch=1,_xll.TR(AA$7,AA$6,"Sdate=#1 Period=#2 Scale=6 NULL=BLANK",,$D39,$O$4),AA39)</f>
        <v>808.5</v>
      </c>
      <c r="AB39" s="1000" cm="1">
        <f t="array" aca="1" ref="AB39" ca="1">IF(NPSwitch=1,_xll.TR(AB$7,AB$6,"Sdate=#1 Period=#2 Scale=6 NULL=BLANK",,$D39,$O$4),AB39)</f>
        <v>36.5</v>
      </c>
      <c r="AC39" s="1000" cm="1">
        <f t="array" aca="1" ref="AC39" ca="1">IF(NPSwitch=1,_xll.TR(AC$7,AC$6,"Sdate=#1 Period=#2 Scale=6 NULL=BLANK",,$D39,$O$4),AC39)</f>
        <v>237.8</v>
      </c>
      <c r="AD39" s="1000" cm="1">
        <f t="array" aca="1" ref="AD39" ca="1">IF(NPSwitch=1,_xll.TR(AD$7,AD$6,"Sdate=#1 Period=#2 Scale=6 NULL=BLANK",,$D39,$O$4),AD39)</f>
        <v>199.65</v>
      </c>
      <c r="AE39" s="1000" cm="1">
        <f t="array" aca="1" ref="AE39" ca="1">IF(NPSwitch=1,_xll.TR(AE$7,AE$6,"Sdate=#1 Period=#2 Scale=6 NULL=BLANK",,$D39,$O$4),AE39)</f>
        <v>525.5</v>
      </c>
      <c r="AF39" s="1000" cm="1">
        <f t="array" aca="1" ref="AF39" ca="1">IF(NPSwitch=1,_xll.TR(AF$7,AF$6,"Sdate=#1 Period=#2 Scale=6 NULL=BLANK",,$D39,$O$4),AF39)</f>
        <v>1219</v>
      </c>
      <c r="AG39" s="1000" cm="1">
        <f t="array" aca="1" ref="AG39" ca="1">IF(NPSwitch=1,_xll.TR(AG$7,AG$6,"Sdate=#1 Period=#2 Scale=6 NULL=BLANK",,$D39,$O$4),AG39)</f>
        <v>361</v>
      </c>
      <c r="AH39" s="998"/>
      <c r="AI39" s="1000" cm="1">
        <f t="array" aca="1" ref="AI39" ca="1">IF(NPSwitch=1,_xll.TR(AI$7,AI$6,"Sdate=#1 Period=#2 Scale=6 NULL=BLANK",,$D39,$O$4),AI39)</f>
        <v>57292.677508000001</v>
      </c>
      <c r="AJ39" s="1000" cm="1">
        <f t="array" aca="1" ref="AJ39" ca="1">IF(NPSwitch=1,_xll.TR(AJ$7,AJ$6,"Sdate=#1 Period=#2 Scale=6 NULL=BLANK",,$D39,$O$4),AJ39)</f>
        <v>2844.53563265</v>
      </c>
      <c r="AK39" s="1000" cm="1">
        <f t="array" aca="1" ref="AK39" ca="1">IF(NPSwitch=1,_xll.TR(AK$7,AK$6,"Sdate=#1 Period=#2 Scale=6 NULL=BLANK",,$D39,$O$4),AK39)</f>
        <v>3649.0718329800002</v>
      </c>
      <c r="AL39" s="1000" cm="1">
        <f t="array" aca="1" ref="AL39" ca="1">IF(NPSwitch=1,_xll.TR(AL$7,AL$6,"Sdate=#1 Period=#2 Scale=6 NULL=BLANK",,$D39,$O$4),AL39)</f>
        <v>1443.36312871</v>
      </c>
      <c r="AM39" s="1000" cm="1">
        <f t="array" aca="1" ref="AM39" ca="1">IF(NPSwitch=1,_xll.TR(AM$7,AM$6,"Sdate=#1 Period=#2 Scale=6 NULL=BLANK",,$D39,$O$4),AM39)</f>
        <v>9077.0238181200002</v>
      </c>
      <c r="AN39" s="1000" cm="1">
        <f t="array" aca="1" ref="AN39" ca="1">IF(NPSwitch=1,_xll.TR(AN$7,AN$6,"Sdate=#1 Period=#2 Scale=6 NULL=BLANK",,$D39,$O$4),AN39)</f>
        <v>2987.7906807499999</v>
      </c>
      <c r="AO39" s="1000" cm="1">
        <f t="array" aca="1" ref="AO39" ca="1">IF(NPSwitch=1,_xll.TR(AO$7,AO$6,"Sdate=#1 Period=#2 Scale=6 NULL=BLANK",,$D39,$O$4),AO39)</f>
        <v>10838.779769549999</v>
      </c>
      <c r="AP39" s="1000" cm="1">
        <f t="array" aca="1" ref="AP39" ca="1">IF(NPSwitch=1,_xll.TR(AP$7,AP$6,"Sdate=#1 Period=#2 Scale=6 NULL=BLANK",,$D39,$O$4),AP39)</f>
        <v>9889.2714586820002</v>
      </c>
      <c r="AQ39" s="1000" cm="1">
        <f t="array" aca="1" ref="AQ39" ca="1">IF(NPSwitch=1,_xll.TR(AQ$7,AQ$6,"Sdate=#1 Period=#2 Scale=6 NULL=BLANK",,$D39,$O$4),AQ39)</f>
        <v>5270.2638776499998</v>
      </c>
      <c r="AS39" s="765" t="str" cm="1">
        <f t="array" aca="1" ref="AS39" ca="1">IF(NPSwitch=1,_xll.TR(AS$7,AS$6,"Sdate=#1 Period=#2 NULL=BLANK Scale=6",,$D39,$AS$4),AS39)</f>
        <v/>
      </c>
      <c r="AT39" s="765" t="str" cm="1">
        <f t="array" aca="1" ref="AT39" ca="1">IF(NPSwitch=1,_xll.TR(AT$7,AT$6,"Sdate=#1 Period=#2 NULL=BLANK Scale=6",,$D39,$AS$4),AT39)</f>
        <v/>
      </c>
      <c r="AU39" s="765" t="str" cm="1">
        <f t="array" aca="1" ref="AU39" ca="1">IF(NPSwitch=1,_xll.TR(AU$7,AU$6,"Sdate=#1 Period=#2 NULL=BLANK Scale=6",,$D39,$AS$4),AU39)</f>
        <v/>
      </c>
      <c r="AV39" s="765" t="str" cm="1">
        <f t="array" aca="1" ref="AV39" ca="1">IF(NPSwitch=1,_xll.TR(AV$7,AV$6,"Sdate=#1 Period=#2 NULL=BLANK Scale=6",,$D39,$AS$4),AV39)</f>
        <v/>
      </c>
      <c r="AW39" s="765" t="str" cm="1">
        <f t="array" aca="1" ref="AW39" ca="1">IF(NPSwitch=1,_xll.TR(AW$7,AW$6,"Sdate=#1 Period=#2 NULL=BLANK Scale=6",,$D39,$AS$4),AW39)</f>
        <v/>
      </c>
      <c r="AX39" s="765" t="str" cm="1">
        <f t="array" aca="1" ref="AX39" ca="1">IF(NPSwitch=1,_xll.TR(AX$7,AX$6,"Sdate=#1 Period=#2 NULL=BLANK Scale=6",,$D39,$AS$4),AX39)</f>
        <v/>
      </c>
      <c r="AY39" s="765" t="str" cm="1">
        <f t="array" aca="1" ref="AY39" ca="1">IF(NPSwitch=1,_xll.TR(AY$7,AY$6,"Sdate=#1 Period=#2 NULL=BLANK Scale=6",,$D39,$AS$4),AY39)</f>
        <v/>
      </c>
      <c r="AZ39" s="765" t="str" cm="1">
        <f t="array" aca="1" ref="AZ39" ca="1">IF(NPSwitch=1,_xll.TR(AZ$7,AZ$6,"Sdate=#1 Period=#2 NULL=BLANK Scale=6",,$D39,$AS$4),AZ39)</f>
        <v/>
      </c>
      <c r="BA39" s="765" t="str" cm="1">
        <f t="array" aca="1" ref="BA39" ca="1">IF(NPSwitch=1,_xll.TR(BA$7,BA$6,"Sdate=#1 Period=#2 NULL=BLANK Scale=6",,$D39,$AS$4),BA39)</f>
        <v/>
      </c>
      <c r="BC39" s="765" cm="1">
        <f t="array" aca="1" ref="BC39" ca="1">IF(NPSwitch=1,_xll.TR(BC$7,BC$6,"Sdate=#1 Period=#2 NULL=BLANK",,$D39,$BC$4),BC39)</f>
        <v>9.9656770760000004</v>
      </c>
      <c r="BD39" s="765" cm="1">
        <f t="array" aca="1" ref="BD39" ca="1">IF(NPSwitch=1,_xll.TR(BD$7,BD$6,"Sdate=#1 Period=#2 NULL=BLANK",,$D39,$BC$4),BD39)</f>
        <v>10.72620386</v>
      </c>
      <c r="BE39" s="765" cm="1">
        <f t="array" aca="1" ref="BE39" ca="1">IF(NPSwitch=1,_xll.TR(BE$7,BE$6,"Sdate=#1 Period=#2 NULL=BLANK",,$D39,$BC$4),BE39)</f>
        <v>5.9919077720000002</v>
      </c>
      <c r="BF39" s="765" cm="1">
        <f t="array" aca="1" ref="BF39" ca="1">IF(NPSwitch=1,_xll.TR(BF$7,BF$6,"Sdate=#1 Period=#2 NULL=BLANK",,$D39,$BC$4),BF39)</f>
        <v>13.050299536000001</v>
      </c>
      <c r="BG39" s="765" t="str" cm="1">
        <f t="array" aca="1" ref="BG39" ca="1">IF(NPSwitch=1,_xll.TR(BG$7,BG$6,"Sdate=#1 Period=#2 NULL=BLANK",,$D39,$BC$4),BG39)</f>
        <v/>
      </c>
      <c r="BH39" s="765" cm="1">
        <f t="array" aca="1" ref="BH39" ca="1">IF(NPSwitch=1,_xll.TR(BH$7,BH$6,"Sdate=#1 Period=#2 NULL=BLANK",,$D39,$BC$4),BH39)</f>
        <v>7.2448852590000001</v>
      </c>
      <c r="BI39" s="765" cm="1">
        <f t="array" aca="1" ref="BI39" ca="1">IF(NPSwitch=1,_xll.TR(BI$7,BI$6,"Sdate=#1 Period=#2 NULL=BLANK",,$D39,$BC$4),BI39)</f>
        <v>7.1732493509999999</v>
      </c>
      <c r="BJ39" s="765" cm="1">
        <f t="array" aca="1" ref="BJ39" ca="1">IF(NPSwitch=1,_xll.TR(BJ$7,BJ$6,"Sdate=#1 Period=#2 NULL=BLANK",,$D39,$BC$4),BJ39)</f>
        <v>7.2875987169999998</v>
      </c>
      <c r="BK39" s="765" cm="1">
        <f t="array" aca="1" ref="BK39" ca="1">IF(NPSwitch=1,_xll.TR(BK$7,BK$6,"Sdate=#1 Period=#2 NULL=BLANK",,$D39,$BC$4),BK39)</f>
        <v>5.1669253700000004</v>
      </c>
      <c r="BM39" s="1014"/>
      <c r="BO39" s="765" cm="1">
        <f t="array" aca="1" ref="BO39" ca="1">IF(NPSwitch=1,_xll.TR(BO$7,BO$6,"Sdate=#1 Period=#2 NULL=BLANK Scale=6",,$D39,$AS$4),BO39)</f>
        <v>21167</v>
      </c>
      <c r="BP39" s="765" cm="1">
        <f t="array" aca="1" ref="BP39" ca="1">IF(NPSwitch=1,_xll.TR(BP$7,BP$6,"Sdate=#1 Period=#2 NULL=BLANK Scale=6",,$D39,$AS$4),BP39)</f>
        <v>2107.4989999999998</v>
      </c>
      <c r="BQ39" s="765" cm="1">
        <f t="array" aca="1" ref="BQ39" ca="1">IF(NPSwitch=1,_xll.TR(BQ$7,BQ$6,"Sdate=#1 Period=#2 NULL=BLANK Scale=6",,$D39,$AS$4),BQ39)</f>
        <v>7952</v>
      </c>
      <c r="BR39" s="765" cm="1">
        <f t="array" aca="1" ref="BR39" ca="1">IF(NPSwitch=1,_xll.TR(BR$7,BR$6,"Sdate=#1 Period=#2 NULL=BLANK Scale=6",,$D39,$AS$4),BR39)</f>
        <v>2450.6</v>
      </c>
      <c r="BS39" s="765" cm="1">
        <f t="array" aca="1" ref="BS39" ca="1">IF(NPSwitch=1,_xll.TR(BS$7,BS$6,"Sdate=#1 Period=#2 NULL=BLANK Scale=6",,$D39,$AS$4),BS39)</f>
        <v>12393.5</v>
      </c>
      <c r="BT39" s="765" cm="1">
        <f t="array" aca="1" ref="BT39" ca="1">IF(NPSwitch=1,_xll.TR(BT$7,BT$6,"Sdate=#1 Period=#2 NULL=BLANK Scale=6",,$D39,$AS$4),BT39)</f>
        <v>2150.1999999999998</v>
      </c>
      <c r="BU39" s="765" cm="1">
        <f t="array" aca="1" ref="BU39" ca="1">IF(NPSwitch=1,_xll.TR(BU$7,BU$6,"Sdate=#1 Period=#2 NULL=BLANK Scale=6",,$D39,$AS$4),BU39)</f>
        <v>10201</v>
      </c>
      <c r="BV39" s="765" cm="1">
        <f t="array" aca="1" ref="BV39" ca="1">IF(NPSwitch=1,_xll.TR(BV$7,BV$6,"Sdate=#1 Period=#2 NULL=BLANK Scale=6",,$D39,$AS$4),BV39)</f>
        <v>8104</v>
      </c>
      <c r="BW39" s="765" cm="1">
        <f t="array" aca="1" ref="BW39" ca="1">IF(NPSwitch=1,_xll.TR(BW$7,BW$6,"Sdate=#1 Period=#2 NULL=BLANK Scale=6",,$D39,$AS$4),BW39)</f>
        <v>7059</v>
      </c>
      <c r="BX39" s="1002"/>
      <c r="BY39" s="765" cm="1">
        <f t="array" aca="1" ref="BY39" ca="1">IF(NPSwitch=1,_xll.TR(BY$7,BY$6,"Sdate=#1 Period=#2 NULL=BLANK Scale=6",,$D39,$AS$4),BY39)</f>
        <v>13000.25</v>
      </c>
      <c r="BZ39" s="765" cm="1">
        <f t="array" aca="1" ref="BZ39" ca="1">IF(NPSwitch=1,_xll.TR(BZ$7,BZ$6,"Sdate=#1 Period=#2 NULL=BLANK Scale=6",,$D39,$AS$4),BZ39)</f>
        <v>1766.20525</v>
      </c>
      <c r="CA39" s="765" cm="1">
        <f t="array" aca="1" ref="CA39" ca="1">IF(NPSwitch=1,_xll.TR(CA$7,CA$6,"Sdate=#1 Period=#2 NULL=BLANK Scale=6",,$D39,$AS$4),CA39)</f>
        <v>4058.5</v>
      </c>
      <c r="CB39" s="765" cm="1">
        <f t="array" aca="1" ref="CB39" ca="1">IF(NPSwitch=1,_xll.TR(CB$7,CB$6,"Sdate=#1 Period=#2 NULL=BLANK Scale=6",,$D39,$AS$4),CB39)</f>
        <v>1085.9000000000001</v>
      </c>
      <c r="CC39" s="765" cm="1">
        <f t="array" aca="1" ref="CC39" ca="1">IF(NPSwitch=1,_xll.TR(CC$7,CC$6,"Sdate=#1 Period=#2 NULL=BLANK Scale=6",,$D39,$AS$4),CC39)</f>
        <v>6440.875</v>
      </c>
      <c r="CD39" s="765" cm="1">
        <f t="array" aca="1" ref="CD39" ca="1">IF(NPSwitch=1,_xll.TR(CD$7,CD$6,"Sdate=#1 Period=#2 NULL=BLANK Scale=6",,$D39,$AS$4),CD39)</f>
        <v>1804.7750000000001</v>
      </c>
      <c r="CE39" s="765" cm="1">
        <f t="array" aca="1" ref="CE39" ca="1">IF(NPSwitch=1,_xll.TR(CE$7,CE$6,"Sdate=#1 Period=#2 NULL=BLANK Scale=6",,$D39,$AS$4),CE39)</f>
        <v>4745</v>
      </c>
      <c r="CF39" s="765" cm="1">
        <f t="array" aca="1" ref="CF39" ca="1">IF(NPSwitch=1,_xll.TR(CF$7,CF$6,"Sdate=#1 Period=#2 NULL=BLANK Scale=6",,$D39,$AS$4),CF39)</f>
        <v>5893.75</v>
      </c>
      <c r="CG39" s="765" cm="1">
        <f t="array" aca="1" ref="CG39" ca="1">IF(NPSwitch=1,_xll.TR(CG$7,CG$6,"Sdate=#1 Period=#2 NULL=BLANK Scale=6",,$D39,$AS$4),CG39)</f>
        <v>3180</v>
      </c>
      <c r="CI39" s="1000" cm="1">
        <f t="array" aca="1" ref="CI39" ca="1">IF(NPSwitch=1,_xll.TR(CI$7,CI$6,"Sdate=#1 Period=#2 NULL=BLANK Scale=6",,$D39,$AS$4),CI39)</f>
        <v>5840</v>
      </c>
      <c r="CJ39" s="1000" cm="1">
        <f t="array" aca="1" ref="CJ39" ca="1">IF(NPSwitch=1,_xll.TR(CJ$7,CJ$6,"Sdate=#1 Period=#2 NULL=BLANK Scale=6",,$D39,$AS$4),CJ39)</f>
        <v>282.96100000000001</v>
      </c>
      <c r="CK39" s="1000" t="str" cm="1">
        <f t="array" aca="1" ref="CK39" ca="1">IF(NPSwitch=1,_xll.TR(CK$7,CK$6,"Sdate=#1 Period=#2 NULL=BLANK Scale=6",,$D39,$AS$4),CK39)</f>
        <v/>
      </c>
      <c r="CL39" s="1000" cm="1">
        <f t="array" aca="1" ref="CL39" ca="1">IF(NPSwitch=1,_xll.TR(CL$7,CL$6,"Sdate=#1 Period=#2 NULL=BLANK Scale=6",,$D39,$AS$4),CL39)</f>
        <v>118.5</v>
      </c>
      <c r="CM39" s="1000" cm="1">
        <f t="array" aca="1" ref="CM39" ca="1">IF(NPSwitch=1,_xll.TR(CM$7,CM$6,"Sdate=#1 Period=#2 NULL=BLANK Scale=6",,$D39,$AS$4),CM39)</f>
        <v>1573.4</v>
      </c>
      <c r="CN39" s="1000" cm="1">
        <f t="array" aca="1" ref="CN39" ca="1">IF(NPSwitch=1,_xll.TR(CN$7,CN$6,"Sdate=#1 Period=#2 NULL=BLANK Scale=6",,$D39,$AS$4),CN39)</f>
        <v>416.2</v>
      </c>
      <c r="CO39" s="1000" cm="1">
        <f t="array" aca="1" ref="CO39" ca="1">IF(NPSwitch=1,_xll.TR(CO$7,CO$6,"Sdate=#1 Period=#2 NULL=BLANK Scale=6",,$D39,$AS$4),CO39)</f>
        <v>1422</v>
      </c>
      <c r="CP39" s="1000" cm="1">
        <f t="array" aca="1" ref="CP39" ca="1">IF(NPSwitch=1,_xll.TR(CP$7,CP$6,"Sdate=#1 Period=#2 NULL=BLANK Scale=6",,$D39,$AS$4),CP39)</f>
        <v>1357</v>
      </c>
      <c r="CQ39" s="1000" cm="1">
        <f t="array" aca="1" ref="CQ39" ca="1">IF(NPSwitch=1,_xll.TR(CQ$7,CQ$6,"Sdate=#1 Period=#2 NULL=BLANK Scale=6",,$D39,$AS$4),CQ39)</f>
        <v>1077</v>
      </c>
      <c r="CS39" s="1000" cm="1">
        <f t="array" aca="1" ref="CS39" ca="1">IF(NPSwitch=1,_xll.TR(CS$7,CS$6,"Sdate=#1 Period=#2 NULL=BLANK Scale=6",,$D39,$AS$4),CS39)</f>
        <v>5584.25</v>
      </c>
      <c r="CT39" s="1000" cm="1">
        <f t="array" aca="1" ref="CT39" ca="1">IF(NPSwitch=1,_xll.TR(CT$7,CT$6,"Sdate=#1 Period=#2 NULL=BLANK Scale=6",,$D39,$AS$4),CT39)</f>
        <v>935.33624999999995</v>
      </c>
      <c r="CU39" s="1000" cm="1">
        <f t="array" aca="1" ref="CU39" ca="1">IF(NPSwitch=1,_xll.TR(CU$7,CU$6,"Sdate=#1 Period=#2 NULL=BLANK Scale=6",,$D39,$AS$4),CU39)</f>
        <v>1086.25</v>
      </c>
      <c r="CV39" s="1000" cm="1">
        <f t="array" aca="1" ref="CV39" ca="1">IF(NPSwitch=1,_xll.TR(CV$7,CV$6,"Sdate=#1 Period=#2 NULL=BLANK Scale=6",,$D39,$AS$4),CV39)</f>
        <v>421.8</v>
      </c>
      <c r="CW39" s="1000" cm="1">
        <f t="array" aca="1" ref="CW39" ca="1">IF(NPSwitch=1,_xll.TR(CW$7,CW$6,"Sdate=#1 Period=#2 NULL=BLANK Scale=6",,$D39,$AS$4),CW39)</f>
        <v>1032.425</v>
      </c>
      <c r="CX39" s="1000" cm="1">
        <f t="array" aca="1" ref="CX39" ca="1">IF(NPSwitch=1,_xll.TR(CX$7,CX$6,"Sdate=#1 Period=#2 NULL=BLANK Scale=6",,$D39,$AS$4),CX39)</f>
        <v>2352</v>
      </c>
      <c r="CY39" s="1000" cm="1">
        <f t="array" aca="1" ref="CY39" ca="1">IF(NPSwitch=1,_xll.TR(CY$7,CY$6,"Sdate=#1 Period=#2 NULL=BLANK Scale=6",,$D39,$AS$4),CY39)</f>
        <v>3509.75</v>
      </c>
      <c r="CZ39" s="1000" cm="1">
        <f t="array" aca="1" ref="CZ39" ca="1">IF(NPSwitch=1,_xll.TR(CZ$7,CZ$6,"Sdate=#1 Period=#2 NULL=BLANK Scale=6",,$D39,$AS$4),CZ39)</f>
        <v>3137</v>
      </c>
      <c r="DA39" s="1000" cm="1">
        <f t="array" aca="1" ref="DA39" ca="1">IF(NPSwitch=1,_xll.TR(DA$7,DA$6,"Sdate=#1 Period=#2 NULL=BLANK Scale=6",,$D39,$AS$4),DA39)</f>
        <v>1819.75</v>
      </c>
      <c r="DB39" s="1000" cm="1">
        <f t="array" aca="1" ref="DB39" ca="1">IF(NPSwitch=1,_xll.TR(DB$7,DB$6,"Sdate=#1 Period=#2 NULL=BLANK Scale=6",,$D39,$AS$4),DB39)</f>
        <v>13408.174999999999</v>
      </c>
      <c r="DC39" s="1000" t="str" cm="1">
        <f t="array" aca="1" ref="DC39" ca="1">IF(NPSwitch=1,_xll.TR(DC$7,DC$6,"Sdate=#1 Period=#2 NULL=BLANK Scale=6",,$D39,$AS$4),DC39)</f>
        <v/>
      </c>
      <c r="DD39" s="1000" t="str" cm="1">
        <f t="array" aca="1" ref="DD39" ca="1">IF(NPSwitch=1,_xll.TR(DD$7,DD$6,"Sdate=#1 Period=#2 NULL=BLANK Scale=6",,$D39,$AS$4),DD39)</f>
        <v/>
      </c>
      <c r="DE39" s="1000" t="str" cm="1">
        <f t="array" aca="1" ref="DE39" ca="1">IF(NPSwitch=1,_xll.TR(DE$7,DE$6,"Sdate=#1 Period=#2 NULL=BLANK Scale=6",,$D39,$AS$4),DE39)</f>
        <v/>
      </c>
      <c r="DF39" s="1000" cm="1">
        <f t="array" aca="1" ref="DF39" ca="1">IF(NPSwitch=1,_xll.TR(DF$7,DF$6,"Sdate=#1 Period=#2 NULL=BLANK Scale=6",,$D39,$AS$4),DF39)</f>
        <v>421.8</v>
      </c>
      <c r="DG39" s="1000" cm="1">
        <f t="array" aca="1" ref="DG39" ca="1">IF(NPSwitch=1,_xll.TR(DG$7,DG$6,"Sdate=#1 Period=#2 NULL=BLANK Scale=6",,$D39,$AS$4),DG39)</f>
        <v>4914.3500000000004</v>
      </c>
      <c r="DH39" s="1000" cm="1">
        <f t="array" aca="1" ref="DH39" ca="1">IF(NPSwitch=1,_xll.TR(DH$7,DH$6,"Sdate=#1 Period=#2 NULL=BLANK Scale=6",,$D39,$AS$4),DH39)</f>
        <v>856.64724999999999</v>
      </c>
    </row>
    <row r="40" spans="3:170" ht="11.25" customHeight="1">
      <c r="C40" s="969">
        <f t="shared" si="44"/>
        <v>38807</v>
      </c>
      <c r="D40" s="974">
        <f t="shared" si="43"/>
        <v>38852</v>
      </c>
      <c r="E40" s="765" cm="1">
        <f t="array" aca="1" ref="E40" ca="1">IF(NPSwitch=1,_xll.TR(E$7,E$6,"Sdate=#1 Period=#2 NULL=BLANK",,$D40,$E$4),E40)</f>
        <v>10.0848801793076</v>
      </c>
      <c r="F40" s="765" cm="1">
        <f t="array" aca="1" ref="F40" ca="1">IF(NPSwitch=1,_xll.TR(F$7,F$6,"Sdate=#1 Period=#2 NULL=BLANK",,$D40,$E$4),F40)</f>
        <v>8.9033536728344806</v>
      </c>
      <c r="G40" s="765" cm="1">
        <f t="array" aca="1" ref="G40" ca="1">IF(NPSwitch=1,_xll.TR(G$7,G$6,"Sdate=#1 Period=#2 NULL=BLANK",,$D40,$E$4),G40)</f>
        <v>5.8663013062024403</v>
      </c>
      <c r="H40" s="765" t="str" cm="1">
        <f t="array" aca="1" ref="H40" ca="1">IF(NPSwitch=1,_xll.TR(H$7,H$6,"Sdate=#1 Period=#2 NULL=BLANK",,$D40,$E$4),H40)</f>
        <v/>
      </c>
      <c r="I40" s="765" cm="1">
        <f t="array" aca="1" ref="I40" ca="1">IF(NPSwitch=1,_xll.TR(I$7,I$6,"Sdate=#1 Period=#2 NULL=BLANK",,$D40,$E$4),I40)</f>
        <v>5.7054280058967501</v>
      </c>
      <c r="J40" s="765" cm="1">
        <f t="array" aca="1" ref="J40" ca="1">IF(NPSwitch=1,_xll.TR(J$7,J$6,"Sdate=#1 Period=#2 NULL=BLANK",,$D40,$E$4),J40)</f>
        <v>6.4532542903098804</v>
      </c>
      <c r="K40" s="765" cm="1">
        <f t="array" aca="1" ref="K40" ca="1">IF(NPSwitch=1,_xll.TR(K$7,K$6,"Sdate=#1 Period=#2 NULL=BLANK",,$D40,$E$4),K40)</f>
        <v>6.8407269300261602</v>
      </c>
      <c r="L40" s="765" cm="1">
        <f t="array" aca="1" ref="L40" ca="1">IF(NPSwitch=1,_xll.TR(L$7,L$6,"Sdate=#1 Period=#2 NULL=BLANK",,$D40,$E$4),L40)</f>
        <v>6.3848722838046497</v>
      </c>
      <c r="M40" s="765" cm="1">
        <f t="array" aca="1" ref="M40" ca="1">IF(NPSwitch=1,_xll.TR(M$7,M$6,"Sdate=#1 Period=#2 NULL=BLANK",,$D40,$E$4),M40)</f>
        <v>5.6476763149678</v>
      </c>
      <c r="N40" s="1002">
        <f t="shared" ca="1" si="45"/>
        <v>6.2501165632479765</v>
      </c>
      <c r="O40" s="1000" cm="1">
        <f t="array" aca="1" ref="O40" ca="1">IF(NPSwitch=1,_xll.TR(O$7,O$6,"Sdate=#1 Period=#2 Scale=6 NULL=BLANK",,$D40,$O$4),O40)</f>
        <v>65682.528048720007</v>
      </c>
      <c r="P40" s="1000" cm="1">
        <f t="array" aca="1" ref="P40" ca="1">IF(NPSwitch=1,_xll.TR(P$7,P$6,"Sdate=#1 Period=#2 Scale=6 NULL=BLANK",,$D40,$O$4),P40)</f>
        <v>2251.1409817099998</v>
      </c>
      <c r="Q40" s="1000" cm="1">
        <f t="array" aca="1" ref="Q40" ca="1">IF(NPSwitch=1,_xll.TR(Q$7,Q$6,"Sdate=#1 Period=#2 Scale=6 NULL=BLANK",,$D40,$O$4),Q40)</f>
        <v>4552.3540745999999</v>
      </c>
      <c r="R40" s="1000" cm="1">
        <f t="array" aca="1" ref="R40" ca="1">IF(NPSwitch=1,_xll.TR(R$7,R$6,"Sdate=#1 Period=#2 Scale=6 NULL=BLANK",,$D40,$O$4),R40)</f>
        <v>820.63104104000001</v>
      </c>
      <c r="S40" s="1000" cm="1">
        <f t="array" aca="1" ref="S40" ca="1">IF(NPSwitch=1,_xll.TR(S$7,S$6,"Sdate=#1 Period=#2 Scale=6 NULL=BLANK",,$D40,$O$4),S40)</f>
        <v>4218.6851078399905</v>
      </c>
      <c r="T40" s="1000" cm="1">
        <f t="array" aca="1" ref="T40" ca="1">IF(NPSwitch=1,_xll.TR(T$7,T$6,"Sdate=#1 Period=#2 Scale=6 NULL=BLANK",,$D40,$O$4),T40)</f>
        <v>2519.9725323600001</v>
      </c>
      <c r="U40" s="1000" cm="1">
        <f t="array" aca="1" ref="U40" ca="1">IF(NPSwitch=1,_xll.TR(U$7,U$6,"Sdate=#1 Period=#2 Scale=6 NULL=BLANK",,$D40,$O$4),U40)</f>
        <v>11042.662972210001</v>
      </c>
      <c r="V40" s="1000" cm="1">
        <f t="array" aca="1" ref="V40" ca="1">IF(NPSwitch=1,_xll.TR(V$7,V$6,"Sdate=#1 Period=#2 Scale=6 NULL=BLANK",,$D40,$O$4),V40)</f>
        <v>8003.9744201296498</v>
      </c>
      <c r="W40" s="1000" cm="1">
        <f t="array" aca="1" ref="W40" ca="1">IF(NPSwitch=1,_xll.TR(W$7,W$6,"Sdate=#1 Period=#2 Scale=6 NULL=BLANK",,$D40,$O$4),W40)</f>
        <v>4603.0152604000004</v>
      </c>
      <c r="X40" s="998"/>
      <c r="Y40" s="1000" cm="1">
        <f t="array" aca="1" ref="Y40" ca="1">IF(NPSwitch=1,_xll.TR(Y$7,Y$6,"Sdate=#1 Period=#2 Scale=6 NULL=BLANK",,$D40,$O$4),Y40)</f>
        <v>1503.5</v>
      </c>
      <c r="Z40" s="1000" cm="1">
        <f t="array" aca="1" ref="Z40" ca="1">IF(NPSwitch=1,_xll.TR(Z$7,Z$6,"Sdate=#1 Period=#2 Scale=6 NULL=BLANK",,$D40,$O$4),Z40)</f>
        <v>67.954250000000002</v>
      </c>
      <c r="AA40" s="1000" cm="1">
        <f t="array" aca="1" ref="AA40" ca="1">IF(NPSwitch=1,_xll.TR(AA$7,AA$6,"Sdate=#1 Period=#2 Scale=6 NULL=BLANK",,$D40,$O$4),AA40)</f>
        <v>1064.25</v>
      </c>
      <c r="AB40" s="1000" cm="1">
        <f t="array" aca="1" ref="AB40" ca="1">IF(NPSwitch=1,_xll.TR(AB$7,AB$6,"Sdate=#1 Period=#2 Scale=6 NULL=BLANK",,$D40,$O$4),AB40)</f>
        <v>38.075000000000003</v>
      </c>
      <c r="AC40" s="1000" cm="1">
        <f t="array" aca="1" ref="AC40" ca="1">IF(NPSwitch=1,_xll.TR(AC$7,AC$6,"Sdate=#1 Period=#2 Scale=6 NULL=BLANK",,$D40,$O$4),AC40)</f>
        <v>186.17500000000001</v>
      </c>
      <c r="AD40" s="1000" cm="1">
        <f t="array" aca="1" ref="AD40" ca="1">IF(NPSwitch=1,_xll.TR(AD$7,AD$6,"Sdate=#1 Period=#2 Scale=6 NULL=BLANK",,$D40,$O$4),AD40)</f>
        <v>188.35</v>
      </c>
      <c r="AE40" s="1000" cm="1">
        <f t="array" aca="1" ref="AE40" ca="1">IF(NPSwitch=1,_xll.TR(AE$7,AE$6,"Sdate=#1 Period=#2 Scale=6 NULL=BLANK",,$D40,$O$4),AE40)</f>
        <v>460.25</v>
      </c>
      <c r="AF40" s="1000" cm="1">
        <f t="array" aca="1" ref="AF40" ca="1">IF(NPSwitch=1,_xll.TR(AF$7,AF$6,"Sdate=#1 Period=#2 Scale=6 NULL=BLANK",,$D40,$O$4),AF40)</f>
        <v>776</v>
      </c>
      <c r="AG40" s="1000" cm="1">
        <f t="array" aca="1" ref="AG40" ca="1">IF(NPSwitch=1,_xll.TR(AG$7,AG$6,"Sdate=#1 Period=#2 Scale=6 NULL=BLANK",,$D40,$O$4),AG40)</f>
        <v>384</v>
      </c>
      <c r="AH40" s="998"/>
      <c r="AI40" s="1000" cm="1">
        <f t="array" aca="1" ref="AI40" ca="1">IF(NPSwitch=1,_xll.TR(AI$7,AI$6,"Sdate=#1 Period=#2 Scale=6 NULL=BLANK",,$D40,$O$4),AI40)</f>
        <v>67331.528048720007</v>
      </c>
      <c r="AJ40" s="1000" cm="1">
        <f t="array" aca="1" ref="AJ40" ca="1">IF(NPSwitch=1,_xll.TR(AJ$7,AJ$6,"Sdate=#1 Period=#2 Scale=6 NULL=BLANK",,$D40,$O$4),AJ40)</f>
        <v>3013.9359817099999</v>
      </c>
      <c r="AK40" s="1000" cm="1">
        <f t="array" aca="1" ref="AK40" ca="1">IF(NPSwitch=1,_xll.TR(AK$7,AK$6,"Sdate=#1 Period=#2 Scale=6 NULL=BLANK",,$D40,$O$4),AK40)</f>
        <v>3544.3540745999999</v>
      </c>
      <c r="AL40" s="1000" cm="1">
        <f t="array" aca="1" ref="AL40" ca="1">IF(NPSwitch=1,_xll.TR(AL$7,AL$6,"Sdate=#1 Period=#2 Scale=6 NULL=BLANK",,$D40,$O$4),AL40)</f>
        <v>1454.03104104</v>
      </c>
      <c r="AM40" s="1000" cm="1">
        <f t="array" aca="1" ref="AM40" ca="1">IF(NPSwitch=1,_xll.TR(AM$7,AM$6,"Sdate=#1 Period=#2 Scale=6 NULL=BLANK",,$D40,$O$4),AM40)</f>
        <v>8893.0851078399992</v>
      </c>
      <c r="AN40" s="1000" cm="1">
        <f t="array" aca="1" ref="AN40" ca="1">IF(NPSwitch=1,_xll.TR(AN$7,AN$6,"Sdate=#1 Period=#2 Scale=6 NULL=BLANK",,$D40,$O$4),AN40)</f>
        <v>3113.3725323600002</v>
      </c>
      <c r="AO40" s="1000" cm="1">
        <f t="array" aca="1" ref="AO40" ca="1">IF(NPSwitch=1,_xll.TR(AO$7,AO$6,"Sdate=#1 Period=#2 Scale=6 NULL=BLANK",,$D40,$O$4),AO40)</f>
        <v>12013.662972210001</v>
      </c>
      <c r="AP40" s="1000" cm="1">
        <f t="array" aca="1" ref="AP40" ca="1">IF(NPSwitch=1,_xll.TR(AP$7,AP$6,"Sdate=#1 Period=#2 Scale=6 NULL=BLANK",,$D40,$O$4),AP40)</f>
        <v>9688.97442013</v>
      </c>
      <c r="AQ40" s="1000" cm="1">
        <f t="array" aca="1" ref="AQ40" ca="1">IF(NPSwitch=1,_xll.TR(AQ$7,AQ$6,"Sdate=#1 Period=#2 Scale=6 NULL=BLANK",,$D40,$O$4),AQ40)</f>
        <v>5785.0152604000004</v>
      </c>
      <c r="AS40" s="765" t="str" cm="1">
        <f t="array" aca="1" ref="AS40" ca="1">IF(NPSwitch=1,_xll.TR(AS$7,AS$6,"Sdate=#1 Period=#2 NULL=BLANK Scale=6",,$D40,$AS$4),AS40)</f>
        <v/>
      </c>
      <c r="AT40" s="765" t="str" cm="1">
        <f t="array" aca="1" ref="AT40" ca="1">IF(NPSwitch=1,_xll.TR(AT$7,AT$6,"Sdate=#1 Period=#2 NULL=BLANK Scale=6",,$D40,$AS$4),AT40)</f>
        <v/>
      </c>
      <c r="AU40" s="765" t="str" cm="1">
        <f t="array" aca="1" ref="AU40" ca="1">IF(NPSwitch=1,_xll.TR(AU$7,AU$6,"Sdate=#1 Period=#2 NULL=BLANK Scale=6",,$D40,$AS$4),AU40)</f>
        <v/>
      </c>
      <c r="AV40" s="765" t="str" cm="1">
        <f t="array" aca="1" ref="AV40" ca="1">IF(NPSwitch=1,_xll.TR(AV$7,AV$6,"Sdate=#1 Period=#2 NULL=BLANK Scale=6",,$D40,$AS$4),AV40)</f>
        <v/>
      </c>
      <c r="AW40" s="765" t="str" cm="1">
        <f t="array" aca="1" ref="AW40" ca="1">IF(NPSwitch=1,_xll.TR(AW$7,AW$6,"Sdate=#1 Period=#2 NULL=BLANK Scale=6",,$D40,$AS$4),AW40)</f>
        <v/>
      </c>
      <c r="AX40" s="765" t="str" cm="1">
        <f t="array" aca="1" ref="AX40" ca="1">IF(NPSwitch=1,_xll.TR(AX$7,AX$6,"Sdate=#1 Period=#2 NULL=BLANK Scale=6",,$D40,$AS$4),AX40)</f>
        <v/>
      </c>
      <c r="AY40" s="765" t="str" cm="1">
        <f t="array" aca="1" ref="AY40" ca="1">IF(NPSwitch=1,_xll.TR(AY$7,AY$6,"Sdate=#1 Period=#2 NULL=BLANK Scale=6",,$D40,$AS$4),AY40)</f>
        <v/>
      </c>
      <c r="AZ40" s="765" t="str" cm="1">
        <f t="array" aca="1" ref="AZ40" ca="1">IF(NPSwitch=1,_xll.TR(AZ$7,AZ$6,"Sdate=#1 Period=#2 NULL=BLANK Scale=6",,$D40,$AS$4),AZ40)</f>
        <v/>
      </c>
      <c r="BA40" s="765" t="str" cm="1">
        <f t="array" aca="1" ref="BA40" ca="1">IF(NPSwitch=1,_xll.TR(BA$7,BA$6,"Sdate=#1 Period=#2 NULL=BLANK Scale=6",,$D40,$AS$4),BA40)</f>
        <v/>
      </c>
      <c r="BC40" s="765" cm="1">
        <f t="array" aca="1" ref="BC40" ca="1">IF(NPSwitch=1,_xll.TR(BC$7,BC$6,"Sdate=#1 Period=#2 NULL=BLANK",,$D40,$BC$4),BC40)</f>
        <v>11.110813209</v>
      </c>
      <c r="BD40" s="765" cm="1">
        <f t="array" aca="1" ref="BD40" ca="1">IF(NPSwitch=1,_xll.TR(BD$7,BD$6,"Sdate=#1 Period=#2 NULL=BLANK",,$D40,$BC$4),BD40)</f>
        <v>9.9434720470000002</v>
      </c>
      <c r="BE40" s="765" cm="1">
        <f t="array" aca="1" ref="BE40" ca="1">IF(NPSwitch=1,_xll.TR(BE$7,BE$6,"Sdate=#1 Period=#2 NULL=BLANK",,$D40,$BC$4),BE40)</f>
        <v>6.515356755</v>
      </c>
      <c r="BF40" s="765" cm="1">
        <f t="array" aca="1" ref="BF40" ca="1">IF(NPSwitch=1,_xll.TR(BF$7,BF$6,"Sdate=#1 Period=#2 NULL=BLANK",,$D40,$BC$4),BF40)</f>
        <v>13.14675444</v>
      </c>
      <c r="BG40" s="765" t="str" cm="1">
        <f t="array" aca="1" ref="BG40" ca="1">IF(NPSwitch=1,_xll.TR(BG$7,BG$6,"Sdate=#1 Period=#2 NULL=BLANK",,$D40,$BC$4),BG40)</f>
        <v/>
      </c>
      <c r="BH40" s="765" cm="1">
        <f t="array" aca="1" ref="BH40" ca="1">IF(NPSwitch=1,_xll.TR(BH$7,BH$6,"Sdate=#1 Period=#2 NULL=BLANK",,$D40,$BC$4),BH40)</f>
        <v>6.9837876449999996</v>
      </c>
      <c r="BI40" s="765" cm="1">
        <f t="array" aca="1" ref="BI40" ca="1">IF(NPSwitch=1,_xll.TR(BI$7,BI$6,"Sdate=#1 Period=#2 NULL=BLANK",,$D40,$BC$4),BI40)</f>
        <v>7.6228825970000003</v>
      </c>
      <c r="BJ40" s="765" cm="1">
        <f t="array" aca="1" ref="BJ40" ca="1">IF(NPSwitch=1,_xll.TR(BJ$7,BJ$6,"Sdate=#1 Period=#2 NULL=BLANK",,$D40,$BC$4),BJ40)</f>
        <v>6.5956258820000002</v>
      </c>
      <c r="BK40" s="765" cm="1">
        <f t="array" aca="1" ref="BK40" ca="1">IF(NPSwitch=1,_xll.TR(BK$7,BK$6,"Sdate=#1 Period=#2 NULL=BLANK",,$D40,$BC$4),BK40)</f>
        <v>5.710775183</v>
      </c>
      <c r="BM40" s="1014"/>
      <c r="BO40" s="765" cm="1">
        <f t="array" aca="1" ref="BO40" ca="1">IF(NPSwitch=1,_xll.TR(BO$7,BO$6,"Sdate=#1 Period=#2 NULL=BLANK Scale=6",,$D40,$AS$4),BO40)</f>
        <v>21596</v>
      </c>
      <c r="BP40" s="765" cm="1">
        <f t="array" aca="1" ref="BP40" ca="1">IF(NPSwitch=1,_xll.TR(BP$7,BP$6,"Sdate=#1 Period=#2 NULL=BLANK Scale=6",,$D40,$AS$4),BP40)</f>
        <v>2204.8879999999999</v>
      </c>
      <c r="BQ40" s="765" cm="1">
        <f t="array" aca="1" ref="BQ40" ca="1">IF(NPSwitch=1,_xll.TR(BQ$7,BQ$6,"Sdate=#1 Period=#2 NULL=BLANK Scale=6",,$D40,$AS$4),BQ40)</f>
        <v>7676</v>
      </c>
      <c r="BR40" s="765" cm="1">
        <f t="array" aca="1" ref="BR40" ca="1">IF(NPSwitch=1,_xll.TR(BR$7,BR$6,"Sdate=#1 Period=#2 NULL=BLANK Scale=6",,$D40,$AS$4),BR40)</f>
        <v>2513.4</v>
      </c>
      <c r="BS40" s="765" cm="1">
        <f t="array" aca="1" ref="BS40" ca="1">IF(NPSwitch=1,_xll.TR(BS$7,BS$6,"Sdate=#1 Period=#2 NULL=BLANK Scale=6",,$D40,$AS$4),BS40)</f>
        <v>10782.3</v>
      </c>
      <c r="BT40" s="765" cm="1">
        <f t="array" aca="1" ref="BT40" ca="1">IF(NPSwitch=1,_xll.TR(BT$7,BT$6,"Sdate=#1 Period=#2 NULL=BLANK Scale=6",,$D40,$AS$4),BT40)</f>
        <v>2191.9</v>
      </c>
      <c r="BU40" s="765" cm="1">
        <f t="array" aca="1" ref="BU40" ca="1">IF(NPSwitch=1,_xll.TR(BU$7,BU$6,"Sdate=#1 Period=#2 NULL=BLANK Scale=6",,$D40,$AS$4),BU40)</f>
        <v>10346</v>
      </c>
      <c r="BV40" s="765" cm="1">
        <f t="array" aca="1" ref="BV40" ca="1">IF(NPSwitch=1,_xll.TR(BV$7,BV$6,"Sdate=#1 Period=#2 NULL=BLANK Scale=6",,$D40,$AS$4),BV40)</f>
        <v>8961</v>
      </c>
      <c r="BW40" s="765" cm="1">
        <f t="array" aca="1" ref="BW40" ca="1">IF(NPSwitch=1,_xll.TR(BW$7,BW$6,"Sdate=#1 Period=#2 NULL=BLANK Scale=6",,$D40,$AS$4),BW40)</f>
        <v>7100</v>
      </c>
      <c r="BX40" s="1002"/>
      <c r="BY40" s="765" cm="1">
        <f t="array" aca="1" ref="BY40" ca="1">IF(NPSwitch=1,_xll.TR(BY$7,BY$6,"Sdate=#1 Period=#2 NULL=BLANK Scale=6",,$D40,$AS$4),BY40)</f>
        <v>13106.5</v>
      </c>
      <c r="BZ40" s="765" cm="1">
        <f t="array" aca="1" ref="BZ40" ca="1">IF(NPSwitch=1,_xll.TR(BZ$7,BZ$6,"Sdate=#1 Period=#2 NULL=BLANK Scale=6",,$D40,$AS$4),BZ40)</f>
        <v>1781.9465</v>
      </c>
      <c r="CA40" s="765" cm="1">
        <f t="array" aca="1" ref="CA40" ca="1">IF(NPSwitch=1,_xll.TR(CA$7,CA$6,"Sdate=#1 Period=#2 NULL=BLANK Scale=6",,$D40,$AS$4),CA40)</f>
        <v>3826.5</v>
      </c>
      <c r="CB40" s="765" cm="1">
        <f t="array" aca="1" ref="CB40" ca="1">IF(NPSwitch=1,_xll.TR(CB$7,CB$6,"Sdate=#1 Period=#2 NULL=BLANK Scale=6",,$D40,$AS$4),CB40)</f>
        <v>1093.8499999999999</v>
      </c>
      <c r="CC40" s="765" cm="1">
        <f t="array" aca="1" ref="CC40" ca="1">IF(NPSwitch=1,_xll.TR(CC$7,CC$6,"Sdate=#1 Period=#2 NULL=BLANK Scale=6",,$D40,$AS$4),CC40)</f>
        <v>6167.4750000000004</v>
      </c>
      <c r="CD40" s="765" cm="1">
        <f t="array" aca="1" ref="CD40" ca="1">IF(NPSwitch=1,_xll.TR(CD$7,CD$6,"Sdate=#1 Period=#2 NULL=BLANK Scale=6",,$D40,$AS$4),CD40)</f>
        <v>1775.35</v>
      </c>
      <c r="CE40" s="765" cm="1">
        <f t="array" aca="1" ref="CE40" ca="1">IF(NPSwitch=1,_xll.TR(CE$7,CE$6,"Sdate=#1 Period=#2 NULL=BLANK Scale=6",,$D40,$AS$4),CE40)</f>
        <v>4654.75</v>
      </c>
      <c r="CF40" s="765" cm="1">
        <f t="array" aca="1" ref="CF40" ca="1">IF(NPSwitch=1,_xll.TR(CF$7,CF$6,"Sdate=#1 Period=#2 NULL=BLANK Scale=6",,$D40,$AS$4),CF40)</f>
        <v>6086</v>
      </c>
      <c r="CG40" s="765" cm="1">
        <f t="array" aca="1" ref="CG40" ca="1">IF(NPSwitch=1,_xll.TR(CG$7,CG$6,"Sdate=#1 Period=#2 NULL=BLANK Scale=6",,$D40,$AS$4),CG40)</f>
        <v>3175.75</v>
      </c>
      <c r="CI40" s="1000" cm="1">
        <f t="array" aca="1" ref="CI40" ca="1">IF(NPSwitch=1,_xll.TR(CI$7,CI$6,"Sdate=#1 Period=#2 NULL=BLANK Scale=6",,$D40,$AS$4),CI40)</f>
        <v>6060</v>
      </c>
      <c r="CJ40" s="1000" cm="1">
        <f t="array" aca="1" ref="CJ40" ca="1">IF(NPSwitch=1,_xll.TR(CJ$7,CJ$6,"Sdate=#1 Period=#2 NULL=BLANK Scale=6",,$D40,$AS$4),CJ40)</f>
        <v>303.10700000000003</v>
      </c>
      <c r="CK40" s="1000" t="str" cm="1">
        <f t="array" aca="1" ref="CK40" ca="1">IF(NPSwitch=1,_xll.TR(CK$7,CK$6,"Sdate=#1 Period=#2 NULL=BLANK Scale=6",,$D40,$AS$4),CK40)</f>
        <v/>
      </c>
      <c r="CL40" s="1000" cm="1">
        <f t="array" aca="1" ref="CL40" ca="1">IF(NPSwitch=1,_xll.TR(CL$7,CL$6,"Sdate=#1 Period=#2 NULL=BLANK Scale=6",,$D40,$AS$4),CL40)</f>
        <v>130.9</v>
      </c>
      <c r="CM40" s="1000" cm="1">
        <f t="array" aca="1" ref="CM40" ca="1">IF(NPSwitch=1,_xll.TR(CM$7,CM$6,"Sdate=#1 Period=#2 NULL=BLANK Scale=6",,$D40,$AS$4),CM40)</f>
        <v>1294.5</v>
      </c>
      <c r="CN40" s="1000" cm="1">
        <f t="array" aca="1" ref="CN40" ca="1">IF(NPSwitch=1,_xll.TR(CN$7,CN$6,"Sdate=#1 Period=#2 NULL=BLANK Scale=6",,$D40,$AS$4),CN40)</f>
        <v>445.8</v>
      </c>
      <c r="CO40" s="1000" cm="1">
        <f t="array" aca="1" ref="CO40" ca="1">IF(NPSwitch=1,_xll.TR(CO$7,CO$6,"Sdate=#1 Period=#2 NULL=BLANK Scale=6",,$D40,$AS$4),CO40)</f>
        <v>1576</v>
      </c>
      <c r="CP40" s="1000" cm="1">
        <f t="array" aca="1" ref="CP40" ca="1">IF(NPSwitch=1,_xll.TR(CP$7,CP$6,"Sdate=#1 Period=#2 NULL=BLANK Scale=6",,$D40,$AS$4),CP40)</f>
        <v>1469</v>
      </c>
      <c r="CQ40" s="1000" cm="1">
        <f t="array" aca="1" ref="CQ40" ca="1">IF(NPSwitch=1,_xll.TR(CQ$7,CQ$6,"Sdate=#1 Period=#2 NULL=BLANK Scale=6",,$D40,$AS$4),CQ40)</f>
        <v>1013</v>
      </c>
      <c r="CS40" s="1000" cm="1">
        <f t="array" aca="1" ref="CS40" ca="1">IF(NPSwitch=1,_xll.TR(CS$7,CS$6,"Sdate=#1 Period=#2 NULL=BLANK Scale=6",,$D40,$AS$4),CS40)</f>
        <v>5571.75</v>
      </c>
      <c r="CT40" s="1000" cm="1">
        <f t="array" aca="1" ref="CT40" ca="1">IF(NPSwitch=1,_xll.TR(CT$7,CT$6,"Sdate=#1 Period=#2 NULL=BLANK Scale=6",,$D40,$AS$4),CT40)</f>
        <v>951.48850000000004</v>
      </c>
      <c r="CU40" s="1000" cm="1">
        <f t="array" aca="1" ref="CU40" ca="1">IF(NPSwitch=1,_xll.TR(CU$7,CU$6,"Sdate=#1 Period=#2 NULL=BLANK Scale=6",,$D40,$AS$4),CU40)</f>
        <v>974.25</v>
      </c>
      <c r="CV40" s="1000" cm="1">
        <f t="array" aca="1" ref="CV40" ca="1">IF(NPSwitch=1,_xll.TR(CV$7,CV$6,"Sdate=#1 Period=#2 NULL=BLANK Scale=6",,$D40,$AS$4),CV40)</f>
        <v>420.5</v>
      </c>
      <c r="CW40" s="1000" cm="1">
        <f t="array" aca="1" ref="CW40" ca="1">IF(NPSwitch=1,_xll.TR(CW$7,CW$6,"Sdate=#1 Period=#2 NULL=BLANK Scale=6",,$D40,$AS$4),CW40)</f>
        <v>1013.975</v>
      </c>
      <c r="CX40" s="1000" cm="1">
        <f t="array" aca="1" ref="CX40" ca="1">IF(NPSwitch=1,_xll.TR(CX$7,CX$6,"Sdate=#1 Period=#2 NULL=BLANK Scale=6",,$D40,$AS$4),CX40)</f>
        <v>2319.75</v>
      </c>
      <c r="CY40" s="1000" cm="1">
        <f t="array" aca="1" ref="CY40" ca="1">IF(NPSwitch=1,_xll.TR(CY$7,CY$6,"Sdate=#1 Period=#2 NULL=BLANK Scale=6",,$D40,$AS$4),CY40)</f>
        <v>3677.5</v>
      </c>
      <c r="CZ40" s="1000" cm="1">
        <f t="array" aca="1" ref="CZ40" ca="1">IF(NPSwitch=1,_xll.TR(CZ$7,CZ$6,"Sdate=#1 Period=#2 NULL=BLANK Scale=6",,$D40,$AS$4),CZ40)</f>
        <v>3145.5</v>
      </c>
      <c r="DA40" s="1000" cm="1">
        <f t="array" aca="1" ref="DA40" ca="1">IF(NPSwitch=1,_xll.TR(DA$7,DA$6,"Sdate=#1 Period=#2 NULL=BLANK Scale=6",,$D40,$AS$4),DA40)</f>
        <v>1951</v>
      </c>
      <c r="DB40" s="1000" cm="1">
        <f t="array" aca="1" ref="DB40" ca="1">IF(NPSwitch=1,_xll.TR(DB$7,DB$6,"Sdate=#1 Period=#2 NULL=BLANK Scale=6",,$D40,$AS$4),DB40)</f>
        <v>13832.725</v>
      </c>
      <c r="DC40" s="1000" t="str" cm="1">
        <f t="array" aca="1" ref="DC40" ca="1">IF(NPSwitch=1,_xll.TR(DC$7,DC$6,"Sdate=#1 Period=#2 NULL=BLANK Scale=6",,$D40,$AS$4),DC40)</f>
        <v/>
      </c>
      <c r="DD40" s="1000" t="str" cm="1">
        <f t="array" aca="1" ref="DD40" ca="1">IF(NPSwitch=1,_xll.TR(DD$7,DD$6,"Sdate=#1 Period=#2 NULL=BLANK Scale=6",,$D40,$AS$4),DD40)</f>
        <v/>
      </c>
      <c r="DE40" s="1000" t="str" cm="1">
        <f t="array" aca="1" ref="DE40" ca="1">IF(NPSwitch=1,_xll.TR(DE$7,DE$6,"Sdate=#1 Period=#2 NULL=BLANK Scale=6",,$D40,$AS$4),DE40)</f>
        <v/>
      </c>
      <c r="DF40" s="1000" cm="1">
        <f t="array" aca="1" ref="DF40" ca="1">IF(NPSwitch=1,_xll.TR(DF$7,DF$6,"Sdate=#1 Period=#2 NULL=BLANK Scale=6",,$D40,$AS$4),DF40)</f>
        <v>420.5</v>
      </c>
      <c r="DG40" s="1000" cm="1">
        <f t="array" aca="1" ref="DG40" ca="1">IF(NPSwitch=1,_xll.TR(DG$7,DG$6,"Sdate=#1 Period=#2 NULL=BLANK Scale=6",,$D40,$AS$4),DG40)</f>
        <v>4682.6000000000004</v>
      </c>
      <c r="DH40" s="1000" cm="1">
        <f t="array" aca="1" ref="DH40" ca="1">IF(NPSwitch=1,_xll.TR(DH$7,DH$6,"Sdate=#1 Period=#2 NULL=BLANK Scale=6",,$D40,$AS$4),DH40)</f>
        <v>864.78575000000001</v>
      </c>
    </row>
    <row r="41" spans="3:170" ht="11.25" customHeight="1">
      <c r="C41" s="971">
        <f t="shared" si="44"/>
        <v>38898</v>
      </c>
      <c r="D41" s="974">
        <f t="shared" si="43"/>
        <v>38943</v>
      </c>
      <c r="E41" s="765" cm="1">
        <f t="array" aca="1" ref="E41" ca="1">IF(NPSwitch=1,_xll.TR(E$7,E$6,"Sdate=#1 Period=#2 NULL=BLANK",,$D41,$E$4),E41)</f>
        <v>8.0625694698844903</v>
      </c>
      <c r="F41" s="765" cm="1">
        <f t="array" aca="1" ref="F41" ca="1">IF(NPSwitch=1,_xll.TR(F$7,F$6,"Sdate=#1 Period=#2 NULL=BLANK",,$D41,$E$4),F41)</f>
        <v>8.7137151092056406</v>
      </c>
      <c r="G41" s="765" cm="1">
        <f t="array" aca="1" ref="G41" ca="1">IF(NPSwitch=1,_xll.TR(G$7,G$6,"Sdate=#1 Period=#2 NULL=BLANK",,$D41,$E$4),G41)</f>
        <v>5.7081406235418699</v>
      </c>
      <c r="H41" s="765" cm="1">
        <f t="array" aca="1" ref="H41" ca="1">IF(NPSwitch=1,_xll.TR(H$7,H$6,"Sdate=#1 Period=#2 NULL=BLANK",,$D41,$E$4),H41)</f>
        <v>5.4744915432883197</v>
      </c>
      <c r="I41" s="765" cm="1">
        <f t="array" aca="1" ref="I41" ca="1">IF(NPSwitch=1,_xll.TR(I$7,I$6,"Sdate=#1 Period=#2 NULL=BLANK",,$D41,$E$4),I41)</f>
        <v>5.5980651976180704</v>
      </c>
      <c r="J41" s="765" cm="1">
        <f t="array" aca="1" ref="J41" ca="1">IF(NPSwitch=1,_xll.TR(J$7,J$6,"Sdate=#1 Period=#2 NULL=BLANK",,$D41,$E$4),J41)</f>
        <v>5.8673554667123504</v>
      </c>
      <c r="K41" s="765" cm="1">
        <f t="array" aca="1" ref="K41" ca="1">IF(NPSwitch=1,_xll.TR(K$7,K$6,"Sdate=#1 Period=#2 NULL=BLANK",,$D41,$E$4),K41)</f>
        <v>6.2792342845210802</v>
      </c>
      <c r="L41" s="765" cm="1">
        <f t="array" aca="1" ref="L41" ca="1">IF(NPSwitch=1,_xll.TR(L$7,L$6,"Sdate=#1 Period=#2 NULL=BLANK",,$D41,$E$4),L41)</f>
        <v>6.3165662409349297</v>
      </c>
      <c r="M41" s="765" cm="1">
        <f t="array" aca="1" ref="M41" ca="1">IF(NPSwitch=1,_xll.TR(M$7,M$6,"Sdate=#1 Period=#2 NULL=BLANK",,$D41,$E$4),M41)</f>
        <v>5.2823194489265299</v>
      </c>
      <c r="N41" s="1002">
        <f t="shared" ca="1" si="45"/>
        <v>5.8739755594361034</v>
      </c>
      <c r="O41" s="1000" cm="1">
        <f t="array" aca="1" ref="O41" ca="1">IF(NPSwitch=1,_xll.TR(O$7,O$6,"Sdate=#1 Period=#2 Scale=6 NULL=BLANK",,$D41,$O$4),O41)</f>
        <v>51686.969642919998</v>
      </c>
      <c r="P41" s="1000" cm="1">
        <f t="array" aca="1" ref="P41" ca="1">IF(NPSwitch=1,_xll.TR(P$7,P$6,"Sdate=#1 Period=#2 Scale=6 NULL=BLANK",,$D41,$O$4),P41)</f>
        <v>2437.88812044</v>
      </c>
      <c r="Q41" s="1000" cm="1">
        <f t="array" aca="1" ref="Q41" ca="1">IF(NPSwitch=1,_xll.TR(Q$7,Q$6,"Sdate=#1 Period=#2 Scale=6 NULL=BLANK",,$D41,$O$4),Q41)</f>
        <v>4534.2261299299998</v>
      </c>
      <c r="R41" s="1000" cm="1">
        <f t="array" aca="1" ref="R41" ca="1">IF(NPSwitch=1,_xll.TR(R$7,R$6,"Sdate=#1 Period=#2 Scale=6 NULL=BLANK",,$D41,$O$4),R41)</f>
        <v>745.07697059999896</v>
      </c>
      <c r="S41" s="1000" cm="1">
        <f t="array" aca="1" ref="S41" ca="1">IF(NPSwitch=1,_xll.TR(S$7,S$6,"Sdate=#1 Period=#2 Scale=6 NULL=BLANK",,$D41,$O$4),S41)</f>
        <v>3757.8640371199999</v>
      </c>
      <c r="T41" s="1000" cm="1">
        <f t="array" aca="1" ref="T41" ca="1">IF(NPSwitch=1,_xll.TR(T$7,T$6,"Sdate=#1 Period=#2 Scale=6 NULL=BLANK",,$D41,$O$4),T41)</f>
        <v>2323.9728560399999</v>
      </c>
      <c r="U41" s="1000" cm="1">
        <f t="array" aca="1" ref="U41" ca="1">IF(NPSwitch=1,_xll.TR(U$7,U$6,"Sdate=#1 Period=#2 Scale=6 NULL=BLANK",,$D41,$O$4),U41)</f>
        <v>10229.219688929999</v>
      </c>
      <c r="V41" s="1000" cm="1">
        <f t="array" aca="1" ref="V41" ca="1">IF(NPSwitch=1,_xll.TR(V$7,V$6,"Sdate=#1 Period=#2 Scale=6 NULL=BLANK",,$D41,$O$4),V41)</f>
        <v>7915.0413710171197</v>
      </c>
      <c r="W41" s="1000" cm="1">
        <f t="array" aca="1" ref="W41" ca="1">IF(NPSwitch=1,_xll.TR(W$7,W$6,"Sdate=#1 Period=#2 Scale=6 NULL=BLANK",,$D41,$O$4),W41)</f>
        <v>4141.9410429999998</v>
      </c>
      <c r="X41" s="998"/>
      <c r="Y41" s="1000" cm="1">
        <f t="array" aca="1" ref="Y41" ca="1">IF(NPSwitch=1,_xll.TR(Y$7,Y$6,"Sdate=#1 Period=#2 Scale=6 NULL=BLANK",,$D41,$O$4),Y41)</f>
        <v>1371.75</v>
      </c>
      <c r="Z41" s="1000" cm="1">
        <f t="array" aca="1" ref="Z41" ca="1">IF(NPSwitch=1,_xll.TR(Z$7,Z$6,"Sdate=#1 Period=#2 Scale=6 NULL=BLANK",,$D41,$O$4),Z41)</f>
        <v>68.131</v>
      </c>
      <c r="AA41" s="1000" cm="1">
        <f t="array" aca="1" ref="AA41" ca="1">IF(NPSwitch=1,_xll.TR(AA$7,AA$6,"Sdate=#1 Period=#2 Scale=6 NULL=BLANK",,$D41,$O$4),AA41)</f>
        <v>1137.25</v>
      </c>
      <c r="AB41" s="1000" cm="1">
        <f t="array" aca="1" ref="AB41" ca="1">IF(NPSwitch=1,_xll.TR(AB$7,AB$6,"Sdate=#1 Period=#2 Scale=6 NULL=BLANK",,$D41,$O$4),AB41)</f>
        <v>48.15</v>
      </c>
      <c r="AC41" s="1000" cm="1">
        <f t="array" aca="1" ref="AC41" ca="1">IF(NPSwitch=1,_xll.TR(AC$7,AC$6,"Sdate=#1 Period=#2 Scale=6 NULL=BLANK",,$D41,$O$4),AC41)</f>
        <v>173.32499999999999</v>
      </c>
      <c r="AD41" s="1000" cm="1">
        <f t="array" aca="1" ref="AD41" ca="1">IF(NPSwitch=1,_xll.TR(AD$7,AD$6,"Sdate=#1 Period=#2 Scale=6 NULL=BLANK",,$D41,$O$4),AD41)</f>
        <v>172.02500000000001</v>
      </c>
      <c r="AE41" s="1000" cm="1">
        <f t="array" aca="1" ref="AE41" ca="1">IF(NPSwitch=1,_xll.TR(AE$7,AE$6,"Sdate=#1 Period=#2 Scale=6 NULL=BLANK",,$D41,$O$4),AE41)</f>
        <v>447.5</v>
      </c>
      <c r="AF41" s="1000" cm="1">
        <f t="array" aca="1" ref="AF41" ca="1">IF(NPSwitch=1,_xll.TR(AF$7,AF$6,"Sdate=#1 Period=#2 Scale=6 NULL=BLANK",,$D41,$O$4),AF41)</f>
        <v>638.75</v>
      </c>
      <c r="AG41" s="1000" cm="1">
        <f t="array" aca="1" ref="AG41" ca="1">IF(NPSwitch=1,_xll.TR(AG$7,AG$6,"Sdate=#1 Period=#2 Scale=6 NULL=BLANK",,$D41,$O$4),AG41)</f>
        <v>448</v>
      </c>
      <c r="AH41" s="998"/>
      <c r="AI41" s="1000" cm="1">
        <f t="array" aca="1" ref="AI41" ca="1">IF(NPSwitch=1,_xll.TR(AI$7,AI$6,"Sdate=#1 Period=#2 Scale=6 NULL=BLANK",,$D41,$O$4),AI41)</f>
        <v>53462.969642919998</v>
      </c>
      <c r="AJ41" s="1000" cm="1">
        <f t="array" aca="1" ref="AJ41" ca="1">IF(NPSwitch=1,_xll.TR(AJ$7,AJ$6,"Sdate=#1 Period=#2 Scale=6 NULL=BLANK",,$D41,$O$4),AJ41)</f>
        <v>3140.4471204400002</v>
      </c>
      <c r="AK41" s="1000" cm="1">
        <f t="array" aca="1" ref="AK41" ca="1">IF(NPSwitch=1,_xll.TR(AK$7,AK$6,"Sdate=#1 Period=#2 Scale=6 NULL=BLANK",,$D41,$O$4),AK41)</f>
        <v>3638.2261299299998</v>
      </c>
      <c r="AL41" s="1000" cm="1">
        <f t="array" aca="1" ref="AL41" ca="1">IF(NPSwitch=1,_xll.TR(AL$7,AL$6,"Sdate=#1 Period=#2 Scale=6 NULL=BLANK",,$D41,$O$4),AL41)</f>
        <v>1378.4769706</v>
      </c>
      <c r="AM41" s="1000" cm="1">
        <f t="array" aca="1" ref="AM41" ca="1">IF(NPSwitch=1,_xll.TR(AM$7,AM$6,"Sdate=#1 Period=#2 Scale=6 NULL=BLANK",,$D41,$O$4),AM41)</f>
        <v>8305.0640371200006</v>
      </c>
      <c r="AN41" s="1000" cm="1">
        <f t="array" aca="1" ref="AN41" ca="1">IF(NPSwitch=1,_xll.TR(AN$7,AN$6,"Sdate=#1 Period=#2 Scale=6 NULL=BLANK",,$D41,$O$4),AN41)</f>
        <v>2854.2728560400001</v>
      </c>
      <c r="AO41" s="1000" cm="1">
        <f t="array" aca="1" ref="AO41" ca="1">IF(NPSwitch=1,_xll.TR(AO$7,AO$6,"Sdate=#1 Period=#2 Scale=6 NULL=BLANK",,$D41,$O$4),AO41)</f>
        <v>11274.219688929999</v>
      </c>
      <c r="AP41" s="1000" cm="1">
        <f t="array" aca="1" ref="AP41" ca="1">IF(NPSwitch=1,_xll.TR(AP$7,AP$6,"Sdate=#1 Period=#2 Scale=6 NULL=BLANK",,$D41,$O$4),AP41)</f>
        <v>9750.0413710169996</v>
      </c>
      <c r="AQ41" s="1000" cm="1">
        <f t="array" aca="1" ref="AQ41" ca="1">IF(NPSwitch=1,_xll.TR(AQ$7,AQ$6,"Sdate=#1 Period=#2 Scale=6 NULL=BLANK",,$D41,$O$4),AQ41)</f>
        <v>5302.9410429999998</v>
      </c>
      <c r="AS41" s="765" t="str" cm="1">
        <f t="array" aca="1" ref="AS41" ca="1">IF(NPSwitch=1,_xll.TR(AS$7,AS$6,"Sdate=#1 Period=#2 NULL=BLANK Scale=6",,$D41,$AS$4),AS41)</f>
        <v/>
      </c>
      <c r="AT41" s="765" t="str" cm="1">
        <f t="array" aca="1" ref="AT41" ca="1">IF(NPSwitch=1,_xll.TR(AT$7,AT$6,"Sdate=#1 Period=#2 NULL=BLANK Scale=6",,$D41,$AS$4),AT41)</f>
        <v/>
      </c>
      <c r="AU41" s="765" t="str" cm="1">
        <f t="array" aca="1" ref="AU41" ca="1">IF(NPSwitch=1,_xll.TR(AU$7,AU$6,"Sdate=#1 Period=#2 NULL=BLANK Scale=6",,$D41,$AS$4),AU41)</f>
        <v/>
      </c>
      <c r="AV41" s="765" t="str" cm="1">
        <f t="array" aca="1" ref="AV41" ca="1">IF(NPSwitch=1,_xll.TR(AV$7,AV$6,"Sdate=#1 Period=#2 NULL=BLANK Scale=6",,$D41,$AS$4),AV41)</f>
        <v/>
      </c>
      <c r="AW41" s="765" t="str" cm="1">
        <f t="array" aca="1" ref="AW41" ca="1">IF(NPSwitch=1,_xll.TR(AW$7,AW$6,"Sdate=#1 Period=#2 NULL=BLANK Scale=6",,$D41,$AS$4),AW41)</f>
        <v/>
      </c>
      <c r="AX41" s="765" t="str" cm="1">
        <f t="array" aca="1" ref="AX41" ca="1">IF(NPSwitch=1,_xll.TR(AX$7,AX$6,"Sdate=#1 Period=#2 NULL=BLANK Scale=6",,$D41,$AS$4),AX41)</f>
        <v/>
      </c>
      <c r="AY41" s="765" t="str" cm="1">
        <f t="array" aca="1" ref="AY41" ca="1">IF(NPSwitch=1,_xll.TR(AY$7,AY$6,"Sdate=#1 Period=#2 NULL=BLANK Scale=6",,$D41,$AS$4),AY41)</f>
        <v/>
      </c>
      <c r="AZ41" s="765" t="str" cm="1">
        <f t="array" aca="1" ref="AZ41" ca="1">IF(NPSwitch=1,_xll.TR(AZ$7,AZ$6,"Sdate=#1 Period=#2 NULL=BLANK Scale=6",,$D41,$AS$4),AZ41)</f>
        <v/>
      </c>
      <c r="BA41" s="765" t="str" cm="1">
        <f t="array" aca="1" ref="BA41" ca="1">IF(NPSwitch=1,_xll.TR(BA$7,BA$6,"Sdate=#1 Period=#2 NULL=BLANK Scale=6",,$D41,$AS$4),BA41)</f>
        <v/>
      </c>
      <c r="BC41" s="765" cm="1">
        <f t="array" aca="1" ref="BC41" ca="1">IF(NPSwitch=1,_xll.TR(BC$7,BC$6,"Sdate=#1 Period=#2 NULL=BLANK",,$D41,$BC$4),BC41)</f>
        <v>8.9298429339999998</v>
      </c>
      <c r="BD41" s="765" cm="1">
        <f t="array" aca="1" ref="BD41" ca="1">IF(NPSwitch=1,_xll.TR(BD$7,BD$6,"Sdate=#1 Period=#2 NULL=BLANK",,$D41,$BC$4),BD41)</f>
        <v>10.014117003000001</v>
      </c>
      <c r="BE41" s="765" cm="1">
        <f t="array" aca="1" ref="BE41" ca="1">IF(NPSwitch=1,_xll.TR(BE$7,BE$6,"Sdate=#1 Period=#2 NULL=BLANK",,$D41,$BC$4),BE41)</f>
        <v>19.990253460999998</v>
      </c>
      <c r="BF41" s="765" cm="1">
        <f t="array" aca="1" ref="BF41" ca="1">IF(NPSwitch=1,_xll.TR(BF$7,BF$6,"Sdate=#1 Period=#2 NULL=BLANK",,$D41,$BC$4),BF41)</f>
        <v>12.463625412000001</v>
      </c>
      <c r="BG41" s="765" t="str" cm="1">
        <f t="array" aca="1" ref="BG41" ca="1">IF(NPSwitch=1,_xll.TR(BG$7,BG$6,"Sdate=#1 Period=#2 NULL=BLANK",,$D41,$BC$4),BG41)</f>
        <v/>
      </c>
      <c r="BH41" s="765" cm="1">
        <f t="array" aca="1" ref="BH41" ca="1">IF(NPSwitch=1,_xll.TR(BH$7,BH$6,"Sdate=#1 Period=#2 NULL=BLANK",,$D41,$BC$4),BH41)</f>
        <v>6.3555396479999997</v>
      </c>
      <c r="BI41" s="765" cm="1">
        <f t="array" aca="1" ref="BI41" ca="1">IF(NPSwitch=1,_xll.TR(BI$7,BI$6,"Sdate=#1 Period=#2 NULL=BLANK",,$D41,$BC$4),BI41)</f>
        <v>7.2503020510000002</v>
      </c>
      <c r="BJ41" s="765" cm="1">
        <f t="array" aca="1" ref="BJ41" ca="1">IF(NPSwitch=1,_xll.TR(BJ$7,BJ$6,"Sdate=#1 Period=#2 NULL=BLANK",,$D41,$BC$4),BJ41)</f>
        <v>6.1321014910000002</v>
      </c>
      <c r="BK41" s="765" cm="1">
        <f t="array" aca="1" ref="BK41" ca="1">IF(NPSwitch=1,_xll.TR(BK$7,BK$6,"Sdate=#1 Period=#2 NULL=BLANK",,$D41,$BC$4),BK41)</f>
        <v>5.3457066969999998</v>
      </c>
      <c r="BM41" s="1014"/>
      <c r="BO41" s="765" cm="1">
        <f t="array" aca="1" ref="BO41" ca="1">IF(NPSwitch=1,_xll.TR(BO$7,BO$6,"Sdate=#1 Period=#2 NULL=BLANK Scale=6",,$D41,$AS$4),BO41)</f>
        <v>21990</v>
      </c>
      <c r="BP41" s="765" cm="1">
        <f t="array" aca="1" ref="BP41" ca="1">IF(NPSwitch=1,_xll.TR(BP$7,BP$6,"Sdate=#1 Period=#2 NULL=BLANK Scale=6",,$D41,$AS$4),BP41)</f>
        <v>2270.931</v>
      </c>
      <c r="BQ41" s="765" cm="1">
        <f t="array" aca="1" ref="BQ41" ca="1">IF(NPSwitch=1,_xll.TR(BQ$7,BQ$6,"Sdate=#1 Period=#2 NULL=BLANK Scale=6",,$D41,$AS$4),BQ41)</f>
        <v>7037</v>
      </c>
      <c r="BR41" s="765" cm="1">
        <f t="array" aca="1" ref="BR41" ca="1">IF(NPSwitch=1,_xll.TR(BR$7,BR$6,"Sdate=#1 Period=#2 NULL=BLANK Scale=6",,$D41,$AS$4),BR41)</f>
        <v>2579.4</v>
      </c>
      <c r="BS41" s="765" cm="1">
        <f t="array" aca="1" ref="BS41" ca="1">IF(NPSwitch=1,_xll.TR(BS$7,BS$6,"Sdate=#1 Period=#2 NULL=BLANK Scale=6",,$D41,$AS$4),BS41)</f>
        <v>9831.7999999999993</v>
      </c>
      <c r="BT41" s="765" cm="1">
        <f t="array" aca="1" ref="BT41" ca="1">IF(NPSwitch=1,_xll.TR(BT$7,BT$6,"Sdate=#1 Period=#2 NULL=BLANK Scale=6",,$D41,$AS$4),BT41)</f>
        <v>2218.6</v>
      </c>
      <c r="BU41" s="765" cm="1">
        <f t="array" aca="1" ref="BU41" ca="1">IF(NPSwitch=1,_xll.TR(BU$7,BU$6,"Sdate=#1 Period=#2 NULL=BLANK Scale=6",,$D41,$AS$4),BU41)</f>
        <v>10514</v>
      </c>
      <c r="BV41" s="765" cm="1">
        <f t="array" aca="1" ref="BV41" ca="1">IF(NPSwitch=1,_xll.TR(BV$7,BV$6,"Sdate=#1 Period=#2 NULL=BLANK Scale=6",,$D41,$AS$4),BV41)</f>
        <v>9268</v>
      </c>
      <c r="BW41" s="765" cm="1">
        <f t="array" aca="1" ref="BW41" ca="1">IF(NPSwitch=1,_xll.TR(BW$7,BW$6,"Sdate=#1 Period=#2 NULL=BLANK Scale=6",,$D41,$AS$4),BW41)</f>
        <v>7277</v>
      </c>
      <c r="BX41" s="1002"/>
      <c r="BY41" s="765" cm="1">
        <f t="array" aca="1" ref="BY41" ca="1">IF(NPSwitch=1,_xll.TR(BY$7,BY$6,"Sdate=#1 Period=#2 NULL=BLANK Scale=6",,$D41,$AS$4),BY41)</f>
        <v>13611.25</v>
      </c>
      <c r="BZ41" s="765" cm="1">
        <f t="array" aca="1" ref="BZ41" ca="1">IF(NPSwitch=1,_xll.TR(BZ$7,BZ$6,"Sdate=#1 Period=#2 NULL=BLANK Scale=6",,$D41,$AS$4),BZ41)</f>
        <v>1795.3520000000001</v>
      </c>
      <c r="CA41" s="765" cm="1">
        <f t="array" aca="1" ref="CA41" ca="1">IF(NPSwitch=1,_xll.TR(CA$7,CA$6,"Sdate=#1 Period=#2 NULL=BLANK Scale=6",,$D41,$AS$4),CA41)</f>
        <v>3820</v>
      </c>
      <c r="CB41" s="765" cm="1">
        <f t="array" aca="1" ref="CB41" ca="1">IF(NPSwitch=1,_xll.TR(CB$7,CB$6,"Sdate=#1 Period=#2 NULL=BLANK Scale=6",,$D41,$AS$4),CB41)</f>
        <v>1096.2750000000001</v>
      </c>
      <c r="CC41" s="765" cm="1">
        <f t="array" aca="1" ref="CC41" ca="1">IF(NPSwitch=1,_xll.TR(CC$7,CC$6,"Sdate=#1 Period=#2 NULL=BLANK Scale=6",,$D41,$AS$4),CC41)</f>
        <v>6163.625</v>
      </c>
      <c r="CD41" s="765" cm="1">
        <f t="array" aca="1" ref="CD41" ca="1">IF(NPSwitch=1,_xll.TR(CD$7,CD$6,"Sdate=#1 Period=#2 NULL=BLANK Scale=6",,$D41,$AS$4),CD41)</f>
        <v>1752.2249999999999</v>
      </c>
      <c r="CE41" s="765" cm="1">
        <f t="array" aca="1" ref="CE41" ca="1">IF(NPSwitch=1,_xll.TR(CE$7,CE$6,"Sdate=#1 Period=#2 NULL=BLANK Scale=6",,$D41,$AS$4),CE41)</f>
        <v>4668.5</v>
      </c>
      <c r="CF41" s="765" cm="1">
        <f t="array" aca="1" ref="CF41" ca="1">IF(NPSwitch=1,_xll.TR(CF$7,CF$6,"Sdate=#1 Period=#2 NULL=BLANK Scale=6",,$D41,$AS$4),CF41)</f>
        <v>6310.25</v>
      </c>
      <c r="CG41" s="765" cm="1">
        <f t="array" aca="1" ref="CG41" ca="1">IF(NPSwitch=1,_xll.TR(CG$7,CG$6,"Sdate=#1 Period=#2 NULL=BLANK Scale=6",,$D41,$AS$4),CG41)</f>
        <v>3313</v>
      </c>
      <c r="CI41" s="1000" cm="1">
        <f t="array" aca="1" ref="CI41" ca="1">IF(NPSwitch=1,_xll.TR(CI$7,CI$6,"Sdate=#1 Period=#2 NULL=BLANK Scale=6",,$D41,$AS$4),CI41)</f>
        <v>5987</v>
      </c>
      <c r="CJ41" s="1000" cm="1">
        <f t="array" aca="1" ref="CJ41" ca="1">IF(NPSwitch=1,_xll.TR(CJ$7,CJ$6,"Sdate=#1 Period=#2 NULL=BLANK Scale=6",,$D41,$AS$4),CJ41)</f>
        <v>313.60199999999998</v>
      </c>
      <c r="CK41" s="1000" t="str" cm="1">
        <f t="array" aca="1" ref="CK41" ca="1">IF(NPSwitch=1,_xll.TR(CK$7,CK$6,"Sdate=#1 Period=#2 NULL=BLANK Scale=6",,$D41,$AS$4),CK41)</f>
        <v/>
      </c>
      <c r="CL41" s="1000" cm="1">
        <f t="array" aca="1" ref="CL41" ca="1">IF(NPSwitch=1,_xll.TR(CL$7,CL$6,"Sdate=#1 Period=#2 NULL=BLANK Scale=6",,$D41,$AS$4),CL41)</f>
        <v>140.80000000000001</v>
      </c>
      <c r="CM41" s="1000" cm="1">
        <f t="array" aca="1" ref="CM41" ca="1">IF(NPSwitch=1,_xll.TR(CM$7,CM$6,"Sdate=#1 Period=#2 NULL=BLANK Scale=6",,$D41,$AS$4),CM41)</f>
        <v>1172.9000000000001</v>
      </c>
      <c r="CN41" s="1000" cm="1">
        <f t="array" aca="1" ref="CN41" ca="1">IF(NPSwitch=1,_xll.TR(CN$7,CN$6,"Sdate=#1 Period=#2 NULL=BLANK Scale=6",,$D41,$AS$4),CN41)</f>
        <v>449.1</v>
      </c>
      <c r="CO41" s="1000" cm="1">
        <f t="array" aca="1" ref="CO41" ca="1">IF(NPSwitch=1,_xll.TR(CO$7,CO$6,"Sdate=#1 Period=#2 NULL=BLANK Scale=6",,$D41,$AS$4),CO41)</f>
        <v>1630</v>
      </c>
      <c r="CP41" s="1000" cm="1">
        <f t="array" aca="1" ref="CP41" ca="1">IF(NPSwitch=1,_xll.TR(CP$7,CP$6,"Sdate=#1 Period=#2 NULL=BLANK Scale=6",,$D41,$AS$4),CP41)</f>
        <v>1590</v>
      </c>
      <c r="CQ41" s="1000" cm="1">
        <f t="array" aca="1" ref="CQ41" ca="1">IF(NPSwitch=1,_xll.TR(CQ$7,CQ$6,"Sdate=#1 Period=#2 NULL=BLANK Scale=6",,$D41,$AS$4),CQ41)</f>
        <v>992</v>
      </c>
      <c r="CS41" s="1000" cm="1">
        <f t="array" aca="1" ref="CS41" ca="1">IF(NPSwitch=1,_xll.TR(CS$7,CS$6,"Sdate=#1 Period=#2 NULL=BLANK Scale=6",,$D41,$AS$4),CS41)</f>
        <v>5603.5</v>
      </c>
      <c r="CT41" s="1000" cm="1">
        <f t="array" aca="1" ref="CT41" ca="1">IF(NPSwitch=1,_xll.TR(CT$7,CT$6,"Sdate=#1 Period=#2 NULL=BLANK Scale=6",,$D41,$AS$4),CT41)</f>
        <v>977.53425000000004</v>
      </c>
      <c r="CU41" s="1000" cm="1">
        <f t="array" aca="1" ref="CU41" ca="1">IF(NPSwitch=1,_xll.TR(CU$7,CU$6,"Sdate=#1 Period=#2 NULL=BLANK Scale=6",,$D41,$AS$4),CU41)</f>
        <v>863</v>
      </c>
      <c r="CV41" s="1000" cm="1">
        <f t="array" aca="1" ref="CV41" ca="1">IF(NPSwitch=1,_xll.TR(CV$7,CV$6,"Sdate=#1 Period=#2 NULL=BLANK Scale=6",,$D41,$AS$4),CV41)</f>
        <v>422.67500000000001</v>
      </c>
      <c r="CW41" s="1000" cm="1">
        <f t="array" aca="1" ref="CW41" ca="1">IF(NPSwitch=1,_xll.TR(CW$7,CW$6,"Sdate=#1 Period=#2 NULL=BLANK Scale=6",,$D41,$AS$4),CW41)</f>
        <v>1008.5</v>
      </c>
      <c r="CX41" s="1000" cm="1">
        <f t="array" aca="1" ref="CX41" ca="1">IF(NPSwitch=1,_xll.TR(CX$7,CX$6,"Sdate=#1 Period=#2 NULL=BLANK Scale=6",,$D41,$AS$4),CX41)</f>
        <v>2321.75</v>
      </c>
      <c r="CY41" s="1000" cm="1">
        <f t="array" aca="1" ref="CY41" ca="1">IF(NPSwitch=1,_xll.TR(CY$7,CY$6,"Sdate=#1 Period=#2 NULL=BLANK Scale=6",,$D41,$AS$4),CY41)</f>
        <v>3725.5</v>
      </c>
      <c r="CZ41" s="1000" cm="1">
        <f t="array" aca="1" ref="CZ41" ca="1">IF(NPSwitch=1,_xll.TR(CZ$7,CZ$6,"Sdate=#1 Period=#2 NULL=BLANK Scale=6",,$D41,$AS$4),CZ41)</f>
        <v>3170.25</v>
      </c>
      <c r="DA41" s="1000" cm="1">
        <f t="array" aca="1" ref="DA41" ca="1">IF(NPSwitch=1,_xll.TR(DA$7,DA$6,"Sdate=#1 Period=#2 NULL=BLANK Scale=6",,$D41,$AS$4),DA41)</f>
        <v>2032.5</v>
      </c>
      <c r="DB41" s="1000" cm="1">
        <f t="array" aca="1" ref="DB41" ca="1">IF(NPSwitch=1,_xll.TR(DB$7,DB$6,"Sdate=#1 Period=#2 NULL=BLANK Scale=6",,$D41,$AS$4),DB41)</f>
        <v>14100.975</v>
      </c>
      <c r="DC41" s="1000" t="str" cm="1">
        <f t="array" aca="1" ref="DC41" ca="1">IF(NPSwitch=1,_xll.TR(DC$7,DC$6,"Sdate=#1 Period=#2 NULL=BLANK Scale=6",,$D41,$AS$4),DC41)</f>
        <v/>
      </c>
      <c r="DD41" s="1000" t="str" cm="1">
        <f t="array" aca="1" ref="DD41" ca="1">IF(NPSwitch=1,_xll.TR(DD$7,DD$6,"Sdate=#1 Period=#2 NULL=BLANK Scale=6",,$D41,$AS$4),DD41)</f>
        <v/>
      </c>
      <c r="DE41" s="1000" t="str" cm="1">
        <f t="array" aca="1" ref="DE41" ca="1">IF(NPSwitch=1,_xll.TR(DE$7,DE$6,"Sdate=#1 Period=#2 NULL=BLANK Scale=6",,$D41,$AS$4),DE41)</f>
        <v/>
      </c>
      <c r="DF41" s="1000" cm="1">
        <f t="array" aca="1" ref="DF41" ca="1">IF(NPSwitch=1,_xll.TR(DF$7,DF$6,"Sdate=#1 Period=#2 NULL=BLANK Scale=6",,$D41,$AS$4),DF41)</f>
        <v>422.67500000000001</v>
      </c>
      <c r="DG41" s="1000" cm="1">
        <f t="array" aca="1" ref="DG41" ca="1">IF(NPSwitch=1,_xll.TR(DG$7,DG$6,"Sdate=#1 Period=#2 NULL=BLANK Scale=6",,$D41,$AS$4),DG41)</f>
        <v>4642.1000000000004</v>
      </c>
      <c r="DH41" s="1000" cm="1">
        <f t="array" aca="1" ref="DH41" ca="1">IF(NPSwitch=1,_xll.TR(DH$7,DH$6,"Sdate=#1 Period=#2 NULL=BLANK Scale=6",,$D41,$AS$4),DH41)</f>
        <v>874.52874999999995</v>
      </c>
    </row>
    <row r="42" spans="3:170" ht="11.25" customHeight="1">
      <c r="C42" s="972">
        <f t="shared" si="44"/>
        <v>38990</v>
      </c>
      <c r="D42" s="974">
        <f t="shared" si="43"/>
        <v>39035</v>
      </c>
      <c r="E42" s="765" cm="1">
        <f t="array" aca="1" ref="E42" ca="1">IF(NPSwitch=1,_xll.TR(E$7,E$6,"Sdate=#1 Period=#2 NULL=BLANK",,$D42,$E$4),E42)</f>
        <v>9.3259512368559196</v>
      </c>
      <c r="F42" s="765" cm="1">
        <f t="array" aca="1" ref="F42" ca="1">IF(NPSwitch=1,_xll.TR(F$7,F$6,"Sdate=#1 Period=#2 NULL=BLANK",,$D42,$E$4),F42)</f>
        <v>9.2927361353817197</v>
      </c>
      <c r="G42" s="765" cm="1">
        <f t="array" aca="1" ref="G42" ca="1">IF(NPSwitch=1,_xll.TR(G$7,G$6,"Sdate=#1 Period=#2 NULL=BLANK",,$D42,$E$4),G42)</f>
        <v>7.8884397548817802</v>
      </c>
      <c r="H42" s="765" cm="1">
        <f t="array" aca="1" ref="H42" ca="1">IF(NPSwitch=1,_xll.TR(H$7,H$6,"Sdate=#1 Period=#2 NULL=BLANK",,$D42,$E$4),H42)</f>
        <v>6.4356921436857899</v>
      </c>
      <c r="I42" s="765" cm="1">
        <f t="array" aca="1" ref="I42" ca="1">IF(NPSwitch=1,_xll.TR(I$7,I$6,"Sdate=#1 Period=#2 NULL=BLANK",,$D42,$E$4),I42)</f>
        <v>6.0319891135286303</v>
      </c>
      <c r="J42" s="765" cm="1">
        <f t="array" aca="1" ref="J42" ca="1">IF(NPSwitch=1,_xll.TR(J$7,J$6,"Sdate=#1 Period=#2 NULL=BLANK",,$D42,$E$4),J42)</f>
        <v>6.4469163995819203</v>
      </c>
      <c r="K42" s="765" cm="1">
        <f t="array" aca="1" ref="K42" ca="1">IF(NPSwitch=1,_xll.TR(K$7,K$6,"Sdate=#1 Period=#2 NULL=BLANK",,$D42,$E$4),K42)</f>
        <v>6.9859098479863304</v>
      </c>
      <c r="L42" s="765" cm="1">
        <f t="array" aca="1" ref="L42" ca="1">IF(NPSwitch=1,_xll.TR(L$7,L$6,"Sdate=#1 Period=#2 NULL=BLANK",,$D42,$E$4),L42)</f>
        <v>6.7898254889148904</v>
      </c>
      <c r="M42" s="765" cm="1">
        <f t="array" aca="1" ref="M42" ca="1">IF(NPSwitch=1,_xll.TR(M$7,M$6,"Sdate=#1 Period=#2 NULL=BLANK",,$D42,$E$4),M42)</f>
        <v>6.28923035184381</v>
      </c>
      <c r="N42" s="1002">
        <f t="shared" ca="1" si="45"/>
        <v>6.7631287914298897</v>
      </c>
      <c r="O42" s="1000" cm="1">
        <f t="array" aca="1" ref="O42" ca="1">IF(NPSwitch=1,_xll.TR(O$7,O$6,"Sdate=#1 Period=#2 Scale=6 NULL=BLANK",,$D42,$O$4),O42)</f>
        <v>58975.561829990002</v>
      </c>
      <c r="P42" s="1000" cm="1">
        <f t="array" aca="1" ref="P42" ca="1">IF(NPSwitch=1,_xll.TR(P$7,P$6,"Sdate=#1 Period=#2 Scale=6 NULL=BLANK",,$D42,$O$4),P42)</f>
        <v>3196.6106277599902</v>
      </c>
      <c r="Q42" s="1000" cm="1">
        <f t="array" aca="1" ref="Q42" ca="1">IF(NPSwitch=1,_xll.TR(Q$7,Q$6,"Sdate=#1 Period=#2 Scale=6 NULL=BLANK",,$D42,$O$4),Q42)</f>
        <v>4243.5908839800004</v>
      </c>
      <c r="R42" s="1000" cm="1">
        <f t="array" aca="1" ref="R42" ca="1">IF(NPSwitch=1,_xll.TR(R$7,R$6,"Sdate=#1 Period=#2 Scale=6 NULL=BLANK",,$D42,$O$4),R42)</f>
        <v>781.21876394999902</v>
      </c>
      <c r="S42" s="1000" cm="1">
        <f t="array" aca="1" ref="S42" ca="1">IF(NPSwitch=1,_xll.TR(S$7,S$6,"Sdate=#1 Period=#2 Scale=6 NULL=BLANK",,$D42,$O$4),S42)</f>
        <v>3877.4199450000001</v>
      </c>
      <c r="T42" s="1000" cm="1">
        <f t="array" aca="1" ref="T42" ca="1">IF(NPSwitch=1,_xll.TR(T$7,T$6,"Sdate=#1 Period=#2 Scale=6 NULL=BLANK",,$D42,$O$4),T42)</f>
        <v>2690.26487008</v>
      </c>
      <c r="U42" s="1000" cm="1">
        <f t="array" aca="1" ref="U42" ca="1">IF(NPSwitch=1,_xll.TR(U$7,U$6,"Sdate=#1 Period=#2 Scale=6 NULL=BLANK",,$D42,$O$4),U42)</f>
        <v>11272.525999329901</v>
      </c>
      <c r="V42" s="1000" cm="1">
        <f t="array" aca="1" ref="V42" ca="1">IF(NPSwitch=1,_xll.TR(V$7,V$6,"Sdate=#1 Period=#2 Scale=6 NULL=BLANK",,$D42,$O$4),V42)</f>
        <v>8893.6189649999706</v>
      </c>
      <c r="W42" s="1000" cm="1">
        <f t="array" aca="1" ref="W42" ca="1">IF(NPSwitch=1,_xll.TR(W$7,W$6,"Sdate=#1 Period=#2 Scale=6 NULL=BLANK",,$D42,$O$4),W42)</f>
        <v>4932.9944427500004</v>
      </c>
      <c r="X42" s="998"/>
      <c r="Y42" s="1000" cm="1">
        <f t="array" aca="1" ref="Y42" ca="1">IF(NPSwitch=1,_xll.TR(Y$7,Y$6,"Sdate=#1 Period=#2 Scale=6 NULL=BLANK",,$D42,$O$4),Y42)</f>
        <v>1185.75</v>
      </c>
      <c r="Z42" s="1000" cm="1">
        <f t="array" aca="1" ref="Z42" ca="1">IF(NPSwitch=1,_xll.TR(Z$7,Z$6,"Sdate=#1 Period=#2 Scale=6 NULL=BLANK",,$D42,$O$4),Z42)</f>
        <v>78.56</v>
      </c>
      <c r="AA42" s="1000" cm="1">
        <f t="array" aca="1" ref="AA42" ca="1">IF(NPSwitch=1,_xll.TR(AA$7,AA$6,"Sdate=#1 Period=#2 Scale=6 NULL=BLANK",,$D42,$O$4),AA42)</f>
        <v>1332.5</v>
      </c>
      <c r="AB42" s="1000" cm="1">
        <f t="array" aca="1" ref="AB42" ca="1">IF(NPSwitch=1,_xll.TR(AB$7,AB$6,"Sdate=#1 Period=#2 Scale=6 NULL=BLANK",,$D42,$O$4),AB42)</f>
        <v>63.65</v>
      </c>
      <c r="AC42" s="1000" cm="1">
        <f t="array" aca="1" ref="AC42" ca="1">IF(NPSwitch=1,_xll.TR(AC$7,AC$6,"Sdate=#1 Period=#2 Scale=6 NULL=BLANK",,$D42,$O$4),AC42)</f>
        <v>184.75</v>
      </c>
      <c r="AD42" s="1000" cm="1">
        <f t="array" aca="1" ref="AD42" ca="1">IF(NPSwitch=1,_xll.TR(AD$7,AD$6,"Sdate=#1 Period=#2 Scale=6 NULL=BLANK",,$D42,$O$4),AD42)</f>
        <v>212.95</v>
      </c>
      <c r="AE42" s="1000" cm="1">
        <f t="array" aca="1" ref="AE42" ca="1">IF(NPSwitch=1,_xll.TR(AE$7,AE$6,"Sdate=#1 Period=#2 Scale=6 NULL=BLANK",,$D42,$O$4),AE42)</f>
        <v>404.25</v>
      </c>
      <c r="AF42" s="1000" cm="1">
        <f t="array" aca="1" ref="AF42" ca="1">IF(NPSwitch=1,_xll.TR(AF$7,AF$6,"Sdate=#1 Period=#2 Scale=6 NULL=BLANK",,$D42,$O$4),AF42)</f>
        <v>642</v>
      </c>
      <c r="AG42" s="1000" cm="1">
        <f t="array" aca="1" ref="AG42" ca="1">IF(NPSwitch=1,_xll.TR(AG$7,AG$6,"Sdate=#1 Period=#2 Scale=6 NULL=BLANK",,$D42,$O$4),AG42)</f>
        <v>484</v>
      </c>
      <c r="AH42" s="998"/>
      <c r="AI42" s="1000" cm="1">
        <f t="array" aca="1" ref="AI42" ca="1">IF(NPSwitch=1,_xll.TR(AI$7,AI$6,"Sdate=#1 Period=#2 Scale=6 NULL=BLANK",,$D42,$O$4),AI42)</f>
        <v>61957.561829990002</v>
      </c>
      <c r="AJ42" s="1000" cm="1">
        <f t="array" aca="1" ref="AJ42" ca="1">IF(NPSwitch=1,_xll.TR(AJ$7,AJ$6,"Sdate=#1 Period=#2 Scale=6 NULL=BLANK",,$D42,$O$4),AJ42)</f>
        <v>3893.7456277599999</v>
      </c>
      <c r="AK42" s="1000" cm="1">
        <f t="array" aca="1" ref="AK42" ca="1">IF(NPSwitch=1,_xll.TR(AK$7,AK$6,"Sdate=#1 Period=#2 Scale=6 NULL=BLANK",,$D42,$O$4),AK42)</f>
        <v>3347.5908839799999</v>
      </c>
      <c r="AL42" s="1000" cm="1">
        <f t="array" aca="1" ref="AL42" ca="1">IF(NPSwitch=1,_xll.TR(AL$7,AL$6,"Sdate=#1 Period=#2 Scale=6 NULL=BLANK",,$D42,$O$4),AL42)</f>
        <v>1414.6187639499999</v>
      </c>
      <c r="AM42" s="1000" cm="1">
        <f t="array" aca="1" ref="AM42" ca="1">IF(NPSwitch=1,_xll.TR(AM$7,AM$6,"Sdate=#1 Period=#2 Scale=6 NULL=BLANK",,$D42,$O$4),AM42)</f>
        <v>8424.6199450000004</v>
      </c>
      <c r="AN42" s="1000" cm="1">
        <f t="array" aca="1" ref="AN42" ca="1">IF(NPSwitch=1,_xll.TR(AN$7,AN$6,"Sdate=#1 Period=#2 Scale=6 NULL=BLANK",,$D42,$O$4),AN42)</f>
        <v>3161.1648700800001</v>
      </c>
      <c r="AO42" s="1000" cm="1">
        <f t="array" aca="1" ref="AO42" ca="1">IF(NPSwitch=1,_xll.TR(AO$7,AO$6,"Sdate=#1 Period=#2 Scale=6 NULL=BLANK",,$D42,$O$4),AO42)</f>
        <v>12399.525999330001</v>
      </c>
      <c r="AP42" s="1000" cm="1">
        <f t="array" aca="1" ref="AP42" ca="1">IF(NPSwitch=1,_xll.TR(AP$7,AP$6,"Sdate=#1 Period=#2 Scale=6 NULL=BLANK",,$D42,$O$4),AP42)</f>
        <v>10569.618965</v>
      </c>
      <c r="AQ42" s="1000" cm="1">
        <f t="array" aca="1" ref="AQ42" ca="1">IF(NPSwitch=1,_xll.TR(AQ$7,AQ$6,"Sdate=#1 Period=#2 Scale=6 NULL=BLANK",,$D42,$O$4),AQ42)</f>
        <v>6180.9944427500004</v>
      </c>
      <c r="AS42" s="765" t="str" cm="1">
        <f t="array" aca="1" ref="AS42" ca="1">IF(NPSwitch=1,_xll.TR(AS$7,AS$6,"Sdate=#1 Period=#2 NULL=BLANK Scale=6",,$D42,$AS$4),AS42)</f>
        <v/>
      </c>
      <c r="AT42" s="765" t="str" cm="1">
        <f t="array" aca="1" ref="AT42" ca="1">IF(NPSwitch=1,_xll.TR(AT$7,AT$6,"Sdate=#1 Period=#2 NULL=BLANK Scale=6",,$D42,$AS$4),AT42)</f>
        <v/>
      </c>
      <c r="AU42" s="765" t="str" cm="1">
        <f t="array" aca="1" ref="AU42" ca="1">IF(NPSwitch=1,_xll.TR(AU$7,AU$6,"Sdate=#1 Period=#2 NULL=BLANK Scale=6",,$D42,$AS$4),AU42)</f>
        <v/>
      </c>
      <c r="AV42" s="765" t="str" cm="1">
        <f t="array" aca="1" ref="AV42" ca="1">IF(NPSwitch=1,_xll.TR(AV$7,AV$6,"Sdate=#1 Period=#2 NULL=BLANK Scale=6",,$D42,$AS$4),AV42)</f>
        <v/>
      </c>
      <c r="AW42" s="765" t="str" cm="1">
        <f t="array" aca="1" ref="AW42" ca="1">IF(NPSwitch=1,_xll.TR(AW$7,AW$6,"Sdate=#1 Period=#2 NULL=BLANK Scale=6",,$D42,$AS$4),AW42)</f>
        <v/>
      </c>
      <c r="AX42" s="765" t="str" cm="1">
        <f t="array" aca="1" ref="AX42" ca="1">IF(NPSwitch=1,_xll.TR(AX$7,AX$6,"Sdate=#1 Period=#2 NULL=BLANK Scale=6",,$D42,$AS$4),AX42)</f>
        <v/>
      </c>
      <c r="AY42" s="765" t="str" cm="1">
        <f t="array" aca="1" ref="AY42" ca="1">IF(NPSwitch=1,_xll.TR(AY$7,AY$6,"Sdate=#1 Period=#2 NULL=BLANK Scale=6",,$D42,$AS$4),AY42)</f>
        <v/>
      </c>
      <c r="AZ42" s="765" t="str" cm="1">
        <f t="array" aca="1" ref="AZ42" ca="1">IF(NPSwitch=1,_xll.TR(AZ$7,AZ$6,"Sdate=#1 Period=#2 NULL=BLANK Scale=6",,$D42,$AS$4),AZ42)</f>
        <v/>
      </c>
      <c r="BA42" s="765" t="str" cm="1">
        <f t="array" aca="1" ref="BA42" ca="1">IF(NPSwitch=1,_xll.TR(BA$7,BA$6,"Sdate=#1 Period=#2 NULL=BLANK Scale=6",,$D42,$AS$4),BA42)</f>
        <v/>
      </c>
      <c r="BC42" s="765" cm="1">
        <f t="array" aca="1" ref="BC42" ca="1">IF(NPSwitch=1,_xll.TR(BC$7,BC$6,"Sdate=#1 Period=#2 NULL=BLANK",,$D42,$BC$4),BC42)</f>
        <v>10.230773088999999</v>
      </c>
      <c r="BD42" s="765" cm="1">
        <f t="array" aca="1" ref="BD42" ca="1">IF(NPSwitch=1,_xll.TR(BD$7,BD$6,"Sdate=#1 Period=#2 NULL=BLANK",,$D42,$BC$4),BD42)</f>
        <v>11.013904415000001</v>
      </c>
      <c r="BE42" s="765" cm="1">
        <f t="array" aca="1" ref="BE42" ca="1">IF(NPSwitch=1,_xll.TR(BE$7,BE$6,"Sdate=#1 Period=#2 NULL=BLANK",,$D42,$BC$4),BE42)</f>
        <v>18.393356505</v>
      </c>
      <c r="BF42" s="765" cm="1">
        <f t="array" aca="1" ref="BF42" ca="1">IF(NPSwitch=1,_xll.TR(BF$7,BF$6,"Sdate=#1 Period=#2 NULL=BLANK",,$D42,$BC$4),BF42)</f>
        <v>12.790404736999999</v>
      </c>
      <c r="BG42" s="765" t="str" cm="1">
        <f t="array" aca="1" ref="BG42" ca="1">IF(NPSwitch=1,_xll.TR(BG$7,BG$6,"Sdate=#1 Period=#2 NULL=BLANK",,$D42,$BC$4),BG42)</f>
        <v/>
      </c>
      <c r="BH42" s="765" cm="1">
        <f t="array" aca="1" ref="BH42" ca="1">IF(NPSwitch=1,_xll.TR(BH$7,BH$6,"Sdate=#1 Period=#2 NULL=BLANK",,$D42,$BC$4),BH42)</f>
        <v>6.9308591760000002</v>
      </c>
      <c r="BI42" s="765" cm="1">
        <f t="array" aca="1" ref="BI42" ca="1">IF(NPSwitch=1,_xll.TR(BI$7,BI$6,"Sdate=#1 Period=#2 NULL=BLANK",,$D42,$BC$4),BI42)</f>
        <v>8.8568042850000008</v>
      </c>
      <c r="BJ42" s="765" cm="1">
        <f t="array" aca="1" ref="BJ42" ca="1">IF(NPSwitch=1,_xll.TR(BJ$7,BJ$6,"Sdate=#1 Period=#2 NULL=BLANK",,$D42,$BC$4),BJ42)</f>
        <v>6.5284860809999996</v>
      </c>
      <c r="BK42" s="765" cm="1">
        <f t="array" aca="1" ref="BK42" ca="1">IF(NPSwitch=1,_xll.TR(BK$7,BK$6,"Sdate=#1 Period=#2 NULL=BLANK",,$D42,$BC$4),BK42)</f>
        <v>6.4184781339999999</v>
      </c>
      <c r="BM42" s="1014"/>
      <c r="BO42" s="765" cm="1">
        <f t="array" aca="1" ref="BO42" ca="1">IF(NPSwitch=1,_xll.TR(BO$7,BO$6,"Sdate=#1 Period=#2 NULL=BLANK Scale=6",,$D42,$AS$4),BO42)</f>
        <v>22466</v>
      </c>
      <c r="BP42" s="765" cm="1">
        <f t="array" aca="1" ref="BP42" ca="1">IF(NPSwitch=1,_xll.TR(BP$7,BP$6,"Sdate=#1 Period=#2 NULL=BLANK Scale=6",,$D42,$AS$4),BP42)</f>
        <v>2372.1439999999998</v>
      </c>
      <c r="BQ42" s="765" cm="1">
        <f t="array" aca="1" ref="BQ42" ca="1">IF(NPSwitch=1,_xll.TR(BQ$7,BQ$6,"Sdate=#1 Period=#2 NULL=BLANK Scale=6",,$D42,$AS$4),BQ42)</f>
        <v>7233</v>
      </c>
      <c r="BR42" s="765" cm="1">
        <f t="array" aca="1" ref="BR42" ca="1">IF(NPSwitch=1,_xll.TR(BR$7,BR$6,"Sdate=#1 Period=#2 NULL=BLANK Scale=6",,$D42,$AS$4),BR42)</f>
        <v>2634</v>
      </c>
      <c r="BS42" s="765" cm="1">
        <f t="array" aca="1" ref="BS42" ca="1">IF(NPSwitch=1,_xll.TR(BS$7,BS$6,"Sdate=#1 Period=#2 NULL=BLANK Scale=6",,$D42,$AS$4),BS42)</f>
        <v>9557</v>
      </c>
      <c r="BT42" s="765" cm="1">
        <f t="array" aca="1" ref="BT42" ca="1">IF(NPSwitch=1,_xll.TR(BT$7,BT$6,"Sdate=#1 Period=#2 NULL=BLANK Scale=6",,$D42,$AS$4),BT42)</f>
        <v>2280.8000000000002</v>
      </c>
      <c r="BU42" s="765" cm="1">
        <f t="array" aca="1" ref="BU42" ca="1">IF(NPSwitch=1,_xll.TR(BU$7,BU$6,"Sdate=#1 Period=#2 NULL=BLANK Scale=6",,$D42,$AS$4),BU42)</f>
        <v>10471</v>
      </c>
      <c r="BV42" s="765" cm="1">
        <f t="array" aca="1" ref="BV42" ca="1">IF(NPSwitch=1,_xll.TR(BV$7,BV$6,"Sdate=#1 Period=#2 NULL=BLANK Scale=6",,$D42,$AS$4),BV42)</f>
        <v>9374</v>
      </c>
      <c r="BW42" s="765" cm="1">
        <f t="array" aca="1" ref="BW42" ca="1">IF(NPSwitch=1,_xll.TR(BW$7,BW$6,"Sdate=#1 Period=#2 NULL=BLANK Scale=6",,$D42,$AS$4),BW42)</f>
        <v>7427</v>
      </c>
      <c r="BX42" s="1002"/>
      <c r="BY42" s="765" cm="1">
        <f t="array" aca="1" ref="BY42" ca="1">IF(NPSwitch=1,_xll.TR(BY$7,BY$6,"Sdate=#1 Period=#2 NULL=BLANK Scale=6",,$D42,$AS$4),BY42)</f>
        <v>13853.75</v>
      </c>
      <c r="BZ42" s="765" cm="1">
        <f t="array" aca="1" ref="BZ42" ca="1">IF(NPSwitch=1,_xll.TR(BZ$7,BZ$6,"Sdate=#1 Period=#2 NULL=BLANK Scale=6",,$D42,$AS$4),BZ42)</f>
        <v>1802.1457499999999</v>
      </c>
      <c r="CA42" s="765" cm="1">
        <f t="array" aca="1" ref="CA42" ca="1">IF(NPSwitch=1,_xll.TR(CA$7,CA$6,"Sdate=#1 Period=#2 NULL=BLANK Scale=6",,$D42,$AS$4),CA42)</f>
        <v>3656.25</v>
      </c>
      <c r="CB42" s="765" cm="1">
        <f t="array" aca="1" ref="CB42" ca="1">IF(NPSwitch=1,_xll.TR(CB$7,CB$6,"Sdate=#1 Period=#2 NULL=BLANK Scale=6",,$D42,$AS$4),CB42)</f>
        <v>1113.55</v>
      </c>
      <c r="CC42" s="765" cm="1">
        <f t="array" aca="1" ref="CC42" ca="1">IF(NPSwitch=1,_xll.TR(CC$7,CC$6,"Sdate=#1 Period=#2 NULL=BLANK Scale=6",,$D42,$AS$4),CC42)</f>
        <v>6183</v>
      </c>
      <c r="CD42" s="765" cm="1">
        <f t="array" aca="1" ref="CD42" ca="1">IF(NPSwitch=1,_xll.TR(CD$7,CD$6,"Sdate=#1 Period=#2 NULL=BLANK Scale=6",,$D42,$AS$4),CD42)</f>
        <v>1761.4749999999999</v>
      </c>
      <c r="CE42" s="765" cm="1">
        <f t="array" aca="1" ref="CE42" ca="1">IF(NPSwitch=1,_xll.TR(CE$7,CE$6,"Sdate=#1 Period=#2 NULL=BLANK Scale=6",,$D42,$AS$4),CE42)</f>
        <v>4724.75</v>
      </c>
      <c r="CF42" s="765" cm="1">
        <f t="array" aca="1" ref="CF42" ca="1">IF(NPSwitch=1,_xll.TR(CF$7,CF$6,"Sdate=#1 Period=#2 NULL=BLANK Scale=6",,$D42,$AS$4),CF42)</f>
        <v>6372</v>
      </c>
      <c r="CG42" s="765" cm="1">
        <f t="array" aca="1" ref="CG42" ca="1">IF(NPSwitch=1,_xll.TR(CG$7,CG$6,"Sdate=#1 Period=#2 NULL=BLANK Scale=6",,$D42,$AS$4),CG42)</f>
        <v>3430.25</v>
      </c>
      <c r="CI42" s="1000" cm="1">
        <f t="array" aca="1" ref="CI42" ca="1">IF(NPSwitch=1,_xll.TR(CI$7,CI$6,"Sdate=#1 Period=#2 NULL=BLANK Scale=6",,$D42,$AS$4),CI42)</f>
        <v>6056</v>
      </c>
      <c r="CJ42" s="1000" cm="1">
        <f t="array" aca="1" ref="CJ42" ca="1">IF(NPSwitch=1,_xll.TR(CJ$7,CJ$6,"Sdate=#1 Period=#2 NULL=BLANK Scale=6",,$D42,$AS$4),CJ42)</f>
        <v>353.53</v>
      </c>
      <c r="CK42" s="1000" cm="1">
        <f t="array" aca="1" ref="CK42" ca="1">IF(NPSwitch=1,_xll.TR(CK$7,CK$6,"Sdate=#1 Period=#2 NULL=BLANK Scale=6",,$D42,$AS$4),CK42)</f>
        <v>248</v>
      </c>
      <c r="CL42" s="1000" cm="1">
        <f t="array" aca="1" ref="CL42" ca="1">IF(NPSwitch=1,_xll.TR(CL$7,CL$6,"Sdate=#1 Period=#2 NULL=BLANK Scale=6",,$D42,$AS$4),CL42)</f>
        <v>131.19999999999999</v>
      </c>
      <c r="CM42" s="1000" cm="1">
        <f t="array" aca="1" ref="CM42" ca="1">IF(NPSwitch=1,_xll.TR(CM$7,CM$6,"Sdate=#1 Period=#2 NULL=BLANK Scale=6",,$D42,$AS$4),CM42)</f>
        <v>1073.5999999999999</v>
      </c>
      <c r="CN42" s="1000" cm="1">
        <f t="array" aca="1" ref="CN42" ca="1">IF(NPSwitch=1,_xll.TR(CN$7,CN$6,"Sdate=#1 Period=#2 NULL=BLANK Scale=6",,$D42,$AS$4),CN42)</f>
        <v>456.1</v>
      </c>
      <c r="CO42" s="1000" cm="1">
        <f t="array" aca="1" ref="CO42" ca="1">IF(NPSwitch=1,_xll.TR(CO$7,CO$6,"Sdate=#1 Period=#2 NULL=BLANK Scale=6",,$D42,$AS$4),CO42)</f>
        <v>1475</v>
      </c>
      <c r="CP42" s="1000" cm="1">
        <f t="array" aca="1" ref="CP42" ca="1">IF(NPSwitch=1,_xll.TR(CP$7,CP$6,"Sdate=#1 Period=#2 NULL=BLANK Scale=6",,$D42,$AS$4),CP42)</f>
        <v>1619</v>
      </c>
      <c r="CQ42" s="1000" cm="1">
        <f t="array" aca="1" ref="CQ42" ca="1">IF(NPSwitch=1,_xll.TR(CQ$7,CQ$6,"Sdate=#1 Period=#2 NULL=BLANK Scale=6",,$D42,$AS$4),CQ42)</f>
        <v>961</v>
      </c>
      <c r="CS42" s="1000" cm="1">
        <f t="array" aca="1" ref="CS42" ca="1">IF(NPSwitch=1,_xll.TR(CS$7,CS$6,"Sdate=#1 Period=#2 NULL=BLANK Scale=6",,$D42,$AS$4),CS42)</f>
        <v>5648</v>
      </c>
      <c r="CT42" s="1000" cm="1">
        <f t="array" aca="1" ref="CT42" ca="1">IF(NPSwitch=1,_xll.TR(CT$7,CT$6,"Sdate=#1 Period=#2 NULL=BLANK Scale=6",,$D42,$AS$4),CT42)</f>
        <v>972.93224999999995</v>
      </c>
      <c r="CU42" s="1000" cm="1">
        <f t="array" aca="1" ref="CU42" ca="1">IF(NPSwitch=1,_xll.TR(CU$7,CU$6,"Sdate=#1 Period=#2 NULL=BLANK Scale=6",,$D42,$AS$4),CU42)</f>
        <v>893</v>
      </c>
      <c r="CV42" s="1000" cm="1">
        <f t="array" aca="1" ref="CV42" ca="1">IF(NPSwitch=1,_xll.TR(CV$7,CV$6,"Sdate=#1 Period=#2 NULL=BLANK Scale=6",,$D42,$AS$4),CV42)</f>
        <v>427.3</v>
      </c>
      <c r="CW42" s="1000" cm="1">
        <f t="array" aca="1" ref="CW42" ca="1">IF(NPSwitch=1,_xll.TR(CW$7,CW$6,"Sdate=#1 Period=#2 NULL=BLANK Scale=6",,$D42,$AS$4),CW42)</f>
        <v>1006.45</v>
      </c>
      <c r="CX42" s="1000" cm="1">
        <f t="array" aca="1" ref="CX42" ca="1">IF(NPSwitch=1,_xll.TR(CX$7,CX$6,"Sdate=#1 Period=#2 NULL=BLANK Scale=6",,$D42,$AS$4),CX42)</f>
        <v>2340.75</v>
      </c>
      <c r="CY42" s="1000" cm="1">
        <f t="array" aca="1" ref="CY42" ca="1">IF(NPSwitch=1,_xll.TR(CY$7,CY$6,"Sdate=#1 Period=#2 NULL=BLANK Scale=6",,$D42,$AS$4),CY42)</f>
        <v>3749</v>
      </c>
      <c r="CZ42" s="1000" cm="1">
        <f t="array" aca="1" ref="CZ42" ca="1">IF(NPSwitch=1,_xll.TR(CZ$7,CZ$6,"Sdate=#1 Period=#2 NULL=BLANK Scale=6",,$D42,$AS$4),CZ42)</f>
        <v>3150.75</v>
      </c>
      <c r="DA42" s="1000" cm="1">
        <f t="array" aca="1" ref="DA42" ca="1">IF(NPSwitch=1,_xll.TR(DA$7,DA$6,"Sdate=#1 Period=#2 NULL=BLANK Scale=6",,$D42,$AS$4),DA42)</f>
        <v>2058.25</v>
      </c>
      <c r="DB42" s="1000" cm="1">
        <f t="array" aca="1" ref="DB42" ca="1">IF(NPSwitch=1,_xll.TR(DB$7,DB$6,"Sdate=#1 Period=#2 NULL=BLANK Scale=6",,$D42,$AS$4),DB42)</f>
        <v>14469.475</v>
      </c>
      <c r="DC42" s="1000" t="str" cm="1">
        <f t="array" aca="1" ref="DC42" ca="1">IF(NPSwitch=1,_xll.TR(DC$7,DC$6,"Sdate=#1 Period=#2 NULL=BLANK Scale=6",,$D42,$AS$4),DC42)</f>
        <v/>
      </c>
      <c r="DD42" s="1000" t="str" cm="1">
        <f t="array" aca="1" ref="DD42" ca="1">IF(NPSwitch=1,_xll.TR(DD$7,DD$6,"Sdate=#1 Period=#2 NULL=BLANK Scale=6",,$D42,$AS$4),DD42)</f>
        <v/>
      </c>
      <c r="DE42" s="1000" t="str" cm="1">
        <f t="array" aca="1" ref="DE42" ca="1">IF(NPSwitch=1,_xll.TR(DE$7,DE$6,"Sdate=#1 Period=#2 NULL=BLANK Scale=6",,$D42,$AS$4),DE42)</f>
        <v/>
      </c>
      <c r="DF42" s="1000" cm="1">
        <f t="array" aca="1" ref="DF42" ca="1">IF(NPSwitch=1,_xll.TR(DF$7,DF$6,"Sdate=#1 Period=#2 NULL=BLANK Scale=6",,$D42,$AS$4),DF42)</f>
        <v>427.3</v>
      </c>
      <c r="DG42" s="1000" cm="1">
        <f t="array" aca="1" ref="DG42" ca="1">IF(NPSwitch=1,_xll.TR(DG$7,DG$6,"Sdate=#1 Period=#2 NULL=BLANK Scale=6",,$D42,$AS$4),DG42)</f>
        <v>4454.3249999999998</v>
      </c>
      <c r="DH42" s="1000" cm="1">
        <f t="array" aca="1" ref="DH42" ca="1">IF(NPSwitch=1,_xll.TR(DH$7,DH$6,"Sdate=#1 Period=#2 NULL=BLANK Scale=6",,$D42,$AS$4),DH42)</f>
        <v>887.95024999999998</v>
      </c>
    </row>
    <row r="43" spans="3:170" ht="11.25" customHeight="1">
      <c r="C43" s="973">
        <f t="shared" si="44"/>
        <v>39082</v>
      </c>
      <c r="D43" s="974">
        <f t="shared" si="43"/>
        <v>39127</v>
      </c>
      <c r="E43" s="765" cm="1">
        <f t="array" aca="1" ref="E43" ca="1">IF(NPSwitch=1,_xll.TR(E$7,E$6,"Sdate=#1 Period=#2 NULL=BLANK",,$D43,$E$4),E43)</f>
        <v>9.2814855596134702</v>
      </c>
      <c r="F43" s="765" cm="1">
        <f t="array" aca="1" ref="F43" ca="1">IF(NPSwitch=1,_xll.TR(F$7,F$6,"Sdate=#1 Period=#2 NULL=BLANK",,$D43,$E$4),F43)</f>
        <v>10.3359581024162</v>
      </c>
      <c r="G43" s="765" cm="1">
        <f t="array" aca="1" ref="G43" ca="1">IF(NPSwitch=1,_xll.TR(G$7,G$6,"Sdate=#1 Period=#2 NULL=BLANK",,$D43,$E$4),G43)</f>
        <v>7.5390300852434402</v>
      </c>
      <c r="H43" s="765" cm="1">
        <f t="array" aca="1" ref="H43" ca="1">IF(NPSwitch=1,_xll.TR(H$7,H$6,"Sdate=#1 Period=#2 NULL=BLANK",,$D43,$E$4),H43)</f>
        <v>5.8872506291597499</v>
      </c>
      <c r="I43" s="765" cm="1">
        <f t="array" aca="1" ref="I43" ca="1">IF(NPSwitch=1,_xll.TR(I$7,I$6,"Sdate=#1 Period=#2 NULL=BLANK",,$D43,$E$4),I43)</f>
        <v>7.2876688111865997</v>
      </c>
      <c r="J43" s="765" cm="1">
        <f t="array" aca="1" ref="J43" ca="1">IF(NPSwitch=1,_xll.TR(J$7,J$6,"Sdate=#1 Period=#2 NULL=BLANK",,$D43,$E$4),J43)</f>
        <v>6.7905482901647796</v>
      </c>
      <c r="K43" s="765" cm="1">
        <f t="array" aca="1" ref="K43" ca="1">IF(NPSwitch=1,_xll.TR(K$7,K$6,"Sdate=#1 Period=#2 NULL=BLANK",,$D43,$E$4),K43)</f>
        <v>7.0103118805630702</v>
      </c>
      <c r="L43" s="765" cm="1">
        <f t="array" aca="1" ref="L43" ca="1">IF(NPSwitch=1,_xll.TR(L$7,L$6,"Sdate=#1 Period=#2 NULL=BLANK",,$D43,$E$4),L43)</f>
        <v>7.5572706697475196</v>
      </c>
      <c r="M43" s="765" cm="1">
        <f t="array" aca="1" ref="M43" ca="1">IF(NPSwitch=1,_xll.TR(M$7,M$6,"Sdate=#1 Period=#2 NULL=BLANK",,$D43,$E$4),M43)</f>
        <v>6.4594073510234598</v>
      </c>
      <c r="N43" s="1002">
        <f t="shared" ca="1" si="45"/>
        <v>7.0120133943441934</v>
      </c>
      <c r="O43" s="1000" cm="1">
        <f t="array" aca="1" ref="O43" ca="1">IF(NPSwitch=1,_xll.TR(O$7,O$6,"Sdate=#1 Period=#2 Scale=6 NULL=BLANK",,$D43,$O$4),O43)</f>
        <v>56391.762127360002</v>
      </c>
      <c r="P43" s="1000" cm="1">
        <f t="array" aca="1" ref="P43" ca="1">IF(NPSwitch=1,_xll.TR(P$7,P$6,"Sdate=#1 Period=#2 Scale=6 NULL=BLANK",,$D43,$O$4),P43)</f>
        <v>3964.42396481999</v>
      </c>
      <c r="Q43" s="1000" cm="1">
        <f t="array" aca="1" ref="Q43" ca="1">IF(NPSwitch=1,_xll.TR(Q$7,Q$6,"Sdate=#1 Period=#2 Scale=6 NULL=BLANK",,$D43,$O$4),Q43)</f>
        <v>4278.1391327000001</v>
      </c>
      <c r="R43" s="1000" cm="1">
        <f t="array" aca="1" ref="R43" ca="1">IF(NPSwitch=1,_xll.TR(R$7,R$6,"Sdate=#1 Period=#2 Scale=6 NULL=BLANK",,$D43,$O$4),R43)</f>
        <v>655.76744296000004</v>
      </c>
      <c r="S43" s="1000" cm="1">
        <f t="array" aca="1" ref="S43" ca="1">IF(NPSwitch=1,_xll.TR(S$7,S$6,"Sdate=#1 Period=#2 Scale=6 NULL=BLANK",,$D43,$O$4),S43)</f>
        <v>4666.1979452400001</v>
      </c>
      <c r="T43" s="1000" cm="1">
        <f t="array" aca="1" ref="T43" ca="1">IF(NPSwitch=1,_xll.TR(T$7,T$6,"Sdate=#1 Period=#2 Scale=6 NULL=BLANK",,$D43,$O$4),T43)</f>
        <v>2832.8149189699998</v>
      </c>
      <c r="U43" s="1000" cm="1">
        <f t="array" aca="1" ref="U43" ca="1">IF(NPSwitch=1,_xll.TR(U$7,U$6,"Sdate=#1 Period=#2 Scale=6 NULL=BLANK",,$D43,$O$4),U43)</f>
        <v>11250.454560120001</v>
      </c>
      <c r="V43" s="1000" cm="1">
        <f t="array" aca="1" ref="V43" ca="1">IF(NPSwitch=1,_xll.TR(V$7,V$6,"Sdate=#1 Period=#2 Scale=6 NULL=BLANK",,$D43,$O$4),V43)</f>
        <v>10316.597999399901</v>
      </c>
      <c r="W43" s="1000" cm="1">
        <f t="array" aca="1" ref="W43" ca="1">IF(NPSwitch=1,_xll.TR(W$7,W$6,"Sdate=#1 Period=#2 Scale=6 NULL=BLANK",,$D43,$O$4),W43)</f>
        <v>4997.3479742500003</v>
      </c>
      <c r="X43" s="998"/>
      <c r="Y43" s="1000" cm="1">
        <f t="array" aca="1" ref="Y43" ca="1">IF(NPSwitch=1,_xll.TR(Y$7,Y$6,"Sdate=#1 Period=#2 Scale=6 NULL=BLANK",,$D43,$O$4),Y43)</f>
        <v>1397.25</v>
      </c>
      <c r="Z43" s="1000" cm="1">
        <f t="array" aca="1" ref="Z43" ca="1">IF(NPSwitch=1,_xll.TR(Z$7,Z$6,"Sdate=#1 Period=#2 Scale=6 NULL=BLANK",,$D43,$O$4),Z43)</f>
        <v>101.29225</v>
      </c>
      <c r="AA43" s="1000" cm="1">
        <f t="array" aca="1" ref="AA43" ca="1">IF(NPSwitch=1,_xll.TR(AA$7,AA$6,"Sdate=#1 Period=#2 Scale=6 NULL=BLANK",,$D43,$O$4),AA43)</f>
        <v>1300.5</v>
      </c>
      <c r="AB43" s="1000" cm="1">
        <f t="array" aca="1" ref="AB43" ca="1">IF(NPSwitch=1,_xll.TR(AB$7,AB$6,"Sdate=#1 Period=#2 Scale=6 NULL=BLANK",,$D43,$O$4),AB43)</f>
        <v>72</v>
      </c>
      <c r="AC43" s="1000" t="str" cm="1">
        <f t="array" aca="1" ref="AC43" ca="1">IF(NPSwitch=1,_xll.TR(AC$7,AC$6,"Sdate=#1 Period=#2 Scale=6 NULL=BLANK",,$D43,$O$4),AC43)</f>
        <v/>
      </c>
      <c r="AD43" s="1000" cm="1">
        <f t="array" aca="1" ref="AD43" ca="1">IF(NPSwitch=1,_xll.TR(AD$7,AD$6,"Sdate=#1 Period=#2 Scale=6 NULL=BLANK",,$D43,$O$4),AD43)</f>
        <v>202.72499999999999</v>
      </c>
      <c r="AE43" s="1000" cm="1">
        <f t="array" aca="1" ref="AE43" ca="1">IF(NPSwitch=1,_xll.TR(AE$7,AE$6,"Sdate=#1 Period=#2 Scale=6 NULL=BLANK",,$D43,$O$4),AE43)</f>
        <v>398.5</v>
      </c>
      <c r="AF43" s="1000" t="str" cm="1">
        <f t="array" aca="1" ref="AF43" ca="1">IF(NPSwitch=1,_xll.TR(AF$7,AF$6,"Sdate=#1 Period=#2 Scale=6 NULL=BLANK",,$D43,$O$4),AF43)</f>
        <v/>
      </c>
      <c r="AG43" s="1000" cm="1">
        <f t="array" aca="1" ref="AG43" ca="1">IF(NPSwitch=1,_xll.TR(AG$7,AG$6,"Sdate=#1 Period=#2 Scale=6 NULL=BLANK",,$D43,$O$4),AG43)</f>
        <v>587.75</v>
      </c>
      <c r="AH43" s="998"/>
      <c r="AI43" s="1000" cm="1">
        <f t="array" aca="1" ref="AI43" ca="1">IF(NPSwitch=1,_xll.TR(AI$7,AI$6,"Sdate=#1 Period=#2 Scale=6 NULL=BLANK",,$D43,$O$4),AI43)</f>
        <v>59373.762127360002</v>
      </c>
      <c r="AJ43" s="1000" cm="1">
        <f t="array" aca="1" ref="AJ43" ca="1">IF(NPSwitch=1,_xll.TR(AJ$7,AJ$6,"Sdate=#1 Period=#2 Scale=6 NULL=BLANK",,$D43,$O$4),AJ43)</f>
        <v>4661.5589648200003</v>
      </c>
      <c r="AK43" s="1000" cm="1">
        <f t="array" aca="1" ref="AK43" ca="1">IF(NPSwitch=1,_xll.TR(AK$7,AK$6,"Sdate=#1 Period=#2 Scale=6 NULL=BLANK",,$D43,$O$4),AK43)</f>
        <v>3403.1391327000001</v>
      </c>
      <c r="AL43" s="1000" cm="1">
        <f t="array" aca="1" ref="AL43" ca="1">IF(NPSwitch=1,_xll.TR(AL$7,AL$6,"Sdate=#1 Period=#2 Scale=6 NULL=BLANK",,$D43,$O$4),AL43)</f>
        <v>1181.7674429599999</v>
      </c>
      <c r="AM43" s="1000" cm="1">
        <f t="array" aca="1" ref="AM43" ca="1">IF(NPSwitch=1,_xll.TR(AM$7,AM$6,"Sdate=#1 Period=#2 Scale=6 NULL=BLANK",,$D43,$O$4),AM43)</f>
        <v>9213.3979452399999</v>
      </c>
      <c r="AN43" s="1000" cm="1">
        <f t="array" aca="1" ref="AN43" ca="1">IF(NPSwitch=1,_xll.TR(AN$7,AN$6,"Sdate=#1 Period=#2 Scale=6 NULL=BLANK",,$D43,$O$4),AN43)</f>
        <v>3303.7149189699999</v>
      </c>
      <c r="AO43" s="1000" cm="1">
        <f t="array" aca="1" ref="AO43" ca="1">IF(NPSwitch=1,_xll.TR(AO$7,AO$6,"Sdate=#1 Period=#2 Scale=6 NULL=BLANK",,$D43,$O$4),AO43)</f>
        <v>12377.454560120001</v>
      </c>
      <c r="AP43" s="1000" cm="1">
        <f t="array" aca="1" ref="AP43" ca="1">IF(NPSwitch=1,_xll.TR(AP$7,AP$6,"Sdate=#1 Period=#2 Scale=6 NULL=BLANK",,$D43,$O$4),AP43)</f>
        <v>11992.597999400001</v>
      </c>
      <c r="AQ43" s="1000" cm="1">
        <f t="array" aca="1" ref="AQ43" ca="1">IF(NPSwitch=1,_xll.TR(AQ$7,AQ$6,"Sdate=#1 Period=#2 Scale=6 NULL=BLANK",,$D43,$O$4),AQ43)</f>
        <v>6245.3479742500003</v>
      </c>
      <c r="AS43" s="765" t="str" cm="1">
        <f t="array" aca="1" ref="AS43" ca="1">IF(NPSwitch=1,_xll.TR(AS$7,AS$6,"Sdate=#1 Period=#2 NULL=BLANK Scale=6",,$D43,$AS$4),AS43)</f>
        <v/>
      </c>
      <c r="AT43" s="765" t="str" cm="1">
        <f t="array" aca="1" ref="AT43" ca="1">IF(NPSwitch=1,_xll.TR(AT$7,AT$6,"Sdate=#1 Period=#2 NULL=BLANK Scale=6",,$D43,$AS$4),AT43)</f>
        <v/>
      </c>
      <c r="AU43" s="765" t="str" cm="1">
        <f t="array" aca="1" ref="AU43" ca="1">IF(NPSwitch=1,_xll.TR(AU$7,AU$6,"Sdate=#1 Period=#2 NULL=BLANK Scale=6",,$D43,$AS$4),AU43)</f>
        <v/>
      </c>
      <c r="AV43" s="765" t="str" cm="1">
        <f t="array" aca="1" ref="AV43" ca="1">IF(NPSwitch=1,_xll.TR(AV$7,AV$6,"Sdate=#1 Period=#2 NULL=BLANK Scale=6",,$D43,$AS$4),AV43)</f>
        <v/>
      </c>
      <c r="AW43" s="765" t="str" cm="1">
        <f t="array" aca="1" ref="AW43" ca="1">IF(NPSwitch=1,_xll.TR(AW$7,AW$6,"Sdate=#1 Period=#2 NULL=BLANK Scale=6",,$D43,$AS$4),AW43)</f>
        <v/>
      </c>
      <c r="AX43" s="765" t="str" cm="1">
        <f t="array" aca="1" ref="AX43" ca="1">IF(NPSwitch=1,_xll.TR(AX$7,AX$6,"Sdate=#1 Period=#2 NULL=BLANK Scale=6",,$D43,$AS$4),AX43)</f>
        <v/>
      </c>
      <c r="AY43" s="765" t="str" cm="1">
        <f t="array" aca="1" ref="AY43" ca="1">IF(NPSwitch=1,_xll.TR(AY$7,AY$6,"Sdate=#1 Period=#2 NULL=BLANK Scale=6",,$D43,$AS$4),AY43)</f>
        <v/>
      </c>
      <c r="AZ43" s="765" t="str" cm="1">
        <f t="array" aca="1" ref="AZ43" ca="1">IF(NPSwitch=1,_xll.TR(AZ$7,AZ$6,"Sdate=#1 Period=#2 NULL=BLANK Scale=6",,$D43,$AS$4),AZ43)</f>
        <v/>
      </c>
      <c r="BA43" s="765" t="str" cm="1">
        <f t="array" aca="1" ref="BA43" ca="1">IF(NPSwitch=1,_xll.TR(BA$7,BA$6,"Sdate=#1 Period=#2 NULL=BLANK Scale=6",,$D43,$AS$4),BA43)</f>
        <v/>
      </c>
      <c r="BC43" s="765" cm="1">
        <f t="array" aca="1" ref="BC43" ca="1">IF(NPSwitch=1,_xll.TR(BC$7,BC$6,"Sdate=#1 Period=#2 NULL=BLANK",,$D43,$BC$4),BC43)</f>
        <v>9.8041218840000006</v>
      </c>
      <c r="BD43" s="765" cm="1">
        <f t="array" aca="1" ref="BD43" ca="1">IF(NPSwitch=1,_xll.TR(BD$7,BD$6,"Sdate=#1 Period=#2 NULL=BLANK",,$D43,$BC$4),BD43)</f>
        <v>13.185752170000001</v>
      </c>
      <c r="BE43" s="765" cm="1">
        <f t="array" aca="1" ref="BE43" ca="1">IF(NPSwitch=1,_xll.TR(BE$7,BE$6,"Sdate=#1 Period=#2 NULL=BLANK",,$D43,$BC$4),BE43)</f>
        <v>12.890678533000001</v>
      </c>
      <c r="BF43" s="765" cm="1">
        <f t="array" aca="1" ref="BF43" ca="1">IF(NPSwitch=1,_xll.TR(BF$7,BF$6,"Sdate=#1 Period=#2 NULL=BLANK",,$D43,$BC$4),BF43)</f>
        <v>8.8389487130000006</v>
      </c>
      <c r="BG43" s="765" t="str" cm="1">
        <f t="array" aca="1" ref="BG43" ca="1">IF(NPSwitch=1,_xll.TR(BG$7,BG$6,"Sdate=#1 Period=#2 NULL=BLANK",,$D43,$BC$4),BG43)</f>
        <v/>
      </c>
      <c r="BH43" s="765" cm="1">
        <f t="array" aca="1" ref="BH43" ca="1">IF(NPSwitch=1,_xll.TR(BH$7,BH$6,"Sdate=#1 Period=#2 NULL=BLANK",,$D43,$BC$4),BH43)</f>
        <v>7.2434003919999999</v>
      </c>
      <c r="BI43" s="765" cm="1">
        <f t="array" aca="1" ref="BI43" ca="1">IF(NPSwitch=1,_xll.TR(BI$7,BI$6,"Sdate=#1 Period=#2 NULL=BLANK",,$D43,$BC$4),BI43)</f>
        <v>8.8410389719999998</v>
      </c>
      <c r="BJ43" s="765" cm="1">
        <f t="array" aca="1" ref="BJ43" ca="1">IF(NPSwitch=1,_xll.TR(BJ$7,BJ$6,"Sdate=#1 Period=#2 NULL=BLANK",,$D43,$BC$4),BJ43)</f>
        <v>7.4074107470000001</v>
      </c>
      <c r="BK43" s="765" cm="1">
        <f t="array" aca="1" ref="BK43" ca="1">IF(NPSwitch=1,_xll.TR(BK$7,BK$6,"Sdate=#1 Period=#2 NULL=BLANK",,$D43,$BC$4),BK43)</f>
        <v>6.4853042309999998</v>
      </c>
      <c r="BM43" s="1014"/>
      <c r="BO43" s="765" cm="1">
        <f t="array" aca="1" ref="BO43" ca="1">IF(NPSwitch=1,_xll.TR(BO$7,BO$6,"Sdate=#1 Period=#2 NULL=BLANK Scale=6",,$D43,$AS$4),BO43)</f>
        <v>22923</v>
      </c>
      <c r="BP43" s="765" cm="1">
        <f t="array" aca="1" ref="BP43" ca="1">IF(NPSwitch=1,_xll.TR(BP$7,BP$6,"Sdate=#1 Period=#2 NULL=BLANK Scale=6",,$D43,$AS$4),BP43)</f>
        <v>2368.5059999999999</v>
      </c>
      <c r="BQ43" s="765" cm="1">
        <f t="array" aca="1" ref="BQ43" ca="1">IF(NPSwitch=1,_xll.TR(BQ$7,BQ$6,"Sdate=#1 Period=#2 NULL=BLANK Scale=6",,$D43,$AS$4),BQ43)</f>
        <v>7350</v>
      </c>
      <c r="BR43" s="765" cm="1">
        <f t="array" aca="1" ref="BR43" ca="1">IF(NPSwitch=1,_xll.TR(BR$7,BR$6,"Sdate=#1 Period=#2 NULL=BLANK Scale=6",,$D43,$AS$4),BR43)</f>
        <v>2622.4</v>
      </c>
      <c r="BS43" s="765" t="str" cm="1">
        <f t="array" aca="1" ref="BS43" ca="1">IF(NPSwitch=1,_xll.TR(BS$7,BS$6,"Sdate=#1 Period=#2 NULL=BLANK Scale=6",,$D43,$AS$4),BS43)</f>
        <v/>
      </c>
      <c r="BT43" s="765" cm="1">
        <f t="array" aca="1" ref="BT43" ca="1">IF(NPSwitch=1,_xll.TR(BT$7,BT$6,"Sdate=#1 Period=#2 NULL=BLANK Scale=6",,$D43,$AS$4),BT43)</f>
        <v>2345.9</v>
      </c>
      <c r="BU43" s="765" cm="1">
        <f t="array" aca="1" ref="BU43" ca="1">IF(NPSwitch=1,_xll.TR(BU$7,BU$6,"Sdate=#1 Period=#2 NULL=BLANK Scale=6",,$D43,$AS$4),BU43)</f>
        <v>10466</v>
      </c>
      <c r="BV43" s="765" t="str" cm="1">
        <f t="array" aca="1" ref="BV43" ca="1">IF(NPSwitch=1,_xll.TR(BV$7,BV$6,"Sdate=#1 Period=#2 NULL=BLANK Scale=6",,$D43,$AS$4),BV43)</f>
        <v/>
      </c>
      <c r="BW43" s="765" cm="1">
        <f t="array" aca="1" ref="BW43" ca="1">IF(NPSwitch=1,_xll.TR(BW$7,BW$6,"Sdate=#1 Period=#2 NULL=BLANK Scale=6",,$D43,$AS$4),BW43)</f>
        <v>7292</v>
      </c>
      <c r="BX43" s="1002"/>
      <c r="BY43" s="765" cm="1">
        <f t="array" aca="1" ref="BY43" ca="1">IF(NPSwitch=1,_xll.TR(BY$7,BY$6,"Sdate=#1 Period=#2 NULL=BLANK Scale=6",,$D43,$AS$4),BY43)</f>
        <v>14037.75</v>
      </c>
      <c r="BZ43" s="765" cm="1">
        <f t="array" aca="1" ref="BZ43" ca="1">IF(NPSwitch=1,_xll.TR(BZ$7,BZ$6,"Sdate=#1 Period=#2 NULL=BLANK Scale=6",,$D43,$AS$4),BZ43)</f>
        <v>1801.3857499999999</v>
      </c>
      <c r="CA43" s="765" cm="1">
        <f t="array" aca="1" ref="CA43" ca="1">IF(NPSwitch=1,_xll.TR(CA$7,CA$6,"Sdate=#1 Period=#2 NULL=BLANK Scale=6",,$D43,$AS$4),CA43)</f>
        <v>3451.25</v>
      </c>
      <c r="CB43" s="765" cm="1">
        <f t="array" aca="1" ref="CB43" ca="1">IF(NPSwitch=1,_xll.TR(CB$7,CB$6,"Sdate=#1 Period=#2 NULL=BLANK Scale=6",,$D43,$AS$4),CB43)</f>
        <v>1142.3</v>
      </c>
      <c r="CC43" s="765" t="str" cm="1">
        <f t="array" aca="1" ref="CC43" ca="1">IF(NPSwitch=1,_xll.TR(CC$7,CC$6,"Sdate=#1 Period=#2 NULL=BLANK Scale=6",,$D43,$AS$4),CC43)</f>
        <v/>
      </c>
      <c r="CD43" s="765" cm="1">
        <f t="array" aca="1" ref="CD43" ca="1">IF(NPSwitch=1,_xll.TR(CD$7,CD$6,"Sdate=#1 Period=#2 NULL=BLANK Scale=6",,$D43,$AS$4),CD43)</f>
        <v>1753.45</v>
      </c>
      <c r="CE43" s="765" cm="1">
        <f t="array" aca="1" ref="CE43" ca="1">IF(NPSwitch=1,_xll.TR(CE$7,CE$6,"Sdate=#1 Period=#2 NULL=BLANK Scale=6",,$D43,$AS$4),CE43)</f>
        <v>4791</v>
      </c>
      <c r="CF43" s="765" t="str" cm="1">
        <f t="array" aca="1" ref="CF43" ca="1">IF(NPSwitch=1,_xll.TR(CF$7,CF$6,"Sdate=#1 Period=#2 NULL=BLANK Scale=6",,$D43,$AS$4),CF43)</f>
        <v/>
      </c>
      <c r="CG43" s="765" cm="1">
        <f t="array" aca="1" ref="CG43" ca="1">IF(NPSwitch=1,_xll.TR(CG$7,CG$6,"Sdate=#1 Period=#2 NULL=BLANK Scale=6",,$D43,$AS$4),CG43)</f>
        <v>3526.5</v>
      </c>
      <c r="CI43" s="1000" cm="1">
        <f t="array" aca="1" ref="CI43" ca="1">IF(NPSwitch=1,_xll.TR(CI$7,CI$6,"Sdate=#1 Period=#2 NULL=BLANK Scale=6",,$D43,$AS$4),CI43)</f>
        <v>5701</v>
      </c>
      <c r="CJ43" s="1000" cm="1">
        <f t="array" aca="1" ref="CJ43" ca="1">IF(NPSwitch=1,_xll.TR(CJ$7,CJ$6,"Sdate=#1 Period=#2 NULL=BLANK Scale=6",,$D43,$AS$4),CJ43)</f>
        <v>380.09500000000003</v>
      </c>
      <c r="CK43" s="1000" cm="1">
        <f t="array" aca="1" ref="CK43" ca="1">IF(NPSwitch=1,_xll.TR(CK$7,CK$6,"Sdate=#1 Period=#2 NULL=BLANK Scale=6",,$D43,$AS$4),CK43)</f>
        <v>264</v>
      </c>
      <c r="CL43" s="1000" cm="1">
        <f t="array" aca="1" ref="CL43" ca="1">IF(NPSwitch=1,_xll.TR(CL$7,CL$6,"Sdate=#1 Period=#2 NULL=BLANK Scale=6",,$D43,$AS$4),CL43)</f>
        <v>135.30000000000001</v>
      </c>
      <c r="CM43" s="1000" t="str" cm="1">
        <f t="array" aca="1" ref="CM43" ca="1">IF(NPSwitch=1,_xll.TR(CM$7,CM$6,"Sdate=#1 Period=#2 NULL=BLANK Scale=6",,$D43,$AS$4),CM43)</f>
        <v/>
      </c>
      <c r="CN43" s="1000" cm="1">
        <f t="array" aca="1" ref="CN43" ca="1">IF(NPSwitch=1,_xll.TR(CN$7,CN$6,"Sdate=#1 Period=#2 NULL=BLANK Scale=6",,$D43,$AS$4),CN43)</f>
        <v>459.4</v>
      </c>
      <c r="CO43" s="1000" cm="1">
        <f t="array" aca="1" ref="CO43" ca="1">IF(NPSwitch=1,_xll.TR(CO$7,CO$6,"Sdate=#1 Period=#2 NULL=BLANK Scale=6",,$D43,$AS$4),CO43)</f>
        <v>1524</v>
      </c>
      <c r="CP43" s="1000" t="str" cm="1">
        <f t="array" aca="1" ref="CP43" ca="1">IF(NPSwitch=1,_xll.TR(CP$7,CP$6,"Sdate=#1 Period=#2 NULL=BLANK Scale=6",,$D43,$AS$4),CP43)</f>
        <v/>
      </c>
      <c r="CQ43" s="1000" cm="1">
        <f t="array" aca="1" ref="CQ43" ca="1">IF(NPSwitch=1,_xll.TR(CQ$7,CQ$6,"Sdate=#1 Period=#2 NULL=BLANK Scale=6",,$D43,$AS$4),CQ43)</f>
        <v>1061</v>
      </c>
      <c r="CS43" s="1000" cm="1">
        <f t="array" aca="1" ref="CS43" ca="1">IF(NPSwitch=1,_xll.TR(CS$7,CS$6,"Sdate=#1 Period=#2 NULL=BLANK Scale=6",,$D43,$AS$4),CS43)</f>
        <v>5726.5</v>
      </c>
      <c r="CT43" s="1000" cm="1">
        <f t="array" aca="1" ref="CT43" ca="1">IF(NPSwitch=1,_xll.TR(CT$7,CT$6,"Sdate=#1 Period=#2 NULL=BLANK Scale=6",,$D43,$AS$4),CT43)</f>
        <v>976.37175000000002</v>
      </c>
      <c r="CU43" s="1000" cm="1">
        <f t="array" aca="1" ref="CU43" ca="1">IF(NPSwitch=1,_xll.TR(CU$7,CU$6,"Sdate=#1 Period=#2 NULL=BLANK Scale=6",,$D43,$AS$4),CU43)</f>
        <v>925.5</v>
      </c>
      <c r="CV43" s="1000" cm="1">
        <f t="array" aca="1" ref="CV43" ca="1">IF(NPSwitch=1,_xll.TR(CV$7,CV$6,"Sdate=#1 Period=#2 NULL=BLANK Scale=6",,$D43,$AS$4),CV43)</f>
        <v>428.9</v>
      </c>
      <c r="CW43" s="1000" cm="1">
        <f t="array" aca="1" ref="CW43" ca="1">IF(NPSwitch=1,_xll.TR(CW$7,CW$6,"Sdate=#1 Period=#2 NULL=BLANK Scale=6",,$D43,$AS$4),CW43)</f>
        <v>1009.725</v>
      </c>
      <c r="CX43" s="1000" cm="1">
        <f t="array" aca="1" ref="CX43" ca="1">IF(NPSwitch=1,_xll.TR(CX$7,CX$6,"Sdate=#1 Period=#2 NULL=BLANK Scale=6",,$D43,$AS$4),CX43)</f>
        <v>2341.5</v>
      </c>
      <c r="CY43" s="1000" t="str" cm="1">
        <f t="array" aca="1" ref="CY43" ca="1">IF(NPSwitch=1,_xll.TR(CY$7,CY$6,"Sdate=#1 Period=#2 NULL=BLANK Scale=6",,$D43,$AS$4),CY43)</f>
        <v/>
      </c>
      <c r="CZ43" s="1000" cm="1">
        <f t="array" aca="1" ref="CZ43" ca="1">IF(NPSwitch=1,_xll.TR(CZ$7,CZ$6,"Sdate=#1 Period=#2 NULL=BLANK Scale=6",,$D43,$AS$4),CZ43)</f>
        <v>3127.5</v>
      </c>
      <c r="DA43" s="1000" cm="1">
        <f t="array" aca="1" ref="DA43" ca="1">IF(NPSwitch=1,_xll.TR(DA$7,DA$6,"Sdate=#1 Period=#2 NULL=BLANK Scale=6",,$D43,$AS$4),DA43)</f>
        <v>2089.25</v>
      </c>
      <c r="DB43" s="1000" cm="1">
        <f t="array" aca="1" ref="DB43" ca="1">IF(NPSwitch=1,_xll.TR(DB$7,DB$6,"Sdate=#1 Period=#2 NULL=BLANK Scale=6",,$D43,$AS$4),DB43)</f>
        <v>14469.475</v>
      </c>
      <c r="DC43" s="1000" t="str" cm="1">
        <f t="array" aca="1" ref="DC43" ca="1">IF(NPSwitch=1,_xll.TR(DC$7,DC$6,"Sdate=#1 Period=#2 NULL=BLANK Scale=6",,$D43,$AS$4),DC43)</f>
        <v/>
      </c>
      <c r="DD43" s="1000" t="str" cm="1">
        <f t="array" aca="1" ref="DD43" ca="1">IF(NPSwitch=1,_xll.TR(DD$7,DD$6,"Sdate=#1 Period=#2 NULL=BLANK Scale=6",,$D43,$AS$4),DD43)</f>
        <v/>
      </c>
      <c r="DE43" s="1000" t="str" cm="1">
        <f t="array" aca="1" ref="DE43" ca="1">IF(NPSwitch=1,_xll.TR(DE$7,DE$6,"Sdate=#1 Period=#2 NULL=BLANK Scale=6",,$D43,$AS$4),DE43)</f>
        <v/>
      </c>
      <c r="DF43" s="1000" cm="1">
        <f t="array" aca="1" ref="DF43" ca="1">IF(NPSwitch=1,_xll.TR(DF$7,DF$6,"Sdate=#1 Period=#2 NULL=BLANK Scale=6",,$D43,$AS$4),DF43)</f>
        <v>428.9</v>
      </c>
      <c r="DG43" s="1000" t="str" cm="1">
        <f t="array" aca="1" ref="DG43" ca="1">IF(NPSwitch=1,_xll.TR(DG$7,DG$6,"Sdate=#1 Period=#2 NULL=BLANK Scale=6",,$D43,$AS$4),DG43)</f>
        <v/>
      </c>
      <c r="DH43" s="1000" cm="1">
        <f t="array" aca="1" ref="DH43" ca="1">IF(NPSwitch=1,_xll.TR(DH$7,DH$6,"Sdate=#1 Period=#2 NULL=BLANK Scale=6",,$D43,$AS$4),DH43)</f>
        <v>887.95024999999998</v>
      </c>
    </row>
    <row r="44" spans="3:170" ht="11.25" customHeight="1">
      <c r="C44" s="969">
        <f t="shared" si="44"/>
        <v>39172</v>
      </c>
      <c r="D44" s="974">
        <f t="shared" si="43"/>
        <v>39217</v>
      </c>
      <c r="E44" s="765" cm="1">
        <f t="array" aca="1" ref="E44" ca="1">IF(NPSwitch=1,_xll.TR(E$7,E$6,"Sdate=#1 Period=#2 NULL=BLANK",,$D44,$E$4),E44)</f>
        <v>9.7092753567104193</v>
      </c>
      <c r="F44" s="765" cm="1">
        <f t="array" aca="1" ref="F44" ca="1">IF(NPSwitch=1,_xll.TR(F$7,F$6,"Sdate=#1 Period=#2 NULL=BLANK",,$D44,$E$4),F44)</f>
        <v>9.9073636147861901</v>
      </c>
      <c r="G44" s="765" cm="1">
        <f t="array" aca="1" ref="G44" ca="1">IF(NPSwitch=1,_xll.TR(G$7,G$6,"Sdate=#1 Period=#2 NULL=BLANK",,$D44,$E$4),G44)</f>
        <v>6.7323047527933699</v>
      </c>
      <c r="H44" s="765" cm="1">
        <f t="array" aca="1" ref="H44" ca="1">IF(NPSwitch=1,_xll.TR(H$7,H$6,"Sdate=#1 Period=#2 NULL=BLANK",,$D44,$E$4),H44)</f>
        <v>5.9940108224719104</v>
      </c>
      <c r="I44" s="765" cm="1">
        <f t="array" aca="1" ref="I44" ca="1">IF(NPSwitch=1,_xll.TR(I$7,I$6,"Sdate=#1 Period=#2 NULL=BLANK",,$D44,$E$4),I44)</f>
        <v>7.1320475832619303</v>
      </c>
      <c r="J44" s="765" cm="1">
        <f t="array" aca="1" ref="J44" ca="1">IF(NPSwitch=1,_xll.TR(J$7,J$6,"Sdate=#1 Period=#2 NULL=BLANK",,$D44,$E$4),J44)</f>
        <v>7.5225478690977203</v>
      </c>
      <c r="K44" s="765" cm="1">
        <f t="array" aca="1" ref="K44" ca="1">IF(NPSwitch=1,_xll.TR(K$7,K$6,"Sdate=#1 Period=#2 NULL=BLANK",,$D44,$E$4),K44)</f>
        <v>7.5634914573599099</v>
      </c>
      <c r="L44" s="765" cm="1">
        <f t="array" aca="1" ref="L44" ca="1">IF(NPSwitch=1,_xll.TR(L$7,L$6,"Sdate=#1 Period=#2 NULL=BLANK",,$D44,$E$4),L44)</f>
        <v>7.2575435426744903</v>
      </c>
      <c r="M44" s="765" cm="1">
        <f t="array" aca="1" ref="M44" ca="1">IF(NPSwitch=1,_xll.TR(M$7,M$6,"Sdate=#1 Period=#2 NULL=BLANK",,$D44,$E$4),M44)</f>
        <v>6.3013393976710699</v>
      </c>
      <c r="N44" s="1002">
        <f t="shared" ca="1" si="45"/>
        <v>7.0336576712765551</v>
      </c>
      <c r="O44" s="1000" cm="1">
        <f t="array" aca="1" ref="O44" ca="1">IF(NPSwitch=1,_xll.TR(O$7,O$6,"Sdate=#1 Period=#2 Scale=6 NULL=BLANK",,$D44,$O$4),O44)</f>
        <v>62060.038223470001</v>
      </c>
      <c r="P44" s="1000" cm="1">
        <f t="array" aca="1" ref="P44" ca="1">IF(NPSwitch=1,_xll.TR(P$7,P$6,"Sdate=#1 Period=#2 Scale=6 NULL=BLANK",,$D44,$O$4),P44)</f>
        <v>3964.5236191200001</v>
      </c>
      <c r="Q44" s="1000" cm="1">
        <f t="array" aca="1" ref="Q44" ca="1">IF(NPSwitch=1,_xll.TR(Q$7,Q$6,"Sdate=#1 Period=#2 Scale=6 NULL=BLANK",,$D44,$O$4),Q44)</f>
        <v>3703.6979190000002</v>
      </c>
      <c r="R44" s="1000" cm="1">
        <f t="array" aca="1" ref="R44" ca="1">IF(NPSwitch=1,_xll.TR(R$7,R$6,"Sdate=#1 Period=#2 Scale=6 NULL=BLANK",,$D44,$O$4),R44)</f>
        <v>665.80066720000002</v>
      </c>
      <c r="S44" s="1000" cm="1">
        <f t="array" aca="1" ref="S44" ca="1">IF(NPSwitch=1,_xll.TR(S$7,S$6,"Sdate=#1 Period=#2 Scale=6 NULL=BLANK",,$D44,$O$4),S44)</f>
        <v>4415.8411434999998</v>
      </c>
      <c r="T44" s="1000" cm="1">
        <f t="array" aca="1" ref="T44" ca="1">IF(NPSwitch=1,_xll.TR(T$7,T$6,"Sdate=#1 Period=#2 Scale=6 NULL=BLANK",,$D44,$O$4),T44)</f>
        <v>3193.0005149100002</v>
      </c>
      <c r="U44" s="1000" cm="1">
        <f t="array" aca="1" ref="U44" ca="1">IF(NPSwitch=1,_xll.TR(U$7,U$6,"Sdate=#1 Period=#2 Scale=6 NULL=BLANK",,$D44,$O$4),U44)</f>
        <v>12260.432172000001</v>
      </c>
      <c r="V44" s="1000" cm="1">
        <f t="array" aca="1" ref="V44" ca="1">IF(NPSwitch=1,_xll.TR(V$7,V$6,"Sdate=#1 Period=#2 Scale=6 NULL=BLANK",,$D44,$O$4),V44)</f>
        <v>9782.9808614999802</v>
      </c>
      <c r="W44" s="1000" cm="1">
        <f t="array" aca="1" ref="W44" ca="1">IF(NPSwitch=1,_xll.TR(W$7,W$6,"Sdate=#1 Period=#2 Scale=6 NULL=BLANK",,$D44,$O$4),W44)</f>
        <v>5578.5530767299997</v>
      </c>
      <c r="X44" s="998"/>
      <c r="Y44" s="1000" cm="1">
        <f t="array" aca="1" ref="Y44" ca="1">IF(NPSwitch=1,_xll.TR(Y$7,Y$6,"Sdate=#1 Period=#2 Scale=6 NULL=BLANK",,$D44,$O$4),Y44)</f>
        <v>1644.75</v>
      </c>
      <c r="Z44" s="1000" cm="1">
        <f t="array" aca="1" ref="Z44" ca="1">IF(NPSwitch=1,_xll.TR(Z$7,Z$6,"Sdate=#1 Period=#2 Scale=6 NULL=BLANK",,$D44,$O$4),Z44)</f>
        <v>115.77124999999999</v>
      </c>
      <c r="AA44" s="1000" cm="1">
        <f t="array" aca="1" ref="AA44" ca="1">IF(NPSwitch=1,_xll.TR(AA$7,AA$6,"Sdate=#1 Period=#2 Scale=6 NULL=BLANK",,$D44,$O$4),AA44)</f>
        <v>1265</v>
      </c>
      <c r="AB44" s="1000" cm="1">
        <f t="array" aca="1" ref="AB44" ca="1">IF(NPSwitch=1,_xll.TR(AB$7,AB$6,"Sdate=#1 Period=#2 Scale=6 NULL=BLANK",,$D44,$O$4),AB44)</f>
        <v>79.400000000000006</v>
      </c>
      <c r="AC44" s="1000" cm="1">
        <f t="array" aca="1" ref="AC44" ca="1">IF(NPSwitch=1,_xll.TR(AC$7,AC$6,"Sdate=#1 Period=#2 Scale=6 NULL=BLANK",,$D44,$O$4),AC44)</f>
        <v>213.15</v>
      </c>
      <c r="AD44" s="1000" cm="1">
        <f t="array" aca="1" ref="AD44" ca="1">IF(NPSwitch=1,_xll.TR(AD$7,AD$6,"Sdate=#1 Period=#2 Scale=6 NULL=BLANK",,$D44,$O$4),AD44)</f>
        <v>169</v>
      </c>
      <c r="AE44" s="1000" cm="1">
        <f t="array" aca="1" ref="AE44" ca="1">IF(NPSwitch=1,_xll.TR(AE$7,AE$6,"Sdate=#1 Period=#2 Scale=6 NULL=BLANK",,$D44,$O$4),AE44)</f>
        <v>340</v>
      </c>
      <c r="AF44" s="1000" cm="1">
        <f t="array" aca="1" ref="AF44" ca="1">IF(NPSwitch=1,_xll.TR(AF$7,AF$6,"Sdate=#1 Period=#2 Scale=6 NULL=BLANK",,$D44,$O$4),AF44)</f>
        <v>593.5</v>
      </c>
      <c r="AG44" s="1000" t="str" cm="1">
        <f t="array" aca="1" ref="AG44" ca="1">IF(NPSwitch=1,_xll.TR(AG$7,AG$6,"Sdate=#1 Period=#2 Scale=6 NULL=BLANK",,$D44,$O$4),AG44)</f>
        <v/>
      </c>
      <c r="AH44" s="998"/>
      <c r="AI44" s="1000" cm="1">
        <f t="array" aca="1" ref="AI44" ca="1">IF(NPSwitch=1,_xll.TR(AI$7,AI$6,"Sdate=#1 Period=#2 Scale=6 NULL=BLANK",,$D44,$O$4),AI44)</f>
        <v>64654.038223470001</v>
      </c>
      <c r="AJ44" s="1000" cm="1">
        <f t="array" aca="1" ref="AJ44" ca="1">IF(NPSwitch=1,_xll.TR(AJ$7,AJ$6,"Sdate=#1 Period=#2 Scale=6 NULL=BLANK",,$D44,$O$4),AJ44)</f>
        <v>4620.7556191200001</v>
      </c>
      <c r="AK44" s="1000" cm="1">
        <f t="array" aca="1" ref="AK44" ca="1">IF(NPSwitch=1,_xll.TR(AK$7,AK$6,"Sdate=#1 Period=#2 Scale=6 NULL=BLANK",,$D44,$O$4),AK44)</f>
        <v>2825.6979190000002</v>
      </c>
      <c r="AL44" s="1000" cm="1">
        <f t="array" aca="1" ref="AL44" ca="1">IF(NPSwitch=1,_xll.TR(AL$7,AL$6,"Sdate=#1 Period=#2 Scale=6 NULL=BLANK",,$D44,$O$4),AL44)</f>
        <v>1200.3006671999999</v>
      </c>
      <c r="AM44" s="1000" cm="1">
        <f t="array" aca="1" ref="AM44" ca="1">IF(NPSwitch=1,_xll.TR(AM$7,AM$6,"Sdate=#1 Period=#2 Scale=6 NULL=BLANK",,$D44,$O$4),AM44)</f>
        <v>8284.9411435000002</v>
      </c>
      <c r="AN44" s="1000" cm="1">
        <f t="array" aca="1" ref="AN44" ca="1">IF(NPSwitch=1,_xll.TR(AN$7,AN$6,"Sdate=#1 Period=#2 Scale=6 NULL=BLANK",,$D44,$O$4),AN44)</f>
        <v>3818.1005149100001</v>
      </c>
      <c r="AO44" s="1000" cm="1">
        <f t="array" aca="1" ref="AO44" ca="1">IF(NPSwitch=1,_xll.TR(AO$7,AO$6,"Sdate=#1 Period=#2 Scale=6 NULL=BLANK",,$D44,$O$4),AO44)</f>
        <v>13707.432172000001</v>
      </c>
      <c r="AP44" s="1000" cm="1">
        <f t="array" aca="1" ref="AP44" ca="1">IF(NPSwitch=1,_xll.TR(AP$7,AP$6,"Sdate=#1 Period=#2 Scale=6 NULL=BLANK",,$D44,$O$4),AP44)</f>
        <v>11595.9808615</v>
      </c>
      <c r="AQ44" s="1000" cm="1">
        <f t="array" aca="1" ref="AQ44" ca="1">IF(NPSwitch=1,_xll.TR(AQ$7,AQ$6,"Sdate=#1 Period=#2 Scale=6 NULL=BLANK",,$D44,$O$4),AQ44)</f>
        <v>6234.5530767299997</v>
      </c>
      <c r="AS44" s="765" t="str" cm="1">
        <f t="array" aca="1" ref="AS44" ca="1">IF(NPSwitch=1,_xll.TR(AS$7,AS$6,"Sdate=#1 Period=#2 NULL=BLANK Scale=6",,$D44,$AS$4),AS44)</f>
        <v/>
      </c>
      <c r="AT44" s="765" t="str" cm="1">
        <f t="array" aca="1" ref="AT44" ca="1">IF(NPSwitch=1,_xll.TR(AT$7,AT$6,"Sdate=#1 Period=#2 NULL=BLANK Scale=6",,$D44,$AS$4),AT44)</f>
        <v/>
      </c>
      <c r="AU44" s="765" t="str" cm="1">
        <f t="array" aca="1" ref="AU44" ca="1">IF(NPSwitch=1,_xll.TR(AU$7,AU$6,"Sdate=#1 Period=#2 NULL=BLANK Scale=6",,$D44,$AS$4),AU44)</f>
        <v/>
      </c>
      <c r="AV44" s="765" t="str" cm="1">
        <f t="array" aca="1" ref="AV44" ca="1">IF(NPSwitch=1,_xll.TR(AV$7,AV$6,"Sdate=#1 Period=#2 NULL=BLANK Scale=6",,$D44,$AS$4),AV44)</f>
        <v/>
      </c>
      <c r="AW44" s="765" t="str" cm="1">
        <f t="array" aca="1" ref="AW44" ca="1">IF(NPSwitch=1,_xll.TR(AW$7,AW$6,"Sdate=#1 Period=#2 NULL=BLANK Scale=6",,$D44,$AS$4),AW44)</f>
        <v/>
      </c>
      <c r="AX44" s="765" t="str" cm="1">
        <f t="array" aca="1" ref="AX44" ca="1">IF(NPSwitch=1,_xll.TR(AX$7,AX$6,"Sdate=#1 Period=#2 NULL=BLANK Scale=6",,$D44,$AS$4),AX44)</f>
        <v/>
      </c>
      <c r="AY44" s="765" t="str" cm="1">
        <f t="array" aca="1" ref="AY44" ca="1">IF(NPSwitch=1,_xll.TR(AY$7,AY$6,"Sdate=#1 Period=#2 NULL=BLANK Scale=6",,$D44,$AS$4),AY44)</f>
        <v/>
      </c>
      <c r="AZ44" s="765" t="str" cm="1">
        <f t="array" aca="1" ref="AZ44" ca="1">IF(NPSwitch=1,_xll.TR(AZ$7,AZ$6,"Sdate=#1 Period=#2 NULL=BLANK Scale=6",,$D44,$AS$4),AZ44)</f>
        <v/>
      </c>
      <c r="BA44" s="765" t="str" cm="1">
        <f t="array" aca="1" ref="BA44" ca="1">IF(NPSwitch=1,_xll.TR(BA$7,BA$6,"Sdate=#1 Period=#2 NULL=BLANK Scale=6",,$D44,$AS$4),BA44)</f>
        <v/>
      </c>
      <c r="BB44" s="1002"/>
      <c r="BC44" s="765" cm="1">
        <f t="array" aca="1" ref="BC44" ca="1">IF(NPSwitch=1,_xll.TR(BC$7,BC$6,"Sdate=#1 Period=#2 NULL=BLANK",,$D44,$BC$4),BC44)</f>
        <v>11.433074841</v>
      </c>
      <c r="BD44" s="765" cm="1">
        <f t="array" aca="1" ref="BD44" ca="1">IF(NPSwitch=1,_xll.TR(BD$7,BD$6,"Sdate=#1 Period=#2 NULL=BLANK",,$D44,$BC$4),BD44)</f>
        <v>11.402094036999999</v>
      </c>
      <c r="BE44" s="765" cm="1">
        <f t="array" aca="1" ref="BE44" ca="1">IF(NPSwitch=1,_xll.TR(BE$7,BE$6,"Sdate=#1 Period=#2 NULL=BLANK",,$D44,$BC$4),BE44)</f>
        <v>10.952317516000001</v>
      </c>
      <c r="BF44" s="765" cm="1">
        <f t="array" aca="1" ref="BF44" ca="1">IF(NPSwitch=1,_xll.TR(BF$7,BF$6,"Sdate=#1 Period=#2 NULL=BLANK",,$D44,$BC$4),BF44)</f>
        <v>9.3554221920000007</v>
      </c>
      <c r="BG44" s="765" t="str" cm="1">
        <f t="array" aca="1" ref="BG44" ca="1">IF(NPSwitch=1,_xll.TR(BG$7,BG$6,"Sdate=#1 Period=#2 NULL=BLANK",,$D44,$BC$4),BG44)</f>
        <v/>
      </c>
      <c r="BH44" s="765" cm="1">
        <f t="array" aca="1" ref="BH44" ca="1">IF(NPSwitch=1,_xll.TR(BH$7,BH$6,"Sdate=#1 Period=#2 NULL=BLANK",,$D44,$BC$4),BH44)</f>
        <v>8.1618223919999995</v>
      </c>
      <c r="BI44" s="765" cm="1">
        <f t="array" aca="1" ref="BI44" ca="1">IF(NPSwitch=1,_xll.TR(BI$7,BI$6,"Sdate=#1 Period=#2 NULL=BLANK",,$D44,$BC$4),BI44)</f>
        <v>9.57222917</v>
      </c>
      <c r="BJ44" s="765" cm="1">
        <f t="array" aca="1" ref="BJ44" ca="1">IF(NPSwitch=1,_xll.TR(BJ$7,BJ$6,"Sdate=#1 Period=#2 NULL=BLANK",,$D44,$BC$4),BJ44)</f>
        <v>6.8534165849999997</v>
      </c>
      <c r="BK44" s="765" cm="1">
        <f t="array" aca="1" ref="BK44" ca="1">IF(NPSwitch=1,_xll.TR(BK$7,BK$6,"Sdate=#1 Period=#2 NULL=BLANK",,$D44,$BC$4),BK44)</f>
        <v>6.0179083750000002</v>
      </c>
      <c r="BM44" s="1014"/>
      <c r="BO44" s="765" cm="1">
        <f t="array" aca="1" ref="BO44" ca="1">IF(NPSwitch=1,_xll.TR(BO$7,BO$6,"Sdate=#1 Period=#2 NULL=BLANK Scale=6",,$D44,$AS$4),BO44)</f>
        <v>23265</v>
      </c>
      <c r="BP44" s="765" cm="1">
        <f t="array" aca="1" ref="BP44" ca="1">IF(NPSwitch=1,_xll.TR(BP$7,BP$6,"Sdate=#1 Period=#2 NULL=BLANK Scale=6",,$D44,$AS$4),BP44)</f>
        <v>2350.39</v>
      </c>
      <c r="BQ44" s="765" cm="1">
        <f t="array" aca="1" ref="BQ44" ca="1">IF(NPSwitch=1,_xll.TR(BQ$7,BQ$6,"Sdate=#1 Period=#2 NULL=BLANK Scale=6",,$D44,$AS$4),BQ44)</f>
        <v>7479</v>
      </c>
      <c r="BR44" s="765" cm="1">
        <f t="array" aca="1" ref="BR44" ca="1">IF(NPSwitch=1,_xll.TR(BR$7,BR$6,"Sdate=#1 Period=#2 NULL=BLANK Scale=6",,$D44,$AS$4),BR44)</f>
        <v>2605.6</v>
      </c>
      <c r="BS44" s="765" cm="1">
        <f t="array" aca="1" ref="BS44" ca="1">IF(NPSwitch=1,_xll.TR(BS$7,BS$6,"Sdate=#1 Period=#2 NULL=BLANK Scale=6",,$D44,$AS$4),BS44)</f>
        <v>8683.7999999999993</v>
      </c>
      <c r="BT44" s="765" cm="1">
        <f t="array" aca="1" ref="BT44" ca="1">IF(NPSwitch=1,_xll.TR(BT$7,BT$6,"Sdate=#1 Period=#2 NULL=BLANK Scale=6",,$D44,$AS$4),BT44)</f>
        <v>2425.9</v>
      </c>
      <c r="BU44" s="765" cm="1">
        <f t="array" aca="1" ref="BU44" ca="1">IF(NPSwitch=1,_xll.TR(BU$7,BU$6,"Sdate=#1 Period=#2 NULL=BLANK Scale=6",,$D44,$AS$4),BU44)</f>
        <v>10716</v>
      </c>
      <c r="BV44" s="765" cm="1">
        <f t="array" aca="1" ref="BV44" ca="1">IF(NPSwitch=1,_xll.TR(BV$7,BV$6,"Sdate=#1 Period=#2 NULL=BLANK Scale=6",,$D44,$AS$4),BV44)</f>
        <v>9414</v>
      </c>
      <c r="BW44" s="765" cm="1">
        <f t="array" aca="1" ref="BW44" ca="1">IF(NPSwitch=1,_xll.TR(BW$7,BW$6,"Sdate=#1 Period=#2 NULL=BLANK Scale=6",,$D44,$AS$4),BW44)</f>
        <v>7126</v>
      </c>
      <c r="BX44" s="1002"/>
      <c r="BY44" s="765" cm="1">
        <f t="array" aca="1" ref="BY44" ca="1">IF(NPSwitch=1,_xll.TR(BY$7,BY$6,"Sdate=#1 Period=#2 NULL=BLANK Scale=6",,$D44,$AS$4),BY44)</f>
        <v>14296</v>
      </c>
      <c r="BZ44" s="765" cm="1">
        <f t="array" aca="1" ref="BZ44" ca="1">IF(NPSwitch=1,_xll.TR(BZ$7,BZ$6,"Sdate=#1 Period=#2 NULL=BLANK Scale=6",,$D44,$AS$4),BZ44)</f>
        <v>1807.9012499999999</v>
      </c>
      <c r="CA44" s="765" cm="1">
        <f t="array" aca="1" ref="CA44" ca="1">IF(NPSwitch=1,_xll.TR(CA$7,CA$6,"Sdate=#1 Period=#2 NULL=BLANK Scale=6",,$D44,$AS$4),CA44)</f>
        <v>3255</v>
      </c>
      <c r="CB44" s="765" cm="1">
        <f t="array" aca="1" ref="CB44" ca="1">IF(NPSwitch=1,_xll.TR(CB$7,CB$6,"Sdate=#1 Period=#2 NULL=BLANK Scale=6",,$D44,$AS$4),CB44)</f>
        <v>1161.675</v>
      </c>
      <c r="CC44" s="765" cm="1">
        <f t="array" aca="1" ref="CC44" ca="1">IF(NPSwitch=1,_xll.TR(CC$7,CC$6,"Sdate=#1 Period=#2 NULL=BLANK Scale=6",,$D44,$AS$4),CC44)</f>
        <v>5874.4</v>
      </c>
      <c r="CD44" s="765" cm="1">
        <f t="array" aca="1" ref="CD44" ca="1">IF(NPSwitch=1,_xll.TR(CD$7,CD$6,"Sdate=#1 Period=#2 NULL=BLANK Scale=6",,$D44,$AS$4),CD44)</f>
        <v>1740.6</v>
      </c>
      <c r="CE44" s="765" cm="1">
        <f t="array" aca="1" ref="CE44" ca="1">IF(NPSwitch=1,_xll.TR(CE$7,CE$6,"Sdate=#1 Period=#2 NULL=BLANK Scale=6",,$D44,$AS$4),CE44)</f>
        <v>4907</v>
      </c>
      <c r="CF44" s="765" cm="1">
        <f t="array" aca="1" ref="CF44" ca="1">IF(NPSwitch=1,_xll.TR(CF$7,CF$6,"Sdate=#1 Period=#2 NULL=BLANK Scale=6",,$D44,$AS$4),CF44)</f>
        <v>6483.5</v>
      </c>
      <c r="CG44" s="765" cm="1">
        <f t="array" aca="1" ref="CG44" ca="1">IF(NPSwitch=1,_xll.TR(CG$7,CG$6,"Sdate=#1 Period=#2 NULL=BLANK Scale=6",,$D44,$AS$4),CG44)</f>
        <v>3605.5</v>
      </c>
      <c r="CI44" s="1000" cm="1">
        <f t="array" aca="1" ref="CI44" ca="1">IF(NPSwitch=1,_xll.TR(CI$7,CI$6,"Sdate=#1 Period=#2 NULL=BLANK Scale=6",,$D44,$AS$4),CI44)</f>
        <v>5655</v>
      </c>
      <c r="CJ44" s="1000" cm="1">
        <f t="array" aca="1" ref="CJ44" ca="1">IF(NPSwitch=1,_xll.TR(CJ$7,CJ$6,"Sdate=#1 Period=#2 NULL=BLANK Scale=6",,$D44,$AS$4),CJ44)</f>
        <v>405.255</v>
      </c>
      <c r="CK44" s="1000" cm="1">
        <f t="array" aca="1" ref="CK44" ca="1">IF(NPSwitch=1,_xll.TR(CK$7,CK$6,"Sdate=#1 Period=#2 NULL=BLANK Scale=6",,$D44,$AS$4),CK44)</f>
        <v>258</v>
      </c>
      <c r="CL44" s="1000" cm="1">
        <f t="array" aca="1" ref="CL44" ca="1">IF(NPSwitch=1,_xll.TR(CL$7,CL$6,"Sdate=#1 Period=#2 NULL=BLANK Scale=6",,$D44,$AS$4),CL44)</f>
        <v>125.8</v>
      </c>
      <c r="CM44" s="1000" cm="1">
        <f t="array" aca="1" ref="CM44" ca="1">IF(NPSwitch=1,_xll.TR(CM$7,CM$6,"Sdate=#1 Period=#2 NULL=BLANK Scale=6",,$D44,$AS$4),CM44)</f>
        <v>893.6</v>
      </c>
      <c r="CN44" s="1000" cm="1">
        <f t="array" aca="1" ref="CN44" ca="1">IF(NPSwitch=1,_xll.TR(CN$7,CN$6,"Sdate=#1 Period=#2 NULL=BLANK Scale=6",,$D44,$AS$4),CN44)</f>
        <v>467.8</v>
      </c>
      <c r="CO44" s="1000" cm="1">
        <f t="array" aca="1" ref="CO44" ca="1">IF(NPSwitch=1,_xll.TR(CO$7,CO$6,"Sdate=#1 Period=#2 NULL=BLANK Scale=6",,$D44,$AS$4),CO44)</f>
        <v>1507</v>
      </c>
      <c r="CP44" s="1000" cm="1">
        <f t="array" aca="1" ref="CP44" ca="1">IF(NPSwitch=1,_xll.TR(CP$7,CP$6,"Sdate=#1 Period=#2 NULL=BLANK Scale=6",,$D44,$AS$4),CP44)</f>
        <v>1692</v>
      </c>
      <c r="CQ44" s="1000" cm="1">
        <f t="array" aca="1" ref="CQ44" ca="1">IF(NPSwitch=1,_xll.TR(CQ$7,CQ$6,"Sdate=#1 Period=#2 NULL=BLANK Scale=6",,$D44,$AS$4),CQ44)</f>
        <v>1034</v>
      </c>
      <c r="CS44" s="1000" cm="1">
        <f t="array" aca="1" ref="CS44" ca="1">IF(NPSwitch=1,_xll.TR(CS$7,CS$6,"Sdate=#1 Period=#2 NULL=BLANK Scale=6",,$D44,$AS$4),CS44)</f>
        <v>5830.75</v>
      </c>
      <c r="CT44" s="1000" cm="1">
        <f t="array" aca="1" ref="CT44" ca="1">IF(NPSwitch=1,_xll.TR(CT$7,CT$6,"Sdate=#1 Period=#2 NULL=BLANK Scale=6",,$D44,$AS$4),CT44)</f>
        <v>979.57650000000001</v>
      </c>
      <c r="CU44" s="1000" cm="1">
        <f t="array" aca="1" ref="CU44" ca="1">IF(NPSwitch=1,_xll.TR(CU$7,CU$6,"Sdate=#1 Period=#2 NULL=BLANK Scale=6",,$D44,$AS$4),CU44)</f>
        <v>951.25</v>
      </c>
      <c r="CV44" s="1000" cm="1">
        <f t="array" aca="1" ref="CV44" ca="1">IF(NPSwitch=1,_xll.TR(CV$7,CV$6,"Sdate=#1 Period=#2 NULL=BLANK Scale=6",,$D44,$AS$4),CV44)</f>
        <v>431.7</v>
      </c>
      <c r="CW44" s="1000" cm="1">
        <f t="array" aca="1" ref="CW44" ca="1">IF(NPSwitch=1,_xll.TR(CW$7,CW$6,"Sdate=#1 Period=#2 NULL=BLANK Scale=6",,$D44,$AS$4),CW44)</f>
        <v>1013.3</v>
      </c>
      <c r="CX44" s="1000" cm="1">
        <f t="array" aca="1" ref="CX44" ca="1">IF(NPSwitch=1,_xll.TR(CX$7,CX$6,"Sdate=#1 Period=#2 NULL=BLANK Scale=6",,$D44,$AS$4),CX44)</f>
        <v>2398.75</v>
      </c>
      <c r="CY44" s="1000" cm="1">
        <f t="array" aca="1" ref="CY44" ca="1">IF(NPSwitch=1,_xll.TR(CY$7,CY$6,"Sdate=#1 Period=#2 NULL=BLANK Scale=6",,$D44,$AS$4),CY44)</f>
        <v>3801</v>
      </c>
      <c r="CZ44" s="1000" cm="1">
        <f t="array" aca="1" ref="CZ44" ca="1">IF(NPSwitch=1,_xll.TR(CZ$7,CZ$6,"Sdate=#1 Period=#2 NULL=BLANK Scale=6",,$D44,$AS$4),CZ44)</f>
        <v>3082</v>
      </c>
      <c r="DA44" s="1000" cm="1">
        <f t="array" aca="1" ref="DA44" ca="1">IF(NPSwitch=1,_xll.TR(DA$7,DA$6,"Sdate=#1 Period=#2 NULL=BLANK Scale=6",,$D44,$AS$4),DA44)</f>
        <v>2092.25</v>
      </c>
      <c r="DB44" s="1000" cm="1">
        <f t="array" aca="1" ref="DB44" ca="1">IF(NPSwitch=1,_xll.TR(DB$7,DB$6,"Sdate=#1 Period=#2 NULL=BLANK Scale=6",,$D44,$AS$4),DB44)</f>
        <v>14897.125</v>
      </c>
      <c r="DC44" s="1000" t="str" cm="1">
        <f t="array" aca="1" ref="DC44" ca="1">IF(NPSwitch=1,_xll.TR(DC$7,DC$6,"Sdate=#1 Period=#2 NULL=BLANK Scale=6",,$D44,$AS$4),DC44)</f>
        <v/>
      </c>
      <c r="DD44" s="1000" t="str" cm="1">
        <f t="array" aca="1" ref="DD44" ca="1">IF(NPSwitch=1,_xll.TR(DD$7,DD$6,"Sdate=#1 Period=#2 NULL=BLANK Scale=6",,$D44,$AS$4),DD44)</f>
        <v/>
      </c>
      <c r="DE44" s="1000" t="str" cm="1">
        <f t="array" aca="1" ref="DE44" ca="1">IF(NPSwitch=1,_xll.TR(DE$7,DE$6,"Sdate=#1 Period=#2 NULL=BLANK Scale=6",,$D44,$AS$4),DE44)</f>
        <v/>
      </c>
      <c r="DF44" s="1000" cm="1">
        <f t="array" aca="1" ref="DF44" ca="1">IF(NPSwitch=1,_xll.TR(DF$7,DF$6,"Sdate=#1 Period=#2 NULL=BLANK Scale=6",,$D44,$AS$4),DF44)</f>
        <v>431.7</v>
      </c>
      <c r="DG44" s="1000" cm="1">
        <f t="array" aca="1" ref="DG44" ca="1">IF(NPSwitch=1,_xll.TR(DG$7,DG$6,"Sdate=#1 Period=#2 NULL=BLANK Scale=6",,$D44,$AS$4),DG44)</f>
        <v>4188.6499999999996</v>
      </c>
      <c r="DH44" s="1000" cm="1">
        <f t="array" aca="1" ref="DH44" ca="1">IF(NPSwitch=1,_xll.TR(DH$7,DH$6,"Sdate=#1 Period=#2 NULL=BLANK Scale=6",,$D44,$AS$4),DH44)</f>
        <v>990.89750000000004</v>
      </c>
      <c r="FN44" s="3" t="s">
        <v>1551</v>
      </c>
    </row>
    <row r="45" spans="3:170" ht="11.25" customHeight="1">
      <c r="C45" s="971">
        <f t="shared" si="44"/>
        <v>39263</v>
      </c>
      <c r="D45" s="974">
        <f t="shared" si="43"/>
        <v>39308</v>
      </c>
      <c r="E45" s="765" cm="1">
        <f t="array" aca="1" ref="E45" ca="1">IF(NPSwitch=1,_xll.TR(E$7,E$6,"Sdate=#1 Period=#2 NULL=BLANK",,$D45,$E$4),E45)</f>
        <v>9.3667680771454496</v>
      </c>
      <c r="F45" s="765" cm="1">
        <f t="array" aca="1" ref="F45" ca="1">IF(NPSwitch=1,_xll.TR(F$7,F$6,"Sdate=#1 Period=#2 NULL=BLANK",,$D45,$E$4),F45)</f>
        <v>8.5655321039092804</v>
      </c>
      <c r="G45" s="765" cm="1">
        <f t="array" aca="1" ref="G45" ca="1">IF(NPSwitch=1,_xll.TR(G$7,G$6,"Sdate=#1 Period=#2 NULL=BLANK",,$D45,$E$4),G45)</f>
        <v>6.2734104702231699</v>
      </c>
      <c r="H45" s="765" cm="1">
        <f t="array" aca="1" ref="H45" ca="1">IF(NPSwitch=1,_xll.TR(H$7,H$6,"Sdate=#1 Period=#2 NULL=BLANK",,$D45,$E$4),H45)</f>
        <v>5.8049697285737896</v>
      </c>
      <c r="I45" s="765" cm="1">
        <f t="array" aca="1" ref="I45" ca="1">IF(NPSwitch=1,_xll.TR(I$7,I$6,"Sdate=#1 Period=#2 NULL=BLANK",,$D45,$E$4),I45)</f>
        <v>8.4220540623109894</v>
      </c>
      <c r="J45" s="765" cm="1">
        <f t="array" aca="1" ref="J45" ca="1">IF(NPSwitch=1,_xll.TR(J$7,J$6,"Sdate=#1 Period=#2 NULL=BLANK",,$D45,$E$4),J45)</f>
        <v>7.4153863760625001</v>
      </c>
      <c r="K45" s="765" cm="1">
        <f t="array" aca="1" ref="K45" ca="1">IF(NPSwitch=1,_xll.TR(K$7,K$6,"Sdate=#1 Period=#2 NULL=BLANK",,$D45,$E$4),K45)</f>
        <v>6.6398816165646597</v>
      </c>
      <c r="L45" s="765" cm="1">
        <f t="array" aca="1" ref="L45" ca="1">IF(NPSwitch=1,_xll.TR(L$7,L$6,"Sdate=#1 Period=#2 NULL=BLANK",,$D45,$E$4),L45)</f>
        <v>6.6308053145779002</v>
      </c>
      <c r="M45" s="765" cm="1">
        <f t="array" aca="1" ref="M45" ca="1">IF(NPSwitch=1,_xll.TR(M$7,M$6,"Sdate=#1 Period=#2 NULL=BLANK",,$D45,$E$4),M45)</f>
        <v>6.2204451120573099</v>
      </c>
      <c r="N45" s="1002">
        <f t="shared" ca="1" si="45"/>
        <v>6.8644179280521671</v>
      </c>
      <c r="O45" s="1000" cm="1">
        <f t="array" aca="1" ref="O45" ca="1">IF(NPSwitch=1,_xll.TR(O$7,O$6,"Sdate=#1 Period=#2 Scale=6 NULL=BLANK",,$D45,$O$4),O45)</f>
        <v>61388.013278719998</v>
      </c>
      <c r="P45" s="1000" cm="1">
        <f t="array" aca="1" ref="P45" ca="1">IF(NPSwitch=1,_xll.TR(P$7,P$6,"Sdate=#1 Period=#2 Scale=6 NULL=BLANK",,$D45,$O$4),P45)</f>
        <v>3525.89138283999</v>
      </c>
      <c r="Q45" s="1000" cm="1">
        <f t="array" aca="1" ref="Q45" ca="1">IF(NPSwitch=1,_xll.TR(Q$7,Q$6,"Sdate=#1 Period=#2 Scale=6 NULL=BLANK",,$D45,$O$4),Q45)</f>
        <v>3532.0584353199902</v>
      </c>
      <c r="R45" s="1000" cm="1">
        <f t="array" aca="1" ref="R45" ca="1">IF(NPSwitch=1,_xll.TR(R$7,R$6,"Sdate=#1 Period=#2 Scale=6 NULL=BLANK",,$D45,$O$4),R45)</f>
        <v>712.65340837999997</v>
      </c>
      <c r="S45" s="1000" cm="1">
        <f t="array" aca="1" ref="S45" ca="1">IF(NPSwitch=1,_xll.TR(S$7,S$6,"Sdate=#1 Period=#2 Scale=6 NULL=BLANK",,$D45,$O$4),S45)</f>
        <v>5383.6232627500003</v>
      </c>
      <c r="T45" s="1000" cm="1">
        <f t="array" aca="1" ref="T45" ca="1">IF(NPSwitch=1,_xll.TR(T$7,T$6,"Sdate=#1 Period=#2 Scale=6 NULL=BLANK",,$D45,$O$4),T45)</f>
        <v>3361.1727338999899</v>
      </c>
      <c r="U45" s="1000" cm="1">
        <f t="array" aca="1" ref="U45" ca="1">IF(NPSwitch=1,_xll.TR(U$7,U$6,"Sdate=#1 Period=#2 Scale=6 NULL=BLANK",,$D45,$O$4),U45)</f>
        <v>11857.67899368</v>
      </c>
      <c r="V45" s="1000" cm="1">
        <f t="array" aca="1" ref="V45" ca="1">IF(NPSwitch=1,_xll.TR(V$7,V$6,"Sdate=#1 Period=#2 Scale=6 NULL=BLANK",,$D45,$O$4),V45)</f>
        <v>8894.4659763299605</v>
      </c>
      <c r="W45" s="1000" cm="1">
        <f t="array" aca="1" ref="W45" ca="1">IF(NPSwitch=1,_xll.TR(W$7,W$6,"Sdate=#1 Period=#2 Scale=6 NULL=BLANK",,$D45,$O$4),W45)</f>
        <v>5469.6935051999999</v>
      </c>
      <c r="X45" s="998"/>
      <c r="Y45" s="1000" cm="1">
        <f t="array" aca="1" ref="Y45" ca="1">IF(NPSwitch=1,_xll.TR(Y$7,Y$6,"Sdate=#1 Period=#2 Scale=6 NULL=BLANK",,$D45,$O$4),Y45)</f>
        <v>1803</v>
      </c>
      <c r="Z45" s="1000" cm="1">
        <f t="array" aca="1" ref="Z45" ca="1">IF(NPSwitch=1,_xll.TR(Z$7,Z$6,"Sdate=#1 Period=#2 Scale=6 NULL=BLANK",,$D45,$O$4),Z45)</f>
        <v>141.124</v>
      </c>
      <c r="AA45" s="1000" cm="1">
        <f t="array" aca="1" ref="AA45" ca="1">IF(NPSwitch=1,_xll.TR(AA$7,AA$6,"Sdate=#1 Period=#2 Scale=6 NULL=BLANK",,$D45,$O$4),AA45)</f>
        <v>1266.25</v>
      </c>
      <c r="AB45" s="1000" cm="1">
        <f t="array" aca="1" ref="AB45" ca="1">IF(NPSwitch=1,_xll.TR(AB$7,AB$6,"Sdate=#1 Period=#2 Scale=6 NULL=BLANK",,$D45,$O$4),AB45)</f>
        <v>71.650000000000006</v>
      </c>
      <c r="AC45" s="1000" cm="1">
        <f t="array" aca="1" ref="AC45" ca="1">IF(NPSwitch=1,_xll.TR(AC$7,AC$6,"Sdate=#1 Period=#2 Scale=6 NULL=BLANK",,$D45,$O$4),AC45)</f>
        <v>205</v>
      </c>
      <c r="AD45" s="1000" cm="1">
        <f t="array" aca="1" ref="AD45" ca="1">IF(NPSwitch=1,_xll.TR(AD$7,AD$6,"Sdate=#1 Period=#2 Scale=6 NULL=BLANK",,$D45,$O$4),AD45)</f>
        <v>133.85</v>
      </c>
      <c r="AE45" s="1000" cm="1">
        <f t="array" aca="1" ref="AE45" ca="1">IF(NPSwitch=1,_xll.TR(AE$7,AE$6,"Sdate=#1 Period=#2 Scale=6 NULL=BLANK",,$D45,$O$4),AE45)</f>
        <v>284.5</v>
      </c>
      <c r="AF45" s="1000" cm="1">
        <f t="array" aca="1" ref="AF45" ca="1">IF(NPSwitch=1,_xll.TR(AF$7,AF$6,"Sdate=#1 Period=#2 Scale=6 NULL=BLANK",,$D45,$O$4),AF45)</f>
        <v>458.25</v>
      </c>
      <c r="AG45" s="1000" t="str" cm="1">
        <f t="array" aca="1" ref="AG45" ca="1">IF(NPSwitch=1,_xll.TR(AG$7,AG$6,"Sdate=#1 Period=#2 Scale=6 NULL=BLANK",,$D45,$O$4),AG45)</f>
        <v/>
      </c>
      <c r="AH45" s="998"/>
      <c r="AI45" s="1000" cm="1">
        <f t="array" aca="1" ref="AI45" ca="1">IF(NPSwitch=1,_xll.TR(AI$7,AI$6,"Sdate=#1 Period=#2 Scale=6 NULL=BLANK",,$D45,$O$4),AI45)</f>
        <v>64222.013278719998</v>
      </c>
      <c r="AJ45" s="1000" cm="1">
        <f t="array" aca="1" ref="AJ45" ca="1">IF(NPSwitch=1,_xll.TR(AJ$7,AJ$6,"Sdate=#1 Period=#2 Scale=6 NULL=BLANK",,$D45,$O$4),AJ45)</f>
        <v>4160.2623828400001</v>
      </c>
      <c r="AK45" s="1000" cm="1">
        <f t="array" aca="1" ref="AK45" ca="1">IF(NPSwitch=1,_xll.TR(AK$7,AK$6,"Sdate=#1 Period=#2 Scale=6 NULL=BLANK",,$D45,$O$4),AK45)</f>
        <v>2613.0584353200002</v>
      </c>
      <c r="AL45" s="1000" cm="1">
        <f t="array" aca="1" ref="AL45" ca="1">IF(NPSwitch=1,_xll.TR(AL$7,AL$6,"Sdate=#1 Period=#2 Scale=6 NULL=BLANK",,$D45,$O$4),AL45)</f>
        <v>1168.15340838</v>
      </c>
      <c r="AM45" s="1000" cm="1">
        <f t="array" aca="1" ref="AM45" ca="1">IF(NPSwitch=1,_xll.TR(AM$7,AM$6,"Sdate=#1 Period=#2 Scale=6 NULL=BLANK",,$D45,$O$4),AM45)</f>
        <v>9310.9232627500005</v>
      </c>
      <c r="AN45" s="1000" cm="1">
        <f t="array" aca="1" ref="AN45" ca="1">IF(NPSwitch=1,_xll.TR(AN$7,AN$6,"Sdate=#1 Period=#2 Scale=6 NULL=BLANK",,$D45,$O$4),AN45)</f>
        <v>3954.8727339000002</v>
      </c>
      <c r="AO45" s="1000" cm="1">
        <f t="array" aca="1" ref="AO45" ca="1">IF(NPSwitch=1,_xll.TR(AO$7,AO$6,"Sdate=#1 Period=#2 Scale=6 NULL=BLANK",,$D45,$O$4),AO45)</f>
        <v>13211.67899368</v>
      </c>
      <c r="AP45" s="1000" cm="1">
        <f t="array" aca="1" ref="AP45" ca="1">IF(NPSwitch=1,_xll.TR(AP$7,AP$6,"Sdate=#1 Period=#2 Scale=6 NULL=BLANK",,$D45,$O$4),AP45)</f>
        <v>10814.465976330001</v>
      </c>
      <c r="AQ45" s="1000" cm="1">
        <f t="array" aca="1" ref="AQ45" ca="1">IF(NPSwitch=1,_xll.TR(AQ$7,AQ$6,"Sdate=#1 Period=#2 Scale=6 NULL=BLANK",,$D45,$O$4),AQ45)</f>
        <v>6178.6935051999999</v>
      </c>
      <c r="AS45" s="765" t="str" cm="1">
        <f t="array" aca="1" ref="AS45" ca="1">IF(NPSwitch=1,_xll.TR(AS$7,AS$6,"Sdate=#1 Period=#2 NULL=BLANK Scale=6",,$D45,$AS$4),AS45)</f>
        <v/>
      </c>
      <c r="AT45" s="765" t="str" cm="1">
        <f t="array" aca="1" ref="AT45" ca="1">IF(NPSwitch=1,_xll.TR(AT$7,AT$6,"Sdate=#1 Period=#2 NULL=BLANK Scale=6",,$D45,$AS$4),AT45)</f>
        <v/>
      </c>
      <c r="AU45" s="765" t="str" cm="1">
        <f t="array" aca="1" ref="AU45" ca="1">IF(NPSwitch=1,_xll.TR(AU$7,AU$6,"Sdate=#1 Period=#2 NULL=BLANK Scale=6",,$D45,$AS$4),AU45)</f>
        <v/>
      </c>
      <c r="AV45" s="765" t="str" cm="1">
        <f t="array" aca="1" ref="AV45" ca="1">IF(NPSwitch=1,_xll.TR(AV$7,AV$6,"Sdate=#1 Period=#2 NULL=BLANK Scale=6",,$D45,$AS$4),AV45)</f>
        <v/>
      </c>
      <c r="AW45" s="765" t="str" cm="1">
        <f t="array" aca="1" ref="AW45" ca="1">IF(NPSwitch=1,_xll.TR(AW$7,AW$6,"Sdate=#1 Period=#2 NULL=BLANK Scale=6",,$D45,$AS$4),AW45)</f>
        <v/>
      </c>
      <c r="AX45" s="765" t="str" cm="1">
        <f t="array" aca="1" ref="AX45" ca="1">IF(NPSwitch=1,_xll.TR(AX$7,AX$6,"Sdate=#1 Period=#2 NULL=BLANK Scale=6",,$D45,$AS$4),AX45)</f>
        <v/>
      </c>
      <c r="AY45" s="765" t="str" cm="1">
        <f t="array" aca="1" ref="AY45" ca="1">IF(NPSwitch=1,_xll.TR(AY$7,AY$6,"Sdate=#1 Period=#2 NULL=BLANK Scale=6",,$D45,$AS$4),AY45)</f>
        <v/>
      </c>
      <c r="AZ45" s="765" t="str" cm="1">
        <f t="array" aca="1" ref="AZ45" ca="1">IF(NPSwitch=1,_xll.TR(AZ$7,AZ$6,"Sdate=#1 Period=#2 NULL=BLANK Scale=6",,$D45,$AS$4),AZ45)</f>
        <v/>
      </c>
      <c r="BA45" s="765" t="str" cm="1">
        <f t="array" aca="1" ref="BA45" ca="1">IF(NPSwitch=1,_xll.TR(BA$7,BA$6,"Sdate=#1 Period=#2 NULL=BLANK Scale=6",,$D45,$AS$4),BA45)</f>
        <v/>
      </c>
      <c r="BB45" s="1002"/>
      <c r="BC45" s="765" cm="1">
        <f t="array" aca="1" ref="BC45" ca="1">IF(NPSwitch=1,_xll.TR(BC$7,BC$6,"Sdate=#1 Period=#2 NULL=BLANK",,$D45,$BC$4),BC45)</f>
        <v>10.968746931</v>
      </c>
      <c r="BD45" s="765" cm="1">
        <f t="array" aca="1" ref="BD45" ca="1">IF(NPSwitch=1,_xll.TR(BD$7,BD$6,"Sdate=#1 Period=#2 NULL=BLANK",,$D45,$BC$4),BD45)</f>
        <v>9.7694746250000009</v>
      </c>
      <c r="BE45" s="765" cm="1">
        <f t="array" aca="1" ref="BE45" ca="1">IF(NPSwitch=1,_xll.TR(BE$7,BE$6,"Sdate=#1 Period=#2 NULL=BLANK",,$D45,$BC$4),BE45)</f>
        <v>8.6812572600000006</v>
      </c>
      <c r="BF45" s="765" cm="1">
        <f t="array" aca="1" ref="BF45" ca="1">IF(NPSwitch=1,_xll.TR(BF$7,BF$6,"Sdate=#1 Period=#2 NULL=BLANK",,$D45,$BC$4),BF45)</f>
        <v>10.571524058</v>
      </c>
      <c r="BG45" s="765" t="str" cm="1">
        <f t="array" aca="1" ref="BG45" ca="1">IF(NPSwitch=1,_xll.TR(BG$7,BG$6,"Sdate=#1 Period=#2 NULL=BLANK",,$D45,$BC$4),BG45)</f>
        <v/>
      </c>
      <c r="BH45" s="765" cm="1">
        <f t="array" aca="1" ref="BH45" ca="1">IF(NPSwitch=1,_xll.TR(BH$7,BH$6,"Sdate=#1 Period=#2 NULL=BLANK",,$D45,$BC$4),BH45)</f>
        <v>8.1493359450000007</v>
      </c>
      <c r="BI45" s="765" cm="1">
        <f t="array" aca="1" ref="BI45" ca="1">IF(NPSwitch=1,_xll.TR(BI$7,BI$6,"Sdate=#1 Period=#2 NULL=BLANK",,$D45,$BC$4),BI45)</f>
        <v>8.7552544690000005</v>
      </c>
      <c r="BJ45" s="765" cm="1">
        <f t="array" aca="1" ref="BJ45" ca="1">IF(NPSwitch=1,_xll.TR(BJ$7,BJ$6,"Sdate=#1 Period=#2 NULL=BLANK",,$D45,$BC$4),BJ45)</f>
        <v>6.4834927919999998</v>
      </c>
      <c r="BK45" s="765" cm="1">
        <f t="array" aca="1" ref="BK45" ca="1">IF(NPSwitch=1,_xll.TR(BK$7,BK$6,"Sdate=#1 Period=#2 NULL=BLANK",,$D45,$BC$4),BK45)</f>
        <v>6.0933861</v>
      </c>
      <c r="BM45" s="1014"/>
      <c r="BO45" s="765" cm="1">
        <f t="array" aca="1" ref="BO45" ca="1">IF(NPSwitch=1,_xll.TR(BO$7,BO$6,"Sdate=#1 Period=#2 NULL=BLANK Scale=6",,$D45,$AS$4),BO45)</f>
        <v>23719</v>
      </c>
      <c r="BP45" s="765" cm="1">
        <f t="array" aca="1" ref="BP45" ca="1">IF(NPSwitch=1,_xll.TR(BP$7,BP$6,"Sdate=#1 Period=#2 NULL=BLANK Scale=6",,$D45,$AS$4),BP45)</f>
        <v>2345.4050000000002</v>
      </c>
      <c r="BQ45" s="765" cm="1">
        <f t="array" aca="1" ref="BQ45" ca="1">IF(NPSwitch=1,_xll.TR(BQ$7,BQ$6,"Sdate=#1 Period=#2 NULL=BLANK Scale=6",,$D45,$AS$4),BQ45)</f>
        <v>7609</v>
      </c>
      <c r="BR45" s="765" cm="1">
        <f t="array" aca="1" ref="BR45" ca="1">IF(NPSwitch=1,_xll.TR(BR$7,BR$6,"Sdate=#1 Period=#2 NULL=BLANK Scale=6",,$D45,$AS$4),BR45)</f>
        <v>2608</v>
      </c>
      <c r="BS45" s="765" cm="1">
        <f t="array" aca="1" ref="BS45" ca="1">IF(NPSwitch=1,_xll.TR(BS$7,BS$6,"Sdate=#1 Period=#2 NULL=BLANK Scale=6",,$D45,$AS$4),BS45)</f>
        <v>8766</v>
      </c>
      <c r="BT45" s="765" cm="1">
        <f t="array" aca="1" ref="BT45" ca="1">IF(NPSwitch=1,_xll.TR(BT$7,BT$6,"Sdate=#1 Period=#2 NULL=BLANK Scale=6",,$D45,$AS$4),BT45)</f>
        <v>2491.5</v>
      </c>
      <c r="BU45" s="765" cm="1">
        <f t="array" aca="1" ref="BU45" ca="1">IF(NPSwitch=1,_xll.TR(BU$7,BU$6,"Sdate=#1 Period=#2 NULL=BLANK Scale=6",,$D45,$AS$4),BU45)</f>
        <v>11047</v>
      </c>
      <c r="BV45" s="765" cm="1">
        <f t="array" aca="1" ref="BV45" ca="1">IF(NPSwitch=1,_xll.TR(BV$7,BV$6,"Sdate=#1 Period=#2 NULL=BLANK Scale=6",,$D45,$AS$4),BV45)</f>
        <v>9462</v>
      </c>
      <c r="BW45" s="765" cm="1">
        <f t="array" aca="1" ref="BW45" ca="1">IF(NPSwitch=1,_xll.TR(BW$7,BW$6,"Sdate=#1 Period=#2 NULL=BLANK Scale=6",,$D45,$AS$4),BW45)</f>
        <v>6961</v>
      </c>
      <c r="BX45" s="1002"/>
      <c r="BY45" s="765" cm="1">
        <f t="array" aca="1" ref="BY45" ca="1">IF(NPSwitch=1,_xll.TR(BY$7,BY$6,"Sdate=#1 Period=#2 NULL=BLANK Scale=6",,$D45,$AS$4),BY45)</f>
        <v>14414.5</v>
      </c>
      <c r="BZ45" s="765" cm="1">
        <f t="array" aca="1" ref="BZ45" ca="1">IF(NPSwitch=1,_xll.TR(BZ$7,BZ$6,"Sdate=#1 Period=#2 NULL=BLANK Scale=6",,$D45,$AS$4),BZ45)</f>
        <v>1827.19175</v>
      </c>
      <c r="CA45" s="765" cm="1">
        <f t="array" aca="1" ref="CA45" ca="1">IF(NPSwitch=1,_xll.TR(CA$7,CA$6,"Sdate=#1 Period=#2 NULL=BLANK Scale=6",,$D45,$AS$4),CA45)</f>
        <v>3059.75</v>
      </c>
      <c r="CB45" s="765" cm="1">
        <f t="array" aca="1" ref="CB45" ca="1">IF(NPSwitch=1,_xll.TR(CB$7,CB$6,"Sdate=#1 Period=#2 NULL=BLANK Scale=6",,$D45,$AS$4),CB45)</f>
        <v>1156.7750000000001</v>
      </c>
      <c r="CC45" s="765" cm="1">
        <f t="array" aca="1" ref="CC45" ca="1">IF(NPSwitch=1,_xll.TR(CC$7,CC$6,"Sdate=#1 Period=#2 NULL=BLANK Scale=6",,$D45,$AS$4),CC45)</f>
        <v>5658.9750000000004</v>
      </c>
      <c r="CD45" s="765" cm="1">
        <f t="array" aca="1" ref="CD45" ca="1">IF(NPSwitch=1,_xll.TR(CD$7,CD$6,"Sdate=#1 Period=#2 NULL=BLANK Scale=6",,$D45,$AS$4),CD45)</f>
        <v>1719.2</v>
      </c>
      <c r="CE45" s="765" cm="1">
        <f t="array" aca="1" ref="CE45" ca="1">IF(NPSwitch=1,_xll.TR(CE$7,CE$6,"Sdate=#1 Period=#2 NULL=BLANK Scale=6",,$D45,$AS$4),CE45)</f>
        <v>4980.75</v>
      </c>
      <c r="CF45" s="765" cm="1">
        <f t="array" aca="1" ref="CF45" ca="1">IF(NPSwitch=1,_xll.TR(CF$7,CF$6,"Sdate=#1 Period=#2 NULL=BLANK Scale=6",,$D45,$AS$4),CF45)</f>
        <v>6501.25</v>
      </c>
      <c r="CG45" s="765" cm="1">
        <f t="array" aca="1" ref="CG45" ca="1">IF(NPSwitch=1,_xll.TR(CG$7,CG$6,"Sdate=#1 Period=#2 NULL=BLANK Scale=6",,$D45,$AS$4),CG45)</f>
        <v>3670.5</v>
      </c>
      <c r="CI45" s="1000" cm="1">
        <f t="array" aca="1" ref="CI45" ca="1">IF(NPSwitch=1,_xll.TR(CI$7,CI$6,"Sdate=#1 Period=#2 NULL=BLANK Scale=6",,$D45,$AS$4),CI45)</f>
        <v>5855</v>
      </c>
      <c r="CJ45" s="1000" cm="1">
        <f t="array" aca="1" ref="CJ45" ca="1">IF(NPSwitch=1,_xll.TR(CJ$7,CJ$6,"Sdate=#1 Period=#2 NULL=BLANK Scale=6",,$D45,$AS$4),CJ45)</f>
        <v>425.84300000000002</v>
      </c>
      <c r="CK45" s="1000" cm="1">
        <f t="array" aca="1" ref="CK45" ca="1">IF(NPSwitch=1,_xll.TR(CK$7,CK$6,"Sdate=#1 Period=#2 NULL=BLANK Scale=6",,$D45,$AS$4),CK45)</f>
        <v>301</v>
      </c>
      <c r="CL45" s="1000" cm="1">
        <f t="array" aca="1" ref="CL45" ca="1">IF(NPSwitch=1,_xll.TR(CL$7,CL$6,"Sdate=#1 Period=#2 NULL=BLANK Scale=6",,$D45,$AS$4),CL45)</f>
        <v>110.5</v>
      </c>
      <c r="CM45" s="1000" cm="1">
        <f t="array" aca="1" ref="CM45" ca="1">IF(NPSwitch=1,_xll.TR(CM$7,CM$6,"Sdate=#1 Period=#2 NULL=BLANK Scale=6",,$D45,$AS$4),CM45)</f>
        <v>799.4</v>
      </c>
      <c r="CN45" s="1000" cm="1">
        <f t="array" aca="1" ref="CN45" ca="1">IF(NPSwitch=1,_xll.TR(CN$7,CN$6,"Sdate=#1 Period=#2 NULL=BLANK Scale=6",,$D45,$AS$4),CN45)</f>
        <v>485.3</v>
      </c>
      <c r="CO45" s="1000" cm="1">
        <f t="array" aca="1" ref="CO45" ca="1">IF(NPSwitch=1,_xll.TR(CO$7,CO$6,"Sdate=#1 Period=#2 NULL=BLANK Scale=6",,$D45,$AS$4),CO45)</f>
        <v>1509</v>
      </c>
      <c r="CP45" s="1000" cm="1">
        <f t="array" aca="1" ref="CP45" ca="1">IF(NPSwitch=1,_xll.TR(CP$7,CP$6,"Sdate=#1 Period=#2 NULL=BLANK Scale=6",,$D45,$AS$4),CP45)</f>
        <v>1668</v>
      </c>
      <c r="CQ45" s="1000" cm="1">
        <f t="array" aca="1" ref="CQ45" ca="1">IF(NPSwitch=1,_xll.TR(CQ$7,CQ$6,"Sdate=#1 Period=#2 NULL=BLANK Scale=6",,$D45,$AS$4),CQ45)</f>
        <v>1012</v>
      </c>
      <c r="CS45" s="1000" cm="1">
        <f t="array" aca="1" ref="CS45" ca="1">IF(NPSwitch=1,_xll.TR(CS$7,CS$6,"Sdate=#1 Period=#2 NULL=BLANK Scale=6",,$D45,$AS$4),CS45)</f>
        <v>5949.75</v>
      </c>
      <c r="CT45" s="1000" cm="1">
        <f t="array" aca="1" ref="CT45" ca="1">IF(NPSwitch=1,_xll.TR(CT$7,CT$6,"Sdate=#1 Period=#2 NULL=BLANK Scale=6",,$D45,$AS$4),CT45)</f>
        <v>980.42399999999998</v>
      </c>
      <c r="CU45" s="1000" cm="1">
        <f t="array" aca="1" ref="CU45" ca="1">IF(NPSwitch=1,_xll.TR(CU$7,CU$6,"Sdate=#1 Period=#2 NULL=BLANK Scale=6",,$D45,$AS$4),CU45)</f>
        <v>959.75</v>
      </c>
      <c r="CV45" s="1000" cm="1">
        <f t="array" aca="1" ref="CV45" ca="1">IF(NPSwitch=1,_xll.TR(CV$7,CV$6,"Sdate=#1 Period=#2 NULL=BLANK Scale=6",,$D45,$AS$4),CV45)</f>
        <v>435.75</v>
      </c>
      <c r="CW45" s="1000" cm="1">
        <f t="array" aca="1" ref="CW45" ca="1">IF(NPSwitch=1,_xll.TR(CW$7,CW$6,"Sdate=#1 Period=#2 NULL=BLANK Scale=6",,$D45,$AS$4),CW45)</f>
        <v>999.55</v>
      </c>
      <c r="CX45" s="1000" cm="1">
        <f t="array" aca="1" ref="CX45" ca="1">IF(NPSwitch=1,_xll.TR(CX$7,CX$6,"Sdate=#1 Period=#2 NULL=BLANK Scale=6",,$D45,$AS$4),CX45)</f>
        <v>2441.5</v>
      </c>
      <c r="CY45" s="1000" cm="1">
        <f t="array" aca="1" ref="CY45" ca="1">IF(NPSwitch=1,_xll.TR(CY$7,CY$6,"Sdate=#1 Period=#2 NULL=BLANK Scale=6",,$D45,$AS$4),CY45)</f>
        <v>3848</v>
      </c>
      <c r="CZ45" s="1000" cm="1">
        <f t="array" aca="1" ref="CZ45" ca="1">IF(NPSwitch=1,_xll.TR(CZ$7,CZ$6,"Sdate=#1 Period=#2 NULL=BLANK Scale=6",,$D45,$AS$4),CZ45)</f>
        <v>3039.75</v>
      </c>
      <c r="DA45" s="1000" cm="1">
        <f t="array" aca="1" ref="DA45" ca="1">IF(NPSwitch=1,_xll.TR(DA$7,DA$6,"Sdate=#1 Period=#2 NULL=BLANK Scale=6",,$D45,$AS$4),DA45)</f>
        <v>2115.75</v>
      </c>
      <c r="DB45" s="1000" cm="1">
        <f t="array" aca="1" ref="DB45" ca="1">IF(NPSwitch=1,_xll.TR(DB$7,DB$6,"Sdate=#1 Period=#2 NULL=BLANK Scale=6",,$D45,$AS$4),DB45)</f>
        <v>14901.375</v>
      </c>
      <c r="DC45" s="1000" t="str" cm="1">
        <f t="array" aca="1" ref="DC45" ca="1">IF(NPSwitch=1,_xll.TR(DC$7,DC$6,"Sdate=#1 Period=#2 NULL=BLANK Scale=6",,$D45,$AS$4),DC45)</f>
        <v/>
      </c>
      <c r="DD45" s="1000" t="str" cm="1">
        <f t="array" aca="1" ref="DD45" ca="1">IF(NPSwitch=1,_xll.TR(DD$7,DD$6,"Sdate=#1 Period=#2 NULL=BLANK Scale=6",,$D45,$AS$4),DD45)</f>
        <v/>
      </c>
      <c r="DE45" s="1000" t="str" cm="1">
        <f t="array" aca="1" ref="DE45" ca="1">IF(NPSwitch=1,_xll.TR(DE$7,DE$6,"Sdate=#1 Period=#2 NULL=BLANK Scale=6",,$D45,$AS$4),DE45)</f>
        <v/>
      </c>
      <c r="DF45" s="1000" cm="1">
        <f t="array" aca="1" ref="DF45" ca="1">IF(NPSwitch=1,_xll.TR(DF$7,DF$6,"Sdate=#1 Period=#2 NULL=BLANK Scale=6",,$D45,$AS$4),DF45)</f>
        <v>435.75</v>
      </c>
      <c r="DG45" s="1000" cm="1">
        <f t="array" aca="1" ref="DG45" ca="1">IF(NPSwitch=1,_xll.TR(DG$7,DG$6,"Sdate=#1 Period=#2 NULL=BLANK Scale=6",,$D45,$AS$4),DG45)</f>
        <v>3983.3249999999998</v>
      </c>
      <c r="DH45" s="1000" cm="1">
        <f t="array" aca="1" ref="DH45" ca="1">IF(NPSwitch=1,_xll.TR(DH$7,DH$6,"Sdate=#1 Period=#2 NULL=BLANK Scale=6",,$D45,$AS$4),DH45)</f>
        <v>1037.4179999999999</v>
      </c>
      <c r="FN45" s="3" t="s">
        <v>1552</v>
      </c>
    </row>
    <row r="46" spans="3:170" ht="11.25" customHeight="1">
      <c r="C46" s="972">
        <f t="shared" si="44"/>
        <v>39355</v>
      </c>
      <c r="D46" s="974">
        <f t="shared" si="43"/>
        <v>39400</v>
      </c>
      <c r="E46" s="765" cm="1">
        <f t="array" aca="1" ref="E46" ca="1">IF(NPSwitch=1,_xll.TR(E$7,E$6,"Sdate=#1 Period=#2 NULL=BLANK",,$D46,$E$4),E46)</f>
        <v>8.6546643079509096</v>
      </c>
      <c r="F46" s="765" cm="1">
        <f t="array" aca="1" ref="F46" ca="1">IF(NPSwitch=1,_xll.TR(F$7,F$6,"Sdate=#1 Period=#2 NULL=BLANK",,$D46,$E$4),F46)</f>
        <v>9.7113922815759093</v>
      </c>
      <c r="G46" s="765" cm="1">
        <f t="array" aca="1" ref="G46" ca="1">IF(NPSwitch=1,_xll.TR(G$7,G$6,"Sdate=#1 Period=#2 NULL=BLANK",,$D46,$E$4),G46)</f>
        <v>6.0424250075812296</v>
      </c>
      <c r="H46" s="765" t="str" cm="1">
        <f t="array" aca="1" ref="H46" ca="1">IF(NPSwitch=1,_xll.TR(H$7,H$6,"Sdate=#1 Period=#2 NULL=BLANK",,$D46,$E$4),H46)</f>
        <v/>
      </c>
      <c r="I46" s="765" cm="1">
        <f t="array" aca="1" ref="I46" ca="1">IF(NPSwitch=1,_xll.TR(I$7,I$6,"Sdate=#1 Period=#2 NULL=BLANK",,$D46,$E$4),I46)</f>
        <v>8.8673892414755606</v>
      </c>
      <c r="J46" s="765" cm="1">
        <f t="array" aca="1" ref="J46" ca="1">IF(NPSwitch=1,_xll.TR(J$7,J$6,"Sdate=#1 Period=#2 NULL=BLANK",,$D46,$E$4),J46)</f>
        <v>7.8752590576412604</v>
      </c>
      <c r="K46" s="765" cm="1">
        <f t="array" aca="1" ref="K46" ca="1">IF(NPSwitch=1,_xll.TR(K$7,K$6,"Sdate=#1 Period=#2 NULL=BLANK",,$D46,$E$4),K46)</f>
        <v>5.8775416540754604</v>
      </c>
      <c r="L46" s="765" cm="1">
        <f t="array" aca="1" ref="L46" ca="1">IF(NPSwitch=1,_xll.TR(L$7,L$6,"Sdate=#1 Period=#2 NULL=BLANK",,$D46,$E$4),L46)</f>
        <v>6.0402358978111304</v>
      </c>
      <c r="M46" s="765" cm="1">
        <f t="array" aca="1" ref="M46" ca="1">IF(NPSwitch=1,_xll.TR(M$7,M$6,"Sdate=#1 Period=#2 NULL=BLANK",,$D46,$E$4),M46)</f>
        <v>6.1587363369563999</v>
      </c>
      <c r="N46" s="1002">
        <f t="shared" ca="1" si="45"/>
        <v>6.9405701717169297</v>
      </c>
      <c r="O46" s="1000" cm="1">
        <f t="array" aca="1" ref="O46" ca="1">IF(NPSwitch=1,_xll.TR(O$7,O$6,"Sdate=#1 Period=#2 Scale=6 NULL=BLANK",,$D46,$O$4),O46)</f>
        <v>57208.0959243299</v>
      </c>
      <c r="P46" s="1000" cm="1">
        <f t="array" aca="1" ref="P46" ca="1">IF(NPSwitch=1,_xll.TR(P$7,P$6,"Sdate=#1 Period=#2 Scale=6 NULL=BLANK",,$D46,$O$4),P46)</f>
        <v>4130.2609320000001</v>
      </c>
      <c r="Q46" s="1000" cm="1">
        <f t="array" aca="1" ref="Q46" ca="1">IF(NPSwitch=1,_xll.TR(Q$7,Q$6,"Sdate=#1 Period=#2 Scale=6 NULL=BLANK",,$D46,$O$4),Q46)</f>
        <v>3356.5646016000001</v>
      </c>
      <c r="R46" s="1000" cm="1">
        <f t="array" aca="1" ref="R46" ca="1">IF(NPSwitch=1,_xll.TR(R$7,R$6,"Sdate=#1 Period=#2 Scale=6 NULL=BLANK",,$D46,$O$4),R46)</f>
        <v>617.13454178999996</v>
      </c>
      <c r="S46" s="1000" cm="1">
        <f t="array" aca="1" ref="S46" ca="1">IF(NPSwitch=1,_xll.TR(S$7,S$6,"Sdate=#1 Period=#2 Scale=6 NULL=BLANK",,$D46,$O$4),S46)</f>
        <v>5663.6578536400002</v>
      </c>
      <c r="T46" s="1000" cm="1">
        <f t="array" aca="1" ref="T46" ca="1">IF(NPSwitch=1,_xll.TR(T$7,T$6,"Sdate=#1 Period=#2 Scale=6 NULL=BLANK",,$D46,$O$4),T46)</f>
        <v>4017.9865013200001</v>
      </c>
      <c r="U46" s="1000" cm="1">
        <f t="array" aca="1" ref="U46" ca="1">IF(NPSwitch=1,_xll.TR(U$7,U$6,"Sdate=#1 Period=#2 Scale=6 NULL=BLANK",,$D46,$O$4),U46)</f>
        <v>11147.66673888</v>
      </c>
      <c r="V46" s="1000" cm="1">
        <f t="array" aca="1" ref="V46" ca="1">IF(NPSwitch=1,_xll.TR(V$7,V$6,"Sdate=#1 Period=#2 Scale=6 NULL=BLANK",,$D46,$O$4),V46)</f>
        <v>8371.8599857199697</v>
      </c>
      <c r="W46" s="1000" cm="1">
        <f t="array" aca="1" ref="W46" ca="1">IF(NPSwitch=1,_xll.TR(W$7,W$6,"Sdate=#1 Period=#2 Scale=6 NULL=BLANK",,$D46,$O$4),W46)</f>
        <v>5152.5499804299998</v>
      </c>
      <c r="X46" s="998"/>
      <c r="Y46" s="1000" cm="1">
        <f t="array" aca="1" ref="Y46" ca="1">IF(NPSwitch=1,_xll.TR(Y$7,Y$6,"Sdate=#1 Period=#2 Scale=6 NULL=BLANK",,$D46,$O$4),Y46)</f>
        <v>2195.5</v>
      </c>
      <c r="Z46" s="1000" cm="1">
        <f t="array" aca="1" ref="Z46" ca="1">IF(NPSwitch=1,_xll.TR(Z$7,Z$6,"Sdate=#1 Period=#2 Scale=6 NULL=BLANK",,$D46,$O$4),Z46)</f>
        <v>144.0505</v>
      </c>
      <c r="AA46" s="1000" cm="1">
        <f t="array" aca="1" ref="AA46" ca="1">IF(NPSwitch=1,_xll.TR(AA$7,AA$6,"Sdate=#1 Period=#2 Scale=6 NULL=BLANK",,$D46,$O$4),AA46)</f>
        <v>987</v>
      </c>
      <c r="AB46" s="1000" cm="1">
        <f t="array" aca="1" ref="AB46" ca="1">IF(NPSwitch=1,_xll.TR(AB$7,AB$6,"Sdate=#1 Period=#2 Scale=6 NULL=BLANK",,$D46,$O$4),AB46)</f>
        <v>58.375</v>
      </c>
      <c r="AC46" s="1000" cm="1">
        <f t="array" aca="1" ref="AC46" ca="1">IF(NPSwitch=1,_xll.TR(AC$7,AC$6,"Sdate=#1 Period=#2 Scale=6 NULL=BLANK",,$D46,$O$4),AC46)</f>
        <v>181.22499999999999</v>
      </c>
      <c r="AD46" s="1000" cm="1">
        <f t="array" aca="1" ref="AD46" ca="1">IF(NPSwitch=1,_xll.TR(AD$7,AD$6,"Sdate=#1 Period=#2 Scale=6 NULL=BLANK",,$D46,$O$4),AD46)</f>
        <v>98.45</v>
      </c>
      <c r="AE46" s="1000" cm="1">
        <f t="array" aca="1" ref="AE46" ca="1">IF(NPSwitch=1,_xll.TR(AE$7,AE$6,"Sdate=#1 Period=#2 Scale=6 NULL=BLANK",,$D46,$O$4),AE46)</f>
        <v>262.25</v>
      </c>
      <c r="AF46" s="1000" cm="1">
        <f t="array" aca="1" ref="AF46" ca="1">IF(NPSwitch=1,_xll.TR(AF$7,AF$6,"Sdate=#1 Period=#2 Scale=6 NULL=BLANK",,$D46,$O$4),AF46)</f>
        <v>450.5</v>
      </c>
      <c r="AG46" s="1000" t="str" cm="1">
        <f t="array" aca="1" ref="AG46" ca="1">IF(NPSwitch=1,_xll.TR(AG$7,AG$6,"Sdate=#1 Period=#2 Scale=6 NULL=BLANK",,$D46,$O$4),AG46)</f>
        <v/>
      </c>
      <c r="AH46" s="998"/>
      <c r="AI46" s="1000" cm="1">
        <f t="array" aca="1" ref="AI46" ca="1">IF(NPSwitch=1,_xll.TR(AI$7,AI$6,"Sdate=#1 Period=#2 Scale=6 NULL=BLANK",,$D46,$O$4),AI46)</f>
        <v>60016.095924330002</v>
      </c>
      <c r="AJ46" s="1000" cm="1">
        <f t="array" aca="1" ref="AJ46" ca="1">IF(NPSwitch=1,_xll.TR(AJ$7,AJ$6,"Sdate=#1 Period=#2 Scale=6 NULL=BLANK",,$D46,$O$4),AJ46)</f>
        <v>4767.0139319999998</v>
      </c>
      <c r="AK46" s="1000" cm="1">
        <f t="array" aca="1" ref="AK46" ca="1">IF(NPSwitch=1,_xll.TR(AK$7,AK$6,"Sdate=#1 Period=#2 Scale=6 NULL=BLANK",,$D46,$O$4),AK46)</f>
        <v>2437.5646016000001</v>
      </c>
      <c r="AL46" s="1000" cm="1">
        <f t="array" aca="1" ref="AL46" ca="1">IF(NPSwitch=1,_xll.TR(AL$7,AL$6,"Sdate=#1 Period=#2 Scale=6 NULL=BLANK",,$D46,$O$4),AL46)</f>
        <v>896.43454179000003</v>
      </c>
      <c r="AM46" s="1000" cm="1">
        <f t="array" aca="1" ref="AM46" ca="1">IF(NPSwitch=1,_xll.TR(AM$7,AM$6,"Sdate=#1 Period=#2 Scale=6 NULL=BLANK",,$D46,$O$4),AM46)</f>
        <v>9534.0578536400008</v>
      </c>
      <c r="AN46" s="1000" cm="1">
        <f t="array" aca="1" ref="AN46" ca="1">IF(NPSwitch=1,_xll.TR(AN$7,AN$6,"Sdate=#1 Period=#2 Scale=6 NULL=BLANK",,$D46,$O$4),AN46)</f>
        <v>4529.58650132</v>
      </c>
      <c r="AO46" s="1000" cm="1">
        <f t="array" aca="1" ref="AO46" ca="1">IF(NPSwitch=1,_xll.TR(AO$7,AO$6,"Sdate=#1 Period=#2 Scale=6 NULL=BLANK",,$D46,$O$4),AO46)</f>
        <v>12419.66673888</v>
      </c>
      <c r="AP46" s="1000" cm="1">
        <f t="array" aca="1" ref="AP46" ca="1">IF(NPSwitch=1,_xll.TR(AP$7,AP$6,"Sdate=#1 Period=#2 Scale=6 NULL=BLANK",,$D46,$O$4),AP46)</f>
        <v>10022.859985720001</v>
      </c>
      <c r="AQ46" s="1000" cm="1">
        <f t="array" aca="1" ref="AQ46" ca="1">IF(NPSwitch=1,_xll.TR(AQ$7,AQ$6,"Sdate=#1 Period=#2 Scale=6 NULL=BLANK",,$D46,$O$4),AQ46)</f>
        <v>6029.5499804299998</v>
      </c>
      <c r="AS46" s="765" t="str" cm="1">
        <f t="array" aca="1" ref="AS46" ca="1">IF(NPSwitch=1,_xll.TR(AS$7,AS$6,"Sdate=#1 Period=#2 NULL=BLANK Scale=6",,$D46,$AS$4),AS46)</f>
        <v/>
      </c>
      <c r="AT46" s="765" t="str" cm="1">
        <f t="array" aca="1" ref="AT46" ca="1">IF(NPSwitch=1,_xll.TR(AT$7,AT$6,"Sdate=#1 Period=#2 NULL=BLANK Scale=6",,$D46,$AS$4),AT46)</f>
        <v/>
      </c>
      <c r="AU46" s="765" t="str" cm="1">
        <f t="array" aca="1" ref="AU46" ca="1">IF(NPSwitch=1,_xll.TR(AU$7,AU$6,"Sdate=#1 Period=#2 NULL=BLANK Scale=6",,$D46,$AS$4),AU46)</f>
        <v/>
      </c>
      <c r="AV46" s="765" t="str" cm="1">
        <f t="array" aca="1" ref="AV46" ca="1">IF(NPSwitch=1,_xll.TR(AV$7,AV$6,"Sdate=#1 Period=#2 NULL=BLANK Scale=6",,$D46,$AS$4),AV46)</f>
        <v/>
      </c>
      <c r="AW46" s="765" t="str" cm="1">
        <f t="array" aca="1" ref="AW46" ca="1">IF(NPSwitch=1,_xll.TR(AW$7,AW$6,"Sdate=#1 Period=#2 NULL=BLANK Scale=6",,$D46,$AS$4),AW46)</f>
        <v/>
      </c>
      <c r="AX46" s="765" t="str" cm="1">
        <f t="array" aca="1" ref="AX46" ca="1">IF(NPSwitch=1,_xll.TR(AX$7,AX$6,"Sdate=#1 Period=#2 NULL=BLANK Scale=6",,$D46,$AS$4),AX46)</f>
        <v/>
      </c>
      <c r="AY46" s="765" t="str" cm="1">
        <f t="array" aca="1" ref="AY46" ca="1">IF(NPSwitch=1,_xll.TR(AY$7,AY$6,"Sdate=#1 Period=#2 NULL=BLANK Scale=6",,$D46,$AS$4),AY46)</f>
        <v/>
      </c>
      <c r="AZ46" s="765" t="str" cm="1">
        <f t="array" aca="1" ref="AZ46" ca="1">IF(NPSwitch=1,_xll.TR(AZ$7,AZ$6,"Sdate=#1 Period=#2 NULL=BLANK Scale=6",,$D46,$AS$4),AZ46)</f>
        <v/>
      </c>
      <c r="BA46" s="765" t="str" cm="1">
        <f t="array" aca="1" ref="BA46" ca="1">IF(NPSwitch=1,_xll.TR(BA$7,BA$6,"Sdate=#1 Period=#2 NULL=BLANK Scale=6",,$D46,$AS$4),BA46)</f>
        <v/>
      </c>
      <c r="BB46" s="1002"/>
      <c r="BC46" s="765" cm="1">
        <f t="array" aca="1" ref="BC46" ca="1">IF(NPSwitch=1,_xll.TR(BC$7,BC$6,"Sdate=#1 Period=#2 NULL=BLANK",,$D46,$BC$4),BC46)</f>
        <v>10.08334945</v>
      </c>
      <c r="BD46" s="765" cm="1">
        <f t="array" aca="1" ref="BD46" ca="1">IF(NPSwitch=1,_xll.TR(BD$7,BD$6,"Sdate=#1 Period=#2 NULL=BLANK",,$D46,$BC$4),BD46)</f>
        <v>11.324929578000001</v>
      </c>
      <c r="BE46" s="765" cm="1">
        <f t="array" aca="1" ref="BE46" ca="1">IF(NPSwitch=1,_xll.TR(BE$7,BE$6,"Sdate=#1 Period=#2 NULL=BLANK",,$D46,$BC$4),BE46)</f>
        <v>8.0982212679999996</v>
      </c>
      <c r="BF46" s="765" cm="1">
        <f t="array" aca="1" ref="BF46" ca="1">IF(NPSwitch=1,_xll.TR(BF$7,BF$6,"Sdate=#1 Period=#2 NULL=BLANK",,$D46,$BC$4),BF46)</f>
        <v>13.048537725999999</v>
      </c>
      <c r="BG46" s="765" t="str" cm="1">
        <f t="array" aca="1" ref="BG46" ca="1">IF(NPSwitch=1,_xll.TR(BG$7,BG$6,"Sdate=#1 Period=#2 NULL=BLANK",,$D46,$BC$4),BG46)</f>
        <v/>
      </c>
      <c r="BH46" s="765" cm="1">
        <f t="array" aca="1" ref="BH46" ca="1">IF(NPSwitch=1,_xll.TR(BH$7,BH$6,"Sdate=#1 Period=#2 NULL=BLANK",,$D46,$BC$4),BH46)</f>
        <v>8.8330469990000005</v>
      </c>
      <c r="BI46" s="765" cm="1">
        <f t="array" aca="1" ref="BI46" ca="1">IF(NPSwitch=1,_xll.TR(BI$7,BI$6,"Sdate=#1 Period=#2 NULL=BLANK",,$D46,$BC$4),BI46)</f>
        <v>7.0606405560000001</v>
      </c>
      <c r="BJ46" s="765" cm="1">
        <f t="array" aca="1" ref="BJ46" ca="1">IF(NPSwitch=1,_xll.TR(BJ$7,BJ$6,"Sdate=#1 Period=#2 NULL=BLANK",,$D46,$BC$4),BJ46)</f>
        <v>5.8340279309999996</v>
      </c>
      <c r="BK46" s="765" cm="1">
        <f t="array" aca="1" ref="BK46" ca="1">IF(NPSwitch=1,_xll.TR(BK$7,BK$6,"Sdate=#1 Period=#2 NULL=BLANK",,$D46,$BC$4),BK46)</f>
        <v>6.0115154339999997</v>
      </c>
      <c r="BM46" s="1014"/>
      <c r="BO46" s="765" cm="1">
        <f t="array" aca="1" ref="BO46" ca="1">IF(NPSwitch=1,_xll.TR(BO$7,BO$6,"Sdate=#1 Period=#2 NULL=BLANK Scale=6",,$D46,$AS$4),BO46)</f>
        <v>24038</v>
      </c>
      <c r="BP46" s="765" cm="1">
        <f t="array" aca="1" ref="BP46" ca="1">IF(NPSwitch=1,_xll.TR(BP$7,BP$6,"Sdate=#1 Period=#2 NULL=BLANK Scale=6",,$D46,$AS$4),BP46)</f>
        <v>2321.5680000000002</v>
      </c>
      <c r="BQ46" s="765" cm="1">
        <f t="array" aca="1" ref="BQ46" ca="1">IF(NPSwitch=1,_xll.TR(BQ$7,BQ$6,"Sdate=#1 Period=#2 NULL=BLANK Scale=6",,$D46,$AS$4),BQ46)</f>
        <v>7786</v>
      </c>
      <c r="BR46" s="765" cm="1">
        <f t="array" aca="1" ref="BR46" ca="1">IF(NPSwitch=1,_xll.TR(BR$7,BR$6,"Sdate=#1 Period=#2 NULL=BLANK Scale=6",,$D46,$AS$4),BR46)</f>
        <v>2606.6</v>
      </c>
      <c r="BS46" s="765" cm="1">
        <f t="array" aca="1" ref="BS46" ca="1">IF(NPSwitch=1,_xll.TR(BS$7,BS$6,"Sdate=#1 Period=#2 NULL=BLANK Scale=6",,$D46,$AS$4),BS46)</f>
        <v>8876.7000000000007</v>
      </c>
      <c r="BT46" s="765" cm="1">
        <f t="array" aca="1" ref="BT46" ca="1">IF(NPSwitch=1,_xll.TR(BT$7,BT$6,"Sdate=#1 Period=#2 NULL=BLANK Scale=6",,$D46,$AS$4),BT46)</f>
        <v>2545.9</v>
      </c>
      <c r="BU46" s="765" cm="1">
        <f t="array" aca="1" ref="BU46" ca="1">IF(NPSwitch=1,_xll.TR(BU$7,BU$6,"Sdate=#1 Period=#2 NULL=BLANK Scale=6",,$D46,$AS$4),BU46)</f>
        <v>11616</v>
      </c>
      <c r="BV46" s="765" cm="1">
        <f t="array" aca="1" ref="BV46" ca="1">IF(NPSwitch=1,_xll.TR(BV$7,BV$6,"Sdate=#1 Period=#2 NULL=BLANK Scale=6",,$D46,$AS$4),BV46)</f>
        <v>9555</v>
      </c>
      <c r="BW46" s="765" cm="1">
        <f t="array" aca="1" ref="BW46" ca="1">IF(NPSwitch=1,_xll.TR(BW$7,BW$6,"Sdate=#1 Period=#2 NULL=BLANK Scale=6",,$D46,$AS$4),BW46)</f>
        <v>6687</v>
      </c>
      <c r="BX46" s="1002"/>
      <c r="BY46" s="765" cm="1">
        <f t="array" aca="1" ref="BY46" ca="1">IF(NPSwitch=1,_xll.TR(BY$7,BY$6,"Sdate=#1 Period=#2 NULL=BLANK Scale=6",,$D46,$AS$4),BY46)</f>
        <v>14768.5</v>
      </c>
      <c r="BZ46" s="765" cm="1">
        <f t="array" aca="1" ref="BZ46" ca="1">IF(NPSwitch=1,_xll.TR(BZ$7,BZ$6,"Sdate=#1 Period=#2 NULL=BLANK Scale=6",,$D46,$AS$4),BZ46)</f>
        <v>1852.0442499999999</v>
      </c>
      <c r="CA46" s="765" cm="1">
        <f t="array" aca="1" ref="CA46" ca="1">IF(NPSwitch=1,_xll.TR(CA$7,CA$6,"Sdate=#1 Period=#2 NULL=BLANK Scale=6",,$D46,$AS$4),CA46)</f>
        <v>3071</v>
      </c>
      <c r="CB46" s="765" cm="1">
        <f t="array" aca="1" ref="CB46" ca="1">IF(NPSwitch=1,_xll.TR(CB$7,CB$6,"Sdate=#1 Period=#2 NULL=BLANK Scale=6",,$D46,$AS$4),CB46)</f>
        <v>1108.2</v>
      </c>
      <c r="CC46" s="765" cm="1">
        <f t="array" aca="1" ref="CC46" ca="1">IF(NPSwitch=1,_xll.TR(CC$7,CC$6,"Sdate=#1 Period=#2 NULL=BLANK Scale=6",,$D46,$AS$4),CC46)</f>
        <v>5455.5249999999996</v>
      </c>
      <c r="CD46" s="765" cm="1">
        <f t="array" aca="1" ref="CD46" ca="1">IF(NPSwitch=1,_xll.TR(CD$7,CD$6,"Sdate=#1 Period=#2 NULL=BLANK Scale=6",,$D46,$AS$4),CD46)</f>
        <v>1701.85</v>
      </c>
      <c r="CE46" s="765" cm="1">
        <f t="array" aca="1" ref="CE46" ca="1">IF(NPSwitch=1,_xll.TR(CE$7,CE$6,"Sdate=#1 Period=#2 NULL=BLANK Scale=6",,$D46,$AS$4),CE46)</f>
        <v>5124.75</v>
      </c>
      <c r="CF46" s="765" cm="1">
        <f t="array" aca="1" ref="CF46" ca="1">IF(NPSwitch=1,_xll.TR(CF$7,CF$6,"Sdate=#1 Period=#2 NULL=BLANK Scale=6",,$D46,$AS$4),CF46)</f>
        <v>6539.5</v>
      </c>
      <c r="CG46" s="765" cm="1">
        <f t="array" aca="1" ref="CG46" ca="1">IF(NPSwitch=1,_xll.TR(CG$7,CG$6,"Sdate=#1 Period=#2 NULL=BLANK Scale=6",,$D46,$AS$4),CG46)</f>
        <v>3687.75</v>
      </c>
      <c r="CH46" s="1114"/>
      <c r="CI46" s="1000" cm="1">
        <f t="array" aca="1" ref="CI46" ca="1">IF(NPSwitch=1,_xll.TR(CI$7,CI$6,"Sdate=#1 Period=#2 NULL=BLANK Scale=6",,$D46,$AS$4),CI46)</f>
        <v>5952</v>
      </c>
      <c r="CJ46" s="1000" cm="1">
        <f t="array" aca="1" ref="CJ46" ca="1">IF(NPSwitch=1,_xll.TR(CJ$7,CJ$6,"Sdate=#1 Period=#2 NULL=BLANK Scale=6",,$D46,$AS$4),CJ46)</f>
        <v>420.93099999999998</v>
      </c>
      <c r="CK46" s="1000" cm="1">
        <f t="array" aca="1" ref="CK46" ca="1">IF(NPSwitch=1,_xll.TR(CK$7,CK$6,"Sdate=#1 Period=#2 NULL=BLANK Scale=6",,$D46,$AS$4),CK46)</f>
        <v>316</v>
      </c>
      <c r="CL46" s="1000" cm="1">
        <f t="array" aca="1" ref="CL46" ca="1">IF(NPSwitch=1,_xll.TR(CL$7,CL$6,"Sdate=#1 Period=#2 NULL=BLANK Scale=6",,$D46,$AS$4),CL46)</f>
        <v>68.7</v>
      </c>
      <c r="CM46" s="1000" cm="1">
        <f t="array" aca="1" ref="CM46" ca="1">IF(NPSwitch=1,_xll.TR(CM$7,CM$6,"Sdate=#1 Period=#2 NULL=BLANK Scale=6",,$D46,$AS$4),CM46)</f>
        <v>817.5</v>
      </c>
      <c r="CN46" s="1000" cm="1">
        <f t="array" aca="1" ref="CN46" ca="1">IF(NPSwitch=1,_xll.TR(CN$7,CN$6,"Sdate=#1 Period=#2 NULL=BLANK Scale=6",,$D46,$AS$4),CN46)</f>
        <v>512.79999999999995</v>
      </c>
      <c r="CO46" s="1000" cm="1">
        <f t="array" aca="1" ref="CO46" ca="1">IF(NPSwitch=1,_xll.TR(CO$7,CO$6,"Sdate=#1 Period=#2 NULL=BLANK Scale=6",,$D46,$AS$4),CO46)</f>
        <v>1759</v>
      </c>
      <c r="CP46" s="1000" cm="1">
        <f t="array" aca="1" ref="CP46" ca="1">IF(NPSwitch=1,_xll.TR(CP$7,CP$6,"Sdate=#1 Period=#2 NULL=BLANK Scale=6",,$D46,$AS$4),CP46)</f>
        <v>1718</v>
      </c>
      <c r="CQ46" s="1000" cm="1">
        <f t="array" aca="1" ref="CQ46" ca="1">IF(NPSwitch=1,_xll.TR(CQ$7,CQ$6,"Sdate=#1 Period=#2 NULL=BLANK Scale=6",,$D46,$AS$4),CQ46)</f>
        <v>1003</v>
      </c>
      <c r="CS46" s="1000" cm="1">
        <f t="array" aca="1" ref="CS46" ca="1">IF(NPSwitch=1,_xll.TR(CS$7,CS$6,"Sdate=#1 Period=#2 NULL=BLANK Scale=6",,$D46,$AS$4),CS46)</f>
        <v>6089.25</v>
      </c>
      <c r="CT46" s="1000" cm="1">
        <f t="array" aca="1" ref="CT46" ca="1">IF(NPSwitch=1,_xll.TR(CT$7,CT$6,"Sdate=#1 Period=#2 NULL=BLANK Scale=6",,$D46,$AS$4),CT46)</f>
        <v>995.25649999999996</v>
      </c>
      <c r="CU46" s="1000" cm="1">
        <f t="array" aca="1" ref="CU46" ca="1">IF(NPSwitch=1,_xll.TR(CU$7,CU$6,"Sdate=#1 Period=#2 NULL=BLANK Scale=6",,$D46,$AS$4),CU46)</f>
        <v>968</v>
      </c>
      <c r="CV46" s="1000" cm="1">
        <f t="array" aca="1" ref="CV46" ca="1">IF(NPSwitch=1,_xll.TR(CV$7,CV$6,"Sdate=#1 Period=#2 NULL=BLANK Scale=6",,$D46,$AS$4),CV46)</f>
        <v>442.52499999999998</v>
      </c>
      <c r="CW46" s="1000" cm="1">
        <f t="array" aca="1" ref="CW46" ca="1">IF(NPSwitch=1,_xll.TR(CW$7,CW$6,"Sdate=#1 Period=#2 NULL=BLANK Scale=6",,$D46,$AS$4),CW46)</f>
        <v>981.07500000000005</v>
      </c>
      <c r="CX46" s="1000" cm="1">
        <f t="array" aca="1" ref="CX46" ca="1">IF(NPSwitch=1,_xll.TR(CX$7,CX$6,"Sdate=#1 Period=#2 NULL=BLANK Scale=6",,$D46,$AS$4),CX46)</f>
        <v>2436.25</v>
      </c>
      <c r="CY46" s="1000" cm="1">
        <f t="array" aca="1" ref="CY46" ca="1">IF(NPSwitch=1,_xll.TR(CY$7,CY$6,"Sdate=#1 Period=#2 NULL=BLANK Scale=6",,$D46,$AS$4),CY46)</f>
        <v>3879</v>
      </c>
      <c r="CZ46" s="1000" cm="1">
        <f t="array" aca="1" ref="CZ46" ca="1">IF(NPSwitch=1,_xll.TR(CZ$7,CZ$6,"Sdate=#1 Period=#2 NULL=BLANK Scale=6",,$D46,$AS$4),CZ46)</f>
        <v>3016.5</v>
      </c>
      <c r="DA46" s="1000" cm="1">
        <f t="array" aca="1" ref="DA46" ca="1">IF(NPSwitch=1,_xll.TR(DA$7,DA$6,"Sdate=#1 Period=#2 NULL=BLANK Scale=6",,$D46,$AS$4),DA46)</f>
        <v>2162</v>
      </c>
      <c r="DB46" s="1000" cm="1">
        <f t="array" aca="1" ref="DB46" ca="1">IF(NPSwitch=1,_xll.TR(DB$7,DB$6,"Sdate=#1 Period=#2 NULL=BLANK Scale=6",,$D46,$AS$4),DB46)</f>
        <v>14760.875</v>
      </c>
      <c r="DC46" s="1000" t="str" cm="1">
        <f t="array" aca="1" ref="DC46" ca="1">IF(NPSwitch=1,_xll.TR(DC$7,DC$6,"Sdate=#1 Period=#2 NULL=BLANK Scale=6",,$D46,$AS$4),DC46)</f>
        <v/>
      </c>
      <c r="DD46" s="1000" t="str" cm="1">
        <f t="array" aca="1" ref="DD46" ca="1">IF(NPSwitch=1,_xll.TR(DD$7,DD$6,"Sdate=#1 Period=#2 NULL=BLANK Scale=6",,$D46,$AS$4),DD46)</f>
        <v/>
      </c>
      <c r="DE46" s="1000" t="str" cm="1">
        <f t="array" aca="1" ref="DE46" ca="1">IF(NPSwitch=1,_xll.TR(DE$7,DE$6,"Sdate=#1 Period=#2 NULL=BLANK Scale=6",,$D46,$AS$4),DE46)</f>
        <v/>
      </c>
      <c r="DF46" s="1000" cm="1">
        <f t="array" aca="1" ref="DF46" ca="1">IF(NPSwitch=1,_xll.TR(DF$7,DF$6,"Sdate=#1 Period=#2 NULL=BLANK Scale=6",,$D46,$AS$4),DF46)</f>
        <v>442.52499999999998</v>
      </c>
      <c r="DG46" s="1000" cm="1">
        <f t="array" aca="1" ref="DG46" ca="1">IF(NPSwitch=1,_xll.TR(DG$7,DG$6,"Sdate=#1 Period=#2 NULL=BLANK Scale=6",,$D46,$AS$4),DG46)</f>
        <v>3999.4</v>
      </c>
      <c r="DH46" s="1000" cm="1">
        <f t="array" aca="1" ref="DH46" ca="1">IF(NPSwitch=1,_xll.TR(DH$7,DH$6,"Sdate=#1 Period=#2 NULL=BLANK Scale=6",,$D46,$AS$4),DH46)</f>
        <v>1084.9377500000001</v>
      </c>
      <c r="FN46" s="3" t="s">
        <v>1553</v>
      </c>
    </row>
    <row r="47" spans="3:170" ht="11.25" customHeight="1">
      <c r="C47" s="973">
        <f t="shared" si="44"/>
        <v>39447</v>
      </c>
      <c r="D47" s="974">
        <f t="shared" si="43"/>
        <v>39492</v>
      </c>
      <c r="E47" s="765" cm="1">
        <f t="array" aca="1" ref="E47" ca="1">IF(NPSwitch=1,_xll.TR(E$7,E$6,"Sdate=#1 Period=#2 NULL=BLANK",,$D47,$E$4),E47)</f>
        <v>8.2913344231288999</v>
      </c>
      <c r="F47" s="765" cm="1">
        <f t="array" aca="1" ref="F47" ca="1">IF(NPSwitch=1,_xll.TR(F$7,F$6,"Sdate=#1 Period=#2 NULL=BLANK",,$D47,$E$4),F47)</f>
        <v>8.9566522319462205</v>
      </c>
      <c r="G47" s="765" cm="1">
        <f t="array" aca="1" ref="G47" ca="1">IF(NPSwitch=1,_xll.TR(G$7,G$6,"Sdate=#1 Period=#2 NULL=BLANK",,$D47,$E$4),G47)</f>
        <v>4.7424120221756096</v>
      </c>
      <c r="H47" s="765" t="str" cm="1">
        <f t="array" aca="1" ref="H47" ca="1">IF(NPSwitch=1,_xll.TR(H$7,H$6,"Sdate=#1 Period=#2 NULL=BLANK",,$D47,$E$4),H47)</f>
        <v/>
      </c>
      <c r="I47" s="765" cm="1">
        <f t="array" aca="1" ref="I47" ca="1">IF(NPSwitch=1,_xll.TR(I$7,I$6,"Sdate=#1 Period=#2 NULL=BLANK",,$D47,$E$4),I47)</f>
        <v>8.3553127706758996</v>
      </c>
      <c r="J47" s="765" cm="1">
        <f t="array" aca="1" ref="J47" ca="1">IF(NPSwitch=1,_xll.TR(J$7,J$6,"Sdate=#1 Period=#2 NULL=BLANK",,$D47,$E$4),J47)</f>
        <v>7.3423223139757097</v>
      </c>
      <c r="K47" s="765" cm="1">
        <f t="array" aca="1" ref="K47" ca="1">IF(NPSwitch=1,_xll.TR(K$7,K$6,"Sdate=#1 Period=#2 NULL=BLANK",,$D47,$E$4),K47)</f>
        <v>5.3694648802934601</v>
      </c>
      <c r="L47" s="765" cm="1">
        <f t="array" aca="1" ref="L47" ca="1">IF(NPSwitch=1,_xll.TR(L$7,L$6,"Sdate=#1 Period=#2 NULL=BLANK",,$D47,$E$4),L47)</f>
        <v>5.4655337189159399</v>
      </c>
      <c r="M47" s="765" cm="1">
        <f t="array" aca="1" ref="M47" ca="1">IF(NPSwitch=1,_xll.TR(M$7,M$6,"Sdate=#1 Period=#2 NULL=BLANK",,$D47,$E$4),M47)</f>
        <v>6.5182680604198504</v>
      </c>
      <c r="N47" s="1002">
        <f t="shared" ca="1" si="45"/>
        <v>6.2550091412073234</v>
      </c>
      <c r="O47" s="1000" cm="1">
        <f t="array" aca="1" ref="O47" ca="1">IF(NPSwitch=1,_xll.TR(O$7,O$6,"Sdate=#1 Period=#2 Scale=6 NULL=BLANK",,$D47,$O$4),O47)</f>
        <v>56818.232723280002</v>
      </c>
      <c r="P47" s="1000" cm="1">
        <f t="array" aca="1" ref="P47" ca="1">IF(NPSwitch=1,_xll.TR(P$7,P$6,"Sdate=#1 Period=#2 Scale=6 NULL=BLANK",,$D47,$O$4),P47)</f>
        <v>3772.8160763999899</v>
      </c>
      <c r="Q47" s="1000" cm="1">
        <f t="array" aca="1" ref="Q47" ca="1">IF(NPSwitch=1,_xll.TR(Q$7,Q$6,"Sdate=#1 Period=#2 Scale=6 NULL=BLANK",,$D47,$O$4),Q47)</f>
        <v>2841.3134683899998</v>
      </c>
      <c r="R47" s="1000" cm="1">
        <f t="array" aca="1" ref="R47" ca="1">IF(NPSwitch=1,_xll.TR(R$7,R$6,"Sdate=#1 Period=#2 Scale=6 NULL=BLANK",,$D47,$O$4),R47)</f>
        <v>634.82014705999995</v>
      </c>
      <c r="S47" s="1000" cm="1">
        <f t="array" aca="1" ref="S47" ca="1">IF(NPSwitch=1,_xll.TR(S$7,S$6,"Sdate=#1 Period=#2 Scale=6 NULL=BLANK",,$D47,$O$4),S47)</f>
        <v>5146.3578615199904</v>
      </c>
      <c r="T47" s="1000" cm="1">
        <f t="array" aca="1" ref="T47" ca="1">IF(NPSwitch=1,_xll.TR(T$7,T$6,"Sdate=#1 Period=#2 Scale=6 NULL=BLANK",,$D47,$O$4),T47)</f>
        <v>4123.8528208899997</v>
      </c>
      <c r="U47" s="1000" cm="1">
        <f t="array" aca="1" ref="U47" ca="1">IF(NPSwitch=1,_xll.TR(U$7,U$6,"Sdate=#1 Period=#2 Scale=6 NULL=BLANK",,$D47,$O$4),U47)</f>
        <v>10515.731227259999</v>
      </c>
      <c r="V47" s="1000" cm="1">
        <f t="array" aca="1" ref="V47" ca="1">IF(NPSwitch=1,_xll.TR(V$7,V$6,"Sdate=#1 Period=#2 Scale=6 NULL=BLANK",,$D47,$O$4),V47)</f>
        <v>7283.4512016354101</v>
      </c>
      <c r="W47" s="1000" cm="1">
        <f t="array" aca="1" ref="W47" ca="1">IF(NPSwitch=1,_xll.TR(W$7,W$6,"Sdate=#1 Period=#2 Scale=6 NULL=BLANK",,$D47,$O$4),W47)</f>
        <v>5258.1162789500004</v>
      </c>
      <c r="X47" s="998"/>
      <c r="Y47" s="1000" cm="1">
        <f t="array" aca="1" ref="Y47" ca="1">IF(NPSwitch=1,_xll.TR(Y$7,Y$6,"Sdate=#1 Period=#2 Scale=6 NULL=BLANK",,$D47,$O$4),Y47)</f>
        <v>2334.75</v>
      </c>
      <c r="Z47" s="1000" cm="1">
        <f t="array" aca="1" ref="Z47" ca="1">IF(NPSwitch=1,_xll.TR(Z$7,Z$6,"Sdate=#1 Period=#2 Scale=6 NULL=BLANK",,$D47,$O$4),Z47)</f>
        <v>139.3135</v>
      </c>
      <c r="AA47" s="1000" cm="1">
        <f t="array" aca="1" ref="AA47" ca="1">IF(NPSwitch=1,_xll.TR(AA$7,AA$6,"Sdate=#1 Period=#2 Scale=6 NULL=BLANK",,$D47,$O$4),AA47)</f>
        <v>1017.75</v>
      </c>
      <c r="AB47" s="1000" cm="1">
        <f t="array" aca="1" ref="AB47" ca="1">IF(NPSwitch=1,_xll.TR(AB$7,AB$6,"Sdate=#1 Period=#2 Scale=6 NULL=BLANK",,$D47,$O$4),AB47)</f>
        <v>61.674999999999997</v>
      </c>
      <c r="AC47" s="1000" cm="1">
        <f t="array" aca="1" ref="AC47" ca="1">IF(NPSwitch=1,_xll.TR(AC$7,AC$6,"Sdate=#1 Period=#2 Scale=6 NULL=BLANK",,$D47,$O$4),AC47)</f>
        <v>181.22499999999999</v>
      </c>
      <c r="AD47" s="1000" cm="1">
        <f t="array" aca="1" ref="AD47" ca="1">IF(NPSwitch=1,_xll.TR(AD$7,AD$6,"Sdate=#1 Period=#2 Scale=6 NULL=BLANK",,$D47,$O$4),AD47)</f>
        <v>75.95</v>
      </c>
      <c r="AE47" s="1000" cm="1">
        <f t="array" aca="1" ref="AE47" ca="1">IF(NPSwitch=1,_xll.TR(AE$7,AE$6,"Sdate=#1 Period=#2 Scale=6 NULL=BLANK",,$D47,$O$4),AE47)</f>
        <v>283</v>
      </c>
      <c r="AF47" s="1000" t="str" cm="1">
        <f t="array" aca="1" ref="AF47" ca="1">IF(NPSwitch=1,_xll.TR(AF$7,AF$6,"Sdate=#1 Period=#2 Scale=6 NULL=BLANK",,$D47,$O$4),AF47)</f>
        <v/>
      </c>
      <c r="AG47" s="1000" t="str" cm="1">
        <f t="array" aca="1" ref="AG47" ca="1">IF(NPSwitch=1,_xll.TR(AG$7,AG$6,"Sdate=#1 Period=#2 Scale=6 NULL=BLANK",,$D47,$O$4),AG47)</f>
        <v/>
      </c>
      <c r="AH47" s="998"/>
      <c r="AI47" s="1000" cm="1">
        <f t="array" aca="1" ref="AI47" ca="1">IF(NPSwitch=1,_xll.TR(AI$7,AI$6,"Sdate=#1 Period=#2 Scale=6 NULL=BLANK",,$D47,$O$4),AI47)</f>
        <v>59626.232723280002</v>
      </c>
      <c r="AJ47" s="1000" cm="1">
        <f t="array" aca="1" ref="AJ47" ca="1">IF(NPSwitch=1,_xll.TR(AJ$7,AJ$6,"Sdate=#1 Period=#2 Scale=6 NULL=BLANK",,$D47,$O$4),AJ47)</f>
        <v>4409.5690764000001</v>
      </c>
      <c r="AK47" s="1000" cm="1">
        <f t="array" aca="1" ref="AK47" ca="1">IF(NPSwitch=1,_xll.TR(AK$7,AK$6,"Sdate=#1 Period=#2 Scale=6 NULL=BLANK",,$D47,$O$4),AK47)</f>
        <v>1835.31346839</v>
      </c>
      <c r="AL47" s="1000" cm="1">
        <f t="array" aca="1" ref="AL47" ca="1">IF(NPSwitch=1,_xll.TR(AL$7,AL$6,"Sdate=#1 Period=#2 Scale=6 NULL=BLANK",,$D47,$O$4),AL47)</f>
        <v>914.12014706000002</v>
      </c>
      <c r="AM47" s="1000" cm="1">
        <f t="array" aca="1" ref="AM47" ca="1">IF(NPSwitch=1,_xll.TR(AM$7,AM$6,"Sdate=#1 Period=#2 Scale=6 NULL=BLANK",,$D47,$O$4),AM47)</f>
        <v>9016.75786152</v>
      </c>
      <c r="AN47" s="1000" cm="1">
        <f t="array" aca="1" ref="AN47" ca="1">IF(NPSwitch=1,_xll.TR(AN$7,AN$6,"Sdate=#1 Period=#2 Scale=6 NULL=BLANK",,$D47,$O$4),AN47)</f>
        <v>4635.4528208900001</v>
      </c>
      <c r="AO47" s="1000" cm="1">
        <f t="array" aca="1" ref="AO47" ca="1">IF(NPSwitch=1,_xll.TR(AO$7,AO$6,"Sdate=#1 Period=#2 Scale=6 NULL=BLANK",,$D47,$O$4),AO47)</f>
        <v>11787.731227259999</v>
      </c>
      <c r="AP47" s="1000" cm="1">
        <f t="array" aca="1" ref="AP47" ca="1">IF(NPSwitch=1,_xll.TR(AP$7,AP$6,"Sdate=#1 Period=#2 Scale=6 NULL=BLANK",,$D47,$O$4),AP47)</f>
        <v>8934.451201635</v>
      </c>
      <c r="AQ47" s="1000" cm="1">
        <f t="array" aca="1" ref="AQ47" ca="1">IF(NPSwitch=1,_xll.TR(AQ$7,AQ$6,"Sdate=#1 Period=#2 Scale=6 NULL=BLANK",,$D47,$O$4),AQ47)</f>
        <v>6135.1162789500004</v>
      </c>
      <c r="AS47" s="765" t="str" cm="1">
        <f t="array" aca="1" ref="AS47" ca="1">IF(NPSwitch=1,_xll.TR(AS$7,AS$6,"Sdate=#1 Period=#2 NULL=BLANK Scale=6",,$D47,$AS$4),AS47)</f>
        <v/>
      </c>
      <c r="AT47" s="765" t="str" cm="1">
        <f t="array" aca="1" ref="AT47" ca="1">IF(NPSwitch=1,_xll.TR(AT$7,AT$6,"Sdate=#1 Period=#2 NULL=BLANK Scale=6",,$D47,$AS$4),AT47)</f>
        <v/>
      </c>
      <c r="AU47" s="765" t="str" cm="1">
        <f t="array" aca="1" ref="AU47" ca="1">IF(NPSwitch=1,_xll.TR(AU$7,AU$6,"Sdate=#1 Period=#2 NULL=BLANK Scale=6",,$D47,$AS$4),AU47)</f>
        <v/>
      </c>
      <c r="AV47" s="765" t="str" cm="1">
        <f t="array" aca="1" ref="AV47" ca="1">IF(NPSwitch=1,_xll.TR(AV$7,AV$6,"Sdate=#1 Period=#2 NULL=BLANK Scale=6",,$D47,$AS$4),AV47)</f>
        <v/>
      </c>
      <c r="AW47" s="765" t="str" cm="1">
        <f t="array" aca="1" ref="AW47" ca="1">IF(NPSwitch=1,_xll.TR(AW$7,AW$6,"Sdate=#1 Period=#2 NULL=BLANK Scale=6",,$D47,$AS$4),AW47)</f>
        <v/>
      </c>
      <c r="AX47" s="765" t="str" cm="1">
        <f t="array" aca="1" ref="AX47" ca="1">IF(NPSwitch=1,_xll.TR(AX$7,AX$6,"Sdate=#1 Period=#2 NULL=BLANK Scale=6",,$D47,$AS$4),AX47)</f>
        <v/>
      </c>
      <c r="AY47" s="765" t="str" cm="1">
        <f t="array" aca="1" ref="AY47" ca="1">IF(NPSwitch=1,_xll.TR(AY$7,AY$6,"Sdate=#1 Period=#2 NULL=BLANK Scale=6",,$D47,$AS$4),AY47)</f>
        <v/>
      </c>
      <c r="AZ47" s="765" t="str" cm="1">
        <f t="array" aca="1" ref="AZ47" ca="1">IF(NPSwitch=1,_xll.TR(AZ$7,AZ$6,"Sdate=#1 Period=#2 NULL=BLANK Scale=6",,$D47,$AS$4),AZ47)</f>
        <v/>
      </c>
      <c r="BA47" s="765" t="str" cm="1">
        <f t="array" aca="1" ref="BA47" ca="1">IF(NPSwitch=1,_xll.TR(BA$7,BA$6,"Sdate=#1 Period=#2 NULL=BLANK Scale=6",,$D47,$AS$4),BA47)</f>
        <v/>
      </c>
      <c r="BB47" s="1002"/>
      <c r="BC47" s="765" cm="1">
        <f t="array" aca="1" ref="BC47" ca="1">IF(NPSwitch=1,_xll.TR(BC$7,BC$6,"Sdate=#1 Period=#2 NULL=BLANK",,$D47,$BC$4),BC47)</f>
        <v>10.017848239999999</v>
      </c>
      <c r="BD47" s="765" cm="1">
        <f t="array" aca="1" ref="BD47" ca="1">IF(NPSwitch=1,_xll.TR(BD$7,BD$6,"Sdate=#1 Period=#2 NULL=BLANK",,$D47,$BC$4),BD47)</f>
        <v>10.475752740000001</v>
      </c>
      <c r="BE47" s="765" cm="1">
        <f t="array" aca="1" ref="BE47" ca="1">IF(NPSwitch=1,_xll.TR(BE$7,BE$6,"Sdate=#1 Period=#2 NULL=BLANK",,$D47,$BC$4),BE47)</f>
        <v>6.017421208</v>
      </c>
      <c r="BF47" s="765" cm="1">
        <f t="array" aca="1" ref="BF47" ca="1">IF(NPSwitch=1,_xll.TR(BF$7,BF$6,"Sdate=#1 Period=#2 NULL=BLANK",,$D47,$BC$4),BF47)</f>
        <v>13.305970116999999</v>
      </c>
      <c r="BG47" s="765" t="str" cm="1">
        <f t="array" aca="1" ref="BG47" ca="1">IF(NPSwitch=1,_xll.TR(BG$7,BG$6,"Sdate=#1 Period=#2 NULL=BLANK",,$D47,$BC$4),BG47)</f>
        <v/>
      </c>
      <c r="BH47" s="765" cm="1">
        <f t="array" aca="1" ref="BH47" ca="1">IF(NPSwitch=1,_xll.TR(BH$7,BH$6,"Sdate=#1 Period=#2 NULL=BLANK",,$D47,$BC$4),BH47)</f>
        <v>9.0394945809999996</v>
      </c>
      <c r="BI47" s="765" cm="1">
        <f t="array" aca="1" ref="BI47" ca="1">IF(NPSwitch=1,_xll.TR(BI$7,BI$6,"Sdate=#1 Period=#2 NULL=BLANK",,$D47,$BC$4),BI47)</f>
        <v>6.701382164</v>
      </c>
      <c r="BJ47" s="765" cm="1">
        <f t="array" aca="1" ref="BJ47" ca="1">IF(NPSwitch=1,_xll.TR(BJ$7,BJ$6,"Sdate=#1 Period=#2 NULL=BLANK",,$D47,$BC$4),BJ47)</f>
        <v>5.200495461</v>
      </c>
      <c r="BK47" s="765" cm="1">
        <f t="array" aca="1" ref="BK47" ca="1">IF(NPSwitch=1,_xll.TR(BK$7,BK$6,"Sdate=#1 Period=#2 NULL=BLANK",,$D47,$BC$4),BK47)</f>
        <v>6.1167659810000004</v>
      </c>
      <c r="BM47" s="1014"/>
      <c r="BO47" s="765" cm="1">
        <f t="array" aca="1" ref="BO47" ca="1">IF(NPSwitch=1,_xll.TR(BO$7,BO$6,"Sdate=#1 Period=#2 NULL=BLANK Scale=6",,$D47,$AS$4),BO47)</f>
        <v>24462</v>
      </c>
      <c r="BP47" s="765" cm="1">
        <f t="array" aca="1" ref="BP47" ca="1">IF(NPSwitch=1,_xll.TR(BP$7,BP$6,"Sdate=#1 Period=#2 NULL=BLANK Scale=6",,$D47,$AS$4),BP47)</f>
        <v>2336.1869999999999</v>
      </c>
      <c r="BQ47" s="765" cm="1">
        <f t="array" aca="1" ref="BQ47" ca="1">IF(NPSwitch=1,_xll.TR(BQ$7,BQ$6,"Sdate=#1 Period=#2 NULL=BLANK Scale=6",,$D47,$AS$4),BQ47)</f>
        <v>7888</v>
      </c>
      <c r="BR47" s="765" cm="1">
        <f t="array" aca="1" ref="BR47" ca="1">IF(NPSwitch=1,_xll.TR(BR$7,BR$6,"Sdate=#1 Period=#2 NULL=BLANK Scale=6",,$D47,$AS$4),BR47)</f>
        <v>2642.7</v>
      </c>
      <c r="BS47" s="765" cm="1">
        <f t="array" aca="1" ref="BS47" ca="1">IF(NPSwitch=1,_xll.TR(BS$7,BS$6,"Sdate=#1 Period=#2 NULL=BLANK Scale=6",,$D47,$AS$4),BS47)</f>
        <v>8876.7000000000007</v>
      </c>
      <c r="BT47" s="765" cm="1">
        <f t="array" aca="1" ref="BT47" ca="1">IF(NPSwitch=1,_xll.TR(BT$7,BT$6,"Sdate=#1 Period=#2 NULL=BLANK Scale=6",,$D47,$AS$4),BT47)</f>
        <v>2632.9</v>
      </c>
      <c r="BU47" s="765" cm="1">
        <f t="array" aca="1" ref="BU47" ca="1">IF(NPSwitch=1,_xll.TR(BU$7,BU$6,"Sdate=#1 Period=#2 NULL=BLANK Scale=6",,$D47,$AS$4),BU47)</f>
        <v>12220</v>
      </c>
      <c r="BV47" s="765" t="str" cm="1">
        <f t="array" aca="1" ref="BV47" ca="1">IF(NPSwitch=1,_xll.TR(BV$7,BV$6,"Sdate=#1 Period=#2 NULL=BLANK Scale=6",,$D47,$AS$4),BV47)</f>
        <v/>
      </c>
      <c r="BW47" s="765" cm="1">
        <f t="array" aca="1" ref="BW47" ca="1">IF(NPSwitch=1,_xll.TR(BW$7,BW$6,"Sdate=#1 Period=#2 NULL=BLANK Scale=6",,$D47,$AS$4),BW47)</f>
        <v>6830</v>
      </c>
      <c r="BX47" s="1002"/>
      <c r="BY47" s="765" cm="1">
        <f t="array" aca="1" ref="BY47" ca="1">IF(NPSwitch=1,_xll.TR(BY$7,BY$6,"Sdate=#1 Period=#2 NULL=BLANK Scale=6",,$D47,$AS$4),BY47)</f>
        <v>15557.25</v>
      </c>
      <c r="BZ47" s="765" cm="1">
        <f t="array" aca="1" ref="BZ47" ca="1">IF(NPSwitch=1,_xll.TR(BZ$7,BZ$6,"Sdate=#1 Period=#2 NULL=BLANK Scale=6",,$D47,$AS$4),BZ47)</f>
        <v>1912.433</v>
      </c>
      <c r="CA47" s="765" cm="1">
        <f t="array" aca="1" ref="CA47" ca="1">IF(NPSwitch=1,_xll.TR(CA$7,CA$6,"Sdate=#1 Period=#2 NULL=BLANK Scale=6",,$D47,$AS$4),CA47)</f>
        <v>3151</v>
      </c>
      <c r="CB47" s="765" cm="1">
        <f t="array" aca="1" ref="CB47" ca="1">IF(NPSwitch=1,_xll.TR(CB$7,CB$6,"Sdate=#1 Period=#2 NULL=BLANK Scale=6",,$D47,$AS$4),CB47)</f>
        <v>1059.1500000000001</v>
      </c>
      <c r="CC47" s="765" cm="1">
        <f t="array" aca="1" ref="CC47" ca="1">IF(NPSwitch=1,_xll.TR(CC$7,CC$6,"Sdate=#1 Period=#2 NULL=BLANK Scale=6",,$D47,$AS$4),CC47)</f>
        <v>5455.5249999999996</v>
      </c>
      <c r="CD47" s="765" cm="1">
        <f t="array" aca="1" ref="CD47" ca="1">IF(NPSwitch=1,_xll.TR(CD$7,CD$6,"Sdate=#1 Period=#2 NULL=BLANK Scale=6",,$D47,$AS$4),CD47)</f>
        <v>1694.1</v>
      </c>
      <c r="CE47" s="765" cm="1">
        <f t="array" aca="1" ref="CE47" ca="1">IF(NPSwitch=1,_xll.TR(CE$7,CE$6,"Sdate=#1 Period=#2 NULL=BLANK Scale=6",,$D47,$AS$4),CE47)</f>
        <v>5783.75</v>
      </c>
      <c r="CF47" s="765" t="str" cm="1">
        <f t="array" aca="1" ref="CF47" ca="1">IF(NPSwitch=1,_xll.TR(CF$7,CF$6,"Sdate=#1 Period=#2 NULL=BLANK Scale=6",,$D47,$AS$4),CF47)</f>
        <v/>
      </c>
      <c r="CG47" s="765" cm="1">
        <f t="array" aca="1" ref="CG47" ca="1">IF(NPSwitch=1,_xll.TR(CG$7,CG$6,"Sdate=#1 Period=#2 NULL=BLANK Scale=6",,$D47,$AS$4),CG47)</f>
        <v>3703.5</v>
      </c>
      <c r="CI47" s="1000" cm="1">
        <f t="array" aca="1" ref="CI47" ca="1">IF(NPSwitch=1,_xll.TR(CI$7,CI$6,"Sdate=#1 Period=#2 NULL=BLANK Scale=6",,$D47,$AS$4),CI47)</f>
        <v>6416</v>
      </c>
      <c r="CJ47" s="1000" cm="1">
        <f t="array" aca="1" ref="CJ47" ca="1">IF(NPSwitch=1,_xll.TR(CJ$7,CJ$6,"Sdate=#1 Period=#2 NULL=BLANK Scale=6",,$D47,$AS$4),CJ47)</f>
        <v>421.68599999999998</v>
      </c>
      <c r="CK47" s="1000" cm="1">
        <f t="array" aca="1" ref="CK47" ca="1">IF(NPSwitch=1,_xll.TR(CK$7,CK$6,"Sdate=#1 Period=#2 NULL=BLANK Scale=6",,$D47,$AS$4),CK47)</f>
        <v>305</v>
      </c>
      <c r="CL47" s="1000" cm="1">
        <f t="array" aca="1" ref="CL47" ca="1">IF(NPSwitch=1,_xll.TR(CL$7,CL$6,"Sdate=#1 Period=#2 NULL=BLANK Scale=6",,$D47,$AS$4),CL47)</f>
        <v>63.6</v>
      </c>
      <c r="CM47" s="1000" cm="1">
        <f t="array" aca="1" ref="CM47" ca="1">IF(NPSwitch=1,_xll.TR(CM$7,CM$6,"Sdate=#1 Period=#2 NULL=BLANK Scale=6",,$D47,$AS$4),CM47)</f>
        <v>817.5</v>
      </c>
      <c r="CN47" s="1000" cm="1">
        <f t="array" aca="1" ref="CN47" ca="1">IF(NPSwitch=1,_xll.TR(CN$7,CN$6,"Sdate=#1 Period=#2 NULL=BLANK Scale=6",,$D47,$AS$4),CN47)</f>
        <v>526.6</v>
      </c>
      <c r="CO47" s="1000" cm="1">
        <f t="array" aca="1" ref="CO47" ca="1">IF(NPSwitch=1,_xll.TR(CO$7,CO$6,"Sdate=#1 Period=#2 NULL=BLANK Scale=6",,$D47,$AS$4),CO47)</f>
        <v>1835</v>
      </c>
      <c r="CP47" s="1000" t="str" cm="1">
        <f t="array" aca="1" ref="CP47" ca="1">IF(NPSwitch=1,_xll.TR(CP$7,CP$6,"Sdate=#1 Period=#2 NULL=BLANK Scale=6",,$D47,$AS$4),CP47)</f>
        <v/>
      </c>
      <c r="CQ47" s="1000" cm="1">
        <f t="array" aca="1" ref="CQ47" ca="1">IF(NPSwitch=1,_xll.TR(CQ$7,CQ$6,"Sdate=#1 Period=#2 NULL=BLANK Scale=6",,$D47,$AS$4),CQ47)</f>
        <v>943</v>
      </c>
      <c r="CS47" s="1000" cm="1">
        <f t="array" aca="1" ref="CS47" ca="1">IF(NPSwitch=1,_xll.TR(CS$7,CS$6,"Sdate=#1 Period=#2 NULL=BLANK Scale=6",,$D47,$AS$4),CS47)</f>
        <v>6258</v>
      </c>
      <c r="CT47" s="1000" cm="1">
        <f t="array" aca="1" ref="CT47" ca="1">IF(NPSwitch=1,_xll.TR(CT$7,CT$6,"Sdate=#1 Period=#2 NULL=BLANK Scale=6",,$D47,$AS$4),CT47)</f>
        <v>1009.7485</v>
      </c>
      <c r="CU47" s="1000" cm="1">
        <f t="array" aca="1" ref="CU47" ca="1">IF(NPSwitch=1,_xll.TR(CU$7,CU$6,"Sdate=#1 Period=#2 NULL=BLANK Scale=6",,$D47,$AS$4),CU47)</f>
        <v>974.5</v>
      </c>
      <c r="CV47" s="1000" cm="1">
        <f t="array" aca="1" ref="CV47" ca="1">IF(NPSwitch=1,_xll.TR(CV$7,CV$6,"Sdate=#1 Period=#2 NULL=BLANK Scale=6",,$D47,$AS$4),CV47)</f>
        <v>444.35</v>
      </c>
      <c r="CW47" s="1000" cm="1">
        <f t="array" aca="1" ref="CW47" ca="1">IF(NPSwitch=1,_xll.TR(CW$7,CW$6,"Sdate=#1 Period=#2 NULL=BLANK Scale=6",,$D47,$AS$4),CW47)</f>
        <v>958.47500000000002</v>
      </c>
      <c r="CX47" s="1000" cm="1">
        <f t="array" aca="1" ref="CX47" ca="1">IF(NPSwitch=1,_xll.TR(CX$7,CX$6,"Sdate=#1 Period=#2 NULL=BLANK Scale=6",,$D47,$AS$4),CX47)</f>
        <v>2504</v>
      </c>
      <c r="CY47" s="1000" t="str" cm="1">
        <f t="array" aca="1" ref="CY47" ca="1">IF(NPSwitch=1,_xll.TR(CY$7,CY$6,"Sdate=#1 Period=#2 NULL=BLANK Scale=6",,$D47,$AS$4),CY47)</f>
        <v/>
      </c>
      <c r="CZ47" s="1000" cm="1">
        <f t="array" aca="1" ref="CZ47" ca="1">IF(NPSwitch=1,_xll.TR(CZ$7,CZ$6,"Sdate=#1 Period=#2 NULL=BLANK Scale=6",,$D47,$AS$4),CZ47)</f>
        <v>2960.75</v>
      </c>
      <c r="DA47" s="1000" cm="1">
        <f t="array" aca="1" ref="DA47" ca="1">IF(NPSwitch=1,_xll.TR(DA$7,DA$6,"Sdate=#1 Period=#2 NULL=BLANK Scale=6",,$D47,$AS$4),DA47)</f>
        <v>2213.75</v>
      </c>
      <c r="DB47" s="1000" cm="1">
        <f t="array" aca="1" ref="DB47" ca="1">IF(NPSwitch=1,_xll.TR(DB$7,DB$6,"Sdate=#1 Period=#2 NULL=BLANK Scale=6",,$D47,$AS$4),DB47)</f>
        <v>14760.875</v>
      </c>
      <c r="DC47" s="1000" t="str" cm="1">
        <f t="array" aca="1" ref="DC47" ca="1">IF(NPSwitch=1,_xll.TR(DC$7,DC$6,"Sdate=#1 Period=#2 NULL=BLANK Scale=6",,$D47,$AS$4),DC47)</f>
        <v/>
      </c>
      <c r="DD47" s="1000" t="str" cm="1">
        <f t="array" aca="1" ref="DD47" ca="1">IF(NPSwitch=1,_xll.TR(DD$7,DD$6,"Sdate=#1 Period=#2 NULL=BLANK Scale=6",,$D47,$AS$4),DD47)</f>
        <v/>
      </c>
      <c r="DE47" s="1000" t="str" cm="1">
        <f t="array" aca="1" ref="DE47" ca="1">IF(NPSwitch=1,_xll.TR(DE$7,DE$6,"Sdate=#1 Period=#2 NULL=BLANK Scale=6",,$D47,$AS$4),DE47)</f>
        <v/>
      </c>
      <c r="DF47" s="1000" cm="1">
        <f t="array" aca="1" ref="DF47" ca="1">IF(NPSwitch=1,_xll.TR(DF$7,DF$6,"Sdate=#1 Period=#2 NULL=BLANK Scale=6",,$D47,$AS$4),DF47)</f>
        <v>444.35</v>
      </c>
      <c r="DG47" s="1000" cm="1">
        <f t="array" aca="1" ref="DG47" ca="1">IF(NPSwitch=1,_xll.TR(DG$7,DG$6,"Sdate=#1 Period=#2 NULL=BLANK Scale=6",,$D47,$AS$4),DG47)</f>
        <v>3999.4</v>
      </c>
      <c r="DH47" s="1000" cm="1">
        <f t="array" aca="1" ref="DH47" ca="1">IF(NPSwitch=1,_xll.TR(DH$7,DH$6,"Sdate=#1 Period=#2 NULL=BLANK Scale=6",,$D47,$AS$4),DH47)</f>
        <v>1084.9377500000001</v>
      </c>
      <c r="FN47" s="3" t="s">
        <v>1554</v>
      </c>
    </row>
    <row r="48" spans="3:170" ht="11.25" customHeight="1">
      <c r="C48" s="969">
        <f t="shared" si="44"/>
        <v>39538</v>
      </c>
      <c r="D48" s="974">
        <f t="shared" si="43"/>
        <v>39583</v>
      </c>
      <c r="E48" s="765" cm="1">
        <f t="array" aca="1" ref="E48" ca="1">IF(NPSwitch=1,_xll.TR(E$7,E$6,"Sdate=#1 Period=#2 NULL=BLANK",,$D48,$E$4),E48)</f>
        <v>7.99651197546474</v>
      </c>
      <c r="F48" s="765" cm="1">
        <f t="array" aca="1" ref="F48" ca="1">IF(NPSwitch=1,_xll.TR(F$7,F$6,"Sdate=#1 Period=#2 NULL=BLANK",,$D48,$E$4),F48)</f>
        <v>9.81372160313488</v>
      </c>
      <c r="G48" s="765" cm="1">
        <f t="array" aca="1" ref="G48" ca="1">IF(NPSwitch=1,_xll.TR(G$7,G$6,"Sdate=#1 Period=#2 NULL=BLANK",,$D48,$E$4),G48)</f>
        <v>6.8218997949210802</v>
      </c>
      <c r="H48" s="765" cm="1">
        <f t="array" aca="1" ref="H48" ca="1">IF(NPSwitch=1,_xll.TR(H$7,H$6,"Sdate=#1 Period=#2 NULL=BLANK",,$D48,$E$4),H48)</f>
        <v>6.2964345989918602</v>
      </c>
      <c r="I48" s="765" cm="1">
        <f t="array" aca="1" ref="I48" ca="1">IF(NPSwitch=1,_xll.TR(I$7,I$6,"Sdate=#1 Period=#2 NULL=BLANK",,$D48,$E$4),I48)</f>
        <v>10.0070176446267</v>
      </c>
      <c r="J48" s="765" cm="1">
        <f t="array" aca="1" ref="J48" ca="1">IF(NPSwitch=1,_xll.TR(J$7,J$6,"Sdate=#1 Period=#2 NULL=BLANK",,$D48,$E$4),J48)</f>
        <v>9.0340142045306493</v>
      </c>
      <c r="K48" s="765" cm="1">
        <f t="array" aca="1" ref="K48" ca="1">IF(NPSwitch=1,_xll.TR(K$7,K$6,"Sdate=#1 Period=#2 NULL=BLANK",,$D48,$E$4),K48)</f>
        <v>6.7125155350196097</v>
      </c>
      <c r="L48" s="765" cm="1">
        <f t="array" aca="1" ref="L48" ca="1">IF(NPSwitch=1,_xll.TR(L$7,L$6,"Sdate=#1 Period=#2 NULL=BLANK",,$D48,$E$4),L48)</f>
        <v>5.7990494049450003</v>
      </c>
      <c r="M48" s="765" cm="1">
        <f t="array" aca="1" ref="M48" ca="1">IF(NPSwitch=1,_xll.TR(M$7,M$6,"Sdate=#1 Period=#2 NULL=BLANK",,$D48,$E$4),M48)</f>
        <v>6.87129923344866</v>
      </c>
      <c r="N48" s="1002">
        <f t="shared" ca="1" si="45"/>
        <v>7.4451551971724834</v>
      </c>
      <c r="O48" s="1000" cm="1">
        <f t="array" aca="1" ref="O48" ca="1">IF(NPSwitch=1,_xll.TR(O$7,O$6,"Sdate=#1 Period=#2 Scale=6 NULL=BLANK",,$D48,$O$4),O48)</f>
        <v>54835.82482786</v>
      </c>
      <c r="P48" s="1000" cm="1">
        <f t="array" aca="1" ref="P48" ca="1">IF(NPSwitch=1,_xll.TR(P$7,P$6,"Sdate=#1 Period=#2 Scale=6 NULL=BLANK",,$D48,$O$4),P48)</f>
        <v>4051.8345562</v>
      </c>
      <c r="Q48" s="1000" cm="1">
        <f t="array" aca="1" ref="Q48" ca="1">IF(NPSwitch=1,_xll.TR(Q$7,Q$6,"Sdate=#1 Period=#2 Scale=6 NULL=BLANK",,$D48,$O$4),Q48)</f>
        <v>3634.3789597499999</v>
      </c>
      <c r="R48" s="1000" cm="1">
        <f t="array" aca="1" ref="R48" ca="1">IF(NPSwitch=1,_xll.TR(R$7,R$6,"Sdate=#1 Period=#2 Scale=6 NULL=BLANK",,$D48,$O$4),R48)</f>
        <v>720.06698872000004</v>
      </c>
      <c r="S48" s="1000" cm="1">
        <f t="array" aca="1" ref="S48" ca="1">IF(NPSwitch=1,_xll.TR(S$7,S$6,"Sdate=#1 Period=#2 Scale=6 NULL=BLANK",,$D48,$O$4),S48)</f>
        <v>5486.4282797999904</v>
      </c>
      <c r="T48" s="1000" cm="1">
        <f t="array" aca="1" ref="T48" ca="1">IF(NPSwitch=1,_xll.TR(T$7,T$6,"Sdate=#1 Period=#2 Scale=6 NULL=BLANK",,$D48,$O$4),T48)</f>
        <v>5221.9221548200003</v>
      </c>
      <c r="U48" s="1000" cm="1">
        <f t="array" aca="1" ref="U48" ca="1">IF(NPSwitch=1,_xll.TR(U$7,U$6,"Sdate=#1 Period=#2 Scale=6 NULL=BLANK",,$D48,$O$4),U48)</f>
        <v>10768.0083928</v>
      </c>
      <c r="V48" s="1000" cm="1">
        <f t="array" aca="1" ref="V48" ca="1">IF(NPSwitch=1,_xll.TR(V$7,V$6,"Sdate=#1 Period=#2 Scale=6 NULL=BLANK",,$D48,$O$4),V48)</f>
        <v>7746.7664484425104</v>
      </c>
      <c r="W48" s="1000" cm="1">
        <f t="array" aca="1" ref="W48" ca="1">IF(NPSwitch=1,_xll.TR(W$7,W$6,"Sdate=#1 Period=#2 Scale=6 NULL=BLANK",,$D48,$O$4),W48)</f>
        <v>5818.9844991099999</v>
      </c>
      <c r="X48" s="998"/>
      <c r="Y48" s="1000" cm="1">
        <f t="array" aca="1" ref="Y48" ca="1">IF(NPSwitch=1,_xll.TR(Y$7,Y$6,"Sdate=#1 Period=#2 Scale=6 NULL=BLANK",,$D48,$O$4),Y48)</f>
        <v>2586.75</v>
      </c>
      <c r="Z48" s="1000" cm="1">
        <f t="array" aca="1" ref="Z48" ca="1">IF(NPSwitch=1,_xll.TR(Z$7,Z$6,"Sdate=#1 Period=#2 Scale=6 NULL=BLANK",,$D48,$O$4),Z48)</f>
        <v>141.84200000000001</v>
      </c>
      <c r="AA48" s="1000" cm="1">
        <f t="array" aca="1" ref="AA48" ca="1">IF(NPSwitch=1,_xll.TR(AA$7,AA$6,"Sdate=#1 Period=#2 Scale=6 NULL=BLANK",,$D48,$O$4),AA48)</f>
        <v>1009.25</v>
      </c>
      <c r="AB48" s="1000" cm="1">
        <f t="array" aca="1" ref="AB48" ca="1">IF(NPSwitch=1,_xll.TR(AB$7,AB$6,"Sdate=#1 Period=#2 Scale=6 NULL=BLANK",,$D48,$O$4),AB48)</f>
        <v>59.7</v>
      </c>
      <c r="AC48" s="1000" cm="1">
        <f t="array" aca="1" ref="AC48" ca="1">IF(NPSwitch=1,_xll.TR(AC$7,AC$6,"Sdate=#1 Period=#2 Scale=6 NULL=BLANK",,$D48,$O$4),AC48)</f>
        <v>159.65</v>
      </c>
      <c r="AD48" s="1000" cm="1">
        <f t="array" aca="1" ref="AD48" ca="1">IF(NPSwitch=1,_xll.TR(AD$7,AD$6,"Sdate=#1 Period=#2 Scale=6 NULL=BLANK",,$D48,$O$4),AD48)</f>
        <v>81.25</v>
      </c>
      <c r="AE48" s="1000" cm="1">
        <f t="array" aca="1" ref="AE48" ca="1">IF(NPSwitch=1,_xll.TR(AE$7,AE$6,"Sdate=#1 Period=#2 Scale=6 NULL=BLANK",,$D48,$O$4),AE48)</f>
        <v>312</v>
      </c>
      <c r="AF48" s="1000" cm="1">
        <f t="array" aca="1" ref="AF48" ca="1">IF(NPSwitch=1,_xll.TR(AF$7,AF$6,"Sdate=#1 Period=#2 Scale=6 NULL=BLANK",,$D48,$O$4),AF48)</f>
        <v>474.75</v>
      </c>
      <c r="AG48" s="1000" cm="1">
        <f t="array" aca="1" ref="AG48" ca="1">IF(NPSwitch=1,_xll.TR(AG$7,AG$6,"Sdate=#1 Period=#2 Scale=6 NULL=BLANK",,$D48,$O$4),AG48)</f>
        <v>838.25</v>
      </c>
      <c r="AH48" s="998"/>
      <c r="AI48" s="1000" cm="1">
        <f t="array" aca="1" ref="AI48" ca="1">IF(NPSwitch=1,_xll.TR(AI$7,AI$6,"Sdate=#1 Period=#2 Scale=6 NULL=BLANK",,$D48,$O$4),AI48)</f>
        <v>58048.82482786</v>
      </c>
      <c r="AJ48" s="1000" cm="1">
        <f t="array" aca="1" ref="AJ48" ca="1">IF(NPSwitch=1,_xll.TR(AJ$7,AJ$6,"Sdate=#1 Period=#2 Scale=6 NULL=BLANK",,$D48,$O$4),AJ48)</f>
        <v>4851.4155561999996</v>
      </c>
      <c r="AK48" s="1000" cm="1">
        <f t="array" aca="1" ref="AK48" ca="1">IF(NPSwitch=1,_xll.TR(AK$7,AK$6,"Sdate=#1 Period=#2 Scale=6 NULL=BLANK",,$D48,$O$4),AK48)</f>
        <v>2780.3789597499999</v>
      </c>
      <c r="AL48" s="1000" cm="1">
        <f t="array" aca="1" ref="AL48" ca="1">IF(NPSwitch=1,_xll.TR(AL$7,AL$6,"Sdate=#1 Period=#2 Scale=6 NULL=BLANK",,$D48,$O$4),AL48)</f>
        <v>1082.5669887199999</v>
      </c>
      <c r="AM48" s="1000" cm="1">
        <f t="array" aca="1" ref="AM48" ca="1">IF(NPSwitch=1,_xll.TR(AM$7,AM$6,"Sdate=#1 Period=#2 Scale=6 NULL=BLANK",,$D48,$O$4),AM48)</f>
        <v>9173.4282798000004</v>
      </c>
      <c r="AN48" s="1000" cm="1">
        <f t="array" aca="1" ref="AN48" ca="1">IF(NPSwitch=1,_xll.TR(AN$7,AN$6,"Sdate=#1 Period=#2 Scale=6 NULL=BLANK",,$D48,$O$4),AN48)</f>
        <v>5822.4221548200003</v>
      </c>
      <c r="AO48" s="1000" cm="1">
        <f t="array" aca="1" ref="AO48" ca="1">IF(NPSwitch=1,_xll.TR(AO$7,AO$6,"Sdate=#1 Period=#2 Scale=6 NULL=BLANK",,$D48,$O$4),AO48)</f>
        <v>15093.0083928</v>
      </c>
      <c r="AP48" s="1000" cm="1">
        <f t="array" aca="1" ref="AP48" ca="1">IF(NPSwitch=1,_xll.TR(AP$7,AP$6,"Sdate=#1 Period=#2 Scale=6 NULL=BLANK",,$D48,$O$4),AP48)</f>
        <v>9381.7664484430006</v>
      </c>
      <c r="AQ48" s="1000" cm="1">
        <f t="array" aca="1" ref="AQ48" ca="1">IF(NPSwitch=1,_xll.TR(AQ$7,AQ$6,"Sdate=#1 Period=#2 Scale=6 NULL=BLANK",,$D48,$O$4),AQ48)</f>
        <v>6712.9844991099999</v>
      </c>
      <c r="AS48" s="765" t="str" cm="1">
        <f t="array" aca="1" ref="AS48" ca="1">IF(NPSwitch=1,_xll.TR(AS$7,AS$6,"Sdate=#1 Period=#2 NULL=BLANK Scale=6",,$D48,$AS$4),AS48)</f>
        <v/>
      </c>
      <c r="AT48" s="765" t="str" cm="1">
        <f t="array" aca="1" ref="AT48" ca="1">IF(NPSwitch=1,_xll.TR(AT$7,AT$6,"Sdate=#1 Period=#2 NULL=BLANK Scale=6",,$D48,$AS$4),AT48)</f>
        <v/>
      </c>
      <c r="AU48" s="765" t="str" cm="1">
        <f t="array" aca="1" ref="AU48" ca="1">IF(NPSwitch=1,_xll.TR(AU$7,AU$6,"Sdate=#1 Period=#2 NULL=BLANK Scale=6",,$D48,$AS$4),AU48)</f>
        <v/>
      </c>
      <c r="AV48" s="765" t="str" cm="1">
        <f t="array" aca="1" ref="AV48" ca="1">IF(NPSwitch=1,_xll.TR(AV$7,AV$6,"Sdate=#1 Period=#2 NULL=BLANK Scale=6",,$D48,$AS$4),AV48)</f>
        <v/>
      </c>
      <c r="AW48" s="765" t="str" cm="1">
        <f t="array" aca="1" ref="AW48" ca="1">IF(NPSwitch=1,_xll.TR(AW$7,AW$6,"Sdate=#1 Period=#2 NULL=BLANK Scale=6",,$D48,$AS$4),AW48)</f>
        <v/>
      </c>
      <c r="AX48" s="765" t="str" cm="1">
        <f t="array" aca="1" ref="AX48" ca="1">IF(NPSwitch=1,_xll.TR(AX$7,AX$6,"Sdate=#1 Period=#2 NULL=BLANK Scale=6",,$D48,$AS$4),AX48)</f>
        <v/>
      </c>
      <c r="AY48" s="765" t="str" cm="1">
        <f t="array" aca="1" ref="AY48" ca="1">IF(NPSwitch=1,_xll.TR(AY$7,AY$6,"Sdate=#1 Period=#2 NULL=BLANK Scale=6",,$D48,$AS$4),AY48)</f>
        <v/>
      </c>
      <c r="AZ48" s="765" t="str" cm="1">
        <f t="array" aca="1" ref="AZ48" ca="1">IF(NPSwitch=1,_xll.TR(AZ$7,AZ$6,"Sdate=#1 Period=#2 NULL=BLANK Scale=6",,$D48,$AS$4),AZ48)</f>
        <v/>
      </c>
      <c r="BA48" s="765" t="str" cm="1">
        <f t="array" aca="1" ref="BA48" ca="1">IF(NPSwitch=1,_xll.TR(BA$7,BA$6,"Sdate=#1 Period=#2 NULL=BLANK Scale=6",,$D48,$AS$4),BA48)</f>
        <v/>
      </c>
      <c r="BB48" s="1002"/>
      <c r="BC48" s="765" cm="1">
        <f t="array" aca="1" ref="BC48" ca="1">IF(NPSwitch=1,_xll.TR(BC$7,BC$6,"Sdate=#1 Period=#2 NULL=BLANK",,$D48,$BC$4),BC48)</f>
        <v>8.7740061709999999</v>
      </c>
      <c r="BD48" s="765" cm="1">
        <f t="array" aca="1" ref="BD48" ca="1">IF(NPSwitch=1,_xll.TR(BD$7,BD$6,"Sdate=#1 Period=#2 NULL=BLANK",,$D48,$BC$4),BD48)</f>
        <v>11.378176590000001</v>
      </c>
      <c r="BE48" s="765" cm="1">
        <f t="array" aca="1" ref="BE48" ca="1">IF(NPSwitch=1,_xll.TR(BE$7,BE$6,"Sdate=#1 Period=#2 NULL=BLANK",,$D48,$BC$4),BE48)</f>
        <v>8.6616166969999995</v>
      </c>
      <c r="BF48" s="765" cm="1">
        <f t="array" aca="1" ref="BF48" ca="1">IF(NPSwitch=1,_xll.TR(BF$7,BF$6,"Sdate=#1 Period=#2 NULL=BLANK",,$D48,$BC$4),BF48)</f>
        <v>18.286604538999999</v>
      </c>
      <c r="BG48" s="765" t="str" cm="1">
        <f t="array" aca="1" ref="BG48" ca="1">IF(NPSwitch=1,_xll.TR(BG$7,BG$6,"Sdate=#1 Period=#2 NULL=BLANK",,$D48,$BC$4),BG48)</f>
        <v/>
      </c>
      <c r="BH48" s="765" cm="1">
        <f t="array" aca="1" ref="BH48" ca="1">IF(NPSwitch=1,_xll.TR(BH$7,BH$6,"Sdate=#1 Period=#2 NULL=BLANK",,$D48,$BC$4),BH48)</f>
        <v>10.426973773</v>
      </c>
      <c r="BI48" s="765" cm="1">
        <f t="array" aca="1" ref="BI48" ca="1">IF(NPSwitch=1,_xll.TR(BI$7,BI$6,"Sdate=#1 Period=#2 NULL=BLANK",,$D48,$BC$4),BI48)</f>
        <v>8.1982663729999992</v>
      </c>
      <c r="BJ48" s="765" cm="1">
        <f t="array" aca="1" ref="BJ48" ca="1">IF(NPSwitch=1,_xll.TR(BJ$7,BJ$6,"Sdate=#1 Period=#2 NULL=BLANK",,$D48,$BC$4),BJ48)</f>
        <v>5.327522117</v>
      </c>
      <c r="BK48" s="765" cm="1">
        <f t="array" aca="1" ref="BK48" ca="1">IF(NPSwitch=1,_xll.TR(BK$7,BK$6,"Sdate=#1 Period=#2 NULL=BLANK",,$D48,$BC$4),BK48)</f>
        <v>7.0293031399999997</v>
      </c>
      <c r="BM48" s="1014"/>
      <c r="BO48" s="765" cm="1">
        <f t="array" aca="1" ref="BO48" ca="1">IF(NPSwitch=1,_xll.TR(BO$7,BO$6,"Sdate=#1 Period=#2 NULL=BLANK Scale=6",,$D48,$AS$4),BO48)</f>
        <v>24988</v>
      </c>
      <c r="BP48" s="765" cm="1">
        <f t="array" aca="1" ref="BP48" ca="1">IF(NPSwitch=1,_xll.TR(BP$7,BP$6,"Sdate=#1 Period=#2 NULL=BLANK Scale=6",,$D48,$AS$4),BP48)</f>
        <v>2415.1260000000002</v>
      </c>
      <c r="BQ48" s="765" cm="1">
        <f t="array" aca="1" ref="BQ48" ca="1">IF(NPSwitch=1,_xll.TR(BQ$7,BQ$6,"Sdate=#1 Period=#2 NULL=BLANK Scale=6",,$D48,$AS$4),BQ48)</f>
        <v>8032</v>
      </c>
      <c r="BR48" s="765" cm="1">
        <f t="array" aca="1" ref="BR48" ca="1">IF(NPSwitch=1,_xll.TR(BR$7,BR$6,"Sdate=#1 Period=#2 NULL=BLANK Scale=6",,$D48,$AS$4),BR48)</f>
        <v>2698.6</v>
      </c>
      <c r="BS48" s="765" cm="1">
        <f t="array" aca="1" ref="BS48" ca="1">IF(NPSwitch=1,_xll.TR(BS$7,BS$6,"Sdate=#1 Period=#2 NULL=BLANK Scale=6",,$D48,$AS$4),BS48)</f>
        <v>9939</v>
      </c>
      <c r="BT48" s="765" cm="1">
        <f t="array" aca="1" ref="BT48" ca="1">IF(NPSwitch=1,_xll.TR(BT$7,BT$6,"Sdate=#1 Period=#2 NULL=BLANK Scale=6",,$D48,$AS$4),BT48)</f>
        <v>2709</v>
      </c>
      <c r="BU48" s="765" cm="1">
        <f t="array" aca="1" ref="BU48" ca="1">IF(NPSwitch=1,_xll.TR(BU$7,BU$6,"Sdate=#1 Period=#2 NULL=BLANK Scale=6",,$D48,$AS$4),BU48)</f>
        <v>13294</v>
      </c>
      <c r="BV48" s="765" cm="1">
        <f t="array" aca="1" ref="BV48" ca="1">IF(NPSwitch=1,_xll.TR(BV$7,BV$6,"Sdate=#1 Period=#2 NULL=BLANK Scale=6",,$D48,$AS$4),BV48)</f>
        <v>9574</v>
      </c>
      <c r="BW48" s="765" cm="1">
        <f t="array" aca="1" ref="BW48" ca="1">IF(NPSwitch=1,_xll.TR(BW$7,BW$6,"Sdate=#1 Period=#2 NULL=BLANK Scale=6",,$D48,$AS$4),BW48)</f>
        <v>6920</v>
      </c>
      <c r="BX48" s="1002"/>
      <c r="BY48" s="765" cm="1">
        <f t="array" aca="1" ref="BY48" ca="1">IF(NPSwitch=1,_xll.TR(BY$7,BY$6,"Sdate=#1 Period=#2 NULL=BLANK Scale=6",,$D48,$AS$4),BY48)</f>
        <v>16636.75</v>
      </c>
      <c r="BZ48" s="765" cm="1">
        <f t="array" aca="1" ref="BZ48" ca="1">IF(NPSwitch=1,_xll.TR(BZ$7,BZ$6,"Sdate=#1 Period=#2 NULL=BLANK Scale=6",,$D48,$AS$4),BZ48)</f>
        <v>1988.325</v>
      </c>
      <c r="CA48" s="765" cm="1">
        <f t="array" aca="1" ref="CA48" ca="1">IF(NPSwitch=1,_xll.TR(CA$7,CA$6,"Sdate=#1 Period=#2 NULL=BLANK Scale=6",,$D48,$AS$4),CA48)</f>
        <v>3242.25</v>
      </c>
      <c r="CB48" s="765" cm="1">
        <f t="array" aca="1" ref="CB48" ca="1">IF(NPSwitch=1,_xll.TR(CB$7,CB$6,"Sdate=#1 Period=#2 NULL=BLANK Scale=6",,$D48,$AS$4),CB48)</f>
        <v>1031.2750000000001</v>
      </c>
      <c r="CC48" s="765" cm="1">
        <f t="array" aca="1" ref="CC48" ca="1">IF(NPSwitch=1,_xll.TR(CC$7,CC$6,"Sdate=#1 Period=#2 NULL=BLANK Scale=6",,$D48,$AS$4),CC48)</f>
        <v>5529.2250000000004</v>
      </c>
      <c r="CD48" s="765" cm="1">
        <f t="array" aca="1" ref="CD48" ca="1">IF(NPSwitch=1,_xll.TR(CD$7,CD$6,"Sdate=#1 Period=#2 NULL=BLANK Scale=6",,$D48,$AS$4),CD48)</f>
        <v>1715.85</v>
      </c>
      <c r="CE48" s="765" cm="1">
        <f t="array" aca="1" ref="CE48" ca="1">IF(NPSwitch=1,_xll.TR(CE$7,CE$6,"Sdate=#1 Period=#2 NULL=BLANK Scale=6",,$D48,$AS$4),CE48)</f>
        <v>6766.75</v>
      </c>
      <c r="CF48" s="765" cm="1">
        <f t="array" aca="1" ref="CF48" ca="1">IF(NPSwitch=1,_xll.TR(CF$7,CF$6,"Sdate=#1 Period=#2 NULL=BLANK Scale=6",,$D48,$AS$4),CF48)</f>
        <v>6510</v>
      </c>
      <c r="CG48" s="765" cm="1">
        <f t="array" aca="1" ref="CG48" ca="1">IF(NPSwitch=1,_xll.TR(CG$7,CG$6,"Sdate=#1 Period=#2 NULL=BLANK Scale=6",,$D48,$AS$4),CG48)</f>
        <v>3674.25</v>
      </c>
      <c r="CI48" s="1000" cm="1">
        <f t="array" aca="1" ref="CI48" ca="1">IF(NPSwitch=1,_xll.TR(CI$7,CI$6,"Sdate=#1 Period=#2 NULL=BLANK Scale=6",,$D48,$AS$4),CI48)</f>
        <v>6616</v>
      </c>
      <c r="CJ48" s="1000" cm="1">
        <f t="array" aca="1" ref="CJ48" ca="1">IF(NPSwitch=1,_xll.TR(CJ$7,CJ$6,"Sdate=#1 Period=#2 NULL=BLANK Scale=6",,$D48,$AS$4),CJ48)</f>
        <v>426.37900000000002</v>
      </c>
      <c r="CK48" s="1000" cm="1">
        <f t="array" aca="1" ref="CK48" ca="1">IF(NPSwitch=1,_xll.TR(CK$7,CK$6,"Sdate=#1 Period=#2 NULL=BLANK Scale=6",,$D48,$AS$4),CK48)</f>
        <v>321</v>
      </c>
      <c r="CL48" s="1000" cm="1">
        <f t="array" aca="1" ref="CL48" ca="1">IF(NPSwitch=1,_xll.TR(CL$7,CL$6,"Sdate=#1 Period=#2 NULL=BLANK Scale=6",,$D48,$AS$4),CL48)</f>
        <v>59.2</v>
      </c>
      <c r="CM48" s="1000" t="str" cm="1">
        <f t="array" aca="1" ref="CM48" ca="1">IF(NPSwitch=1,_xll.TR(CM$7,CM$6,"Sdate=#1 Period=#2 NULL=BLANK Scale=6",,$D48,$AS$4),CM48)</f>
        <v/>
      </c>
      <c r="CN48" s="1000" cm="1">
        <f t="array" aca="1" ref="CN48" ca="1">IF(NPSwitch=1,_xll.TR(CN$7,CN$6,"Sdate=#1 Period=#2 NULL=BLANK Scale=6",,$D48,$AS$4),CN48)</f>
        <v>558.4</v>
      </c>
      <c r="CO48" s="1000" cm="1">
        <f t="array" aca="1" ref="CO48" ca="1">IF(NPSwitch=1,_xll.TR(CO$7,CO$6,"Sdate=#1 Period=#2 NULL=BLANK Scale=6",,$D48,$AS$4),CO48)</f>
        <v>1841</v>
      </c>
      <c r="CP48" s="1000" cm="1">
        <f t="array" aca="1" ref="CP48" ca="1">IF(NPSwitch=1,_xll.TR(CP$7,CP$6,"Sdate=#1 Period=#2 NULL=BLANK Scale=6",,$D48,$AS$4),CP48)</f>
        <v>1761</v>
      </c>
      <c r="CQ48" s="1000" cm="1">
        <f t="array" aca="1" ref="CQ48" ca="1">IF(NPSwitch=1,_xll.TR(CQ$7,CQ$6,"Sdate=#1 Period=#2 NULL=BLANK Scale=6",,$D48,$AS$4),CQ48)</f>
        <v>955</v>
      </c>
      <c r="CS48" s="1000" cm="1">
        <f t="array" aca="1" ref="CS48" ca="1">IF(NPSwitch=1,_xll.TR(CS$7,CS$6,"Sdate=#1 Period=#2 NULL=BLANK Scale=6",,$D48,$AS$4),CS48)</f>
        <v>6454</v>
      </c>
      <c r="CT48" s="1000" cm="1">
        <f t="array" aca="1" ref="CT48" ca="1">IF(NPSwitch=1,_xll.TR(CT$7,CT$6,"Sdate=#1 Period=#2 NULL=BLANK Scale=6",,$D48,$AS$4),CT48)</f>
        <v>1029.2180000000001</v>
      </c>
      <c r="CU48" s="1000" cm="1">
        <f t="array" aca="1" ref="CU48" ca="1">IF(NPSwitch=1,_xll.TR(CU$7,CU$6,"Sdate=#1 Period=#2 NULL=BLANK Scale=6",,$D48,$AS$4),CU48)</f>
        <v>989</v>
      </c>
      <c r="CV48" s="1000" cm="1">
        <f t="array" aca="1" ref="CV48" ca="1">IF(NPSwitch=1,_xll.TR(CV$7,CV$6,"Sdate=#1 Period=#2 NULL=BLANK Scale=6",,$D48,$AS$4),CV48)</f>
        <v>452.25</v>
      </c>
      <c r="CW48" s="1000" cm="1">
        <f t="array" aca="1" ref="CW48" ca="1">IF(NPSwitch=1,_xll.TR(CW$7,CW$6,"Sdate=#1 Period=#2 NULL=BLANK Scale=6",,$D48,$AS$4),CW48)</f>
        <v>934.22500000000002</v>
      </c>
      <c r="CX48" s="1000" cm="1">
        <f t="array" aca="1" ref="CX48" ca="1">IF(NPSwitch=1,_xll.TR(CX$7,CX$6,"Sdate=#1 Period=#2 NULL=BLANK Scale=6",,$D48,$AS$4),CX48)</f>
        <v>2689.25</v>
      </c>
      <c r="CY48" s="1000" cm="1">
        <f t="array" aca="1" ref="CY48" ca="1">IF(NPSwitch=1,_xll.TR(CY$7,CY$6,"Sdate=#1 Period=#2 NULL=BLANK Scale=6",,$D48,$AS$4),CY48)</f>
        <v>3860</v>
      </c>
      <c r="CZ48" s="1000" cm="1">
        <f t="array" aca="1" ref="CZ48" ca="1">IF(NPSwitch=1,_xll.TR(CZ$7,CZ$6,"Sdate=#1 Period=#2 NULL=BLANK Scale=6",,$D48,$AS$4),CZ48)</f>
        <v>2939</v>
      </c>
      <c r="DA48" s="1000" cm="1">
        <f t="array" aca="1" ref="DA48" ca="1">IF(NPSwitch=1,_xll.TR(DA$7,DA$6,"Sdate=#1 Period=#2 NULL=BLANK Scale=6",,$D48,$AS$4),DA48)</f>
        <v>2321.25</v>
      </c>
      <c r="DB48" s="1000" cm="1">
        <f t="array" aca="1" ref="DB48" ca="1">IF(NPSwitch=1,_xll.TR(DB$7,DB$6,"Sdate=#1 Period=#2 NULL=BLANK Scale=6",,$D48,$AS$4),DB48)</f>
        <v>14336.025</v>
      </c>
      <c r="DC48" s="1000" t="str" cm="1">
        <f t="array" aca="1" ref="DC48" ca="1">IF(NPSwitch=1,_xll.TR(DC$7,DC$6,"Sdate=#1 Period=#2 NULL=BLANK Scale=6",,$D48,$AS$4),DC48)</f>
        <v/>
      </c>
      <c r="DD48" s="1000" t="str" cm="1">
        <f t="array" aca="1" ref="DD48" ca="1">IF(NPSwitch=1,_xll.TR(DD$7,DD$6,"Sdate=#1 Period=#2 NULL=BLANK Scale=6",,$D48,$AS$4),DD48)</f>
        <v/>
      </c>
      <c r="DE48" s="1000" t="str" cm="1">
        <f t="array" aca="1" ref="DE48" ca="1">IF(NPSwitch=1,_xll.TR(DE$7,DE$6,"Sdate=#1 Period=#2 NULL=BLANK Scale=6",,$D48,$AS$4),DE48)</f>
        <v/>
      </c>
      <c r="DF48" s="1000" cm="1">
        <f t="array" aca="1" ref="DF48" ca="1">IF(NPSwitch=1,_xll.TR(DF$7,DF$6,"Sdate=#1 Period=#2 NULL=BLANK Scale=6",,$D48,$AS$4),DF48)</f>
        <v>452.25</v>
      </c>
      <c r="DG48" s="1000" cm="1">
        <f t="array" aca="1" ref="DG48" ca="1">IF(NPSwitch=1,_xll.TR(DG$7,DG$6,"Sdate=#1 Period=#2 NULL=BLANK Scale=6",,$D48,$AS$4),DG48)</f>
        <v>3883.0250000000001</v>
      </c>
      <c r="DH48" s="1000" cm="1">
        <f t="array" aca="1" ref="DH48" ca="1">IF(NPSwitch=1,_xll.TR(DH$7,DH$6,"Sdate=#1 Period=#2 NULL=BLANK Scale=6",,$D48,$AS$4),DH48)</f>
        <v>1113.98</v>
      </c>
      <c r="FN48" s="3" t="s">
        <v>1555</v>
      </c>
    </row>
    <row r="49" spans="1:170" s="1114" customFormat="1" ht="11.25" customHeight="1">
      <c r="A49" s="761"/>
      <c r="B49" s="761"/>
      <c r="C49" s="971">
        <f t="shared" si="44"/>
        <v>39629</v>
      </c>
      <c r="D49" s="974">
        <f t="shared" si="43"/>
        <v>39674</v>
      </c>
      <c r="E49" s="765" cm="1">
        <f t="array" aca="1" ref="E49" ca="1">IF(NPSwitch=1,_xll.TR(E$7,E$6,"Sdate=#1 Period=#2 NULL=BLANK",,$D49,$E$4),E49)</f>
        <v>7.585496502002</v>
      </c>
      <c r="F49" s="765" cm="1">
        <f t="array" aca="1" ref="F49" ca="1">IF(NPSwitch=1,_xll.TR(F$7,F$6,"Sdate=#1 Period=#2 NULL=BLANK",,$D49,$E$4),F49)</f>
        <v>9.1385436856369004</v>
      </c>
      <c r="G49" s="765" cm="1">
        <f t="array" aca="1" ref="G49" ca="1">IF(NPSwitch=1,_xll.TR(G$7,G$6,"Sdate=#1 Period=#2 NULL=BLANK",,$D49,$E$4),G49)</f>
        <v>4.0380685608901796</v>
      </c>
      <c r="H49" s="765" cm="1">
        <f t="array" aca="1" ref="H49" ca="1">IF(NPSwitch=1,_xll.TR(H$7,H$6,"Sdate=#1 Period=#2 NULL=BLANK",,$D49,$E$4),H49)</f>
        <v>6.4882600703312399</v>
      </c>
      <c r="I49" s="765" cm="1">
        <f t="array" aca="1" ref="I49" ca="1">IF(NPSwitch=1,_xll.TR(I$7,I$6,"Sdate=#1 Period=#2 NULL=BLANK",,$D49,$E$4),I49)</f>
        <v>8.2418706118385803</v>
      </c>
      <c r="J49" s="765" cm="1">
        <f t="array" aca="1" ref="J49" ca="1">IF(NPSwitch=1,_xll.TR(J$7,J$6,"Sdate=#1 Period=#2 NULL=BLANK",,$D49,$E$4),J49)</f>
        <v>8.4858169304753108</v>
      </c>
      <c r="K49" s="765" cm="1">
        <f t="array" aca="1" ref="K49" ca="1">IF(NPSwitch=1,_xll.TR(K$7,K$6,"Sdate=#1 Period=#2 NULL=BLANK",,$D49,$E$4),K49)</f>
        <v>6.4080786081943302</v>
      </c>
      <c r="L49" s="765" cm="1">
        <f t="array" aca="1" ref="L49" ca="1">IF(NPSwitch=1,_xll.TR(L$7,L$6,"Sdate=#1 Period=#2 NULL=BLANK",,$D49,$E$4),L49)</f>
        <v>5.7004522971725002</v>
      </c>
      <c r="M49" s="765" cm="1">
        <f t="array" aca="1" ref="M49" ca="1">IF(NPSwitch=1,_xll.TR(M$7,M$6,"Sdate=#1 Period=#2 NULL=BLANK",,$D49,$E$4),M49)</f>
        <v>5.8946740294686801</v>
      </c>
      <c r="N49" s="1002">
        <f t="shared" ca="1" si="45"/>
        <v>6.5604245131503562</v>
      </c>
      <c r="O49" s="1000" cm="1">
        <f t="array" aca="1" ref="O49" ca="1">IF(NPSwitch=1,_xll.TR(O$7,O$6,"Sdate=#1 Period=#2 Scale=6 NULL=BLANK",,$D49,$O$4),O49)</f>
        <v>51054.258962079999</v>
      </c>
      <c r="P49" s="1000" cm="1">
        <f t="array" aca="1" ref="P49" ca="1">IF(NPSwitch=1,_xll.TR(P$7,P$6,"Sdate=#1 Period=#2 Scale=6 NULL=BLANK",,$D49,$O$4),P49)</f>
        <v>3741.7249465899999</v>
      </c>
      <c r="Q49" s="1000" cm="1">
        <f t="array" aca="1" ref="Q49" ca="1">IF(NPSwitch=1,_xll.TR(Q$7,Q$6,"Sdate=#1 Period=#2 Scale=6 NULL=BLANK",,$D49,$O$4),Q49)</f>
        <v>2505.72706466</v>
      </c>
      <c r="R49" s="1000" cm="1">
        <f t="array" aca="1" ref="R49" ca="1">IF(NPSwitch=1,_xll.TR(R$7,R$6,"Sdate=#1 Period=#2 Scale=6 NULL=BLANK",,$D49,$O$4),R49)</f>
        <v>776.29774975999999</v>
      </c>
      <c r="S49" s="1000" cm="1">
        <f t="array" aca="1" ref="S49" ca="1">IF(NPSwitch=1,_xll.TR(S$7,S$6,"Sdate=#1 Period=#2 Scale=6 NULL=BLANK",,$D49,$O$4),S49)</f>
        <v>3376.1827871999999</v>
      </c>
      <c r="T49" s="1000" cm="1">
        <f t="array" aca="1" ref="T49" ca="1">IF(NPSwitch=1,_xll.TR(T$7,T$6,"Sdate=#1 Period=#2 Scale=6 NULL=BLANK",,$D49,$O$4),T49)</f>
        <v>5609.2880701900003</v>
      </c>
      <c r="U49" s="1000" cm="1">
        <f t="array" aca="1" ref="U49" ca="1">IF(NPSwitch=1,_xll.TR(U$7,U$6,"Sdate=#1 Period=#2 Scale=6 NULL=BLANK",,$D49,$O$4),U49)</f>
        <v>10369.280525759999</v>
      </c>
      <c r="V49" s="1000" cm="1">
        <f t="array" aca="1" ref="V49" ca="1">IF(NPSwitch=1,_xll.TR(V$7,V$6,"Sdate=#1 Period=#2 Scale=6 NULL=BLANK",,$D49,$O$4),V49)</f>
        <v>6835.3821603904498</v>
      </c>
      <c r="W49" s="1000" cm="1">
        <f t="array" aca="1" ref="W49" ca="1">IF(NPSwitch=1,_xll.TR(W$7,W$6,"Sdate=#1 Period=#2 Scale=6 NULL=BLANK",,$D49,$O$4),W49)</f>
        <v>4633.2211972499999</v>
      </c>
      <c r="X49" s="998"/>
      <c r="Y49" s="1000" cm="1">
        <f t="array" aca="1" ref="Y49" ca="1">IF(NPSwitch=1,_xll.TR(Y$7,Y$6,"Sdate=#1 Period=#2 Scale=6 NULL=BLANK",,$D49,$O$4),Y49)</f>
        <v>2617.5</v>
      </c>
      <c r="Z49" s="1000" cm="1">
        <f t="array" aca="1" ref="Z49" ca="1">IF(NPSwitch=1,_xll.TR(Z$7,Z$6,"Sdate=#1 Period=#2 Scale=6 NULL=BLANK",,$D49,$O$4),Z49)</f>
        <v>133.86099999999999</v>
      </c>
      <c r="AA49" s="1000" cm="1">
        <f t="array" aca="1" ref="AA49" ca="1">IF(NPSwitch=1,_xll.TR(AA$7,AA$6,"Sdate=#1 Period=#2 Scale=6 NULL=BLANK",,$D49,$O$4),AA49)</f>
        <v>975.25</v>
      </c>
      <c r="AB49" s="1000" cm="1">
        <f t="array" aca="1" ref="AB49" ca="1">IF(NPSwitch=1,_xll.TR(AB$7,AB$6,"Sdate=#1 Period=#2 Scale=6 NULL=BLANK",,$D49,$O$4),AB49)</f>
        <v>63.65</v>
      </c>
      <c r="AC49" s="1000" cm="1">
        <f t="array" aca="1" ref="AC49" ca="1">IF(NPSwitch=1,_xll.TR(AC$7,AC$6,"Sdate=#1 Period=#2 Scale=6 NULL=BLANK",,$D49,$O$4),AC49)</f>
        <v>152.94999999999999</v>
      </c>
      <c r="AD49" s="1000" cm="1">
        <f t="array" aca="1" ref="AD49" ca="1">IF(NPSwitch=1,_xll.TR(AD$7,AD$6,"Sdate=#1 Period=#2 Scale=6 NULL=BLANK",,$D49,$O$4),AD49)</f>
        <v>96.275000000000006</v>
      </c>
      <c r="AE49" s="1000" cm="1">
        <f t="array" aca="1" ref="AE49" ca="1">IF(NPSwitch=1,_xll.TR(AE$7,AE$6,"Sdate=#1 Period=#2 Scale=6 NULL=BLANK",,$D49,$O$4),AE49)</f>
        <v>329.25</v>
      </c>
      <c r="AF49" s="1000" cm="1">
        <f t="array" aca="1" ref="AF49" ca="1">IF(NPSwitch=1,_xll.TR(AF$7,AF$6,"Sdate=#1 Period=#2 Scale=6 NULL=BLANK",,$D49,$O$4),AF49)</f>
        <v>514.5</v>
      </c>
      <c r="AG49" s="1000" cm="1">
        <f t="array" aca="1" ref="AG49" ca="1">IF(NPSwitch=1,_xll.TR(AG$7,AG$6,"Sdate=#1 Period=#2 Scale=6 NULL=BLANK",,$D49,$O$4),AG49)</f>
        <v>756</v>
      </c>
      <c r="AH49" s="998"/>
      <c r="AI49" s="1000" cm="1">
        <f t="array" aca="1" ref="AI49" ca="1">IF(NPSwitch=1,_xll.TR(AI$7,AI$6,"Sdate=#1 Period=#2 Scale=6 NULL=BLANK",,$D49,$O$4),AI49)</f>
        <v>55385.258962079999</v>
      </c>
      <c r="AJ49" s="1000" cm="1">
        <f t="array" aca="1" ref="AJ49" ca="1">IF(NPSwitch=1,_xll.TR(AJ$7,AJ$6,"Sdate=#1 Period=#2 Scale=6 NULL=BLANK",,$D49,$O$4),AJ49)</f>
        <v>4518.6209465900001</v>
      </c>
      <c r="AK49" s="1000" cm="1">
        <f t="array" aca="1" ref="AK49" ca="1">IF(NPSwitch=1,_xll.TR(AK$7,AK$6,"Sdate=#1 Period=#2 Scale=6 NULL=BLANK",,$D49,$O$4),AK49)</f>
        <v>1717.72706466</v>
      </c>
      <c r="AL49" s="1000" cm="1">
        <f t="array" aca="1" ref="AL49" ca="1">IF(NPSwitch=1,_xll.TR(AL$7,AL$6,"Sdate=#1 Period=#2 Scale=6 NULL=BLANK",,$D49,$O$4),AL49)</f>
        <v>1207.8977497599999</v>
      </c>
      <c r="AM49" s="1000" cm="1">
        <f t="array" aca="1" ref="AM49" ca="1">IF(NPSwitch=1,_xll.TR(AM$7,AM$6,"Sdate=#1 Period=#2 Scale=6 NULL=BLANK",,$D49,$O$4),AM49)</f>
        <v>7226.6827872000003</v>
      </c>
      <c r="AN49" s="1000" cm="1">
        <f t="array" aca="1" ref="AN49" ca="1">IF(NPSwitch=1,_xll.TR(AN$7,AN$6,"Sdate=#1 Period=#2 Scale=6 NULL=BLANK",,$D49,$O$4),AN49)</f>
        <v>6099.8880701899998</v>
      </c>
      <c r="AO49" s="1000" cm="1">
        <f t="array" aca="1" ref="AO49" ca="1">IF(NPSwitch=1,_xll.TR(AO$7,AO$6,"Sdate=#1 Period=#2 Scale=6 NULL=BLANK",,$D49,$O$4),AO49)</f>
        <v>14553.280525759999</v>
      </c>
      <c r="AP49" s="1000" cm="1">
        <f t="array" aca="1" ref="AP49" ca="1">IF(NPSwitch=1,_xll.TR(AP$7,AP$6,"Sdate=#1 Period=#2 Scale=6 NULL=BLANK",,$D49,$O$4),AP49)</f>
        <v>8594.3821603899996</v>
      </c>
      <c r="AQ49" s="1000" cm="1">
        <f t="array" aca="1" ref="AQ49" ca="1">IF(NPSwitch=1,_xll.TR(AQ$7,AQ$6,"Sdate=#1 Period=#2 Scale=6 NULL=BLANK",,$D49,$O$4),AQ49)</f>
        <v>5584.2211972499999</v>
      </c>
      <c r="AR49" s="762"/>
      <c r="AS49" s="765" t="str" cm="1">
        <f t="array" aca="1" ref="AS49" ca="1">IF(NPSwitch=1,_xll.TR(AS$7,AS$6,"Sdate=#1 Period=#2 NULL=BLANK Scale=6",,$D49,$AS$4),AS49)</f>
        <v/>
      </c>
      <c r="AT49" s="765" t="str" cm="1">
        <f t="array" aca="1" ref="AT49" ca="1">IF(NPSwitch=1,_xll.TR(AT$7,AT$6,"Sdate=#1 Period=#2 NULL=BLANK Scale=6",,$D49,$AS$4),AT49)</f>
        <v/>
      </c>
      <c r="AU49" s="765" t="str" cm="1">
        <f t="array" aca="1" ref="AU49" ca="1">IF(NPSwitch=1,_xll.TR(AU$7,AU$6,"Sdate=#1 Period=#2 NULL=BLANK Scale=6",,$D49,$AS$4),AU49)</f>
        <v/>
      </c>
      <c r="AV49" s="765" t="str" cm="1">
        <f t="array" aca="1" ref="AV49" ca="1">IF(NPSwitch=1,_xll.TR(AV$7,AV$6,"Sdate=#1 Period=#2 NULL=BLANK Scale=6",,$D49,$AS$4),AV49)</f>
        <v/>
      </c>
      <c r="AW49" s="765" t="str" cm="1">
        <f t="array" aca="1" ref="AW49" ca="1">IF(NPSwitch=1,_xll.TR(AW$7,AW$6,"Sdate=#1 Period=#2 NULL=BLANK Scale=6",,$D49,$AS$4),AW49)</f>
        <v/>
      </c>
      <c r="AX49" s="765" t="str" cm="1">
        <f t="array" aca="1" ref="AX49" ca="1">IF(NPSwitch=1,_xll.TR(AX$7,AX$6,"Sdate=#1 Period=#2 NULL=BLANK Scale=6",,$D49,$AS$4),AX49)</f>
        <v/>
      </c>
      <c r="AY49" s="765" t="str" cm="1">
        <f t="array" aca="1" ref="AY49" ca="1">IF(NPSwitch=1,_xll.TR(AY$7,AY$6,"Sdate=#1 Period=#2 NULL=BLANK Scale=6",,$D49,$AS$4),AY49)</f>
        <v/>
      </c>
      <c r="AZ49" s="765" t="str" cm="1">
        <f t="array" aca="1" ref="AZ49" ca="1">IF(NPSwitch=1,_xll.TR(AZ$7,AZ$6,"Sdate=#1 Period=#2 NULL=BLANK Scale=6",,$D49,$AS$4),AZ49)</f>
        <v/>
      </c>
      <c r="BA49" s="765" t="str" cm="1">
        <f t="array" aca="1" ref="BA49" ca="1">IF(NPSwitch=1,_xll.TR(BA$7,BA$6,"Sdate=#1 Period=#2 NULL=BLANK Scale=6",,$D49,$AS$4),BA49)</f>
        <v/>
      </c>
      <c r="BB49" s="1002"/>
      <c r="BC49" s="765" cm="1">
        <f t="array" aca="1" ref="BC49" ca="1">IF(NPSwitch=1,_xll.TR(BC$7,BC$6,"Sdate=#1 Period=#2 NULL=BLANK",,$D49,$BC$4),BC49)</f>
        <v>8.1592897700000009</v>
      </c>
      <c r="BD49" s="765" cm="1">
        <f t="array" aca="1" ref="BD49" ca="1">IF(NPSwitch=1,_xll.TR(BD$7,BD$6,"Sdate=#1 Period=#2 NULL=BLANK",,$D49,$BC$4),BD49)</f>
        <v>10.605672354999999</v>
      </c>
      <c r="BE49" s="765" cm="1">
        <f t="array" aca="1" ref="BE49" ca="1">IF(NPSwitch=1,_xll.TR(BE$7,BE$6,"Sdate=#1 Period=#2 NULL=BLANK",,$D49,$BC$4),BE49)</f>
        <v>5.3678970770000003</v>
      </c>
      <c r="BF49" s="765" cm="1">
        <f t="array" aca="1" ref="BF49" ca="1">IF(NPSwitch=1,_xll.TR(BF$7,BF$6,"Sdate=#1 Period=#2 NULL=BLANK",,$D49,$BC$4),BF49)</f>
        <v>18.785346029999999</v>
      </c>
      <c r="BG49" s="765" t="str" cm="1">
        <f t="array" aca="1" ref="BG49" ca="1">IF(NPSwitch=1,_xll.TR(BG$7,BG$6,"Sdate=#1 Period=#2 NULL=BLANK",,$D49,$BC$4),BG49)</f>
        <v/>
      </c>
      <c r="BH49" s="765" cm="1">
        <f t="array" aca="1" ref="BH49" ca="1">IF(NPSwitch=1,_xll.TR(BH$7,BH$6,"Sdate=#1 Period=#2 NULL=BLANK",,$D49,$BC$4),BH49)</f>
        <v>10.099152434000001</v>
      </c>
      <c r="BI49" s="765" cm="1">
        <f t="array" aca="1" ref="BI49" ca="1">IF(NPSwitch=1,_xll.TR(BI$7,BI$6,"Sdate=#1 Period=#2 NULL=BLANK",,$D49,$BC$4),BI49)</f>
        <v>7.5133095130000003</v>
      </c>
      <c r="BJ49" s="765" cm="1">
        <f t="array" aca="1" ref="BJ49" ca="1">IF(NPSwitch=1,_xll.TR(BJ$7,BJ$6,"Sdate=#1 Period=#2 NULL=BLANK",,$D49,$BC$4),BJ49)</f>
        <v>5.7029742270000003</v>
      </c>
      <c r="BK49" s="765" cm="1">
        <f t="array" aca="1" ref="BK49" ca="1">IF(NPSwitch=1,_xll.TR(BK$7,BK$6,"Sdate=#1 Period=#2 NULL=BLANK",,$D49,$BC$4),BK49)</f>
        <v>5.8781275759999998</v>
      </c>
      <c r="BL49" s="761"/>
      <c r="BM49" s="1014"/>
      <c r="BN49" s="762"/>
      <c r="BO49" s="765" cm="1">
        <f t="array" aca="1" ref="BO49" ca="1">IF(NPSwitch=1,_xll.TR(BO$7,BO$6,"Sdate=#1 Period=#2 NULL=BLANK Scale=6",,$D49,$AS$4),BO49)</f>
        <v>25585</v>
      </c>
      <c r="BP49" s="765" cm="1">
        <f t="array" aca="1" ref="BP49" ca="1">IF(NPSwitch=1,_xll.TR(BP$7,BP$6,"Sdate=#1 Period=#2 NULL=BLANK Scale=6",,$D49,$AS$4),BP49)</f>
        <v>2472.0639999999999</v>
      </c>
      <c r="BQ49" s="765" cm="1">
        <f t="array" aca="1" ref="BQ49" ca="1">IF(NPSwitch=1,_xll.TR(BQ$7,BQ$6,"Sdate=#1 Period=#2 NULL=BLANK Scale=6",,$D49,$AS$4),BQ49)</f>
        <v>8250</v>
      </c>
      <c r="BR49" s="765" cm="1">
        <f t="array" aca="1" ref="BR49" ca="1">IF(NPSwitch=1,_xll.TR(BR$7,BR$6,"Sdate=#1 Period=#2 NULL=BLANK Scale=6",,$D49,$AS$4),BR49)</f>
        <v>2757.9</v>
      </c>
      <c r="BS49" s="765" cm="1">
        <f t="array" aca="1" ref="BS49" ca="1">IF(NPSwitch=1,_xll.TR(BS$7,BS$6,"Sdate=#1 Period=#2 NULL=BLANK Scale=6",,$D49,$AS$4),BS49)</f>
        <v>10363.799999999999</v>
      </c>
      <c r="BT49" s="765" cm="1">
        <f t="array" aca="1" ref="BT49" ca="1">IF(NPSwitch=1,_xll.TR(BT$7,BT$6,"Sdate=#1 Period=#2 NULL=BLANK Scale=6",,$D49,$AS$4),BT49)</f>
        <v>2857.7</v>
      </c>
      <c r="BU49" s="765" cm="1">
        <f t="array" aca="1" ref="BU49" ca="1">IF(NPSwitch=1,_xll.TR(BU$7,BU$6,"Sdate=#1 Period=#2 NULL=BLANK Scale=6",,$D49,$AS$4),BU49)</f>
        <v>14613</v>
      </c>
      <c r="BV49" s="765" cm="1">
        <f t="array" aca="1" ref="BV49" ca="1">IF(NPSwitch=1,_xll.TR(BV$7,BV$6,"Sdate=#1 Period=#2 NULL=BLANK Scale=6",,$D49,$AS$4),BV49)</f>
        <v>9495</v>
      </c>
      <c r="BW49" s="765" cm="1">
        <f t="array" aca="1" ref="BW49" ca="1">IF(NPSwitch=1,_xll.TR(BW$7,BW$6,"Sdate=#1 Period=#2 NULL=BLANK Scale=6",,$D49,$AS$4),BW49)</f>
        <v>6990</v>
      </c>
      <c r="BX49" s="1002"/>
      <c r="BY49" s="765" cm="1">
        <f t="array" aca="1" ref="BY49" ca="1">IF(NPSwitch=1,_xll.TR(BY$7,BY$6,"Sdate=#1 Period=#2 NULL=BLANK Scale=6",,$D49,$AS$4),BY49)</f>
        <v>17687.5</v>
      </c>
      <c r="BZ49" s="765" cm="1">
        <f t="array" aca="1" ref="BZ49" ca="1">IF(NPSwitch=1,_xll.TR(BZ$7,BZ$6,"Sdate=#1 Period=#2 NULL=BLANK Scale=6",,$D49,$AS$4),BZ49)</f>
        <v>2061.42875</v>
      </c>
      <c r="CA49" s="765" cm="1">
        <f t="array" aca="1" ref="CA49" ca="1">IF(NPSwitch=1,_xll.TR(CA$7,CA$6,"Sdate=#1 Period=#2 NULL=BLANK Scale=6",,$D49,$AS$4),CA49)</f>
        <v>3321</v>
      </c>
      <c r="CB49" s="765" cm="1">
        <f t="array" aca="1" ref="CB49" ca="1">IF(NPSwitch=1,_xll.TR(CB$7,CB$6,"Sdate=#1 Period=#2 NULL=BLANK Scale=6",,$D49,$AS$4),CB49)</f>
        <v>1047.8</v>
      </c>
      <c r="CC49" s="765" cm="1">
        <f t="array" aca="1" ref="CC49" ca="1">IF(NPSwitch=1,_xll.TR(CC$7,CC$6,"Sdate=#1 Period=#2 NULL=BLANK Scale=6",,$D49,$AS$4),CC49)</f>
        <v>5626.15</v>
      </c>
      <c r="CD49" s="765" cm="1">
        <f t="array" aca="1" ref="CD49" ca="1">IF(NPSwitch=1,_xll.TR(CD$7,CD$6,"Sdate=#1 Period=#2 NULL=BLANK Scale=6",,$D49,$AS$4),CD49)</f>
        <v>1750.2249999999999</v>
      </c>
      <c r="CE49" s="765" cm="1">
        <f t="array" aca="1" ref="CE49" ca="1">IF(NPSwitch=1,_xll.TR(CE$7,CE$6,"Sdate=#1 Period=#2 NULL=BLANK Scale=6",,$D49,$AS$4),CE49)</f>
        <v>7726.25</v>
      </c>
      <c r="CF49" s="765" cm="1">
        <f t="array" aca="1" ref="CF49" ca="1">IF(NPSwitch=1,_xll.TR(CF$7,CF$6,"Sdate=#1 Period=#2 NULL=BLANK Scale=6",,$D49,$AS$4),CF49)</f>
        <v>6460.5</v>
      </c>
      <c r="CG49" s="765" cm="1">
        <f t="array" aca="1" ref="CG49" ca="1">IF(NPSwitch=1,_xll.TR(CG$7,CG$6,"Sdate=#1 Period=#2 NULL=BLANK Scale=6",,$D49,$AS$4),CG49)</f>
        <v>3613</v>
      </c>
      <c r="CI49" s="1000" cm="1">
        <f t="array" aca="1" ref="CI49" ca="1">IF(NPSwitch=1,_xll.TR(CI$7,CI$6,"Sdate=#1 Period=#2 NULL=BLANK Scale=6",,$D49,$AS$4),CI49)</f>
        <v>6788</v>
      </c>
      <c r="CJ49" s="1000" cm="1">
        <f t="array" aca="1" ref="CJ49" ca="1">IF(NPSwitch=1,_xll.TR(CJ$7,CJ$6,"Sdate=#1 Period=#2 NULL=BLANK Scale=6",,$D49,$AS$4),CJ49)</f>
        <v>426.05700000000002</v>
      </c>
      <c r="CK49" s="1000" cm="1">
        <f t="array" aca="1" ref="CK49" ca="1">IF(NPSwitch=1,_xll.TR(CK$7,CK$6,"Sdate=#1 Period=#2 NULL=BLANK Scale=6",,$D49,$AS$4),CK49)</f>
        <v>317</v>
      </c>
      <c r="CL49" s="1000" cm="1">
        <f t="array" aca="1" ref="CL49" ca="1">IF(NPSwitch=1,_xll.TR(CL$7,CL$6,"Sdate=#1 Period=#2 NULL=BLANK Scale=6",,$D49,$AS$4),CL49)</f>
        <v>64.3</v>
      </c>
      <c r="CM49" s="1000" t="str" cm="1">
        <f t="array" aca="1" ref="CM49" ca="1">IF(NPSwitch=1,_xll.TR(CM$7,CM$6,"Sdate=#1 Period=#2 NULL=BLANK Scale=6",,$D49,$AS$4),CM49)</f>
        <v/>
      </c>
      <c r="CN49" s="1000" cm="1">
        <f t="array" aca="1" ref="CN49" ca="1">IF(NPSwitch=1,_xll.TR(CN$7,CN$6,"Sdate=#1 Period=#2 NULL=BLANK Scale=6",,$D49,$AS$4),CN49)</f>
        <v>604</v>
      </c>
      <c r="CO49" s="1000" cm="1">
        <f t="array" aca="1" ref="CO49" ca="1">IF(NPSwitch=1,_xll.TR(CO$7,CO$6,"Sdate=#1 Period=#2 NULL=BLANK Scale=6",,$D49,$AS$4),CO49)</f>
        <v>1937</v>
      </c>
      <c r="CP49" s="1000" cm="1">
        <f t="array" aca="1" ref="CP49" ca="1">IF(NPSwitch=1,_xll.TR(CP$7,CP$6,"Sdate=#1 Period=#2 NULL=BLANK Scale=6",,$D49,$AS$4),CP49)</f>
        <v>1700</v>
      </c>
      <c r="CQ49" s="1000" cm="1">
        <f t="array" aca="1" ref="CQ49" ca="1">IF(NPSwitch=1,_xll.TR(CQ$7,CQ$6,"Sdate=#1 Period=#2 NULL=BLANK Scale=6",,$D49,$AS$4),CQ49)</f>
        <v>950</v>
      </c>
      <c r="CR49" s="761"/>
      <c r="CS49" s="1000" cm="1">
        <f t="array" aca="1" ref="CS49" ca="1">IF(NPSwitch=1,_xll.TR(CS$7,CS$6,"Sdate=#1 Period=#2 NULL=BLANK Scale=6",,$D49,$AS$4),CS49)</f>
        <v>6654</v>
      </c>
      <c r="CT49" s="1000" cm="1">
        <f t="array" aca="1" ref="CT49" ca="1">IF(NPSwitch=1,_xll.TR(CT$7,CT$6,"Sdate=#1 Period=#2 NULL=BLANK Scale=6",,$D49,$AS$4),CT49)</f>
        <v>1047.6067499999999</v>
      </c>
      <c r="CU49" s="1000" cm="1">
        <f t="array" aca="1" ref="CU49" ca="1">IF(NPSwitch=1,_xll.TR(CU$7,CU$6,"Sdate=#1 Period=#2 NULL=BLANK Scale=6",,$D49,$AS$4),CU49)</f>
        <v>1012.75</v>
      </c>
      <c r="CV49" s="1000" cm="1">
        <f t="array" aca="1" ref="CV49" ca="1">IF(NPSwitch=1,_xll.TR(CV$7,CV$6,"Sdate=#1 Period=#2 NULL=BLANK Scale=6",,$D49,$AS$4),CV49)</f>
        <v>459.32499999999999</v>
      </c>
      <c r="CW49" s="1000" cm="1">
        <f t="array" aca="1" ref="CW49" ca="1">IF(NPSwitch=1,_xll.TR(CW$7,CW$6,"Sdate=#1 Period=#2 NULL=BLANK Scale=6",,$D49,$AS$4),CW49)</f>
        <v>926.875</v>
      </c>
      <c r="CX49" s="1000" cm="1">
        <f t="array" aca="1" ref="CX49" ca="1">IF(NPSwitch=1,_xll.TR(CX$7,CX$6,"Sdate=#1 Period=#2 NULL=BLANK Scale=6",,$D49,$AS$4),CX49)</f>
        <v>2896.25</v>
      </c>
      <c r="CY49" s="1000" cm="1">
        <f t="array" aca="1" ref="CY49" ca="1">IF(NPSwitch=1,_xll.TR(CY$7,CY$6,"Sdate=#1 Period=#2 NULL=BLANK Scale=6",,$D49,$AS$4),CY49)</f>
        <v>3839.5</v>
      </c>
      <c r="CZ49" s="1000" cm="1">
        <f t="array" aca="1" ref="CZ49" ca="1">IF(NPSwitch=1,_xll.TR(CZ$7,CZ$6,"Sdate=#1 Period=#2 NULL=BLANK Scale=6",,$D49,$AS$4),CZ49)</f>
        <v>2937.75</v>
      </c>
      <c r="DA49" s="1000" cm="1">
        <f t="array" aca="1" ref="DA49" ca="1">IF(NPSwitch=1,_xll.TR(DA$7,DA$6,"Sdate=#1 Period=#2 NULL=BLANK Scale=6",,$D49,$AS$4),DA49)</f>
        <v>2412.75</v>
      </c>
      <c r="DB49" s="1000" cm="1">
        <f t="array" aca="1" ref="DB49" ca="1">IF(NPSwitch=1,_xll.TR(DB$7,DB$6,"Sdate=#1 Period=#2 NULL=BLANK Scale=6",,$D49,$AS$4),DB49)</f>
        <v>14094.025</v>
      </c>
      <c r="DC49" s="1000" t="str" cm="1">
        <f t="array" aca="1" ref="DC49" ca="1">IF(NPSwitch=1,_xll.TR(DC$7,DC$6,"Sdate=#1 Period=#2 NULL=BLANK Scale=6",,$D49,$AS$4),DC49)</f>
        <v/>
      </c>
      <c r="DD49" s="1000" t="str" cm="1">
        <f t="array" aca="1" ref="DD49" ca="1">IF(NPSwitch=1,_xll.TR(DD$7,DD$6,"Sdate=#1 Period=#2 NULL=BLANK Scale=6",,$D49,$AS$4),DD49)</f>
        <v/>
      </c>
      <c r="DE49" s="1000" t="str" cm="1">
        <f t="array" aca="1" ref="DE49" ca="1">IF(NPSwitch=1,_xll.TR(DE$7,DE$6,"Sdate=#1 Period=#2 NULL=BLANK Scale=6",,$D49,$AS$4),DE49)</f>
        <v/>
      </c>
      <c r="DF49" s="1000" cm="1">
        <f t="array" aca="1" ref="DF49" ca="1">IF(NPSwitch=1,_xll.TR(DF$7,DF$6,"Sdate=#1 Period=#2 NULL=BLANK Scale=6",,$D49,$AS$4),DF49)</f>
        <v>459.32499999999999</v>
      </c>
      <c r="DG49" s="1000" cm="1">
        <f t="array" aca="1" ref="DG49" ca="1">IF(NPSwitch=1,_xll.TR(DG$7,DG$6,"Sdate=#1 Period=#2 NULL=BLANK Scale=6",,$D49,$AS$4),DG49)</f>
        <v>3908.6</v>
      </c>
      <c r="DH49" s="1000" cm="1">
        <f t="array" aca="1" ref="DH49" ca="1">IF(NPSwitch=1,_xll.TR(DH$7,DH$6,"Sdate=#1 Period=#2 NULL=BLANK Scale=6",,$D49,$AS$4),DH49)</f>
        <v>1132.2114999999999</v>
      </c>
      <c r="DI49" s="762"/>
      <c r="DJ49" s="762"/>
      <c r="DK49" s="762"/>
      <c r="DL49" s="762"/>
      <c r="DM49" s="762"/>
      <c r="DN49" s="762"/>
      <c r="DO49" s="762"/>
      <c r="DP49" s="762"/>
      <c r="DQ49" s="762"/>
      <c r="DR49" s="762"/>
      <c r="DS49" s="762"/>
      <c r="DT49" s="762"/>
      <c r="DU49" s="762"/>
      <c r="DV49" s="762"/>
      <c r="DW49" s="762"/>
      <c r="DX49" s="762"/>
      <c r="DY49" s="762"/>
      <c r="DZ49" s="762"/>
      <c r="EA49" s="762"/>
      <c r="EB49" s="762"/>
      <c r="EC49" s="762"/>
      <c r="ED49" s="762"/>
      <c r="EE49" s="762"/>
      <c r="EF49" s="762"/>
      <c r="EG49" s="762"/>
      <c r="EH49" s="762"/>
      <c r="EI49" s="762"/>
      <c r="EJ49" s="762"/>
      <c r="EK49" s="762"/>
      <c r="EL49" s="762"/>
      <c r="EM49" s="762"/>
      <c r="EN49" s="762"/>
      <c r="EO49" s="762"/>
      <c r="EP49" s="762"/>
      <c r="EQ49" s="762"/>
      <c r="ER49" s="762"/>
      <c r="ES49" s="762"/>
      <c r="ET49" s="762"/>
      <c r="EU49" s="762"/>
      <c r="EV49" s="762"/>
      <c r="EW49" s="762"/>
      <c r="EX49" s="762"/>
      <c r="EY49" s="762"/>
      <c r="EZ49" s="762"/>
      <c r="FA49" s="762"/>
      <c r="FB49" s="762"/>
      <c r="FC49" s="762"/>
      <c r="FD49" s="762"/>
      <c r="FE49" s="762"/>
      <c r="FF49" s="762"/>
      <c r="FG49" s="762"/>
      <c r="FH49" s="762"/>
      <c r="FI49" s="762"/>
      <c r="FJ49" s="762"/>
      <c r="FK49" s="762"/>
      <c r="FL49" s="762"/>
      <c r="FN49" s="3" t="s">
        <v>1556</v>
      </c>
    </row>
    <row r="50" spans="1:170" ht="11.25" customHeight="1">
      <c r="C50" s="972">
        <f t="shared" si="44"/>
        <v>39721</v>
      </c>
      <c r="D50" s="974">
        <f t="shared" si="43"/>
        <v>39766</v>
      </c>
      <c r="E50" s="765" cm="1">
        <f t="array" aca="1" ref="E50" ca="1">IF(NPSwitch=1,_xll.TR(E$7,E$6,"Sdate=#1 Period=#2 NULL=BLANK",,$D50,$E$4),E50)</f>
        <v>6.3266100853696896</v>
      </c>
      <c r="F50" s="765" cm="1">
        <f t="array" aca="1" ref="F50" ca="1">IF(NPSwitch=1,_xll.TR(F$7,F$6,"Sdate=#1 Period=#2 NULL=BLANK",,$D50,$E$4),F50)</f>
        <v>6.1517860223670899</v>
      </c>
      <c r="G50" s="765" cm="1">
        <f t="array" aca="1" ref="G50" ca="1">IF(NPSwitch=1,_xll.TR(G$7,G$6,"Sdate=#1 Period=#2 NULL=BLANK",,$D50,$E$4),G50)</f>
        <v>0.39901106978789103</v>
      </c>
      <c r="H50" s="765" cm="1">
        <f t="array" aca="1" ref="H50" ca="1">IF(NPSwitch=1,_xll.TR(H$7,H$6,"Sdate=#1 Period=#2 NULL=BLANK",,$D50,$E$4),H50)</f>
        <v>4.8607395285404502</v>
      </c>
      <c r="I50" s="765" cm="1">
        <f t="array" aca="1" ref="I50" ca="1">IF(NPSwitch=1,_xll.TR(I$7,I$6,"Sdate=#1 Period=#2 NULL=BLANK",,$D50,$E$4),I50)</f>
        <v>6.9654619025561297</v>
      </c>
      <c r="J50" s="765" cm="1">
        <f t="array" aca="1" ref="J50" ca="1">IF(NPSwitch=1,_xll.TR(J$7,J$6,"Sdate=#1 Period=#2 NULL=BLANK",,$D50,$E$4),J50)</f>
        <v>4.34286261278569</v>
      </c>
      <c r="K50" s="765" cm="1">
        <f t="array" aca="1" ref="K50" ca="1">IF(NPSwitch=1,_xll.TR(K$7,K$6,"Sdate=#1 Period=#2 NULL=BLANK",,$D50,$E$4),K50)</f>
        <v>5.2354947085148096</v>
      </c>
      <c r="L50" s="765" cm="1">
        <f t="array" aca="1" ref="L50" ca="1">IF(NPSwitch=1,_xll.TR(L$7,L$6,"Sdate=#1 Period=#2 NULL=BLANK",,$D50,$E$4),L50)</f>
        <v>5.3741729941457903</v>
      </c>
      <c r="M50" s="765" cm="1">
        <f t="array" aca="1" ref="M50" ca="1">IF(NPSwitch=1,_xll.TR(M$7,M$6,"Sdate=#1 Period=#2 NULL=BLANK",,$D50,$E$4),M50)</f>
        <v>4.2557566656646602</v>
      </c>
      <c r="N50" s="1002">
        <f t="shared" ca="1" si="45"/>
        <v>4.5296238027217939</v>
      </c>
      <c r="O50" s="1000" cm="1">
        <f t="array" aca="1" ref="O50" ca="1">IF(NPSwitch=1,_xll.TR(O$7,O$6,"Sdate=#1 Period=#2 Scale=6 NULL=BLANK",,$D50,$O$4),O50)</f>
        <v>43697.744633219998</v>
      </c>
      <c r="P50" s="1000" cm="1">
        <f t="array" aca="1" ref="P50" ca="1">IF(NPSwitch=1,_xll.TR(P$7,P$6,"Sdate=#1 Period=#2 Scale=6 NULL=BLANK",,$D50,$O$4),P50)</f>
        <v>2061.4107038000002</v>
      </c>
      <c r="Q50" s="1000" cm="1">
        <f t="array" aca="1" ref="Q50" ca="1">IF(NPSwitch=1,_xll.TR(Q$7,Q$6,"Sdate=#1 Period=#2 Scale=6 NULL=BLANK",,$D50,$O$4),Q50)</f>
        <v>1089.0316857600001</v>
      </c>
      <c r="R50" s="1000" cm="1">
        <f t="array" aca="1" ref="R50" ca="1">IF(NPSwitch=1,_xll.TR(R$7,R$6,"Sdate=#1 Period=#2 Scale=6 NULL=BLANK",,$D50,$O$4),R50)</f>
        <v>297.00333683999997</v>
      </c>
      <c r="S50" s="1000" cm="1">
        <f t="array" aca="1" ref="S50" ca="1">IF(NPSwitch=1,_xll.TR(S$7,S$6,"Sdate=#1 Period=#2 Scale=6 NULL=BLANK",,$D50,$O$4),S50)</f>
        <v>2170.8290691000002</v>
      </c>
      <c r="T50" s="1000" cm="1">
        <f t="array" aca="1" ref="T50" ca="1">IF(NPSwitch=1,_xll.TR(T$7,T$6,"Sdate=#1 Period=#2 Scale=6 NULL=BLANK",,$D50,$O$4),T50)</f>
        <v>2738.7755569999999</v>
      </c>
      <c r="U50" s="1000" cm="1">
        <f t="array" aca="1" ref="U50" ca="1">IF(NPSwitch=1,_xll.TR(U$7,U$6,"Sdate=#1 Period=#2 Scale=6 NULL=BLANK",,$D50,$O$4),U50)</f>
        <v>7451.8920487799996</v>
      </c>
      <c r="V50" s="1000" cm="1">
        <f t="array" aca="1" ref="V50" ca="1">IF(NPSwitch=1,_xll.TR(V$7,V$6,"Sdate=#1 Period=#2 Scale=6 NULL=BLANK",,$D50,$O$4),V50)</f>
        <v>5611.8741640231901</v>
      </c>
      <c r="W50" s="1000" cm="1">
        <f t="array" aca="1" ref="W50" ca="1">IF(NPSwitch=1,_xll.TR(W$7,W$6,"Sdate=#1 Period=#2 Scale=6 NULL=BLANK",,$D50,$O$4),W50)</f>
        <v>2542.6625956600001</v>
      </c>
      <c r="X50" s="998"/>
      <c r="Y50" s="1000" cm="1">
        <f t="array" aca="1" ref="Y50" ca="1">IF(NPSwitch=1,_xll.TR(Y$7,Y$6,"Sdate=#1 Period=#2 Scale=6 NULL=BLANK",,$D50,$O$4),Y50)</f>
        <v>2684.5</v>
      </c>
      <c r="Z50" s="1000" cm="1">
        <f t="array" aca="1" ref="Z50" ca="1">IF(NPSwitch=1,_xll.TR(Z$7,Z$6,"Sdate=#1 Period=#2 Scale=6 NULL=BLANK",,$D50,$O$4),Z50)</f>
        <v>160.34350000000001</v>
      </c>
      <c r="AA50" s="1000" cm="1">
        <f t="array" aca="1" ref="AA50" ca="1">IF(NPSwitch=1,_xll.TR(AA$7,AA$6,"Sdate=#1 Period=#2 Scale=6 NULL=BLANK",,$D50,$O$4),AA50)</f>
        <v>933.75</v>
      </c>
      <c r="AB50" s="1000" cm="1">
        <f t="array" aca="1" ref="AB50" ca="1">IF(NPSwitch=1,_xll.TR(AB$7,AB$6,"Sdate=#1 Period=#2 Scale=6 NULL=BLANK",,$D50,$O$4),AB50)</f>
        <v>58.85</v>
      </c>
      <c r="AC50" s="1000" cm="1">
        <f t="array" aca="1" ref="AC50" ca="1">IF(NPSwitch=1,_xll.TR(AC$7,AC$6,"Sdate=#1 Period=#2 Scale=6 NULL=BLANK",,$D50,$O$4),AC50)</f>
        <v>142.07499999999999</v>
      </c>
      <c r="AD50" s="1000" cm="1">
        <f t="array" aca="1" ref="AD50" ca="1">IF(NPSwitch=1,_xll.TR(AD$7,AD$6,"Sdate=#1 Period=#2 Scale=6 NULL=BLANK",,$D50,$O$4),AD50)</f>
        <v>91.05</v>
      </c>
      <c r="AE50" s="1000" cm="1">
        <f t="array" aca="1" ref="AE50" ca="1">IF(NPSwitch=1,_xll.TR(AE$7,AE$6,"Sdate=#1 Period=#2 Scale=6 NULL=BLANK",,$D50,$O$4),AE50)</f>
        <v>401.5</v>
      </c>
      <c r="AF50" s="1000" cm="1">
        <f t="array" aca="1" ref="AF50" ca="1">IF(NPSwitch=1,_xll.TR(AF$7,AF$6,"Sdate=#1 Period=#2 Scale=6 NULL=BLANK",,$D50,$O$4),AF50)</f>
        <v>554.75</v>
      </c>
      <c r="AG50" s="1000" cm="1">
        <f t="array" aca="1" ref="AG50" ca="1">IF(NPSwitch=1,_xll.TR(AG$7,AG$6,"Sdate=#1 Period=#2 Scale=6 NULL=BLANK",,$D50,$O$4),AG50)</f>
        <v>645</v>
      </c>
      <c r="AH50" s="998"/>
      <c r="AI50" s="1000" cm="1">
        <f t="array" aca="1" ref="AI50" ca="1">IF(NPSwitch=1,_xll.TR(AI$7,AI$6,"Sdate=#1 Period=#2 Scale=6 NULL=BLANK",,$D50,$O$4),AI50)</f>
        <v>43312.744633219998</v>
      </c>
      <c r="AJ50" s="1000" cm="1">
        <f t="array" aca="1" ref="AJ50" ca="1">IF(NPSwitch=1,_xll.TR(AJ$7,AJ$6,"Sdate=#1 Period=#2 Scale=6 NULL=BLANK",,$D50,$O$4),AJ50)</f>
        <v>2877.2007038000002</v>
      </c>
      <c r="AK50" s="1000" cm="1">
        <f t="array" aca="1" ref="AK50" ca="1">IF(NPSwitch=1,_xll.TR(AK$7,AK$6,"Sdate=#1 Period=#2 Scale=6 NULL=BLANK",,$D50,$O$4),AK50)</f>
        <v>301.03168576000002</v>
      </c>
      <c r="AL50" s="1000" cm="1">
        <f t="array" aca="1" ref="AL50" ca="1">IF(NPSwitch=1,_xll.TR(AL$7,AL$6,"Sdate=#1 Period=#2 Scale=6 NULL=BLANK",,$D50,$O$4),AL50)</f>
        <v>728.50333683999997</v>
      </c>
      <c r="AM50" s="1000" cm="1">
        <f t="array" aca="1" ref="AM50" ca="1">IF(NPSwitch=1,_xll.TR(AM$7,AM$6,"Sdate=#1 Period=#2 Scale=6 NULL=BLANK",,$D50,$O$4),AM50)</f>
        <v>6059.5290691</v>
      </c>
      <c r="AN50" s="1000" cm="1">
        <f t="array" aca="1" ref="AN50" ca="1">IF(NPSwitch=1,_xll.TR(AN$7,AN$6,"Sdate=#1 Period=#2 Scale=6 NULL=BLANK",,$D50,$O$4),AN50)</f>
        <v>3277.7755569999999</v>
      </c>
      <c r="AO50" s="1000" cm="1">
        <f t="array" aca="1" ref="AO50" ca="1">IF(NPSwitch=1,_xll.TR(AO$7,AO$6,"Sdate=#1 Period=#2 Scale=6 NULL=BLANK",,$D50,$O$4),AO50)</f>
        <v>11048.892048780001</v>
      </c>
      <c r="AP50" s="1000" cm="1">
        <f t="array" aca="1" ref="AP50" ca="1">IF(NPSwitch=1,_xll.TR(AP$7,AP$6,"Sdate=#1 Period=#2 Scale=6 NULL=BLANK",,$D50,$O$4),AP50)</f>
        <v>7823.874164023</v>
      </c>
      <c r="AQ50" s="1000" cm="1">
        <f t="array" aca="1" ref="AQ50" ca="1">IF(NPSwitch=1,_xll.TR(AQ$7,AQ$6,"Sdate=#1 Period=#2 Scale=6 NULL=BLANK",,$D50,$O$4),AQ50)</f>
        <v>3685.6625956600001</v>
      </c>
      <c r="AS50" s="765" t="str" cm="1">
        <f t="array" aca="1" ref="AS50" ca="1">IF(NPSwitch=1,_xll.TR(AS$7,AS$6,"Sdate=#1 Period=#2 NULL=BLANK Scale=6",,$D50,$AS$4),AS50)</f>
        <v/>
      </c>
      <c r="AT50" s="765" t="str" cm="1">
        <f t="array" aca="1" ref="AT50" ca="1">IF(NPSwitch=1,_xll.TR(AT$7,AT$6,"Sdate=#1 Period=#2 NULL=BLANK Scale=6",,$D50,$AS$4),AT50)</f>
        <v/>
      </c>
      <c r="AU50" s="765" t="str" cm="1">
        <f t="array" aca="1" ref="AU50" ca="1">IF(NPSwitch=1,_xll.TR(AU$7,AU$6,"Sdate=#1 Period=#2 NULL=BLANK Scale=6",,$D50,$AS$4),AU50)</f>
        <v/>
      </c>
      <c r="AV50" s="765" t="str" cm="1">
        <f t="array" aca="1" ref="AV50" ca="1">IF(NPSwitch=1,_xll.TR(AV$7,AV$6,"Sdate=#1 Period=#2 NULL=BLANK Scale=6",,$D50,$AS$4),AV50)</f>
        <v/>
      </c>
      <c r="AW50" s="765" t="str" cm="1">
        <f t="array" aca="1" ref="AW50" ca="1">IF(NPSwitch=1,_xll.TR(AW$7,AW$6,"Sdate=#1 Period=#2 NULL=BLANK Scale=6",,$D50,$AS$4),AW50)</f>
        <v/>
      </c>
      <c r="AX50" s="765" t="str" cm="1">
        <f t="array" aca="1" ref="AX50" ca="1">IF(NPSwitch=1,_xll.TR(AX$7,AX$6,"Sdate=#1 Period=#2 NULL=BLANK Scale=6",,$D50,$AS$4),AX50)</f>
        <v/>
      </c>
      <c r="AY50" s="765" t="str" cm="1">
        <f t="array" aca="1" ref="AY50" ca="1">IF(NPSwitch=1,_xll.TR(AY$7,AY$6,"Sdate=#1 Period=#2 NULL=BLANK Scale=6",,$D50,$AS$4),AY50)</f>
        <v/>
      </c>
      <c r="AZ50" s="765" t="str" cm="1">
        <f t="array" aca="1" ref="AZ50" ca="1">IF(NPSwitch=1,_xll.TR(AZ$7,AZ$6,"Sdate=#1 Period=#2 NULL=BLANK Scale=6",,$D50,$AS$4),AZ50)</f>
        <v/>
      </c>
      <c r="BA50" s="765" t="str" cm="1">
        <f t="array" aca="1" ref="BA50" ca="1">IF(NPSwitch=1,_xll.TR(BA$7,BA$6,"Sdate=#1 Period=#2 NULL=BLANK Scale=6",,$D50,$AS$4),BA50)</f>
        <v/>
      </c>
      <c r="BB50" s="1002"/>
      <c r="BC50" s="765" cm="1">
        <f t="array" aca="1" ref="BC50" ca="1">IF(NPSwitch=1,_xll.TR(BC$7,BC$6,"Sdate=#1 Period=#2 NULL=BLANK",,$D50,$BC$4),BC50)</f>
        <v>6.2717556669999999</v>
      </c>
      <c r="BD50" s="765" cm="1">
        <f t="array" aca="1" ref="BD50" ca="1">IF(NPSwitch=1,_xll.TR(BD$7,BD$6,"Sdate=#1 Period=#2 NULL=BLANK",,$D50,$BC$4),BD50)</f>
        <v>6.7246311969999999</v>
      </c>
      <c r="BE50" s="765" cm="1">
        <f t="array" aca="1" ref="BE50" ca="1">IF(NPSwitch=1,_xll.TR(BE$7,BE$6,"Sdate=#1 Period=#2 NULL=BLANK",,$D50,$BC$4),BE50)</f>
        <v>0.94072401800000005</v>
      </c>
      <c r="BF50" s="765" cm="1">
        <f t="array" aca="1" ref="BF50" ca="1">IF(NPSwitch=1,_xll.TR(BF$7,BF$6,"Sdate=#1 Period=#2 NULL=BLANK",,$D50,$BC$4),BF50)</f>
        <v>5.7003390989999998</v>
      </c>
      <c r="BG50" s="765" t="str" cm="1">
        <f t="array" aca="1" ref="BG50" ca="1">IF(NPSwitch=1,_xll.TR(BG$7,BG$6,"Sdate=#1 Period=#2 NULL=BLANK",,$D50,$BC$4),BG50)</f>
        <v/>
      </c>
      <c r="BH50" s="765" cm="1">
        <f t="array" aca="1" ref="BH50" ca="1">IF(NPSwitch=1,_xll.TR(BH$7,BH$6,"Sdate=#1 Period=#2 NULL=BLANK",,$D50,$BC$4),BH50)</f>
        <v>5.0668968259999998</v>
      </c>
      <c r="BI50" s="765" cm="1">
        <f t="array" aca="1" ref="BI50" ca="1">IF(NPSwitch=1,_xll.TR(BI$7,BI$6,"Sdate=#1 Period=#2 NULL=BLANK",,$D50,$BC$4),BI50)</f>
        <v>5.4108188290000001</v>
      </c>
      <c r="BJ50" s="765" cm="1">
        <f t="array" aca="1" ref="BJ50" ca="1">IF(NPSwitch=1,_xll.TR(BJ$7,BJ$6,"Sdate=#1 Period=#2 NULL=BLANK",,$D50,$BC$4),BJ50)</f>
        <v>6.2441134590000003</v>
      </c>
      <c r="BK50" s="765" cm="1">
        <f t="array" aca="1" ref="BK50" ca="1">IF(NPSwitch=1,_xll.TR(BK$7,BK$6,"Sdate=#1 Period=#2 NULL=BLANK",,$D50,$BC$4),BK50)</f>
        <v>3.859332561</v>
      </c>
      <c r="BM50" s="1014"/>
      <c r="BO50" s="765" cm="1">
        <f t="array" aca="1" ref="BO50" ca="1">IF(NPSwitch=1,_xll.TR(BO$7,BO$6,"Sdate=#1 Period=#2 NULL=BLANK Scale=6",,$D50,$AS$4),BO50)</f>
        <v>25966</v>
      </c>
      <c r="BP50" s="765" cm="1">
        <f t="array" aca="1" ref="BP50" ca="1">IF(NPSwitch=1,_xll.TR(BP$7,BP$6,"Sdate=#1 Period=#2 NULL=BLANK Scale=6",,$D50,$AS$4),BP50)</f>
        <v>2548.5459999999998</v>
      </c>
      <c r="BQ50" s="765" cm="1">
        <f t="array" aca="1" ref="BQ50" ca="1">IF(NPSwitch=1,_xll.TR(BQ$7,BQ$6,"Sdate=#1 Period=#2 NULL=BLANK Scale=6",,$D50,$AS$4),BQ50)</f>
        <v>8381</v>
      </c>
      <c r="BR50" s="765" cm="1">
        <f t="array" aca="1" ref="BR50" ca="1">IF(NPSwitch=1,_xll.TR(BR$7,BR$6,"Sdate=#1 Period=#2 NULL=BLANK Scale=6",,$D50,$AS$4),BR50)</f>
        <v>2828.2</v>
      </c>
      <c r="BS50" s="765" cm="1">
        <f t="array" aca="1" ref="BS50" ca="1">IF(NPSwitch=1,_xll.TR(BS$7,BS$6,"Sdate=#1 Period=#2 NULL=BLANK Scale=6",,$D50,$AS$4),BS50)</f>
        <v>10671</v>
      </c>
      <c r="BT50" s="765" cm="1">
        <f t="array" aca="1" ref="BT50" ca="1">IF(NPSwitch=1,_xll.TR(BT$7,BT$6,"Sdate=#1 Period=#2 NULL=BLANK Scale=6",,$D50,$AS$4),BT50)</f>
        <v>3051.9</v>
      </c>
      <c r="BU50" s="765" cm="1">
        <f t="array" aca="1" ref="BU50" ca="1">IF(NPSwitch=1,_xll.TR(BU$7,BU$6,"Sdate=#1 Period=#2 NULL=BLANK Scale=6",,$D50,$AS$4),BU50)</f>
        <v>15765</v>
      </c>
      <c r="BV50" s="765" cm="1">
        <f t="array" aca="1" ref="BV50" ca="1">IF(NPSwitch=1,_xll.TR(BV$7,BV$6,"Sdate=#1 Period=#2 NULL=BLANK Scale=6",,$D50,$AS$4),BV50)</f>
        <v>8887</v>
      </c>
      <c r="BW50" s="765" cm="1">
        <f t="array" aca="1" ref="BW50" ca="1">IF(NPSwitch=1,_xll.TR(BW$7,BW$6,"Sdate=#1 Period=#2 NULL=BLANK Scale=6",,$D50,$AS$4),BW50)</f>
        <v>7117</v>
      </c>
      <c r="BX50" s="1002"/>
      <c r="BY50" s="765" cm="1">
        <f t="array" aca="1" ref="BY50" ca="1">IF(NPSwitch=1,_xll.TR(BY$7,BY$6,"Sdate=#1 Period=#2 NULL=BLANK Scale=6",,$D50,$AS$4),BY50)</f>
        <v>17345.25</v>
      </c>
      <c r="BZ50" s="765" cm="1">
        <f t="array" aca="1" ref="BZ50" ca="1">IF(NPSwitch=1,_xll.TR(BZ$7,BZ$6,"Sdate=#1 Period=#2 NULL=BLANK Scale=6",,$D50,$AS$4),BZ50)</f>
        <v>2138.5030000000002</v>
      </c>
      <c r="CA50" s="765" cm="1">
        <f t="array" aca="1" ref="CA50" ca="1">IF(NPSwitch=1,_xll.TR(CA$7,CA$6,"Sdate=#1 Period=#2 NULL=BLANK Scale=6",,$D50,$AS$4),CA50)</f>
        <v>3332.25</v>
      </c>
      <c r="CB50" s="765" cm="1">
        <f t="array" aca="1" ref="CB50" ca="1">IF(NPSwitch=1,_xll.TR(CB$7,CB$6,"Sdate=#1 Period=#2 NULL=BLANK Scale=6",,$D50,$AS$4),CB50)</f>
        <v>1087.95</v>
      </c>
      <c r="CC50" s="765" cm="1">
        <f t="array" aca="1" ref="CC50" ca="1">IF(NPSwitch=1,_xll.TR(CC$7,CC$6,"Sdate=#1 Period=#2 NULL=BLANK Scale=6",,$D50,$AS$4),CC50)</f>
        <v>5717.7749999999996</v>
      </c>
      <c r="CD50" s="765" cm="1">
        <f t="array" aca="1" ref="CD50" ca="1">IF(NPSwitch=1,_xll.TR(CD$7,CD$6,"Sdate=#1 Period=#2 NULL=BLANK Scale=6",,$D50,$AS$4),CD50)</f>
        <v>1775.4749999999999</v>
      </c>
      <c r="CE50" s="765" cm="1">
        <f t="array" aca="1" ref="CE50" ca="1">IF(NPSwitch=1,_xll.TR(CE$7,CE$6,"Sdate=#1 Period=#2 NULL=BLANK Scale=6",,$D50,$AS$4),CE50)</f>
        <v>8430</v>
      </c>
      <c r="CF50" s="765" cm="1">
        <f t="array" aca="1" ref="CF50" ca="1">IF(NPSwitch=1,_xll.TR(CF$7,CF$6,"Sdate=#1 Period=#2 NULL=BLANK Scale=6",,$D50,$AS$4),CF50)</f>
        <v>6691</v>
      </c>
      <c r="CG50" s="765" cm="1">
        <f t="array" aca="1" ref="CG50" ca="1">IF(NPSwitch=1,_xll.TR(CG$7,CG$6,"Sdate=#1 Period=#2 NULL=BLANK Scale=6",,$D50,$AS$4),CG50)</f>
        <v>3525.75</v>
      </c>
      <c r="CI50" s="1000" cm="1">
        <f t="array" aca="1" ref="CI50" ca="1">IF(NPSwitch=1,_xll.TR(CI$7,CI$6,"Sdate=#1 Period=#2 NULL=BLANK Scale=6",,$D50,$AS$4),CI50)</f>
        <v>6906</v>
      </c>
      <c r="CJ50" s="1000" cm="1">
        <f t="array" aca="1" ref="CJ50" ca="1">IF(NPSwitch=1,_xll.TR(CJ$7,CJ$6,"Sdate=#1 Period=#2 NULL=BLANK Scale=6",,$D50,$AS$4),CJ50)</f>
        <v>427.86</v>
      </c>
      <c r="CK50" s="1000" cm="1">
        <f t="array" aca="1" ref="CK50" ca="1">IF(NPSwitch=1,_xll.TR(CK$7,CK$6,"Sdate=#1 Period=#2 NULL=BLANK Scale=6",,$D50,$AS$4),CK50)</f>
        <v>304</v>
      </c>
      <c r="CL50" s="1000" cm="1">
        <f t="array" aca="1" ref="CL50" ca="1">IF(NPSwitch=1,_xll.TR(CL$7,CL$6,"Sdate=#1 Period=#2 NULL=BLANK Scale=6",,$D50,$AS$4),CL50)</f>
        <v>127.8</v>
      </c>
      <c r="CM50" s="1000" t="str" cm="1">
        <f t="array" aca="1" ref="CM50" ca="1">IF(NPSwitch=1,_xll.TR(CM$7,CM$6,"Sdate=#1 Period=#2 NULL=BLANK Scale=6",,$D50,$AS$4),CM50)</f>
        <v/>
      </c>
      <c r="CN50" s="1000" cm="1">
        <f t="array" aca="1" ref="CN50" ca="1">IF(NPSwitch=1,_xll.TR(CN$7,CN$6,"Sdate=#1 Period=#2 NULL=BLANK Scale=6",,$D50,$AS$4),CN50)</f>
        <v>646.9</v>
      </c>
      <c r="CO50" s="1000" cm="1">
        <f t="array" aca="1" ref="CO50" ca="1">IF(NPSwitch=1,_xll.TR(CO$7,CO$6,"Sdate=#1 Period=#2 NULL=BLANK Scale=6",,$D50,$AS$4),CO50)</f>
        <v>2042</v>
      </c>
      <c r="CP50" s="1000" cm="1">
        <f t="array" aca="1" ref="CP50" ca="1">IF(NPSwitch=1,_xll.TR(CP$7,CP$6,"Sdate=#1 Period=#2 NULL=BLANK Scale=6",,$D50,$AS$4),CP50)</f>
        <v>1446</v>
      </c>
      <c r="CQ50" s="1000" cm="1">
        <f t="array" aca="1" ref="CQ50" ca="1">IF(NPSwitch=1,_xll.TR(CQ$7,CQ$6,"Sdate=#1 Period=#2 NULL=BLANK Scale=6",,$D50,$AS$4),CQ50)</f>
        <v>955</v>
      </c>
      <c r="CS50" s="1000" cm="1">
        <f t="array" aca="1" ref="CS50" ca="1">IF(NPSwitch=1,_xll.TR(CS$7,CS$6,"Sdate=#1 Period=#2 NULL=BLANK Scale=6",,$D50,$AS$4),CS50)</f>
        <v>6771.25</v>
      </c>
      <c r="CT50" s="1000" cm="1">
        <f t="array" aca="1" ref="CT50" ca="1">IF(NPSwitch=1,_xll.TR(CT$7,CT$6,"Sdate=#1 Period=#2 NULL=BLANK Scale=6",,$D50,$AS$4),CT50)</f>
        <v>1050.14075</v>
      </c>
      <c r="CU50" s="1000" cm="1">
        <f t="array" aca="1" ref="CU50" ca="1">IF(NPSwitch=1,_xll.TR(CU$7,CU$6,"Sdate=#1 Period=#2 NULL=BLANK Scale=6",,$D50,$AS$4),CU50)</f>
        <v>1040.75</v>
      </c>
      <c r="CV50" s="1000" cm="1">
        <f t="array" aca="1" ref="CV50" ca="1">IF(NPSwitch=1,_xll.TR(CV$7,CV$6,"Sdate=#1 Period=#2 NULL=BLANK Scale=6",,$D50,$AS$4),CV50)</f>
        <v>457.65</v>
      </c>
      <c r="CW50" s="1000" cm="1">
        <f t="array" aca="1" ref="CW50" ca="1">IF(NPSwitch=1,_xll.TR(CW$7,CW$6,"Sdate=#1 Period=#2 NULL=BLANK Scale=6",,$D50,$AS$4),CW50)</f>
        <v>925.8</v>
      </c>
      <c r="CX50" s="1000" cm="1">
        <f t="array" aca="1" ref="CX50" ca="1">IF(NPSwitch=1,_xll.TR(CX$7,CX$6,"Sdate=#1 Period=#2 NULL=BLANK Scale=6",,$D50,$AS$4),CX50)</f>
        <v>3006.75</v>
      </c>
      <c r="CY50" s="1000" cm="1">
        <f t="array" aca="1" ref="CY50" ca="1">IF(NPSwitch=1,_xll.TR(CY$7,CY$6,"Sdate=#1 Period=#2 NULL=BLANK Scale=6",,$D50,$AS$4),CY50)</f>
        <v>3906.75</v>
      </c>
      <c r="CZ50" s="1000" cm="1">
        <f t="array" aca="1" ref="CZ50" ca="1">IF(NPSwitch=1,_xll.TR(CZ$7,CZ$6,"Sdate=#1 Period=#2 NULL=BLANK Scale=6",,$D50,$AS$4),CZ50)</f>
        <v>2970.25</v>
      </c>
      <c r="DA50" s="1000" cm="1">
        <f t="array" aca="1" ref="DA50" ca="1">IF(NPSwitch=1,_xll.TR(DA$7,DA$6,"Sdate=#1 Period=#2 NULL=BLANK Scale=6",,$D50,$AS$4),DA50)</f>
        <v>2477</v>
      </c>
      <c r="DB50" s="1000" cm="1">
        <f t="array" aca="1" ref="DB50" ca="1">IF(NPSwitch=1,_xll.TR(DB$7,DB$6,"Sdate=#1 Period=#2 NULL=BLANK Scale=6",,$D50,$AS$4),DB50)</f>
        <v>14033.525</v>
      </c>
      <c r="DC50" s="1000" t="str" cm="1">
        <f t="array" aca="1" ref="DC50" ca="1">IF(NPSwitch=1,_xll.TR(DC$7,DC$6,"Sdate=#1 Period=#2 NULL=BLANK Scale=6",,$D50,$AS$4),DC50)</f>
        <v/>
      </c>
      <c r="DD50" s="1000" t="str" cm="1">
        <f t="array" aca="1" ref="DD50" ca="1">IF(NPSwitch=1,_xll.TR(DD$7,DD$6,"Sdate=#1 Period=#2 NULL=BLANK Scale=6",,$D50,$AS$4),DD50)</f>
        <v/>
      </c>
      <c r="DE50" s="1000" t="str" cm="1">
        <f t="array" aca="1" ref="DE50" ca="1">IF(NPSwitch=1,_xll.TR(DE$7,DE$6,"Sdate=#1 Period=#2 NULL=BLANK Scale=6",,$D50,$AS$4),DE50)</f>
        <v/>
      </c>
      <c r="DF50" s="1000" cm="1">
        <f t="array" aca="1" ref="DF50" ca="1">IF(NPSwitch=1,_xll.TR(DF$7,DF$6,"Sdate=#1 Period=#2 NULL=BLANK Scale=6",,$D50,$AS$4),DF50)</f>
        <v>457.65</v>
      </c>
      <c r="DG50" s="1000" cm="1">
        <f t="array" aca="1" ref="DG50" ca="1">IF(NPSwitch=1,_xll.TR(DG$7,DG$6,"Sdate=#1 Period=#2 NULL=BLANK Scale=6",,$D50,$AS$4),DG50)</f>
        <v>3853.0749999999998</v>
      </c>
      <c r="DH50" s="1000" cm="1">
        <f t="array" aca="1" ref="DH50" ca="1">IF(NPSwitch=1,_xll.TR(DH$7,DH$6,"Sdate=#1 Period=#2 NULL=BLANK Scale=6",,$D50,$AS$4),DH50)</f>
        <v>1152.7017499999999</v>
      </c>
      <c r="FN50" s="3" t="s">
        <v>1557</v>
      </c>
    </row>
    <row r="51" spans="1:170">
      <c r="C51" s="973">
        <f t="shared" si="44"/>
        <v>39813</v>
      </c>
      <c r="D51" s="974">
        <f t="shared" si="43"/>
        <v>39858</v>
      </c>
      <c r="E51" s="765" cm="1">
        <f t="array" aca="1" ref="E51" ca="1">IF(NPSwitch=1,_xll.TR(E$7,E$6,"Sdate=#1 Period=#2 NULL=BLANK",,$D51,$E$4),E51)</f>
        <v>5.8577647288569796</v>
      </c>
      <c r="F51" s="765" cm="1">
        <f t="array" aca="1" ref="F51" ca="1">IF(NPSwitch=1,_xll.TR(F$7,F$6,"Sdate=#1 Period=#2 NULL=BLANK",,$D51,$E$4),F51)</f>
        <v>7.5137277655543002</v>
      </c>
      <c r="G51" s="765" cm="1">
        <f t="array" aca="1" ref="G51" ca="1">IF(NPSwitch=1,_xll.TR(G$7,G$6,"Sdate=#1 Period=#2 NULL=BLANK",,$D51,$E$4),G51)</f>
        <v>4.0092160282969402</v>
      </c>
      <c r="H51" s="765" t="str" cm="1">
        <f t="array" aca="1" ref="H51" ca="1">IF(NPSwitch=1,_xll.TR(H$7,H$6,"Sdate=#1 Period=#2 NULL=BLANK",,$D51,$E$4),H51)</f>
        <v/>
      </c>
      <c r="I51" s="765" cm="1">
        <f t="array" aca="1" ref="I51" ca="1">IF(NPSwitch=1,_xll.TR(I$7,I$6,"Sdate=#1 Period=#2 NULL=BLANK",,$D51,$E$4),I51)</f>
        <v>6.5852120570952701</v>
      </c>
      <c r="J51" s="765" cm="1">
        <f t="array" aca="1" ref="J51" ca="1">IF(NPSwitch=1,_xll.TR(J$7,J$6,"Sdate=#1 Period=#2 NULL=BLANK",,$D51,$E$4),J51)</f>
        <v>5.4705480508151396</v>
      </c>
      <c r="K51" s="765" cm="1">
        <f t="array" aca="1" ref="K51" ca="1">IF(NPSwitch=1,_xll.TR(K$7,K$6,"Sdate=#1 Period=#2 NULL=BLANK",,$D51,$E$4),K51)</f>
        <v>5.7661063715638603</v>
      </c>
      <c r="L51" s="765" cm="1">
        <f t="array" aca="1" ref="L51" ca="1">IF(NPSwitch=1,_xll.TR(L$7,L$6,"Sdate=#1 Period=#2 NULL=BLANK",,$D51,$E$4),L51)</f>
        <v>4.9918680820272003</v>
      </c>
      <c r="M51" s="765" cm="1">
        <f t="array" aca="1" ref="M51" ca="1">IF(NPSwitch=1,_xll.TR(M$7,M$6,"Sdate=#1 Period=#2 NULL=BLANK",,$D51,$E$4),M51)</f>
        <v>4.7369274153280196</v>
      </c>
      <c r="N51" s="1002">
        <f t="shared" ca="1" si="45"/>
        <v>5.3645901179596818</v>
      </c>
      <c r="O51" s="1000" cm="1">
        <f t="array" aca="1" ref="O51" ca="1">IF(NPSwitch=1,_xll.TR(O$7,O$6,"Sdate=#1 Period=#2 Scale=6 NULL=BLANK",,$D51,$O$4),O51)</f>
        <v>34287.178697520001</v>
      </c>
      <c r="P51" s="1000" cm="1">
        <f t="array" aca="1" ref="P51" ca="1">IF(NPSwitch=1,_xll.TR(P$7,P$6,"Sdate=#1 Period=#2 Scale=6 NULL=BLANK",,$D51,$O$4),P51)</f>
        <v>2093.33520585</v>
      </c>
      <c r="Q51" s="1000" cm="1">
        <f t="array" aca="1" ref="Q51" ca="1">IF(NPSwitch=1,_xll.TR(Q$7,Q$6,"Sdate=#1 Period=#2 Scale=6 NULL=BLANK",,$D51,$O$4),Q51)</f>
        <v>568.78370712000003</v>
      </c>
      <c r="R51" s="1000" cm="1">
        <f t="array" aca="1" ref="R51" ca="1">IF(NPSwitch=1,_xll.TR(R$7,R$6,"Sdate=#1 Period=#2 Scale=6 NULL=BLANK",,$D51,$O$4),R51)</f>
        <v>225.75954576000001</v>
      </c>
      <c r="S51" s="1000" cm="1">
        <f t="array" aca="1" ref="S51" ca="1">IF(NPSwitch=1,_xll.TR(S$7,S$6,"Sdate=#1 Period=#2 Scale=6 NULL=BLANK",,$D51,$O$4),S51)</f>
        <v>682.19227193999996</v>
      </c>
      <c r="T51" s="1000" cm="1">
        <f t="array" aca="1" ref="T51" ca="1">IF(NPSwitch=1,_xll.TR(T$7,T$6,"Sdate=#1 Period=#2 Scale=6 NULL=BLANK",,$D51,$O$4),T51)</f>
        <v>3448.5736500399998</v>
      </c>
      <c r="U51" s="1000" cm="1">
        <f t="array" aca="1" ref="U51" ca="1">IF(NPSwitch=1,_xll.TR(U$7,U$6,"Sdate=#1 Period=#2 Scale=6 NULL=BLANK",,$D51,$O$4),U51)</f>
        <v>5946.8910881100001</v>
      </c>
      <c r="V51" s="1000" cm="1">
        <f t="array" aca="1" ref="V51" ca="1">IF(NPSwitch=1,_xll.TR(V$7,V$6,"Sdate=#1 Period=#2 Scale=6 NULL=BLANK",,$D51,$O$4),V51)</f>
        <v>4555.6509231301397</v>
      </c>
      <c r="W51" s="1000" cm="1">
        <f t="array" aca="1" ref="W51" ca="1">IF(NPSwitch=1,_xll.TR(W$7,W$6,"Sdate=#1 Period=#2 Scale=6 NULL=BLANK",,$D51,$O$4),W51)</f>
        <v>1796.39502937</v>
      </c>
      <c r="X51" s="998"/>
      <c r="Y51" s="1000" cm="1">
        <f t="array" aca="1" ref="Y51" ca="1">IF(NPSwitch=1,_xll.TR(Y$7,Y$6,"Sdate=#1 Period=#2 Scale=6 NULL=BLANK",,$D51,$O$4),Y51)</f>
        <v>2621.25</v>
      </c>
      <c r="Z51" s="1000" cm="1">
        <f t="array" aca="1" ref="Z51" ca="1">IF(NPSwitch=1,_xll.TR(Z$7,Z$6,"Sdate=#1 Period=#2 Scale=6 NULL=BLANK",,$D51,$O$4),Z51)</f>
        <v>191.03149999999999</v>
      </c>
      <c r="AA51" s="1000" cm="1">
        <f t="array" aca="1" ref="AA51" ca="1">IF(NPSwitch=1,_xll.TR(AA$7,AA$6,"Sdate=#1 Period=#2 Scale=6 NULL=BLANK",,$D51,$O$4),AA51)</f>
        <v>720.5</v>
      </c>
      <c r="AB51" s="1000" cm="1">
        <f t="array" aca="1" ref="AB51" ca="1">IF(NPSwitch=1,_xll.TR(AB$7,AB$6,"Sdate=#1 Period=#2 Scale=6 NULL=BLANK",,$D51,$O$4),AB51)</f>
        <v>50.075000000000003</v>
      </c>
      <c r="AC51" s="1000" cm="1">
        <f t="array" aca="1" ref="AC51" ca="1">IF(NPSwitch=1,_xll.TR(AC$7,AC$6,"Sdate=#1 Period=#2 Scale=6 NULL=BLANK",,$D51,$O$4),AC51)</f>
        <v>142.07499999999999</v>
      </c>
      <c r="AD51" s="1000" cm="1">
        <f t="array" aca="1" ref="AD51" ca="1">IF(NPSwitch=1,_xll.TR(AD$7,AD$6,"Sdate=#1 Period=#2 Scale=6 NULL=BLANK",,$D51,$O$4),AD51)</f>
        <v>85.275000000000006</v>
      </c>
      <c r="AE51" s="1000" cm="1">
        <f t="array" aca="1" ref="AE51" ca="1">IF(NPSwitch=1,_xll.TR(AE$7,AE$6,"Sdate=#1 Period=#2 Scale=6 NULL=BLANK",,$D51,$O$4),AE51)</f>
        <v>525.25</v>
      </c>
      <c r="AF51" s="1000" cm="1">
        <f t="array" aca="1" ref="AF51" ca="1">IF(NPSwitch=1,_xll.TR(AF$7,AF$6,"Sdate=#1 Period=#2 Scale=6 NULL=BLANK",,$D51,$O$4),AF51)</f>
        <v>554.75</v>
      </c>
      <c r="AG51" s="1000" cm="1">
        <f t="array" aca="1" ref="AG51" ca="1">IF(NPSwitch=1,_xll.TR(AG$7,AG$6,"Sdate=#1 Period=#2 Scale=6 NULL=BLANK",,$D51,$O$4),AG51)</f>
        <v>519.75</v>
      </c>
      <c r="AH51" s="998"/>
      <c r="AI51" s="1000" cm="1">
        <f t="array" aca="1" ref="AI51" ca="1">IF(NPSwitch=1,_xll.TR(AI$7,AI$6,"Sdate=#1 Period=#2 Scale=6 NULL=BLANK",,$D51,$O$4),AI51)</f>
        <v>33902.178697520001</v>
      </c>
      <c r="AJ51" s="1000" cm="1">
        <f t="array" aca="1" ref="AJ51" ca="1">IF(NPSwitch=1,_xll.TR(AJ$7,AJ$6,"Sdate=#1 Period=#2 Scale=6 NULL=BLANK",,$D51,$O$4),AJ51)</f>
        <v>2909.1252058499999</v>
      </c>
      <c r="AK51" s="1000" cm="1">
        <f t="array" aca="1" ref="AK51" ca="1">IF(NPSwitch=1,_xll.TR(AK$7,AK$6,"Sdate=#1 Period=#2 Scale=6 NULL=BLANK",,$D51,$O$4),AK51)</f>
        <v>2814.7837071200001</v>
      </c>
      <c r="AL51" s="1000" cm="1">
        <f t="array" aca="1" ref="AL51" ca="1">IF(NPSwitch=1,_xll.TR(AL$7,AL$6,"Sdate=#1 Period=#2 Scale=6 NULL=BLANK",,$D51,$O$4),AL51)</f>
        <v>657.25954576000004</v>
      </c>
      <c r="AM51" s="1000" cm="1">
        <f t="array" aca="1" ref="AM51" ca="1">IF(NPSwitch=1,_xll.TR(AM$7,AM$6,"Sdate=#1 Period=#2 Scale=6 NULL=BLANK",,$D51,$O$4),AM51)</f>
        <v>4570.8922719399998</v>
      </c>
      <c r="AN51" s="1000" cm="1">
        <f t="array" aca="1" ref="AN51" ca="1">IF(NPSwitch=1,_xll.TR(AN$7,AN$6,"Sdate=#1 Period=#2 Scale=6 NULL=BLANK",,$D51,$O$4),AN51)</f>
        <v>3987.5736500399998</v>
      </c>
      <c r="AO51" s="1000" cm="1">
        <f t="array" aca="1" ref="AO51" ca="1">IF(NPSwitch=1,_xll.TR(AO$7,AO$6,"Sdate=#1 Period=#2 Scale=6 NULL=BLANK",,$D51,$O$4),AO51)</f>
        <v>9543.8910881100001</v>
      </c>
      <c r="AP51" s="1000" cm="1">
        <f t="array" aca="1" ref="AP51" ca="1">IF(NPSwitch=1,_xll.TR(AP$7,AP$6,"Sdate=#1 Period=#2 Scale=6 NULL=BLANK",,$D51,$O$4),AP51)</f>
        <v>6767.6509231299997</v>
      </c>
      <c r="AQ51" s="1000" cm="1">
        <f t="array" aca="1" ref="AQ51" ca="1">IF(NPSwitch=1,_xll.TR(AQ$7,AQ$6,"Sdate=#1 Period=#2 Scale=6 NULL=BLANK",,$D51,$O$4),AQ51)</f>
        <v>2939.39502937</v>
      </c>
      <c r="AS51" s="765" t="str" cm="1">
        <f t="array" aca="1" ref="AS51" ca="1">IF(NPSwitch=1,_xll.TR(AS$7,AS$6,"Sdate=#1 Period=#2 NULL=BLANK Scale=6",,$D51,$AS$4),AS51)</f>
        <v/>
      </c>
      <c r="AT51" s="765" t="str" cm="1">
        <f t="array" aca="1" ref="AT51" ca="1">IF(NPSwitch=1,_xll.TR(AT$7,AT$6,"Sdate=#1 Period=#2 NULL=BLANK Scale=6",,$D51,$AS$4),AT51)</f>
        <v/>
      </c>
      <c r="AU51" s="765" t="str" cm="1">
        <f t="array" aca="1" ref="AU51" ca="1">IF(NPSwitch=1,_xll.TR(AU$7,AU$6,"Sdate=#1 Period=#2 NULL=BLANK Scale=6",,$D51,$AS$4),AU51)</f>
        <v/>
      </c>
      <c r="AV51" s="765" t="str" cm="1">
        <f t="array" aca="1" ref="AV51" ca="1">IF(NPSwitch=1,_xll.TR(AV$7,AV$6,"Sdate=#1 Period=#2 NULL=BLANK Scale=6",,$D51,$AS$4),AV51)</f>
        <v/>
      </c>
      <c r="AW51" s="765" t="str" cm="1">
        <f t="array" aca="1" ref="AW51" ca="1">IF(NPSwitch=1,_xll.TR(AW$7,AW$6,"Sdate=#1 Period=#2 NULL=BLANK Scale=6",,$D51,$AS$4),AW51)</f>
        <v/>
      </c>
      <c r="AX51" s="765" t="str" cm="1">
        <f t="array" aca="1" ref="AX51" ca="1">IF(NPSwitch=1,_xll.TR(AX$7,AX$6,"Sdate=#1 Period=#2 NULL=BLANK Scale=6",,$D51,$AS$4),AX51)</f>
        <v/>
      </c>
      <c r="AY51" s="765" t="str" cm="1">
        <f t="array" aca="1" ref="AY51" ca="1">IF(NPSwitch=1,_xll.TR(AY$7,AY$6,"Sdate=#1 Period=#2 NULL=BLANK Scale=6",,$D51,$AS$4),AY51)</f>
        <v/>
      </c>
      <c r="AZ51" s="765" t="str" cm="1">
        <f t="array" aca="1" ref="AZ51" ca="1">IF(NPSwitch=1,_xll.TR(AZ$7,AZ$6,"Sdate=#1 Period=#2 NULL=BLANK Scale=6",,$D51,$AS$4),AZ51)</f>
        <v/>
      </c>
      <c r="BA51" s="765" t="str" cm="1">
        <f t="array" aca="1" ref="BA51" ca="1">IF(NPSwitch=1,_xll.TR(BA$7,BA$6,"Sdate=#1 Period=#2 NULL=BLANK Scale=6",,$D51,$AS$4),BA51)</f>
        <v/>
      </c>
      <c r="BB51" s="1002"/>
      <c r="BC51" s="765" cm="1">
        <f t="array" aca="1" ref="BC51" ca="1">IF(NPSwitch=1,_xll.TR(BC$7,BC$6,"Sdate=#1 Period=#2 NULL=BLANK",,$D51,$BC$4),BC51)</f>
        <v>4.9090904569999996</v>
      </c>
      <c r="BD51" s="765" cm="1">
        <f t="array" aca="1" ref="BD51" ca="1">IF(NPSwitch=1,_xll.TR(BD$7,BD$6,"Sdate=#1 Period=#2 NULL=BLANK",,$D51,$BC$4),BD51)</f>
        <v>6.7992455610000002</v>
      </c>
      <c r="BE51" s="765" cm="1">
        <f t="array" aca="1" ref="BE51" ca="1">IF(NPSwitch=1,_xll.TR(BE$7,BE$6,"Sdate=#1 Period=#2 NULL=BLANK",,$D51,$BC$4),BE51)</f>
        <v>8.3277624469999996</v>
      </c>
      <c r="BF51" s="765" cm="1">
        <f t="array" aca="1" ref="BF51" ca="1">IF(NPSwitch=1,_xll.TR(BF$7,BF$6,"Sdate=#1 Period=#2 NULL=BLANK",,$D51,$BC$4),BF51)</f>
        <v>5.1428759450000001</v>
      </c>
      <c r="BG51" s="765" t="str" cm="1">
        <f t="array" aca="1" ref="BG51" ca="1">IF(NPSwitch=1,_xll.TR(BG$7,BG$6,"Sdate=#1 Period=#2 NULL=BLANK",,$D51,$BC$4),BG51)</f>
        <v/>
      </c>
      <c r="BH51" s="765" cm="1">
        <f t="array" aca="1" ref="BH51" ca="1">IF(NPSwitch=1,_xll.TR(BH$7,BH$6,"Sdate=#1 Period=#2 NULL=BLANK",,$D51,$BC$4),BH51)</f>
        <v>6.1641268360000003</v>
      </c>
      <c r="BI51" s="765" cm="1">
        <f t="array" aca="1" ref="BI51" ca="1">IF(NPSwitch=1,_xll.TR(BI$7,BI$6,"Sdate=#1 Period=#2 NULL=BLANK",,$D51,$BC$4),BI51)</f>
        <v>4.6737958319999997</v>
      </c>
      <c r="BJ51" s="765" cm="1">
        <f t="array" aca="1" ref="BJ51" ca="1">IF(NPSwitch=1,_xll.TR(BJ$7,BJ$6,"Sdate=#1 Period=#2 NULL=BLANK",,$D51,$BC$4),BJ51)</f>
        <v>5.4011579589999998</v>
      </c>
      <c r="BK51" s="765" cm="1">
        <f t="array" aca="1" ref="BK51" ca="1">IF(NPSwitch=1,_xll.TR(BK$7,BK$6,"Sdate=#1 Period=#2 NULL=BLANK",,$D51,$BC$4),BK51)</f>
        <v>3.0779005540000002</v>
      </c>
      <c r="BM51" s="1014"/>
      <c r="BO51" s="765" cm="1">
        <f t="array" aca="1" ref="BO51" ca="1">IF(NPSwitch=1,_xll.TR(BO$7,BO$6,"Sdate=#1 Period=#2 NULL=BLANK Scale=6",,$D51,$AS$4),BO51)</f>
        <v>25269</v>
      </c>
      <c r="BP51" s="765" cm="1">
        <f t="array" aca="1" ref="BP51" ca="1">IF(NPSwitch=1,_xll.TR(BP$7,BP$6,"Sdate=#1 Period=#2 NULL=BLANK Scale=6",,$D51,$AS$4),BP51)</f>
        <v>2467.1149999999998</v>
      </c>
      <c r="BQ51" s="765" cm="1">
        <f t="array" aca="1" ref="BQ51" ca="1">IF(NPSwitch=1,_xll.TR(BQ$7,BQ$6,"Sdate=#1 Period=#2 NULL=BLANK Scale=6",,$D51,$AS$4),BQ51)</f>
        <v>8442</v>
      </c>
      <c r="BR51" s="765" cm="1">
        <f t="array" aca="1" ref="BR51" ca="1">IF(NPSwitch=1,_xll.TR(BR$7,BR$6,"Sdate=#1 Period=#2 NULL=BLANK Scale=6",,$D51,$AS$4),BR51)</f>
        <v>2738.7</v>
      </c>
      <c r="BS51" s="765" cm="1">
        <f t="array" aca="1" ref="BS51" ca="1">IF(NPSwitch=1,_xll.TR(BS$7,BS$6,"Sdate=#1 Period=#2 NULL=BLANK Scale=6",,$D51,$AS$4),BS51)</f>
        <v>10671</v>
      </c>
      <c r="BT51" s="765" cm="1">
        <f t="array" aca="1" ref="BT51" ca="1">IF(NPSwitch=1,_xll.TR(BT$7,BT$6,"Sdate=#1 Period=#2 NULL=BLANK Scale=6",,$D51,$AS$4),BT51)</f>
        <v>3115.3</v>
      </c>
      <c r="BU51" s="765" cm="1">
        <f t="array" aca="1" ref="BU51" ca="1">IF(NPSwitch=1,_xll.TR(BU$7,BU$6,"Sdate=#1 Period=#2 NULL=BLANK Scale=6",,$D51,$AS$4),BU51)</f>
        <v>15849</v>
      </c>
      <c r="BV51" s="765" cm="1">
        <f t="array" aca="1" ref="BV51" ca="1">IF(NPSwitch=1,_xll.TR(BV$7,BV$6,"Sdate=#1 Period=#2 NULL=BLANK Scale=6",,$D51,$AS$4),BV51)</f>
        <v>8887</v>
      </c>
      <c r="BW51" s="765" cm="1">
        <f t="array" aca="1" ref="BW51" ca="1">IF(NPSwitch=1,_xll.TR(BW$7,BW$6,"Sdate=#1 Period=#2 NULL=BLANK Scale=6",,$D51,$AS$4),BW51)</f>
        <v>6726</v>
      </c>
      <c r="BX51" s="1002"/>
      <c r="BY51" s="765" cm="1">
        <f t="array" aca="1" ref="BY51" ca="1">IF(NPSwitch=1,_xll.TR(BY$7,BY$6,"Sdate=#1 Period=#2 NULL=BLANK Scale=6",,$D51,$AS$4),BY51)</f>
        <v>17434</v>
      </c>
      <c r="BZ51" s="765" cm="1">
        <f t="array" aca="1" ref="BZ51" ca="1">IF(NPSwitch=1,_xll.TR(BZ$7,BZ$6,"Sdate=#1 Period=#2 NULL=BLANK Scale=6",,$D51,$AS$4),BZ51)</f>
        <v>2150.1289999999999</v>
      </c>
      <c r="CA51" s="765" cm="1">
        <f t="array" aca="1" ref="CA51" ca="1">IF(NPSwitch=1,_xll.TR(CA$7,CA$6,"Sdate=#1 Period=#2 NULL=BLANK Scale=6",,$D51,$AS$4),CA51)</f>
        <v>4030.5</v>
      </c>
      <c r="CB51" s="765" cm="1">
        <f t="array" aca="1" ref="CB51" ca="1">IF(NPSwitch=1,_xll.TR(CB$7,CB$6,"Sdate=#1 Period=#2 NULL=BLANK Scale=6",,$D51,$AS$4),CB51)</f>
        <v>993.95</v>
      </c>
      <c r="CC51" s="765" cm="1">
        <f t="array" aca="1" ref="CC51" ca="1">IF(NPSwitch=1,_xll.TR(CC$7,CC$6,"Sdate=#1 Period=#2 NULL=BLANK Scale=6",,$D51,$AS$4),CC51)</f>
        <v>5717.7749999999996</v>
      </c>
      <c r="CD51" s="765" cm="1">
        <f t="array" aca="1" ref="CD51" ca="1">IF(NPSwitch=1,_xll.TR(CD$7,CD$6,"Sdate=#1 Period=#2 NULL=BLANK Scale=6",,$D51,$AS$4),CD51)</f>
        <v>1756</v>
      </c>
      <c r="CE51" s="765" cm="1">
        <f t="array" aca="1" ref="CE51" ca="1">IF(NPSwitch=1,_xll.TR(CE$7,CE$6,"Sdate=#1 Period=#2 NULL=BLANK Scale=6",,$D51,$AS$4),CE51)</f>
        <v>8447.25</v>
      </c>
      <c r="CF51" s="765" cm="1">
        <f t="array" aca="1" ref="CF51" ca="1">IF(NPSwitch=1,_xll.TR(CF$7,CF$6,"Sdate=#1 Period=#2 NULL=BLANK Scale=6",,$D51,$AS$4),CF51)</f>
        <v>6691</v>
      </c>
      <c r="CG51" s="765" cm="1">
        <f t="array" aca="1" ref="CG51" ca="1">IF(NPSwitch=1,_xll.TR(CG$7,CG$6,"Sdate=#1 Period=#2 NULL=BLANK Scale=6",,$D51,$AS$4),CG51)</f>
        <v>3355</v>
      </c>
      <c r="CI51" s="1000" cm="1">
        <f t="array" aca="1" ref="CI51" ca="1">IF(NPSwitch=1,_xll.TR(CI$7,CI$6,"Sdate=#1 Period=#2 NULL=BLANK Scale=6",,$D51,$AS$4),CI51)</f>
        <v>6557</v>
      </c>
      <c r="CJ51" s="1000" cm="1">
        <f t="array" aca="1" ref="CJ51" ca="1">IF(NPSwitch=1,_xll.TR(CJ$7,CJ$6,"Sdate=#1 Period=#2 NULL=BLANK Scale=6",,$D51,$AS$4),CJ51)</f>
        <v>396.935</v>
      </c>
      <c r="CK51" s="1000" cm="1">
        <f t="array" aca="1" ref="CK51" ca="1">IF(NPSwitch=1,_xll.TR(CK$7,CK$6,"Sdate=#1 Period=#2 NULL=BLANK Scale=6",,$D51,$AS$4),CK51)</f>
        <v>335</v>
      </c>
      <c r="CL51" s="1000" cm="1">
        <f t="array" aca="1" ref="CL51" ca="1">IF(NPSwitch=1,_xll.TR(CL$7,CL$6,"Sdate=#1 Period=#2 NULL=BLANK Scale=6",,$D51,$AS$4),CL51)</f>
        <v>138.80000000000001</v>
      </c>
      <c r="CM51" s="1000" t="str" cm="1">
        <f t="array" aca="1" ref="CM51" ca="1">IF(NPSwitch=1,_xll.TR(CM$7,CM$6,"Sdate=#1 Period=#2 NULL=BLANK Scale=6",,$D51,$AS$4),CM51)</f>
        <v/>
      </c>
      <c r="CN51" s="1000" cm="1">
        <f t="array" aca="1" ref="CN51" ca="1">IF(NPSwitch=1,_xll.TR(CN$7,CN$6,"Sdate=#1 Period=#2 NULL=BLANK Scale=6",,$D51,$AS$4),CN51)</f>
        <v>674.5</v>
      </c>
      <c r="CO51" s="1000" cm="1">
        <f t="array" aca="1" ref="CO51" ca="1">IF(NPSwitch=1,_xll.TR(CO$7,CO$6,"Sdate=#1 Period=#2 NULL=BLANK Scale=6",,$D51,$AS$4),CO51)</f>
        <v>1915</v>
      </c>
      <c r="CP51" s="1000" cm="1">
        <f t="array" aca="1" ref="CP51" ca="1">IF(NPSwitch=1,_xll.TR(CP$7,CP$6,"Sdate=#1 Period=#2 NULL=BLANK Scale=6",,$D51,$AS$4),CP51)</f>
        <v>1446</v>
      </c>
      <c r="CQ51" s="1000" cm="1">
        <f t="array" aca="1" ref="CQ51" ca="1">IF(NPSwitch=1,_xll.TR(CQ$7,CQ$6,"Sdate=#1 Period=#2 NULL=BLANK Scale=6",,$D51,$AS$4),CQ51)</f>
        <v>832</v>
      </c>
      <c r="CS51" s="1000" cm="1">
        <f t="array" aca="1" ref="CS51" ca="1">IF(NPSwitch=1,_xll.TR(CS$7,CS$6,"Sdate=#1 Period=#2 NULL=BLANK Scale=6",,$D51,$AS$4),CS51)</f>
        <v>6847.25</v>
      </c>
      <c r="CT51" s="1000" cm="1">
        <f t="array" aca="1" ref="CT51" ca="1">IF(NPSwitch=1,_xll.TR(CT$7,CT$6,"Sdate=#1 Period=#2 NULL=BLANK Scale=6",,$D51,$AS$4),CT51)</f>
        <v>1043.5920000000001</v>
      </c>
      <c r="CU51" s="1000" cm="1">
        <f t="array" aca="1" ref="CU51" ca="1">IF(NPSwitch=1,_xll.TR(CU$7,CU$6,"Sdate=#1 Period=#2 NULL=BLANK Scale=6",,$D51,$AS$4),CU51)</f>
        <v>1341.25</v>
      </c>
      <c r="CV51" s="1000" cm="1">
        <f t="array" aca="1" ref="CV51" ca="1">IF(NPSwitch=1,_xll.TR(CV$7,CV$6,"Sdate=#1 Period=#2 NULL=BLANK Scale=6",,$D51,$AS$4),CV51)</f>
        <v>453.22500000000002</v>
      </c>
      <c r="CW51" s="1000" cm="1">
        <f t="array" aca="1" ref="CW51" ca="1">IF(NPSwitch=1,_xll.TR(CW$7,CW$6,"Sdate=#1 Period=#2 NULL=BLANK Scale=6",,$D51,$AS$4),CW51)</f>
        <v>926.92499999999995</v>
      </c>
      <c r="CX51" s="1000" cm="1">
        <f t="array" aca="1" ref="CX51" ca="1">IF(NPSwitch=1,_xll.TR(CX$7,CX$6,"Sdate=#1 Period=#2 NULL=BLANK Scale=6",,$D51,$AS$4),CX51)</f>
        <v>3061.75</v>
      </c>
      <c r="CY51" s="1000" cm="1">
        <f t="array" aca="1" ref="CY51" ca="1">IF(NPSwitch=1,_xll.TR(CY$7,CY$6,"Sdate=#1 Period=#2 NULL=BLANK Scale=6",,$D51,$AS$4),CY51)</f>
        <v>3906.75</v>
      </c>
      <c r="CZ51" s="1000" cm="1">
        <f t="array" aca="1" ref="CZ51" ca="1">IF(NPSwitch=1,_xll.TR(CZ$7,CZ$6,"Sdate=#1 Period=#2 NULL=BLANK Scale=6",,$D51,$AS$4),CZ51)</f>
        <v>3058.25</v>
      </c>
      <c r="DA51" s="1000" cm="1">
        <f t="array" aca="1" ref="DA51" ca="1">IF(NPSwitch=1,_xll.TR(DA$7,DA$6,"Sdate=#1 Period=#2 NULL=BLANK Scale=6",,$D51,$AS$4),DA51)</f>
        <v>2504.5</v>
      </c>
      <c r="DB51" s="1000" cm="1">
        <f t="array" aca="1" ref="DB51" ca="1">IF(NPSwitch=1,_xll.TR(DB$7,DB$6,"Sdate=#1 Period=#2 NULL=BLANK Scale=6",,$D51,$AS$4),DB51)</f>
        <v>14033.525</v>
      </c>
      <c r="DC51" s="1000" t="str" cm="1">
        <f t="array" aca="1" ref="DC51" ca="1">IF(NPSwitch=1,_xll.TR(DC$7,DC$6,"Sdate=#1 Period=#2 NULL=BLANK Scale=6",,$D51,$AS$4),DC51)</f>
        <v/>
      </c>
      <c r="DD51" s="1000" t="str" cm="1">
        <f t="array" aca="1" ref="DD51" ca="1">IF(NPSwitch=1,_xll.TR(DD$7,DD$6,"Sdate=#1 Period=#2 NULL=BLANK Scale=6",,$D51,$AS$4),DD51)</f>
        <v/>
      </c>
      <c r="DE51" s="1000" t="str" cm="1">
        <f t="array" aca="1" ref="DE51" ca="1">IF(NPSwitch=1,_xll.TR(DE$7,DE$6,"Sdate=#1 Period=#2 NULL=BLANK Scale=6",,$D51,$AS$4),DE51)</f>
        <v/>
      </c>
      <c r="DF51" s="1000" cm="1">
        <f t="array" aca="1" ref="DF51" ca="1">IF(NPSwitch=1,_xll.TR(DF$7,DF$6,"Sdate=#1 Period=#2 NULL=BLANK Scale=6",,$D51,$AS$4),DF51)</f>
        <v>453.22500000000002</v>
      </c>
      <c r="DG51" s="1000" cm="1">
        <f t="array" aca="1" ref="DG51" ca="1">IF(NPSwitch=1,_xll.TR(DG$7,DG$6,"Sdate=#1 Period=#2 NULL=BLANK Scale=6",,$D51,$AS$4),DG51)</f>
        <v>3853.0749999999998</v>
      </c>
      <c r="DH51" s="1000" cm="1">
        <f t="array" aca="1" ref="DH51" ca="1">IF(NPSwitch=1,_xll.TR(DH$7,DH$6,"Sdate=#1 Period=#2 NULL=BLANK Scale=6",,$D51,$AS$4),DH51)</f>
        <v>1152.7017499999999</v>
      </c>
      <c r="FN51" s="3" t="s">
        <v>1558</v>
      </c>
    </row>
    <row r="52" spans="1:170">
      <c r="C52" s="969">
        <f t="shared" si="44"/>
        <v>39903</v>
      </c>
      <c r="D52" s="974">
        <f t="shared" si="43"/>
        <v>39948</v>
      </c>
      <c r="E52" s="765" cm="1">
        <f t="array" aca="1" ref="E52" ca="1">IF(NPSwitch=1,_xll.TR(E$7,E$6,"Sdate=#1 Period=#2 NULL=BLANK",,$D52,$E$4),E52)</f>
        <v>8.4004415924850804</v>
      </c>
      <c r="F52" s="765" cm="1">
        <f t="array" aca="1" ref="F52" ca="1">IF(NPSwitch=1,_xll.TR(F$7,F$6,"Sdate=#1 Period=#2 NULL=BLANK",,$D52,$E$4),F52)</f>
        <v>9.7764492227638407</v>
      </c>
      <c r="G52" s="765" cm="1">
        <f t="array" aca="1" ref="G52" ca="1">IF(NPSwitch=1,_xll.TR(G$7,G$6,"Sdate=#1 Period=#2 NULL=BLANK",,$D52,$E$4),G52)</f>
        <v>4.8508815798263702</v>
      </c>
      <c r="H52" s="765" cm="1">
        <f t="array" aca="1" ref="H52" ca="1">IF(NPSwitch=1,_xll.TR(H$7,H$6,"Sdate=#1 Period=#2 NULL=BLANK",,$D52,$E$4),H52)</f>
        <v>4.9933467628611501</v>
      </c>
      <c r="I52" s="765" cm="1">
        <f t="array" aca="1" ref="I52" ca="1">IF(NPSwitch=1,_xll.TR(I$7,I$6,"Sdate=#1 Period=#2 NULL=BLANK",,$D52,$E$4),I52)</f>
        <v>7.96000506248145</v>
      </c>
      <c r="J52" s="765" cm="1">
        <f t="array" aca="1" ref="J52" ca="1">IF(NPSwitch=1,_xll.TR(J$7,J$6,"Sdate=#1 Period=#2 NULL=BLANK",,$D52,$E$4),J52)</f>
        <v>6.02799633603163</v>
      </c>
      <c r="K52" s="765" cm="1">
        <f t="array" aca="1" ref="K52" ca="1">IF(NPSwitch=1,_xll.TR(K$7,K$6,"Sdate=#1 Period=#2 NULL=BLANK",,$D52,$E$4),K52)</f>
        <v>7.0552885436016597</v>
      </c>
      <c r="L52" s="765" cm="1">
        <f t="array" aca="1" ref="L52" ca="1">IF(NPSwitch=1,_xll.TR(L$7,L$6,"Sdate=#1 Period=#2 NULL=BLANK",,$D52,$E$4),L52)</f>
        <v>5.8009733630415603</v>
      </c>
      <c r="M52" s="765" cm="1">
        <f t="array" aca="1" ref="M52" ca="1">IF(NPSwitch=1,_xll.TR(M$7,M$6,"Sdate=#1 Period=#2 NULL=BLANK",,$D52,$E$4),M52)</f>
        <v>5.8701955247192297</v>
      </c>
      <c r="N52" s="1002">
        <f t="shared" ca="1" si="45"/>
        <v>6.1147486079739695</v>
      </c>
      <c r="O52" s="1000" cm="1">
        <f t="array" aca="1" ref="O52" ca="1">IF(NPSwitch=1,_xll.TR(O$7,O$6,"Sdate=#1 Period=#2 Scale=6 NULL=BLANK",,$D52,$O$4),O52)</f>
        <v>40218.715719680004</v>
      </c>
      <c r="P52" s="1000" cm="1">
        <f t="array" aca="1" ref="P52" ca="1">IF(NPSwitch=1,_xll.TR(P$7,P$6,"Sdate=#1 Period=#2 Scale=6 NULL=BLANK",,$D52,$O$4),P52)</f>
        <v>2437.9568117200001</v>
      </c>
      <c r="Q52" s="1000" cm="1">
        <f t="array" aca="1" ref="Q52" ca="1">IF(NPSwitch=1,_xll.TR(Q$7,Q$6,"Sdate=#1 Period=#2 Scale=6 NULL=BLANK",,$D52,$O$4),Q52)</f>
        <v>1793.16822282</v>
      </c>
      <c r="R52" s="1000" cm="1">
        <f t="array" aca="1" ref="R52" ca="1">IF(NPSwitch=1,_xll.TR(R$7,R$6,"Sdate=#1 Period=#2 Scale=6 NULL=BLANK",,$D52,$O$4),R52)</f>
        <v>266.07604032</v>
      </c>
      <c r="S52" s="1000" cm="1">
        <f t="array" aca="1" ref="S52" ca="1">IF(NPSwitch=1,_xll.TR(S$7,S$6,"Sdate=#1 Period=#2 Scale=6 NULL=BLANK",,$D52,$O$4),S52)</f>
        <v>1383.1389706</v>
      </c>
      <c r="T52" s="1000" cm="1">
        <f t="array" aca="1" ref="T52" ca="1">IF(NPSwitch=1,_xll.TR(T$7,T$6,"Sdate=#1 Period=#2 Scale=6 NULL=BLANK",,$D52,$O$4),T52)</f>
        <v>3522.57145171</v>
      </c>
      <c r="U52" s="1000" cm="1">
        <f t="array" aca="1" ref="U52" ca="1">IF(NPSwitch=1,_xll.TR(U$7,U$6,"Sdate=#1 Period=#2 Scale=6 NULL=BLANK",,$D52,$O$4),U52)</f>
        <v>6942.0437332000001</v>
      </c>
      <c r="V52" s="1000" cm="1">
        <f t="array" aca="1" ref="V52" ca="1">IF(NPSwitch=1,_xll.TR(V$7,V$6,"Sdate=#1 Period=#2 Scale=6 NULL=BLANK",,$D52,$O$4),V52)</f>
        <v>5184.5569025712703</v>
      </c>
      <c r="W52" s="1000" cm="1">
        <f t="array" aca="1" ref="W52" ca="1">IF(NPSwitch=1,_xll.TR(W$7,W$6,"Sdate=#1 Period=#2 Scale=6 NULL=BLANK",,$D52,$O$4),W52)</f>
        <v>2761.9330162800002</v>
      </c>
      <c r="X52" s="998"/>
      <c r="Y52" s="1000" cm="1">
        <f t="array" aca="1" ref="Y52" ca="1">IF(NPSwitch=1,_xll.TR(Y$7,Y$6,"Sdate=#1 Period=#2 Scale=6 NULL=BLANK",,$D52,$O$4),Y52)</f>
        <v>2267.5</v>
      </c>
      <c r="Z52" s="1000" cm="1">
        <f t="array" aca="1" ref="Z52" ca="1">IF(NPSwitch=1,_xll.TR(Z$7,Z$6,"Sdate=#1 Period=#2 Scale=6 NULL=BLANK",,$D52,$O$4),Z52)</f>
        <v>203.22375</v>
      </c>
      <c r="AA52" s="1000" cm="1">
        <f t="array" aca="1" ref="AA52" ca="1">IF(NPSwitch=1,_xll.TR(AA$7,AA$6,"Sdate=#1 Period=#2 Scale=6 NULL=BLANK",,$D52,$O$4),AA52)</f>
        <v>541</v>
      </c>
      <c r="AB52" s="1000" cm="1">
        <f t="array" aca="1" ref="AB52" ca="1">IF(NPSwitch=1,_xll.TR(AB$7,AB$6,"Sdate=#1 Period=#2 Scale=6 NULL=BLANK",,$D52,$O$4),AB52)</f>
        <v>65.900000000000006</v>
      </c>
      <c r="AC52" s="1000" cm="1">
        <f t="array" aca="1" ref="AC52" ca="1">IF(NPSwitch=1,_xll.TR(AC$7,AC$6,"Sdate=#1 Period=#2 Scale=6 NULL=BLANK",,$D52,$O$4),AC52)</f>
        <v>343.72500000000002</v>
      </c>
      <c r="AD52" s="1000" cm="1">
        <f t="array" aca="1" ref="AD52" ca="1">IF(NPSwitch=1,_xll.TR(AD$7,AD$6,"Sdate=#1 Period=#2 Scale=6 NULL=BLANK",,$D52,$O$4),AD52)</f>
        <v>81.400000000000006</v>
      </c>
      <c r="AE52" s="1000" cm="1">
        <f t="array" aca="1" ref="AE52" ca="1">IF(NPSwitch=1,_xll.TR(AE$7,AE$6,"Sdate=#1 Period=#2 Scale=6 NULL=BLANK",,$D52,$O$4),AE52)</f>
        <v>583.5</v>
      </c>
      <c r="AF52" s="1000" cm="1">
        <f t="array" aca="1" ref="AF52" ca="1">IF(NPSwitch=1,_xll.TR(AF$7,AF$6,"Sdate=#1 Period=#2 Scale=6 NULL=BLANK",,$D52,$O$4),AF52)</f>
        <v>697.75</v>
      </c>
      <c r="AG52" s="1000" cm="1">
        <f t="array" aca="1" ref="AG52" ca="1">IF(NPSwitch=1,_xll.TR(AG$7,AG$6,"Sdate=#1 Period=#2 Scale=6 NULL=BLANK",,$D52,$O$4),AG52)</f>
        <v>406.5</v>
      </c>
      <c r="AH52" s="998"/>
      <c r="AI52" s="1000" cm="1">
        <f t="array" aca="1" ref="AI52" ca="1">IF(NPSwitch=1,_xll.TR(AI$7,AI$6,"Sdate=#1 Period=#2 Scale=6 NULL=BLANK",,$D52,$O$4),AI52)</f>
        <v>44777.715719680004</v>
      </c>
      <c r="AJ52" s="1000" cm="1">
        <f t="array" aca="1" ref="AJ52" ca="1">IF(NPSwitch=1,_xll.TR(AJ$7,AJ$6,"Sdate=#1 Period=#2 Scale=6 NULL=BLANK",,$D52,$O$4),AJ52)</f>
        <v>3224.4508117199998</v>
      </c>
      <c r="AK52" s="1000" cm="1">
        <f t="array" aca="1" ref="AK52" ca="1">IF(NPSwitch=1,_xll.TR(AK$7,AK$6,"Sdate=#1 Period=#2 Scale=6 NULL=BLANK",,$D52,$O$4),AK52)</f>
        <v>3852.1682228200002</v>
      </c>
      <c r="AL52" s="1000" cm="1">
        <f t="array" aca="1" ref="AL52" ca="1">IF(NPSwitch=1,_xll.TR(AL$7,AL$6,"Sdate=#1 Period=#2 Scale=6 NULL=BLANK",,$D52,$O$4),AL52)</f>
        <v>593.37604032000002</v>
      </c>
      <c r="AM52" s="1000" cm="1">
        <f t="array" aca="1" ref="AM52" ca="1">IF(NPSwitch=1,_xll.TR(AM$7,AM$6,"Sdate=#1 Period=#2 Scale=6 NULL=BLANK",,$D52,$O$4),AM52)</f>
        <v>4710.1389706</v>
      </c>
      <c r="AN52" s="1000" cm="1">
        <f t="array" aca="1" ref="AN52" ca="1">IF(NPSwitch=1,_xll.TR(AN$7,AN$6,"Sdate=#1 Period=#2 Scale=6 NULL=BLANK",,$D52,$O$4),AN52)</f>
        <v>4192.4714517100001</v>
      </c>
      <c r="AO52" s="1000" cm="1">
        <f t="array" aca="1" ref="AO52" ca="1">IF(NPSwitch=1,_xll.TR(AO$7,AO$6,"Sdate=#1 Period=#2 Scale=6 NULL=BLANK",,$D52,$O$4),AO52)</f>
        <v>10439.0437332</v>
      </c>
      <c r="AP52" s="1000" cm="1">
        <f t="array" aca="1" ref="AP52" ca="1">IF(NPSwitch=1,_xll.TR(AP$7,AP$6,"Sdate=#1 Period=#2 Scale=6 NULL=BLANK",,$D52,$O$4),AP52)</f>
        <v>7325.5569025710001</v>
      </c>
      <c r="AQ52" s="1000" cm="1">
        <f t="array" aca="1" ref="AQ52" ca="1">IF(NPSwitch=1,_xll.TR(AQ$7,AQ$6,"Sdate=#1 Period=#2 Scale=6 NULL=BLANK",,$D52,$O$4),AQ52)</f>
        <v>3880.9330162800002</v>
      </c>
      <c r="AS52" s="765" t="str" cm="1">
        <f t="array" aca="1" ref="AS52" ca="1">IF(NPSwitch=1,_xll.TR(AS$7,AS$6,"Sdate=#1 Period=#2 NULL=BLANK Scale=6",,$D52,$AS$4),AS52)</f>
        <v/>
      </c>
      <c r="AT52" s="765" t="str" cm="1">
        <f t="array" aca="1" ref="AT52" ca="1">IF(NPSwitch=1,_xll.TR(AT$7,AT$6,"Sdate=#1 Period=#2 NULL=BLANK Scale=6",,$D52,$AS$4),AT52)</f>
        <v/>
      </c>
      <c r="AU52" s="765" t="str" cm="1">
        <f t="array" aca="1" ref="AU52" ca="1">IF(NPSwitch=1,_xll.TR(AU$7,AU$6,"Sdate=#1 Period=#2 NULL=BLANK Scale=6",,$D52,$AS$4),AU52)</f>
        <v/>
      </c>
      <c r="AV52" s="765" t="str" cm="1">
        <f t="array" aca="1" ref="AV52" ca="1">IF(NPSwitch=1,_xll.TR(AV$7,AV$6,"Sdate=#1 Period=#2 NULL=BLANK Scale=6",,$D52,$AS$4),AV52)</f>
        <v/>
      </c>
      <c r="AW52" s="765" t="str" cm="1">
        <f t="array" aca="1" ref="AW52" ca="1">IF(NPSwitch=1,_xll.TR(AW$7,AW$6,"Sdate=#1 Period=#2 NULL=BLANK Scale=6",,$D52,$AS$4),AW52)</f>
        <v/>
      </c>
      <c r="AX52" s="765" t="str" cm="1">
        <f t="array" aca="1" ref="AX52" ca="1">IF(NPSwitch=1,_xll.TR(AX$7,AX$6,"Sdate=#1 Period=#2 NULL=BLANK Scale=6",,$D52,$AS$4),AX52)</f>
        <v/>
      </c>
      <c r="AY52" s="765" t="str" cm="1">
        <f t="array" aca="1" ref="AY52" ca="1">IF(NPSwitch=1,_xll.TR(AY$7,AY$6,"Sdate=#1 Period=#2 NULL=BLANK Scale=6",,$D52,$AS$4),AY52)</f>
        <v/>
      </c>
      <c r="AZ52" s="765" t="str" cm="1">
        <f t="array" aca="1" ref="AZ52" ca="1">IF(NPSwitch=1,_xll.TR(AZ$7,AZ$6,"Sdate=#1 Period=#2 NULL=BLANK Scale=6",,$D52,$AS$4),AZ52)</f>
        <v/>
      </c>
      <c r="BA52" s="765" t="str" cm="1">
        <f t="array" aca="1" ref="BA52" ca="1">IF(NPSwitch=1,_xll.TR(BA$7,BA$6,"Sdate=#1 Period=#2 NULL=BLANK Scale=6",,$D52,$AS$4),BA52)</f>
        <v/>
      </c>
      <c r="BB52" s="1002"/>
      <c r="BC52" s="765" cm="1">
        <f t="array" aca="1" ref="BC52" ca="1">IF(NPSwitch=1,_xll.TR(BC$7,BC$6,"Sdate=#1 Period=#2 NULL=BLANK",,$D52,$BC$4),BC52)</f>
        <v>7.552321761</v>
      </c>
      <c r="BD52" s="765" cm="1">
        <f t="array" aca="1" ref="BD52" ca="1">IF(NPSwitch=1,_xll.TR(BD$7,BD$6,"Sdate=#1 Period=#2 NULL=BLANK",,$D52,$BC$4),BD52)</f>
        <v>9.539710629</v>
      </c>
      <c r="BE52" s="765" cm="1">
        <f t="array" aca="1" ref="BE52" ca="1">IF(NPSwitch=1,_xll.TR(BE$7,BE$6,"Sdate=#1 Period=#2 NULL=BLANK",,$D52,$BC$4),BE52)</f>
        <v>7.9755035669999996</v>
      </c>
      <c r="BF52" s="765" cm="1">
        <f t="array" aca="1" ref="BF52" ca="1">IF(NPSwitch=1,_xll.TR(BF$7,BF$6,"Sdate=#1 Period=#2 NULL=BLANK",,$D52,$BC$4),BF52)</f>
        <v>4.8918057729999997</v>
      </c>
      <c r="BG52" s="765" t="str" cm="1">
        <f t="array" aca="1" ref="BG52" ca="1">IF(NPSwitch=1,_xll.TR(BG$7,BG$6,"Sdate=#1 Period=#2 NULL=BLANK",,$D52,$BC$4),BG52)</f>
        <v/>
      </c>
      <c r="BH52" s="765" cm="1">
        <f t="array" aca="1" ref="BH52" ca="1">IF(NPSwitch=1,_xll.TR(BH$7,BH$6,"Sdate=#1 Period=#2 NULL=BLANK",,$D52,$BC$4),BH52)</f>
        <v>6.3063650000000004</v>
      </c>
      <c r="BI52" s="765" cm="1">
        <f t="array" aca="1" ref="BI52" ca="1">IF(NPSwitch=1,_xll.TR(BI$7,BI$6,"Sdate=#1 Period=#2 NULL=BLANK",,$D52,$BC$4),BI52)</f>
        <v>5.9754114100000004</v>
      </c>
      <c r="BJ52" s="765" cm="1">
        <f t="array" aca="1" ref="BJ52" ca="1">IF(NPSwitch=1,_xll.TR(BJ$7,BJ$6,"Sdate=#1 Period=#2 NULL=BLANK",,$D52,$BC$4),BJ52)</f>
        <v>10.132167223</v>
      </c>
      <c r="BK52" s="765" cm="1">
        <f t="array" aca="1" ref="BK52" ca="1">IF(NPSwitch=1,_xll.TR(BK$7,BK$6,"Sdate=#1 Period=#2 NULL=BLANK",,$D52,$BC$4),BK52)</f>
        <v>5.5441900229999996</v>
      </c>
      <c r="BM52" s="1014"/>
      <c r="BO52" s="765" cm="1">
        <f t="array" aca="1" ref="BO52" ca="1">IF(NPSwitch=1,_xll.TR(BO$7,BO$6,"Sdate=#1 Period=#2 NULL=BLANK Scale=6",,$D52,$AS$4),BO52)</f>
        <v>23895</v>
      </c>
      <c r="BP52" s="765" cm="1">
        <f t="array" aca="1" ref="BP52" ca="1">IF(NPSwitch=1,_xll.TR(BP$7,BP$6,"Sdate=#1 Period=#2 NULL=BLANK Scale=6",,$D52,$AS$4),BP52)</f>
        <v>2285.529</v>
      </c>
      <c r="BQ52" s="765" cm="1">
        <f t="array" aca="1" ref="BQ52" ca="1">IF(NPSwitch=1,_xll.TR(BQ$7,BQ$6,"Sdate=#1 Period=#2 NULL=BLANK Scale=6",,$D52,$AS$4),BQ52)</f>
        <v>8373</v>
      </c>
      <c r="BR52" s="765" cm="1">
        <f t="array" aca="1" ref="BR52" ca="1">IF(NPSwitch=1,_xll.TR(BR$7,BR$6,"Sdate=#1 Period=#2 NULL=BLANK Scale=6",,$D52,$AS$4),BR52)</f>
        <v>2488.4</v>
      </c>
      <c r="BS52" s="765" cm="1">
        <f t="array" aca="1" ref="BS52" ca="1">IF(NPSwitch=1,_xll.TR(BS$7,BS$6,"Sdate=#1 Period=#2 NULL=BLANK Scale=6",,$D52,$AS$4),BS52)</f>
        <v>9355</v>
      </c>
      <c r="BT52" s="765" cm="1">
        <f t="array" aca="1" ref="BT52" ca="1">IF(NPSwitch=1,_xll.TR(BT$7,BT$6,"Sdate=#1 Period=#2 NULL=BLANK Scale=6",,$D52,$AS$4),BT52)</f>
        <v>3055.6</v>
      </c>
      <c r="BU52" s="765" cm="1">
        <f t="array" aca="1" ref="BU52" ca="1">IF(NPSwitch=1,_xll.TR(BU$7,BU$6,"Sdate=#1 Period=#2 NULL=BLANK Scale=6",,$D52,$AS$4),BU52)</f>
        <v>14670</v>
      </c>
      <c r="BV52" s="765" cm="1">
        <f t="array" aca="1" ref="BV52" ca="1">IF(NPSwitch=1,_xll.TR(BV$7,BV$6,"Sdate=#1 Period=#2 NULL=BLANK Scale=6",,$D52,$AS$4),BV52)</f>
        <v>7018</v>
      </c>
      <c r="BW52" s="765" cm="1">
        <f t="array" aca="1" ref="BW52" ca="1">IF(NPSwitch=1,_xll.TR(BW$7,BW$6,"Sdate=#1 Period=#2 NULL=BLANK Scale=6",,$D52,$AS$4),BW52)</f>
        <v>6128</v>
      </c>
      <c r="BX52" s="1002"/>
      <c r="BY52" s="765" cm="1">
        <f t="array" aca="1" ref="BY52" ca="1">IF(NPSwitch=1,_xll.TR(BY$7,BY$6,"Sdate=#1 Period=#2 NULL=BLANK Scale=6",,$D52,$AS$4),BY52)</f>
        <v>16734.25</v>
      </c>
      <c r="BZ52" s="765" cm="1">
        <f t="array" aca="1" ref="BZ52" ca="1">IF(NPSwitch=1,_xll.TR(BZ$7,BZ$6,"Sdate=#1 Period=#2 NULL=BLANK Scale=6",,$D52,$AS$4),BZ52)</f>
        <v>2113.6559999999999</v>
      </c>
      <c r="CA52" s="765" cm="1">
        <f t="array" aca="1" ref="CA52" ca="1">IF(NPSwitch=1,_xll.TR(CA$7,CA$6,"Sdate=#1 Period=#2 NULL=BLANK Scale=6",,$D52,$AS$4),CA52)</f>
        <v>4641</v>
      </c>
      <c r="CB52" s="765" cm="1">
        <f t="array" aca="1" ref="CB52" ca="1">IF(NPSwitch=1,_xll.TR(CB$7,CB$6,"Sdate=#1 Period=#2 NULL=BLANK Scale=6",,$D52,$AS$4),CB52)</f>
        <v>880.8</v>
      </c>
      <c r="CC52" s="765" cm="1">
        <f t="array" aca="1" ref="CC52" ca="1">IF(NPSwitch=1,_xll.TR(CC$7,CC$6,"Sdate=#1 Period=#2 NULL=BLANK Scale=6",,$D52,$AS$4),CC52)</f>
        <v>5547.3</v>
      </c>
      <c r="CD52" s="765" cm="1">
        <f t="array" aca="1" ref="CD52" ca="1">IF(NPSwitch=1,_xll.TR(CD$7,CD$6,"Sdate=#1 Period=#2 NULL=BLANK Scale=6",,$D52,$AS$4),CD52)</f>
        <v>1719.7249999999999</v>
      </c>
      <c r="CE52" s="765" cm="1">
        <f t="array" aca="1" ref="CE52" ca="1">IF(NPSwitch=1,_xll.TR(CE$7,CE$6,"Sdate=#1 Period=#2 NULL=BLANK Scale=6",,$D52,$AS$4),CE52)</f>
        <v>7912.5</v>
      </c>
      <c r="CF52" s="765" cm="1">
        <f t="array" aca="1" ref="CF52" ca="1">IF(NPSwitch=1,_xll.TR(CF$7,CF$6,"Sdate=#1 Period=#2 NULL=BLANK Scale=6",,$D52,$AS$4),CF52)</f>
        <v>7173.75</v>
      </c>
      <c r="CG52" s="765" cm="1">
        <f t="array" aca="1" ref="CG52" ca="1">IF(NPSwitch=1,_xll.TR(CG$7,CG$6,"Sdate=#1 Period=#2 NULL=BLANK Scale=6",,$D52,$AS$4),CG52)</f>
        <v>3204.75</v>
      </c>
      <c r="CI52" s="1000" cm="1">
        <f t="array" aca="1" ref="CI52" ca="1">IF(NPSwitch=1,_xll.TR(CI$7,CI$6,"Sdate=#1 Period=#2 NULL=BLANK Scale=6",,$D52,$AS$4),CI52)</f>
        <v>5929</v>
      </c>
      <c r="CJ52" s="1000" cm="1">
        <f t="array" aca="1" ref="CJ52" ca="1">IF(NPSwitch=1,_xll.TR(CJ$7,CJ$6,"Sdate=#1 Period=#2 NULL=BLANK Scale=6",,$D52,$AS$4),CJ52)</f>
        <v>338.00299999999999</v>
      </c>
      <c r="CK52" s="1000" cm="1">
        <f t="array" aca="1" ref="CK52" ca="1">IF(NPSwitch=1,_xll.TR(CK$7,CK$6,"Sdate=#1 Period=#2 NULL=BLANK Scale=6",,$D52,$AS$4),CK52)</f>
        <v>480</v>
      </c>
      <c r="CL52" s="1000" cm="1">
        <f t="array" aca="1" ref="CL52" ca="1">IF(NPSwitch=1,_xll.TR(CL$7,CL$6,"Sdate=#1 Period=#2 NULL=BLANK Scale=6",,$D52,$AS$4),CL52)</f>
        <v>121.3</v>
      </c>
      <c r="CM52" s="1000" cm="1">
        <f t="array" aca="1" ref="CM52" ca="1">IF(NPSwitch=1,_xll.TR(CM$7,CM$6,"Sdate=#1 Period=#2 NULL=BLANK Scale=6",,$D52,$AS$4),CM52)</f>
        <v>454</v>
      </c>
      <c r="CN52" s="1000" cm="1">
        <f t="array" aca="1" ref="CN52" ca="1">IF(NPSwitch=1,_xll.TR(CN$7,CN$6,"Sdate=#1 Period=#2 NULL=BLANK Scale=6",,$D52,$AS$4),CN52)</f>
        <v>664.8</v>
      </c>
      <c r="CO52" s="1000" cm="1">
        <f t="array" aca="1" ref="CO52" ca="1">IF(NPSwitch=1,_xll.TR(CO$7,CO$6,"Sdate=#1 Period=#2 NULL=BLANK Scale=6",,$D52,$AS$4),CO52)</f>
        <v>1747</v>
      </c>
      <c r="CP52" s="1000" cm="1">
        <f t="array" aca="1" ref="CP52" ca="1">IF(NPSwitch=1,_xll.TR(CP$7,CP$6,"Sdate=#1 Period=#2 NULL=BLANK Scale=6",,$D52,$AS$4),CP52)</f>
        <v>916</v>
      </c>
      <c r="CQ52" s="1000" cm="1">
        <f t="array" aca="1" ref="CQ52" ca="1">IF(NPSwitch=1,_xll.TR(CQ$7,CQ$6,"Sdate=#1 Period=#2 NULL=BLANK Scale=6",,$D52,$AS$4),CQ52)</f>
        <v>700</v>
      </c>
      <c r="CS52" s="1000" cm="1">
        <f t="array" aca="1" ref="CS52" ca="1">IF(NPSwitch=1,_xll.TR(CS$7,CS$6,"Sdate=#1 Period=#2 NULL=BLANK Scale=6",,$D52,$AS$4),CS52)</f>
        <v>6839.5</v>
      </c>
      <c r="CT52" s="1000" cm="1">
        <f t="array" aca="1" ref="CT52" ca="1">IF(NPSwitch=1,_xll.TR(CT$7,CT$6,"Sdate=#1 Period=#2 NULL=BLANK Scale=6",,$D52,$AS$4),CT52)</f>
        <v>1028.681</v>
      </c>
      <c r="CU52" s="1000" cm="1">
        <f t="array" aca="1" ref="CU52" ca="1">IF(NPSwitch=1,_xll.TR(CU$7,CU$6,"Sdate=#1 Period=#2 NULL=BLANK Scale=6",,$D52,$AS$4),CU52)</f>
        <v>1624</v>
      </c>
      <c r="CV52" s="1000" cm="1">
        <f t="array" aca="1" ref="CV52" ca="1">IF(NPSwitch=1,_xll.TR(CV$7,CV$6,"Sdate=#1 Period=#2 NULL=BLANK Scale=6",,$D52,$AS$4),CV52)</f>
        <v>438.47500000000002</v>
      </c>
      <c r="CW52" s="1000" cm="1">
        <f t="array" aca="1" ref="CW52" ca="1">IF(NPSwitch=1,_xll.TR(CW$7,CW$6,"Sdate=#1 Period=#2 NULL=BLANK Scale=6",,$D52,$AS$4),CW52)</f>
        <v>925.77499999999998</v>
      </c>
      <c r="CX52" s="1000" cm="1">
        <f t="array" aca="1" ref="CX52" ca="1">IF(NPSwitch=1,_xll.TR(CX$7,CX$6,"Sdate=#1 Period=#2 NULL=BLANK Scale=6",,$D52,$AS$4),CX52)</f>
        <v>2913</v>
      </c>
      <c r="CY52" s="1000" cm="1">
        <f t="array" aca="1" ref="CY52" ca="1">IF(NPSwitch=1,_xll.TR(CY$7,CY$6,"Sdate=#1 Period=#2 NULL=BLANK Scale=6",,$D52,$AS$4),CY52)</f>
        <v>4115.75</v>
      </c>
      <c r="CZ52" s="1000" cm="1">
        <f t="array" aca="1" ref="CZ52" ca="1">IF(NPSwitch=1,_xll.TR(CZ$7,CZ$6,"Sdate=#1 Period=#2 NULL=BLANK Scale=6",,$D52,$AS$4),CZ52)</f>
        <v>3138.5</v>
      </c>
      <c r="DA52" s="1000" cm="1">
        <f t="array" aca="1" ref="DA52" ca="1">IF(NPSwitch=1,_xll.TR(DA$7,DA$6,"Sdate=#1 Period=#2 NULL=BLANK Scale=6",,$D52,$AS$4),DA52)</f>
        <v>2505.75</v>
      </c>
      <c r="DB52" s="1000" cm="1">
        <f t="array" aca="1" ref="DB52" ca="1">IF(NPSwitch=1,_xll.TR(DB$7,DB$6,"Sdate=#1 Period=#2 NULL=BLANK Scale=6",,$D52,$AS$4),DB52)</f>
        <v>14608.25</v>
      </c>
      <c r="DC52" s="1000" t="str" cm="1">
        <f t="array" aca="1" ref="DC52" ca="1">IF(NPSwitch=1,_xll.TR(DC$7,DC$6,"Sdate=#1 Period=#2 NULL=BLANK Scale=6",,$D52,$AS$4),DC52)</f>
        <v/>
      </c>
      <c r="DD52" s="1000" t="str" cm="1">
        <f t="array" aca="1" ref="DD52" ca="1">IF(NPSwitch=1,_xll.TR(DD$7,DD$6,"Sdate=#1 Period=#2 NULL=BLANK Scale=6",,$D52,$AS$4),DD52)</f>
        <v/>
      </c>
      <c r="DE52" s="1000" t="str" cm="1">
        <f t="array" aca="1" ref="DE52" ca="1">IF(NPSwitch=1,_xll.TR(DE$7,DE$6,"Sdate=#1 Period=#2 NULL=BLANK Scale=6",,$D52,$AS$4),DE52)</f>
        <v/>
      </c>
      <c r="DF52" s="1000" cm="1">
        <f t="array" aca="1" ref="DF52" ca="1">IF(NPSwitch=1,_xll.TR(DF$7,DF$6,"Sdate=#1 Period=#2 NULL=BLANK Scale=6",,$D52,$AS$4),DF52)</f>
        <v>438.47500000000002</v>
      </c>
      <c r="DG52" s="1000" cm="1">
        <f t="array" aca="1" ref="DG52" ca="1">IF(NPSwitch=1,_xll.TR(DG$7,DG$6,"Sdate=#1 Period=#2 NULL=BLANK Scale=6",,$D52,$AS$4),DG52)</f>
        <v>3707.9250000000002</v>
      </c>
      <c r="DH52" s="1000" cm="1">
        <f t="array" aca="1" ref="DH52" ca="1">IF(NPSwitch=1,_xll.TR(DH$7,DH$6,"Sdate=#1 Period=#2 NULL=BLANK Scale=6",,$D52,$AS$4),DH52)</f>
        <v>1187.39275</v>
      </c>
      <c r="FN52" s="3" t="s">
        <v>1559</v>
      </c>
    </row>
    <row r="53" spans="1:170">
      <c r="C53" s="971">
        <f t="shared" si="44"/>
        <v>39994</v>
      </c>
      <c r="D53" s="974">
        <f t="shared" si="43"/>
        <v>40039</v>
      </c>
      <c r="E53" s="765" cm="1">
        <f t="array" aca="1" ref="E53" ca="1">IF(NPSwitch=1,_xll.TR(E$7,E$6,"Sdate=#1 Period=#2 NULL=BLANK",,$D53,$E$4),E53)</f>
        <v>9.0995475495683902</v>
      </c>
      <c r="F53" s="765" cm="1">
        <f t="array" aca="1" ref="F53" ca="1">IF(NPSwitch=1,_xll.TR(F$7,F$6,"Sdate=#1 Period=#2 NULL=BLANK",,$D53,$E$4),F53)</f>
        <v>10.0269942428364</v>
      </c>
      <c r="G53" s="765" cm="1">
        <f t="array" aca="1" ref="G53" ca="1">IF(NPSwitch=1,_xll.TR(G$7,G$6,"Sdate=#1 Period=#2 NULL=BLANK",,$D53,$E$4),G53)</f>
        <v>5.0550925173971697</v>
      </c>
      <c r="H53" s="765" cm="1">
        <f t="array" aca="1" ref="H53" ca="1">IF(NPSwitch=1,_xll.TR(H$7,H$6,"Sdate=#1 Period=#2 NULL=BLANK",,$D53,$E$4),H53)</f>
        <v>5.0571852036529696</v>
      </c>
      <c r="I53" s="765" cm="1">
        <f t="array" aca="1" ref="I53" ca="1">IF(NPSwitch=1,_xll.TR(I$7,I$6,"Sdate=#1 Period=#2 NULL=BLANK",,$D53,$E$4),I53)</f>
        <v>7.1789761297505699</v>
      </c>
      <c r="J53" s="765" cm="1">
        <f t="array" aca="1" ref="J53" ca="1">IF(NPSwitch=1,_xll.TR(J$7,J$6,"Sdate=#1 Period=#2 NULL=BLANK",,$D53,$E$4),J53)</f>
        <v>6.5056174806143998</v>
      </c>
      <c r="K53" s="765" cm="1">
        <f t="array" aca="1" ref="K53" ca="1">IF(NPSwitch=1,_xll.TR(K$7,K$6,"Sdate=#1 Period=#2 NULL=BLANK",,$D53,$E$4),K53)</f>
        <v>8.1098252833032394</v>
      </c>
      <c r="L53" s="765" cm="1">
        <f t="array" aca="1" ref="L53" ca="1">IF(NPSwitch=1,_xll.TR(L$7,L$6,"Sdate=#1 Period=#2 NULL=BLANK",,$D53,$E$4),L53)</f>
        <v>6.2795219311594401</v>
      </c>
      <c r="M53" s="765" cm="1">
        <f t="array" aca="1" ref="M53" ca="1">IF(NPSwitch=1,_xll.TR(M$7,M$6,"Sdate=#1 Period=#2 NULL=BLANK",,$D53,$E$4),M53)</f>
        <v>6.7166062671253997</v>
      </c>
      <c r="N53" s="1002">
        <f t="shared" ca="1" si="45"/>
        <v>6.3643697576462985</v>
      </c>
      <c r="O53" s="1000" cm="1">
        <f t="array" aca="1" ref="O53" ca="1">IF(NPSwitch=1,_xll.TR(O$7,O$6,"Sdate=#1 Period=#2 Scale=6 NULL=BLANK",,$D53,$O$4),O53)</f>
        <v>49800.591366679902</v>
      </c>
      <c r="P53" s="1000" cm="1">
        <f t="array" aca="1" ref="P53" ca="1">IF(NPSwitch=1,_xll.TR(P$7,P$6,"Sdate=#1 Period=#2 Scale=6 NULL=BLANK",,$D53,$O$4),P53)</f>
        <v>2892.0308566499998</v>
      </c>
      <c r="Q53" s="1000" cm="1">
        <f t="array" aca="1" ref="Q53" ca="1">IF(NPSwitch=1,_xll.TR(Q$7,Q$6,"Sdate=#1 Period=#2 Scale=6 NULL=BLANK",,$D53,$O$4),Q53)</f>
        <v>2530.636184</v>
      </c>
      <c r="R53" s="1000" cm="1">
        <f t="array" aca="1" ref="R53" ca="1">IF(NPSwitch=1,_xll.TR(R$7,R$6,"Sdate=#1 Period=#2 Scale=6 NULL=BLANK",,$D53,$O$4),R53)</f>
        <v>506.66649172000001</v>
      </c>
      <c r="S53" s="1000" cm="1">
        <f t="array" aca="1" ref="S53" ca="1">IF(NPSwitch=1,_xll.TR(S$7,S$6,"Sdate=#1 Period=#2 Scale=6 NULL=BLANK",,$D53,$O$4),S53)</f>
        <v>1687.5630788399999</v>
      </c>
      <c r="T53" s="1000" cm="1">
        <f t="array" aca="1" ref="T53" ca="1">IF(NPSwitch=1,_xll.TR(T$7,T$6,"Sdate=#1 Period=#2 Scale=6 NULL=BLANK",,$D53,$O$4),T53)</f>
        <v>3694.26371496</v>
      </c>
      <c r="U53" s="1000" cm="1">
        <f t="array" aca="1" ref="U53" ca="1">IF(NPSwitch=1,_xll.TR(U$7,U$6,"Sdate=#1 Period=#2 Scale=6 NULL=BLANK",,$D53,$O$4),U53)</f>
        <v>9000.7974606600001</v>
      </c>
      <c r="V53" s="1000" cm="1">
        <f t="array" aca="1" ref="V53" ca="1">IF(NPSwitch=1,_xll.TR(V$7,V$6,"Sdate=#1 Period=#2 Scale=6 NULL=BLANK",,$D53,$O$4),V53)</f>
        <v>5941.7851121609901</v>
      </c>
      <c r="W53" s="1000" cm="1">
        <f t="array" aca="1" ref="W53" ca="1">IF(NPSwitch=1,_xll.TR(W$7,W$6,"Sdate=#1 Period=#2 Scale=6 NULL=BLANK",,$D53,$O$4),W53)</f>
        <v>3932.66108135999</v>
      </c>
      <c r="X53" s="998"/>
      <c r="Y53" s="1000" cm="1">
        <f t="array" aca="1" ref="Y53" ca="1">IF(NPSwitch=1,_xll.TR(Y$7,Y$6,"Sdate=#1 Period=#2 Scale=6 NULL=BLANK",,$D53,$O$4),Y53)</f>
        <v>2510.5</v>
      </c>
      <c r="Z53" s="1000" cm="1">
        <f t="array" aca="1" ref="Z53" ca="1">IF(NPSwitch=1,_xll.TR(Z$7,Z$6,"Sdate=#1 Period=#2 Scale=6 NULL=BLANK",,$D53,$O$4),Z53)</f>
        <v>204.22225</v>
      </c>
      <c r="AA53" s="1000" cm="1">
        <f t="array" aca="1" ref="AA53" ca="1">IF(NPSwitch=1,_xll.TR(AA$7,AA$6,"Sdate=#1 Period=#2 Scale=6 NULL=BLANK",,$D53,$O$4),AA53)</f>
        <v>391.75</v>
      </c>
      <c r="AB53" s="1000" cm="1">
        <f t="array" aca="1" ref="AB53" ca="1">IF(NPSwitch=1,_xll.TR(AB$7,AB$6,"Sdate=#1 Period=#2 Scale=6 NULL=BLANK",,$D53,$O$4),AB53)</f>
        <v>96.525000000000006</v>
      </c>
      <c r="AC53" s="1000" cm="1">
        <f t="array" aca="1" ref="AC53" ca="1">IF(NPSwitch=1,_xll.TR(AC$7,AC$6,"Sdate=#1 Period=#2 Scale=6 NULL=BLANK",,$D53,$O$4),AC53)</f>
        <v>882.3</v>
      </c>
      <c r="AD53" s="1000" cm="1">
        <f t="array" aca="1" ref="AD53" ca="1">IF(NPSwitch=1,_xll.TR(AD$7,AD$6,"Sdate=#1 Period=#2 Scale=6 NULL=BLANK",,$D53,$O$4),AD53)</f>
        <v>67.325000000000003</v>
      </c>
      <c r="AE53" s="1000" cm="1">
        <f t="array" aca="1" ref="AE53" ca="1">IF(NPSwitch=1,_xll.TR(AE$7,AE$6,"Sdate=#1 Period=#2 Scale=6 NULL=BLANK",,$D53,$O$4),AE53)</f>
        <v>780</v>
      </c>
      <c r="AF53" s="1000" cm="1">
        <f t="array" aca="1" ref="AF53" ca="1">IF(NPSwitch=1,_xll.TR(AF$7,AF$6,"Sdate=#1 Period=#2 Scale=6 NULL=BLANK",,$D53,$O$4),AF53)</f>
        <v>780.75</v>
      </c>
      <c r="AG53" s="1000" cm="1">
        <f t="array" aca="1" ref="AG53" ca="1">IF(NPSwitch=1,_xll.TR(AG$7,AG$6,"Sdate=#1 Period=#2 Scale=6 NULL=BLANK",,$D53,$O$4),AG53)</f>
        <v>378.5</v>
      </c>
      <c r="AH53" s="998"/>
      <c r="AI53" s="1000" cm="1">
        <f t="array" aca="1" ref="AI53" ca="1">IF(NPSwitch=1,_xll.TR(AI$7,AI$6,"Sdate=#1 Period=#2 Scale=6 NULL=BLANK",,$D53,$O$4),AI53)</f>
        <v>53318.591366679997</v>
      </c>
      <c r="AJ53" s="1000" cm="1">
        <f t="array" aca="1" ref="AJ53" ca="1">IF(NPSwitch=1,_xll.TR(AJ$7,AJ$6,"Sdate=#1 Period=#2 Scale=6 NULL=BLANK",,$D53,$O$4),AJ53)</f>
        <v>3608.4658566500002</v>
      </c>
      <c r="AK53" s="1000" cm="1">
        <f t="array" aca="1" ref="AK53" ca="1">IF(NPSwitch=1,_xll.TR(AK$7,AK$6,"Sdate=#1 Period=#2 Scale=6 NULL=BLANK",,$D53,$O$4),AK53)</f>
        <v>4267.636184</v>
      </c>
      <c r="AL53" s="1000" cm="1">
        <f t="array" aca="1" ref="AL53" ca="1">IF(NPSwitch=1,_xll.TR(AL$7,AL$6,"Sdate=#1 Period=#2 Scale=6 NULL=BLANK",,$D53,$O$4),AL53)</f>
        <v>775.26649171999998</v>
      </c>
      <c r="AM53" s="1000" cm="1">
        <f t="array" aca="1" ref="AM53" ca="1">IF(NPSwitch=1,_xll.TR(AM$7,AM$6,"Sdate=#1 Period=#2 Scale=6 NULL=BLANK",,$D53,$O$4),AM53)</f>
        <v>4096.5630788400003</v>
      </c>
      <c r="AN53" s="1000" cm="1">
        <f t="array" aca="1" ref="AN53" ca="1">IF(NPSwitch=1,_xll.TR(AN$7,AN$6,"Sdate=#1 Period=#2 Scale=6 NULL=BLANK",,$D53,$O$4),AN53)</f>
        <v>4320.1637149600001</v>
      </c>
      <c r="AO53" s="1000" cm="1">
        <f t="array" aca="1" ref="AO53" ca="1">IF(NPSwitch=1,_xll.TR(AO$7,AO$6,"Sdate=#1 Period=#2 Scale=6 NULL=BLANK",,$D53,$O$4),AO53)</f>
        <v>12343.79746066</v>
      </c>
      <c r="AP53" s="1000" cm="1">
        <f t="array" aca="1" ref="AP53" ca="1">IF(NPSwitch=1,_xll.TR(AP$7,AP$6,"Sdate=#1 Period=#2 Scale=6 NULL=BLANK",,$D53,$O$4),AP53)</f>
        <v>8133.7851121610001</v>
      </c>
      <c r="AQ53" s="1000" cm="1">
        <f t="array" aca="1" ref="AQ53" ca="1">IF(NPSwitch=1,_xll.TR(AQ$7,AQ$6,"Sdate=#1 Period=#2 Scale=6 NULL=BLANK",,$D53,$O$4),AQ53)</f>
        <v>4945.66108136</v>
      </c>
      <c r="AS53" s="765" t="str" cm="1">
        <f t="array" aca="1" ref="AS53" ca="1">IF(NPSwitch=1,_xll.TR(AS$7,AS$6,"Sdate=#1 Period=#2 NULL=BLANK Scale=6",,$D53,$AS$4),AS53)</f>
        <v/>
      </c>
      <c r="AT53" s="765" t="str" cm="1">
        <f t="array" aca="1" ref="AT53" ca="1">IF(NPSwitch=1,_xll.TR(AT$7,AT$6,"Sdate=#1 Period=#2 NULL=BLANK Scale=6",,$D53,$AS$4),AT53)</f>
        <v/>
      </c>
      <c r="AU53" s="765" t="str" cm="1">
        <f t="array" aca="1" ref="AU53" ca="1">IF(NPSwitch=1,_xll.TR(AU$7,AU$6,"Sdate=#1 Period=#2 NULL=BLANK Scale=6",,$D53,$AS$4),AU53)</f>
        <v/>
      </c>
      <c r="AV53" s="765" t="str" cm="1">
        <f t="array" aca="1" ref="AV53" ca="1">IF(NPSwitch=1,_xll.TR(AV$7,AV$6,"Sdate=#1 Period=#2 NULL=BLANK Scale=6",,$D53,$AS$4),AV53)</f>
        <v/>
      </c>
      <c r="AW53" s="765" t="str" cm="1">
        <f t="array" aca="1" ref="AW53" ca="1">IF(NPSwitch=1,_xll.TR(AW$7,AW$6,"Sdate=#1 Period=#2 NULL=BLANK Scale=6",,$D53,$AS$4),AW53)</f>
        <v/>
      </c>
      <c r="AX53" s="765" t="str" cm="1">
        <f t="array" aca="1" ref="AX53" ca="1">IF(NPSwitch=1,_xll.TR(AX$7,AX$6,"Sdate=#1 Period=#2 NULL=BLANK Scale=6",,$D53,$AS$4),AX53)</f>
        <v/>
      </c>
      <c r="AY53" s="765" t="str" cm="1">
        <f t="array" aca="1" ref="AY53" ca="1">IF(NPSwitch=1,_xll.TR(AY$7,AY$6,"Sdate=#1 Period=#2 NULL=BLANK Scale=6",,$D53,$AS$4),AY53)</f>
        <v/>
      </c>
      <c r="AZ53" s="765" t="str" cm="1">
        <f t="array" aca="1" ref="AZ53" ca="1">IF(NPSwitch=1,_xll.TR(AZ$7,AZ$6,"Sdate=#1 Period=#2 NULL=BLANK Scale=6",,$D53,$AS$4),AZ53)</f>
        <v/>
      </c>
      <c r="BA53" s="765" t="str" cm="1">
        <f t="array" aca="1" ref="BA53" ca="1">IF(NPSwitch=1,_xll.TR(BA$7,BA$6,"Sdate=#1 Period=#2 NULL=BLANK Scale=6",,$D53,$AS$4),BA53)</f>
        <v/>
      </c>
      <c r="BB53" s="1002"/>
      <c r="BC53" s="765" cm="1">
        <f t="array" aca="1" ref="BC53" ca="1">IF(NPSwitch=1,_xll.TR(BC$7,BC$6,"Sdate=#1 Period=#2 NULL=BLANK",,$D53,$BC$4),BC53)</f>
        <v>9.2663523399999992</v>
      </c>
      <c r="BD53" s="765" cm="1">
        <f t="array" aca="1" ref="BD53" ca="1">IF(NPSwitch=1,_xll.TR(BD$7,BD$6,"Sdate=#1 Period=#2 NULL=BLANK",,$D53,$BC$4),BD53)</f>
        <v>11.999181503000001</v>
      </c>
      <c r="BE53" s="765" cm="1">
        <f t="array" aca="1" ref="BE53" ca="1">IF(NPSwitch=1,_xll.TR(BE$7,BE$6,"Sdate=#1 Period=#2 NULL=BLANK",,$D53,$BC$4),BE53)</f>
        <v>7.3075962050000003</v>
      </c>
      <c r="BF53" s="765" cm="1">
        <f t="array" aca="1" ref="BF53" ca="1">IF(NPSwitch=1,_xll.TR(BF$7,BF$6,"Sdate=#1 Period=#2 NULL=BLANK",,$D53,$BC$4),BF53)</f>
        <v>7.0287079940000003</v>
      </c>
      <c r="BG53" s="765" t="str" cm="1">
        <f t="array" aca="1" ref="BG53" ca="1">IF(NPSwitch=1,_xll.TR(BG$7,BG$6,"Sdate=#1 Period=#2 NULL=BLANK",,$D53,$BC$4),BG53)</f>
        <v/>
      </c>
      <c r="BH53" s="765" cm="1">
        <f t="array" aca="1" ref="BH53" ca="1">IF(NPSwitch=1,_xll.TR(BH$7,BH$6,"Sdate=#1 Period=#2 NULL=BLANK",,$D53,$BC$4),BH53)</f>
        <v>6.8023361910000002</v>
      </c>
      <c r="BI53" s="765" cm="1">
        <f t="array" aca="1" ref="BI53" ca="1">IF(NPSwitch=1,_xll.TR(BI$7,BI$6,"Sdate=#1 Period=#2 NULL=BLANK",,$D53,$BC$4),BI53)</f>
        <v>7.9998687369999999</v>
      </c>
      <c r="BJ53" s="765" cm="1">
        <f t="array" aca="1" ref="BJ53" ca="1">IF(NPSwitch=1,_xll.TR(BJ$7,BJ$6,"Sdate=#1 Period=#2 NULL=BLANK",,$D53,$BC$4),BJ53)</f>
        <v>10.618518422999999</v>
      </c>
      <c r="BK53" s="765" cm="1">
        <f t="array" aca="1" ref="BK53" ca="1">IF(NPSwitch=1,_xll.TR(BK$7,BK$6,"Sdate=#1 Period=#2 NULL=BLANK",,$D53,$BC$4),BK53)</f>
        <v>7.57375357</v>
      </c>
      <c r="BM53" s="1014"/>
      <c r="BO53" s="765" cm="1">
        <f t="array" aca="1" ref="BO53" ca="1">IF(NPSwitch=1,_xll.TR(BO$7,BO$6,"Sdate=#1 Period=#2 NULL=BLANK Scale=6",,$D53,$AS$4),BO53)</f>
        <v>22875</v>
      </c>
      <c r="BP53" s="765" cm="1">
        <f t="array" aca="1" ref="BP53" ca="1">IF(NPSwitch=1,_xll.TR(BP$7,BP$6,"Sdate=#1 Period=#2 NULL=BLANK Scale=6",,$D53,$AS$4),BP53)</f>
        <v>2110.078</v>
      </c>
      <c r="BQ53" s="765" cm="1">
        <f t="array" aca="1" ref="BQ53" ca="1">IF(NPSwitch=1,_xll.TR(BQ$7,BQ$6,"Sdate=#1 Period=#2 NULL=BLANK Scale=6",,$D53,$AS$4),BQ53)</f>
        <v>8209</v>
      </c>
      <c r="BR53" s="765" cm="1">
        <f t="array" aca="1" ref="BR53" ca="1">IF(NPSwitch=1,_xll.TR(BR$7,BR$6,"Sdate=#1 Period=#2 NULL=BLANK Scale=6",,$D53,$AS$4),BR53)</f>
        <v>2236.8000000000002</v>
      </c>
      <c r="BS53" s="765" cm="1">
        <f t="array" aca="1" ref="BS53" ca="1">IF(NPSwitch=1,_xll.TR(BS$7,BS$6,"Sdate=#1 Period=#2 NULL=BLANK Scale=6",,$D53,$AS$4),BS53)</f>
        <v>8305</v>
      </c>
      <c r="BT53" s="765" cm="1">
        <f t="array" aca="1" ref="BT53" ca="1">IF(NPSwitch=1,_xll.TR(BT$7,BT$6,"Sdate=#1 Period=#2 NULL=BLANK Scale=6",,$D53,$AS$4),BT53)</f>
        <v>2949.3</v>
      </c>
      <c r="BU53" s="765" cm="1">
        <f t="array" aca="1" ref="BU53" ca="1">IF(NPSwitch=1,_xll.TR(BU$7,BU$6,"Sdate=#1 Period=#2 NULL=BLANK Scale=6",,$D53,$AS$4),BU53)</f>
        <v>13311</v>
      </c>
      <c r="BV53" s="765" cm="1">
        <f t="array" aca="1" ref="BV53" ca="1">IF(NPSwitch=1,_xll.TR(BV$7,BV$6,"Sdate=#1 Period=#2 NULL=BLANK Scale=6",,$D53,$AS$4),BV53)</f>
        <v>6067</v>
      </c>
      <c r="BW53" s="765" cm="1">
        <f t="array" aca="1" ref="BW53" ca="1">IF(NPSwitch=1,_xll.TR(BW$7,BW$6,"Sdate=#1 Period=#2 NULL=BLANK Scale=6",,$D53,$AS$4),BW53)</f>
        <v>5547</v>
      </c>
      <c r="BX53" s="1002"/>
      <c r="BY53" s="765" cm="1">
        <f t="array" aca="1" ref="BY53" ca="1">IF(NPSwitch=1,_xll.TR(BY$7,BY$6,"Sdate=#1 Period=#2 NULL=BLANK Scale=6",,$D53,$AS$4),BY53)</f>
        <v>16330.5</v>
      </c>
      <c r="BZ53" s="765" cm="1">
        <f t="array" aca="1" ref="BZ53" ca="1">IF(NPSwitch=1,_xll.TR(BZ$7,BZ$6,"Sdate=#1 Period=#2 NULL=BLANK Scale=6",,$D53,$AS$4),BZ53)</f>
        <v>2063.8467500000002</v>
      </c>
      <c r="CA53" s="765" cm="1">
        <f t="array" aca="1" ref="CA53" ca="1">IF(NPSwitch=1,_xll.TR(CA$7,CA$6,"Sdate=#1 Period=#2 NULL=BLANK Scale=6",,$D53,$AS$4),CA53)</f>
        <v>5210.25</v>
      </c>
      <c r="CB53" s="765" cm="1">
        <f t="array" aca="1" ref="CB53" ca="1">IF(NPSwitch=1,_xll.TR(CB$7,CB$6,"Sdate=#1 Period=#2 NULL=BLANK Scale=6",,$D53,$AS$4),CB53)</f>
        <v>750.5</v>
      </c>
      <c r="CC53" s="765" cm="1">
        <f t="array" aca="1" ref="CC53" ca="1">IF(NPSwitch=1,_xll.TR(CC$7,CC$6,"Sdate=#1 Period=#2 NULL=BLANK Scale=6",,$D53,$AS$4),CC53)</f>
        <v>5676.05</v>
      </c>
      <c r="CD53" s="765" cm="1">
        <f t="array" aca="1" ref="CD53" ca="1">IF(NPSwitch=1,_xll.TR(CD$7,CD$6,"Sdate=#1 Period=#2 NULL=BLANK Scale=6",,$D53,$AS$4),CD53)</f>
        <v>1696.125</v>
      </c>
      <c r="CE53" s="765" cm="1">
        <f t="array" aca="1" ref="CE53" ca="1">IF(NPSwitch=1,_xll.TR(CE$7,CE$6,"Sdate=#1 Period=#2 NULL=BLANK Scale=6",,$D53,$AS$4),CE53)</f>
        <v>7536.5</v>
      </c>
      <c r="CF53" s="765" cm="1">
        <f t="array" aca="1" ref="CF53" ca="1">IF(NPSwitch=1,_xll.TR(CF$7,CF$6,"Sdate=#1 Period=#2 NULL=BLANK Scale=6",,$D53,$AS$4),CF53)</f>
        <v>7429.5</v>
      </c>
      <c r="CG53" s="765" cm="1">
        <f t="array" aca="1" ref="CG53" ca="1">IF(NPSwitch=1,_xll.TR(CG$7,CG$6,"Sdate=#1 Period=#2 NULL=BLANK Scale=6",,$D53,$AS$4),CG53)</f>
        <v>3083</v>
      </c>
      <c r="CI53" s="1000" cm="1">
        <f t="array" aca="1" ref="CI53" ca="1">IF(NPSwitch=1,_xll.TR(CI$7,CI$6,"Sdate=#1 Period=#2 NULL=BLANK Scale=6",,$D53,$AS$4),CI53)</f>
        <v>5754</v>
      </c>
      <c r="CJ53" s="1000" cm="1">
        <f t="array" aca="1" ref="CJ53" ca="1">IF(NPSwitch=1,_xll.TR(CJ$7,CJ$6,"Sdate=#1 Period=#2 NULL=BLANK Scale=6",,$D53,$AS$4),CJ53)</f>
        <v>300.726</v>
      </c>
      <c r="CK53" s="1000" cm="1">
        <f t="array" aca="1" ref="CK53" ca="1">IF(NPSwitch=1,_xll.TR(CK$7,CK$6,"Sdate=#1 Period=#2 NULL=BLANK Scale=6",,$D53,$AS$4),CK53)</f>
        <v>616</v>
      </c>
      <c r="CL53" s="1000" cm="1">
        <f t="array" aca="1" ref="CL53" ca="1">IF(NPSwitch=1,_xll.TR(CL$7,CL$6,"Sdate=#1 Period=#2 NULL=BLANK Scale=6",,$D53,$AS$4),CL53)</f>
        <v>110.1</v>
      </c>
      <c r="CM53" s="1000" cm="1">
        <f t="array" aca="1" ref="CM53" ca="1">IF(NPSwitch=1,_xll.TR(CM$7,CM$6,"Sdate=#1 Period=#2 NULL=BLANK Scale=6",,$D53,$AS$4),CM53)</f>
        <v>351</v>
      </c>
      <c r="CN53" s="1000" cm="1">
        <f t="array" aca="1" ref="CN53" ca="1">IF(NPSwitch=1,_xll.TR(CN$7,CN$6,"Sdate=#1 Period=#2 NULL=BLANK Scale=6",,$D53,$AS$4),CN53)</f>
        <v>635.1</v>
      </c>
      <c r="CO53" s="1000" cm="1">
        <f t="array" aca="1" ref="CO53" ca="1">IF(NPSwitch=1,_xll.TR(CO$7,CO$6,"Sdate=#1 Period=#2 NULL=BLANK Scale=6",,$D53,$AS$4),CO53)</f>
        <v>1543</v>
      </c>
      <c r="CP53" s="1000" cm="1">
        <f t="array" aca="1" ref="CP53" ca="1">IF(NPSwitch=1,_xll.TR(CP$7,CP$6,"Sdate=#1 Period=#2 NULL=BLANK Scale=6",,$D53,$AS$4),CP53)</f>
        <v>766</v>
      </c>
      <c r="CQ53" s="1000" cm="1">
        <f t="array" aca="1" ref="CQ53" ca="1">IF(NPSwitch=1,_xll.TR(CQ$7,CQ$6,"Sdate=#1 Period=#2 NULL=BLANK Scale=6",,$D53,$AS$4),CQ53)</f>
        <v>653</v>
      </c>
      <c r="CS53" s="1000" cm="1">
        <f t="array" aca="1" ref="CS53" ca="1">IF(NPSwitch=1,_xll.TR(CS$7,CS$6,"Sdate=#1 Period=#2 NULL=BLANK Scale=6",,$D53,$AS$4),CS53)</f>
        <v>6834.5</v>
      </c>
      <c r="CT53" s="1000" cm="1">
        <f t="array" aca="1" ref="CT53" ca="1">IF(NPSwitch=1,_xll.TR(CT$7,CT$6,"Sdate=#1 Period=#2 NULL=BLANK Scale=6",,$D53,$AS$4),CT53)</f>
        <v>1020.6045</v>
      </c>
      <c r="CU53" s="1000" cm="1">
        <f t="array" aca="1" ref="CU53" ca="1">IF(NPSwitch=1,_xll.TR(CU$7,CU$6,"Sdate=#1 Period=#2 NULL=BLANK Scale=6",,$D53,$AS$4),CU53)</f>
        <v>1886.5</v>
      </c>
      <c r="CV53" s="1000" cm="1">
        <f t="array" aca="1" ref="CV53" ca="1">IF(NPSwitch=1,_xll.TR(CV$7,CV$6,"Sdate=#1 Period=#2 NULL=BLANK Scale=6",,$D53,$AS$4),CV53)</f>
        <v>423.8</v>
      </c>
      <c r="CW53" s="1000" cm="1">
        <f t="array" aca="1" ref="CW53" ca="1">IF(NPSwitch=1,_xll.TR(CW$7,CW$6,"Sdate=#1 Period=#2 NULL=BLANK Scale=6",,$D53,$AS$4),CW53)</f>
        <v>933.5</v>
      </c>
      <c r="CX53" s="1000" cm="1">
        <f t="array" aca="1" ref="CX53" ca="1">IF(NPSwitch=1,_xll.TR(CX$7,CX$6,"Sdate=#1 Period=#2 NULL=BLANK Scale=6",,$D53,$AS$4),CX53)</f>
        <v>2758.5</v>
      </c>
      <c r="CY53" s="1000" cm="1">
        <f t="array" aca="1" ref="CY53" ca="1">IF(NPSwitch=1,_xll.TR(CY$7,CY$6,"Sdate=#1 Period=#2 NULL=BLANK Scale=6",,$D53,$AS$4),CY53)</f>
        <v>4226.75</v>
      </c>
      <c r="CZ53" s="1000" cm="1">
        <f t="array" aca="1" ref="CZ53" ca="1">IF(NPSwitch=1,_xll.TR(CZ$7,CZ$6,"Sdate=#1 Period=#2 NULL=BLANK Scale=6",,$D53,$AS$4),CZ53)</f>
        <v>3197.75</v>
      </c>
      <c r="DA53" s="1000" cm="1">
        <f t="array" aca="1" ref="DA53" ca="1">IF(NPSwitch=1,_xll.TR(DA$7,DA$6,"Sdate=#1 Period=#2 NULL=BLANK Scale=6",,$D53,$AS$4),DA53)</f>
        <v>2503.5</v>
      </c>
      <c r="DB53" s="1000" cm="1">
        <f t="array" aca="1" ref="DB53" ca="1">IF(NPSwitch=1,_xll.TR(DB$7,DB$6,"Sdate=#1 Period=#2 NULL=BLANK Scale=6",,$D53,$AS$4),DB53)</f>
        <v>15416.75</v>
      </c>
      <c r="DC53" s="1000" t="str" cm="1">
        <f t="array" aca="1" ref="DC53" ca="1">IF(NPSwitch=1,_xll.TR(DC$7,DC$6,"Sdate=#1 Period=#2 NULL=BLANK Scale=6",,$D53,$AS$4),DC53)</f>
        <v/>
      </c>
      <c r="DD53" s="1000" t="str" cm="1">
        <f t="array" aca="1" ref="DD53" ca="1">IF(NPSwitch=1,_xll.TR(DD$7,DD$6,"Sdate=#1 Period=#2 NULL=BLANK Scale=6",,$D53,$AS$4),DD53)</f>
        <v/>
      </c>
      <c r="DE53" s="1000" t="str" cm="1">
        <f t="array" aca="1" ref="DE53" ca="1">IF(NPSwitch=1,_xll.TR(DE$7,DE$6,"Sdate=#1 Period=#2 NULL=BLANK Scale=6",,$D53,$AS$4),DE53)</f>
        <v/>
      </c>
      <c r="DF53" s="1000" cm="1">
        <f t="array" aca="1" ref="DF53" ca="1">IF(NPSwitch=1,_xll.TR(DF$7,DF$6,"Sdate=#1 Period=#2 NULL=BLANK Scale=6",,$D53,$AS$4),DF53)</f>
        <v>423.8</v>
      </c>
      <c r="DG53" s="1000" cm="1">
        <f t="array" aca="1" ref="DG53" ca="1">IF(NPSwitch=1,_xll.TR(DG$7,DG$6,"Sdate=#1 Period=#2 NULL=BLANK Scale=6",,$D53,$AS$4),DG53)</f>
        <v>3623.0749999999998</v>
      </c>
      <c r="DH53" s="1000" cm="1">
        <f t="array" aca="1" ref="DH53" ca="1">IF(NPSwitch=1,_xll.TR(DH$7,DH$6,"Sdate=#1 Period=#2 NULL=BLANK Scale=6",,$D53,$AS$4),DH53)</f>
        <v>1197.6824999999999</v>
      </c>
      <c r="FN53" s="3" t="s">
        <v>1513</v>
      </c>
    </row>
    <row r="54" spans="1:170">
      <c r="C54" s="972">
        <f t="shared" si="44"/>
        <v>40086</v>
      </c>
      <c r="D54" s="974">
        <f t="shared" si="43"/>
        <v>40131</v>
      </c>
      <c r="E54" s="765" cm="1">
        <f t="array" aca="1" ref="E54" ca="1">IF(NPSwitch=1,_xll.TR(E$7,E$6,"Sdate=#1 Period=#2 NULL=BLANK",,$D54,$E$4),E54)</f>
        <v>8.9404119221277494</v>
      </c>
      <c r="F54" s="765" cm="1">
        <f t="array" aca="1" ref="F54" ca="1">IF(NPSwitch=1,_xll.TR(F$7,F$6,"Sdate=#1 Period=#2 NULL=BLANK",,$D54,$E$4),F54)</f>
        <v>9.5447735945642993</v>
      </c>
      <c r="G54" s="765" cm="1">
        <f t="array" aca="1" ref="G54" ca="1">IF(NPSwitch=1,_xll.TR(G$7,G$6,"Sdate=#1 Period=#2 NULL=BLANK",,$D54,$E$4),G54)</f>
        <v>5.2635198125349598</v>
      </c>
      <c r="H54" s="765" cm="1">
        <f t="array" aca="1" ref="H54" ca="1">IF(NPSwitch=1,_xll.TR(H$7,H$6,"Sdate=#1 Period=#2 NULL=BLANK",,$D54,$E$4),H54)</f>
        <v>4.9218897683926999</v>
      </c>
      <c r="I54" s="765" cm="1">
        <f t="array" aca="1" ref="I54" ca="1">IF(NPSwitch=1,_xll.TR(I$7,I$6,"Sdate=#1 Period=#2 NULL=BLANK",,$D54,$E$4),I54)</f>
        <v>6.5669808093208202</v>
      </c>
      <c r="J54" s="765" cm="1">
        <f t="array" aca="1" ref="J54" ca="1">IF(NPSwitch=1,_xll.TR(J$7,J$6,"Sdate=#1 Period=#2 NULL=BLANK",,$D54,$E$4),J54)</f>
        <v>6.7594542913646398</v>
      </c>
      <c r="K54" s="765" cm="1">
        <f t="array" aca="1" ref="K54" ca="1">IF(NPSwitch=1,_xll.TR(K$7,K$6,"Sdate=#1 Period=#2 NULL=BLANK",,$D54,$E$4),K54)</f>
        <v>7.7149751867730503</v>
      </c>
      <c r="L54" s="765" cm="1">
        <f t="array" aca="1" ref="L54" ca="1">IF(NPSwitch=1,_xll.TR(L$7,L$6,"Sdate=#1 Period=#2 NULL=BLANK",,$D54,$E$4),L54)</f>
        <v>8.11322897159876</v>
      </c>
      <c r="M54" s="765" cm="1">
        <f t="array" aca="1" ref="M54" ca="1">IF(NPSwitch=1,_xll.TR(M$7,M$6,"Sdate=#1 Period=#2 NULL=BLANK",,$D54,$E$4),M54)</f>
        <v>6.4572382014794396</v>
      </c>
      <c r="N54" s="1002">
        <f t="shared" ca="1" si="45"/>
        <v>6.5566748066641551</v>
      </c>
      <c r="O54" s="1000" cm="1">
        <f t="array" aca="1" ref="O54" ca="1">IF(NPSwitch=1,_xll.TR(O$7,O$6,"Sdate=#1 Period=#2 Scale=6 NULL=BLANK",,$D54,$O$4),O54)</f>
        <v>54739.3332817599</v>
      </c>
      <c r="P54" s="1000" cm="1">
        <f t="array" aca="1" ref="P54" ca="1">IF(NPSwitch=1,_xll.TR(P$7,P$6,"Sdate=#1 Period=#2 Scale=6 NULL=BLANK",,$D54,$O$4),P54)</f>
        <v>3160.2098068199898</v>
      </c>
      <c r="Q54" s="1000" cm="1">
        <f t="array" aca="1" ref="Q54" ca="1">IF(NPSwitch=1,_xll.TR(Q$7,Q$6,"Sdate=#1 Period=#2 Scale=6 NULL=BLANK",,$D54,$O$4),Q54)</f>
        <v>2805.59554905</v>
      </c>
      <c r="R54" s="1000" cm="1">
        <f t="array" aca="1" ref="R54" ca="1">IF(NPSwitch=1,_xll.TR(R$7,R$6,"Sdate=#1 Period=#2 Scale=6 NULL=BLANK",,$D54,$O$4),R54)</f>
        <v>603.00647712</v>
      </c>
      <c r="S54" s="1000" cm="1">
        <f t="array" aca="1" ref="S54" ca="1">IF(NPSwitch=1,_xll.TR(S$7,S$6,"Sdate=#1 Period=#2 Scale=6 NULL=BLANK",,$D54,$O$4),S54)</f>
        <v>1969.6625586</v>
      </c>
      <c r="T54" s="1000" cm="1">
        <f t="array" aca="1" ref="T54" ca="1">IF(NPSwitch=1,_xll.TR(T$7,T$6,"Sdate=#1 Period=#2 Scale=6 NULL=BLANK",,$D54,$O$4),T54)</f>
        <v>3975.7834338299999</v>
      </c>
      <c r="U54" s="1000" cm="1">
        <f t="array" aca="1" ref="U54" ca="1">IF(NPSwitch=1,_xll.TR(U$7,U$6,"Sdate=#1 Period=#2 Scale=6 NULL=BLANK",,$D54,$O$4),U54)</f>
        <v>10079.23307016</v>
      </c>
      <c r="V54" s="1000" cm="1">
        <f t="array" aca="1" ref="V54" ca="1">IF(NPSwitch=1,_xll.TR(V$7,V$6,"Sdate=#1 Period=#2 Scale=6 NULL=BLANK",,$D54,$O$4),V54)</f>
        <v>6087.4710764221099</v>
      </c>
      <c r="W54" s="1000" cm="1">
        <f t="array" aca="1" ref="W54" ca="1">IF(NPSwitch=1,_xll.TR(W$7,W$6,"Sdate=#1 Period=#2 Scale=6 NULL=BLANK",,$D54,$O$4),W54)</f>
        <v>4272.2772461200002</v>
      </c>
      <c r="X54" s="998"/>
      <c r="Y54" s="1000" cm="1">
        <f t="array" aca="1" ref="Y54" ca="1">IF(NPSwitch=1,_xll.TR(Y$7,Y$6,"Sdate=#1 Period=#2 Scale=6 NULL=BLANK",,$D54,$O$4),Y54)</f>
        <v>2752.75</v>
      </c>
      <c r="Z54" s="1000" cm="1">
        <f t="array" aca="1" ref="Z54" ca="1">IF(NPSwitch=1,_xll.TR(Z$7,Z$6,"Sdate=#1 Period=#2 Scale=6 NULL=BLANK",,$D54,$O$4),Z54)</f>
        <v>217.52799999999999</v>
      </c>
      <c r="AA54" s="1000" cm="1">
        <f t="array" aca="1" ref="AA54" ca="1">IF(NPSwitch=1,_xll.TR(AA$7,AA$6,"Sdate=#1 Period=#2 Scale=6 NULL=BLANK",,$D54,$O$4),AA54)</f>
        <v>258.25</v>
      </c>
      <c r="AB54" s="1000" cm="1">
        <f t="array" aca="1" ref="AB54" ca="1">IF(NPSwitch=1,_xll.TR(AB$7,AB$6,"Sdate=#1 Period=#2 Scale=6 NULL=BLANK",,$D54,$O$4),AB54)</f>
        <v>147.52500000000001</v>
      </c>
      <c r="AC54" s="1000" cm="1">
        <f t="array" aca="1" ref="AC54" ca="1">IF(NPSwitch=1,_xll.TR(AC$7,AC$6,"Sdate=#1 Period=#2 Scale=6 NULL=BLANK",,$D54,$O$4),AC54)</f>
        <v>1260.25</v>
      </c>
      <c r="AD54" s="1000" cm="1">
        <f t="array" aca="1" ref="AD54" ca="1">IF(NPSwitch=1,_xll.TR(AD$7,AD$6,"Sdate=#1 Period=#2 Scale=6 NULL=BLANK",,$D54,$O$4),AD54)</f>
        <v>58.55</v>
      </c>
      <c r="AE54" s="1000" cm="1">
        <f t="array" aca="1" ref="AE54" ca="1">IF(NPSwitch=1,_xll.TR(AE$7,AE$6,"Sdate=#1 Period=#2 Scale=6 NULL=BLANK",,$D54,$O$4),AE54)</f>
        <v>875.5</v>
      </c>
      <c r="AF54" s="1000" cm="1">
        <f t="array" aca="1" ref="AF54" ca="1">IF(NPSwitch=1,_xll.TR(AF$7,AF$6,"Sdate=#1 Period=#2 Scale=6 NULL=BLANK",,$D54,$O$4),AF54)</f>
        <v>913.75</v>
      </c>
      <c r="AG54" s="1000" cm="1">
        <f t="array" aca="1" ref="AG54" ca="1">IF(NPSwitch=1,_xll.TR(AG$7,AG$6,"Sdate=#1 Period=#2 Scale=6 NULL=BLANK",,$D54,$O$4),AG54)</f>
        <v>461.25</v>
      </c>
      <c r="AH54" s="998"/>
      <c r="AI54" s="1000" cm="1">
        <f t="array" aca="1" ref="AI54" ca="1">IF(NPSwitch=1,_xll.TR(AI$7,AI$6,"Sdate=#1 Period=#2 Scale=6 NULL=BLANK",,$D54,$O$4),AI54)</f>
        <v>57487.333281760002</v>
      </c>
      <c r="AJ54" s="1000" cm="1">
        <f t="array" aca="1" ref="AJ54" ca="1">IF(NPSwitch=1,_xll.TR(AJ$7,AJ$6,"Sdate=#1 Period=#2 Scale=6 NULL=BLANK",,$D54,$O$4),AJ54)</f>
        <v>3767.8038068199999</v>
      </c>
      <c r="AK54" s="1000" cm="1">
        <f t="array" aca="1" ref="AK54" ca="1">IF(NPSwitch=1,_xll.TR(AK$7,AK$6,"Sdate=#1 Period=#2 Scale=6 NULL=BLANK",,$D54,$O$4),AK54)</f>
        <v>4542.59554905</v>
      </c>
      <c r="AL54" s="1000" cm="1">
        <f t="array" aca="1" ref="AL54" ca="1">IF(NPSwitch=1,_xll.TR(AL$7,AL$6,"Sdate=#1 Period=#2 Scale=6 NULL=BLANK",,$D54,$O$4),AL54)</f>
        <v>791.70647712000005</v>
      </c>
      <c r="AM54" s="1000" cm="1">
        <f t="array" aca="1" ref="AM54" ca="1">IF(NPSwitch=1,_xll.TR(AM$7,AM$6,"Sdate=#1 Period=#2 Scale=6 NULL=BLANK",,$D54,$O$4),AM54)</f>
        <v>4600.6625586</v>
      </c>
      <c r="AN54" s="1000" cm="1">
        <f t="array" aca="1" ref="AN54" ca="1">IF(NPSwitch=1,_xll.TR(AN$7,AN$6,"Sdate=#1 Period=#2 Scale=6 NULL=BLANK",,$D54,$O$4),AN54)</f>
        <v>4581.7834338299999</v>
      </c>
      <c r="AO54" s="1000" cm="1">
        <f t="array" aca="1" ref="AO54" ca="1">IF(NPSwitch=1,_xll.TR(AO$7,AO$6,"Sdate=#1 Period=#2 Scale=6 NULL=BLANK",,$D54,$O$4),AO54)</f>
        <v>12914.23307016</v>
      </c>
      <c r="AP54" s="1000" cm="1">
        <f t="array" aca="1" ref="AP54" ca="1">IF(NPSwitch=1,_xll.TR(AP$7,AP$6,"Sdate=#1 Period=#2 Scale=6 NULL=BLANK",,$D54,$O$4),AP54)</f>
        <v>8149.4710764219999</v>
      </c>
      <c r="AQ54" s="1000" cm="1">
        <f t="array" aca="1" ref="AQ54" ca="1">IF(NPSwitch=1,_xll.TR(AQ$7,AQ$6,"Sdate=#1 Period=#2 Scale=6 NULL=BLANK",,$D54,$O$4),AQ54)</f>
        <v>5070.2772461200002</v>
      </c>
      <c r="AS54" s="765" t="str" cm="1">
        <f t="array" aca="1" ref="AS54" ca="1">IF(NPSwitch=1,_xll.TR(AS$7,AS$6,"Sdate=#1 Period=#2 NULL=BLANK Scale=6",,$D54,$AS$4),AS54)</f>
        <v/>
      </c>
      <c r="AT54" s="765" t="str" cm="1">
        <f t="array" aca="1" ref="AT54" ca="1">IF(NPSwitch=1,_xll.TR(AT$7,AT$6,"Sdate=#1 Period=#2 NULL=BLANK Scale=6",,$D54,$AS$4),AT54)</f>
        <v/>
      </c>
      <c r="AU54" s="765" t="str" cm="1">
        <f t="array" aca="1" ref="AU54" ca="1">IF(NPSwitch=1,_xll.TR(AU$7,AU$6,"Sdate=#1 Period=#2 NULL=BLANK Scale=6",,$D54,$AS$4),AU54)</f>
        <v/>
      </c>
      <c r="AV54" s="765" t="str" cm="1">
        <f t="array" aca="1" ref="AV54" ca="1">IF(NPSwitch=1,_xll.TR(AV$7,AV$6,"Sdate=#1 Period=#2 NULL=BLANK Scale=6",,$D54,$AS$4),AV54)</f>
        <v/>
      </c>
      <c r="AW54" s="765" t="str" cm="1">
        <f t="array" aca="1" ref="AW54" ca="1">IF(NPSwitch=1,_xll.TR(AW$7,AW$6,"Sdate=#1 Period=#2 NULL=BLANK Scale=6",,$D54,$AS$4),AW54)</f>
        <v/>
      </c>
      <c r="AX54" s="765" t="str" cm="1">
        <f t="array" aca="1" ref="AX54" ca="1">IF(NPSwitch=1,_xll.TR(AX$7,AX$6,"Sdate=#1 Period=#2 NULL=BLANK Scale=6",,$D54,$AS$4),AX54)</f>
        <v/>
      </c>
      <c r="AY54" s="765" t="str" cm="1">
        <f t="array" aca="1" ref="AY54" ca="1">IF(NPSwitch=1,_xll.TR(AY$7,AY$6,"Sdate=#1 Period=#2 NULL=BLANK Scale=6",,$D54,$AS$4),AY54)</f>
        <v/>
      </c>
      <c r="AZ54" s="765" t="str" cm="1">
        <f t="array" aca="1" ref="AZ54" ca="1">IF(NPSwitch=1,_xll.TR(AZ$7,AZ$6,"Sdate=#1 Period=#2 NULL=BLANK Scale=6",,$D54,$AS$4),AZ54)</f>
        <v/>
      </c>
      <c r="BA54" s="765" t="str" cm="1">
        <f t="array" aca="1" ref="BA54" ca="1">IF(NPSwitch=1,_xll.TR(BA$7,BA$6,"Sdate=#1 Period=#2 NULL=BLANK Scale=6",,$D54,$AS$4),BA54)</f>
        <v/>
      </c>
      <c r="BB54" s="1002"/>
      <c r="BC54" s="765" cm="1">
        <f t="array" aca="1" ref="BC54" ca="1">IF(NPSwitch=1,_xll.TR(BC$7,BC$6,"Sdate=#1 Period=#2 NULL=BLANK",,$D54,$BC$4),BC54)</f>
        <v>10.011726450999999</v>
      </c>
      <c r="BD54" s="765" cm="1">
        <f t="array" aca="1" ref="BD54" ca="1">IF(NPSwitch=1,_xll.TR(BD$7,BD$6,"Sdate=#1 Period=#2 NULL=BLANK",,$D54,$BC$4),BD54)</f>
        <v>13.295894243999999</v>
      </c>
      <c r="BE54" s="765" cm="1">
        <f t="array" aca="1" ref="BE54" ca="1">IF(NPSwitch=1,_xll.TR(BE$7,BE$6,"Sdate=#1 Period=#2 NULL=BLANK",,$D54,$BC$4),BE54)</f>
        <v>7.7784170359999996</v>
      </c>
      <c r="BF54" s="765" cm="1">
        <f t="array" aca="1" ref="BF54" ca="1">IF(NPSwitch=1,_xll.TR(BF$7,BF$6,"Sdate=#1 Period=#2 NULL=BLANK",,$D54,$BC$4),BF54)</f>
        <v>5.2430892519999999</v>
      </c>
      <c r="BG54" s="765" t="str" cm="1">
        <f t="array" aca="1" ref="BG54" ca="1">IF(NPSwitch=1,_xll.TR(BG$7,BG$6,"Sdate=#1 Period=#2 NULL=BLANK",,$D54,$BC$4),BG54)</f>
        <v/>
      </c>
      <c r="BH54" s="765" cm="1">
        <f t="array" aca="1" ref="BH54" ca="1">IF(NPSwitch=1,_xll.TR(BH$7,BH$6,"Sdate=#1 Period=#2 NULL=BLANK",,$D54,$BC$4),BH54)</f>
        <v>7.67982473</v>
      </c>
      <c r="BI54" s="765" cm="1">
        <f t="array" aca="1" ref="BI54" ca="1">IF(NPSwitch=1,_xll.TR(BI$7,BI$6,"Sdate=#1 Period=#2 NULL=BLANK",,$D54,$BC$4),BI54)</f>
        <v>9.1202210949999998</v>
      </c>
      <c r="BJ54" s="765" cm="1">
        <f t="array" aca="1" ref="BJ54" ca="1">IF(NPSwitch=1,_xll.TR(BJ$7,BJ$6,"Sdate=#1 Period=#2 NULL=BLANK",,$D54,$BC$4),BJ54)</f>
        <v>10.341968371</v>
      </c>
      <c r="BK54" s="765" cm="1">
        <f t="array" aca="1" ref="BK54" ca="1">IF(NPSwitch=1,_xll.TR(BK$7,BK$6,"Sdate=#1 Period=#2 NULL=BLANK",,$D54,$BC$4),BK54)</f>
        <v>7.5902353979999999</v>
      </c>
      <c r="BM54" s="1014"/>
      <c r="BO54" s="765" cm="1">
        <f t="array" aca="1" ref="BO54" ca="1">IF(NPSwitch=1,_xll.TR(BO$7,BO$6,"Sdate=#1 Period=#2 NULL=BLANK Scale=6",,$D54,$AS$4),BO54)</f>
        <v>22510</v>
      </c>
      <c r="BP54" s="765" cm="1">
        <f t="array" aca="1" ref="BP54" ca="1">IF(NPSwitch=1,_xll.TR(BP$7,BP$6,"Sdate=#1 Period=#2 NULL=BLANK Scale=6",,$D54,$AS$4),BP54)</f>
        <v>1964.8910000000001</v>
      </c>
      <c r="BQ54" s="765" cm="1">
        <f t="array" aca="1" ref="BQ54" ca="1">IF(NPSwitch=1,_xll.TR(BQ$7,BQ$6,"Sdate=#1 Period=#2 NULL=BLANK Scale=6",,$D54,$AS$4),BQ54)</f>
        <v>8106</v>
      </c>
      <c r="BR54" s="765" cm="1">
        <f t="array" aca="1" ref="BR54" ca="1">IF(NPSwitch=1,_xll.TR(BR$7,BR$6,"Sdate=#1 Period=#2 NULL=BLANK Scale=6",,$D54,$AS$4),BR54)</f>
        <v>2050</v>
      </c>
      <c r="BS54" s="765" cm="1">
        <f t="array" aca="1" ref="BS54" ca="1">IF(NPSwitch=1,_xll.TR(BS$7,BS$6,"Sdate=#1 Period=#2 NULL=BLANK Scale=6",,$D54,$AS$4),BS54)</f>
        <v>7649</v>
      </c>
      <c r="BT54" s="765" cm="1">
        <f t="array" aca="1" ref="BT54" ca="1">IF(NPSwitch=1,_xll.TR(BT$7,BT$6,"Sdate=#1 Period=#2 NULL=BLANK Scale=6",,$D54,$AS$4),BT54)</f>
        <v>2841.8</v>
      </c>
      <c r="BU54" s="765" cm="1">
        <f t="array" aca="1" ref="BU54" ca="1">IF(NPSwitch=1,_xll.TR(BU$7,BU$6,"Sdate=#1 Period=#2 NULL=BLANK Scale=6",,$D54,$AS$4),BU54)</f>
        <v>12311</v>
      </c>
      <c r="BV54" s="765" cm="1">
        <f t="array" aca="1" ref="BV54" ca="1">IF(NPSwitch=1,_xll.TR(BV$7,BV$6,"Sdate=#1 Period=#2 NULL=BLANK Scale=6",,$D54,$AS$4),BV54)</f>
        <v>5761</v>
      </c>
      <c r="BW54" s="765" cm="1">
        <f t="array" aca="1" ref="BW54" ca="1">IF(NPSwitch=1,_xll.TR(BW$7,BW$6,"Sdate=#1 Period=#2 NULL=BLANK Scale=6",,$D54,$AS$4),BW54)</f>
        <v>5065</v>
      </c>
      <c r="BX54" s="1002"/>
      <c r="BY54" s="765" cm="1">
        <f t="array" aca="1" ref="BY54" ca="1">IF(NPSwitch=1,_xll.TR(BY$7,BY$6,"Sdate=#1 Period=#2 NULL=BLANK Scale=6",,$D54,$AS$4),BY54)</f>
        <v>17384</v>
      </c>
      <c r="BZ54" s="765" cm="1">
        <f t="array" aca="1" ref="BZ54" ca="1">IF(NPSwitch=1,_xll.TR(BZ$7,BZ$6,"Sdate=#1 Period=#2 NULL=BLANK Scale=6",,$D54,$AS$4),BZ54)</f>
        <v>2024.5192500000001</v>
      </c>
      <c r="CA54" s="765" cm="1">
        <f t="array" aca="1" ref="CA54" ca="1">IF(NPSwitch=1,_xll.TR(CA$7,CA$6,"Sdate=#1 Period=#2 NULL=BLANK Scale=6",,$D54,$AS$4),CA54)</f>
        <v>5692.5</v>
      </c>
      <c r="CB54" s="765" cm="1">
        <f t="array" aca="1" ref="CB54" ca="1">IF(NPSwitch=1,_xll.TR(CB$7,CB$6,"Sdate=#1 Period=#2 NULL=BLANK Scale=6",,$D54,$AS$4),CB54)</f>
        <v>650.65</v>
      </c>
      <c r="CC54" s="765" cm="1">
        <f t="array" aca="1" ref="CC54" ca="1">IF(NPSwitch=1,_xll.TR(CC$7,CC$6,"Sdate=#1 Period=#2 NULL=BLANK Scale=6",,$D54,$AS$4),CC54)</f>
        <v>5727.75</v>
      </c>
      <c r="CD54" s="765" cm="1">
        <f t="array" aca="1" ref="CD54" ca="1">IF(NPSwitch=1,_xll.TR(CD$7,CD$6,"Sdate=#1 Period=#2 NULL=BLANK Scale=6",,$D54,$AS$4),CD54)</f>
        <v>1684.05</v>
      </c>
      <c r="CE54" s="765" cm="1">
        <f t="array" aca="1" ref="CE54" ca="1">IF(NPSwitch=1,_xll.TR(CE$7,CE$6,"Sdate=#1 Period=#2 NULL=BLANK Scale=6",,$D54,$AS$4),CE54)</f>
        <v>7275</v>
      </c>
      <c r="CF54" s="765" cm="1">
        <f t="array" aca="1" ref="CF54" ca="1">IF(NPSwitch=1,_xll.TR(CF$7,CF$6,"Sdate=#1 Period=#2 NULL=BLANK Scale=6",,$D54,$AS$4),CF54)</f>
        <v>7534.25</v>
      </c>
      <c r="CG54" s="765" cm="1">
        <f t="array" aca="1" ref="CG54" ca="1">IF(NPSwitch=1,_xll.TR(CG$7,CG$6,"Sdate=#1 Period=#2 NULL=BLANK Scale=6",,$D54,$AS$4),CG54)</f>
        <v>3035.75</v>
      </c>
      <c r="CI54" s="1000" cm="1">
        <f t="array" aca="1" ref="CI54" ca="1">IF(NPSwitch=1,_xll.TR(CI$7,CI$6,"Sdate=#1 Period=#2 NULL=BLANK Scale=6",,$D54,$AS$4),CI54)</f>
        <v>5742</v>
      </c>
      <c r="CJ54" s="1000" cm="1">
        <f t="array" aca="1" ref="CJ54" ca="1">IF(NPSwitch=1,_xll.TR(CJ$7,CJ$6,"Sdate=#1 Period=#2 NULL=BLANK Scale=6",,$D54,$AS$4),CJ54)</f>
        <v>283.38099999999997</v>
      </c>
      <c r="CK54" s="1000" cm="1">
        <f t="array" aca="1" ref="CK54" ca="1">IF(NPSwitch=1,_xll.TR(CK$7,CK$6,"Sdate=#1 Period=#2 NULL=BLANK Scale=6",,$D54,$AS$4),CK54)</f>
        <v>837</v>
      </c>
      <c r="CL54" s="1000" cm="1">
        <f t="array" aca="1" ref="CL54" ca="1">IF(NPSwitch=1,_xll.TR(CL$7,CL$6,"Sdate=#1 Period=#2 NULL=BLANK Scale=6",,$D54,$AS$4),CL54)</f>
        <v>150.80000000000001</v>
      </c>
      <c r="CM54" s="1000" cm="1">
        <f t="array" aca="1" ref="CM54" ca="1">IF(NPSwitch=1,_xll.TR(CM$7,CM$6,"Sdate=#1 Period=#2 NULL=BLANK Scale=6",,$D54,$AS$4),CM54)</f>
        <v>361</v>
      </c>
      <c r="CN54" s="1000" cm="1">
        <f t="array" aca="1" ref="CN54" ca="1">IF(NPSwitch=1,_xll.TR(CN$7,CN$6,"Sdate=#1 Period=#2 NULL=BLANK Scale=6",,$D54,$AS$4),CN54)</f>
        <v>596.6</v>
      </c>
      <c r="CO54" s="1000" cm="1">
        <f t="array" aca="1" ref="CO54" ca="1">IF(NPSwitch=1,_xll.TR(CO$7,CO$6,"Sdate=#1 Period=#2 NULL=BLANK Scale=6",,$D54,$AS$4),CO54)</f>
        <v>1416</v>
      </c>
      <c r="CP54" s="1000" cm="1">
        <f t="array" aca="1" ref="CP54" ca="1">IF(NPSwitch=1,_xll.TR(CP$7,CP$6,"Sdate=#1 Period=#2 NULL=BLANK Scale=6",,$D54,$AS$4),CP54)</f>
        <v>788</v>
      </c>
      <c r="CQ54" s="1000" cm="1">
        <f t="array" aca="1" ref="CQ54" ca="1">IF(NPSwitch=1,_xll.TR(CQ$7,CQ$6,"Sdate=#1 Period=#2 NULL=BLANK Scale=6",,$D54,$AS$4),CQ54)</f>
        <v>670</v>
      </c>
      <c r="CS54" s="1000" cm="1">
        <f t="array" aca="1" ref="CS54" ca="1">IF(NPSwitch=1,_xll.TR(CS$7,CS$6,"Sdate=#1 Period=#2 NULL=BLANK Scale=6",,$D54,$AS$4),CS54)</f>
        <v>6863</v>
      </c>
      <c r="CT54" s="1000" cm="1">
        <f t="array" aca="1" ref="CT54" ca="1">IF(NPSwitch=1,_xll.TR(CT$7,CT$6,"Sdate=#1 Period=#2 NULL=BLANK Scale=6",,$D54,$AS$4),CT54)</f>
        <v>1022.73275</v>
      </c>
      <c r="CU54" s="1000" cm="1">
        <f t="array" aca="1" ref="CU54" ca="1">IF(NPSwitch=1,_xll.TR(CU$7,CU$6,"Sdate=#1 Period=#2 NULL=BLANK Scale=6",,$D54,$AS$4),CU54)</f>
        <v>2129.5</v>
      </c>
      <c r="CV54" s="1000" cm="1">
        <f t="array" aca="1" ref="CV54" ca="1">IF(NPSwitch=1,_xll.TR(CV$7,CV$6,"Sdate=#1 Period=#2 NULL=BLANK Scale=6",,$D54,$AS$4),CV54)</f>
        <v>411.57499999999999</v>
      </c>
      <c r="CW54" s="1000" cm="1">
        <f t="array" aca="1" ref="CW54" ca="1">IF(NPSwitch=1,_xll.TR(CW$7,CW$6,"Sdate=#1 Period=#2 NULL=BLANK Scale=6",,$D54,$AS$4),CW54)</f>
        <v>938</v>
      </c>
      <c r="CX54" s="1000" cm="1">
        <f t="array" aca="1" ref="CX54" ca="1">IF(NPSwitch=1,_xll.TR(CX$7,CX$6,"Sdate=#1 Period=#2 NULL=BLANK Scale=6",,$D54,$AS$4),CX54)</f>
        <v>2741.5</v>
      </c>
      <c r="CY54" s="1000" cm="1">
        <f t="array" aca="1" ref="CY54" ca="1">IF(NPSwitch=1,_xll.TR(CY$7,CY$6,"Sdate=#1 Period=#2 NULL=BLANK Scale=6",,$D54,$AS$4),CY54)</f>
        <v>4134.25</v>
      </c>
      <c r="CZ54" s="1000" cm="1">
        <f t="array" aca="1" ref="CZ54" ca="1">IF(NPSwitch=1,_xll.TR(CZ$7,CZ$6,"Sdate=#1 Period=#2 NULL=BLANK Scale=6",,$D54,$AS$4),CZ54)</f>
        <v>3242.75</v>
      </c>
      <c r="DA54" s="1000" cm="1">
        <f t="array" aca="1" ref="DA54" ca="1">IF(NPSwitch=1,_xll.TR(DA$7,DA$6,"Sdate=#1 Period=#2 NULL=BLANK Scale=6",,$D54,$AS$4),DA54)</f>
        <v>2543.5</v>
      </c>
      <c r="DB54" s="1000" cm="1">
        <f t="array" aca="1" ref="DB54" ca="1">IF(NPSwitch=1,_xll.TR(DB$7,DB$6,"Sdate=#1 Period=#2 NULL=BLANK Scale=6",,$D54,$AS$4),DB54)</f>
        <v>15931.5</v>
      </c>
      <c r="DC54" s="1000" t="str" cm="1">
        <f t="array" aca="1" ref="DC54" ca="1">IF(NPSwitch=1,_xll.TR(DC$7,DC$6,"Sdate=#1 Period=#2 NULL=BLANK Scale=6",,$D54,$AS$4),DC54)</f>
        <v/>
      </c>
      <c r="DD54" s="1000" t="str" cm="1">
        <f t="array" aca="1" ref="DD54" ca="1">IF(NPSwitch=1,_xll.TR(DD$7,DD$6,"Sdate=#1 Period=#2 NULL=BLANK Scale=6",,$D54,$AS$4),DD54)</f>
        <v/>
      </c>
      <c r="DE54" s="1000" t="str" cm="1">
        <f t="array" aca="1" ref="DE54" ca="1">IF(NPSwitch=1,_xll.TR(DE$7,DE$6,"Sdate=#1 Period=#2 NULL=BLANK Scale=6",,$D54,$AS$4),DE54)</f>
        <v/>
      </c>
      <c r="DF54" s="1000" cm="1">
        <f t="array" aca="1" ref="DF54" ca="1">IF(NPSwitch=1,_xll.TR(DF$7,DF$6,"Sdate=#1 Period=#2 NULL=BLANK Scale=6",,$D54,$AS$4),DF54)</f>
        <v>411.57499999999999</v>
      </c>
      <c r="DG54" s="1000" cm="1">
        <f t="array" aca="1" ref="DG54" ca="1">IF(NPSwitch=1,_xll.TR(DG$7,DG$6,"Sdate=#1 Period=#2 NULL=BLANK Scale=6",,$D54,$AS$4),DG54)</f>
        <v>3567.5</v>
      </c>
      <c r="DH54" s="1000" cm="1">
        <f t="array" aca="1" ref="DH54" ca="1">IF(NPSwitch=1,_xll.TR(DH$7,DH$6,"Sdate=#1 Period=#2 NULL=BLANK Scale=6",,$D54,$AS$4),DH54)</f>
        <v>1198.7919999999999</v>
      </c>
      <c r="FN54" s="3" t="s">
        <v>1560</v>
      </c>
    </row>
    <row r="55" spans="1:170">
      <c r="C55" s="973">
        <f t="shared" si="44"/>
        <v>40178</v>
      </c>
      <c r="D55" s="974">
        <f t="shared" si="43"/>
        <v>40223</v>
      </c>
      <c r="E55" s="765" cm="1">
        <f t="array" aca="1" ref="E55" ca="1">IF(NPSwitch=1,_xll.TR(E$7,E$6,"Sdate=#1 Period=#2 NULL=BLANK",,$D55,$E$4),E55)</f>
        <v>8.7178693160578202</v>
      </c>
      <c r="F55" s="765" cm="1">
        <f t="array" aca="1" ref="F55" ca="1">IF(NPSwitch=1,_xll.TR(F$7,F$6,"Sdate=#1 Period=#2 NULL=BLANK",,$D55,$E$4),F55)</f>
        <v>9.3385317655283</v>
      </c>
      <c r="G55" s="765" cm="1">
        <f t="array" aca="1" ref="G55" ca="1">IF(NPSwitch=1,_xll.TR(G$7,G$6,"Sdate=#1 Period=#2 NULL=BLANK",,$D55,$E$4),G55)</f>
        <v>4.9863673176310597</v>
      </c>
      <c r="H55" s="765" cm="1">
        <f t="array" aca="1" ref="H55" ca="1">IF(NPSwitch=1,_xll.TR(H$7,H$6,"Sdate=#1 Period=#2 NULL=BLANK",,$D55,$E$4),H55)</f>
        <v>5.6125677391995801</v>
      </c>
      <c r="I55" s="765" cm="1">
        <f t="array" aca="1" ref="I55" ca="1">IF(NPSwitch=1,_xll.TR(I$7,I$6,"Sdate=#1 Period=#2 NULL=BLANK",,$D55,$E$4),I55)</f>
        <v>7.1496247591346496</v>
      </c>
      <c r="J55" s="765" cm="1">
        <f t="array" aca="1" ref="J55" ca="1">IF(NPSwitch=1,_xll.TR(J$7,J$6,"Sdate=#1 Period=#2 NULL=BLANK",,$D55,$E$4),J55)</f>
        <v>6.7754790588824596</v>
      </c>
      <c r="K55" s="765" cm="1">
        <f t="array" aca="1" ref="K55" ca="1">IF(NPSwitch=1,_xll.TR(K$7,K$6,"Sdate=#1 Period=#2 NULL=BLANK",,$D55,$E$4),K55)</f>
        <v>7.4667003758188999</v>
      </c>
      <c r="L55" s="765" cm="1">
        <f t="array" aca="1" ref="L55" ca="1">IF(NPSwitch=1,_xll.TR(L$7,L$6,"Sdate=#1 Period=#2 NULL=BLANK",,$D55,$E$4),L55)</f>
        <v>8.8720618346742608</v>
      </c>
      <c r="M55" s="765" cm="1">
        <f t="array" aca="1" ref="M55" ca="1">IF(NPSwitch=1,_xll.TR(M$7,M$6,"Sdate=#1 Period=#2 NULL=BLANK",,$D55,$E$4),M55)</f>
        <v>5.7097225011042596</v>
      </c>
      <c r="N55" s="1002">
        <f t="shared" ca="1" si="45"/>
        <v>6.8104668475568184</v>
      </c>
      <c r="O55" s="1000" cm="1">
        <f t="array" aca="1" ref="O55" ca="1">IF(NPSwitch=1,_xll.TR(O$7,O$6,"Sdate=#1 Period=#2 Scale=6 NULL=BLANK",,$D55,$O$4),O55)</f>
        <v>56355.048790859997</v>
      </c>
      <c r="P55" s="1000" cm="1">
        <f t="array" aca="1" ref="P55" ca="1">IF(NPSwitch=1,_xll.TR(P$7,P$6,"Sdate=#1 Period=#2 Scale=6 NULL=BLANK",,$D55,$O$4),P55)</f>
        <v>3355.4882195999999</v>
      </c>
      <c r="Q55" s="1000" cm="1">
        <f t="array" aca="1" ref="Q55" ca="1">IF(NPSwitch=1,_xll.TR(Q$7,Q$6,"Sdate=#1 Period=#2 Scale=6 NULL=BLANK",,$D55,$O$4),Q55)</f>
        <v>3439.3470839800002</v>
      </c>
      <c r="R55" s="1000" cm="1">
        <f t="array" aca="1" ref="R55" ca="1">IF(NPSwitch=1,_xll.TR(R$7,R$6,"Sdate=#1 Period=#2 Scale=6 NULL=BLANK",,$D55,$O$4),R55)</f>
        <v>693.64242000000002</v>
      </c>
      <c r="S55" s="1000" cm="1">
        <f t="array" aca="1" ref="S55" ca="1">IF(NPSwitch=1,_xll.TR(S$7,S$6,"Sdate=#1 Period=#2 Scale=6 NULL=BLANK",,$D55,$O$4),S55)</f>
        <v>2904.5969697599999</v>
      </c>
      <c r="T55" s="1000" cm="1">
        <f t="array" aca="1" ref="T55" ca="1">IF(NPSwitch=1,_xll.TR(T$7,T$6,"Sdate=#1 Period=#2 Scale=6 NULL=BLANK",,$D55,$O$4),T55)</f>
        <v>4037.8512384000001</v>
      </c>
      <c r="U55" s="1000" cm="1">
        <f t="array" aca="1" ref="U55" ca="1">IF(NPSwitch=1,_xll.TR(U$7,U$6,"Sdate=#1 Period=#2 Scale=6 NULL=BLANK",,$D55,$O$4),U55)</f>
        <v>10011.151637880001</v>
      </c>
      <c r="V55" s="1000" cm="1">
        <f t="array" aca="1" ref="V55" ca="1">IF(NPSwitch=1,_xll.TR(V$7,V$6,"Sdate=#1 Period=#2 Scale=6 NULL=BLANK",,$D55,$O$4),V55)</f>
        <v>5962.1133862439401</v>
      </c>
      <c r="W55" s="1000" cm="1">
        <f t="array" aca="1" ref="W55" ca="1">IF(NPSwitch=1,_xll.TR(W$7,W$6,"Sdate=#1 Period=#2 Scale=6 NULL=BLANK",,$D55,$O$4),W55)</f>
        <v>4202.4217555799996</v>
      </c>
      <c r="X55" s="998"/>
      <c r="Y55" s="1000" cm="1">
        <f t="array" aca="1" ref="Y55" ca="1">IF(NPSwitch=1,_xll.TR(Y$7,Y$6,"Sdate=#1 Period=#2 Scale=6 NULL=BLANK",,$D55,$O$4),Y55)</f>
        <v>3143.25</v>
      </c>
      <c r="Z55" s="1000" cm="1">
        <f t="array" aca="1" ref="Z55" ca="1">IF(NPSwitch=1,_xll.TR(Z$7,Z$6,"Sdate=#1 Period=#2 Scale=6 NULL=BLANK",,$D55,$O$4),Z55)</f>
        <v>231.4</v>
      </c>
      <c r="AA55" s="1000" cm="1">
        <f t="array" aca="1" ref="AA55" ca="1">IF(NPSwitch=1,_xll.TR(AA$7,AA$6,"Sdate=#1 Period=#2 Scale=6 NULL=BLANK",,$D55,$O$4),AA55)</f>
        <v>304.25</v>
      </c>
      <c r="AB55" s="1000" cm="1">
        <f t="array" aca="1" ref="AB55" ca="1">IF(NPSwitch=1,_xll.TR(AB$7,AB$6,"Sdate=#1 Period=#2 Scale=6 NULL=BLANK",,$D55,$O$4),AB55)</f>
        <v>192.125</v>
      </c>
      <c r="AC55" s="1000" cm="1">
        <f t="array" aca="1" ref="AC55" ca="1">IF(NPSwitch=1,_xll.TR(AC$7,AC$6,"Sdate=#1 Period=#2 Scale=6 NULL=BLANK",,$D55,$O$4),AC55)</f>
        <v>1260.25</v>
      </c>
      <c r="AD55" s="1000" cm="1">
        <f t="array" aca="1" ref="AD55" ca="1">IF(NPSwitch=1,_xll.TR(AD$7,AD$6,"Sdate=#1 Period=#2 Scale=6 NULL=BLANK",,$D55,$O$4),AD55)</f>
        <v>64.599999999999994</v>
      </c>
      <c r="AE55" s="1000" cm="1">
        <f t="array" aca="1" ref="AE55" ca="1">IF(NPSwitch=1,_xll.TR(AE$7,AE$6,"Sdate=#1 Period=#2 Scale=6 NULL=BLANK",,$D55,$O$4),AE55)</f>
        <v>886.25</v>
      </c>
      <c r="AF55" s="1000" cm="1">
        <f t="array" aca="1" ref="AF55" ca="1">IF(NPSwitch=1,_xll.TR(AF$7,AF$6,"Sdate=#1 Period=#2 Scale=6 NULL=BLANK",,$D55,$O$4),AF55)</f>
        <v>913.75</v>
      </c>
      <c r="AG55" s="1000" cm="1">
        <f t="array" aca="1" ref="AG55" ca="1">IF(NPSwitch=1,_xll.TR(AG$7,AG$6,"Sdate=#1 Period=#2 Scale=6 NULL=BLANK",,$D55,$O$4),AG55)</f>
        <v>562.75</v>
      </c>
      <c r="AH55" s="998"/>
      <c r="AI55" s="1000" cm="1">
        <f t="array" aca="1" ref="AI55" ca="1">IF(NPSwitch=1,_xll.TR(AI$7,AI$6,"Sdate=#1 Period=#2 Scale=6 NULL=BLANK",,$D55,$O$4),AI55)</f>
        <v>59103.048790859997</v>
      </c>
      <c r="AJ55" s="1000" cm="1">
        <f t="array" aca="1" ref="AJ55" ca="1">IF(NPSwitch=1,_xll.TR(AJ$7,AJ$6,"Sdate=#1 Period=#2 Scale=6 NULL=BLANK",,$D55,$O$4),AJ55)</f>
        <v>3963.0822195999999</v>
      </c>
      <c r="AK55" s="1000" cm="1">
        <f t="array" aca="1" ref="AK55" ca="1">IF(NPSwitch=1,_xll.TR(AK$7,AK$6,"Sdate=#1 Period=#2 Scale=6 NULL=BLANK",,$D55,$O$4),AK55)</f>
        <v>4627.3470839800002</v>
      </c>
      <c r="AL55" s="1000" cm="1">
        <f t="array" aca="1" ref="AL55" ca="1">IF(NPSwitch=1,_xll.TR(AL$7,AL$6,"Sdate=#1 Period=#2 Scale=6 NULL=BLANK",,$D55,$O$4),AL55)</f>
        <v>882.34241999999995</v>
      </c>
      <c r="AM55" s="1000" cm="1">
        <f t="array" aca="1" ref="AM55" ca="1">IF(NPSwitch=1,_xll.TR(AM$7,AM$6,"Sdate=#1 Period=#2 Scale=6 NULL=BLANK",,$D55,$O$4),AM55)</f>
        <v>5535.5969697600003</v>
      </c>
      <c r="AN55" s="1000" cm="1">
        <f t="array" aca="1" ref="AN55" ca="1">IF(NPSwitch=1,_xll.TR(AN$7,AN$6,"Sdate=#1 Period=#2 Scale=6 NULL=BLANK",,$D55,$O$4),AN55)</f>
        <v>4643.8512383999996</v>
      </c>
      <c r="AO55" s="1000" cm="1">
        <f t="array" aca="1" ref="AO55" ca="1">IF(NPSwitch=1,_xll.TR(AO$7,AO$6,"Sdate=#1 Period=#2 Scale=6 NULL=BLANK",,$D55,$O$4),AO55)</f>
        <v>12846.151637880001</v>
      </c>
      <c r="AP55" s="1000" cm="1">
        <f t="array" aca="1" ref="AP55" ca="1">IF(NPSwitch=1,_xll.TR(AP$7,AP$6,"Sdate=#1 Period=#2 Scale=6 NULL=BLANK",,$D55,$O$4),AP55)</f>
        <v>8024.1133862440001</v>
      </c>
      <c r="AQ55" s="1000" cm="1">
        <f t="array" aca="1" ref="AQ55" ca="1">IF(NPSwitch=1,_xll.TR(AQ$7,AQ$6,"Sdate=#1 Period=#2 Scale=6 NULL=BLANK",,$D55,$O$4),AQ55)</f>
        <v>5000.4217555799996</v>
      </c>
      <c r="AS55" s="765" t="str" cm="1">
        <f t="array" aca="1" ref="AS55" ca="1">IF(NPSwitch=1,_xll.TR(AS$7,AS$6,"Sdate=#1 Period=#2 NULL=BLANK Scale=6",,$D55,$AS$4),AS55)</f>
        <v/>
      </c>
      <c r="AT55" s="765" t="str" cm="1">
        <f t="array" aca="1" ref="AT55" ca="1">IF(NPSwitch=1,_xll.TR(AT$7,AT$6,"Sdate=#1 Period=#2 NULL=BLANK Scale=6",,$D55,$AS$4),AT55)</f>
        <v/>
      </c>
      <c r="AU55" s="765" t="str" cm="1">
        <f t="array" aca="1" ref="AU55" ca="1">IF(NPSwitch=1,_xll.TR(AU$7,AU$6,"Sdate=#1 Period=#2 NULL=BLANK Scale=6",,$D55,$AS$4),AU55)</f>
        <v/>
      </c>
      <c r="AV55" s="765" t="str" cm="1">
        <f t="array" aca="1" ref="AV55" ca="1">IF(NPSwitch=1,_xll.TR(AV$7,AV$6,"Sdate=#1 Period=#2 NULL=BLANK Scale=6",,$D55,$AS$4),AV55)</f>
        <v/>
      </c>
      <c r="AW55" s="765" t="str" cm="1">
        <f t="array" aca="1" ref="AW55" ca="1">IF(NPSwitch=1,_xll.TR(AW$7,AW$6,"Sdate=#1 Period=#2 NULL=BLANK Scale=6",,$D55,$AS$4),AW55)</f>
        <v/>
      </c>
      <c r="AX55" s="765" t="str" cm="1">
        <f t="array" aca="1" ref="AX55" ca="1">IF(NPSwitch=1,_xll.TR(AX$7,AX$6,"Sdate=#1 Period=#2 NULL=BLANK Scale=6",,$D55,$AS$4),AX55)</f>
        <v/>
      </c>
      <c r="AY55" s="765" t="str" cm="1">
        <f t="array" aca="1" ref="AY55" ca="1">IF(NPSwitch=1,_xll.TR(AY$7,AY$6,"Sdate=#1 Period=#2 NULL=BLANK Scale=6",,$D55,$AS$4),AY55)</f>
        <v/>
      </c>
      <c r="AZ55" s="765" t="str" cm="1">
        <f t="array" aca="1" ref="AZ55" ca="1">IF(NPSwitch=1,_xll.TR(AZ$7,AZ$6,"Sdate=#1 Period=#2 NULL=BLANK Scale=6",,$D55,$AS$4),AZ55)</f>
        <v/>
      </c>
      <c r="BA55" s="765" t="str" cm="1">
        <f t="array" aca="1" ref="BA55" ca="1">IF(NPSwitch=1,_xll.TR(BA$7,BA$6,"Sdate=#1 Period=#2 NULL=BLANK Scale=6",,$D55,$AS$4),BA55)</f>
        <v/>
      </c>
      <c r="BB55" s="1002"/>
      <c r="BC55" s="765" cm="1">
        <f t="array" aca="1" ref="BC55" ca="1">IF(NPSwitch=1,_xll.TR(BC$7,BC$6,"Sdate=#1 Period=#2 NULL=BLANK",,$D55,$BC$4),BC55)</f>
        <v>10.293111945</v>
      </c>
      <c r="BD55" s="765" cm="1">
        <f t="array" aca="1" ref="BD55" ca="1">IF(NPSwitch=1,_xll.TR(BD$7,BD$6,"Sdate=#1 Period=#2 NULL=BLANK",,$D55,$BC$4),BD55)</f>
        <v>13.984996239999999</v>
      </c>
      <c r="BE55" s="765" cm="1">
        <f t="array" aca="1" ref="BE55" ca="1">IF(NPSwitch=1,_xll.TR(BE$7,BE$6,"Sdate=#1 Period=#2 NULL=BLANK",,$D55,$BC$4),BE55)</f>
        <v>5.1702202059999998</v>
      </c>
      <c r="BF55" s="765" cm="1">
        <f t="array" aca="1" ref="BF55" ca="1">IF(NPSwitch=1,_xll.TR(BF$7,BF$6,"Sdate=#1 Period=#2 NULL=BLANK",,$D55,$BC$4),BF55)</f>
        <v>5.843327285</v>
      </c>
      <c r="BG55" s="765" t="str" cm="1">
        <f t="array" aca="1" ref="BG55" ca="1">IF(NPSwitch=1,_xll.TR(BG$7,BG$6,"Sdate=#1 Period=#2 NULL=BLANK",,$D55,$BC$4),BG55)</f>
        <v/>
      </c>
      <c r="BH55" s="765" cm="1">
        <f t="array" aca="1" ref="BH55" ca="1">IF(NPSwitch=1,_xll.TR(BH$7,BH$6,"Sdate=#1 Period=#2 NULL=BLANK",,$D55,$BC$4),BH55)</f>
        <v>7.7838606070000003</v>
      </c>
      <c r="BI55" s="765" cm="1">
        <f t="array" aca="1" ref="BI55" ca="1">IF(NPSwitch=1,_xll.TR(BI$7,BI$6,"Sdate=#1 Period=#2 NULL=BLANK",,$D55,$BC$4),BI55)</f>
        <v>9.0721409869999992</v>
      </c>
      <c r="BJ55" s="765" cm="1">
        <f t="array" aca="1" ref="BJ55" ca="1">IF(NPSwitch=1,_xll.TR(BJ$7,BJ$6,"Sdate=#1 Period=#2 NULL=BLANK",,$D55,$BC$4),BJ55)</f>
        <v>10.182885008</v>
      </c>
      <c r="BK55" s="765" cm="1">
        <f t="array" aca="1" ref="BK55" ca="1">IF(NPSwitch=1,_xll.TR(BK$7,BK$6,"Sdate=#1 Period=#2 NULL=BLANK",,$D55,$BC$4),BK55)</f>
        <v>7.4856613110000003</v>
      </c>
      <c r="BM55" s="1014"/>
      <c r="BO55" s="765" cm="1">
        <f t="array" aca="1" ref="BO55" ca="1">IF(NPSwitch=1,_xll.TR(BO$7,BO$6,"Sdate=#1 Period=#2 NULL=BLANK Scale=6",,$D55,$AS$4),BO55)</f>
        <v>23123</v>
      </c>
      <c r="BP55" s="765" cm="1">
        <f t="array" aca="1" ref="BP55" ca="1">IF(NPSwitch=1,_xll.TR(BP$7,BP$6,"Sdate=#1 Period=#2 NULL=BLANK Scale=6",,$D55,$AS$4),BP55)</f>
        <v>2005.394</v>
      </c>
      <c r="BQ55" s="765" cm="1">
        <f t="array" aca="1" ref="BQ55" ca="1">IF(NPSwitch=1,_xll.TR(BQ$7,BQ$6,"Sdate=#1 Period=#2 NULL=BLANK Scale=6",,$D55,$AS$4),BQ55)</f>
        <v>7464</v>
      </c>
      <c r="BR55" s="765" cm="1">
        <f t="array" aca="1" ref="BR55" ca="1">IF(NPSwitch=1,_xll.TR(BR$7,BR$6,"Sdate=#1 Period=#2 NULL=BLANK Scale=6",,$D55,$AS$4),BR55)</f>
        <v>2060.6999999999998</v>
      </c>
      <c r="BS55" s="765" cm="1">
        <f t="array" aca="1" ref="BS55" ca="1">IF(NPSwitch=1,_xll.TR(BS$7,BS$6,"Sdate=#1 Period=#2 NULL=BLANK Scale=6",,$D55,$AS$4),BS55)</f>
        <v>7649</v>
      </c>
      <c r="BT55" s="765" cm="1">
        <f t="array" aca="1" ref="BT55" ca="1">IF(NPSwitch=1,_xll.TR(BT$7,BT$6,"Sdate=#1 Period=#2 NULL=BLANK Scale=6",,$D55,$AS$4),BT55)</f>
        <v>2826.2</v>
      </c>
      <c r="BU55" s="765" cm="1">
        <f t="array" aca="1" ref="BU55" ca="1">IF(NPSwitch=1,_xll.TR(BU$7,BU$6,"Sdate=#1 Period=#2 NULL=BLANK Scale=6",,$D55,$AS$4),BU55)</f>
        <v>12239</v>
      </c>
      <c r="BV55" s="765" cm="1">
        <f t="array" aca="1" ref="BV55" ca="1">IF(NPSwitch=1,_xll.TR(BV$7,BV$6,"Sdate=#1 Period=#2 NULL=BLANK Scale=6",,$D55,$AS$4),BV55)</f>
        <v>5761</v>
      </c>
      <c r="BW55" s="765" cm="1">
        <f t="array" aca="1" ref="BW55" ca="1">IF(NPSwitch=1,_xll.TR(BW$7,BW$6,"Sdate=#1 Period=#2 NULL=BLANK Scale=6",,$D55,$AS$4),BW55)</f>
        <v>4905</v>
      </c>
      <c r="BX55" s="1002"/>
      <c r="BY55" s="765" cm="1">
        <f t="array" aca="1" ref="BY55" ca="1">IF(NPSwitch=1,_xll.TR(BY$7,BY$6,"Sdate=#1 Period=#2 NULL=BLANK Scale=6",,$D55,$AS$4),BY55)</f>
        <v>17881.5</v>
      </c>
      <c r="BZ55" s="765" cm="1">
        <f t="array" aca="1" ref="BZ55" ca="1">IF(NPSwitch=1,_xll.TR(BZ$7,BZ$6,"Sdate=#1 Period=#2 NULL=BLANK Scale=6",,$D55,$AS$4),BZ55)</f>
        <v>2028.84025</v>
      </c>
      <c r="CA55" s="765" cm="1">
        <f t="array" aca="1" ref="CA55" ca="1">IF(NPSwitch=1,_xll.TR(CA$7,CA$6,"Sdate=#1 Period=#2 NULL=BLANK Scale=6",,$D55,$AS$4),CA55)</f>
        <v>5512.5</v>
      </c>
      <c r="CB55" s="765" cm="1">
        <f t="array" aca="1" ref="CB55" ca="1">IF(NPSwitch=1,_xll.TR(CB$7,CB$6,"Sdate=#1 Period=#2 NULL=BLANK Scale=6",,$D55,$AS$4),CB55)</f>
        <v>689.875</v>
      </c>
      <c r="CC55" s="765" cm="1">
        <f t="array" aca="1" ref="CC55" ca="1">IF(NPSwitch=1,_xll.TR(CC$7,CC$6,"Sdate=#1 Period=#2 NULL=BLANK Scale=6",,$D55,$AS$4),CC55)</f>
        <v>5727.75</v>
      </c>
      <c r="CD55" s="765" cm="1">
        <f t="array" aca="1" ref="CD55" ca="1">IF(NPSwitch=1,_xll.TR(CD$7,CD$6,"Sdate=#1 Period=#2 NULL=BLANK Scale=6",,$D55,$AS$4),CD55)</f>
        <v>1730.8</v>
      </c>
      <c r="CE55" s="765" cm="1">
        <f t="array" aca="1" ref="CE55" ca="1">IF(NPSwitch=1,_xll.TR(CE$7,CE$6,"Sdate=#1 Period=#2 NULL=BLANK Scale=6",,$D55,$AS$4),CE55)</f>
        <v>7241.75</v>
      </c>
      <c r="CF55" s="765" cm="1">
        <f t="array" aca="1" ref="CF55" ca="1">IF(NPSwitch=1,_xll.TR(CF$7,CF$6,"Sdate=#1 Period=#2 NULL=BLANK Scale=6",,$D55,$AS$4),CF55)</f>
        <v>7534.25</v>
      </c>
      <c r="CG55" s="765" cm="1">
        <f t="array" aca="1" ref="CG55" ca="1">IF(NPSwitch=1,_xll.TR(CG$7,CG$6,"Sdate=#1 Period=#2 NULL=BLANK Scale=6",,$D55,$AS$4),CG55)</f>
        <v>3063.5</v>
      </c>
      <c r="CI55" s="1000" cm="1">
        <f t="array" aca="1" ref="CI55" ca="1">IF(NPSwitch=1,_xll.TR(CI$7,CI$6,"Sdate=#1 Period=#2 NULL=BLANK Scale=6",,$D55,$AS$4),CI55)</f>
        <v>6409</v>
      </c>
      <c r="CJ55" s="1000" cm="1">
        <f t="array" aca="1" ref="CJ55" ca="1">IF(NPSwitch=1,_xll.TR(CJ$7,CJ$6,"Sdate=#1 Period=#2 NULL=BLANK Scale=6",,$D55,$AS$4),CJ55)</f>
        <v>310.82900000000001</v>
      </c>
      <c r="CK55" s="1000" cm="1">
        <f t="array" aca="1" ref="CK55" ca="1">IF(NPSwitch=1,_xll.TR(CK$7,CK$6,"Sdate=#1 Period=#2 NULL=BLANK Scale=6",,$D55,$AS$4),CK55)</f>
        <v>927</v>
      </c>
      <c r="CL55" s="1000" cm="1">
        <f t="array" aca="1" ref="CL55" ca="1">IF(NPSwitch=1,_xll.TR(CL$7,CL$6,"Sdate=#1 Period=#2 NULL=BLANK Scale=6",,$D55,$AS$4),CL55)</f>
        <v>183.7</v>
      </c>
      <c r="CM55" s="1000" cm="1">
        <f t="array" aca="1" ref="CM55" ca="1">IF(NPSwitch=1,_xll.TR(CM$7,CM$6,"Sdate=#1 Period=#2 NULL=BLANK Scale=6",,$D55,$AS$4),CM55)</f>
        <v>361</v>
      </c>
      <c r="CN55" s="1000" cm="1">
        <f t="array" aca="1" ref="CN55" ca="1">IF(NPSwitch=1,_xll.TR(CN$7,CN$6,"Sdate=#1 Period=#2 NULL=BLANK Scale=6",,$D55,$AS$4),CN55)</f>
        <v>608.1</v>
      </c>
      <c r="CO55" s="1000" cm="1">
        <f t="array" aca="1" ref="CO55" ca="1">IF(NPSwitch=1,_xll.TR(CO$7,CO$6,"Sdate=#1 Period=#2 NULL=BLANK Scale=6",,$D55,$AS$4),CO55)</f>
        <v>1489</v>
      </c>
      <c r="CP55" s="1000" cm="1">
        <f t="array" aca="1" ref="CP55" ca="1">IF(NPSwitch=1,_xll.TR(CP$7,CP$6,"Sdate=#1 Period=#2 NULL=BLANK Scale=6",,$D55,$AS$4),CP55)</f>
        <v>788</v>
      </c>
      <c r="CQ55" s="1000" cm="1">
        <f t="array" aca="1" ref="CQ55" ca="1">IF(NPSwitch=1,_xll.TR(CQ$7,CQ$6,"Sdate=#1 Period=#2 NULL=BLANK Scale=6",,$D55,$AS$4),CQ55)</f>
        <v>817</v>
      </c>
      <c r="CS55" s="1000" cm="1">
        <f t="array" aca="1" ref="CS55" ca="1">IF(NPSwitch=1,_xll.TR(CS$7,CS$6,"Sdate=#1 Period=#2 NULL=BLANK Scale=6",,$D55,$AS$4),CS55)</f>
        <v>6891.5</v>
      </c>
      <c r="CT55" s="1000" cm="1">
        <f t="array" aca="1" ref="CT55" ca="1">IF(NPSwitch=1,_xll.TR(CT$7,CT$6,"Sdate=#1 Period=#2 NULL=BLANK Scale=6",,$D55,$AS$4),CT55)</f>
        <v>1026.3665000000001</v>
      </c>
      <c r="CU55" s="1000" cm="1">
        <f t="array" aca="1" ref="CU55" ca="1">IF(NPSwitch=1,_xll.TR(CU$7,CU$6,"Sdate=#1 Period=#2 NULL=BLANK Scale=6",,$D55,$AS$4),CU55)</f>
        <v>2085</v>
      </c>
      <c r="CV55" s="1000" cm="1">
        <f t="array" aca="1" ref="CV55" ca="1">IF(NPSwitch=1,_xll.TR(CV$7,CV$6,"Sdate=#1 Period=#2 NULL=BLANK Scale=6",,$D55,$AS$4),CV55)</f>
        <v>401.67500000000001</v>
      </c>
      <c r="CW55" s="1000" cm="1">
        <f t="array" aca="1" ref="CW55" ca="1">IF(NPSwitch=1,_xll.TR(CW$7,CW$6,"Sdate=#1 Period=#2 NULL=BLANK Scale=6",,$D55,$AS$4),CW55)</f>
        <v>944.32500000000005</v>
      </c>
      <c r="CX55" s="1000" cm="1">
        <f t="array" aca="1" ref="CX55" ca="1">IF(NPSwitch=1,_xll.TR(CX$7,CX$6,"Sdate=#1 Period=#2 NULL=BLANK Scale=6",,$D55,$AS$4),CX55)</f>
        <v>2730.5</v>
      </c>
      <c r="CY55" s="1000" cm="1">
        <f t="array" aca="1" ref="CY55" ca="1">IF(NPSwitch=1,_xll.TR(CY$7,CY$6,"Sdate=#1 Period=#2 NULL=BLANK Scale=6",,$D55,$AS$4),CY55)</f>
        <v>4134.25</v>
      </c>
      <c r="CZ55" s="1000" cm="1">
        <f t="array" aca="1" ref="CZ55" ca="1">IF(NPSwitch=1,_xll.TR(CZ$7,CZ$6,"Sdate=#1 Period=#2 NULL=BLANK Scale=6",,$D55,$AS$4),CZ55)</f>
        <v>3220.75</v>
      </c>
      <c r="DA55" s="1000" cm="1">
        <f t="array" aca="1" ref="DA55" ca="1">IF(NPSwitch=1,_xll.TR(DA$7,DA$6,"Sdate=#1 Period=#2 NULL=BLANK Scale=6",,$D55,$AS$4),DA55)</f>
        <v>2624.75</v>
      </c>
      <c r="DB55" s="1000" cm="1">
        <f t="array" aca="1" ref="DB55" ca="1">IF(NPSwitch=1,_xll.TR(DB$7,DB$6,"Sdate=#1 Period=#2 NULL=BLANK Scale=6",,$D55,$AS$4),DB55)</f>
        <v>15931.5</v>
      </c>
      <c r="DC55" s="1000" t="str" cm="1">
        <f t="array" aca="1" ref="DC55" ca="1">IF(NPSwitch=1,_xll.TR(DC$7,DC$6,"Sdate=#1 Period=#2 NULL=BLANK Scale=6",,$D55,$AS$4),DC55)</f>
        <v/>
      </c>
      <c r="DD55" s="1000" t="str" cm="1">
        <f t="array" aca="1" ref="DD55" ca="1">IF(NPSwitch=1,_xll.TR(DD$7,DD$6,"Sdate=#1 Period=#2 NULL=BLANK Scale=6",,$D55,$AS$4),DD55)</f>
        <v/>
      </c>
      <c r="DE55" s="1000" t="str" cm="1">
        <f t="array" aca="1" ref="DE55" ca="1">IF(NPSwitch=1,_xll.TR(DE$7,DE$6,"Sdate=#1 Period=#2 NULL=BLANK Scale=6",,$D55,$AS$4),DE55)</f>
        <v/>
      </c>
      <c r="DF55" s="1000" cm="1">
        <f t="array" aca="1" ref="DF55" ca="1">IF(NPSwitch=1,_xll.TR(DF$7,DF$6,"Sdate=#1 Period=#2 NULL=BLANK Scale=6",,$D55,$AS$4),DF55)</f>
        <v>401.67500000000001</v>
      </c>
      <c r="DG55" s="1000" cm="1">
        <f t="array" aca="1" ref="DG55" ca="1">IF(NPSwitch=1,_xll.TR(DG$7,DG$6,"Sdate=#1 Period=#2 NULL=BLANK Scale=6",,$D55,$AS$4),DG55)</f>
        <v>3567.5</v>
      </c>
      <c r="DH55" s="1000" cm="1">
        <f t="array" aca="1" ref="DH55" ca="1">IF(NPSwitch=1,_xll.TR(DH$7,DH$6,"Sdate=#1 Period=#2 NULL=BLANK Scale=6",,$D55,$AS$4),DH55)</f>
        <v>1198.7919999999999</v>
      </c>
      <c r="FN55" s="3" t="s">
        <v>1561</v>
      </c>
    </row>
    <row r="56" spans="1:170">
      <c r="C56" s="969">
        <f t="shared" si="44"/>
        <v>40268</v>
      </c>
      <c r="D56" s="974">
        <f t="shared" si="43"/>
        <v>40313</v>
      </c>
      <c r="E56" s="765" cm="1">
        <f t="array" aca="1" ref="E56" ca="1">IF(NPSwitch=1,_xll.TR(E$7,E$6,"Sdate=#1 Period=#2 NULL=BLANK",,$D56,$E$4),E56)</f>
        <v>8.5163657811694193</v>
      </c>
      <c r="F56" s="765" cm="1">
        <f t="array" aca="1" ref="F56" ca="1">IF(NPSwitch=1,_xll.TR(F$7,F$6,"Sdate=#1 Period=#2 NULL=BLANK",,$D56,$E$4),F56)</f>
        <v>9.2425150879442697</v>
      </c>
      <c r="G56" s="765" cm="1">
        <f t="array" aca="1" ref="G56" ca="1">IF(NPSwitch=1,_xll.TR(G$7,G$6,"Sdate=#1 Period=#2 NULL=BLANK",,$D56,$E$4),G56)</f>
        <v>5.81854500781668</v>
      </c>
      <c r="H56" s="765" cm="1">
        <f t="array" aca="1" ref="H56" ca="1">IF(NPSwitch=1,_xll.TR(H$7,H$6,"Sdate=#1 Period=#2 NULL=BLANK",,$D56,$E$4),H56)</f>
        <v>5.9609093868590799</v>
      </c>
      <c r="I56" s="765" cm="1">
        <f t="array" aca="1" ref="I56" ca="1">IF(NPSwitch=1,_xll.TR(I$7,I$6,"Sdate=#1 Period=#2 NULL=BLANK",,$D56,$E$4),I56)</f>
        <v>6.6220162408997503</v>
      </c>
      <c r="J56" s="765" cm="1">
        <f t="array" aca="1" ref="J56" ca="1">IF(NPSwitch=1,_xll.TR(J$7,J$6,"Sdate=#1 Period=#2 NULL=BLANK",,$D56,$E$4),J56)</f>
        <v>7.3490990419220799</v>
      </c>
      <c r="K56" s="765" cm="1">
        <f t="array" aca="1" ref="K56" ca="1">IF(NPSwitch=1,_xll.TR(K$7,K$6,"Sdate=#1 Period=#2 NULL=BLANK",,$D56,$E$4),K56)</f>
        <v>7.2932717317737596</v>
      </c>
      <c r="L56" s="765" cm="1">
        <f t="array" aca="1" ref="L56" ca="1">IF(NPSwitch=1,_xll.TR(L$7,L$6,"Sdate=#1 Period=#2 NULL=BLANK",,$D56,$E$4),L56)</f>
        <v>4.2169345768157998</v>
      </c>
      <c r="M56" s="765" cm="1">
        <f t="array" aca="1" ref="M56" ca="1">IF(NPSwitch=1,_xll.TR(M$7,M$6,"Sdate=#1 Period=#2 NULL=BLANK",,$D56,$E$4),M56)</f>
        <v>5.7560726798505204</v>
      </c>
      <c r="N56" s="1002">
        <f t="shared" ca="1" si="45"/>
        <v>6.2101293310145254</v>
      </c>
      <c r="O56" s="1000" cm="1">
        <f t="array" aca="1" ref="O56" ca="1">IF(NPSwitch=1,_xll.TR(O$7,O$6,"Sdate=#1 Period=#2 Scale=6 NULL=BLANK",,$D56,$O$4),O56)</f>
        <v>60382.603998240003</v>
      </c>
      <c r="P56" s="1000" cm="1">
        <f t="array" aca="1" ref="P56" ca="1">IF(NPSwitch=1,_xll.TR(P$7,P$6,"Sdate=#1 Period=#2 Scale=6 NULL=BLANK",,$D56,$O$4),P56)</f>
        <v>3837.6973809199999</v>
      </c>
      <c r="Q56" s="1000" cm="1">
        <f t="array" aca="1" ref="Q56" ca="1">IF(NPSwitch=1,_xll.TR(Q$7,Q$6,"Sdate=#1 Period=#2 Scale=6 NULL=BLANK",,$D56,$O$4),Q56)</f>
        <v>4469.9391827999998</v>
      </c>
      <c r="R56" s="1000" cm="1">
        <f t="array" aca="1" ref="R56" ca="1">IF(NPSwitch=1,_xll.TR(R$7,R$6,"Sdate=#1 Period=#2 Scale=6 NULL=BLANK",,$D56,$O$4),R56)</f>
        <v>1023.96667919999</v>
      </c>
      <c r="S56" s="1000" cm="1">
        <f t="array" aca="1" ref="S56" ca="1">IF(NPSwitch=1,_xll.TR(S$7,S$6,"Sdate=#1 Period=#2 Scale=6 NULL=BLANK",,$D56,$O$4),S56)</f>
        <v>2347.4998096200002</v>
      </c>
      <c r="T56" s="1000" cm="1">
        <f t="array" aca="1" ref="T56" ca="1">IF(NPSwitch=1,_xll.TR(T$7,T$6,"Sdate=#1 Period=#2 Scale=6 NULL=BLANK",,$D56,$O$4),T56)</f>
        <v>4532.8368945000002</v>
      </c>
      <c r="U56" s="1000" cm="1">
        <f t="array" aca="1" ref="U56" ca="1">IF(NPSwitch=1,_xll.TR(U$7,U$6,"Sdate=#1 Period=#2 Scale=6 NULL=BLANK",,$D56,$O$4),U56)</f>
        <v>10826.22879103</v>
      </c>
      <c r="V56" s="1000" cm="1">
        <f t="array" aca="1" ref="V56" ca="1">IF(NPSwitch=1,_xll.TR(V$7,V$6,"Sdate=#1 Period=#2 Scale=6 NULL=BLANK",,$D56,$O$4),V56)</f>
        <v>5863.0130500895802</v>
      </c>
      <c r="W56" s="1000" cm="1">
        <f t="array" aca="1" ref="W56" ca="1">IF(NPSwitch=1,_xll.TR(W$7,W$6,"Sdate=#1 Period=#2 Scale=6 NULL=BLANK",,$D56,$O$4),W56)</f>
        <v>4544.8530690600001</v>
      </c>
      <c r="X56" s="998"/>
      <c r="Y56" s="1000" cm="1">
        <f t="array" aca="1" ref="Y56" ca="1">IF(NPSwitch=1,_xll.TR(Y$7,Y$6,"Sdate=#1 Period=#2 Scale=6 NULL=BLANK",,$D56,$O$4),Y56)</f>
        <v>3825.25</v>
      </c>
      <c r="Z56" s="1000" cm="1">
        <f t="array" aca="1" ref="Z56" ca="1">IF(NPSwitch=1,_xll.TR(Z$7,Z$6,"Sdate=#1 Period=#2 Scale=6 NULL=BLANK",,$D56,$O$4),Z56)</f>
        <v>252.25450000000001</v>
      </c>
      <c r="AA56" s="1000" cm="1">
        <f t="array" aca="1" ref="AA56" ca="1">IF(NPSwitch=1,_xll.TR(AA$7,AA$6,"Sdate=#1 Period=#2 Scale=6 NULL=BLANK",,$D56,$O$4),AA56)</f>
        <v>378.25</v>
      </c>
      <c r="AB56" s="1000" cm="1">
        <f t="array" aca="1" ref="AB56" ca="1">IF(NPSwitch=1,_xll.TR(AB$7,AB$6,"Sdate=#1 Period=#2 Scale=6 NULL=BLANK",,$D56,$O$4),AB56)</f>
        <v>213.875</v>
      </c>
      <c r="AC56" s="1000" cm="1">
        <f t="array" aca="1" ref="AC56" ca="1">IF(NPSwitch=1,_xll.TR(AC$7,AC$6,"Sdate=#1 Period=#2 Scale=6 NULL=BLANK",,$D56,$O$4),AC56)</f>
        <v>1692.25</v>
      </c>
      <c r="AD56" s="1000" cm="1">
        <f t="array" aca="1" ref="AD56" ca="1">IF(NPSwitch=1,_xll.TR(AD$7,AD$6,"Sdate=#1 Period=#2 Scale=6 NULL=BLANK",,$D56,$O$4),AD56)</f>
        <v>72.55</v>
      </c>
      <c r="AE56" s="1000" cm="1">
        <f t="array" aca="1" ref="AE56" ca="1">IF(NPSwitch=1,_xll.TR(AE$7,AE$6,"Sdate=#1 Period=#2 Scale=6 NULL=BLANK",,$D56,$O$4),AE56)</f>
        <v>925.75</v>
      </c>
      <c r="AF56" s="1000" cm="1">
        <f t="array" aca="1" ref="AF56" ca="1">IF(NPSwitch=1,_xll.TR(AF$7,AF$6,"Sdate=#1 Period=#2 Scale=6 NULL=BLANK",,$D56,$O$4),AF56)</f>
        <v>2250.25</v>
      </c>
      <c r="AG56" s="1000" cm="1">
        <f t="array" aca="1" ref="AG56" ca="1">IF(NPSwitch=1,_xll.TR(AG$7,AG$6,"Sdate=#1 Period=#2 Scale=6 NULL=BLANK",,$D56,$O$4),AG56)</f>
        <v>598.5</v>
      </c>
      <c r="AH56" s="998"/>
      <c r="AI56" s="1000" cm="1">
        <f t="array" aca="1" ref="AI56" ca="1">IF(NPSwitch=1,_xll.TR(AI$7,AI$6,"Sdate=#1 Period=#2 Scale=6 NULL=BLANK",,$D56,$O$4),AI56)</f>
        <v>61838.603998240003</v>
      </c>
      <c r="AJ56" s="1000" cm="1">
        <f t="array" aca="1" ref="AJ56" ca="1">IF(NPSwitch=1,_xll.TR(AJ$7,AJ$6,"Sdate=#1 Period=#2 Scale=6 NULL=BLANK",,$D56,$O$4),AJ56)</f>
        <v>4417.17138092</v>
      </c>
      <c r="AK56" s="1000" cm="1">
        <f t="array" aca="1" ref="AK56" ca="1">IF(NPSwitch=1,_xll.TR(AK$7,AK$6,"Sdate=#1 Period=#2 Scale=6 NULL=BLANK",,$D56,$O$4),AK56)</f>
        <v>5433.9391827999998</v>
      </c>
      <c r="AL56" s="1000" cm="1">
        <f t="array" aca="1" ref="AL56" ca="1">IF(NPSwitch=1,_xll.TR(AL$7,AL$6,"Sdate=#1 Period=#2 Scale=6 NULL=BLANK",,$D56,$O$4),AL56)</f>
        <v>1204.6666792000001</v>
      </c>
      <c r="AM56" s="1000" cm="1">
        <f t="array" aca="1" ref="AM56" ca="1">IF(NPSwitch=1,_xll.TR(AM$7,AM$6,"Sdate=#1 Period=#2 Scale=6 NULL=BLANK",,$D56,$O$4),AM56)</f>
        <v>5438.4998096199997</v>
      </c>
      <c r="AN56" s="1000" cm="1">
        <f t="array" aca="1" ref="AN56" ca="1">IF(NPSwitch=1,_xll.TR(AN$7,AN$6,"Sdate=#1 Period=#2 Scale=6 NULL=BLANK",,$D56,$O$4),AN56)</f>
        <v>5200.7368944999998</v>
      </c>
      <c r="AO56" s="1000" cm="1">
        <f t="array" aca="1" ref="AO56" ca="1">IF(NPSwitch=1,_xll.TR(AO$7,AO$6,"Sdate=#1 Period=#2 Scale=6 NULL=BLANK",,$D56,$O$4),AO56)</f>
        <v>13497.22879103</v>
      </c>
      <c r="AP56" s="1000" cm="1">
        <f t="array" aca="1" ref="AP56" ca="1">IF(NPSwitch=1,_xll.TR(AP$7,AP$6,"Sdate=#1 Period=#2 Scale=6 NULL=BLANK",,$D56,$O$4),AP56)</f>
        <v>3656.01305009</v>
      </c>
      <c r="AQ56" s="1000" cm="1">
        <f t="array" aca="1" ref="AQ56" ca="1">IF(NPSwitch=1,_xll.TR(AQ$7,AQ$6,"Sdate=#1 Period=#2 Scale=6 NULL=BLANK",,$D56,$O$4),AQ56)</f>
        <v>5668.8530690600001</v>
      </c>
      <c r="AS56" s="765" t="str" cm="1">
        <f t="array" aca="1" ref="AS56" ca="1">IF(NPSwitch=1,_xll.TR(AS$7,AS$6,"Sdate=#1 Period=#2 NULL=BLANK Scale=6",,$D56,$AS$4),AS56)</f>
        <v/>
      </c>
      <c r="AT56" s="765" t="str" cm="1">
        <f t="array" aca="1" ref="AT56" ca="1">IF(NPSwitch=1,_xll.TR(AT$7,AT$6,"Sdate=#1 Period=#2 NULL=BLANK Scale=6",,$D56,$AS$4),AT56)</f>
        <v/>
      </c>
      <c r="AU56" s="765" t="str" cm="1">
        <f t="array" aca="1" ref="AU56" ca="1">IF(NPSwitch=1,_xll.TR(AU$7,AU$6,"Sdate=#1 Period=#2 NULL=BLANK Scale=6",,$D56,$AS$4),AU56)</f>
        <v/>
      </c>
      <c r="AV56" s="765" t="str" cm="1">
        <f t="array" aca="1" ref="AV56" ca="1">IF(NPSwitch=1,_xll.TR(AV$7,AV$6,"Sdate=#1 Period=#2 NULL=BLANK Scale=6",,$D56,$AS$4),AV56)</f>
        <v/>
      </c>
      <c r="AW56" s="765" t="str" cm="1">
        <f t="array" aca="1" ref="AW56" ca="1">IF(NPSwitch=1,_xll.TR(AW$7,AW$6,"Sdate=#1 Period=#2 NULL=BLANK Scale=6",,$D56,$AS$4),AW56)</f>
        <v/>
      </c>
      <c r="AX56" s="765" t="str" cm="1">
        <f t="array" aca="1" ref="AX56" ca="1">IF(NPSwitch=1,_xll.TR(AX$7,AX$6,"Sdate=#1 Period=#2 NULL=BLANK Scale=6",,$D56,$AS$4),AX56)</f>
        <v/>
      </c>
      <c r="AY56" s="765" t="str" cm="1">
        <f t="array" aca="1" ref="AY56" ca="1">IF(NPSwitch=1,_xll.TR(AY$7,AY$6,"Sdate=#1 Period=#2 NULL=BLANK Scale=6",,$D56,$AS$4),AY56)</f>
        <v/>
      </c>
      <c r="AZ56" s="765" t="str" cm="1">
        <f t="array" aca="1" ref="AZ56" ca="1">IF(NPSwitch=1,_xll.TR(AZ$7,AZ$6,"Sdate=#1 Period=#2 NULL=BLANK Scale=6",,$D56,$AS$4),AZ56)</f>
        <v/>
      </c>
      <c r="BA56" s="765" t="str" cm="1">
        <f t="array" aca="1" ref="BA56" ca="1">IF(NPSwitch=1,_xll.TR(BA$7,BA$6,"Sdate=#1 Period=#2 NULL=BLANK Scale=6",,$D56,$AS$4),BA56)</f>
        <v/>
      </c>
      <c r="BB56" s="1002"/>
      <c r="BC56" s="765" cm="1">
        <f t="array" aca="1" ref="BC56" ca="1">IF(NPSwitch=1,_xll.TR(BC$7,BC$6,"Sdate=#1 Period=#2 NULL=BLANK",,$D56,$BC$4),BC56)</f>
        <v>8.7354999289999995</v>
      </c>
      <c r="BD56" s="765" cm="1">
        <f t="array" aca="1" ref="BD56" ca="1">IF(NPSwitch=1,_xll.TR(BD$7,BD$6,"Sdate=#1 Period=#2 NULL=BLANK",,$D56,$BC$4),BD56)</f>
        <v>12.133419533</v>
      </c>
      <c r="BE56" s="765" cm="1">
        <f t="array" aca="1" ref="BE56" ca="1">IF(NPSwitch=1,_xll.TR(BE$7,BE$6,"Sdate=#1 Period=#2 NULL=BLANK",,$D56,$BC$4),BE56)</f>
        <v>5.780786365</v>
      </c>
      <c r="BF56" s="765" cm="1">
        <f t="array" aca="1" ref="BF56" ca="1">IF(NPSwitch=1,_xll.TR(BF$7,BF$6,"Sdate=#1 Period=#2 NULL=BLANK",,$D56,$BC$4),BF56)</f>
        <v>5.6850716339999998</v>
      </c>
      <c r="BG56" s="765" t="str" cm="1">
        <f t="array" aca="1" ref="BG56" ca="1">IF(NPSwitch=1,_xll.TR(BG$7,BG$6,"Sdate=#1 Period=#2 NULL=BLANK",,$D56,$BC$4),BG56)</f>
        <v/>
      </c>
      <c r="BH56" s="765" cm="1">
        <f t="array" aca="1" ref="BH56" ca="1">IF(NPSwitch=1,_xll.TR(BH$7,BH$6,"Sdate=#1 Period=#2 NULL=BLANK",,$D56,$BC$4),BH56)</f>
        <v>8.2043491</v>
      </c>
      <c r="BI56" s="765" cm="1">
        <f t="array" aca="1" ref="BI56" ca="1">IF(NPSwitch=1,_xll.TR(BI$7,BI$6,"Sdate=#1 Period=#2 NULL=BLANK",,$D56,$BC$4),BI56)</f>
        <v>8.3367688639999997</v>
      </c>
      <c r="BJ56" s="765" cm="1">
        <f t="array" aca="1" ref="BJ56" ca="1">IF(NPSwitch=1,_xll.TR(BJ$7,BJ$6,"Sdate=#1 Period=#2 NULL=BLANK",,$D56,$BC$4),BJ56)</f>
        <v>4.4208138449999996</v>
      </c>
      <c r="BK56" s="765" cm="1">
        <f t="array" aca="1" ref="BK56" ca="1">IF(NPSwitch=1,_xll.TR(BK$7,BK$6,"Sdate=#1 Period=#2 NULL=BLANK",,$D56,$BC$4),BK56)</f>
        <v>5.9359717999999999</v>
      </c>
      <c r="BM56" s="1014"/>
      <c r="BO56" s="765" cm="1">
        <f t="array" aca="1" ref="BO56" ca="1">IF(NPSwitch=1,_xll.TR(BO$7,BO$6,"Sdate=#1 Period=#2 NULL=BLANK Scale=6",,$D56,$AS$4),BO56)</f>
        <v>24382</v>
      </c>
      <c r="BP56" s="765" cm="1">
        <f t="array" aca="1" ref="BP56" ca="1">IF(NPSwitch=1,_xll.TR(BP$7,BP$6,"Sdate=#1 Period=#2 NULL=BLANK Scale=6",,$D56,$AS$4),BP56)</f>
        <v>2099.0729999999999</v>
      </c>
      <c r="BQ56" s="765" cm="1">
        <f t="array" aca="1" ref="BQ56" ca="1">IF(NPSwitch=1,_xll.TR(BQ$7,BQ$6,"Sdate=#1 Period=#2 NULL=BLANK Scale=6",,$D56,$AS$4),BQ56)</f>
        <v>6897</v>
      </c>
      <c r="BR56" s="765" cm="1">
        <f t="array" aca="1" ref="BR56" ca="1">IF(NPSwitch=1,_xll.TR(BR$7,BR$6,"Sdate=#1 Period=#2 NULL=BLANK Scale=6",,$D56,$AS$4),BR56)</f>
        <v>2227.6999999999998</v>
      </c>
      <c r="BS56" s="765" cm="1">
        <f t="array" aca="1" ref="BS56" ca="1">IF(NPSwitch=1,_xll.TR(BS$7,BS$6,"Sdate=#1 Period=#2 NULL=BLANK Scale=6",,$D56,$AS$4),BS56)</f>
        <v>8079</v>
      </c>
      <c r="BT56" s="765" cm="1">
        <f t="array" aca="1" ref="BT56" ca="1">IF(NPSwitch=1,_xll.TR(BT$7,BT$6,"Sdate=#1 Period=#2 NULL=BLANK Scale=6",,$D56,$AS$4),BT56)</f>
        <v>2892.2</v>
      </c>
      <c r="BU56" s="765" cm="1">
        <f t="array" aca="1" ref="BU56" ca="1">IF(NPSwitch=1,_xll.TR(BU$7,BU$6,"Sdate=#1 Period=#2 NULL=BLANK Scale=6",,$D56,$AS$4),BU56)</f>
        <v>12582</v>
      </c>
      <c r="BV56" s="765" cm="1">
        <f t="array" aca="1" ref="BV56" ca="1">IF(NPSwitch=1,_xll.TR(BV$7,BV$6,"Sdate=#1 Period=#2 NULL=BLANK Scale=6",,$D56,$AS$4),BV56)</f>
        <v>5696</v>
      </c>
      <c r="BW56" s="765" cm="1">
        <f t="array" aca="1" ref="BW56" ca="1">IF(NPSwitch=1,_xll.TR(BW$7,BW$6,"Sdate=#1 Period=#2 NULL=BLANK Scale=6",,$D56,$AS$4),BW56)</f>
        <v>5146</v>
      </c>
      <c r="BX56" s="1002"/>
      <c r="BY56" s="765" cm="1">
        <f t="array" aca="1" ref="BY56" ca="1">IF(NPSwitch=1,_xll.TR(BY$7,BY$6,"Sdate=#1 Period=#2 NULL=BLANK Scale=6",,$D56,$AS$4),BY56)</f>
        <v>18745</v>
      </c>
      <c r="BZ56" s="765" cm="1">
        <f t="array" aca="1" ref="BZ56" ca="1">IF(NPSwitch=1,_xll.TR(BZ$7,BZ$6,"Sdate=#1 Period=#2 NULL=BLANK Scale=6",,$D56,$AS$4),BZ56)</f>
        <v>2044.605</v>
      </c>
      <c r="CA56" s="765" cm="1">
        <f t="array" aca="1" ref="CA56" ca="1">IF(NPSwitch=1,_xll.TR(CA$7,CA$6,"Sdate=#1 Period=#2 NULL=BLANK Scale=6",,$D56,$AS$4),CA56)</f>
        <v>5347.5</v>
      </c>
      <c r="CB56" s="765" cm="1">
        <f t="array" aca="1" ref="CB56" ca="1">IF(NPSwitch=1,_xll.TR(CB$7,CB$6,"Sdate=#1 Period=#2 NULL=BLANK Scale=6",,$D56,$AS$4),CB56)</f>
        <v>722.375</v>
      </c>
      <c r="CC56" s="765" cm="1">
        <f t="array" aca="1" ref="CC56" ca="1">IF(NPSwitch=1,_xll.TR(CC$7,CC$6,"Sdate=#1 Period=#2 NULL=BLANK Scale=6",,$D56,$AS$4),CC56)</f>
        <v>6068.5</v>
      </c>
      <c r="CD56" s="765" cm="1">
        <f t="array" aca="1" ref="CD56" ca="1">IF(NPSwitch=1,_xll.TR(CD$7,CD$6,"Sdate=#1 Period=#2 NULL=BLANK Scale=6",,$D56,$AS$4),CD56)</f>
        <v>1783.55</v>
      </c>
      <c r="CE56" s="765" cm="1">
        <f t="array" aca="1" ref="CE56" ca="1">IF(NPSwitch=1,_xll.TR(CE$7,CE$6,"Sdate=#1 Period=#2 NULL=BLANK Scale=6",,$D56,$AS$4),CE56)</f>
        <v>7265.25</v>
      </c>
      <c r="CF56" s="765" cm="1">
        <f t="array" aca="1" ref="CF56" ca="1">IF(NPSwitch=1,_xll.TR(CF$7,CF$6,"Sdate=#1 Period=#2 NULL=BLANK Scale=6",,$D56,$AS$4),CF56)</f>
        <v>8273.25</v>
      </c>
      <c r="CG56" s="765" cm="1">
        <f t="array" aca="1" ref="CG56" ca="1">IF(NPSwitch=1,_xll.TR(CG$7,CG$6,"Sdate=#1 Period=#2 NULL=BLANK Scale=6",,$D56,$AS$4),CG56)</f>
        <v>3112</v>
      </c>
      <c r="CI56" s="1000" cm="1">
        <f t="array" aca="1" ref="CI56" ca="1">IF(NPSwitch=1,_xll.TR(CI$7,CI$6,"Sdate=#1 Period=#2 NULL=BLANK Scale=6",,$D56,$AS$4),CI56)</f>
        <v>7079</v>
      </c>
      <c r="CJ56" s="1000" cm="1">
        <f t="array" aca="1" ref="CJ56" ca="1">IF(NPSwitch=1,_xll.TR(CJ$7,CJ$6,"Sdate=#1 Period=#2 NULL=BLANK Scale=6",,$D56,$AS$4),CJ56)</f>
        <v>364.05</v>
      </c>
      <c r="CK56" s="1000" cm="1">
        <f t="array" aca="1" ref="CK56" ca="1">IF(NPSwitch=1,_xll.TR(CK$7,CK$6,"Sdate=#1 Period=#2 NULL=BLANK Scale=6",,$D56,$AS$4),CK56)</f>
        <v>972</v>
      </c>
      <c r="CL56" s="1000" cm="1">
        <f t="array" aca="1" ref="CL56" ca="1">IF(NPSwitch=1,_xll.TR(CL$7,CL$6,"Sdate=#1 Period=#2 NULL=BLANK Scale=6",,$D56,$AS$4),CL56)</f>
        <v>211.7</v>
      </c>
      <c r="CM56" s="1000" cm="1">
        <f t="array" aca="1" ref="CM56" ca="1">IF(NPSwitch=1,_xll.TR(CM$7,CM$6,"Sdate=#1 Period=#2 NULL=BLANK Scale=6",,$D56,$AS$4),CM56)</f>
        <v>613</v>
      </c>
      <c r="CN56" s="1000" cm="1">
        <f t="array" aca="1" ref="CN56" ca="1">IF(NPSwitch=1,_xll.TR(CN$7,CN$6,"Sdate=#1 Period=#2 NULL=BLANK Scale=6",,$D56,$AS$4),CN56)</f>
        <v>633.9</v>
      </c>
      <c r="CO56" s="1000" cm="1">
        <f t="array" aca="1" ref="CO56" ca="1">IF(NPSwitch=1,_xll.TR(CO$7,CO$6,"Sdate=#1 Period=#2 NULL=BLANK Scale=6",,$D56,$AS$4),CO56)</f>
        <v>1619</v>
      </c>
      <c r="CP56" s="1000" cm="1">
        <f t="array" aca="1" ref="CP56" ca="1">IF(NPSwitch=1,_xll.TR(CP$7,CP$6,"Sdate=#1 Period=#2 NULL=BLANK Scale=6",,$D56,$AS$4),CP56)</f>
        <v>827</v>
      </c>
      <c r="CQ56" s="1000" cm="1">
        <f t="array" aca="1" ref="CQ56" ca="1">IF(NPSwitch=1,_xll.TR(CQ$7,CQ$6,"Sdate=#1 Period=#2 NULL=BLANK Scale=6",,$D56,$AS$4),CQ56)</f>
        <v>957</v>
      </c>
      <c r="CS56" s="1000" cm="1">
        <f t="array" aca="1" ref="CS56" ca="1">IF(NPSwitch=1,_xll.TR(CS$7,CS$6,"Sdate=#1 Period=#2 NULL=BLANK Scale=6",,$D56,$AS$4),CS56)</f>
        <v>6920.25</v>
      </c>
      <c r="CT56" s="1000" cm="1">
        <f t="array" aca="1" ref="CT56" ca="1">IF(NPSwitch=1,_xll.TR(CT$7,CT$6,"Sdate=#1 Period=#2 NULL=BLANK Scale=6",,$D56,$AS$4),CT56)</f>
        <v>1025.7750000000001</v>
      </c>
      <c r="CU56" s="1000" cm="1">
        <f t="array" aca="1" ref="CU56" ca="1">IF(NPSwitch=1,_xll.TR(CU$7,CU$6,"Sdate=#1 Period=#2 NULL=BLANK Scale=6",,$D56,$AS$4),CU56)</f>
        <v>2039.5</v>
      </c>
      <c r="CV56" s="1000" cm="1">
        <f t="array" aca="1" ref="CV56" ca="1">IF(NPSwitch=1,_xll.TR(CV$7,CV$6,"Sdate=#1 Period=#2 NULL=BLANK Scale=6",,$D56,$AS$4),CV56)</f>
        <v>393.97500000000002</v>
      </c>
      <c r="CW56" s="1000" cm="1">
        <f t="array" aca="1" ref="CW56" ca="1">IF(NPSwitch=1,_xll.TR(CW$7,CW$6,"Sdate=#1 Period=#2 NULL=BLANK Scale=6",,$D56,$AS$4),CW56)</f>
        <v>949.8</v>
      </c>
      <c r="CX56" s="1000" cm="1">
        <f t="array" aca="1" ref="CX56" ca="1">IF(NPSwitch=1,_xll.TR(CX$7,CX$6,"Sdate=#1 Period=#2 NULL=BLANK Scale=6",,$D56,$AS$4),CX56)</f>
        <v>2731</v>
      </c>
      <c r="CY56" s="1000" cm="1">
        <f t="array" aca="1" ref="CY56" ca="1">IF(NPSwitch=1,_xll.TR(CY$7,CY$6,"Sdate=#1 Period=#2 NULL=BLANK Scale=6",,$D56,$AS$4),CY56)</f>
        <v>3849.25</v>
      </c>
      <c r="CZ56" s="1000" cm="1">
        <f t="array" aca="1" ref="CZ56" ca="1">IF(NPSwitch=1,_xll.TR(CZ$7,CZ$6,"Sdate=#1 Period=#2 NULL=BLANK Scale=6",,$D56,$AS$4),CZ56)</f>
        <v>3205.5</v>
      </c>
      <c r="DA56" s="1000" cm="1">
        <f t="array" aca="1" ref="DA56" ca="1">IF(NPSwitch=1,_xll.TR(DA$7,DA$6,"Sdate=#1 Period=#2 NULL=BLANK Scale=6",,$D56,$AS$4),DA56)</f>
        <v>2685</v>
      </c>
      <c r="DB56" s="1000" cm="1">
        <f t="array" aca="1" ref="DB56" ca="1">IF(NPSwitch=1,_xll.TR(DB$7,DB$6,"Sdate=#1 Period=#2 NULL=BLANK Scale=6",,$D56,$AS$4),DB56)</f>
        <v>16536.5</v>
      </c>
      <c r="DC56" s="1000" t="str" cm="1">
        <f t="array" aca="1" ref="DC56" ca="1">IF(NPSwitch=1,_xll.TR(DC$7,DC$6,"Sdate=#1 Period=#2 NULL=BLANK Scale=6",,$D56,$AS$4),DC56)</f>
        <v/>
      </c>
      <c r="DD56" s="1000" t="str" cm="1">
        <f t="array" aca="1" ref="DD56" ca="1">IF(NPSwitch=1,_xll.TR(DD$7,DD$6,"Sdate=#1 Period=#2 NULL=BLANK Scale=6",,$D56,$AS$4),DD56)</f>
        <v/>
      </c>
      <c r="DE56" s="1000" t="str" cm="1">
        <f t="array" aca="1" ref="DE56" ca="1">IF(NPSwitch=1,_xll.TR(DE$7,DE$6,"Sdate=#1 Period=#2 NULL=BLANK Scale=6",,$D56,$AS$4),DE56)</f>
        <v/>
      </c>
      <c r="DF56" s="1000" cm="1">
        <f t="array" aca="1" ref="DF56" ca="1">IF(NPSwitch=1,_xll.TR(DF$7,DF$6,"Sdate=#1 Period=#2 NULL=BLANK Scale=6",,$D56,$AS$4),DF56)</f>
        <v>393.97500000000002</v>
      </c>
      <c r="DG56" s="1000" cm="1">
        <f t="array" aca="1" ref="DG56" ca="1">IF(NPSwitch=1,_xll.TR(DG$7,DG$6,"Sdate=#1 Period=#2 NULL=BLANK Scale=6",,$D56,$AS$4),DG56)</f>
        <v>3509.75</v>
      </c>
      <c r="DH56" s="1000" cm="1">
        <f t="array" aca="1" ref="DH56" ca="1">IF(NPSwitch=1,_xll.TR(DH$7,DH$6,"Sdate=#1 Period=#2 NULL=BLANK Scale=6",,$D56,$AS$4),DH56)</f>
        <v>1191.1559999999999</v>
      </c>
      <c r="FN56" s="3" t="s">
        <v>1562</v>
      </c>
    </row>
    <row r="57" spans="1:170">
      <c r="C57" s="971">
        <f t="shared" si="44"/>
        <v>40359</v>
      </c>
      <c r="D57" s="974">
        <f t="shared" si="43"/>
        <v>40404</v>
      </c>
      <c r="E57" s="765" cm="1">
        <f t="array" aca="1" ref="E57" ca="1">IF(NPSwitch=1,_xll.TR(E$7,E$6,"Sdate=#1 Period=#2 NULL=BLANK",,$D57,$E$4),E57)</f>
        <v>8.0390239064942008</v>
      </c>
      <c r="F57" s="765" cm="1">
        <f t="array" aca="1" ref="F57" ca="1">IF(NPSwitch=1,_xll.TR(F$7,F$6,"Sdate=#1 Period=#2 NULL=BLANK",,$D57,$E$4),F57)</f>
        <v>8.1623166581751292</v>
      </c>
      <c r="G57" s="765" cm="1">
        <f t="array" aca="1" ref="G57" ca="1">IF(NPSwitch=1,_xll.TR(G$7,G$6,"Sdate=#1 Period=#2 NULL=BLANK",,$D57,$E$4),G57)</f>
        <v>4.9021795288851697</v>
      </c>
      <c r="H57" s="765" cm="1">
        <f t="array" aca="1" ref="H57" ca="1">IF(NPSwitch=1,_xll.TR(H$7,H$6,"Sdate=#1 Period=#2 NULL=BLANK",,$D57,$E$4),H57)</f>
        <v>4.8201571880089498</v>
      </c>
      <c r="I57" s="765" cm="1">
        <f t="array" aca="1" ref="I57" ca="1">IF(NPSwitch=1,_xll.TR(I$7,I$6,"Sdate=#1 Period=#2 NULL=BLANK",,$D57,$E$4),I57)</f>
        <v>6.0550526044256596</v>
      </c>
      <c r="J57" s="765" cm="1">
        <f t="array" aca="1" ref="J57" ca="1">IF(NPSwitch=1,_xll.TR(J$7,J$6,"Sdate=#1 Period=#2 NULL=BLANK",,$D57,$E$4),J57)</f>
        <v>6.8035507228914298</v>
      </c>
      <c r="K57" s="765" cm="1">
        <f t="array" aca="1" ref="K57" ca="1">IF(NPSwitch=1,_xll.TR(K$7,K$6,"Sdate=#1 Period=#2 NULL=BLANK",,$D57,$E$4),K57)</f>
        <v>6.8061492329786102</v>
      </c>
      <c r="L57" s="765" cm="1">
        <f t="array" aca="1" ref="L57" ca="1">IF(NPSwitch=1,_xll.TR(L$7,L$6,"Sdate=#1 Period=#2 NULL=BLANK",,$D57,$E$4),L57)</f>
        <v>4.0483413504105297</v>
      </c>
      <c r="M57" s="765" cm="1">
        <f t="array" aca="1" ref="M57" ca="1">IF(NPSwitch=1,_xll.TR(M$7,M$6,"Sdate=#1 Period=#2 NULL=BLANK",,$D57,$E$4),M57)</f>
        <v>4.8535986256227197</v>
      </c>
      <c r="N57" s="1002">
        <f t="shared" ca="1" si="45"/>
        <v>5.572571771266726</v>
      </c>
      <c r="O57" s="1000" cm="1">
        <f t="array" aca="1" ref="O57" ca="1">IF(NPSwitch=1,_xll.TR(O$7,O$6,"Sdate=#1 Period=#2 Scale=6 NULL=BLANK",,$D57,$O$4),O57)</f>
        <v>59910.414895280002</v>
      </c>
      <c r="P57" s="1000" cm="1">
        <f t="array" aca="1" ref="P57" ca="1">IF(NPSwitch=1,_xll.TR(P$7,P$6,"Sdate=#1 Period=#2 Scale=6 NULL=BLANK",,$D57,$O$4),P57)</f>
        <v>3809.7845003399898</v>
      </c>
      <c r="Q57" s="1000" cm="1">
        <f t="array" aca="1" ref="Q57" ca="1">IF(NPSwitch=1,_xll.TR(Q$7,Q$6,"Sdate=#1 Period=#2 Scale=6 NULL=BLANK",,$D57,$O$4),Q57)</f>
        <v>3864.8775450500002</v>
      </c>
      <c r="R57" s="1000" cm="1">
        <f t="array" aca="1" ref="R57" ca="1">IF(NPSwitch=1,_xll.TR(R$7,R$6,"Sdate=#1 Period=#2 Scale=6 NULL=BLANK",,$D57,$O$4),R57)</f>
        <v>905.69684079000001</v>
      </c>
      <c r="S57" s="1000" cm="1">
        <f t="array" aca="1" ref="S57" ca="1">IF(NPSwitch=1,_xll.TR(S$7,S$6,"Sdate=#1 Period=#2 Scale=6 NULL=BLANK",,$D57,$O$4),S57)</f>
        <v>2216.6867503200001</v>
      </c>
      <c r="T57" s="1000" cm="1">
        <f t="array" aca="1" ref="T57" ca="1">IF(NPSwitch=1,_xll.TR(T$7,T$6,"Sdate=#1 Period=#2 Scale=6 NULL=BLANK",,$D57,$O$4),T57)</f>
        <v>4401.0868202399997</v>
      </c>
      <c r="U57" s="1000" cm="1">
        <f t="array" aca="1" ref="U57" ca="1">IF(NPSwitch=1,_xll.TR(U$7,U$6,"Sdate=#1 Period=#2 Scale=6 NULL=BLANK",,$D57,$O$4),U57)</f>
        <v>10951.08449789</v>
      </c>
      <c r="V57" s="1000" cm="1">
        <f t="array" aca="1" ref="V57" ca="1">IF(NPSwitch=1,_xll.TR(V$7,V$6,"Sdate=#1 Period=#2 Scale=6 NULL=BLANK",,$D57,$O$4),V57)</f>
        <v>6074.76590512027</v>
      </c>
      <c r="W57" s="1000" cm="1">
        <f t="array" aca="1" ref="W57" ca="1">IF(NPSwitch=1,_xll.TR(W$7,W$6,"Sdate=#1 Period=#2 Scale=6 NULL=BLANK",,$D57,$O$4),W57)</f>
        <v>4343.9249291200003</v>
      </c>
      <c r="X57" s="998"/>
      <c r="Y57" s="1000" cm="1">
        <f t="array" aca="1" ref="Y57" ca="1">IF(NPSwitch=1,_xll.TR(Y$7,Y$6,"Sdate=#1 Period=#2 Scale=6 NULL=BLANK",,$D57,$O$4),Y57)</f>
        <v>4314.5</v>
      </c>
      <c r="Z57" s="1000" cm="1">
        <f t="array" aca="1" ref="Z57" ca="1">IF(NPSwitch=1,_xll.TR(Z$7,Z$6,"Sdate=#1 Period=#2 Scale=6 NULL=BLANK",,$D57,$O$4),Z57)</f>
        <v>290.16624999999999</v>
      </c>
      <c r="AA57" s="1000" cm="1">
        <f t="array" aca="1" ref="AA57" ca="1">IF(NPSwitch=1,_xll.TR(AA$7,AA$6,"Sdate=#1 Period=#2 Scale=6 NULL=BLANK",,$D57,$O$4),AA57)</f>
        <v>435.25</v>
      </c>
      <c r="AB57" s="1000" cm="1">
        <f t="array" aca="1" ref="AB57" ca="1">IF(NPSwitch=1,_xll.TR(AB$7,AB$6,"Sdate=#1 Period=#2 Scale=6 NULL=BLANK",,$D57,$O$4),AB57)</f>
        <v>228.57499999999999</v>
      </c>
      <c r="AC57" s="1000" cm="1">
        <f t="array" aca="1" ref="AC57" ca="1">IF(NPSwitch=1,_xll.TR(AC$7,AC$6,"Sdate=#1 Period=#2 Scale=6 NULL=BLANK",,$D57,$O$4),AC57)</f>
        <v>1310</v>
      </c>
      <c r="AD57" s="1000" cm="1">
        <f t="array" aca="1" ref="AD57" ca="1">IF(NPSwitch=1,_xll.TR(AD$7,AD$6,"Sdate=#1 Period=#2 Scale=6 NULL=BLANK",,$D57,$O$4),AD57)</f>
        <v>96.4</v>
      </c>
      <c r="AE57" s="1000" cm="1">
        <f t="array" aca="1" ref="AE57" ca="1">IF(NPSwitch=1,_xll.TR(AE$7,AE$6,"Sdate=#1 Period=#2 Scale=6 NULL=BLANK",,$D57,$O$4),AE57)</f>
        <v>858.75</v>
      </c>
      <c r="AF57" s="1000" cm="1">
        <f t="array" aca="1" ref="AF57" ca="1">IF(NPSwitch=1,_xll.TR(AF$7,AF$6,"Sdate=#1 Period=#2 Scale=6 NULL=BLANK",,$D57,$O$4),AF57)</f>
        <v>3344</v>
      </c>
      <c r="AG57" s="1000" cm="1">
        <f t="array" aca="1" ref="AG57" ca="1">IF(NPSwitch=1,_xll.TR(AG$7,AG$6,"Sdate=#1 Period=#2 Scale=6 NULL=BLANK",,$D57,$O$4),AG57)</f>
        <v>594.75</v>
      </c>
      <c r="AH57" s="998"/>
      <c r="AI57" s="1000" cm="1">
        <f t="array" aca="1" ref="AI57" ca="1">IF(NPSwitch=1,_xll.TR(AI$7,AI$6,"Sdate=#1 Period=#2 Scale=6 NULL=BLANK",,$D57,$O$4),AI57)</f>
        <v>60948.414895280002</v>
      </c>
      <c r="AJ57" s="1000" cm="1">
        <f t="array" aca="1" ref="AJ57" ca="1">IF(NPSwitch=1,_xll.TR(AJ$7,AJ$6,"Sdate=#1 Period=#2 Scale=6 NULL=BLANK",,$D57,$O$4),AJ57)</f>
        <v>4331.1955003399999</v>
      </c>
      <c r="AK57" s="1000" cm="1">
        <f t="array" aca="1" ref="AK57" ca="1">IF(NPSwitch=1,_xll.TR(AK$7,AK$6,"Sdate=#1 Period=#2 Scale=6 NULL=BLANK",,$D57,$O$4),AK57)</f>
        <v>4801.8775450499998</v>
      </c>
      <c r="AL57" s="1000" cm="1">
        <f t="array" aca="1" ref="AL57" ca="1">IF(NPSwitch=1,_xll.TR(AL$7,AL$6,"Sdate=#1 Period=#2 Scale=6 NULL=BLANK",,$D57,$O$4),AL57)</f>
        <v>1054.59684079</v>
      </c>
      <c r="AM57" s="1000" cm="1">
        <f t="array" aca="1" ref="AM57" ca="1">IF(NPSwitch=1,_xll.TR(AM$7,AM$6,"Sdate=#1 Period=#2 Scale=6 NULL=BLANK",,$D57,$O$4),AM57)</f>
        <v>5344.6867503200001</v>
      </c>
      <c r="AN57" s="1000" cm="1">
        <f t="array" aca="1" ref="AN57" ca="1">IF(NPSwitch=1,_xll.TR(AN$7,AN$6,"Sdate=#1 Period=#2 Scale=6 NULL=BLANK",,$D57,$O$4),AN57)</f>
        <v>4934.4868202400003</v>
      </c>
      <c r="AO57" s="1000" cm="1">
        <f t="array" aca="1" ref="AO57" ca="1">IF(NPSwitch=1,_xll.TR(AO$7,AO$6,"Sdate=#1 Period=#2 Scale=6 NULL=BLANK",,$D57,$O$4),AO57)</f>
        <v>13432.08449789</v>
      </c>
      <c r="AP57" s="1000" cm="1">
        <f t="array" aca="1" ref="AP57" ca="1">IF(NPSwitch=1,_xll.TR(AP$7,AP$6,"Sdate=#1 Period=#2 Scale=6 NULL=BLANK",,$D57,$O$4),AP57)</f>
        <v>3988.7659051199998</v>
      </c>
      <c r="AQ57" s="1000" cm="1">
        <f t="array" aca="1" ref="AQ57" ca="1">IF(NPSwitch=1,_xll.TR(AQ$7,AQ$6,"Sdate=#1 Period=#2 Scale=6 NULL=BLANK",,$D57,$O$4),AQ57)</f>
        <v>5519.9249291200003</v>
      </c>
      <c r="AS57" s="765" t="str" cm="1">
        <f t="array" aca="1" ref="AS57" ca="1">IF(NPSwitch=1,_xll.TR(AS$7,AS$6,"Sdate=#1 Period=#2 NULL=BLANK Scale=6",,$D57,$AS$4),AS57)</f>
        <v/>
      </c>
      <c r="AT57" s="765" t="str" cm="1">
        <f t="array" aca="1" ref="AT57" ca="1">IF(NPSwitch=1,_xll.TR(AT$7,AT$6,"Sdate=#1 Period=#2 NULL=BLANK Scale=6",,$D57,$AS$4),AT57)</f>
        <v/>
      </c>
      <c r="AU57" s="765" t="str" cm="1">
        <f t="array" aca="1" ref="AU57" ca="1">IF(NPSwitch=1,_xll.TR(AU$7,AU$6,"Sdate=#1 Period=#2 NULL=BLANK Scale=6",,$D57,$AS$4),AU57)</f>
        <v/>
      </c>
      <c r="AV57" s="765" t="str" cm="1">
        <f t="array" aca="1" ref="AV57" ca="1">IF(NPSwitch=1,_xll.TR(AV$7,AV$6,"Sdate=#1 Period=#2 NULL=BLANK Scale=6",,$D57,$AS$4),AV57)</f>
        <v/>
      </c>
      <c r="AW57" s="765" t="str" cm="1">
        <f t="array" aca="1" ref="AW57" ca="1">IF(NPSwitch=1,_xll.TR(AW$7,AW$6,"Sdate=#1 Period=#2 NULL=BLANK Scale=6",,$D57,$AS$4),AW57)</f>
        <v/>
      </c>
      <c r="AX57" s="765" t="str" cm="1">
        <f t="array" aca="1" ref="AX57" ca="1">IF(NPSwitch=1,_xll.TR(AX$7,AX$6,"Sdate=#1 Period=#2 NULL=BLANK Scale=6",,$D57,$AS$4),AX57)</f>
        <v/>
      </c>
      <c r="AY57" s="765" t="str" cm="1">
        <f t="array" aca="1" ref="AY57" ca="1">IF(NPSwitch=1,_xll.TR(AY$7,AY$6,"Sdate=#1 Period=#2 NULL=BLANK Scale=6",,$D57,$AS$4),AY57)</f>
        <v/>
      </c>
      <c r="AZ57" s="765" t="str" cm="1">
        <f t="array" aca="1" ref="AZ57" ca="1">IF(NPSwitch=1,_xll.TR(AZ$7,AZ$6,"Sdate=#1 Period=#2 NULL=BLANK Scale=6",,$D57,$AS$4),AZ57)</f>
        <v/>
      </c>
      <c r="BA57" s="765" t="str" cm="1">
        <f t="array" aca="1" ref="BA57" ca="1">IF(NPSwitch=1,_xll.TR(BA$7,BA$6,"Sdate=#1 Period=#2 NULL=BLANK Scale=6",,$D57,$AS$4),BA57)</f>
        <v/>
      </c>
      <c r="BB57" s="1002"/>
      <c r="BC57" s="765" cm="1">
        <f t="array" aca="1" ref="BC57" ca="1">IF(NPSwitch=1,_xll.TR(BC$7,BC$6,"Sdate=#1 Period=#2 NULL=BLANK",,$D57,$BC$4),BC57)</f>
        <v>8.3115252819999998</v>
      </c>
      <c r="BD57" s="765" cm="1">
        <f t="array" aca="1" ref="BD57" ca="1">IF(NPSwitch=1,_xll.TR(BD$7,BD$6,"Sdate=#1 Period=#2 NULL=BLANK",,$D57,$BC$4),BD57)</f>
        <v>10.158016756</v>
      </c>
      <c r="BE57" s="765" cm="1">
        <f t="array" aca="1" ref="BE57" ca="1">IF(NPSwitch=1,_xll.TR(BE$7,BE$6,"Sdate=#1 Period=#2 NULL=BLANK",,$D57,$BC$4),BE57)</f>
        <v>5.4258503329999996</v>
      </c>
      <c r="BF57" s="765" cm="1">
        <f t="array" aca="1" ref="BF57" ca="1">IF(NPSwitch=1,_xll.TR(BF$7,BF$6,"Sdate=#1 Period=#2 NULL=BLANK",,$D57,$BC$4),BF57)</f>
        <v>4.3097541509999999</v>
      </c>
      <c r="BG57" s="765" t="str" cm="1">
        <f t="array" aca="1" ref="BG57" ca="1">IF(NPSwitch=1,_xll.TR(BG$7,BG$6,"Sdate=#1 Period=#2 NULL=BLANK",,$D57,$BC$4),BG57)</f>
        <v/>
      </c>
      <c r="BH57" s="765" cm="1">
        <f t="array" aca="1" ref="BH57" ca="1">IF(NPSwitch=1,_xll.TR(BH$7,BH$6,"Sdate=#1 Period=#2 NULL=BLANK",,$D57,$BC$4),BH57)</f>
        <v>7.4550337210000004</v>
      </c>
      <c r="BI57" s="765" cm="1">
        <f t="array" aca="1" ref="BI57" ca="1">IF(NPSwitch=1,_xll.TR(BI$7,BI$6,"Sdate=#1 Period=#2 NULL=BLANK",,$D57,$BC$4),BI57)</f>
        <v>7.584463296</v>
      </c>
      <c r="BJ57" s="765" cm="1">
        <f t="array" aca="1" ref="BJ57" ca="1">IF(NPSwitch=1,_xll.TR(BJ$7,BJ$6,"Sdate=#1 Period=#2 NULL=BLANK",,$D57,$BC$4),BJ57)</f>
        <v>4.5533857360000001</v>
      </c>
      <c r="BK57" s="765" cm="1">
        <f t="array" aca="1" ref="BK57" ca="1">IF(NPSwitch=1,_xll.TR(BK$7,BK$6,"Sdate=#1 Period=#2 NULL=BLANK",,$D57,$BC$4),BK57)</f>
        <v>5.115778433</v>
      </c>
      <c r="BM57" s="1014"/>
      <c r="BO57" s="765" cm="1">
        <f t="array" aca="1" ref="BO57" ca="1">IF(NPSwitch=1,_xll.TR(BO$7,BO$6,"Sdate=#1 Period=#2 NULL=BLANK Scale=6",,$D57,$AS$4),BO57)</f>
        <v>25394</v>
      </c>
      <c r="BP57" s="765" cm="1">
        <f t="array" aca="1" ref="BP57" ca="1">IF(NPSwitch=1,_xll.TR(BP$7,BP$6,"Sdate=#1 Period=#2 NULL=BLANK Scale=6",,$D57,$AS$4),BP57)</f>
        <v>2246.2570000000001</v>
      </c>
      <c r="BQ57" s="765" cm="1">
        <f t="array" aca="1" ref="BQ57" ca="1">IF(NPSwitch=1,_xll.TR(BQ$7,BQ$6,"Sdate=#1 Period=#2 NULL=BLANK Scale=6",,$D57,$AS$4),BQ57)</f>
        <v>6338</v>
      </c>
      <c r="BR57" s="765" cm="1">
        <f t="array" aca="1" ref="BR57" ca="1">IF(NPSwitch=1,_xll.TR(BR$7,BR$6,"Sdate=#1 Period=#2 NULL=BLANK Scale=6",,$D57,$AS$4),BR57)</f>
        <v>2424.1</v>
      </c>
      <c r="BS57" s="765" cm="1">
        <f t="array" aca="1" ref="BS57" ca="1">IF(NPSwitch=1,_xll.TR(BS$7,BS$6,"Sdate=#1 Period=#2 NULL=BLANK Scale=6",,$D57,$AS$4),BS57)</f>
        <v>8576</v>
      </c>
      <c r="BT57" s="765" cm="1">
        <f t="array" aca="1" ref="BT57" ca="1">IF(NPSwitch=1,_xll.TR(BT$7,BT$6,"Sdate=#1 Period=#2 NULL=BLANK Scale=6",,$D57,$AS$4),BT57)</f>
        <v>2968.7</v>
      </c>
      <c r="BU57" s="765" cm="1">
        <f t="array" aca="1" ref="BU57" ca="1">IF(NPSwitch=1,_xll.TR(BU$7,BU$6,"Sdate=#1 Period=#2 NULL=BLANK Scale=6",,$D57,$AS$4),BU57)</f>
        <v>12925</v>
      </c>
      <c r="BV57" s="765" cm="1">
        <f t="array" aca="1" ref="BV57" ca="1">IF(NPSwitch=1,_xll.TR(BV$7,BV$6,"Sdate=#1 Period=#2 NULL=BLANK Scale=6",,$D57,$AS$4),BV57)</f>
        <v>5831</v>
      </c>
      <c r="BW57" s="765" cm="1">
        <f t="array" aca="1" ref="BW57" ca="1">IF(NPSwitch=1,_xll.TR(BW$7,BW$6,"Sdate=#1 Period=#2 NULL=BLANK Scale=6",,$D57,$AS$4),BW57)</f>
        <v>5395</v>
      </c>
      <c r="BX57" s="1002"/>
      <c r="BY57" s="765" cm="1">
        <f t="array" aca="1" ref="BY57" ca="1">IF(NPSwitch=1,_xll.TR(BY$7,BY$6,"Sdate=#1 Period=#2 NULL=BLANK Scale=6",,$D57,$AS$4),BY57)</f>
        <v>19406.25</v>
      </c>
      <c r="BZ57" s="765" cm="1">
        <f t="array" aca="1" ref="BZ57" ca="1">IF(NPSwitch=1,_xll.TR(BZ$7,BZ$6,"Sdate=#1 Period=#2 NULL=BLANK Scale=6",,$D57,$AS$4),BZ57)</f>
        <v>2055.24575</v>
      </c>
      <c r="CA57" s="765" cm="1">
        <f t="array" aca="1" ref="CA57" ca="1">IF(NPSwitch=1,_xll.TR(CA$7,CA$6,"Sdate=#1 Period=#2 NULL=BLANK Scale=6",,$D57,$AS$4),CA57)</f>
        <v>5191.75</v>
      </c>
      <c r="CB57" s="765" cm="1">
        <f t="array" aca="1" ref="CB57" ca="1">IF(NPSwitch=1,_xll.TR(CB$7,CB$6,"Sdate=#1 Period=#2 NULL=BLANK Scale=6",,$D57,$AS$4),CB57)</f>
        <v>760.25</v>
      </c>
      <c r="CC57" s="765" cm="1">
        <f t="array" aca="1" ref="CC57" ca="1">IF(NPSwitch=1,_xll.TR(CC$7,CC$6,"Sdate=#1 Period=#2 NULL=BLANK Scale=6",,$D57,$AS$4),CC57)</f>
        <v>5843.75</v>
      </c>
      <c r="CD57" s="765" cm="1">
        <f t="array" aca="1" ref="CD57" ca="1">IF(NPSwitch=1,_xll.TR(CD$7,CD$6,"Sdate=#1 Period=#2 NULL=BLANK Scale=6",,$D57,$AS$4),CD57)</f>
        <v>1812.5</v>
      </c>
      <c r="CE57" s="765" cm="1">
        <f t="array" aca="1" ref="CE57" ca="1">IF(NPSwitch=1,_xll.TR(CE$7,CE$6,"Sdate=#1 Period=#2 NULL=BLANK Scale=6",,$D57,$AS$4),CE57)</f>
        <v>7051.5</v>
      </c>
      <c r="CF57" s="765" cm="1">
        <f t="array" aca="1" ref="CF57" ca="1">IF(NPSwitch=1,_xll.TR(CF$7,CF$6,"Sdate=#1 Period=#2 NULL=BLANK Scale=6",,$D57,$AS$4),CF57)</f>
        <v>8839.5</v>
      </c>
      <c r="CG57" s="765" cm="1">
        <f t="array" aca="1" ref="CG57" ca="1">IF(NPSwitch=1,_xll.TR(CG$7,CG$6,"Sdate=#1 Period=#2 NULL=BLANK Scale=6",,$D57,$AS$4),CG57)</f>
        <v>3174.5</v>
      </c>
      <c r="CI57" s="1000" cm="1">
        <f t="array" aca="1" ref="CI57" ca="1">IF(NPSwitch=1,_xll.TR(CI$7,CI$6,"Sdate=#1 Period=#2 NULL=BLANK Scale=6",,$D57,$AS$4),CI57)</f>
        <v>7333</v>
      </c>
      <c r="CJ57" s="1000" cm="1">
        <f t="array" aca="1" ref="CJ57" ca="1">IF(NPSwitch=1,_xll.TR(CJ$7,CJ$6,"Sdate=#1 Period=#2 NULL=BLANK Scale=6",,$D57,$AS$4),CJ57)</f>
        <v>426.38200000000001</v>
      </c>
      <c r="CK57" s="1000" cm="1">
        <f t="array" aca="1" ref="CK57" ca="1">IF(NPSwitch=1,_xll.TR(CK$7,CK$6,"Sdate=#1 Period=#2 NULL=BLANK Scale=6",,$D57,$AS$4),CK57)</f>
        <v>923</v>
      </c>
      <c r="CL57" s="1000" cm="1">
        <f t="array" aca="1" ref="CL57" ca="1">IF(NPSwitch=1,_xll.TR(CL$7,CL$6,"Sdate=#1 Period=#2 NULL=BLANK Scale=6",,$D57,$AS$4),CL57)</f>
        <v>244.7</v>
      </c>
      <c r="CM57" s="1000" cm="1">
        <f t="array" aca="1" ref="CM57" ca="1">IF(NPSwitch=1,_xll.TR(CM$7,CM$6,"Sdate=#1 Period=#2 NULL=BLANK Scale=6",,$D57,$AS$4),CM57)</f>
        <v>755</v>
      </c>
      <c r="CN57" s="1000" cm="1">
        <f t="array" aca="1" ref="CN57" ca="1">IF(NPSwitch=1,_xll.TR(CN$7,CN$6,"Sdate=#1 Period=#2 NULL=BLANK Scale=6",,$D57,$AS$4),CN57)</f>
        <v>661.9</v>
      </c>
      <c r="CO57" s="1000" cm="1">
        <f t="array" aca="1" ref="CO57" ca="1">IF(NPSwitch=1,_xll.TR(CO$7,CO$6,"Sdate=#1 Period=#2 NULL=BLANK Scale=6",,$D57,$AS$4),CO57)</f>
        <v>1771</v>
      </c>
      <c r="CP57" s="1000" cm="1">
        <f t="array" aca="1" ref="CP57" ca="1">IF(NPSwitch=1,_xll.TR(CP$7,CP$6,"Sdate=#1 Period=#2 NULL=BLANK Scale=6",,$D57,$AS$4),CP57)</f>
        <v>876</v>
      </c>
      <c r="CQ57" s="1000" cm="1">
        <f t="array" aca="1" ref="CQ57" ca="1">IF(NPSwitch=1,_xll.TR(CQ$7,CQ$6,"Sdate=#1 Period=#2 NULL=BLANK Scale=6",,$D57,$AS$4),CQ57)</f>
        <v>1081</v>
      </c>
      <c r="CS57" s="1000" cm="1">
        <f t="array" aca="1" ref="CS57" ca="1">IF(NPSwitch=1,_xll.TR(CS$7,CS$6,"Sdate=#1 Period=#2 NULL=BLANK Scale=6",,$D57,$AS$4),CS57)</f>
        <v>6874.25</v>
      </c>
      <c r="CT57" s="1000" cm="1">
        <f t="array" aca="1" ref="CT57" ca="1">IF(NPSwitch=1,_xll.TR(CT$7,CT$6,"Sdate=#1 Period=#2 NULL=BLANK Scale=6",,$D57,$AS$4),CT57)</f>
        <v>1012.32875</v>
      </c>
      <c r="CU57" s="1000" cm="1">
        <f t="array" aca="1" ref="CU57" ca="1">IF(NPSwitch=1,_xll.TR(CU$7,CU$6,"Sdate=#1 Period=#2 NULL=BLANK Scale=6",,$D57,$AS$4),CU57)</f>
        <v>1989</v>
      </c>
      <c r="CV57" s="1000" cm="1">
        <f t="array" aca="1" ref="CV57" ca="1">IF(NPSwitch=1,_xll.TR(CV$7,CV$6,"Sdate=#1 Period=#2 NULL=BLANK Scale=6",,$D57,$AS$4),CV57)</f>
        <v>382.7</v>
      </c>
      <c r="CW57" s="1000" cm="1">
        <f t="array" aca="1" ref="CW57" ca="1">IF(NPSwitch=1,_xll.TR(CW$7,CW$6,"Sdate=#1 Period=#2 NULL=BLANK Scale=6",,$D57,$AS$4),CW57)</f>
        <v>941.95</v>
      </c>
      <c r="CX57" s="1000" cm="1">
        <f t="array" aca="1" ref="CX57" ca="1">IF(NPSwitch=1,_xll.TR(CX$7,CX$6,"Sdate=#1 Period=#2 NULL=BLANK Scale=6",,$D57,$AS$4),CX57)</f>
        <v>2678</v>
      </c>
      <c r="CY57" s="1000" cm="1">
        <f t="array" aca="1" ref="CY57" ca="1">IF(NPSwitch=1,_xll.TR(CY$7,CY$6,"Sdate=#1 Period=#2 NULL=BLANK Scale=6",,$D57,$AS$4),CY57)</f>
        <v>3784.25</v>
      </c>
      <c r="CZ57" s="1000" cm="1">
        <f t="array" aca="1" ref="CZ57" ca="1">IF(NPSwitch=1,_xll.TR(CZ$7,CZ$6,"Sdate=#1 Period=#2 NULL=BLANK Scale=6",,$D57,$AS$4),CZ57)</f>
        <v>3176.25</v>
      </c>
      <c r="DA57" s="1000" cm="1">
        <f t="array" aca="1" ref="DA57" ca="1">IF(NPSwitch=1,_xll.TR(DA$7,DA$6,"Sdate=#1 Period=#2 NULL=BLANK Scale=6",,$D57,$AS$4),DA57)</f>
        <v>2720.75</v>
      </c>
      <c r="DB57" s="1000" cm="1">
        <f t="array" aca="1" ref="DB57" ca="1">IF(NPSwitch=1,_xll.TR(DB$7,DB$6,"Sdate=#1 Period=#2 NULL=BLANK Scale=6",,$D57,$AS$4),DB57)</f>
        <v>16501.75</v>
      </c>
      <c r="DC57" s="1000" t="str" cm="1">
        <f t="array" aca="1" ref="DC57" ca="1">IF(NPSwitch=1,_xll.TR(DC$7,DC$6,"Sdate=#1 Period=#2 NULL=BLANK Scale=6",,$D57,$AS$4),DC57)</f>
        <v/>
      </c>
      <c r="DD57" s="1000" t="str" cm="1">
        <f t="array" aca="1" ref="DD57" ca="1">IF(NPSwitch=1,_xll.TR(DD$7,DD$6,"Sdate=#1 Period=#2 NULL=BLANK Scale=6",,$D57,$AS$4),DD57)</f>
        <v/>
      </c>
      <c r="DE57" s="1000" t="str" cm="1">
        <f t="array" aca="1" ref="DE57" ca="1">IF(NPSwitch=1,_xll.TR(DE$7,DE$6,"Sdate=#1 Period=#2 NULL=BLANK Scale=6",,$D57,$AS$4),DE57)</f>
        <v/>
      </c>
      <c r="DF57" s="1000" cm="1">
        <f t="array" aca="1" ref="DF57" ca="1">IF(NPSwitch=1,_xll.TR(DF$7,DF$6,"Sdate=#1 Period=#2 NULL=BLANK Scale=6",,$D57,$AS$4),DF57)</f>
        <v>382.7</v>
      </c>
      <c r="DG57" s="1000" cm="1">
        <f t="array" aca="1" ref="DG57" ca="1">IF(NPSwitch=1,_xll.TR(DG$7,DG$6,"Sdate=#1 Period=#2 NULL=BLANK Scale=6",,$D57,$AS$4),DG57)</f>
        <v>3423</v>
      </c>
      <c r="DH57" s="1000" cm="1">
        <f t="array" aca="1" ref="DH57" ca="1">IF(NPSwitch=1,_xll.TR(DH$7,DH$6,"Sdate=#1 Period=#2 NULL=BLANK Scale=6",,$D57,$AS$4),DH57)</f>
        <v>1184.0744999999999</v>
      </c>
      <c r="FN57" s="3" t="s">
        <v>1563</v>
      </c>
    </row>
    <row r="58" spans="1:170">
      <c r="C58" s="972">
        <f t="shared" si="44"/>
        <v>40451</v>
      </c>
      <c r="D58" s="974">
        <f t="shared" si="43"/>
        <v>40496</v>
      </c>
      <c r="E58" s="765" cm="1">
        <f t="array" aca="1" ref="E58" ca="1">IF(NPSwitch=1,_xll.TR(E$7,E$6,"Sdate=#1 Period=#2 NULL=BLANK",,$D58,$E$4),E58)</f>
        <v>8.0019484501161298</v>
      </c>
      <c r="F58" s="765" cm="1">
        <f t="array" aca="1" ref="F58" ca="1">IF(NPSwitch=1,_xll.TR(F$7,F$6,"Sdate=#1 Period=#2 NULL=BLANK",,$D58,$E$4),F58)</f>
        <v>8.7775472047642005</v>
      </c>
      <c r="G58" s="765" cm="1">
        <f t="array" aca="1" ref="G58" ca="1">IF(NPSwitch=1,_xll.TR(G$7,G$6,"Sdate=#1 Period=#2 NULL=BLANK",,$D58,$E$4),G58)</f>
        <v>5.4857280169796399</v>
      </c>
      <c r="H58" s="765" cm="1">
        <f t="array" aca="1" ref="H58" ca="1">IF(NPSwitch=1,_xll.TR(H$7,H$6,"Sdate=#1 Period=#2 NULL=BLANK",,$D58,$E$4),H58)</f>
        <v>5.5281248271413101</v>
      </c>
      <c r="I58" s="765" cm="1">
        <f t="array" aca="1" ref="I58" ca="1">IF(NPSwitch=1,_xll.TR(I$7,I$6,"Sdate=#1 Period=#2 NULL=BLANK",,$D58,$E$4),I58)</f>
        <v>6.3973168246114698</v>
      </c>
      <c r="J58" s="765" cm="1">
        <f t="array" aca="1" ref="J58" ca="1">IF(NPSwitch=1,_xll.TR(J$7,J$6,"Sdate=#1 Period=#2 NULL=BLANK",,$D58,$E$4),J58)</f>
        <v>7.9133181298988999</v>
      </c>
      <c r="K58" s="765" cm="1">
        <f t="array" aca="1" ref="K58" ca="1">IF(NPSwitch=1,_xll.TR(K$7,K$6,"Sdate=#1 Period=#2 NULL=BLANK",,$D58,$E$4),K58)</f>
        <v>7.2332398962172899</v>
      </c>
      <c r="L58" s="765" cm="1">
        <f t="array" aca="1" ref="L58" ca="1">IF(NPSwitch=1,_xll.TR(L$7,L$6,"Sdate=#1 Period=#2 NULL=BLANK",,$D58,$E$4),L58)</f>
        <v>3.9688625554038701</v>
      </c>
      <c r="M58" s="765" cm="1">
        <f t="array" aca="1" ref="M58" ca="1">IF(NPSwitch=1,_xll.TR(M$7,M$6,"Sdate=#1 Period=#2 NULL=BLANK",,$D58,$E$4),M58)</f>
        <v>5.5657451420982502</v>
      </c>
      <c r="N58" s="1002">
        <f t="shared" ca="1" si="45"/>
        <v>6.0877650417087468</v>
      </c>
      <c r="O58" s="1000" cm="1">
        <f t="array" aca="1" ref="O58" ca="1">IF(NPSwitch=1,_xll.TR(O$7,O$6,"Sdate=#1 Period=#2 Scale=6 NULL=BLANK",,$D58,$O$4),O58)</f>
        <v>61649.447317919999</v>
      </c>
      <c r="P58" s="1000" cm="1">
        <f t="array" aca="1" ref="P58" ca="1">IF(NPSwitch=1,_xll.TR(P$7,P$6,"Sdate=#1 Period=#2 Scale=6 NULL=BLANK",,$D58,$O$4),P58)</f>
        <v>4758.02510712</v>
      </c>
      <c r="Q58" s="1000" cm="1">
        <f t="array" aca="1" ref="Q58" ca="1">IF(NPSwitch=1,_xll.TR(Q$7,Q$6,"Sdate=#1 Period=#2 Scale=6 NULL=BLANK",,$D58,$O$4),Q58)</f>
        <v>4090.0754403599899</v>
      </c>
      <c r="R58" s="1000" cm="1">
        <f t="array" aca="1" ref="R58" ca="1">IF(NPSwitch=1,_xll.TR(R$7,R$6,"Sdate=#1 Period=#2 Scale=6 NULL=BLANK",,$D58,$O$4),R58)</f>
        <v>1162.7793405800001</v>
      </c>
      <c r="S58" s="1000" cm="1">
        <f t="array" aca="1" ref="S58" ca="1">IF(NPSwitch=1,_xll.TR(S$7,S$6,"Sdate=#1 Period=#2 Scale=6 NULL=BLANK",,$D58,$O$4),S58)</f>
        <v>3179.9465506199999</v>
      </c>
      <c r="T58" s="1000" cm="1">
        <f t="array" aca="1" ref="T58" ca="1">IF(NPSwitch=1,_xll.TR(T$7,T$6,"Sdate=#1 Period=#2 Scale=6 NULL=BLANK",,$D58,$O$4),T58)</f>
        <v>5455.4041306199997</v>
      </c>
      <c r="U58" s="1000" cm="1">
        <f t="array" aca="1" ref="U58" ca="1">IF(NPSwitch=1,_xll.TR(U$7,U$6,"Sdate=#1 Period=#2 Scale=6 NULL=BLANK",,$D58,$O$4),U58)</f>
        <v>12516.618475679999</v>
      </c>
      <c r="V58" s="1000" cm="1">
        <f t="array" aca="1" ref="V58" ca="1">IF(NPSwitch=1,_xll.TR(V$7,V$6,"Sdate=#1 Period=#2 Scale=6 NULL=BLANK",,$D58,$O$4),V58)</f>
        <v>6455.9210441754904</v>
      </c>
      <c r="W58" s="1000" cm="1">
        <f t="array" aca="1" ref="W58" ca="1">IF(NPSwitch=1,_xll.TR(W$7,W$6,"Sdate=#1 Period=#2 Scale=6 NULL=BLANK",,$D58,$O$4),W58)</f>
        <v>5581.9785679500001</v>
      </c>
      <c r="X58" s="998"/>
      <c r="Y58" s="1000" cm="1">
        <f t="array" aca="1" ref="Y58" ca="1">IF(NPSwitch=1,_xll.TR(Y$7,Y$6,"Sdate=#1 Period=#2 Scale=6 NULL=BLANK",,$D58,$O$4),Y58)</f>
        <v>4793.75</v>
      </c>
      <c r="Z58" s="1000" cm="1">
        <f t="array" aca="1" ref="Z58" ca="1">IF(NPSwitch=1,_xll.TR(Z$7,Z$6,"Sdate=#1 Period=#2 Scale=6 NULL=BLANK",,$D58,$O$4),Z58)</f>
        <v>331.226</v>
      </c>
      <c r="AA58" s="1000" cm="1">
        <f t="array" aca="1" ref="AA58" ca="1">IF(NPSwitch=1,_xll.TR(AA$7,AA$6,"Sdate=#1 Period=#2 Scale=6 NULL=BLANK",,$D58,$O$4),AA58)</f>
        <v>451.5</v>
      </c>
      <c r="AB58" s="1000" cm="1">
        <f t="array" aca="1" ref="AB58" ca="1">IF(NPSwitch=1,_xll.TR(AB$7,AB$6,"Sdate=#1 Period=#2 Scale=6 NULL=BLANK",,$D58,$O$4),AB58)</f>
        <v>245.3</v>
      </c>
      <c r="AC58" s="1000" cm="1">
        <f t="array" aca="1" ref="AC58" ca="1">IF(NPSwitch=1,_xll.TR(AC$7,AC$6,"Sdate=#1 Period=#2 Scale=6 NULL=BLANK",,$D58,$O$4),AC58)</f>
        <v>1156</v>
      </c>
      <c r="AD58" s="1000" cm="1">
        <f t="array" aca="1" ref="AD58" ca="1">IF(NPSwitch=1,_xll.TR(AD$7,AD$6,"Sdate=#1 Period=#2 Scale=6 NULL=BLANK",,$D58,$O$4),AD58)</f>
        <v>148.25</v>
      </c>
      <c r="AE58" s="1000" cm="1">
        <f t="array" aca="1" ref="AE58" ca="1">IF(NPSwitch=1,_xll.TR(AE$7,AE$6,"Sdate=#1 Period=#2 Scale=6 NULL=BLANK",,$D58,$O$4),AE58)</f>
        <v>866.75</v>
      </c>
      <c r="AF58" s="1000" cm="1">
        <f t="array" aca="1" ref="AF58" ca="1">IF(NPSwitch=1,_xll.TR(AF$7,AF$6,"Sdate=#1 Period=#2 Scale=6 NULL=BLANK",,$D58,$O$4),AF58)</f>
        <v>4489</v>
      </c>
      <c r="AG58" s="1000" cm="1">
        <f t="array" aca="1" ref="AG58" ca="1">IF(NPSwitch=1,_xll.TR(AG$7,AG$6,"Sdate=#1 Period=#2 Scale=6 NULL=BLANK",,$D58,$O$4),AG58)</f>
        <v>588.25</v>
      </c>
      <c r="AH58" s="998"/>
      <c r="AI58" s="1000" cm="1">
        <f t="array" aca="1" ref="AI58" ca="1">IF(NPSwitch=1,_xll.TR(AI$7,AI$6,"Sdate=#1 Period=#2 Scale=6 NULL=BLANK",,$D58,$O$4),AI58)</f>
        <v>61883.447317919999</v>
      </c>
      <c r="AJ58" s="1000" cm="1">
        <f t="array" aca="1" ref="AJ58" ca="1">IF(NPSwitch=1,_xll.TR(AJ$7,AJ$6,"Sdate=#1 Period=#2 Scale=6 NULL=BLANK",,$D58,$O$4),AJ58)</f>
        <v>5154.3921071200002</v>
      </c>
      <c r="AK58" s="1000" cm="1">
        <f t="array" aca="1" ref="AK58" ca="1">IF(NPSwitch=1,_xll.TR(AK$7,AK$6,"Sdate=#1 Period=#2 Scale=6 NULL=BLANK",,$D58,$O$4),AK58)</f>
        <v>5027.0754403600004</v>
      </c>
      <c r="AL58" s="1000" cm="1">
        <f t="array" aca="1" ref="AL58" ca="1">IF(NPSwitch=1,_xll.TR(AL$7,AL$6,"Sdate=#1 Period=#2 Scale=6 NULL=BLANK",,$D58,$O$4),AL58)</f>
        <v>1308.9793405800001</v>
      </c>
      <c r="AM58" s="1000" cm="1">
        <f t="array" aca="1" ref="AM58" ca="1">IF(NPSwitch=1,_xll.TR(AM$7,AM$6,"Sdate=#1 Period=#2 Scale=6 NULL=BLANK",,$D58,$O$4),AM58)</f>
        <v>6576.9465506200004</v>
      </c>
      <c r="AN58" s="1000" cm="1">
        <f t="array" aca="1" ref="AN58" ca="1">IF(NPSwitch=1,_xll.TR(AN$7,AN$6,"Sdate=#1 Period=#2 Scale=6 NULL=BLANK",,$D58,$O$4),AN58)</f>
        <v>5911.2041306199999</v>
      </c>
      <c r="AO58" s="1000" cm="1">
        <f t="array" aca="1" ref="AO58" ca="1">IF(NPSwitch=1,_xll.TR(AO$7,AO$6,"Sdate=#1 Period=#2 Scale=6 NULL=BLANK",,$D58,$O$4),AO58)</f>
        <v>14949.618475679999</v>
      </c>
      <c r="AP58" s="1000" cm="1">
        <f t="array" aca="1" ref="AP58" ca="1">IF(NPSwitch=1,_xll.TR(AP$7,AP$6,"Sdate=#1 Period=#2 Scale=6 NULL=BLANK",,$D58,$O$4),AP58)</f>
        <v>3985.9210441760001</v>
      </c>
      <c r="AQ58" s="1000" cm="1">
        <f t="array" aca="1" ref="AQ58" ca="1">IF(NPSwitch=1,_xll.TR(AQ$7,AQ$6,"Sdate=#1 Period=#2 Scale=6 NULL=BLANK",,$D58,$O$4),AQ58)</f>
        <v>6697.9785679500001</v>
      </c>
      <c r="AS58" s="765" t="str" cm="1">
        <f t="array" aca="1" ref="AS58" ca="1">IF(NPSwitch=1,_xll.TR(AS$7,AS$6,"Sdate=#1 Period=#2 NULL=BLANK Scale=6",,$D58,$AS$4),AS58)</f>
        <v/>
      </c>
      <c r="AT58" s="765" t="str" cm="1">
        <f t="array" aca="1" ref="AT58" ca="1">IF(NPSwitch=1,_xll.TR(AT$7,AT$6,"Sdate=#1 Period=#2 NULL=BLANK Scale=6",,$D58,$AS$4),AT58)</f>
        <v/>
      </c>
      <c r="AU58" s="765" t="str" cm="1">
        <f t="array" aca="1" ref="AU58" ca="1">IF(NPSwitch=1,_xll.TR(AU$7,AU$6,"Sdate=#1 Period=#2 NULL=BLANK Scale=6",,$D58,$AS$4),AU58)</f>
        <v/>
      </c>
      <c r="AV58" s="765" t="str" cm="1">
        <f t="array" aca="1" ref="AV58" ca="1">IF(NPSwitch=1,_xll.TR(AV$7,AV$6,"Sdate=#1 Period=#2 NULL=BLANK Scale=6",,$D58,$AS$4),AV58)</f>
        <v/>
      </c>
      <c r="AW58" s="765" t="str" cm="1">
        <f t="array" aca="1" ref="AW58" ca="1">IF(NPSwitch=1,_xll.TR(AW$7,AW$6,"Sdate=#1 Period=#2 NULL=BLANK Scale=6",,$D58,$AS$4),AW58)</f>
        <v/>
      </c>
      <c r="AX58" s="765" t="str" cm="1">
        <f t="array" aca="1" ref="AX58" ca="1">IF(NPSwitch=1,_xll.TR(AX$7,AX$6,"Sdate=#1 Period=#2 NULL=BLANK Scale=6",,$D58,$AS$4),AX58)</f>
        <v/>
      </c>
      <c r="AY58" s="765" t="str" cm="1">
        <f t="array" aca="1" ref="AY58" ca="1">IF(NPSwitch=1,_xll.TR(AY$7,AY$6,"Sdate=#1 Period=#2 NULL=BLANK Scale=6",,$D58,$AS$4),AY58)</f>
        <v/>
      </c>
      <c r="AZ58" s="765" t="str" cm="1">
        <f t="array" aca="1" ref="AZ58" ca="1">IF(NPSwitch=1,_xll.TR(AZ$7,AZ$6,"Sdate=#1 Period=#2 NULL=BLANK Scale=6",,$D58,$AS$4),AZ58)</f>
        <v/>
      </c>
      <c r="BA58" s="765" t="str" cm="1">
        <f t="array" aca="1" ref="BA58" ca="1">IF(NPSwitch=1,_xll.TR(BA$7,BA$6,"Sdate=#1 Period=#2 NULL=BLANK Scale=6",,$D58,$AS$4),BA58)</f>
        <v/>
      </c>
      <c r="BB58" s="1002"/>
      <c r="BC58" s="765" cm="1">
        <f t="array" aca="1" ref="BC58" ca="1">IF(NPSwitch=1,_xll.TR(BC$7,BC$6,"Sdate=#1 Period=#2 NULL=BLANK",,$D58,$BC$4),BC58)</f>
        <v>8.3490889530000008</v>
      </c>
      <c r="BD58" s="765" cm="1">
        <f t="array" aca="1" ref="BD58" ca="1">IF(NPSwitch=1,_xll.TR(BD$7,BD$6,"Sdate=#1 Period=#2 NULL=BLANK",,$D58,$BC$4),BD58)</f>
        <v>10.672503121</v>
      </c>
      <c r="BE58" s="765" cm="1">
        <f t="array" aca="1" ref="BE58" ca="1">IF(NPSwitch=1,_xll.TR(BE$7,BE$6,"Sdate=#1 Period=#2 NULL=BLANK",,$D58,$BC$4),BE58)</f>
        <v>5.6803112320000002</v>
      </c>
      <c r="BF58" s="765" cm="1">
        <f t="array" aca="1" ref="BF58" ca="1">IF(NPSwitch=1,_xll.TR(BF$7,BF$6,"Sdate=#1 Period=#2 NULL=BLANK",,$D58,$BC$4),BF58)</f>
        <v>6.0377275859999999</v>
      </c>
      <c r="BG58" s="765" t="str" cm="1">
        <f t="array" aca="1" ref="BG58" ca="1">IF(NPSwitch=1,_xll.TR(BG$7,BG$6,"Sdate=#1 Period=#2 NULL=BLANK",,$D58,$BC$4),BG58)</f>
        <v/>
      </c>
      <c r="BH58" s="765" cm="1">
        <f t="array" aca="1" ref="BH58" ca="1">IF(NPSwitch=1,_xll.TR(BH$7,BH$6,"Sdate=#1 Period=#2 NULL=BLANK",,$D58,$BC$4),BH58)</f>
        <v>8.4554486210000004</v>
      </c>
      <c r="BI58" s="765" cm="1">
        <f t="array" aca="1" ref="BI58" ca="1">IF(NPSwitch=1,_xll.TR(BI$7,BI$6,"Sdate=#1 Period=#2 NULL=BLANK",,$D58,$BC$4),BI58)</f>
        <v>8.003007749</v>
      </c>
      <c r="BJ58" s="765" cm="1">
        <f t="array" aca="1" ref="BJ58" ca="1">IF(NPSwitch=1,_xll.TR(BJ$7,BJ$6,"Sdate=#1 Period=#2 NULL=BLANK",,$D58,$BC$4),BJ58)</f>
        <v>3.6975148830000002</v>
      </c>
      <c r="BK58" s="765" cm="1">
        <f t="array" aca="1" ref="BK58" ca="1">IF(NPSwitch=1,_xll.TR(BK$7,BK$6,"Sdate=#1 Period=#2 NULL=BLANK",,$D58,$BC$4),BK58)</f>
        <v>5.7741194550000001</v>
      </c>
      <c r="BM58" s="1014"/>
      <c r="BO58" s="765" cm="1">
        <f t="array" aca="1" ref="BO58" ca="1">IF(NPSwitch=1,_xll.TR(BO$7,BO$6,"Sdate=#1 Period=#2 NULL=BLANK Scale=6",,$D58,$AS$4),BO58)</f>
        <v>26075</v>
      </c>
      <c r="BP58" s="765" cm="1">
        <f t="array" aca="1" ref="BP58" ca="1">IF(NPSwitch=1,_xll.TR(BP$7,BP$6,"Sdate=#1 Period=#2 NULL=BLANK Scale=6",,$D58,$AS$4),BP58)</f>
        <v>2316.0169999999998</v>
      </c>
      <c r="BQ58" s="765" cm="1">
        <f t="array" aca="1" ref="BQ58" ca="1">IF(NPSwitch=1,_xll.TR(BQ$7,BQ$6,"Sdate=#1 Period=#2 NULL=BLANK Scale=6",,$D58,$AS$4),BQ58)</f>
        <v>5741</v>
      </c>
      <c r="BR58" s="765" cm="1">
        <f t="array" aca="1" ref="BR58" ca="1">IF(NPSwitch=1,_xll.TR(BR$7,BR$6,"Sdate=#1 Period=#2 NULL=BLANK Scale=6",,$D58,$AS$4),BR58)</f>
        <v>2556.6</v>
      </c>
      <c r="BS58" s="765" cm="1">
        <f t="array" aca="1" ref="BS58" ca="1">IF(NPSwitch=1,_xll.TR(BS$7,BS$6,"Sdate=#1 Period=#2 NULL=BLANK Scale=6",,$D58,$AS$4),BS58)</f>
        <v>8902</v>
      </c>
      <c r="BT58" s="765" cm="1">
        <f t="array" aca="1" ref="BT58" ca="1">IF(NPSwitch=1,_xll.TR(BT$7,BT$6,"Sdate=#1 Period=#2 NULL=BLANK Scale=6",,$D58,$AS$4),BT58)</f>
        <v>3027.9</v>
      </c>
      <c r="BU58" s="765" cm="1">
        <f t="array" aca="1" ref="BU58" ca="1">IF(NPSwitch=1,_xll.TR(BU$7,BU$6,"Sdate=#1 Period=#2 NULL=BLANK Scale=6",,$D58,$AS$4),BU58)</f>
        <v>13160</v>
      </c>
      <c r="BV58" s="765" cm="1">
        <f t="array" aca="1" ref="BV58" ca="1">IF(NPSwitch=1,_xll.TR(BV$7,BV$6,"Sdate=#1 Period=#2 NULL=BLANK Scale=6",,$D58,$AS$4),BV58)</f>
        <v>6047</v>
      </c>
      <c r="BW58" s="765" cm="1">
        <f t="array" aca="1" ref="BW58" ca="1">IF(NPSwitch=1,_xll.TR(BW$7,BW$6,"Sdate=#1 Period=#2 NULL=BLANK Scale=6",,$D58,$AS$4),BW58)</f>
        <v>5565</v>
      </c>
      <c r="BX58" s="1002"/>
      <c r="BY58" s="765" cm="1">
        <f t="array" aca="1" ref="BY58" ca="1">IF(NPSwitch=1,_xll.TR(BY$7,BY$6,"Sdate=#1 Period=#2 NULL=BLANK Scale=6",,$D58,$AS$4),BY58)</f>
        <v>20043</v>
      </c>
      <c r="BZ58" s="765" cm="1">
        <f t="array" aca="1" ref="BZ58" ca="1">IF(NPSwitch=1,_xll.TR(BZ$7,BZ$6,"Sdate=#1 Period=#2 NULL=BLANK Scale=6",,$D58,$AS$4),BZ58)</f>
        <v>2089.9167499999999</v>
      </c>
      <c r="CA58" s="765" cm="1">
        <f t="array" aca="1" ref="CA58" ca="1">IF(NPSwitch=1,_xll.TR(CA$7,CA$6,"Sdate=#1 Period=#2 NULL=BLANK Scale=6",,$D58,$AS$4),CA58)</f>
        <v>5150.25</v>
      </c>
      <c r="CB58" s="765" cm="1">
        <f t="array" aca="1" ref="CB58" ca="1">IF(NPSwitch=1,_xll.TR(CB$7,CB$6,"Sdate=#1 Period=#2 NULL=BLANK Scale=6",,$D58,$AS$4),CB58)</f>
        <v>800.67499999999995</v>
      </c>
      <c r="CC58" s="765" cm="1">
        <f t="array" aca="1" ref="CC58" ca="1">IF(NPSwitch=1,_xll.TR(CC$7,CC$6,"Sdate=#1 Period=#2 NULL=BLANK Scale=6",,$D58,$AS$4),CC58)</f>
        <v>5917.5</v>
      </c>
      <c r="CD58" s="765" cm="1">
        <f t="array" aca="1" ref="CD58" ca="1">IF(NPSwitch=1,_xll.TR(CD$7,CD$6,"Sdate=#1 Period=#2 NULL=BLANK Scale=6",,$D58,$AS$4),CD58)</f>
        <v>1885</v>
      </c>
      <c r="CE58" s="765" cm="1">
        <f t="array" aca="1" ref="CE58" ca="1">IF(NPSwitch=1,_xll.TR(CE$7,CE$6,"Sdate=#1 Period=#2 NULL=BLANK Scale=6",,$D58,$AS$4),CE58)</f>
        <v>7043</v>
      </c>
      <c r="CF58" s="765" cm="1">
        <f t="array" aca="1" ref="CF58" ca="1">IF(NPSwitch=1,_xll.TR(CF$7,CF$6,"Sdate=#1 Period=#2 NULL=BLANK Scale=6",,$D58,$AS$4),CF58)</f>
        <v>9316</v>
      </c>
      <c r="CG58" s="765" cm="1">
        <f t="array" aca="1" ref="CG58" ca="1">IF(NPSwitch=1,_xll.TR(CG$7,CG$6,"Sdate=#1 Period=#2 NULL=BLANK Scale=6",,$D58,$AS$4),CG58)</f>
        <v>3288.75</v>
      </c>
      <c r="CI58" s="1000" cm="1">
        <f t="array" aca="1" ref="CI58" ca="1">IF(NPSwitch=1,_xll.TR(CI$7,CI$6,"Sdate=#1 Period=#2 NULL=BLANK Scale=6",,$D58,$AS$4),CI58)</f>
        <v>7412</v>
      </c>
      <c r="CJ58" s="1000" cm="1">
        <f t="array" aca="1" ref="CJ58" ca="1">IF(NPSwitch=1,_xll.TR(CJ$7,CJ$6,"Sdate=#1 Period=#2 NULL=BLANK Scale=6",,$D58,$AS$4),CJ58)</f>
        <v>482.96</v>
      </c>
      <c r="CK58" s="1000" t="str" cm="1">
        <f t="array" aca="1" ref="CK58" ca="1">IF(NPSwitch=1,_xll.TR(CK$7,CK$6,"Sdate=#1 Period=#2 NULL=BLANK Scale=6",,$D58,$AS$4),CK58)</f>
        <v/>
      </c>
      <c r="CL58" s="1000" cm="1">
        <f t="array" aca="1" ref="CL58" ca="1">IF(NPSwitch=1,_xll.TR(CL$7,CL$6,"Sdate=#1 Period=#2 NULL=BLANK Scale=6",,$D58,$AS$4),CL58)</f>
        <v>216.8</v>
      </c>
      <c r="CM58" s="1000" cm="1">
        <f t="array" aca="1" ref="CM58" ca="1">IF(NPSwitch=1,_xll.TR(CM$7,CM$6,"Sdate=#1 Period=#2 NULL=BLANK Scale=6",,$D58,$AS$4),CM58)</f>
        <v>821</v>
      </c>
      <c r="CN58" s="1000" cm="1">
        <f t="array" aca="1" ref="CN58" ca="1">IF(NPSwitch=1,_xll.TR(CN$7,CN$6,"Sdate=#1 Period=#2 NULL=BLANK Scale=6",,$D58,$AS$4),CN58)</f>
        <v>699.1</v>
      </c>
      <c r="CO58" s="1000" cm="1">
        <f t="array" aca="1" ref="CO58" ca="1">IF(NPSwitch=1,_xll.TR(CO$7,CO$6,"Sdate=#1 Period=#2 NULL=BLANK Scale=6",,$D58,$AS$4),CO58)</f>
        <v>1868</v>
      </c>
      <c r="CP58" s="1000" cm="1">
        <f t="array" aca="1" ref="CP58" ca="1">IF(NPSwitch=1,_xll.TR(CP$7,CP$6,"Sdate=#1 Period=#2 NULL=BLANK Scale=6",,$D58,$AS$4),CP58)</f>
        <v>1091</v>
      </c>
      <c r="CQ58" s="1000" cm="1">
        <f t="array" aca="1" ref="CQ58" ca="1">IF(NPSwitch=1,_xll.TR(CQ$7,CQ$6,"Sdate=#1 Period=#2 NULL=BLANK Scale=6",,$D58,$AS$4),CQ58)</f>
        <v>1160</v>
      </c>
      <c r="CS58" s="1000" cm="1">
        <f t="array" aca="1" ref="CS58" ca="1">IF(NPSwitch=1,_xll.TR(CS$7,CS$6,"Sdate=#1 Period=#2 NULL=BLANK Scale=6",,$D58,$AS$4),CS58)</f>
        <v>6872.25</v>
      </c>
      <c r="CT58" s="1000" cm="1">
        <f t="array" aca="1" ref="CT58" ca="1">IF(NPSwitch=1,_xll.TR(CT$7,CT$6,"Sdate=#1 Period=#2 NULL=BLANK Scale=6",,$D58,$AS$4),CT58)</f>
        <v>1004.21225</v>
      </c>
      <c r="CU58" s="1000" cm="1">
        <f t="array" aca="1" ref="CU58" ca="1">IF(NPSwitch=1,_xll.TR(CU$7,CU$6,"Sdate=#1 Period=#2 NULL=BLANK Scale=6",,$D58,$AS$4),CU58)</f>
        <v>1931.75</v>
      </c>
      <c r="CV58" s="1000" cm="1">
        <f t="array" aca="1" ref="CV58" ca="1">IF(NPSwitch=1,_xll.TR(CV$7,CV$6,"Sdate=#1 Period=#2 NULL=BLANK Scale=6",,$D58,$AS$4),CV58)</f>
        <v>375.82499999999999</v>
      </c>
      <c r="CW58" s="1000" cm="1">
        <f t="array" aca="1" ref="CW58" ca="1">IF(NPSwitch=1,_xll.TR(CW$7,CW$6,"Sdate=#1 Period=#2 NULL=BLANK Scale=6",,$D58,$AS$4),CW58)</f>
        <v>940.55</v>
      </c>
      <c r="CX58" s="1000" cm="1">
        <f t="array" aca="1" ref="CX58" ca="1">IF(NPSwitch=1,_xll.TR(CX$7,CX$6,"Sdate=#1 Period=#2 NULL=BLANK Scale=6",,$D58,$AS$4),CX58)</f>
        <v>2641.75</v>
      </c>
      <c r="CY58" s="1000" cm="1">
        <f t="array" aca="1" ref="CY58" ca="1">IF(NPSwitch=1,_xll.TR(CY$7,CY$6,"Sdate=#1 Period=#2 NULL=BLANK Scale=6",,$D58,$AS$4),CY58)</f>
        <v>3737.75</v>
      </c>
      <c r="CZ58" s="1000" cm="1">
        <f t="array" aca="1" ref="CZ58" ca="1">IF(NPSwitch=1,_xll.TR(CZ$7,CZ$6,"Sdate=#1 Period=#2 NULL=BLANK Scale=6",,$D58,$AS$4),CZ58)</f>
        <v>3149.5</v>
      </c>
      <c r="DA58" s="1000" cm="1">
        <f t="array" aca="1" ref="DA58" ca="1">IF(NPSwitch=1,_xll.TR(DA$7,DA$6,"Sdate=#1 Period=#2 NULL=BLANK Scale=6",,$D58,$AS$4),DA58)</f>
        <v>2770</v>
      </c>
      <c r="DB58" s="1000" cm="1">
        <f t="array" aca="1" ref="DB58" ca="1">IF(NPSwitch=1,_xll.TR(DB$7,DB$6,"Sdate=#1 Period=#2 NULL=BLANK Scale=6",,$D58,$AS$4),DB58)</f>
        <v>16465.5</v>
      </c>
      <c r="DC58" s="1000" t="str" cm="1">
        <f t="array" aca="1" ref="DC58" ca="1">IF(NPSwitch=1,_xll.TR(DC$7,DC$6,"Sdate=#1 Period=#2 NULL=BLANK Scale=6",,$D58,$AS$4),DC58)</f>
        <v/>
      </c>
      <c r="DD58" s="1000" t="str" cm="1">
        <f t="array" aca="1" ref="DD58" ca="1">IF(NPSwitch=1,_xll.TR(DD$7,DD$6,"Sdate=#1 Period=#2 NULL=BLANK Scale=6",,$D58,$AS$4),DD58)</f>
        <v/>
      </c>
      <c r="DE58" s="1000" t="str" cm="1">
        <f t="array" aca="1" ref="DE58" ca="1">IF(NPSwitch=1,_xll.TR(DE$7,DE$6,"Sdate=#1 Period=#2 NULL=BLANK Scale=6",,$D58,$AS$4),DE58)</f>
        <v/>
      </c>
      <c r="DF58" s="1000" cm="1">
        <f t="array" aca="1" ref="DF58" ca="1">IF(NPSwitch=1,_xll.TR(DF$7,DF$6,"Sdate=#1 Period=#2 NULL=BLANK Scale=6",,$D58,$AS$4),DF58)</f>
        <v>375.82499999999999</v>
      </c>
      <c r="DG58" s="1000" cm="1">
        <f t="array" aca="1" ref="DG58" ca="1">IF(NPSwitch=1,_xll.TR(DG$7,DG$6,"Sdate=#1 Period=#2 NULL=BLANK Scale=6",,$D58,$AS$4),DG58)</f>
        <v>3431</v>
      </c>
      <c r="DH58" s="1000" cm="1">
        <f t="array" aca="1" ref="DH58" ca="1">IF(NPSwitch=1,_xll.TR(DH$7,DH$6,"Sdate=#1 Period=#2 NULL=BLANK Scale=6",,$D58,$AS$4),DH58)</f>
        <v>1178.9245000000001</v>
      </c>
      <c r="FN58" s="3" t="s">
        <v>1564</v>
      </c>
    </row>
    <row r="59" spans="1:170">
      <c r="C59" s="973">
        <f t="shared" si="44"/>
        <v>40543</v>
      </c>
      <c r="D59" s="974">
        <f t="shared" si="43"/>
        <v>40588</v>
      </c>
      <c r="E59" s="765" cm="1">
        <f t="array" aca="1" ref="E59" ca="1">IF(NPSwitch=1,_xll.TR(E$7,E$6,"Sdate=#1 Period=#2 NULL=BLANK",,$D59,$E$4),E59)</f>
        <v>8.3292376239351196</v>
      </c>
      <c r="F59" s="765" cm="1">
        <f t="array" aca="1" ref="F59" ca="1">IF(NPSwitch=1,_xll.TR(F$7,F$6,"Sdate=#1 Period=#2 NULL=BLANK",,$D59,$E$4),F59)</f>
        <v>9.1258616712777094</v>
      </c>
      <c r="G59" s="765" cm="1">
        <f t="array" aca="1" ref="G59" ca="1">IF(NPSwitch=1,_xll.TR(G$7,G$6,"Sdate=#1 Period=#2 NULL=BLANK",,$D59,$E$4),G59)</f>
        <v>6.3222673132448897</v>
      </c>
      <c r="H59" s="765" cm="1">
        <f t="array" aca="1" ref="H59" ca="1">IF(NPSwitch=1,_xll.TR(H$7,H$6,"Sdate=#1 Period=#2 NULL=BLANK",,$D59,$E$4),H59)</f>
        <v>6.1621906783504503</v>
      </c>
      <c r="I59" s="765" cm="1">
        <f t="array" aca="1" ref="I59" ca="1">IF(NPSwitch=1,_xll.TR(I$7,I$6,"Sdate=#1 Period=#2 NULL=BLANK",,$D59,$E$4),I59)</f>
        <v>6.9676970079078702</v>
      </c>
      <c r="J59" s="765" cm="1">
        <f t="array" aca="1" ref="J59" ca="1">IF(NPSwitch=1,_xll.TR(J$7,J$6,"Sdate=#1 Period=#2 NULL=BLANK",,$D59,$E$4),J59)</f>
        <v>8.4186797217840201</v>
      </c>
      <c r="K59" s="765" cm="1">
        <f t="array" aca="1" ref="K59" ca="1">IF(NPSwitch=1,_xll.TR(K$7,K$6,"Sdate=#1 Period=#2 NULL=BLANK",,$D59,$E$4),K59)</f>
        <v>7.6195289045547501</v>
      </c>
      <c r="L59" s="765" cm="1">
        <f t="array" aca="1" ref="L59" ca="1">IF(NPSwitch=1,_xll.TR(L$7,L$6,"Sdate=#1 Period=#2 NULL=BLANK",,$D59,$E$4),L59)</f>
        <v>4.0957282789535201</v>
      </c>
      <c r="M59" s="765" cm="1">
        <f t="array" aca="1" ref="M59" ca="1">IF(NPSwitch=1,_xll.TR(M$7,M$6,"Sdate=#1 Period=#2 NULL=BLANK",,$D59,$E$4),M59)</f>
        <v>6.2917095413208504</v>
      </c>
      <c r="N59" s="1002">
        <f t="shared" ca="1" si="45"/>
        <v>6.597681984132584</v>
      </c>
      <c r="O59" s="1000" cm="1">
        <f t="array" aca="1" ref="O59" ca="1">IF(NPSwitch=1,_xll.TR(O$7,O$6,"Sdate=#1 Period=#2 Scale=6 NULL=BLANK",,$D59,$O$4),O59)</f>
        <v>65414.969378200003</v>
      </c>
      <c r="P59" s="1000" cm="1">
        <f t="array" aca="1" ref="P59" ca="1">IF(NPSwitch=1,_xll.TR(P$7,P$6,"Sdate=#1 Period=#2 Scale=6 NULL=BLANK",,$D59,$O$4),P59)</f>
        <v>5276.3165256399898</v>
      </c>
      <c r="Q59" s="1000" cm="1">
        <f t="array" aca="1" ref="Q59" ca="1">IF(NPSwitch=1,_xll.TR(Q$7,Q$6,"Sdate=#1 Period=#2 Scale=6 NULL=BLANK",,$D59,$O$4),Q59)</f>
        <v>4676.8057938399998</v>
      </c>
      <c r="R59" s="1000" cm="1">
        <f t="array" aca="1" ref="R59" ca="1">IF(NPSwitch=1,_xll.TR(R$7,R$6,"Sdate=#1 Period=#2 Scale=6 NULL=BLANK",,$D59,$O$4),R59)</f>
        <v>1389.1611591000001</v>
      </c>
      <c r="S59" s="1000" cm="1">
        <f t="array" aca="1" ref="S59" ca="1">IF(NPSwitch=1,_xll.TR(S$7,S$6,"Sdate=#1 Period=#2 Scale=6 NULL=BLANK",,$D59,$O$4),S59)</f>
        <v>4469.0497895400003</v>
      </c>
      <c r="T59" s="1000" cm="1">
        <f t="array" aca="1" ref="T59" ca="1">IF(NPSwitch=1,_xll.TR(T$7,T$6,"Sdate=#1 Period=#2 Scale=6 NULL=BLANK",,$D59,$O$4),T59)</f>
        <v>5832.5300119599997</v>
      </c>
      <c r="U59" s="1000" cm="1">
        <f t="array" aca="1" ref="U59" ca="1">IF(NPSwitch=1,_xll.TR(U$7,U$6,"Sdate=#1 Period=#2 Scale=6 NULL=BLANK",,$D59,$O$4),U59)</f>
        <v>14210.5329985999</v>
      </c>
      <c r="V59" s="1000" cm="1">
        <f t="array" aca="1" ref="V59" ca="1">IF(NPSwitch=1,_xll.TR(V$7,V$6,"Sdate=#1 Period=#2 Scale=6 NULL=BLANK",,$D59,$O$4),V59)</f>
        <v>6661.7448192653201</v>
      </c>
      <c r="W59" s="1000" cm="1">
        <f t="array" aca="1" ref="W59" ca="1">IF(NPSwitch=1,_xll.TR(W$7,W$6,"Sdate=#1 Period=#2 Scale=6 NULL=BLANK",,$D59,$O$4),W59)</f>
        <v>6627.6903455199999</v>
      </c>
      <c r="X59" s="998"/>
      <c r="Y59" s="1000" cm="1">
        <f t="array" aca="1" ref="Y59" ca="1">IF(NPSwitch=1,_xll.TR(Y$7,Y$6,"Sdate=#1 Period=#2 Scale=6 NULL=BLANK",,$D59,$O$4),Y59)</f>
        <v>4967.25</v>
      </c>
      <c r="Z59" s="1000" cm="1">
        <f t="array" aca="1" ref="Z59" ca="1">IF(NPSwitch=1,_xll.TR(Z$7,Z$6,"Sdate=#1 Period=#2 Scale=6 NULL=BLANK",,$D59,$O$4),Z59)</f>
        <v>386.44074999999998</v>
      </c>
      <c r="AA59" s="1000" cm="1">
        <f t="array" aca="1" ref="AA59" ca="1">IF(NPSwitch=1,_xll.TR(AA$7,AA$6,"Sdate=#1 Period=#2 Scale=6 NULL=BLANK",,$D59,$O$4),AA59)</f>
        <v>443.5</v>
      </c>
      <c r="AB59" s="1000" cm="1">
        <f t="array" aca="1" ref="AB59" ca="1">IF(NPSwitch=1,_xll.TR(AB$7,AB$6,"Sdate=#1 Period=#2 Scale=6 NULL=BLANK",,$D59,$O$4),AB59)</f>
        <v>284.14999999999998</v>
      </c>
      <c r="AC59" s="1000" cm="1">
        <f t="array" aca="1" ref="AC59" ca="1">IF(NPSwitch=1,_xll.TR(AC$7,AC$6,"Sdate=#1 Period=#2 Scale=6 NULL=BLANK",,$D59,$O$4),AC59)</f>
        <v>1156</v>
      </c>
      <c r="AD59" s="1000" cm="1">
        <f t="array" aca="1" ref="AD59" ca="1">IF(NPSwitch=1,_xll.TR(AD$7,AD$6,"Sdate=#1 Period=#2 Scale=6 NULL=BLANK",,$D59,$O$4),AD59)</f>
        <v>169.47499999999999</v>
      </c>
      <c r="AE59" s="1000" cm="1">
        <f t="array" aca="1" ref="AE59" ca="1">IF(NPSwitch=1,_xll.TR(AE$7,AE$6,"Sdate=#1 Period=#2 Scale=6 NULL=BLANK",,$D59,$O$4),AE59)</f>
        <v>1095.25</v>
      </c>
      <c r="AF59" s="1000" cm="1">
        <f t="array" aca="1" ref="AF59" ca="1">IF(NPSwitch=1,_xll.TR(AF$7,AF$6,"Sdate=#1 Period=#2 Scale=6 NULL=BLANK",,$D59,$O$4),AF59)</f>
        <v>4489</v>
      </c>
      <c r="AG59" s="1000" cm="1">
        <f t="array" aca="1" ref="AG59" ca="1">IF(NPSwitch=1,_xll.TR(AG$7,AG$6,"Sdate=#1 Period=#2 Scale=6 NULL=BLANK",,$D59,$O$4),AG59)</f>
        <v>519</v>
      </c>
      <c r="AH59" s="998"/>
      <c r="AI59" s="1000" cm="1">
        <f t="array" aca="1" ref="AI59" ca="1">IF(NPSwitch=1,_xll.TR(AI$7,AI$6,"Sdate=#1 Period=#2 Scale=6 NULL=BLANK",,$D59,$O$4),AI59)</f>
        <v>65648.969378199996</v>
      </c>
      <c r="AJ59" s="1000" cm="1">
        <f t="array" aca="1" ref="AJ59" ca="1">IF(NPSwitch=1,_xll.TR(AJ$7,AJ$6,"Sdate=#1 Period=#2 Scale=6 NULL=BLANK",,$D59,$O$4),AJ59)</f>
        <v>5672.68352564</v>
      </c>
      <c r="AK59" s="1000" cm="1">
        <f t="array" aca="1" ref="AK59" ca="1">IF(NPSwitch=1,_xll.TR(AK$7,AK$6,"Sdate=#1 Period=#2 Scale=6 NULL=BLANK",,$D59,$O$4),AK59)</f>
        <v>5532.8057938399998</v>
      </c>
      <c r="AL59" s="1000" cm="1">
        <f t="array" aca="1" ref="AL59" ca="1">IF(NPSwitch=1,_xll.TR(AL$7,AL$6,"Sdate=#1 Period=#2 Scale=6 NULL=BLANK",,$D59,$O$4),AL59)</f>
        <v>1535.3611590999999</v>
      </c>
      <c r="AM59" s="1000" cm="1">
        <f t="array" aca="1" ref="AM59" ca="1">IF(NPSwitch=1,_xll.TR(AM$7,AM$6,"Sdate=#1 Period=#2 Scale=6 NULL=BLANK",,$D59,$O$4),AM59)</f>
        <v>7866.0497895400003</v>
      </c>
      <c r="AN59" s="1000" cm="1">
        <f t="array" aca="1" ref="AN59" ca="1">IF(NPSwitch=1,_xll.TR(AN$7,AN$6,"Sdate=#1 Period=#2 Scale=6 NULL=BLANK",,$D59,$O$4),AN59)</f>
        <v>6288.3300119599999</v>
      </c>
      <c r="AO59" s="1000" cm="1">
        <f t="array" aca="1" ref="AO59" ca="1">IF(NPSwitch=1,_xll.TR(AO$7,AO$6,"Sdate=#1 Period=#2 Scale=6 NULL=BLANK",,$D59,$O$4),AO59)</f>
        <v>16643.5329986</v>
      </c>
      <c r="AP59" s="1000" cm="1">
        <f t="array" aca="1" ref="AP59" ca="1">IF(NPSwitch=1,_xll.TR(AP$7,AP$6,"Sdate=#1 Period=#2 Scale=6 NULL=BLANK",,$D59,$O$4),AP59)</f>
        <v>4191.7448192649999</v>
      </c>
      <c r="AQ59" s="1000" cm="1">
        <f t="array" aca="1" ref="AQ59" ca="1">IF(NPSwitch=1,_xll.TR(AQ$7,AQ$6,"Sdate=#1 Period=#2 Scale=6 NULL=BLANK",,$D59,$O$4),AQ59)</f>
        <v>7743.6903455199999</v>
      </c>
      <c r="AS59" s="765" t="str" cm="1">
        <f t="array" aca="1" ref="AS59" ca="1">IF(NPSwitch=1,_xll.TR(AS$7,AS$6,"Sdate=#1 Period=#2 NULL=BLANK Scale=6",,$D59,$AS$4),AS59)</f>
        <v/>
      </c>
      <c r="AT59" s="765" t="str" cm="1">
        <f t="array" aca="1" ref="AT59" ca="1">IF(NPSwitch=1,_xll.TR(AT$7,AT$6,"Sdate=#1 Period=#2 NULL=BLANK Scale=6",,$D59,$AS$4),AT59)</f>
        <v/>
      </c>
      <c r="AU59" s="765" t="str" cm="1">
        <f t="array" aca="1" ref="AU59" ca="1">IF(NPSwitch=1,_xll.TR(AU$7,AU$6,"Sdate=#1 Period=#2 NULL=BLANK Scale=6",,$D59,$AS$4),AU59)</f>
        <v/>
      </c>
      <c r="AV59" s="765" t="str" cm="1">
        <f t="array" aca="1" ref="AV59" ca="1">IF(NPSwitch=1,_xll.TR(AV$7,AV$6,"Sdate=#1 Period=#2 NULL=BLANK Scale=6",,$D59,$AS$4),AV59)</f>
        <v/>
      </c>
      <c r="AW59" s="765" t="str" cm="1">
        <f t="array" aca="1" ref="AW59" ca="1">IF(NPSwitch=1,_xll.TR(AW$7,AW$6,"Sdate=#1 Period=#2 NULL=BLANK Scale=6",,$D59,$AS$4),AW59)</f>
        <v/>
      </c>
      <c r="AX59" s="765" t="str" cm="1">
        <f t="array" aca="1" ref="AX59" ca="1">IF(NPSwitch=1,_xll.TR(AX$7,AX$6,"Sdate=#1 Period=#2 NULL=BLANK Scale=6",,$D59,$AS$4),AX59)</f>
        <v/>
      </c>
      <c r="AY59" s="765" t="str" cm="1">
        <f t="array" aca="1" ref="AY59" ca="1">IF(NPSwitch=1,_xll.TR(AY$7,AY$6,"Sdate=#1 Period=#2 NULL=BLANK Scale=6",,$D59,$AS$4),AY59)</f>
        <v/>
      </c>
      <c r="AZ59" s="765" t="str" cm="1">
        <f t="array" aca="1" ref="AZ59" ca="1">IF(NPSwitch=1,_xll.TR(AZ$7,AZ$6,"Sdate=#1 Period=#2 NULL=BLANK Scale=6",,$D59,$AS$4),AZ59)</f>
        <v/>
      </c>
      <c r="BA59" s="765" t="str" cm="1">
        <f t="array" aca="1" ref="BA59" ca="1">IF(NPSwitch=1,_xll.TR(BA$7,BA$6,"Sdate=#1 Period=#2 NULL=BLANK Scale=6",,$D59,$AS$4),BA59)</f>
        <v/>
      </c>
      <c r="BB59" s="1002"/>
      <c r="BC59" s="765" cm="1">
        <f t="array" aca="1" ref="BC59" ca="1">IF(NPSwitch=1,_xll.TR(BC$7,BC$6,"Sdate=#1 Period=#2 NULL=BLANK",,$D59,$BC$4),BC59)</f>
        <v>8.8571194519999992</v>
      </c>
      <c r="BD59" s="765" cm="1">
        <f t="array" aca="1" ref="BD59" ca="1">IF(NPSwitch=1,_xll.TR(BD$7,BD$6,"Sdate=#1 Period=#2 NULL=BLANK",,$D59,$BC$4),BD59)</f>
        <v>11.745659114</v>
      </c>
      <c r="BE59" s="765" cm="1">
        <f t="array" aca="1" ref="BE59" ca="1">IF(NPSwitch=1,_xll.TR(BE$7,BE$6,"Sdate=#1 Period=#2 NULL=BLANK",,$D59,$BC$4),BE59)</f>
        <v>11.110051795</v>
      </c>
      <c r="BF59" s="765" cm="1">
        <f t="array" aca="1" ref="BF59" ca="1">IF(NPSwitch=1,_xll.TR(BF$7,BF$6,"Sdate=#1 Period=#2 NULL=BLANK",,$D59,$BC$4),BF59)</f>
        <v>7.0819241660000003</v>
      </c>
      <c r="BG59" s="765" t="str" cm="1">
        <f t="array" aca="1" ref="BG59" ca="1">IF(NPSwitch=1,_xll.TR(BG$7,BG$6,"Sdate=#1 Period=#2 NULL=BLANK",,$D59,$BC$4),BG59)</f>
        <v/>
      </c>
      <c r="BH59" s="765" cm="1">
        <f t="array" aca="1" ref="BH59" ca="1">IF(NPSwitch=1,_xll.TR(BH$7,BH$6,"Sdate=#1 Period=#2 NULL=BLANK",,$D59,$BC$4),BH59)</f>
        <v>8.9948934519999995</v>
      </c>
      <c r="BI59" s="765" cm="1">
        <f t="array" aca="1" ref="BI59" ca="1">IF(NPSwitch=1,_xll.TR(BI$7,BI$6,"Sdate=#1 Period=#2 NULL=BLANK",,$D59,$BC$4),BI59)</f>
        <v>8.9098142389999992</v>
      </c>
      <c r="BJ59" s="765" cm="1">
        <f t="array" aca="1" ref="BJ59" ca="1">IF(NPSwitch=1,_xll.TR(BJ$7,BJ$6,"Sdate=#1 Period=#2 NULL=BLANK",,$D59,$BC$4),BJ59)</f>
        <v>3.8884460289999998</v>
      </c>
      <c r="BK59" s="765" cm="1">
        <f t="array" aca="1" ref="BK59" ca="1">IF(NPSwitch=1,_xll.TR(BK$7,BK$6,"Sdate=#1 Period=#2 NULL=BLANK",,$D59,$BC$4),BK59)</f>
        <v>6.6755951250000001</v>
      </c>
      <c r="BM59" s="1014"/>
      <c r="BO59" s="765" cm="1">
        <f t="array" aca="1" ref="BO59" ca="1">IF(NPSwitch=1,_xll.TR(BO$7,BO$6,"Sdate=#1 Period=#2 NULL=BLANK Scale=6",,$D59,$AS$4),BO59)</f>
        <v>26662</v>
      </c>
      <c r="BP59" s="765" cm="1">
        <f t="array" aca="1" ref="BP59" ca="1">IF(NPSwitch=1,_xll.TR(BP$7,BP$6,"Sdate=#1 Period=#2 NULL=BLANK Scale=6",,$D59,$AS$4),BP59)</f>
        <v>2362.7640000000001</v>
      </c>
      <c r="BQ59" s="765" cm="1">
        <f t="array" aca="1" ref="BQ59" ca="1">IF(NPSwitch=1,_xll.TR(BQ$7,BQ$6,"Sdate=#1 Period=#2 NULL=BLANK Scale=6",,$D59,$AS$4),BQ59)</f>
        <v>5850</v>
      </c>
      <c r="BR59" s="765" cm="1">
        <f t="array" aca="1" ref="BR59" ca="1">IF(NPSwitch=1,_xll.TR(BR$7,BR$6,"Sdate=#1 Period=#2 NULL=BLANK Scale=6",,$D59,$AS$4),BR59)</f>
        <v>2621.9</v>
      </c>
      <c r="BS59" s="765" cm="1">
        <f t="array" aca="1" ref="BS59" ca="1">IF(NPSwitch=1,_xll.TR(BS$7,BS$6,"Sdate=#1 Period=#2 NULL=BLANK Scale=6",,$D59,$AS$4),BS59)</f>
        <v>8902</v>
      </c>
      <c r="BT59" s="765" cm="1">
        <f t="array" aca="1" ref="BT59" ca="1">IF(NPSwitch=1,_xll.TR(BT$7,BT$6,"Sdate=#1 Period=#2 NULL=BLANK Scale=6",,$D59,$AS$4),BT59)</f>
        <v>3116.3</v>
      </c>
      <c r="BU59" s="765" cm="1">
        <f t="array" aca="1" ref="BU59" ca="1">IF(NPSwitch=1,_xll.TR(BU$7,BU$6,"Sdate=#1 Period=#2 NULL=BLANK Scale=6",,$D59,$AS$4),BU59)</f>
        <v>13423</v>
      </c>
      <c r="BV59" s="765" cm="1">
        <f t="array" aca="1" ref="BV59" ca="1">IF(NPSwitch=1,_xll.TR(BV$7,BV$6,"Sdate=#1 Period=#2 NULL=BLANK Scale=6",,$D59,$AS$4),BV59)</f>
        <v>6047</v>
      </c>
      <c r="BW59" s="765" cm="1">
        <f t="array" aca="1" ref="BW59" ca="1">IF(NPSwitch=1,_xll.TR(BW$7,BW$6,"Sdate=#1 Period=#2 NULL=BLANK Scale=6",,$D59,$AS$4),BW59)</f>
        <v>5842</v>
      </c>
      <c r="BX59" s="1002"/>
      <c r="BY59" s="765" cm="1">
        <f t="array" aca="1" ref="BY59" ca="1">IF(NPSwitch=1,_xll.TR(BY$7,BY$6,"Sdate=#1 Period=#2 NULL=BLANK Scale=6",,$D59,$AS$4),BY59)</f>
        <v>20657.25</v>
      </c>
      <c r="BZ59" s="765" cm="1">
        <f t="array" aca="1" ref="BZ59" ca="1">IF(NPSwitch=1,_xll.TR(BZ$7,BZ$6,"Sdate=#1 Period=#2 NULL=BLANK Scale=6",,$D59,$AS$4),BZ59)</f>
        <v>2157.5729999999999</v>
      </c>
      <c r="CA59" s="765" cm="1">
        <f t="array" aca="1" ref="CA59" ca="1">IF(NPSwitch=1,_xll.TR(CA$7,CA$6,"Sdate=#1 Period=#2 NULL=BLANK Scale=6",,$D59,$AS$4),CA59)</f>
        <v>5090</v>
      </c>
      <c r="CB59" s="765" cm="1">
        <f t="array" aca="1" ref="CB59" ca="1">IF(NPSwitch=1,_xll.TR(CB$7,CB$6,"Sdate=#1 Period=#2 NULL=BLANK Scale=6",,$D59,$AS$4),CB59)</f>
        <v>851.07500000000005</v>
      </c>
      <c r="CC59" s="765" cm="1">
        <f t="array" aca="1" ref="CC59" ca="1">IF(NPSwitch=1,_xll.TR(CC$7,CC$6,"Sdate=#1 Period=#2 NULL=BLANK Scale=6",,$D59,$AS$4),CC59)</f>
        <v>5917.5</v>
      </c>
      <c r="CD59" s="765" cm="1">
        <f t="array" aca="1" ref="CD59" ca="1">IF(NPSwitch=1,_xll.TR(CD$7,CD$6,"Sdate=#1 Period=#2 NULL=BLANK Scale=6",,$D59,$AS$4),CD59)</f>
        <v>1897.5250000000001</v>
      </c>
      <c r="CE59" s="765" cm="1">
        <f t="array" aca="1" ref="CE59" ca="1">IF(NPSwitch=1,_xll.TR(CE$7,CE$6,"Sdate=#1 Period=#2 NULL=BLANK Scale=6",,$D59,$AS$4),CE59)</f>
        <v>7202</v>
      </c>
      <c r="CF59" s="765" cm="1">
        <f t="array" aca="1" ref="CF59" ca="1">IF(NPSwitch=1,_xll.TR(CF$7,CF$6,"Sdate=#1 Period=#2 NULL=BLANK Scale=6",,$D59,$AS$4),CF59)</f>
        <v>9316</v>
      </c>
      <c r="CG59" s="765" cm="1">
        <f t="array" aca="1" ref="CG59" ca="1">IF(NPSwitch=1,_xll.TR(CG$7,CG$6,"Sdate=#1 Period=#2 NULL=BLANK Scale=6",,$D59,$AS$4),CG59)</f>
        <v>3315.75</v>
      </c>
      <c r="CI59" s="1000" cm="1">
        <f t="array" aca="1" ref="CI59" ca="1">IF(NPSwitch=1,_xll.TR(CI$7,CI$6,"Sdate=#1 Period=#2 NULL=BLANK Scale=6",,$D59,$AS$4),CI59)</f>
        <v>7101</v>
      </c>
      <c r="CJ59" s="1000" cm="1">
        <f t="array" aca="1" ref="CJ59" ca="1">IF(NPSwitch=1,_xll.TR(CJ$7,CJ$6,"Sdate=#1 Period=#2 NULL=BLANK Scale=6",,$D59,$AS$4),CJ59)</f>
        <v>517.38400000000001</v>
      </c>
      <c r="CK59" s="1000" t="str" cm="1">
        <f t="array" aca="1" ref="CK59" ca="1">IF(NPSwitch=1,_xll.TR(CK$7,CK$6,"Sdate=#1 Period=#2 NULL=BLANK Scale=6",,$D59,$AS$4),CK59)</f>
        <v/>
      </c>
      <c r="CL59" s="1000" cm="1">
        <f t="array" aca="1" ref="CL59" ca="1">IF(NPSwitch=1,_xll.TR(CL$7,CL$6,"Sdate=#1 Period=#2 NULL=BLANK Scale=6",,$D59,$AS$4),CL59)</f>
        <v>182.5</v>
      </c>
      <c r="CM59" s="1000" cm="1">
        <f t="array" aca="1" ref="CM59" ca="1">IF(NPSwitch=1,_xll.TR(CM$7,CM$6,"Sdate=#1 Period=#2 NULL=BLANK Scale=6",,$D59,$AS$4),CM59)</f>
        <v>821</v>
      </c>
      <c r="CN59" s="1000" cm="1">
        <f t="array" aca="1" ref="CN59" ca="1">IF(NPSwitch=1,_xll.TR(CN$7,CN$6,"Sdate=#1 Period=#2 NULL=BLANK Scale=6",,$D59,$AS$4),CN59)</f>
        <v>689.8</v>
      </c>
      <c r="CO59" s="1000" cm="1">
        <f t="array" aca="1" ref="CO59" ca="1">IF(NPSwitch=1,_xll.TR(CO$7,CO$6,"Sdate=#1 Period=#2 NULL=BLANK Scale=6",,$D59,$AS$4),CO59)</f>
        <v>1957</v>
      </c>
      <c r="CP59" s="1000" cm="1">
        <f t="array" aca="1" ref="CP59" ca="1">IF(NPSwitch=1,_xll.TR(CP$7,CP$6,"Sdate=#1 Period=#2 NULL=BLANK Scale=6",,$D59,$AS$4),CP59)</f>
        <v>1091</v>
      </c>
      <c r="CQ59" s="1000" cm="1">
        <f t="array" aca="1" ref="CQ59" ca="1">IF(NPSwitch=1,_xll.TR(CQ$7,CQ$6,"Sdate=#1 Period=#2 NULL=BLANK Scale=6",,$D59,$AS$4),CQ59)</f>
        <v>1171</v>
      </c>
      <c r="CS59" s="1000" cm="1">
        <f t="array" aca="1" ref="CS59" ca="1">IF(NPSwitch=1,_xll.TR(CS$7,CS$6,"Sdate=#1 Period=#2 NULL=BLANK Scale=6",,$D59,$AS$4),CS59)</f>
        <v>6942</v>
      </c>
      <c r="CT59" s="1000" cm="1">
        <f t="array" aca="1" ref="CT59" ca="1">IF(NPSwitch=1,_xll.TR(CT$7,CT$6,"Sdate=#1 Period=#2 NULL=BLANK Scale=6",,$D59,$AS$4),CT59)</f>
        <v>999.06975</v>
      </c>
      <c r="CU59" s="1000" cm="1">
        <f t="array" aca="1" ref="CU59" ca="1">IF(NPSwitch=1,_xll.TR(CU$7,CU$6,"Sdate=#1 Period=#2 NULL=BLANK Scale=6",,$D59,$AS$4),CU59)</f>
        <v>1870.5</v>
      </c>
      <c r="CV59" s="1000" cm="1">
        <f t="array" aca="1" ref="CV59" ca="1">IF(NPSwitch=1,_xll.TR(CV$7,CV$6,"Sdate=#1 Period=#2 NULL=BLANK Scale=6",,$D59,$AS$4),CV59)</f>
        <v>371.32499999999999</v>
      </c>
      <c r="CW59" s="1000" cm="1">
        <f t="array" aca="1" ref="CW59" ca="1">IF(NPSwitch=1,_xll.TR(CW$7,CW$6,"Sdate=#1 Period=#2 NULL=BLANK Scale=6",,$D59,$AS$4),CW59)</f>
        <v>929.05</v>
      </c>
      <c r="CX59" s="1000" cm="1">
        <f t="array" aca="1" ref="CX59" ca="1">IF(NPSwitch=1,_xll.TR(CX$7,CX$6,"Sdate=#1 Period=#2 NULL=BLANK Scale=6",,$D59,$AS$4),CX59)</f>
        <v>2624.75</v>
      </c>
      <c r="CY59" s="1000" cm="1">
        <f t="array" aca="1" ref="CY59" ca="1">IF(NPSwitch=1,_xll.TR(CY$7,CY$6,"Sdate=#1 Period=#2 NULL=BLANK Scale=6",,$D59,$AS$4),CY59)</f>
        <v>3737.75</v>
      </c>
      <c r="CZ59" s="1000" cm="1">
        <f t="array" aca="1" ref="CZ59" ca="1">IF(NPSwitch=1,_xll.TR(CZ$7,CZ$6,"Sdate=#1 Period=#2 NULL=BLANK Scale=6",,$D59,$AS$4),CZ59)</f>
        <v>3083.25</v>
      </c>
      <c r="DA59" s="1000" cm="1">
        <f t="array" aca="1" ref="DA59" ca="1">IF(NPSwitch=1,_xll.TR(DA$7,DA$6,"Sdate=#1 Period=#2 NULL=BLANK Scale=6",,$D59,$AS$4),DA59)</f>
        <v>2825</v>
      </c>
      <c r="DB59" s="1000" cm="1">
        <f t="array" aca="1" ref="DB59" ca="1">IF(NPSwitch=1,_xll.TR(DB$7,DB$6,"Sdate=#1 Period=#2 NULL=BLANK Scale=6",,$D59,$AS$4),DB59)</f>
        <v>16465.5</v>
      </c>
      <c r="DC59" s="1000" t="str" cm="1">
        <f t="array" aca="1" ref="DC59" ca="1">IF(NPSwitch=1,_xll.TR(DC$7,DC$6,"Sdate=#1 Period=#2 NULL=BLANK Scale=6",,$D59,$AS$4),DC59)</f>
        <v/>
      </c>
      <c r="DD59" s="1000" t="str" cm="1">
        <f t="array" aca="1" ref="DD59" ca="1">IF(NPSwitch=1,_xll.TR(DD$7,DD$6,"Sdate=#1 Period=#2 NULL=BLANK Scale=6",,$D59,$AS$4),DD59)</f>
        <v/>
      </c>
      <c r="DE59" s="1000" t="str" cm="1">
        <f t="array" aca="1" ref="DE59" ca="1">IF(NPSwitch=1,_xll.TR(DE$7,DE$6,"Sdate=#1 Period=#2 NULL=BLANK Scale=6",,$D59,$AS$4),DE59)</f>
        <v/>
      </c>
      <c r="DF59" s="1000" cm="1">
        <f t="array" aca="1" ref="DF59" ca="1">IF(NPSwitch=1,_xll.TR(DF$7,DF$6,"Sdate=#1 Period=#2 NULL=BLANK Scale=6",,$D59,$AS$4),DF59)</f>
        <v>371.32499999999999</v>
      </c>
      <c r="DG59" s="1000" cm="1">
        <f t="array" aca="1" ref="DG59" ca="1">IF(NPSwitch=1,_xll.TR(DG$7,DG$6,"Sdate=#1 Period=#2 NULL=BLANK Scale=6",,$D59,$AS$4),DG59)</f>
        <v>3431</v>
      </c>
      <c r="DH59" s="1000" cm="1">
        <f t="array" aca="1" ref="DH59" ca="1">IF(NPSwitch=1,_xll.TR(DH$7,DH$6,"Sdate=#1 Period=#2 NULL=BLANK Scale=6",,$D59,$AS$4),DH59)</f>
        <v>1178.9245000000001</v>
      </c>
      <c r="FN59" s="3" t="s">
        <v>1565</v>
      </c>
    </row>
    <row r="60" spans="1:170">
      <c r="C60" s="969">
        <f t="shared" si="44"/>
        <v>40633</v>
      </c>
      <c r="D60" s="974">
        <f t="shared" si="43"/>
        <v>40678</v>
      </c>
      <c r="E60" s="765" cm="1">
        <f t="array" aca="1" ref="E60" ca="1">IF(NPSwitch=1,_xll.TR(E$7,E$6,"Sdate=#1 Period=#2 NULL=BLANK",,$D60,$E$4),E60)</f>
        <v>8.5833847607836304</v>
      </c>
      <c r="F60" s="765" cm="1">
        <f t="array" aca="1" ref="F60" ca="1">IF(NPSwitch=1,_xll.TR(F$7,F$6,"Sdate=#1 Period=#2 NULL=BLANK",,$D60,$E$4),F60)</f>
        <v>9.5298793679840799</v>
      </c>
      <c r="G60" s="765" cm="1">
        <f t="array" aca="1" ref="G60" ca="1">IF(NPSwitch=1,_xll.TR(G$7,G$6,"Sdate=#1 Period=#2 NULL=BLANK",,$D60,$E$4),G60)</f>
        <v>5.2923540711262698</v>
      </c>
      <c r="H60" s="765" cm="1">
        <f t="array" aca="1" ref="H60" ca="1">IF(NPSwitch=1,_xll.TR(H$7,H$6,"Sdate=#1 Period=#2 NULL=BLANK",,$D60,$E$4),H60)</f>
        <v>5.6449780815357604</v>
      </c>
      <c r="I60" s="765" cm="1">
        <f t="array" aca="1" ref="I60" ca="1">IF(NPSwitch=1,_xll.TR(I$7,I$6,"Sdate=#1 Period=#2 NULL=BLANK",,$D60,$E$4),I60)</f>
        <v>6.0874126563522903</v>
      </c>
      <c r="J60" s="765" cm="1">
        <f t="array" aca="1" ref="J60" ca="1">IF(NPSwitch=1,_xll.TR(J$7,J$6,"Sdate=#1 Period=#2 NULL=BLANK",,$D60,$E$4),J60)</f>
        <v>8.2704725885683601</v>
      </c>
      <c r="K60" s="765" cm="1">
        <f t="array" aca="1" ref="K60" ca="1">IF(NPSwitch=1,_xll.TR(K$7,K$6,"Sdate=#1 Period=#2 NULL=BLANK",,$D60,$E$4),K60)</f>
        <v>7.3913141891183898</v>
      </c>
      <c r="L60" s="765" cm="1">
        <f t="array" aca="1" ref="L60" ca="1">IF(NPSwitch=1,_xll.TR(L$7,L$6,"Sdate=#1 Period=#2 NULL=BLANK",,$D60,$E$4),L60)</f>
        <v>8.4207634356412608</v>
      </c>
      <c r="M60" s="765" cm="1">
        <f t="array" aca="1" ref="M60" ca="1">IF(NPSwitch=1,_xll.TR(M$7,M$6,"Sdate=#1 Period=#2 NULL=BLANK",,$D60,$E$4),M60)</f>
        <v>5.9462120607608604</v>
      </c>
      <c r="N60" s="1002">
        <f t="shared" ca="1" si="45"/>
        <v>6.8512158370570555</v>
      </c>
      <c r="O60" s="1000" cm="1">
        <f t="array" aca="1" ref="O60" ca="1">IF(NPSwitch=1,_xll.TR(O$7,O$6,"Sdate=#1 Period=#2 Scale=6 NULL=BLANK",,$D60,$O$4),O60)</f>
        <v>68222.5323336</v>
      </c>
      <c r="P60" s="1000" cm="1">
        <f t="array" aca="1" ref="P60" ca="1">IF(NPSwitch=1,_xll.TR(P$7,P$6,"Sdate=#1 Period=#2 Scale=6 NULL=BLANK",,$D60,$O$4),P60)</f>
        <v>6258.8985821400001</v>
      </c>
      <c r="Q60" s="1000" cm="1">
        <f t="array" aca="1" ref="Q60" ca="1">IF(NPSwitch=1,_xll.TR(Q$7,Q$6,"Sdate=#1 Period=#2 Scale=6 NULL=BLANK",,$D60,$O$4),Q60)</f>
        <v>4843.1659787999997</v>
      </c>
      <c r="R60" s="1000" cm="1">
        <f t="array" aca="1" ref="R60" ca="1">IF(NPSwitch=1,_xll.TR(R$7,R$6,"Sdate=#1 Period=#2 Scale=6 NULL=BLANK",,$D60,$O$4),R60)</f>
        <v>1346.6548158000001</v>
      </c>
      <c r="S60" s="1000" cm="1">
        <f t="array" aca="1" ref="S60" ca="1">IF(NPSwitch=1,_xll.TR(S$7,S$6,"Sdate=#1 Period=#2 Scale=6 NULL=BLANK",,$D60,$O$4),S60)</f>
        <v>4606.8743747400003</v>
      </c>
      <c r="T60" s="1000" cm="1">
        <f t="array" aca="1" ref="T60" ca="1">IF(NPSwitch=1,_xll.TR(T$7,T$6,"Sdate=#1 Period=#2 Scale=6 NULL=BLANK",,$D60,$O$4),T60)</f>
        <v>6005.3869586699902</v>
      </c>
      <c r="U60" s="1000" cm="1">
        <f t="array" aca="1" ref="U60" ca="1">IF(NPSwitch=1,_xll.TR(U$7,U$6,"Sdate=#1 Period=#2 Scale=6 NULL=BLANK",,$D60,$O$4),U60)</f>
        <v>13991.719294979999</v>
      </c>
      <c r="V60" s="1000" cm="1">
        <f t="array" aca="1" ref="V60" ca="1">IF(NPSwitch=1,_xll.TR(V$7,V$6,"Sdate=#1 Period=#2 Scale=6 NULL=BLANK",,$D60,$O$4),V60)</f>
        <v>9007.9654945499897</v>
      </c>
      <c r="W60" s="1000" cm="1">
        <f t="array" aca="1" ref="W60" ca="1">IF(NPSwitch=1,_xll.TR(W$7,W$6,"Sdate=#1 Period=#2 Scale=6 NULL=BLANK",,$D60,$O$4),W60)</f>
        <v>7431.3457288499903</v>
      </c>
      <c r="X60" s="998"/>
      <c r="Y60" s="1000" cm="1">
        <f t="array" aca="1" ref="Y60" ca="1">IF(NPSwitch=1,_xll.TR(Y$7,Y$6,"Sdate=#1 Period=#2 Scale=6 NULL=BLANK",,$D60,$O$4),Y60)</f>
        <v>4823.5</v>
      </c>
      <c r="Z60" s="1000" cm="1">
        <f t="array" aca="1" ref="Z60" ca="1">IF(NPSwitch=1,_xll.TR(Z$7,Z$6,"Sdate=#1 Period=#2 Scale=6 NULL=BLANK",,$D60,$O$4),Z60)</f>
        <v>429.86475000000002</v>
      </c>
      <c r="AA60" s="1000" cm="1">
        <f t="array" aca="1" ref="AA60" ca="1">IF(NPSwitch=1,_xll.TR(AA$7,AA$6,"Sdate=#1 Period=#2 Scale=6 NULL=BLANK",,$D60,$O$4),AA60)</f>
        <v>601</v>
      </c>
      <c r="AB60" s="1000" cm="1">
        <f t="array" aca="1" ref="AB60" ca="1">IF(NPSwitch=1,_xll.TR(AB$7,AB$6,"Sdate=#1 Period=#2 Scale=6 NULL=BLANK",,$D60,$O$4),AB60)</f>
        <v>334.875</v>
      </c>
      <c r="AC60" s="1000" cm="1">
        <f t="array" aca="1" ref="AC60" ca="1">IF(NPSwitch=1,_xll.TR(AC$7,AC$6,"Sdate=#1 Period=#2 Scale=6 NULL=BLANK",,$D60,$O$4),AC60)</f>
        <v>841.75</v>
      </c>
      <c r="AD60" s="1000" cm="1">
        <f t="array" aca="1" ref="AD60" ca="1">IF(NPSwitch=1,_xll.TR(AD$7,AD$6,"Sdate=#1 Period=#2 Scale=6 NULL=BLANK",,$D60,$O$4),AD60)</f>
        <v>169.3</v>
      </c>
      <c r="AE60" s="1000" cm="1">
        <f t="array" aca="1" ref="AE60" ca="1">IF(NPSwitch=1,_xll.TR(AE$7,AE$6,"Sdate=#1 Period=#2 Scale=6 NULL=BLANK",,$D60,$O$4),AE60)</f>
        <v>1268.75</v>
      </c>
      <c r="AF60" s="1000" cm="1">
        <f t="array" aca="1" ref="AF60" ca="1">IF(NPSwitch=1,_xll.TR(AF$7,AF$6,"Sdate=#1 Period=#2 Scale=6 NULL=BLANK",,$D60,$O$4),AF60)</f>
        <v>3914.5</v>
      </c>
      <c r="AG60" s="1000" cm="1">
        <f t="array" aca="1" ref="AG60" ca="1">IF(NPSwitch=1,_xll.TR(AG$7,AG$6,"Sdate=#1 Period=#2 Scale=6 NULL=BLANK",,$D60,$O$4),AG60)</f>
        <v>608.25</v>
      </c>
      <c r="AH60" s="998"/>
      <c r="AI60" s="1000" cm="1">
        <f t="array" aca="1" ref="AI60" ca="1">IF(NPSwitch=1,_xll.TR(AI$7,AI$6,"Sdate=#1 Period=#2 Scale=6 NULL=BLANK",,$D60,$O$4),AI60)</f>
        <v>70202.5323336</v>
      </c>
      <c r="AJ60" s="1000" cm="1">
        <f t="array" aca="1" ref="AJ60" ca="1">IF(NPSwitch=1,_xll.TR(AJ$7,AJ$6,"Sdate=#1 Period=#2 Scale=6 NULL=BLANK",,$D60,$O$4),AJ60)</f>
        <v>6652.1385821399999</v>
      </c>
      <c r="AK60" s="1000" cm="1">
        <f t="array" aca="1" ref="AK60" ca="1">IF(NPSwitch=1,_xll.TR(AK$7,AK$6,"Sdate=#1 Period=#2 Scale=6 NULL=BLANK",,$D60,$O$4),AK60)</f>
        <v>4621.1659787999997</v>
      </c>
      <c r="AL60" s="1000" cm="1">
        <f t="array" aca="1" ref="AL60" ca="1">IF(NPSwitch=1,_xll.TR(AL$7,AL$6,"Sdate=#1 Period=#2 Scale=6 NULL=BLANK",,$D60,$O$4),AL60)</f>
        <v>1367.3548158000001</v>
      </c>
      <c r="AM60" s="1000" cm="1">
        <f t="array" aca="1" ref="AM60" ca="1">IF(NPSwitch=1,_xll.TR(AM$7,AM$6,"Sdate=#1 Period=#2 Scale=6 NULL=BLANK",,$D60,$O$4),AM60)</f>
        <v>8101.8743747400003</v>
      </c>
      <c r="AN60" s="1000" cm="1">
        <f t="array" aca="1" ref="AN60" ca="1">IF(NPSwitch=1,_xll.TR(AN$7,AN$6,"Sdate=#1 Period=#2 Scale=6 NULL=BLANK",,$D60,$O$4),AN60)</f>
        <v>6638.0869586700001</v>
      </c>
      <c r="AO60" s="1000" cm="1">
        <f t="array" aca="1" ref="AO60" ca="1">IF(NPSwitch=1,_xll.TR(AO$7,AO$6,"Sdate=#1 Period=#2 Scale=6 NULL=BLANK",,$D60,$O$4),AO60)</f>
        <v>16926.719294980001</v>
      </c>
      <c r="AP60" s="1000" cm="1">
        <f t="array" aca="1" ref="AP60" ca="1">IF(NPSwitch=1,_xll.TR(AP$7,AP$6,"Sdate=#1 Period=#2 Scale=6 NULL=BLANK",,$D60,$O$4),AP60)</f>
        <v>9451.9654945500006</v>
      </c>
      <c r="AQ60" s="1000" cm="1">
        <f t="array" aca="1" ref="AQ60" ca="1">IF(NPSwitch=1,_xll.TR(AQ$7,AQ$6,"Sdate=#1 Period=#2 Scale=6 NULL=BLANK",,$D60,$O$4),AQ60)</f>
        <v>8194.3457288499994</v>
      </c>
      <c r="AS60" s="765" t="str" cm="1">
        <f t="array" aca="1" ref="AS60" ca="1">IF(NPSwitch=1,_xll.TR(AS$7,AS$6,"Sdate=#1 Period=#2 NULL=BLANK Scale=6",,$D60,$AS$4),AS60)</f>
        <v/>
      </c>
      <c r="AT60" s="765" t="str" cm="1">
        <f t="array" aca="1" ref="AT60" ca="1">IF(NPSwitch=1,_xll.TR(AT$7,AT$6,"Sdate=#1 Period=#2 NULL=BLANK Scale=6",,$D60,$AS$4),AT60)</f>
        <v/>
      </c>
      <c r="AU60" s="765" t="str" cm="1">
        <f t="array" aca="1" ref="AU60" ca="1">IF(NPSwitch=1,_xll.TR(AU$7,AU$6,"Sdate=#1 Period=#2 NULL=BLANK Scale=6",,$D60,$AS$4),AU60)</f>
        <v/>
      </c>
      <c r="AV60" s="765" t="str" cm="1">
        <f t="array" aca="1" ref="AV60" ca="1">IF(NPSwitch=1,_xll.TR(AV$7,AV$6,"Sdate=#1 Period=#2 NULL=BLANK Scale=6",,$D60,$AS$4),AV60)</f>
        <v/>
      </c>
      <c r="AW60" s="765" t="str" cm="1">
        <f t="array" aca="1" ref="AW60" ca="1">IF(NPSwitch=1,_xll.TR(AW$7,AW$6,"Sdate=#1 Period=#2 NULL=BLANK Scale=6",,$D60,$AS$4),AW60)</f>
        <v/>
      </c>
      <c r="AX60" s="765" t="str" cm="1">
        <f t="array" aca="1" ref="AX60" ca="1">IF(NPSwitch=1,_xll.TR(AX$7,AX$6,"Sdate=#1 Period=#2 NULL=BLANK Scale=6",,$D60,$AS$4),AX60)</f>
        <v/>
      </c>
      <c r="AY60" s="765" t="str" cm="1">
        <f t="array" aca="1" ref="AY60" ca="1">IF(NPSwitch=1,_xll.TR(AY$7,AY$6,"Sdate=#1 Period=#2 NULL=BLANK Scale=6",,$D60,$AS$4),AY60)</f>
        <v/>
      </c>
      <c r="AZ60" s="765" t="str" cm="1">
        <f t="array" aca="1" ref="AZ60" ca="1">IF(NPSwitch=1,_xll.TR(AZ$7,AZ$6,"Sdate=#1 Period=#2 NULL=BLANK Scale=6",,$D60,$AS$4),AZ60)</f>
        <v/>
      </c>
      <c r="BA60" s="765" t="str" cm="1">
        <f t="array" aca="1" ref="BA60" ca="1">IF(NPSwitch=1,_xll.TR(BA$7,BA$6,"Sdate=#1 Period=#2 NULL=BLANK Scale=6",,$D60,$AS$4),BA60)</f>
        <v/>
      </c>
      <c r="BB60" s="1002"/>
      <c r="BC60" s="765" cm="1">
        <f t="array" aca="1" ref="BC60" ca="1">IF(NPSwitch=1,_xll.TR(BC$7,BC$6,"Sdate=#1 Period=#2 NULL=BLANK",,$D60,$BC$4),BC60)</f>
        <v>9.8089328400000007</v>
      </c>
      <c r="BD60" s="765" cm="1">
        <f t="array" aca="1" ref="BD60" ca="1">IF(NPSwitch=1,_xll.TR(BD$7,BD$6,"Sdate=#1 Period=#2 NULL=BLANK",,$D60,$BC$4),BD60)</f>
        <v>11.572418452999999</v>
      </c>
      <c r="BE60" s="765" cm="1">
        <f t="array" aca="1" ref="BE60" ca="1">IF(NPSwitch=1,_xll.TR(BE$7,BE$6,"Sdate=#1 Period=#2 NULL=BLANK",,$D60,$BC$4),BE60)</f>
        <v>8.5895278420000007</v>
      </c>
      <c r="BF60" s="765" cm="1">
        <f t="array" aca="1" ref="BF60" ca="1">IF(NPSwitch=1,_xll.TR(BF$7,BF$6,"Sdate=#1 Period=#2 NULL=BLANK",,$D60,$BC$4),BF60)</f>
        <v>18.552982575000001</v>
      </c>
      <c r="BG60" s="765" t="str" cm="1">
        <f t="array" aca="1" ref="BG60" ca="1">IF(NPSwitch=1,_xll.TR(BG$7,BG$6,"Sdate=#1 Period=#2 NULL=BLANK",,$D60,$BC$4),BG60)</f>
        <v/>
      </c>
      <c r="BH60" s="765" cm="1">
        <f t="array" aca="1" ref="BH60" ca="1">IF(NPSwitch=1,_xll.TR(BH$7,BH$6,"Sdate=#1 Period=#2 NULL=BLANK",,$D60,$BC$4),BH60)</f>
        <v>9.6413753940000007</v>
      </c>
      <c r="BI60" s="765" cm="1">
        <f t="array" aca="1" ref="BI60" ca="1">IF(NPSwitch=1,_xll.TR(BI$7,BI$6,"Sdate=#1 Period=#2 NULL=BLANK",,$D60,$BC$4),BI60)</f>
        <v>8.0757248540000006</v>
      </c>
      <c r="BJ60" s="765" cm="1">
        <f t="array" aca="1" ref="BJ60" ca="1">IF(NPSwitch=1,_xll.TR(BJ$7,BJ$6,"Sdate=#1 Period=#2 NULL=BLANK",,$D60,$BC$4),BJ60)</f>
        <v>7.8115417310000002</v>
      </c>
      <c r="BK60" s="765" cm="1">
        <f t="array" aca="1" ref="BK60" ca="1">IF(NPSwitch=1,_xll.TR(BK$7,BK$6,"Sdate=#1 Period=#2 NULL=BLANK",,$D60,$BC$4),BK60)</f>
        <v>6.3276800990000002</v>
      </c>
      <c r="BM60" s="1014"/>
      <c r="BO60" s="765" cm="1">
        <f t="array" aca="1" ref="BO60" ca="1">IF(NPSwitch=1,_xll.TR(BO$7,BO$6,"Sdate=#1 Period=#2 NULL=BLANK Scale=6",,$D60,$AS$4),BO60)</f>
        <v>27625</v>
      </c>
      <c r="BP60" s="765" cm="1">
        <f t="array" aca="1" ref="BP60" ca="1">IF(NPSwitch=1,_xll.TR(BP$7,BP$6,"Sdate=#1 Period=#2 NULL=BLANK Scale=6",,$D60,$AS$4),BP60)</f>
        <v>2479.0239999999999</v>
      </c>
      <c r="BQ60" s="765" cm="1">
        <f t="array" aca="1" ref="BQ60" ca="1">IF(NPSwitch=1,_xll.TR(BQ$7,BQ$6,"Sdate=#1 Period=#2 NULL=BLANK Scale=6",,$D60,$AS$4),BQ60)</f>
        <v>5984</v>
      </c>
      <c r="BR60" s="765" cm="1">
        <f t="array" aca="1" ref="BR60" ca="1">IF(NPSwitch=1,_xll.TR(BR$7,BR$6,"Sdate=#1 Period=#2 NULL=BLANK Scale=6",,$D60,$AS$4),BR60)</f>
        <v>2710</v>
      </c>
      <c r="BS60" s="765" cm="1">
        <f t="array" aca="1" ref="BS60" ca="1">IF(NPSwitch=1,_xll.TR(BS$7,BS$6,"Sdate=#1 Period=#2 NULL=BLANK Scale=6",,$D60,$AS$4),BS60)</f>
        <v>9835</v>
      </c>
      <c r="BT60" s="765" cm="1">
        <f t="array" aca="1" ref="BT60" ca="1">IF(NPSwitch=1,_xll.TR(BT$7,BT$6,"Sdate=#1 Period=#2 NULL=BLANK Scale=6",,$D60,$AS$4),BT60)</f>
        <v>3154.8</v>
      </c>
      <c r="BU60" s="765" cm="1">
        <f t="array" aca="1" ref="BU60" ca="1">IF(NPSwitch=1,_xll.TR(BU$7,BU$6,"Sdate=#1 Period=#2 NULL=BLANK Scale=6",,$D60,$AS$4),BU60)</f>
        <v>13830</v>
      </c>
      <c r="BV60" s="765" cm="1">
        <f t="array" aca="1" ref="BV60" ca="1">IF(NPSwitch=1,_xll.TR(BV$7,BV$6,"Sdate=#1 Period=#2 NULL=BLANK Scale=6",,$D60,$AS$4),BV60)</f>
        <v>6423</v>
      </c>
      <c r="BW60" s="765" cm="1">
        <f t="array" aca="1" ref="BW60" ca="1">IF(NPSwitch=1,_xll.TR(BW$7,BW$6,"Sdate=#1 Period=#2 NULL=BLANK Scale=6",,$D60,$AS$4),BW60)</f>
        <v>6230</v>
      </c>
      <c r="BX60" s="1002"/>
      <c r="BY60" s="765" cm="1">
        <f t="array" aca="1" ref="BY60" ca="1">IF(NPSwitch=1,_xll.TR(BY$7,BY$6,"Sdate=#1 Period=#2 NULL=BLANK Scale=6",,$D60,$AS$4),BY60)</f>
        <v>21376.5</v>
      </c>
      <c r="BZ60" s="765" cm="1">
        <f t="array" aca="1" ref="BZ60" ca="1">IF(NPSwitch=1,_xll.TR(BZ$7,BZ$6,"Sdate=#1 Period=#2 NULL=BLANK Scale=6",,$D60,$AS$4),BZ60)</f>
        <v>2253.4542499999998</v>
      </c>
      <c r="CA60" s="765" cm="1">
        <f t="array" aca="1" ref="CA60" ca="1">IF(NPSwitch=1,_xll.TR(CA$7,CA$6,"Sdate=#1 Period=#2 NULL=BLANK Scale=6",,$D60,$AS$4),CA60)</f>
        <v>5154.75</v>
      </c>
      <c r="CB60" s="765" cm="1">
        <f t="array" aca="1" ref="CB60" ca="1">IF(NPSwitch=1,_xll.TR(CB$7,CB$6,"Sdate=#1 Period=#2 NULL=BLANK Scale=6",,$D60,$AS$4),CB60)</f>
        <v>922.82500000000005</v>
      </c>
      <c r="CC60" s="765" cm="1">
        <f t="array" aca="1" ref="CC60" ca="1">IF(NPSwitch=1,_xll.TR(CC$7,CC$6,"Sdate=#1 Period=#2 NULL=BLANK Scale=6",,$D60,$AS$4),CC60)</f>
        <v>5959.75</v>
      </c>
      <c r="CD60" s="765" cm="1">
        <f t="array" aca="1" ref="CD60" ca="1">IF(NPSwitch=1,_xll.TR(CD$7,CD$6,"Sdate=#1 Period=#2 NULL=BLANK Scale=6",,$D60,$AS$4),CD60)</f>
        <v>1920.9</v>
      </c>
      <c r="CE60" s="765" cm="1">
        <f t="array" aca="1" ref="CE60" ca="1">IF(NPSwitch=1,_xll.TR(CE$7,CE$6,"Sdate=#1 Period=#2 NULL=BLANK Scale=6",,$D60,$AS$4),CE60)</f>
        <v>7485</v>
      </c>
      <c r="CF60" s="765" cm="1">
        <f t="array" aca="1" ref="CF60" ca="1">IF(NPSwitch=1,_xll.TR(CF$7,CF$6,"Sdate=#1 Period=#2 NULL=BLANK Scale=6",,$D60,$AS$4),CF60)</f>
        <v>9628.25</v>
      </c>
      <c r="CG60" s="765" cm="1">
        <f t="array" aca="1" ref="CG60" ca="1">IF(NPSwitch=1,_xll.TR(CG$7,CG$6,"Sdate=#1 Period=#2 NULL=BLANK Scale=6",,$D60,$AS$4),CG60)</f>
        <v>3376.75</v>
      </c>
      <c r="CI60" s="1000" cm="1">
        <f t="array" aca="1" ref="CI60" ca="1">IF(NPSwitch=1,_xll.TR(CI$7,CI$6,"Sdate=#1 Period=#2 NULL=BLANK Scale=6",,$D60,$AS$4),CI60)</f>
        <v>7157</v>
      </c>
      <c r="CJ60" s="1000" cm="1">
        <f t="array" aca="1" ref="CJ60" ca="1">IF(NPSwitch=1,_xll.TR(CJ$7,CJ$6,"Sdate=#1 Period=#2 NULL=BLANK Scale=6",,$D60,$AS$4),CJ60)</f>
        <v>574.827</v>
      </c>
      <c r="CK60" s="1000" t="str" cm="1">
        <f t="array" aca="1" ref="CK60" ca="1">IF(NPSwitch=1,_xll.TR(CK$7,CK$6,"Sdate=#1 Period=#2 NULL=BLANK Scale=6",,$D60,$AS$4),CK60)</f>
        <v/>
      </c>
      <c r="CL60" s="1000" cm="1">
        <f t="array" aca="1" ref="CL60" ca="1">IF(NPSwitch=1,_xll.TR(CL$7,CL$6,"Sdate=#1 Period=#2 NULL=BLANK Scale=6",,$D60,$AS$4),CL60)</f>
        <v>73.7</v>
      </c>
      <c r="CM60" s="1000" cm="1">
        <f t="array" aca="1" ref="CM60" ca="1">IF(NPSwitch=1,_xll.TR(CM$7,CM$6,"Sdate=#1 Period=#2 NULL=BLANK Scale=6",,$D60,$AS$4),CM60)</f>
        <v>1034</v>
      </c>
      <c r="CN60" s="1000" cm="1">
        <f t="array" aca="1" ref="CN60" ca="1">IF(NPSwitch=1,_xll.TR(CN$7,CN$6,"Sdate=#1 Period=#2 NULL=BLANK Scale=6",,$D60,$AS$4),CN60)</f>
        <v>688.5</v>
      </c>
      <c r="CO60" s="1000" cm="1">
        <f t="array" aca="1" ref="CO60" ca="1">IF(NPSwitch=1,_xll.TR(CO$7,CO$6,"Sdate=#1 Period=#2 NULL=BLANK Scale=6",,$D60,$AS$4),CO60)</f>
        <v>2096</v>
      </c>
      <c r="CP60" s="1000" cm="1">
        <f t="array" aca="1" ref="CP60" ca="1">IF(NPSwitch=1,_xll.TR(CP$7,CP$6,"Sdate=#1 Period=#2 NULL=BLANK Scale=6",,$D60,$AS$4),CP60)</f>
        <v>1223</v>
      </c>
      <c r="CQ60" s="1000" cm="1">
        <f t="array" aca="1" ref="CQ60" ca="1">IF(NPSwitch=1,_xll.TR(CQ$7,CQ$6,"Sdate=#1 Period=#2 NULL=BLANK Scale=6",,$D60,$AS$4),CQ60)</f>
        <v>1295</v>
      </c>
      <c r="CS60" s="1000" cm="1">
        <f t="array" aca="1" ref="CS60" ca="1">IF(NPSwitch=1,_xll.TR(CS$7,CS$6,"Sdate=#1 Period=#2 NULL=BLANK Scale=6",,$D60,$AS$4),CS60)</f>
        <v>7103</v>
      </c>
      <c r="CT60" s="1000" cm="1">
        <f t="array" aca="1" ref="CT60" ca="1">IF(NPSwitch=1,_xll.TR(CT$7,CT$6,"Sdate=#1 Period=#2 NULL=BLANK Scale=6",,$D60,$AS$4),CT60)</f>
        <v>1008.3815</v>
      </c>
      <c r="CU60" s="1000" cm="1">
        <f t="array" aca="1" ref="CU60" ca="1">IF(NPSwitch=1,_xll.TR(CU$7,CU$6,"Sdate=#1 Period=#2 NULL=BLANK Scale=6",,$D60,$AS$4),CU60)</f>
        <v>1821.5</v>
      </c>
      <c r="CV60" s="1000" cm="1">
        <f t="array" aca="1" ref="CV60" ca="1">IF(NPSwitch=1,_xll.TR(CV$7,CV$6,"Sdate=#1 Period=#2 NULL=BLANK Scale=6",,$D60,$AS$4),CV60)</f>
        <v>371.45</v>
      </c>
      <c r="CW60" s="1000" cm="1">
        <f t="array" aca="1" ref="CW60" ca="1">IF(NPSwitch=1,_xll.TR(CW$7,CW$6,"Sdate=#1 Period=#2 NULL=BLANK Scale=6",,$D60,$AS$4),CW60)</f>
        <v>929.375</v>
      </c>
      <c r="CX60" s="1000" cm="1">
        <f t="array" aca="1" ref="CX60" ca="1">IF(NPSwitch=1,_xll.TR(CX$7,CX$6,"Sdate=#1 Period=#2 NULL=BLANK Scale=6",,$D60,$AS$4),CX60)</f>
        <v>2633.75</v>
      </c>
      <c r="CY60" s="1000" cm="1">
        <f t="array" aca="1" ref="CY60" ca="1">IF(NPSwitch=1,_xll.TR(CY$7,CY$6,"Sdate=#1 Period=#2 NULL=BLANK Scale=6",,$D60,$AS$4),CY60)</f>
        <v>3504.75</v>
      </c>
      <c r="CZ60" s="1000" cm="1">
        <f t="array" aca="1" ref="CZ60" ca="1">IF(NPSwitch=1,_xll.TR(CZ$7,CZ$6,"Sdate=#1 Period=#2 NULL=BLANK Scale=6",,$D60,$AS$4),CZ60)</f>
        <v>3013</v>
      </c>
      <c r="DA60" s="1000" cm="1">
        <f t="array" aca="1" ref="DA60" ca="1">IF(NPSwitch=1,_xll.TR(DA$7,DA$6,"Sdate=#1 Period=#2 NULL=BLANK Scale=6",,$D60,$AS$4),DA60)</f>
        <v>2932.5</v>
      </c>
      <c r="DB60" s="1000" cm="1">
        <f t="array" aca="1" ref="DB60" ca="1">IF(NPSwitch=1,_xll.TR(DB$7,DB$6,"Sdate=#1 Period=#2 NULL=BLANK Scale=6",,$D60,$AS$4),DB60)</f>
        <v>16797.5</v>
      </c>
      <c r="DC60" s="1000" t="str" cm="1">
        <f t="array" aca="1" ref="DC60" ca="1">IF(NPSwitch=1,_xll.TR(DC$7,DC$6,"Sdate=#1 Period=#2 NULL=BLANK Scale=6",,$D60,$AS$4),DC60)</f>
        <v/>
      </c>
      <c r="DD60" s="1000" cm="1">
        <f t="array" aca="1" ref="DD60" ca="1">IF(NPSwitch=1,_xll.TR(DD$7,DD$6,"Sdate=#1 Period=#2 NULL=BLANK Scale=6",,$D60,$AS$4),DD60)</f>
        <v>7171.25</v>
      </c>
      <c r="DE60" s="1000" t="str" cm="1">
        <f t="array" aca="1" ref="DE60" ca="1">IF(NPSwitch=1,_xll.TR(DE$7,DE$6,"Sdate=#1 Period=#2 NULL=BLANK Scale=6",,$D60,$AS$4),DE60)</f>
        <v/>
      </c>
      <c r="DF60" s="1000" cm="1">
        <f t="array" aca="1" ref="DF60" ca="1">IF(NPSwitch=1,_xll.TR(DF$7,DF$6,"Sdate=#1 Period=#2 NULL=BLANK Scale=6",,$D60,$AS$4),DF60)</f>
        <v>371.45</v>
      </c>
      <c r="DG60" s="1000" cm="1">
        <f t="array" aca="1" ref="DG60" ca="1">IF(NPSwitch=1,_xll.TR(DG$7,DG$6,"Sdate=#1 Period=#2 NULL=BLANK Scale=6",,$D60,$AS$4),DG60)</f>
        <v>3520</v>
      </c>
      <c r="DH60" s="1000" cm="1">
        <f t="array" aca="1" ref="DH60" ca="1">IF(NPSwitch=1,_xll.TR(DH$7,DH$6,"Sdate=#1 Period=#2 NULL=BLANK Scale=6",,$D60,$AS$4),DH60)</f>
        <v>1170.3902499999999</v>
      </c>
      <c r="FN60" s="3" t="s">
        <v>1566</v>
      </c>
    </row>
    <row r="61" spans="1:170">
      <c r="C61" s="971">
        <f t="shared" si="44"/>
        <v>40724</v>
      </c>
      <c r="D61" s="974">
        <f t="shared" si="43"/>
        <v>40769</v>
      </c>
      <c r="E61" s="765" cm="1">
        <f t="array" aca="1" ref="E61" ca="1">IF(NPSwitch=1,_xll.TR(E$7,E$6,"Sdate=#1 Period=#2 NULL=BLANK",,$D61,$E$4),E61)</f>
        <v>7.2967935573723901</v>
      </c>
      <c r="F61" s="765" cm="1">
        <f t="array" aca="1" ref="F61" ca="1">IF(NPSwitch=1,_xll.TR(F$7,F$6,"Sdate=#1 Period=#2 NULL=BLANK",,$D61,$E$4),F61)</f>
        <v>7.8037686993689199</v>
      </c>
      <c r="G61" s="765" cm="1">
        <f t="array" aca="1" ref="G61" ca="1">IF(NPSwitch=1,_xll.TR(G$7,G$6,"Sdate=#1 Period=#2 NULL=BLANK",,$D61,$E$4),G61)</f>
        <v>3.59436656276036</v>
      </c>
      <c r="H61" s="765" cm="1">
        <f t="array" aca="1" ref="H61" ca="1">IF(NPSwitch=1,_xll.TR(H$7,H$6,"Sdate=#1 Period=#2 NULL=BLANK",,$D61,$E$4),H61)</f>
        <v>4.8686831308460397</v>
      </c>
      <c r="I61" s="765" cm="1">
        <f t="array" aca="1" ref="I61" ca="1">IF(NPSwitch=1,_xll.TR(I$7,I$6,"Sdate=#1 Period=#2 NULL=BLANK",,$D61,$E$4),I61)</f>
        <v>5.0737842918798197</v>
      </c>
      <c r="J61" s="765" cm="1">
        <f t="array" aca="1" ref="J61" ca="1">IF(NPSwitch=1,_xll.TR(J$7,J$6,"Sdate=#1 Period=#2 NULL=BLANK",,$D61,$E$4),J61)</f>
        <v>7.1274596137900401</v>
      </c>
      <c r="K61" s="765" cm="1">
        <f t="array" aca="1" ref="K61" ca="1">IF(NPSwitch=1,_xll.TR(K$7,K$6,"Sdate=#1 Period=#2 NULL=BLANK",,$D61,$E$4),K61)</f>
        <v>6.1542093435195602</v>
      </c>
      <c r="L61" s="765" cm="1">
        <f t="array" aca="1" ref="L61" ca="1">IF(NPSwitch=1,_xll.TR(L$7,L$6,"Sdate=#1 Period=#2 NULL=BLANK",,$D61,$E$4),L61)</f>
        <v>3.5471069695851201</v>
      </c>
      <c r="M61" s="765" cm="1">
        <f t="array" aca="1" ref="M61" ca="1">IF(NPSwitch=1,_xll.TR(M$7,M$6,"Sdate=#1 Period=#2 NULL=BLANK",,$D61,$E$4),M61)</f>
        <v>4.8606812980485499</v>
      </c>
      <c r="N61" s="1002">
        <f t="shared" ca="1" si="45"/>
        <v>5.0609349853968233</v>
      </c>
      <c r="O61" s="1000" cm="1">
        <f t="array" aca="1" ref="O61" ca="1">IF(NPSwitch=1,_xll.TR(O$7,O$6,"Sdate=#1 Period=#2 Scale=6 NULL=BLANK",,$D61,$O$4),O61)</f>
        <v>58565.079236739999</v>
      </c>
      <c r="P61" s="1000" cm="1">
        <f t="array" aca="1" ref="P61" ca="1">IF(NPSwitch=1,_xll.TR(P$7,P$6,"Sdate=#1 Period=#2 Scale=6 NULL=BLANK",,$D61,$O$4),P61)</f>
        <v>5332.07084528</v>
      </c>
      <c r="Q61" s="1000" cm="1">
        <f t="array" aca="1" ref="Q61" ca="1">IF(NPSwitch=1,_xll.TR(Q$7,Q$6,"Sdate=#1 Period=#2 Scale=6 NULL=BLANK",,$D61,$O$4),Q61)</f>
        <v>4110.9056247599901</v>
      </c>
      <c r="R61" s="1000" cm="1">
        <f t="array" aca="1" ref="R61" ca="1">IF(NPSwitch=1,_xll.TR(R$7,R$6,"Sdate=#1 Period=#2 Scale=6 NULL=BLANK",,$D61,$O$4),R61)</f>
        <v>1229.16323594</v>
      </c>
      <c r="S61" s="1000" cm="1">
        <f t="array" aca="1" ref="S61" ca="1">IF(NPSwitch=1,_xll.TR(S$7,S$6,"Sdate=#1 Period=#2 Scale=6 NULL=BLANK",,$D61,$O$4),S61)</f>
        <v>3352.86102613</v>
      </c>
      <c r="T61" s="1000" cm="1">
        <f t="array" aca="1" ref="T61" ca="1">IF(NPSwitch=1,_xll.TR(T$7,T$6,"Sdate=#1 Period=#2 Scale=6 NULL=BLANK",,$D61,$O$4),T61)</f>
        <v>5381.4970249999997</v>
      </c>
      <c r="U61" s="1000" cm="1">
        <f t="array" aca="1" ref="U61" ca="1">IF(NPSwitch=1,_xll.TR(U$7,U$6,"Sdate=#1 Period=#2 Scale=6 NULL=BLANK",,$D61,$O$4),U61)</f>
        <v>11823.331254119999</v>
      </c>
      <c r="V61" s="1000" cm="1">
        <f t="array" aca="1" ref="V61" ca="1">IF(NPSwitch=1,_xll.TR(V$7,V$6,"Sdate=#1 Period=#2 Scale=6 NULL=BLANK",,$D61,$O$4),V61)</f>
        <v>8011.8810229409301</v>
      </c>
      <c r="W61" s="1000" cm="1">
        <f t="array" aca="1" ref="W61" ca="1">IF(NPSwitch=1,_xll.TR(W$7,W$6,"Sdate=#1 Period=#2 Scale=6 NULL=BLANK",,$D61,$O$4),W61)</f>
        <v>5963.5311158000004</v>
      </c>
      <c r="X61" s="998"/>
      <c r="Y61" s="1000" cm="1">
        <f t="array" aca="1" ref="Y61" ca="1">IF(NPSwitch=1,_xll.TR(Y$7,Y$6,"Sdate=#1 Period=#2 Scale=6 NULL=BLANK",,$D61,$O$4),Y61)</f>
        <v>4721.75</v>
      </c>
      <c r="Z61" s="1000" cm="1">
        <f t="array" aca="1" ref="Z61" ca="1">IF(NPSwitch=1,_xll.TR(Z$7,Z$6,"Sdate=#1 Period=#2 Scale=6 NULL=BLANK",,$D61,$O$4),Z61)</f>
        <v>471.51274999999998</v>
      </c>
      <c r="AA61" s="1000" cm="1">
        <f t="array" aca="1" ref="AA61" ca="1">IF(NPSwitch=1,_xll.TR(AA$7,AA$6,"Sdate=#1 Period=#2 Scale=6 NULL=BLANK",,$D61,$O$4),AA61)</f>
        <v>741.25</v>
      </c>
      <c r="AB61" s="1000" cm="1">
        <f t="array" aca="1" ref="AB61" ca="1">IF(NPSwitch=1,_xll.TR(AB$7,AB$6,"Sdate=#1 Period=#2 Scale=6 NULL=BLANK",,$D61,$O$4),AB61)</f>
        <v>378.8</v>
      </c>
      <c r="AC61" s="1000" cm="1">
        <f t="array" aca="1" ref="AC61" ca="1">IF(NPSwitch=1,_xll.TR(AC$7,AC$6,"Sdate=#1 Period=#2 Scale=6 NULL=BLANK",,$D61,$O$4),AC61)</f>
        <v>821</v>
      </c>
      <c r="AD61" s="1000" cm="1">
        <f t="array" aca="1" ref="AD61" ca="1">IF(NPSwitch=1,_xll.TR(AD$7,AD$6,"Sdate=#1 Period=#2 Scale=6 NULL=BLANK",,$D61,$O$4),AD61)</f>
        <v>175.35</v>
      </c>
      <c r="AE61" s="1000" cm="1">
        <f t="array" aca="1" ref="AE61" ca="1">IF(NPSwitch=1,_xll.TR(AE$7,AE$6,"Sdate=#1 Period=#2 Scale=6 NULL=BLANK",,$D61,$O$4),AE61)</f>
        <v>1384</v>
      </c>
      <c r="AF61" s="1000" cm="1">
        <f t="array" aca="1" ref="AF61" ca="1">IF(NPSwitch=1,_xll.TR(AF$7,AF$6,"Sdate=#1 Period=#2 Scale=6 NULL=BLANK",,$D61,$O$4),AF61)</f>
        <v>3615.25</v>
      </c>
      <c r="AG61" s="1000" cm="1">
        <f t="array" aca="1" ref="AG61" ca="1">IF(NPSwitch=1,_xll.TR(AG$7,AG$6,"Sdate=#1 Period=#2 Scale=6 NULL=BLANK",,$D61,$O$4),AG61)</f>
        <v>708</v>
      </c>
      <c r="AH61" s="998"/>
      <c r="AI61" s="1000" cm="1">
        <f t="array" aca="1" ref="AI61" ca="1">IF(NPSwitch=1,_xll.TR(AI$7,AI$6,"Sdate=#1 Period=#2 Scale=6 NULL=BLANK",,$D61,$O$4),AI61)</f>
        <v>60053.079236739999</v>
      </c>
      <c r="AJ61" s="1000" cm="1">
        <f t="array" aca="1" ref="AJ61" ca="1">IF(NPSwitch=1,_xll.TR(AJ$7,AJ$6,"Sdate=#1 Period=#2 Scale=6 NULL=BLANK",,$D61,$O$4),AJ61)</f>
        <v>5689.1988452799997</v>
      </c>
      <c r="AK61" s="1000" cm="1">
        <f t="array" aca="1" ref="AK61" ca="1">IF(NPSwitch=1,_xll.TR(AK$7,AK$6,"Sdate=#1 Period=#2 Scale=6 NULL=BLANK",,$D61,$O$4),AK61)</f>
        <v>3986.9056247600001</v>
      </c>
      <c r="AL61" s="1000" cm="1">
        <f t="array" aca="1" ref="AL61" ca="1">IF(NPSwitch=1,_xll.TR(AL$7,AL$6,"Sdate=#1 Period=#2 Scale=6 NULL=BLANK",,$D61,$O$4),AL61)</f>
        <v>1245.46323594</v>
      </c>
      <c r="AM61" s="1000" cm="1">
        <f t="array" aca="1" ref="AM61" ca="1">IF(NPSwitch=1,_xll.TR(AM$7,AM$6,"Sdate=#1 Period=#2 Scale=6 NULL=BLANK",,$D61,$O$4),AM61)</f>
        <v>6985.86102613</v>
      </c>
      <c r="AN61" s="1000" cm="1">
        <f t="array" aca="1" ref="AN61" ca="1">IF(NPSwitch=1,_xll.TR(AN$7,AN$6,"Sdate=#1 Period=#2 Scale=6 NULL=BLANK",,$D61,$O$4),AN61)</f>
        <v>5878.3970250000002</v>
      </c>
      <c r="AO61" s="1000" cm="1">
        <f t="array" aca="1" ref="AO61" ca="1">IF(NPSwitch=1,_xll.TR(AO$7,AO$6,"Sdate=#1 Period=#2 Scale=6 NULL=BLANK",,$D61,$O$4),AO61)</f>
        <v>14536.331254119999</v>
      </c>
      <c r="AP61" s="1000" cm="1">
        <f t="array" aca="1" ref="AP61" ca="1">IF(NPSwitch=1,_xll.TR(AP$7,AP$6,"Sdate=#1 Period=#2 Scale=6 NULL=BLANK",,$D61,$O$4),AP61)</f>
        <v>7042.8810229410001</v>
      </c>
      <c r="AQ61" s="1000" cm="1">
        <f t="array" aca="1" ref="AQ61" ca="1">IF(NPSwitch=1,_xll.TR(AQ$7,AQ$6,"Sdate=#1 Period=#2 Scale=6 NULL=BLANK",,$D61,$O$4),AQ61)</f>
        <v>6730.5311158000004</v>
      </c>
      <c r="AS61" s="765" t="str" cm="1">
        <f t="array" aca="1" ref="AS61" ca="1">IF(NPSwitch=1,_xll.TR(AS$7,AS$6,"Sdate=#1 Period=#2 NULL=BLANK Scale=6",,$D61,$AS$4),AS61)</f>
        <v/>
      </c>
      <c r="AT61" s="765" t="str" cm="1">
        <f t="array" aca="1" ref="AT61" ca="1">IF(NPSwitch=1,_xll.TR(AT$7,AT$6,"Sdate=#1 Period=#2 NULL=BLANK Scale=6",,$D61,$AS$4),AT61)</f>
        <v/>
      </c>
      <c r="AU61" s="765" t="str" cm="1">
        <f t="array" aca="1" ref="AU61" ca="1">IF(NPSwitch=1,_xll.TR(AU$7,AU$6,"Sdate=#1 Period=#2 NULL=BLANK Scale=6",,$D61,$AS$4),AU61)</f>
        <v/>
      </c>
      <c r="AV61" s="765" t="str" cm="1">
        <f t="array" aca="1" ref="AV61" ca="1">IF(NPSwitch=1,_xll.TR(AV$7,AV$6,"Sdate=#1 Period=#2 NULL=BLANK Scale=6",,$D61,$AS$4),AV61)</f>
        <v/>
      </c>
      <c r="AW61" s="765" t="str" cm="1">
        <f t="array" aca="1" ref="AW61" ca="1">IF(NPSwitch=1,_xll.TR(AW$7,AW$6,"Sdate=#1 Period=#2 NULL=BLANK Scale=6",,$D61,$AS$4),AW61)</f>
        <v/>
      </c>
      <c r="AX61" s="765" t="str" cm="1">
        <f t="array" aca="1" ref="AX61" ca="1">IF(NPSwitch=1,_xll.TR(AX$7,AX$6,"Sdate=#1 Period=#2 NULL=BLANK Scale=6",,$D61,$AS$4),AX61)</f>
        <v/>
      </c>
      <c r="AY61" s="765" t="str" cm="1">
        <f t="array" aca="1" ref="AY61" ca="1">IF(NPSwitch=1,_xll.TR(AY$7,AY$6,"Sdate=#1 Period=#2 NULL=BLANK Scale=6",,$D61,$AS$4),AY61)</f>
        <v/>
      </c>
      <c r="AZ61" s="765" t="str" cm="1">
        <f t="array" aca="1" ref="AZ61" ca="1">IF(NPSwitch=1,_xll.TR(AZ$7,AZ$6,"Sdate=#1 Period=#2 NULL=BLANK Scale=6",,$D61,$AS$4),AZ61)</f>
        <v/>
      </c>
      <c r="BA61" s="765" t="str" cm="1">
        <f t="array" aca="1" ref="BA61" ca="1">IF(NPSwitch=1,_xll.TR(BA$7,BA$6,"Sdate=#1 Period=#2 NULL=BLANK Scale=6",,$D61,$AS$4),BA61)</f>
        <v/>
      </c>
      <c r="BB61" s="1002"/>
      <c r="BC61" s="765" cm="1">
        <f t="array" aca="1" ref="BC61" ca="1">IF(NPSwitch=1,_xll.TR(BC$7,BC$6,"Sdate=#1 Period=#2 NULL=BLANK",,$D61,$BC$4),BC61)</f>
        <v>8.2581242069999998</v>
      </c>
      <c r="BD61" s="765" cm="1">
        <f t="array" aca="1" ref="BD61" ca="1">IF(NPSwitch=1,_xll.TR(BD$7,BD$6,"Sdate=#1 Period=#2 NULL=BLANK",,$D61,$BC$4),BD61)</f>
        <v>9.2075665539999996</v>
      </c>
      <c r="BE61" s="765" cm="1">
        <f t="array" aca="1" ref="BE61" ca="1">IF(NPSwitch=1,_xll.TR(BE$7,BE$6,"Sdate=#1 Period=#2 NULL=BLANK",,$D61,$BC$4),BE61)</f>
        <v>7.0815375219999996</v>
      </c>
      <c r="BF61" s="765" cm="1">
        <f t="array" aca="1" ref="BF61" ca="1">IF(NPSwitch=1,_xll.TR(BF$7,BF$6,"Sdate=#1 Period=#2 NULL=BLANK",,$D61,$BC$4),BF61)</f>
        <v>14.299233478</v>
      </c>
      <c r="BG61" s="765" t="str" cm="1">
        <f t="array" aca="1" ref="BG61" ca="1">IF(NPSwitch=1,_xll.TR(BG$7,BG$6,"Sdate=#1 Period=#2 NULL=BLANK",,$D61,$BC$4),BG61)</f>
        <v/>
      </c>
      <c r="BH61" s="765" cm="1">
        <f t="array" aca="1" ref="BH61" ca="1">IF(NPSwitch=1,_xll.TR(BH$7,BH$6,"Sdate=#1 Period=#2 NULL=BLANK",,$D61,$BC$4),BH61)</f>
        <v>8.3833385979999999</v>
      </c>
      <c r="BI61" s="765" cm="1">
        <f t="array" aca="1" ref="BI61" ca="1">IF(NPSwitch=1,_xll.TR(BI$7,BI$6,"Sdate=#1 Period=#2 NULL=BLANK",,$D61,$BC$4),BI61)</f>
        <v>6.6224743750000004</v>
      </c>
      <c r="BJ61" s="765" cm="1">
        <f t="array" aca="1" ref="BJ61" ca="1">IF(NPSwitch=1,_xll.TR(BJ$7,BJ$6,"Sdate=#1 Period=#2 NULL=BLANK",,$D61,$BC$4),BJ61)</f>
        <v>5.647859682</v>
      </c>
      <c r="BK61" s="765" cm="1">
        <f t="array" aca="1" ref="BK61" ca="1">IF(NPSwitch=1,_xll.TR(BK$7,BK$6,"Sdate=#1 Period=#2 NULL=BLANK",,$D61,$BC$4),BK61)</f>
        <v>4.9416528020000001</v>
      </c>
      <c r="BM61" s="1014"/>
      <c r="BO61" s="765" cm="1">
        <f t="array" aca="1" ref="BO61" ca="1">IF(NPSwitch=1,_xll.TR(BO$7,BO$6,"Sdate=#1 Period=#2 NULL=BLANK Scale=6",,$D61,$AS$4),BO61)</f>
        <v>28574</v>
      </c>
      <c r="BP61" s="765" cm="1">
        <f t="array" aca="1" ref="BP61" ca="1">IF(NPSwitch=1,_xll.TR(BP$7,BP$6,"Sdate=#1 Period=#2 NULL=BLANK Scale=6",,$D61,$AS$4),BP61)</f>
        <v>2628.6489999999999</v>
      </c>
      <c r="BQ61" s="765" cm="1">
        <f t="array" aca="1" ref="BQ61" ca="1">IF(NPSwitch=1,_xll.TR(BQ$7,BQ$6,"Sdate=#1 Period=#2 NULL=BLANK Scale=6",,$D61,$AS$4),BQ61)</f>
        <v>6173</v>
      </c>
      <c r="BR61" s="765" cm="1">
        <f t="array" aca="1" ref="BR61" ca="1">IF(NPSwitch=1,_xll.TR(BR$7,BR$6,"Sdate=#1 Period=#2 NULL=BLANK Scale=6",,$D61,$AS$4),BR61)</f>
        <v>2785.9</v>
      </c>
      <c r="BS61" s="765" cm="1">
        <f t="array" aca="1" ref="BS61" ca="1">IF(NPSwitch=1,_xll.TR(BS$7,BS$6,"Sdate=#1 Period=#2 NULL=BLANK Scale=6",,$D61,$AS$4),BS61)</f>
        <v>10426</v>
      </c>
      <c r="BT61" s="765" cm="1">
        <f t="array" aca="1" ref="BT61" ca="1">IF(NPSwitch=1,_xll.TR(BT$7,BT$6,"Sdate=#1 Period=#2 NULL=BLANK Scale=6",,$D61,$AS$4),BT61)</f>
        <v>3190.2</v>
      </c>
      <c r="BU61" s="765" cm="1">
        <f t="array" aca="1" ref="BU61" ca="1">IF(NPSwitch=1,_xll.TR(BU$7,BU$6,"Sdate=#1 Period=#2 NULL=BLANK Scale=6",,$D61,$AS$4),BU61)</f>
        <v>14358</v>
      </c>
      <c r="BV61" s="765" cm="1">
        <f t="array" aca="1" ref="BV61" ca="1">IF(NPSwitch=1,_xll.TR(BV$7,BV$6,"Sdate=#1 Period=#2 NULL=BLANK Scale=6",,$D61,$AS$4),BV61)</f>
        <v>6903</v>
      </c>
      <c r="BW61" s="765" cm="1">
        <f t="array" aca="1" ref="BW61" ca="1">IF(NPSwitch=1,_xll.TR(BW$7,BW$6,"Sdate=#1 Period=#2 NULL=BLANK Scale=6",,$D61,$AS$4),BW61)</f>
        <v>6613</v>
      </c>
      <c r="BY61" s="765" cm="1">
        <f t="array" aca="1" ref="BY61" ca="1">IF(NPSwitch=1,_xll.TR(BY$7,BY$6,"Sdate=#1 Period=#2 NULL=BLANK Scale=6",,$D61,$AS$4),BY61)</f>
        <v>22227</v>
      </c>
      <c r="BZ61" s="765" cm="1">
        <f t="array" aca="1" ref="BZ61" ca="1">IF(NPSwitch=1,_xll.TR(BZ$7,BZ$6,"Sdate=#1 Period=#2 NULL=BLANK Scale=6",,$D61,$AS$4),BZ61)</f>
        <v>2386.1660000000002</v>
      </c>
      <c r="CA61" s="765" cm="1">
        <f t="array" aca="1" ref="CA61" ca="1">IF(NPSwitch=1,_xll.TR(CA$7,CA$6,"Sdate=#1 Period=#2 NULL=BLANK Scale=6",,$D61,$AS$4),CA61)</f>
        <v>5257.5</v>
      </c>
      <c r="CB61" s="765" cm="1">
        <f t="array" aca="1" ref="CB61" ca="1">IF(NPSwitch=1,_xll.TR(CB$7,CB$6,"Sdate=#1 Period=#2 NULL=BLANK Scale=6",,$D61,$AS$4),CB61)</f>
        <v>989.125</v>
      </c>
      <c r="CC61" s="765" cm="1">
        <f t="array" aca="1" ref="CC61" ca="1">IF(NPSwitch=1,_xll.TR(CC$7,CC$6,"Sdate=#1 Period=#2 NULL=BLANK Scale=6",,$D61,$AS$4),CC61)</f>
        <v>6178.25</v>
      </c>
      <c r="CD61" s="765" cm="1">
        <f t="array" aca="1" ref="CD61" ca="1">IF(NPSwitch=1,_xll.TR(CD$7,CD$6,"Sdate=#1 Period=#2 NULL=BLANK Scale=6",,$D61,$AS$4),CD61)</f>
        <v>1969.25</v>
      </c>
      <c r="CE61" s="765" cm="1">
        <f t="array" aca="1" ref="CE61" ca="1">IF(NPSwitch=1,_xll.TR(CE$7,CE$6,"Sdate=#1 Period=#2 NULL=BLANK Scale=6",,$D61,$AS$4),CE61)</f>
        <v>7809.25</v>
      </c>
      <c r="CF61" s="765" cm="1">
        <f t="array" aca="1" ref="CF61" ca="1">IF(NPSwitch=1,_xll.TR(CF$7,CF$6,"Sdate=#1 Period=#2 NULL=BLANK Scale=6",,$D61,$AS$4),CF61)</f>
        <v>9516</v>
      </c>
      <c r="CG61" s="765" cm="1">
        <f t="array" aca="1" ref="CG61" ca="1">IF(NPSwitch=1,_xll.TR(CG$7,CG$6,"Sdate=#1 Period=#2 NULL=BLANK Scale=6",,$D61,$AS$4),CG61)</f>
        <v>3431.75</v>
      </c>
      <c r="CI61" s="1000" cm="1">
        <f t="array" aca="1" ref="CI61" ca="1">IF(NPSwitch=1,_xll.TR(CI$7,CI$6,"Sdate=#1 Period=#2 NULL=BLANK Scale=6",,$D61,$AS$4),CI61)</f>
        <v>7272</v>
      </c>
      <c r="CJ61" s="1000" cm="1">
        <f t="array" aca="1" ref="CJ61" ca="1">IF(NPSwitch=1,_xll.TR(CJ$7,CJ$6,"Sdate=#1 Period=#2 NULL=BLANK Scale=6",,$D61,$AS$4),CJ61)</f>
        <v>617.88300000000004</v>
      </c>
      <c r="CK61" s="1000" t="str" cm="1">
        <f t="array" aca="1" ref="CK61" ca="1">IF(NPSwitch=1,_xll.TR(CK$7,CK$6,"Sdate=#1 Period=#2 NULL=BLANK Scale=6",,$D61,$AS$4),CK61)</f>
        <v/>
      </c>
      <c r="CL61" s="1000" cm="1">
        <f t="array" aca="1" ref="CL61" ca="1">IF(NPSwitch=1,_xll.TR(CL$7,CL$6,"Sdate=#1 Period=#2 NULL=BLANK Scale=6",,$D61,$AS$4),CL61)</f>
        <v>87.1</v>
      </c>
      <c r="CM61" s="1000" cm="1">
        <f t="array" aca="1" ref="CM61" ca="1">IF(NPSwitch=1,_xll.TR(CM$7,CM$6,"Sdate=#1 Period=#2 NULL=BLANK Scale=6",,$D61,$AS$4),CM61)</f>
        <v>1129</v>
      </c>
      <c r="CN61" s="1000" cm="1">
        <f t="array" aca="1" ref="CN61" ca="1">IF(NPSwitch=1,_xll.TR(CN$7,CN$6,"Sdate=#1 Period=#2 NULL=BLANK Scale=6",,$D61,$AS$4),CN61)</f>
        <v>701.2</v>
      </c>
      <c r="CO61" s="1000" cm="1">
        <f t="array" aca="1" ref="CO61" ca="1">IF(NPSwitch=1,_xll.TR(CO$7,CO$6,"Sdate=#1 Period=#2 NULL=BLANK Scale=6",,$D61,$AS$4),CO61)</f>
        <v>2195</v>
      </c>
      <c r="CP61" s="1000" cm="1">
        <f t="array" aca="1" ref="CP61" ca="1">IF(NPSwitch=1,_xll.TR(CP$7,CP$6,"Sdate=#1 Period=#2 NULL=BLANK Scale=6",,$D61,$AS$4),CP61)</f>
        <v>1259</v>
      </c>
      <c r="CQ61" s="1000" cm="1">
        <f t="array" aca="1" ref="CQ61" ca="1">IF(NPSwitch=1,_xll.TR(CQ$7,CQ$6,"Sdate=#1 Period=#2 NULL=BLANK Scale=6",,$D61,$AS$4),CQ61)</f>
        <v>1362</v>
      </c>
      <c r="CS61" s="1000" cm="1">
        <f t="array" aca="1" ref="CS61" ca="1">IF(NPSwitch=1,_xll.TR(CS$7,CS$6,"Sdate=#1 Period=#2 NULL=BLANK Scale=6",,$D61,$AS$4),CS61)</f>
        <v>7330.25</v>
      </c>
      <c r="CT61" s="1000" cm="1">
        <f t="array" aca="1" ref="CT61" ca="1">IF(NPSwitch=1,_xll.TR(CT$7,CT$6,"Sdate=#1 Period=#2 NULL=BLANK Scale=6",,$D61,$AS$4),CT61)</f>
        <v>1029.9055000000001</v>
      </c>
      <c r="CU61" s="1000" cm="1">
        <f t="array" aca="1" ref="CU61" ca="1">IF(NPSwitch=1,_xll.TR(CU$7,CU$6,"Sdate=#1 Period=#2 NULL=BLANK Scale=6",,$D61,$AS$4),CU61)</f>
        <v>1787</v>
      </c>
      <c r="CV61" s="1000" cm="1">
        <f t="array" aca="1" ref="CV61" ca="1">IF(NPSwitch=1,_xll.TR(CV$7,CV$6,"Sdate=#1 Period=#2 NULL=BLANK Scale=6",,$D61,$AS$4),CV61)</f>
        <v>375.375</v>
      </c>
      <c r="CW61" s="1000" cm="1">
        <f t="array" aca="1" ref="CW61" ca="1">IF(NPSwitch=1,_xll.TR(CW$7,CW$6,"Sdate=#1 Period=#2 NULL=BLANK Scale=6",,$D61,$AS$4),CW61)</f>
        <v>939.47500000000002</v>
      </c>
      <c r="CX61" s="1000" cm="1">
        <f t="array" aca="1" ref="CX61" ca="1">IF(NPSwitch=1,_xll.TR(CX$7,CX$6,"Sdate=#1 Period=#2 NULL=BLANK Scale=6",,$D61,$AS$4),CX61)</f>
        <v>2690.25</v>
      </c>
      <c r="CY61" s="1000" cm="1">
        <f t="array" aca="1" ref="CY61" ca="1">IF(NPSwitch=1,_xll.TR(CY$7,CY$6,"Sdate=#1 Period=#2 NULL=BLANK Scale=6",,$D61,$AS$4),CY61)</f>
        <v>3285.5</v>
      </c>
      <c r="CZ61" s="1000" cm="1">
        <f t="array" aca="1" ref="CZ61" ca="1">IF(NPSwitch=1,_xll.TR(CZ$7,CZ$6,"Sdate=#1 Period=#2 NULL=BLANK Scale=6",,$D61,$AS$4),CZ61)</f>
        <v>2954</v>
      </c>
      <c r="DA61" s="1000" cm="1">
        <f t="array" aca="1" ref="DA61" ca="1">IF(NPSwitch=1,_xll.TR(DA$7,DA$6,"Sdate=#1 Period=#2 NULL=BLANK Scale=6",,$D61,$AS$4),DA61)</f>
        <v>3081.75</v>
      </c>
      <c r="DB61" s="1000" cm="1">
        <f t="array" aca="1" ref="DB61" ca="1">IF(NPSwitch=1,_xll.TR(DB$7,DB$6,"Sdate=#1 Period=#2 NULL=BLANK Scale=6",,$D61,$AS$4),DB61)</f>
        <v>16760</v>
      </c>
      <c r="DC61" s="1000" t="str" cm="1">
        <f t="array" aca="1" ref="DC61" ca="1">IF(NPSwitch=1,_xll.TR(DC$7,DC$6,"Sdate=#1 Period=#2 NULL=BLANK Scale=6",,$D61,$AS$4),DC61)</f>
        <v/>
      </c>
      <c r="DD61" s="1000" cm="1">
        <f t="array" aca="1" ref="DD61" ca="1">IF(NPSwitch=1,_xll.TR(DD$7,DD$6,"Sdate=#1 Period=#2 NULL=BLANK Scale=6",,$D61,$AS$4),DD61)</f>
        <v>7353.75</v>
      </c>
      <c r="DE61" s="1000" t="str" cm="1">
        <f t="array" aca="1" ref="DE61" ca="1">IF(NPSwitch=1,_xll.TR(DE$7,DE$6,"Sdate=#1 Period=#2 NULL=BLANK Scale=6",,$D61,$AS$4),DE61)</f>
        <v/>
      </c>
      <c r="DF61" s="1000" cm="1">
        <f t="array" aca="1" ref="DF61" ca="1">IF(NPSwitch=1,_xll.TR(DF$7,DF$6,"Sdate=#1 Period=#2 NULL=BLANK Scale=6",,$D61,$AS$4),DF61)</f>
        <v>375.375</v>
      </c>
      <c r="DG61" s="1000" cm="1">
        <f t="array" aca="1" ref="DG61" ca="1">IF(NPSwitch=1,_xll.TR(DG$7,DG$6,"Sdate=#1 Period=#2 NULL=BLANK Scale=6",,$D61,$AS$4),DG61)</f>
        <v>3666</v>
      </c>
      <c r="DH61" s="1000" cm="1">
        <f t="array" aca="1" ref="DH61" ca="1">IF(NPSwitch=1,_xll.TR(DH$7,DH$6,"Sdate=#1 Period=#2 NULL=BLANK Scale=6",,$D61,$AS$4),DH61)</f>
        <v>1172.1567500000001</v>
      </c>
      <c r="FN61" s="3" t="s">
        <v>1567</v>
      </c>
    </row>
    <row r="62" spans="1:170">
      <c r="C62" s="972">
        <f t="shared" si="44"/>
        <v>40816</v>
      </c>
      <c r="D62" s="974">
        <f t="shared" si="43"/>
        <v>40861</v>
      </c>
      <c r="E62" s="765" cm="1">
        <f t="array" aca="1" ref="E62" ca="1">IF(NPSwitch=1,_xll.TR(E$7,E$6,"Sdate=#1 Period=#2 NULL=BLANK",,$D62,$E$4),E62)</f>
        <v>7.7150906803102997</v>
      </c>
      <c r="F62" s="765" cm="1">
        <f t="array" aca="1" ref="F62" ca="1">IF(NPSwitch=1,_xll.TR(F$7,F$6,"Sdate=#1 Period=#2 NULL=BLANK",,$D62,$E$4),F62)</f>
        <v>7.5603015677978496</v>
      </c>
      <c r="G62" s="765" cm="1">
        <f t="array" aca="1" ref="G62" ca="1">IF(NPSwitch=1,_xll.TR(G$7,G$6,"Sdate=#1 Period=#2 NULL=BLANK",,$D62,$E$4),G62)</f>
        <v>3.0565016706544501</v>
      </c>
      <c r="H62" s="765" cm="1">
        <f t="array" aca="1" ref="H62" ca="1">IF(NPSwitch=1,_xll.TR(H$7,H$6,"Sdate=#1 Period=#2 NULL=BLANK",,$D62,$E$4),H62)</f>
        <v>3.6628827072149801</v>
      </c>
      <c r="I62" s="765" cm="1">
        <f t="array" aca="1" ref="I62" ca="1">IF(NPSwitch=1,_xll.TR(I$7,I$6,"Sdate=#1 Period=#2 NULL=BLANK",,$D62,$E$4),I62)</f>
        <v>4.8299387824791298</v>
      </c>
      <c r="J62" s="765" cm="1">
        <f t="array" aca="1" ref="J62" ca="1">IF(NPSwitch=1,_xll.TR(J$7,J$6,"Sdate=#1 Period=#2 NULL=BLANK",,$D62,$E$4),J62)</f>
        <v>7.5300920290186397</v>
      </c>
      <c r="K62" s="765" cm="1">
        <f t="array" aca="1" ref="K62" ca="1">IF(NPSwitch=1,_xll.TR(K$7,K$6,"Sdate=#1 Period=#2 NULL=BLANK",,$D62,$E$4),K62)</f>
        <v>6.8964956307734004</v>
      </c>
      <c r="L62" s="765" cm="1">
        <f t="array" aca="1" ref="L62" ca="1">IF(NPSwitch=1,_xll.TR(L$7,L$6,"Sdate=#1 Period=#2 NULL=BLANK",,$D62,$E$4),L62)</f>
        <v>4.5244304938698399</v>
      </c>
      <c r="M62" s="765" cm="1">
        <f t="array" aca="1" ref="M62" ca="1">IF(NPSwitch=1,_xll.TR(M$7,M$6,"Sdate=#1 Period=#2 NULL=BLANK",,$D62,$E$4),M62)</f>
        <v>4.8776071327803603</v>
      </c>
      <c r="N62" s="1002">
        <f t="shared" ca="1" si="45"/>
        <v>5.0833902190017399</v>
      </c>
      <c r="O62" s="1000" cm="1">
        <f t="array" aca="1" ref="O62" ca="1">IF(NPSwitch=1,_xll.TR(O$7,O$6,"Sdate=#1 Period=#2 Scale=6 NULL=BLANK",,$D62,$O$4),O62)</f>
        <v>57378.154033469997</v>
      </c>
      <c r="P62" s="1000" cm="1">
        <f t="array" aca="1" ref="P62" ca="1">IF(NPSwitch=1,_xll.TR(P$7,P$6,"Sdate=#1 Period=#2 Scale=6 NULL=BLANK",,$D62,$O$4),P62)</f>
        <v>4730.0763012099997</v>
      </c>
      <c r="Q62" s="1000" cm="1">
        <f t="array" aca="1" ref="Q62" ca="1">IF(NPSwitch=1,_xll.TR(Q$7,Q$6,"Sdate=#1 Period=#2 Scale=6 NULL=BLANK",,$D62,$O$4),Q62)</f>
        <v>4063.1502252599998</v>
      </c>
      <c r="R62" s="1000" cm="1">
        <f t="array" aca="1" ref="R62" ca="1">IF(NPSwitch=1,_xll.TR(R$7,R$6,"Sdate=#1 Period=#2 Scale=6 NULL=BLANK",,$D62,$O$4),R62)</f>
        <v>1009.31547359999</v>
      </c>
      <c r="S62" s="1000" cm="1">
        <f t="array" aca="1" ref="S62" ca="1">IF(NPSwitch=1,_xll.TR(S$7,S$6,"Sdate=#1 Period=#2 Scale=6 NULL=BLANK",,$D62,$O$4),S62)</f>
        <v>2791.5195430399999</v>
      </c>
      <c r="T62" s="1000" cm="1">
        <f t="array" aca="1" ref="T62" ca="1">IF(NPSwitch=1,_xll.TR(T$7,T$6,"Sdate=#1 Period=#2 Scale=6 NULL=BLANK",,$D62,$O$4),T62)</f>
        <v>5794.4051805199997</v>
      </c>
      <c r="U62" s="1000" cm="1">
        <f t="array" aca="1" ref="U62" ca="1">IF(NPSwitch=1,_xll.TR(U$7,U$6,"Sdate=#1 Period=#2 Scale=6 NULL=BLANK",,$D62,$O$4),U62)</f>
        <v>13479.52658234</v>
      </c>
      <c r="V62" s="1000" cm="1">
        <f t="array" aca="1" ref="V62" ca="1">IF(NPSwitch=1,_xll.TR(V$7,V$6,"Sdate=#1 Period=#2 Scale=6 NULL=BLANK",,$D62,$O$4),V62)</f>
        <v>5666.5064006211096</v>
      </c>
      <c r="W62" s="1000" cm="1">
        <f t="array" aca="1" ref="W62" ca="1">IF(NPSwitch=1,_xll.TR(W$7,W$6,"Sdate=#1 Period=#2 Scale=6 NULL=BLANK",,$D62,$O$4),W62)</f>
        <v>5564.9769487000003</v>
      </c>
      <c r="X62" s="998"/>
      <c r="Y62" s="1000" cm="1">
        <f t="array" aca="1" ref="Y62" ca="1">IF(NPSwitch=1,_xll.TR(Y$7,Y$6,"Sdate=#1 Period=#2 Scale=6 NULL=BLANK",,$D62,$O$4),Y62)</f>
        <v>4474</v>
      </c>
      <c r="Z62" s="1000" cm="1">
        <f t="array" aca="1" ref="Z62" ca="1">IF(NPSwitch=1,_xll.TR(Z$7,Z$6,"Sdate=#1 Period=#2 Scale=6 NULL=BLANK",,$D62,$O$4),Z62)</f>
        <v>485.65899999999999</v>
      </c>
      <c r="AA62" s="1000" cm="1">
        <f t="array" aca="1" ref="AA62" ca="1">IF(NPSwitch=1,_xll.TR(AA$7,AA$6,"Sdate=#1 Period=#2 Scale=6 NULL=BLANK",,$D62,$O$4),AA62)</f>
        <v>821.25</v>
      </c>
      <c r="AB62" s="1000" cm="1">
        <f t="array" aca="1" ref="AB62" ca="1">IF(NPSwitch=1,_xll.TR(AB$7,AB$6,"Sdate=#1 Period=#2 Scale=6 NULL=BLANK",,$D62,$O$4),AB62)</f>
        <v>404.27499999999998</v>
      </c>
      <c r="AC62" s="1000" cm="1">
        <f t="array" aca="1" ref="AC62" ca="1">IF(NPSwitch=1,_xll.TR(AC$7,AC$6,"Sdate=#1 Period=#2 Scale=6 NULL=BLANK",,$D62,$O$4),AC62)</f>
        <v>683.5</v>
      </c>
      <c r="AD62" s="1000" cm="1">
        <f t="array" aca="1" ref="AD62" ca="1">IF(NPSwitch=1,_xll.TR(AD$7,AD$6,"Sdate=#1 Period=#2 Scale=6 NULL=BLANK",,$D62,$O$4),AD62)</f>
        <v>135.875</v>
      </c>
      <c r="AE62" s="1000" cm="1">
        <f t="array" aca="1" ref="AE62" ca="1">IF(NPSwitch=1,_xll.TR(AE$7,AE$6,"Sdate=#1 Period=#2 Scale=6 NULL=BLANK",,$D62,$O$4),AE62)</f>
        <v>1486</v>
      </c>
      <c r="AF62" s="1000" cm="1">
        <f t="array" aca="1" ref="AF62" ca="1">IF(NPSwitch=1,_xll.TR(AF$7,AF$6,"Sdate=#1 Period=#2 Scale=6 NULL=BLANK",,$D62,$O$4),AF62)</f>
        <v>2751.75</v>
      </c>
      <c r="AG62" s="1000" cm="1">
        <f t="array" aca="1" ref="AG62" ca="1">IF(NPSwitch=1,_xll.TR(AG$7,AG$6,"Sdate=#1 Period=#2 Scale=6 NULL=BLANK",,$D62,$O$4),AG62)</f>
        <v>709.75</v>
      </c>
      <c r="AH62" s="998"/>
      <c r="AI62" s="1000" cm="1">
        <f t="array" aca="1" ref="AI62" ca="1">IF(NPSwitch=1,_xll.TR(AI$7,AI$6,"Sdate=#1 Period=#2 Scale=6 NULL=BLANK",,$D62,$O$4),AI62)</f>
        <v>59119.154033469997</v>
      </c>
      <c r="AJ62" s="1000" cm="1">
        <f t="array" aca="1" ref="AJ62" ca="1">IF(NPSwitch=1,_xll.TR(AJ$7,AJ$6,"Sdate=#1 Period=#2 Scale=6 NULL=BLANK",,$D62,$O$4),AJ62)</f>
        <v>5223.0493012099996</v>
      </c>
      <c r="AK62" s="1000" cm="1">
        <f t="array" aca="1" ref="AK62" ca="1">IF(NPSwitch=1,_xll.TR(AK$7,AK$6,"Sdate=#1 Period=#2 Scale=6 NULL=BLANK",,$D62,$O$4),AK62)</f>
        <v>3939.1502252599998</v>
      </c>
      <c r="AL62" s="1000" cm="1">
        <f t="array" aca="1" ref="AL62" ca="1">IF(NPSwitch=1,_xll.TR(AL$7,AL$6,"Sdate=#1 Period=#2 Scale=6 NULL=BLANK",,$D62,$O$4),AL62)</f>
        <v>1032.6154736000001</v>
      </c>
      <c r="AM62" s="1000" cm="1">
        <f t="array" aca="1" ref="AM62" ca="1">IF(NPSwitch=1,_xll.TR(AM$7,AM$6,"Sdate=#1 Period=#2 Scale=6 NULL=BLANK",,$D62,$O$4),AM62)</f>
        <v>6553.5195430399999</v>
      </c>
      <c r="AN62" s="1000" cm="1">
        <f t="array" aca="1" ref="AN62" ca="1">IF(NPSwitch=1,_xll.TR(AN$7,AN$6,"Sdate=#1 Period=#2 Scale=6 NULL=BLANK",,$D62,$O$4),AN62)</f>
        <v>6316.4051805199997</v>
      </c>
      <c r="AO62" s="1000" cm="1">
        <f t="array" aca="1" ref="AO62" ca="1">IF(NPSwitch=1,_xll.TR(AO$7,AO$6,"Sdate=#1 Period=#2 Scale=6 NULL=BLANK",,$D62,$O$4),AO62)</f>
        <v>16077.52658234</v>
      </c>
      <c r="AP62" s="1000" cm="1">
        <f t="array" aca="1" ref="AP62" ca="1">IF(NPSwitch=1,_xll.TR(AP$7,AP$6,"Sdate=#1 Period=#2 Scale=6 NULL=BLANK",,$D62,$O$4),AP62)</f>
        <v>8285.5064006209996</v>
      </c>
      <c r="AQ62" s="1000" cm="1">
        <f t="array" aca="1" ref="AQ62" ca="1">IF(NPSwitch=1,_xll.TR(AQ$7,AQ$6,"Sdate=#1 Period=#2 Scale=6 NULL=BLANK",,$D62,$O$4),AQ62)</f>
        <v>6514.9769487000003</v>
      </c>
      <c r="AS62" s="765" t="str" cm="1">
        <f t="array" aca="1" ref="AS62" ca="1">IF(NPSwitch=1,_xll.TR(AS$7,AS$6,"Sdate=#1 Period=#2 NULL=BLANK Scale=6",,$D62,$AS$4),AS62)</f>
        <v/>
      </c>
      <c r="AT62" s="765" t="str" cm="1">
        <f t="array" aca="1" ref="AT62" ca="1">IF(NPSwitch=1,_xll.TR(AT$7,AT$6,"Sdate=#1 Period=#2 NULL=BLANK Scale=6",,$D62,$AS$4),AT62)</f>
        <v/>
      </c>
      <c r="AU62" s="765" t="str" cm="1">
        <f t="array" aca="1" ref="AU62" ca="1">IF(NPSwitch=1,_xll.TR(AU$7,AU$6,"Sdate=#1 Period=#2 NULL=BLANK Scale=6",,$D62,$AS$4),AU62)</f>
        <v/>
      </c>
      <c r="AV62" s="765" t="str" cm="1">
        <f t="array" aca="1" ref="AV62" ca="1">IF(NPSwitch=1,_xll.TR(AV$7,AV$6,"Sdate=#1 Period=#2 NULL=BLANK Scale=6",,$D62,$AS$4),AV62)</f>
        <v/>
      </c>
      <c r="AW62" s="765" t="str" cm="1">
        <f t="array" aca="1" ref="AW62" ca="1">IF(NPSwitch=1,_xll.TR(AW$7,AW$6,"Sdate=#1 Period=#2 NULL=BLANK Scale=6",,$D62,$AS$4),AW62)</f>
        <v/>
      </c>
      <c r="AX62" s="765" t="str" cm="1">
        <f t="array" aca="1" ref="AX62" ca="1">IF(NPSwitch=1,_xll.TR(AX$7,AX$6,"Sdate=#1 Period=#2 NULL=BLANK Scale=6",,$D62,$AS$4),AX62)</f>
        <v/>
      </c>
      <c r="AY62" s="765" t="str" cm="1">
        <f t="array" aca="1" ref="AY62" ca="1">IF(NPSwitch=1,_xll.TR(AY$7,AY$6,"Sdate=#1 Period=#2 NULL=BLANK Scale=6",,$D62,$AS$4),AY62)</f>
        <v/>
      </c>
      <c r="AZ62" s="765" t="str" cm="1">
        <f t="array" aca="1" ref="AZ62" ca="1">IF(NPSwitch=1,_xll.TR(AZ$7,AZ$6,"Sdate=#1 Period=#2 NULL=BLANK Scale=6",,$D62,$AS$4),AZ62)</f>
        <v/>
      </c>
      <c r="BA62" s="765" t="str" cm="1">
        <f t="array" aca="1" ref="BA62" ca="1">IF(NPSwitch=1,_xll.TR(BA$7,BA$6,"Sdate=#1 Period=#2 NULL=BLANK Scale=6",,$D62,$AS$4),BA62)</f>
        <v/>
      </c>
      <c r="BB62" s="1002"/>
      <c r="BC62" s="765" cm="1">
        <f t="array" aca="1" ref="BC62" ca="1">IF(NPSwitch=1,_xll.TR(BC$7,BC$6,"Sdate=#1 Period=#2 NULL=BLANK",,$D62,$BC$4),BC62)</f>
        <v>8.0962960880000008</v>
      </c>
      <c r="BD62" s="765" cm="1">
        <f t="array" aca="1" ref="BD62" ca="1">IF(NPSwitch=1,_xll.TR(BD$7,BD$6,"Sdate=#1 Period=#2 NULL=BLANK",,$D62,$BC$4),BD62)</f>
        <v>7.9236756850000001</v>
      </c>
      <c r="BE62" s="765" cm="1">
        <f t="array" aca="1" ref="BE62" ca="1">IF(NPSwitch=1,_xll.TR(BE$7,BE$6,"Sdate=#1 Period=#2 NULL=BLANK",,$D62,$BC$4),BE62)</f>
        <v>6.9967144320000001</v>
      </c>
      <c r="BF62" s="765" cm="1">
        <f t="array" aca="1" ref="BF62" ca="1">IF(NPSwitch=1,_xll.TR(BF$7,BF$6,"Sdate=#1 Period=#2 NULL=BLANK",,$D62,$BC$4),BF62)</f>
        <v>11.044015760000001</v>
      </c>
      <c r="BG62" s="765" t="str" cm="1">
        <f t="array" aca="1" ref="BG62" ca="1">IF(NPSwitch=1,_xll.TR(BG$7,BG$6,"Sdate=#1 Period=#2 NULL=BLANK",,$D62,$BC$4),BG62)</f>
        <v/>
      </c>
      <c r="BH62" s="765" cm="1">
        <f t="array" aca="1" ref="BH62" ca="1">IF(NPSwitch=1,_xll.TR(BH$7,BH$6,"Sdate=#1 Period=#2 NULL=BLANK",,$D62,$BC$4),BH62)</f>
        <v>8.7703487649999996</v>
      </c>
      <c r="BI62" s="765" cm="1">
        <f t="array" aca="1" ref="BI62" ca="1">IF(NPSwitch=1,_xll.TR(BI$7,BI$6,"Sdate=#1 Period=#2 NULL=BLANK",,$D62,$BC$4),BI62)</f>
        <v>7.0701524109999996</v>
      </c>
      <c r="BJ62" s="765" cm="1">
        <f t="array" aca="1" ref="BJ62" ca="1">IF(NPSwitch=1,_xll.TR(BJ$7,BJ$6,"Sdate=#1 Period=#2 NULL=BLANK",,$D62,$BC$4),BJ62)</f>
        <v>7.8387004740000004</v>
      </c>
      <c r="BK62" s="765" cm="1">
        <f t="array" aca="1" ref="BK62" ca="1">IF(NPSwitch=1,_xll.TR(BK$7,BK$6,"Sdate=#1 Period=#2 NULL=BLANK",,$D62,$BC$4),BK62)</f>
        <v>4.7554576270000002</v>
      </c>
      <c r="BM62" s="1014"/>
      <c r="BO62" s="765" cm="1">
        <f t="array" aca="1" ref="BO62" ca="1">IF(NPSwitch=1,_xll.TR(BO$7,BO$6,"Sdate=#1 Period=#2 NULL=BLANK Scale=6",,$D62,$AS$4),BO62)</f>
        <v>29231</v>
      </c>
      <c r="BP62" s="765" cm="1">
        <f t="array" aca="1" ref="BP62" ca="1">IF(NPSwitch=1,_xll.TR(BP$7,BP$6,"Sdate=#1 Period=#2 NULL=BLANK Scale=6",,$D62,$AS$4),BP62)</f>
        <v>2766.59</v>
      </c>
      <c r="BQ62" s="765" cm="1">
        <f t="array" aca="1" ref="BQ62" ca="1">IF(NPSwitch=1,_xll.TR(BQ$7,BQ$6,"Sdate=#1 Period=#2 NULL=BLANK Scale=6",,$D62,$AS$4),BQ62)</f>
        <v>6503</v>
      </c>
      <c r="BR62" s="765" cm="1">
        <f t="array" aca="1" ref="BR62" ca="1">IF(NPSwitch=1,_xll.TR(BR$7,BR$6,"Sdate=#1 Period=#2 NULL=BLANK Scale=6",,$D62,$AS$4),BR62)</f>
        <v>2840.9</v>
      </c>
      <c r="BS62" s="765" cm="1">
        <f t="array" aca="1" ref="BS62" ca="1">IF(NPSwitch=1,_xll.TR(BS$7,BS$6,"Sdate=#1 Period=#2 NULL=BLANK Scale=6",,$D62,$AS$4),BS62)</f>
        <v>11001</v>
      </c>
      <c r="BT62" s="765" cm="1">
        <f t="array" aca="1" ref="BT62" ca="1">IF(NPSwitch=1,_xll.TR(BT$7,BT$6,"Sdate=#1 Period=#2 NULL=BLANK Scale=6",,$D62,$AS$4),BT62)</f>
        <v>3279.8</v>
      </c>
      <c r="BU62" s="765" cm="1">
        <f t="array" aca="1" ref="BU62" ca="1">IF(NPSwitch=1,_xll.TR(BU$7,BU$6,"Sdate=#1 Period=#2 NULL=BLANK Scale=6",,$D62,$AS$4),BU62)</f>
        <v>14747</v>
      </c>
      <c r="BV62" s="765" cm="1">
        <f t="array" aca="1" ref="BV62" ca="1">IF(NPSwitch=1,_xll.TR(BV$7,BV$6,"Sdate=#1 Period=#2 NULL=BLANK Scale=6",,$D62,$AS$4),BV62)</f>
        <v>6835</v>
      </c>
      <c r="BW62" s="765" cm="1">
        <f t="array" aca="1" ref="BW62" ca="1">IF(NPSwitch=1,_xll.TR(BW$7,BW$6,"Sdate=#1 Period=#2 NULL=BLANK Scale=6",,$D62,$AS$4),BW62)</f>
        <v>6918</v>
      </c>
      <c r="BY62" s="765" cm="1">
        <f t="array" aca="1" ref="BY62" ca="1">IF(NPSwitch=1,_xll.TR(BY$7,BY$6,"Sdate=#1 Period=#2 NULL=BLANK Scale=6",,$D62,$AS$4),BY62)</f>
        <v>22722</v>
      </c>
      <c r="BZ62" s="765" cm="1">
        <f t="array" aca="1" ref="BZ62" ca="1">IF(NPSwitch=1,_xll.TR(BZ$7,BZ$6,"Sdate=#1 Period=#2 NULL=BLANK Scale=6",,$D62,$AS$4),BZ62)</f>
        <v>2475.6727500000002</v>
      </c>
      <c r="CA62" s="765" cm="1">
        <f t="array" aca="1" ref="CA62" ca="1">IF(NPSwitch=1,_xll.TR(CA$7,CA$6,"Sdate=#1 Period=#2 NULL=BLANK Scale=6",,$D62,$AS$4),CA62)</f>
        <v>5991.5</v>
      </c>
      <c r="CB62" s="765" cm="1">
        <f t="array" aca="1" ref="CB62" ca="1">IF(NPSwitch=1,_xll.TR(CB$7,CB$6,"Sdate=#1 Period=#2 NULL=BLANK Scale=6",,$D62,$AS$4),CB62)</f>
        <v>1030.2249999999999</v>
      </c>
      <c r="CC62" s="765" cm="1">
        <f t="array" aca="1" ref="CC62" ca="1">IF(NPSwitch=1,_xll.TR(CC$7,CC$6,"Sdate=#1 Period=#2 NULL=BLANK Scale=6",,$D62,$AS$4),CC62)</f>
        <v>6124.75</v>
      </c>
      <c r="CD62" s="765" cm="1">
        <f t="array" aca="1" ref="CD62" ca="1">IF(NPSwitch=1,_xll.TR(CD$7,CD$6,"Sdate=#1 Period=#2 NULL=BLANK Scale=6",,$D62,$AS$4),CD62)</f>
        <v>1950.2750000000001</v>
      </c>
      <c r="CE62" s="765" cm="1">
        <f t="array" aca="1" ref="CE62" ca="1">IF(NPSwitch=1,_xll.TR(CE$7,CE$6,"Sdate=#1 Period=#2 NULL=BLANK Scale=6",,$D62,$AS$4),CE62)</f>
        <v>7899.5</v>
      </c>
      <c r="CF62" s="765" cm="1">
        <f t="array" aca="1" ref="CF62" ca="1">IF(NPSwitch=1,_xll.TR(CF$7,CF$6,"Sdate=#1 Period=#2 NULL=BLANK Scale=6",,$D62,$AS$4),CF62)</f>
        <v>9835.75</v>
      </c>
      <c r="CG62" s="765" cm="1">
        <f t="array" aca="1" ref="CG62" ca="1">IF(NPSwitch=1,_xll.TR(CG$7,CG$6,"Sdate=#1 Period=#2 NULL=BLANK Scale=6",,$D62,$AS$4),CG62)</f>
        <v>3416.75</v>
      </c>
      <c r="CI62" s="1000" cm="1">
        <f t="array" aca="1" ref="CI62" ca="1">IF(NPSwitch=1,_xll.TR(CI$7,CI$6,"Sdate=#1 Period=#2 NULL=BLANK Scale=6",,$D62,$AS$4),CI62)</f>
        <v>7302</v>
      </c>
      <c r="CJ62" s="1000" cm="1">
        <f t="array" aca="1" ref="CJ62" ca="1">IF(NPSwitch=1,_xll.TR(CJ$7,CJ$6,"Sdate=#1 Period=#2 NULL=BLANK Scale=6",,$D62,$AS$4),CJ62)</f>
        <v>659.17</v>
      </c>
      <c r="CK62" s="1000" cm="1">
        <f t="array" aca="1" ref="CK62" ca="1">IF(NPSwitch=1,_xll.TR(CK$7,CK$6,"Sdate=#1 Period=#2 NULL=BLANK Scale=6",,$D62,$AS$4),CK62)</f>
        <v>405</v>
      </c>
      <c r="CL62" s="1000" cm="1">
        <f t="array" aca="1" ref="CL62" ca="1">IF(NPSwitch=1,_xll.TR(CL$7,CL$6,"Sdate=#1 Period=#2 NULL=BLANK Scale=6",,$D62,$AS$4),CL62)</f>
        <v>93.5</v>
      </c>
      <c r="CM62" s="1000" cm="1">
        <f t="array" aca="1" ref="CM62" ca="1">IF(NPSwitch=1,_xll.TR(CM$7,CM$6,"Sdate=#1 Period=#2 NULL=BLANK Scale=6",,$D62,$AS$4),CM62)</f>
        <v>1198</v>
      </c>
      <c r="CN62" s="1000" cm="1">
        <f t="array" aca="1" ref="CN62" ca="1">IF(NPSwitch=1,_xll.TR(CN$7,CN$6,"Sdate=#1 Period=#2 NULL=BLANK Scale=6",,$D62,$AS$4),CN62)</f>
        <v>720.2</v>
      </c>
      <c r="CO62" s="1000" cm="1">
        <f t="array" aca="1" ref="CO62" ca="1">IF(NPSwitch=1,_xll.TR(CO$7,CO$6,"Sdate=#1 Period=#2 NULL=BLANK Scale=6",,$D62,$AS$4),CO62)</f>
        <v>2274</v>
      </c>
      <c r="CP62" s="1000" cm="1">
        <f t="array" aca="1" ref="CP62" ca="1">IF(NPSwitch=1,_xll.TR(CP$7,CP$6,"Sdate=#1 Period=#2 NULL=BLANK Scale=6",,$D62,$AS$4),CP62)</f>
        <v>1056</v>
      </c>
      <c r="CQ62" s="1000" cm="1">
        <f t="array" aca="1" ref="CQ62" ca="1">IF(NPSwitch=1,_xll.TR(CQ$7,CQ$6,"Sdate=#1 Period=#2 NULL=BLANK Scale=6",,$D62,$AS$4),CQ62)</f>
        <v>1370</v>
      </c>
      <c r="CS62" s="1000" cm="1">
        <f t="array" aca="1" ref="CS62" ca="1">IF(NPSwitch=1,_xll.TR(CS$7,CS$6,"Sdate=#1 Period=#2 NULL=BLANK Scale=6",,$D62,$AS$4),CS62)</f>
        <v>7478.75</v>
      </c>
      <c r="CT62" s="1000" cm="1">
        <f t="array" aca="1" ref="CT62" ca="1">IF(NPSwitch=1,_xll.TR(CT$7,CT$6,"Sdate=#1 Period=#2 NULL=BLANK Scale=6",,$D62,$AS$4),CT62)</f>
        <v>1050.1637499999999</v>
      </c>
      <c r="CU62" s="1000" cm="1">
        <f t="array" aca="1" ref="CU62" ca="1">IF(NPSwitch=1,_xll.TR(CU$7,CU$6,"Sdate=#1 Period=#2 NULL=BLANK Scale=6",,$D62,$AS$4),CU62)</f>
        <v>2056</v>
      </c>
      <c r="CV62" s="1000" cm="1">
        <f t="array" aca="1" ref="CV62" ca="1">IF(NPSwitch=1,_xll.TR(CV$7,CV$6,"Sdate=#1 Period=#2 NULL=BLANK Scale=6",,$D62,$AS$4),CV62)</f>
        <v>374.6</v>
      </c>
      <c r="CW62" s="1000" cm="1">
        <f t="array" aca="1" ref="CW62" ca="1">IF(NPSwitch=1,_xll.TR(CW$7,CW$6,"Sdate=#1 Period=#2 NULL=BLANK Scale=6",,$D62,$AS$4),CW62)</f>
        <v>942.375</v>
      </c>
      <c r="CX62" s="1000" cm="1">
        <f t="array" aca="1" ref="CX62" ca="1">IF(NPSwitch=1,_xll.TR(CX$7,CX$6,"Sdate=#1 Period=#2 NULL=BLANK Scale=6",,$D62,$AS$4),CX62)</f>
        <v>2702.5</v>
      </c>
      <c r="CY62" s="1000" cm="1">
        <f t="array" aca="1" ref="CY62" ca="1">IF(NPSwitch=1,_xll.TR(CY$7,CY$6,"Sdate=#1 Period=#2 NULL=BLANK Scale=6",,$D62,$AS$4),CY62)</f>
        <v>3579</v>
      </c>
      <c r="CZ62" s="1000" cm="1">
        <f t="array" aca="1" ref="CZ62" ca="1">IF(NPSwitch=1,_xll.TR(CZ$7,CZ$6,"Sdate=#1 Period=#2 NULL=BLANK Scale=6",,$D62,$AS$4),CZ62)</f>
        <v>2927</v>
      </c>
      <c r="DA62" s="1000" cm="1">
        <f t="array" aca="1" ref="DA62" ca="1">IF(NPSwitch=1,_xll.TR(DA$7,DA$6,"Sdate=#1 Period=#2 NULL=BLANK Scale=6",,$D62,$AS$4),DA62)</f>
        <v>3169</v>
      </c>
      <c r="DB62" s="1000" cm="1">
        <f t="array" aca="1" ref="DB62" ca="1">IF(NPSwitch=1,_xll.TR(DB$7,DB$6,"Sdate=#1 Period=#2 NULL=BLANK Scale=6",,$D62,$AS$4),DB62)</f>
        <v>16969.75</v>
      </c>
      <c r="DC62" s="1000" t="str" cm="1">
        <f t="array" aca="1" ref="DC62" ca="1">IF(NPSwitch=1,_xll.TR(DC$7,DC$6,"Sdate=#1 Period=#2 NULL=BLANK Scale=6",,$D62,$AS$4),DC62)</f>
        <v/>
      </c>
      <c r="DD62" s="1000" cm="1">
        <f t="array" aca="1" ref="DD62" ca="1">IF(NPSwitch=1,_xll.TR(DD$7,DD$6,"Sdate=#1 Period=#2 NULL=BLANK Scale=6",,$D62,$AS$4),DD62)</f>
        <v>7390.5</v>
      </c>
      <c r="DE62" s="1000" t="str" cm="1">
        <f t="array" aca="1" ref="DE62" ca="1">IF(NPSwitch=1,_xll.TR(DE$7,DE$6,"Sdate=#1 Period=#2 NULL=BLANK Scale=6",,$D62,$AS$4),DE62)</f>
        <v/>
      </c>
      <c r="DF62" s="1000" cm="1">
        <f t="array" aca="1" ref="DF62" ca="1">IF(NPSwitch=1,_xll.TR(DF$7,DF$6,"Sdate=#1 Period=#2 NULL=BLANK Scale=6",,$D62,$AS$4),DF62)</f>
        <v>374.6</v>
      </c>
      <c r="DG62" s="1000" cm="1">
        <f t="array" aca="1" ref="DG62" ca="1">IF(NPSwitch=1,_xll.TR(DG$7,DG$6,"Sdate=#1 Period=#2 NULL=BLANK Scale=6",,$D62,$AS$4),DG62)</f>
        <v>3682.25</v>
      </c>
      <c r="DH62" s="1000" cm="1">
        <f t="array" aca="1" ref="DH62" ca="1">IF(NPSwitch=1,_xll.TR(DH$7,DH$6,"Sdate=#1 Period=#2 NULL=BLANK Scale=6",,$D62,$AS$4),DH62)</f>
        <v>1179.6812500000001</v>
      </c>
      <c r="FN62" s="3" t="s">
        <v>1568</v>
      </c>
    </row>
    <row r="63" spans="1:170">
      <c r="C63" s="973">
        <f t="shared" si="44"/>
        <v>40908</v>
      </c>
      <c r="D63" s="974">
        <f t="shared" si="43"/>
        <v>40953</v>
      </c>
      <c r="E63" s="765" cm="1">
        <f t="array" aca="1" ref="E63" ca="1">IF(NPSwitch=1,_xll.TR(E$7,E$6,"Sdate=#1 Period=#2 NULL=BLANK",,$D63,$E$4),E63)</f>
        <v>8.0350650454030603</v>
      </c>
      <c r="F63" s="765" cm="1">
        <f t="array" aca="1" ref="F63" ca="1">IF(NPSwitch=1,_xll.TR(F$7,F$6,"Sdate=#1 Period=#2 NULL=BLANK",,$D63,$E$4),F63)</f>
        <v>8.9733789856627197</v>
      </c>
      <c r="G63" s="765" cm="1">
        <f t="array" aca="1" ref="G63" ca="1">IF(NPSwitch=1,_xll.TR(G$7,G$6,"Sdate=#1 Period=#2 NULL=BLANK",,$D63,$E$4),G63)</f>
        <v>6.0704714621837201</v>
      </c>
      <c r="H63" s="765" cm="1">
        <f t="array" aca="1" ref="H63" ca="1">IF(NPSwitch=1,_xll.TR(H$7,H$6,"Sdate=#1 Period=#2 NULL=BLANK",,$D63,$E$4),H63)</f>
        <v>4.4610687978077603</v>
      </c>
      <c r="I63" s="765" cm="1">
        <f t="array" aca="1" ref="I63" ca="1">IF(NPSwitch=1,_xll.TR(I$7,I$6,"Sdate=#1 Period=#2 NULL=BLANK",,$D63,$E$4),I63)</f>
        <v>5.0386172213395897</v>
      </c>
      <c r="J63" s="765" cm="1">
        <f t="array" aca="1" ref="J63" ca="1">IF(NPSwitch=1,_xll.TR(J$7,J$6,"Sdate=#1 Period=#2 NULL=BLANK",,$D63,$E$4),J63)</f>
        <v>8.0687912775927408</v>
      </c>
      <c r="K63" s="765" cm="1">
        <f t="array" aca="1" ref="K63" ca="1">IF(NPSwitch=1,_xll.TR(K$7,K$6,"Sdate=#1 Period=#2 NULL=BLANK",,$D63,$E$4),K63)</f>
        <v>7.1280771109433996</v>
      </c>
      <c r="L63" s="765" cm="1">
        <f t="array" aca="1" ref="L63" ca="1">IF(NPSwitch=1,_xll.TR(L$7,L$6,"Sdate=#1 Period=#2 NULL=BLANK",,$D63,$E$4),L63)</f>
        <v>5.1152771847804299</v>
      </c>
      <c r="M63" s="765" cm="1">
        <f t="array" aca="1" ref="M63" ca="1">IF(NPSwitch=1,_xll.TR(M$7,M$6,"Sdate=#1 Period=#2 NULL=BLANK",,$D63,$E$4),M63)</f>
        <v>5.3720191970030298</v>
      </c>
      <c r="N63" s="1002">
        <f t="shared" ca="1" si="45"/>
        <v>5.9803838424412739</v>
      </c>
      <c r="O63" s="1000" cm="1">
        <f t="array" aca="1" ref="O63" ca="1">IF(NPSwitch=1,_xll.TR(O$7,O$6,"Sdate=#1 Period=#2 Scale=6 NULL=BLANK",,$D63,$O$4),O63)</f>
        <v>61112.9057063699</v>
      </c>
      <c r="P63" s="1000" cm="1">
        <f t="array" aca="1" ref="P63" ca="1">IF(NPSwitch=1,_xll.TR(P$7,P$6,"Sdate=#1 Period=#2 Scale=6 NULL=BLANK",,$D63,$O$4),P63)</f>
        <v>5803.1893620000001</v>
      </c>
      <c r="Q63" s="1000" cm="1">
        <f t="array" aca="1" ref="Q63" ca="1">IF(NPSwitch=1,_xll.TR(Q$7,Q$6,"Sdate=#1 Period=#2 Scale=6 NULL=BLANK",,$D63,$O$4),Q63)</f>
        <v>4991.2071664599998</v>
      </c>
      <c r="R63" s="1000" cm="1">
        <f t="array" aca="1" ref="R63" ca="1">IF(NPSwitch=1,_xll.TR(R$7,R$6,"Sdate=#1 Period=#2 Scale=6 NULL=BLANK",,$D63,$O$4),R63)</f>
        <v>1299.4068985500001</v>
      </c>
      <c r="S63" s="1000" cm="1">
        <f t="array" aca="1" ref="S63" ca="1">IF(NPSwitch=1,_xll.TR(S$7,S$6,"Sdate=#1 Period=#2 Scale=6 NULL=BLANK",,$D63,$O$4),S63)</f>
        <v>3142.29449647</v>
      </c>
      <c r="T63" s="1000" cm="1">
        <f t="array" aca="1" ref="T63" ca="1">IF(NPSwitch=1,_xll.TR(T$7,T$6,"Sdate=#1 Period=#2 Scale=6 NULL=BLANK",,$D63,$O$4),T63)</f>
        <v>6459.9371149999997</v>
      </c>
      <c r="U63" s="1000" cm="1">
        <f t="array" aca="1" ref="U63" ca="1">IF(NPSwitch=1,_xll.TR(U$7,U$6,"Sdate=#1 Period=#2 Scale=6 NULL=BLANK",,$D63,$O$4),U63)</f>
        <v>13759.741258439901</v>
      </c>
      <c r="V63" s="1000" cm="1">
        <f t="array" aca="1" ref="V63" ca="1">IF(NPSwitch=1,_xll.TR(V$7,V$6,"Sdate=#1 Period=#2 Scale=6 NULL=BLANK",,$D63,$O$4),V63)</f>
        <v>6675.2970019872901</v>
      </c>
      <c r="W63" s="1000" cm="1">
        <f t="array" aca="1" ref="W63" ca="1">IF(NPSwitch=1,_xll.TR(W$7,W$6,"Sdate=#1 Period=#2 Scale=6 NULL=BLANK",,$D63,$O$4),W63)</f>
        <v>7417.3940695600004</v>
      </c>
      <c r="X63" s="998"/>
      <c r="Y63" s="1000" cm="1">
        <f t="array" aca="1" ref="Y63" ca="1">IF(NPSwitch=1,_xll.TR(Y$7,Y$6,"Sdate=#1 Period=#2 Scale=6 NULL=BLANK",,$D63,$O$4),Y63)</f>
        <v>4274.5</v>
      </c>
      <c r="Z63" s="1000" cm="1">
        <f t="array" aca="1" ref="Z63" ca="1">IF(NPSwitch=1,_xll.TR(Z$7,Z$6,"Sdate=#1 Period=#2 Scale=6 NULL=BLANK",,$D63,$O$4),Z63)</f>
        <v>470.60050000000001</v>
      </c>
      <c r="AA63" s="1000" cm="1">
        <f t="array" aca="1" ref="AA63" ca="1">IF(NPSwitch=1,_xll.TR(AA$7,AA$6,"Sdate=#1 Period=#2 Scale=6 NULL=BLANK",,$D63,$O$4),AA63)</f>
        <v>844.25</v>
      </c>
      <c r="AB63" s="1000" cm="1">
        <f t="array" aca="1" ref="AB63" ca="1">IF(NPSwitch=1,_xll.TR(AB$7,AB$6,"Sdate=#1 Period=#2 Scale=6 NULL=BLANK",,$D63,$O$4),AB63)</f>
        <v>404.27499999999998</v>
      </c>
      <c r="AC63" s="1000" cm="1">
        <f t="array" aca="1" ref="AC63" ca="1">IF(NPSwitch=1,_xll.TR(AC$7,AC$6,"Sdate=#1 Period=#2 Scale=6 NULL=BLANK",,$D63,$O$4),AC63)</f>
        <v>683.5</v>
      </c>
      <c r="AD63" s="1000" cm="1">
        <f t="array" aca="1" ref="AD63" ca="1">IF(NPSwitch=1,_xll.TR(AD$7,AD$6,"Sdate=#1 Period=#2 Scale=6 NULL=BLANK",,$D63,$O$4),AD63)</f>
        <v>135.22499999999999</v>
      </c>
      <c r="AE63" s="1000" cm="1">
        <f t="array" aca="1" ref="AE63" ca="1">IF(NPSwitch=1,_xll.TR(AE$7,AE$6,"Sdate=#1 Period=#2 Scale=6 NULL=BLANK",,$D63,$O$4),AE63)</f>
        <v>1362</v>
      </c>
      <c r="AF63" s="1000" cm="1">
        <f t="array" aca="1" ref="AF63" ca="1">IF(NPSwitch=1,_xll.TR(AF$7,AF$6,"Sdate=#1 Period=#2 Scale=6 NULL=BLANK",,$D63,$O$4),AF63)</f>
        <v>2751.75</v>
      </c>
      <c r="AG63" s="1000" cm="1">
        <f t="array" aca="1" ref="AG63" ca="1">IF(NPSwitch=1,_xll.TR(AG$7,AG$6,"Sdate=#1 Period=#2 Scale=6 NULL=BLANK",,$D63,$O$4),AG63)</f>
        <v>775</v>
      </c>
      <c r="AH63" s="998"/>
      <c r="AI63" s="1000" cm="1">
        <f t="array" aca="1" ref="AI63" ca="1">IF(NPSwitch=1,_xll.TR(AI$7,AI$6,"Sdate=#1 Period=#2 Scale=6 NULL=BLANK",,$D63,$O$4),AI63)</f>
        <v>62853.905706370002</v>
      </c>
      <c r="AJ63" s="1000" cm="1">
        <f t="array" aca="1" ref="AJ63" ca="1">IF(NPSwitch=1,_xll.TR(AJ$7,AJ$6,"Sdate=#1 Period=#2 Scale=6 NULL=BLANK",,$D63,$O$4),AJ63)</f>
        <v>6296.162362</v>
      </c>
      <c r="AK63" s="1000" cm="1">
        <f t="array" aca="1" ref="AK63" ca="1">IF(NPSwitch=1,_xll.TR(AK$7,AK$6,"Sdate=#1 Period=#2 Scale=6 NULL=BLANK",,$D63,$O$4),AK63)</f>
        <v>8329.2071664600007</v>
      </c>
      <c r="AL63" s="1000" cm="1">
        <f t="array" aca="1" ref="AL63" ca="1">IF(NPSwitch=1,_xll.TR(AL$7,AL$6,"Sdate=#1 Period=#2 Scale=6 NULL=BLANK",,$D63,$O$4),AL63)</f>
        <v>1322.70689855</v>
      </c>
      <c r="AM63" s="1000" cm="1">
        <f t="array" aca="1" ref="AM63" ca="1">IF(NPSwitch=1,_xll.TR(AM$7,AM$6,"Sdate=#1 Period=#2 Scale=6 NULL=BLANK",,$D63,$O$4),AM63)</f>
        <v>6904.29449647</v>
      </c>
      <c r="AN63" s="1000" cm="1">
        <f t="array" aca="1" ref="AN63" ca="1">IF(NPSwitch=1,_xll.TR(AN$7,AN$6,"Sdate=#1 Period=#2 Scale=6 NULL=BLANK",,$D63,$O$4),AN63)</f>
        <v>6981.9371149999997</v>
      </c>
      <c r="AO63" s="1000" cm="1">
        <f t="array" aca="1" ref="AO63" ca="1">IF(NPSwitch=1,_xll.TR(AO$7,AO$6,"Sdate=#1 Period=#2 Scale=6 NULL=BLANK",,$D63,$O$4),AO63)</f>
        <v>16357.741258440001</v>
      </c>
      <c r="AP63" s="1000" cm="1">
        <f t="array" aca="1" ref="AP63" ca="1">IF(NPSwitch=1,_xll.TR(AP$7,AP$6,"Sdate=#1 Period=#2 Scale=6 NULL=BLANK",,$D63,$O$4),AP63)</f>
        <v>9294.2970019870008</v>
      </c>
      <c r="AQ63" s="1000" cm="1">
        <f t="array" aca="1" ref="AQ63" ca="1">IF(NPSwitch=1,_xll.TR(AQ$7,AQ$6,"Sdate=#1 Period=#2 Scale=6 NULL=BLANK",,$D63,$O$4),AQ63)</f>
        <v>8367.3940695599995</v>
      </c>
      <c r="AS63" s="765" t="str" cm="1">
        <f t="array" aca="1" ref="AS63" ca="1">IF(NPSwitch=1,_xll.TR(AS$7,AS$6,"Sdate=#1 Period=#2 NULL=BLANK Scale=6",,$D63,$AS$4),AS63)</f>
        <v/>
      </c>
      <c r="AT63" s="765" t="str" cm="1">
        <f t="array" aca="1" ref="AT63" ca="1">IF(NPSwitch=1,_xll.TR(AT$7,AT$6,"Sdate=#1 Period=#2 NULL=BLANK Scale=6",,$D63,$AS$4),AT63)</f>
        <v/>
      </c>
      <c r="AU63" s="765" t="str" cm="1">
        <f t="array" aca="1" ref="AU63" ca="1">IF(NPSwitch=1,_xll.TR(AU$7,AU$6,"Sdate=#1 Period=#2 NULL=BLANK Scale=6",,$D63,$AS$4),AU63)</f>
        <v/>
      </c>
      <c r="AV63" s="765" t="str" cm="1">
        <f t="array" aca="1" ref="AV63" ca="1">IF(NPSwitch=1,_xll.TR(AV$7,AV$6,"Sdate=#1 Period=#2 NULL=BLANK Scale=6",,$D63,$AS$4),AV63)</f>
        <v/>
      </c>
      <c r="AW63" s="765" t="str" cm="1">
        <f t="array" aca="1" ref="AW63" ca="1">IF(NPSwitch=1,_xll.TR(AW$7,AW$6,"Sdate=#1 Period=#2 NULL=BLANK Scale=6",,$D63,$AS$4),AW63)</f>
        <v/>
      </c>
      <c r="AX63" s="765" t="str" cm="1">
        <f t="array" aca="1" ref="AX63" ca="1">IF(NPSwitch=1,_xll.TR(AX$7,AX$6,"Sdate=#1 Period=#2 NULL=BLANK Scale=6",,$D63,$AS$4),AX63)</f>
        <v/>
      </c>
      <c r="AY63" s="765" t="str" cm="1">
        <f t="array" aca="1" ref="AY63" ca="1">IF(NPSwitch=1,_xll.TR(AY$7,AY$6,"Sdate=#1 Period=#2 NULL=BLANK Scale=6",,$D63,$AS$4),AY63)</f>
        <v/>
      </c>
      <c r="AZ63" s="765" t="str" cm="1">
        <f t="array" aca="1" ref="AZ63" ca="1">IF(NPSwitch=1,_xll.TR(AZ$7,AZ$6,"Sdate=#1 Period=#2 NULL=BLANK Scale=6",,$D63,$AS$4),AZ63)</f>
        <v/>
      </c>
      <c r="BA63" s="765" t="str" cm="1">
        <f t="array" aca="1" ref="BA63" ca="1">IF(NPSwitch=1,_xll.TR(BA$7,BA$6,"Sdate=#1 Period=#2 NULL=BLANK Scale=6",,$D63,$AS$4),BA63)</f>
        <v/>
      </c>
      <c r="BB63" s="1002"/>
      <c r="BC63" s="765" cm="1">
        <f t="array" aca="1" ref="BC63" ca="1">IF(NPSwitch=1,_xll.TR(BC$7,BC$6,"Sdate=#1 Period=#2 NULL=BLANK",,$D63,$BC$4),BC63)</f>
        <v>8.6077657769999991</v>
      </c>
      <c r="BD63" s="765" cm="1">
        <f t="array" aca="1" ref="BD63" ca="1">IF(NPSwitch=1,_xll.TR(BD$7,BD$6,"Sdate=#1 Period=#2 NULL=BLANK",,$D63,$BC$4),BD63)</f>
        <v>9.5516518680000004</v>
      </c>
      <c r="BE63" s="765" cm="1">
        <f t="array" aca="1" ref="BE63" ca="1">IF(NPSwitch=1,_xll.TR(BE$7,BE$6,"Sdate=#1 Period=#2 NULL=BLANK",,$D63,$BC$4),BE63)</f>
        <v>16.331778757999999</v>
      </c>
      <c r="BF63" s="765" cm="1">
        <f t="array" aca="1" ref="BF63" ca="1">IF(NPSwitch=1,_xll.TR(BF$7,BF$6,"Sdate=#1 Period=#2 NULL=BLANK",,$D63,$BC$4),BF63)</f>
        <v>14.146597845000001</v>
      </c>
      <c r="BG63" s="765" t="str" cm="1">
        <f t="array" aca="1" ref="BG63" ca="1">IF(NPSwitch=1,_xll.TR(BG$7,BG$6,"Sdate=#1 Period=#2 NULL=BLANK",,$D63,$BC$4),BG63)</f>
        <v/>
      </c>
      <c r="BH63" s="765" cm="1">
        <f t="array" aca="1" ref="BH63" ca="1">IF(NPSwitch=1,_xll.TR(BH$7,BH$6,"Sdate=#1 Period=#2 NULL=BLANK",,$D63,$BC$4),BH63)</f>
        <v>9.6944419810000007</v>
      </c>
      <c r="BI63" s="765" cm="1">
        <f t="array" aca="1" ref="BI63" ca="1">IF(NPSwitch=1,_xll.TR(BI$7,BI$6,"Sdate=#1 Period=#2 NULL=BLANK",,$D63,$BC$4),BI63)</f>
        <v>7.1933778620000002</v>
      </c>
      <c r="BJ63" s="765" cm="1">
        <f t="array" aca="1" ref="BJ63" ca="1">IF(NPSwitch=1,_xll.TR(BJ$7,BJ$6,"Sdate=#1 Period=#2 NULL=BLANK",,$D63,$BC$4),BJ63)</f>
        <v>8.7930908250000002</v>
      </c>
      <c r="BK63" s="765" cm="1">
        <f t="array" aca="1" ref="BK63" ca="1">IF(NPSwitch=1,_xll.TR(BK$7,BK$6,"Sdate=#1 Period=#2 NULL=BLANK",,$D63,$BC$4),BK63)</f>
        <v>6.1075869120000004</v>
      </c>
      <c r="BM63" s="1014"/>
      <c r="BO63" s="765" cm="1">
        <f t="array" aca="1" ref="BO63" ca="1">IF(NPSwitch=1,_xll.TR(BO$7,BO$6,"Sdate=#1 Period=#2 NULL=BLANK Scale=6",,$D63,$AS$4),BO63)</f>
        <v>29611</v>
      </c>
      <c r="BP63" s="765" cm="1">
        <f t="array" aca="1" ref="BP63" ca="1">IF(NPSwitch=1,_xll.TR(BP$7,BP$6,"Sdate=#1 Period=#2 NULL=BLANK Scale=6",,$D63,$AS$4),BP63)</f>
        <v>2869.0050000000001</v>
      </c>
      <c r="BQ63" s="765" cm="1">
        <f t="array" aca="1" ref="BQ63" ca="1">IF(NPSwitch=1,_xll.TR(BQ$7,BQ$6,"Sdate=#1 Period=#2 NULL=BLANK Scale=6",,$D63,$AS$4),BQ63)</f>
        <v>7000</v>
      </c>
      <c r="BR63" s="765" cm="1">
        <f t="array" aca="1" ref="BR63" ca="1">IF(NPSwitch=1,_xll.TR(BR$7,BR$6,"Sdate=#1 Period=#2 NULL=BLANK Scale=6",,$D63,$AS$4),BR63)</f>
        <v>2840.9</v>
      </c>
      <c r="BS63" s="765" cm="1">
        <f t="array" aca="1" ref="BS63" ca="1">IF(NPSwitch=1,_xll.TR(BS$7,BS$6,"Sdate=#1 Period=#2 NULL=BLANK Scale=6",,$D63,$AS$4),BS63)</f>
        <v>11001</v>
      </c>
      <c r="BT63" s="765" cm="1">
        <f t="array" aca="1" ref="BT63" ca="1">IF(NPSwitch=1,_xll.TR(BT$7,BT$6,"Sdate=#1 Period=#2 NULL=BLANK Scale=6",,$D63,$AS$4),BT63)</f>
        <v>3377.9</v>
      </c>
      <c r="BU63" s="765" cm="1">
        <f t="array" aca="1" ref="BU63" ca="1">IF(NPSwitch=1,_xll.TR(BU$7,BU$6,"Sdate=#1 Period=#2 NULL=BLANK Scale=6",,$D63,$AS$4),BU63)</f>
        <v>14885</v>
      </c>
      <c r="BV63" s="765" cm="1">
        <f t="array" aca="1" ref="BV63" ca="1">IF(NPSwitch=1,_xll.TR(BV$7,BV$6,"Sdate=#1 Period=#2 NULL=BLANK Scale=6",,$D63,$AS$4),BV63)</f>
        <v>6835</v>
      </c>
      <c r="BW63" s="765" cm="1">
        <f t="array" aca="1" ref="BW63" ca="1">IF(NPSwitch=1,_xll.TR(BW$7,BW$6,"Sdate=#1 Period=#2 NULL=BLANK Scale=6",,$D63,$AS$4),BW63)</f>
        <v>7178</v>
      </c>
      <c r="BY63" s="765" cm="1">
        <f t="array" aca="1" ref="BY63" ca="1">IF(NPSwitch=1,_xll.TR(BY$7,BY$6,"Sdate=#1 Period=#2 NULL=BLANK Scale=6",,$D63,$AS$4),BY63)</f>
        <v>22611.75</v>
      </c>
      <c r="BZ63" s="765" cm="1">
        <f t="array" aca="1" ref="BZ63" ca="1">IF(NPSwitch=1,_xll.TR(BZ$7,BZ$6,"Sdate=#1 Period=#2 NULL=BLANK Scale=6",,$D63,$AS$4),BZ63)</f>
        <v>2502.13375</v>
      </c>
      <c r="CA63" s="765" cm="1">
        <f t="array" aca="1" ref="CA63" ca="1">IF(NPSwitch=1,_xll.TR(CA$7,CA$6,"Sdate=#1 Period=#2 NULL=BLANK Scale=6",,$D63,$AS$4),CA63)</f>
        <v>6682</v>
      </c>
      <c r="CB63" s="765" cm="1">
        <f t="array" aca="1" ref="CB63" ca="1">IF(NPSwitch=1,_xll.TR(CB$7,CB$6,"Sdate=#1 Period=#2 NULL=BLANK Scale=6",,$D63,$AS$4),CB63)</f>
        <v>1030.2249999999999</v>
      </c>
      <c r="CC63" s="765" cm="1">
        <f t="array" aca="1" ref="CC63" ca="1">IF(NPSwitch=1,_xll.TR(CC$7,CC$6,"Sdate=#1 Period=#2 NULL=BLANK Scale=6",,$D63,$AS$4),CC63)</f>
        <v>6124.75</v>
      </c>
      <c r="CD63" s="765" cm="1">
        <f t="array" aca="1" ref="CD63" ca="1">IF(NPSwitch=1,_xll.TR(CD$7,CD$6,"Sdate=#1 Period=#2 NULL=BLANK Scale=6",,$D63,$AS$4),CD63)</f>
        <v>2025.925</v>
      </c>
      <c r="CE63" s="765" cm="1">
        <f t="array" aca="1" ref="CE63" ca="1">IF(NPSwitch=1,_xll.TR(CE$7,CE$6,"Sdate=#1 Period=#2 NULL=BLANK Scale=6",,$D63,$AS$4),CE63)</f>
        <v>7705.5</v>
      </c>
      <c r="CF63" s="765" cm="1">
        <f t="array" aca="1" ref="CF63" ca="1">IF(NPSwitch=1,_xll.TR(CF$7,CF$6,"Sdate=#1 Period=#2 NULL=BLANK Scale=6",,$D63,$AS$4),CF63)</f>
        <v>9835.75</v>
      </c>
      <c r="CG63" s="765" cm="1">
        <f t="array" aca="1" ref="CG63" ca="1">IF(NPSwitch=1,_xll.TR(CG$7,CG$6,"Sdate=#1 Period=#2 NULL=BLANK Scale=6",,$D63,$AS$4),CG63)</f>
        <v>3483.75</v>
      </c>
      <c r="CI63" s="1000" cm="1">
        <f t="array" aca="1" ref="CI63" ca="1">IF(NPSwitch=1,_xll.TR(CI$7,CI$6,"Sdate=#1 Period=#2 NULL=BLANK Scale=6",,$D63,$AS$4),CI63)</f>
        <v>7390</v>
      </c>
      <c r="CJ63" s="1000" cm="1">
        <f t="array" aca="1" ref="CJ63" ca="1">IF(NPSwitch=1,_xll.TR(CJ$7,CJ$6,"Sdate=#1 Period=#2 NULL=BLANK Scale=6",,$D63,$AS$4),CJ63)</f>
        <v>684.59299999999996</v>
      </c>
      <c r="CK63" s="1000" cm="1">
        <f t="array" aca="1" ref="CK63" ca="1">IF(NPSwitch=1,_xll.TR(CK$7,CK$6,"Sdate=#1 Period=#2 NULL=BLANK Scale=6",,$D63,$AS$4),CK63)</f>
        <v>513</v>
      </c>
      <c r="CL63" s="1000" cm="1">
        <f t="array" aca="1" ref="CL63" ca="1">IF(NPSwitch=1,_xll.TR(CL$7,CL$6,"Sdate=#1 Period=#2 NULL=BLANK Scale=6",,$D63,$AS$4),CL63)</f>
        <v>93.5</v>
      </c>
      <c r="CM63" s="1000" cm="1">
        <f t="array" aca="1" ref="CM63" ca="1">IF(NPSwitch=1,_xll.TR(CM$7,CM$6,"Sdate=#1 Period=#2 NULL=BLANK Scale=6",,$D63,$AS$4),CM63)</f>
        <v>1198</v>
      </c>
      <c r="CN63" s="1000" cm="1">
        <f t="array" aca="1" ref="CN63" ca="1">IF(NPSwitch=1,_xll.TR(CN$7,CN$6,"Sdate=#1 Period=#2 NULL=BLANK Scale=6",,$D63,$AS$4),CN63)</f>
        <v>726.6</v>
      </c>
      <c r="CO63" s="1000" cm="1">
        <f t="array" aca="1" ref="CO63" ca="1">IF(NPSwitch=1,_xll.TR(CO$7,CO$6,"Sdate=#1 Period=#2 NULL=BLANK Scale=6",,$D63,$AS$4),CO63)</f>
        <v>2246</v>
      </c>
      <c r="CP63" s="1000" cm="1">
        <f t="array" aca="1" ref="CP63" ca="1">IF(NPSwitch=1,_xll.TR(CP$7,CP$6,"Sdate=#1 Period=#2 NULL=BLANK Scale=6",,$D63,$AS$4),CP63)</f>
        <v>1056</v>
      </c>
      <c r="CQ63" s="1000" cm="1">
        <f t="array" aca="1" ref="CQ63" ca="1">IF(NPSwitch=1,_xll.TR(CQ$7,CQ$6,"Sdate=#1 Period=#2 NULL=BLANK Scale=6",,$D63,$AS$4),CQ63)</f>
        <v>1203</v>
      </c>
      <c r="CS63" s="1000" cm="1">
        <f t="array" aca="1" ref="CS63" ca="1">IF(NPSwitch=1,_xll.TR(CS$7,CS$6,"Sdate=#1 Period=#2 NULL=BLANK Scale=6",,$D63,$AS$4),CS63)</f>
        <v>7575.5</v>
      </c>
      <c r="CT63" s="1000" cm="1">
        <f t="array" aca="1" ref="CT63" ca="1">IF(NPSwitch=1,_xll.TR(CT$7,CT$6,"Sdate=#1 Period=#2 NULL=BLANK Scale=6",,$D63,$AS$4),CT63)</f>
        <v>1080.9555</v>
      </c>
      <c r="CU63" s="1000" cm="1">
        <f t="array" aca="1" ref="CU63" ca="1">IF(NPSwitch=1,_xll.TR(CU$7,CU$6,"Sdate=#1 Period=#2 NULL=BLANK Scale=6",,$D63,$AS$4),CU63)</f>
        <v>2328.5</v>
      </c>
      <c r="CV63" s="1000" cm="1">
        <f t="array" aca="1" ref="CV63" ca="1">IF(NPSwitch=1,_xll.TR(CV$7,CV$6,"Sdate=#1 Period=#2 NULL=BLANK Scale=6",,$D63,$AS$4),CV63)</f>
        <v>374.6</v>
      </c>
      <c r="CW63" s="1000" cm="1">
        <f t="array" aca="1" ref="CW63" ca="1">IF(NPSwitch=1,_xll.TR(CW$7,CW$6,"Sdate=#1 Period=#2 NULL=BLANK Scale=6",,$D63,$AS$4),CW63)</f>
        <v>951.6</v>
      </c>
      <c r="CX63" s="1000" cm="1">
        <f t="array" aca="1" ref="CX63" ca="1">IF(NPSwitch=1,_xll.TR(CX$7,CX$6,"Sdate=#1 Period=#2 NULL=BLANK Scale=6",,$D63,$AS$4),CX63)</f>
        <v>2711.25</v>
      </c>
      <c r="CY63" s="1000" cm="1">
        <f t="array" aca="1" ref="CY63" ca="1">IF(NPSwitch=1,_xll.TR(CY$7,CY$6,"Sdate=#1 Period=#2 NULL=BLANK Scale=6",,$D63,$AS$4),CY63)</f>
        <v>3579</v>
      </c>
      <c r="CZ63" s="1000" cm="1">
        <f t="array" aca="1" ref="CZ63" ca="1">IF(NPSwitch=1,_xll.TR(CZ$7,CZ$6,"Sdate=#1 Period=#2 NULL=BLANK Scale=6",,$D63,$AS$4),CZ63)</f>
        <v>2992.5</v>
      </c>
      <c r="DA63" s="1000" cm="1">
        <f t="array" aca="1" ref="DA63" ca="1">IF(NPSwitch=1,_xll.TR(DA$7,DA$6,"Sdate=#1 Period=#2 NULL=BLANK Scale=6",,$D63,$AS$4),DA63)</f>
        <v>3232</v>
      </c>
      <c r="DB63" s="1000" cm="1">
        <f t="array" aca="1" ref="DB63" ca="1">IF(NPSwitch=1,_xll.TR(DB$7,DB$6,"Sdate=#1 Period=#2 NULL=BLANK Scale=6",,$D63,$AS$4),DB63)</f>
        <v>16969.75</v>
      </c>
      <c r="DC63" s="1000" t="str" cm="1">
        <f t="array" aca="1" ref="DC63" ca="1">IF(NPSwitch=1,_xll.TR(DC$7,DC$6,"Sdate=#1 Period=#2 NULL=BLANK Scale=6",,$D63,$AS$4),DC63)</f>
        <v/>
      </c>
      <c r="DD63" s="1000" cm="1">
        <f t="array" aca="1" ref="DD63" ca="1">IF(NPSwitch=1,_xll.TR(DD$7,DD$6,"Sdate=#1 Period=#2 NULL=BLANK Scale=6",,$D63,$AS$4),DD63)</f>
        <v>7426.25</v>
      </c>
      <c r="DE63" s="1000" t="str" cm="1">
        <f t="array" aca="1" ref="DE63" ca="1">IF(NPSwitch=1,_xll.TR(DE$7,DE$6,"Sdate=#1 Period=#2 NULL=BLANK Scale=6",,$D63,$AS$4),DE63)</f>
        <v/>
      </c>
      <c r="DF63" s="1000" cm="1">
        <f t="array" aca="1" ref="DF63" ca="1">IF(NPSwitch=1,_xll.TR(DF$7,DF$6,"Sdate=#1 Period=#2 NULL=BLANK Scale=6",,$D63,$AS$4),DF63)</f>
        <v>374.6</v>
      </c>
      <c r="DG63" s="1000" cm="1">
        <f t="array" aca="1" ref="DG63" ca="1">IF(NPSwitch=1,_xll.TR(DG$7,DG$6,"Sdate=#1 Period=#2 NULL=BLANK Scale=6",,$D63,$AS$4),DG63)</f>
        <v>3682.25</v>
      </c>
      <c r="DH63" s="1000" cm="1">
        <f t="array" aca="1" ref="DH63" ca="1">IF(NPSwitch=1,_xll.TR(DH$7,DH$6,"Sdate=#1 Period=#2 NULL=BLANK Scale=6",,$D63,$AS$4),DH63)</f>
        <v>1179.6812500000001</v>
      </c>
      <c r="FN63" s="3" t="s">
        <v>1569</v>
      </c>
    </row>
    <row r="64" spans="1:170">
      <c r="C64" s="969">
        <f t="shared" si="44"/>
        <v>40999</v>
      </c>
      <c r="D64" s="974">
        <f t="shared" si="43"/>
        <v>41044</v>
      </c>
      <c r="E64" s="765" cm="1">
        <f t="array" aca="1" ref="E64" ca="1">IF(NPSwitch=1,_xll.TR(E$7,E$6,"Sdate=#1 Period=#2 NULL=BLANK",,$D64,$E$4),E64)</f>
        <v>7.5838746437707698</v>
      </c>
      <c r="F64" s="765" cm="1">
        <f t="array" aca="1" ref="F64" ca="1">IF(NPSwitch=1,_xll.TR(F$7,F$6,"Sdate=#1 Period=#2 NULL=BLANK",,$D64,$E$4),F64)</f>
        <v>7.79557022217615</v>
      </c>
      <c r="G64" s="765" cm="1">
        <f t="array" aca="1" ref="G64" ca="1">IF(NPSwitch=1,_xll.TR(G$7,G$6,"Sdate=#1 Period=#2 NULL=BLANK",,$D64,$E$4),G64)</f>
        <v>5.9218162896344699</v>
      </c>
      <c r="H64" s="765" cm="1">
        <f t="array" aca="1" ref="H64" ca="1">IF(NPSwitch=1,_xll.TR(H$7,H$6,"Sdate=#1 Period=#2 NULL=BLANK",,$D64,$E$4),H64)</f>
        <v>5.9450615526129198</v>
      </c>
      <c r="I64" s="765" cm="1">
        <f t="array" aca="1" ref="I64" ca="1">IF(NPSwitch=1,_xll.TR(I$7,I$6,"Sdate=#1 Period=#2 NULL=BLANK",,$D64,$E$4),I64)</f>
        <v>5.0174370726578701</v>
      </c>
      <c r="J64" s="765" cm="1">
        <f t="array" aca="1" ref="J64" ca="1">IF(NPSwitch=1,_xll.TR(J$7,J$6,"Sdate=#1 Period=#2 NULL=BLANK",,$D64,$E$4),J64)</f>
        <v>8.9457903898568993</v>
      </c>
      <c r="K64" s="765" cm="1">
        <f t="array" aca="1" ref="K64" ca="1">IF(NPSwitch=1,_xll.TR(K$7,K$6,"Sdate=#1 Period=#2 NULL=BLANK",,$D64,$E$4),K64)</f>
        <v>7.3976921673609297</v>
      </c>
      <c r="L64" s="765" cm="1">
        <f t="array" aca="1" ref="L64" ca="1">IF(NPSwitch=1,_xll.TR(L$7,L$6,"Sdate=#1 Period=#2 NULL=BLANK",,$D64,$E$4),L64)</f>
        <v>5.02173786536079</v>
      </c>
      <c r="M64" s="765" cm="1">
        <f t="array" aca="1" ref="M64" ca="1">IF(NPSwitch=1,_xll.TR(M$7,M$6,"Sdate=#1 Period=#2 NULL=BLANK",,$D64,$E$4),M64)</f>
        <v>4.5802052792951899</v>
      </c>
      <c r="N64" s="1002">
        <f t="shared" ca="1" si="45"/>
        <v>6.3749225562473129</v>
      </c>
      <c r="O64" s="1000" cm="1">
        <f t="array" aca="1" ref="O64" ca="1">IF(NPSwitch=1,_xll.TR(O$7,O$6,"Sdate=#1 Period=#2 Scale=6 NULL=BLANK",,$D64,$O$4),O64)</f>
        <v>59520.344277440003</v>
      </c>
      <c r="P64" s="1000" cm="1">
        <f t="array" aca="1" ref="P64" ca="1">IF(NPSwitch=1,_xll.TR(P$7,P$6,"Sdate=#1 Period=#2 Scale=6 NULL=BLANK",,$D64,$O$4),P64)</f>
        <v>5516.2411229500003</v>
      </c>
      <c r="Q64" s="1000" cm="1">
        <f t="array" aca="1" ref="Q64" ca="1">IF(NPSwitch=1,_xll.TR(Q$7,Q$6,"Sdate=#1 Period=#2 Scale=6 NULL=BLANK",,$D64,$O$4),Q64)</f>
        <v>5150.5954755599996</v>
      </c>
      <c r="R64" s="1000" cm="1">
        <f t="array" aca="1" ref="R64" ca="1">IF(NPSwitch=1,_xll.TR(R$7,R$6,"Sdate=#1 Period=#2 Scale=6 NULL=BLANK",,$D64,$O$4),R64)</f>
        <v>1217.5947453599999</v>
      </c>
      <c r="S64" s="1000" cm="1">
        <f t="array" aca="1" ref="S64" ca="1">IF(NPSwitch=1,_xll.TR(S$7,S$6,"Sdate=#1 Period=#2 Scale=6 NULL=BLANK",,$D64,$O$4),S64)</f>
        <v>3532.49604</v>
      </c>
      <c r="T64" s="1000" cm="1">
        <f t="array" aca="1" ref="T64" ca="1">IF(NPSwitch=1,_xll.TR(T$7,T$6,"Sdate=#1 Period=#2 Scale=6 NULL=BLANK",,$D64,$O$4),T64)</f>
        <v>7085.7142967</v>
      </c>
      <c r="U64" s="1000" cm="1">
        <f t="array" aca="1" ref="U64" ca="1">IF(NPSwitch=1,_xll.TR(U$7,U$6,"Sdate=#1 Period=#2 Scale=6 NULL=BLANK",,$D64,$O$4),U64)</f>
        <v>15560.63467218</v>
      </c>
      <c r="V64" s="1000" cm="1">
        <f t="array" aca="1" ref="V64" ca="1">IF(NPSwitch=1,_xll.TR(V$7,V$6,"Sdate=#1 Period=#2 Scale=6 NULL=BLANK",,$D64,$O$4),V64)</f>
        <v>7212.3022423451002</v>
      </c>
      <c r="W64" s="1000" cm="1">
        <f t="array" aca="1" ref="W64" ca="1">IF(NPSwitch=1,_xll.TR(W$7,W$6,"Sdate=#1 Period=#2 Scale=6 NULL=BLANK",,$D64,$O$4),W64)</f>
        <v>6517.7830304999998</v>
      </c>
      <c r="X64" s="998"/>
      <c r="Y64" s="1000" cm="1">
        <f t="array" aca="1" ref="Y64" ca="1">IF(NPSwitch=1,_xll.TR(Y$7,Y$6,"Sdate=#1 Period=#2 Scale=6 NULL=BLANK",,$D64,$O$4),Y64)</f>
        <v>4199.25</v>
      </c>
      <c r="Z64" s="1000" cm="1">
        <f t="array" aca="1" ref="Z64" ca="1">IF(NPSwitch=1,_xll.TR(Z$7,Z$6,"Sdate=#1 Period=#2 Scale=6 NULL=BLANK",,$D64,$O$4),Z64)</f>
        <v>490.18700000000001</v>
      </c>
      <c r="AA64" s="1000" cm="1">
        <f t="array" aca="1" ref="AA64" ca="1">IF(NPSwitch=1,_xll.TR(AA$7,AA$6,"Sdate=#1 Period=#2 Scale=6 NULL=BLANK",,$D64,$O$4),AA64)</f>
        <v>711.75</v>
      </c>
      <c r="AB64" s="1000" cm="1">
        <f t="array" aca="1" ref="AB64" ca="1">IF(NPSwitch=1,_xll.TR(AB$7,AB$6,"Sdate=#1 Period=#2 Scale=6 NULL=BLANK",,$D64,$O$4),AB64)</f>
        <v>301.2</v>
      </c>
      <c r="AC64" s="1000" cm="1">
        <f t="array" aca="1" ref="AC64" ca="1">IF(NPSwitch=1,_xll.TR(AC$7,AC$6,"Sdate=#1 Period=#2 Scale=6 NULL=BLANK",,$D64,$O$4),AC64)</f>
        <v>538.25</v>
      </c>
      <c r="AD64" s="1000" cm="1">
        <f t="array" aca="1" ref="AD64" ca="1">IF(NPSwitch=1,_xll.TR(AD$7,AD$6,"Sdate=#1 Period=#2 Scale=6 NULL=BLANK",,$D64,$O$4),AD64)</f>
        <v>131.42500000000001</v>
      </c>
      <c r="AE64" s="1000" cm="1">
        <f t="array" aca="1" ref="AE64" ca="1">IF(NPSwitch=1,_xll.TR(AE$7,AE$6,"Sdate=#1 Period=#2 Scale=6 NULL=BLANK",,$D64,$O$4),AE64)</f>
        <v>1274.75</v>
      </c>
      <c r="AF64" s="1000" cm="1">
        <f t="array" aca="1" ref="AF64" ca="1">IF(NPSwitch=1,_xll.TR(AF$7,AF$6,"Sdate=#1 Period=#2 Scale=6 NULL=BLANK",,$D64,$O$4),AF64)</f>
        <v>2521</v>
      </c>
      <c r="AG64" s="1000" cm="1">
        <f t="array" aca="1" ref="AG64" ca="1">IF(NPSwitch=1,_xll.TR(AG$7,AG$6,"Sdate=#1 Period=#2 Scale=6 NULL=BLANK",,$D64,$O$4),AG64)</f>
        <v>727.25</v>
      </c>
      <c r="AH64" s="998"/>
      <c r="AI64" s="1000" cm="1">
        <f t="array" aca="1" ref="AI64" ca="1">IF(NPSwitch=1,_xll.TR(AI$7,AI$6,"Sdate=#1 Period=#2 Scale=6 NULL=BLANK",,$D64,$O$4),AI64)</f>
        <v>61400.344277440003</v>
      </c>
      <c r="AJ64" s="1000" cm="1">
        <f t="array" aca="1" ref="AJ64" ca="1">IF(NPSwitch=1,_xll.TR(AJ$7,AJ$6,"Sdate=#1 Period=#2 Scale=6 NULL=BLANK",,$D64,$O$4),AJ64)</f>
        <v>5837.9801229499999</v>
      </c>
      <c r="AK64" s="1000" cm="1">
        <f t="array" aca="1" ref="AK64" ca="1">IF(NPSwitch=1,_xll.TR(AK$7,AK$6,"Sdate=#1 Period=#2 Scale=6 NULL=BLANK",,$D64,$O$4),AK64)</f>
        <v>8303.5954755599996</v>
      </c>
      <c r="AL64" s="1000" cm="1">
        <f t="array" aca="1" ref="AL64" ca="1">IF(NPSwitch=1,_xll.TR(AL$7,AL$6,"Sdate=#1 Period=#2 Scale=6 NULL=BLANK",,$D64,$O$4),AL64)</f>
        <v>1740.0947453599999</v>
      </c>
      <c r="AM64" s="1000" cm="1">
        <f t="array" aca="1" ref="AM64" ca="1">IF(NPSwitch=1,_xll.TR(AM$7,AM$6,"Sdate=#1 Period=#2 Scale=6 NULL=BLANK",,$D64,$O$4),AM64)</f>
        <v>7010.49604</v>
      </c>
      <c r="AN64" s="1000" cm="1">
        <f t="array" aca="1" ref="AN64" ca="1">IF(NPSwitch=1,_xll.TR(AN$7,AN$6,"Sdate=#1 Period=#2 Scale=6 NULL=BLANK",,$D64,$O$4),AN64)</f>
        <v>8023.5142967000002</v>
      </c>
      <c r="AO64" s="1000" cm="1">
        <f t="array" aca="1" ref="AO64" ca="1">IF(NPSwitch=1,_xll.TR(AO$7,AO$6,"Sdate=#1 Period=#2 Scale=6 NULL=BLANK",,$D64,$O$4),AO64)</f>
        <v>18406.63467218</v>
      </c>
      <c r="AP64" s="1000" cm="1">
        <f t="array" aca="1" ref="AP64" ca="1">IF(NPSwitch=1,_xll.TR(AP$7,AP$6,"Sdate=#1 Period=#2 Scale=6 NULL=BLANK",,$D64,$O$4),AP64)</f>
        <v>10194.302242345</v>
      </c>
      <c r="AQ64" s="1000" cm="1">
        <f t="array" aca="1" ref="AQ64" ca="1">IF(NPSwitch=1,_xll.TR(AQ$7,AQ$6,"Sdate=#1 Period=#2 Scale=6 NULL=BLANK",,$D64,$O$4),AQ64)</f>
        <v>7494.7830304999998</v>
      </c>
      <c r="AS64" s="765" t="str" cm="1">
        <f t="array" aca="1" ref="AS64" ca="1">IF(NPSwitch=1,_xll.TR(AS$7,AS$6,"Sdate=#1 Period=#2 NULL=BLANK Scale=6",,$D64,$AS$4),AS64)</f>
        <v/>
      </c>
      <c r="AT64" s="765" t="str" cm="1">
        <f t="array" aca="1" ref="AT64" ca="1">IF(NPSwitch=1,_xll.TR(AT$7,AT$6,"Sdate=#1 Period=#2 NULL=BLANK Scale=6",,$D64,$AS$4),AT64)</f>
        <v/>
      </c>
      <c r="AU64" s="765" t="str" cm="1">
        <f t="array" aca="1" ref="AU64" ca="1">IF(NPSwitch=1,_xll.TR(AU$7,AU$6,"Sdate=#1 Period=#2 NULL=BLANK Scale=6",,$D64,$AS$4),AU64)</f>
        <v/>
      </c>
      <c r="AV64" s="765" t="str" cm="1">
        <f t="array" aca="1" ref="AV64" ca="1">IF(NPSwitch=1,_xll.TR(AV$7,AV$6,"Sdate=#1 Period=#2 NULL=BLANK Scale=6",,$D64,$AS$4),AV64)</f>
        <v/>
      </c>
      <c r="AW64" s="765" t="str" cm="1">
        <f t="array" aca="1" ref="AW64" ca="1">IF(NPSwitch=1,_xll.TR(AW$7,AW$6,"Sdate=#1 Period=#2 NULL=BLANK Scale=6",,$D64,$AS$4),AW64)</f>
        <v/>
      </c>
      <c r="AX64" s="765" t="str" cm="1">
        <f t="array" aca="1" ref="AX64" ca="1">IF(NPSwitch=1,_xll.TR(AX$7,AX$6,"Sdate=#1 Period=#2 NULL=BLANK Scale=6",,$D64,$AS$4),AX64)</f>
        <v/>
      </c>
      <c r="AY64" s="765" t="str" cm="1">
        <f t="array" aca="1" ref="AY64" ca="1">IF(NPSwitch=1,_xll.TR(AY$7,AY$6,"Sdate=#1 Period=#2 NULL=BLANK Scale=6",,$D64,$AS$4),AY64)</f>
        <v/>
      </c>
      <c r="AZ64" s="765" t="str" cm="1">
        <f t="array" aca="1" ref="AZ64" ca="1">IF(NPSwitch=1,_xll.TR(AZ$7,AZ$6,"Sdate=#1 Period=#2 NULL=BLANK Scale=6",,$D64,$AS$4),AZ64)</f>
        <v/>
      </c>
      <c r="BA64" s="765" t="str" cm="1">
        <f t="array" aca="1" ref="BA64" ca="1">IF(NPSwitch=1,_xll.TR(BA$7,BA$6,"Sdate=#1 Period=#2 NULL=BLANK Scale=6",,$D64,$AS$4),BA64)</f>
        <v/>
      </c>
      <c r="BB64" s="1002"/>
      <c r="BC64" s="765" cm="1">
        <f t="array" aca="1" ref="BC64" ca="1">IF(NPSwitch=1,_xll.TR(BC$7,BC$6,"Sdate=#1 Period=#2 NULL=BLANK",,$D64,$BC$4),BC64)</f>
        <v>8.2195909339999993</v>
      </c>
      <c r="BD64" s="765" cm="1">
        <f t="array" aca="1" ref="BD64" ca="1">IF(NPSwitch=1,_xll.TR(BD$7,BD$6,"Sdate=#1 Period=#2 NULL=BLANK",,$D64,$BC$4),BD64)</f>
        <v>8.4207020779999997</v>
      </c>
      <c r="BE64" s="765" cm="1">
        <f t="array" aca="1" ref="BE64" ca="1">IF(NPSwitch=1,_xll.TR(BE$7,BE$6,"Sdate=#1 Period=#2 NULL=BLANK",,$D64,$BC$4),BE64)</f>
        <v>16.186345956</v>
      </c>
      <c r="BF64" s="765" cm="1">
        <f t="array" aca="1" ref="BF64" ca="1">IF(NPSwitch=1,_xll.TR(BF$7,BF$6,"Sdate=#1 Period=#2 NULL=BLANK",,$D64,$BC$4),BF64)</f>
        <v>12.083991287</v>
      </c>
      <c r="BG64" s="765" t="str" cm="1">
        <f t="array" aca="1" ref="BG64" ca="1">IF(NPSwitch=1,_xll.TR(BG$7,BG$6,"Sdate=#1 Period=#2 NULL=BLANK",,$D64,$BC$4),BG64)</f>
        <v/>
      </c>
      <c r="BH64" s="765" cm="1">
        <f t="array" aca="1" ref="BH64" ca="1">IF(NPSwitch=1,_xll.TR(BH$7,BH$6,"Sdate=#1 Period=#2 NULL=BLANK",,$D64,$BC$4),BH64)</f>
        <v>10.484142554</v>
      </c>
      <c r="BI64" s="765" cm="1">
        <f t="array" aca="1" ref="BI64" ca="1">IF(NPSwitch=1,_xll.TR(BI$7,BI$6,"Sdate=#1 Period=#2 NULL=BLANK",,$D64,$BC$4),BI64)</f>
        <v>8.4667132810000005</v>
      </c>
      <c r="BJ64" s="765" cm="1">
        <f t="array" aca="1" ref="BJ64" ca="1">IF(NPSwitch=1,_xll.TR(BJ$7,BJ$6,"Sdate=#1 Period=#2 NULL=BLANK",,$D64,$BC$4),BJ64)</f>
        <v>8.5094342590000007</v>
      </c>
      <c r="BK64" s="765" cm="1">
        <f t="array" aca="1" ref="BK64" ca="1">IF(NPSwitch=1,_xll.TR(BK$7,BK$6,"Sdate=#1 Period=#2 NULL=BLANK",,$D64,$BC$4),BK64)</f>
        <v>6.4388170369999997</v>
      </c>
      <c r="BO64" s="765" cm="1">
        <f t="array" aca="1" ref="BO64" ca="1">IF(NPSwitch=1,_xll.TR(BO$7,BO$6,"Sdate=#1 Period=#2 NULL=BLANK Scale=6",,$D64,$AS$4),BO64)</f>
        <v>29786</v>
      </c>
      <c r="BP64" s="765" cm="1">
        <f t="array" aca="1" ref="BP64" ca="1">IF(NPSwitch=1,_xll.TR(BP$7,BP$6,"Sdate=#1 Period=#2 NULL=BLANK Scale=6",,$D64,$AS$4),BP64)</f>
        <v>2884.1790000000001</v>
      </c>
      <c r="BQ64" s="765" cm="1">
        <f t="array" aca="1" ref="BQ64" ca="1">IF(NPSwitch=1,_xll.TR(BQ$7,BQ$6,"Sdate=#1 Period=#2 NULL=BLANK Scale=6",,$D64,$AS$4),BQ64)</f>
        <v>7522</v>
      </c>
      <c r="BR64" s="765" cm="1">
        <f t="array" aca="1" ref="BR64" ca="1">IF(NPSwitch=1,_xll.TR(BR$7,BR$6,"Sdate=#1 Period=#2 NULL=BLANK Scale=6",,$D64,$AS$4),BR64)</f>
        <v>2890.5</v>
      </c>
      <c r="BS64" s="765" cm="1">
        <f t="array" aca="1" ref="BS64" ca="1">IF(NPSwitch=1,_xll.TR(BS$7,BS$6,"Sdate=#1 Period=#2 NULL=BLANK Scale=6",,$D64,$AS$4),BS64)</f>
        <v>11455</v>
      </c>
      <c r="BT64" s="765" cm="1">
        <f t="array" aca="1" ref="BT64" ca="1">IF(NPSwitch=1,_xll.TR(BT$7,BT$6,"Sdate=#1 Period=#2 NULL=BLANK Scale=6",,$D64,$AS$4),BT64)</f>
        <v>3523.6</v>
      </c>
      <c r="BU64" s="765" cm="1">
        <f t="array" aca="1" ref="BU64" ca="1">IF(NPSwitch=1,_xll.TR(BU$7,BU$6,"Sdate=#1 Period=#2 NULL=BLANK Scale=6",,$D64,$AS$4),BU64)</f>
        <v>14685</v>
      </c>
      <c r="BV64" s="765" cm="1">
        <f t="array" aca="1" ref="BV64" ca="1">IF(NPSwitch=1,_xll.TR(BV$7,BV$6,"Sdate=#1 Period=#2 NULL=BLANK Scale=6",,$D64,$AS$4),BV64)</f>
        <v>8908</v>
      </c>
      <c r="BW64" s="765" cm="1">
        <f t="array" aca="1" ref="BW64" ca="1">IF(NPSwitch=1,_xll.TR(BW$7,BW$6,"Sdate=#1 Period=#2 NULL=BLANK Scale=6",,$D64,$AS$4),BW64)</f>
        <v>7241</v>
      </c>
      <c r="BY64" s="765" cm="1">
        <f t="array" aca="1" ref="BY64" ca="1">IF(NPSwitch=1,_xll.TR(BY$7,BY$6,"Sdate=#1 Period=#2 NULL=BLANK Scale=6",,$D64,$AS$4),BY64)</f>
        <v>22433.5</v>
      </c>
      <c r="BZ64" s="765" cm="1">
        <f t="array" aca="1" ref="BZ64" ca="1">IF(NPSwitch=1,_xll.TR(BZ$7,BZ$6,"Sdate=#1 Period=#2 NULL=BLANK Scale=6",,$D64,$AS$4),BZ64)</f>
        <v>2535.5520000000001</v>
      </c>
      <c r="CA64" s="765" cm="1">
        <f t="array" aca="1" ref="CA64" ca="1">IF(NPSwitch=1,_xll.TR(CA$7,CA$6,"Sdate=#1 Period=#2 NULL=BLANK Scale=6",,$D64,$AS$4),CA64)</f>
        <v>7327</v>
      </c>
      <c r="CB64" s="765" cm="1">
        <f t="array" aca="1" ref="CB64" ca="1">IF(NPSwitch=1,_xll.TR(CB$7,CB$6,"Sdate=#1 Period=#2 NULL=BLANK Scale=6",,$D64,$AS$4),CB64)</f>
        <v>1179.825</v>
      </c>
      <c r="CC64" s="765" cm="1">
        <f t="array" aca="1" ref="CC64" ca="1">IF(NPSwitch=1,_xll.TR(CC$7,CC$6,"Sdate=#1 Period=#2 NULL=BLANK Scale=6",,$D64,$AS$4),CC64)</f>
        <v>5999.25</v>
      </c>
      <c r="CD64" s="765" cm="1">
        <f t="array" aca="1" ref="CD64" ca="1">IF(NPSwitch=1,_xll.TR(CD$7,CD$6,"Sdate=#1 Period=#2 NULL=BLANK Scale=6",,$D64,$AS$4),CD64)</f>
        <v>2092.35</v>
      </c>
      <c r="CE64" s="765" cm="1">
        <f t="array" aca="1" ref="CE64" ca="1">IF(NPSwitch=1,_xll.TR(CE$7,CE$6,"Sdate=#1 Period=#2 NULL=BLANK Scale=6",,$D64,$AS$4),CE64)</f>
        <v>7477.75</v>
      </c>
      <c r="CF64" s="765" cm="1">
        <f t="array" aca="1" ref="CF64" ca="1">IF(NPSwitch=1,_xll.TR(CF$7,CF$6,"Sdate=#1 Period=#2 NULL=BLANK Scale=6",,$D64,$AS$4),CF64)</f>
        <v>10557</v>
      </c>
      <c r="CG64" s="765" cm="1">
        <f t="array" aca="1" ref="CG64" ca="1">IF(NPSwitch=1,_xll.TR(CG$7,CG$6,"Sdate=#1 Period=#2 NULL=BLANK Scale=6",,$D64,$AS$4),CG64)</f>
        <v>3533.75</v>
      </c>
      <c r="CI64" s="1000" cm="1">
        <f t="array" aca="1" ref="CI64" ca="1">IF(NPSwitch=1,_xll.TR(CI$7,CI$6,"Sdate=#1 Period=#2 NULL=BLANK Scale=6",,$D64,$AS$4),CI64)</f>
        <v>7470</v>
      </c>
      <c r="CJ64" s="1000" cm="1">
        <f t="array" aca="1" ref="CJ64" ca="1">IF(NPSwitch=1,_xll.TR(CJ$7,CJ$6,"Sdate=#1 Period=#2 NULL=BLANK Scale=6",,$D64,$AS$4),CJ64)</f>
        <v>693.28899999999999</v>
      </c>
      <c r="CK64" s="1000" cm="1">
        <f t="array" aca="1" ref="CK64" ca="1">IF(NPSwitch=1,_xll.TR(CK$7,CK$6,"Sdate=#1 Period=#2 NULL=BLANK Scale=6",,$D64,$AS$4),CK64)</f>
        <v>513</v>
      </c>
      <c r="CL64" s="1000" cm="1">
        <f t="array" aca="1" ref="CL64" ca="1">IF(NPSwitch=1,_xll.TR(CL$7,CL$6,"Sdate=#1 Period=#2 NULL=BLANK Scale=6",,$D64,$AS$4),CL64)</f>
        <v>144</v>
      </c>
      <c r="CM64" s="1000" cm="1">
        <f t="array" aca="1" ref="CM64" ca="1">IF(NPSwitch=1,_xll.TR(CM$7,CM$6,"Sdate=#1 Period=#2 NULL=BLANK Scale=6",,$D64,$AS$4),CM64)</f>
        <v>1289</v>
      </c>
      <c r="CN64" s="1000" cm="1">
        <f t="array" aca="1" ref="CN64" ca="1">IF(NPSwitch=1,_xll.TR(CN$7,CN$6,"Sdate=#1 Period=#2 NULL=BLANK Scale=6",,$D64,$AS$4),CN64)</f>
        <v>765.3</v>
      </c>
      <c r="CO64" s="1000" cm="1">
        <f t="array" aca="1" ref="CO64" ca="1">IF(NPSwitch=1,_xll.TR(CO$7,CO$6,"Sdate=#1 Period=#2 NULL=BLANK Scale=6",,$D64,$AS$4),CO64)</f>
        <v>2174</v>
      </c>
      <c r="CP64" s="1000" cm="1">
        <f t="array" aca="1" ref="CP64" ca="1">IF(NPSwitch=1,_xll.TR(CP$7,CP$6,"Sdate=#1 Period=#2 NULL=BLANK Scale=6",,$D64,$AS$4),CP64)</f>
        <v>1197</v>
      </c>
      <c r="CQ64" s="1000" cm="1">
        <f t="array" aca="1" ref="CQ64" ca="1">IF(NPSwitch=1,_xll.TR(CQ$7,CQ$6,"Sdate=#1 Period=#2 NULL=BLANK Scale=6",,$D64,$AS$4),CQ64)</f>
        <v>1164</v>
      </c>
      <c r="CS64" s="1000" cm="1">
        <f t="array" aca="1" ref="CS64" ca="1">IF(NPSwitch=1,_xll.TR(CS$7,CS$6,"Sdate=#1 Period=#2 NULL=BLANK Scale=6",,$D64,$AS$4),CS64)</f>
        <v>7638.5</v>
      </c>
      <c r="CT64" s="1000" cm="1">
        <f t="array" aca="1" ref="CT64" ca="1">IF(NPSwitch=1,_xll.TR(CT$7,CT$6,"Sdate=#1 Period=#2 NULL=BLANK Scale=6",,$D64,$AS$4),CT64)</f>
        <v>1112.7597499999999</v>
      </c>
      <c r="CU64" s="1000" cm="1">
        <f t="array" aca="1" ref="CU64" ca="1">IF(NPSwitch=1,_xll.TR(CU$7,CU$6,"Sdate=#1 Period=#2 NULL=BLANK Scale=6",,$D64,$AS$4),CU64)</f>
        <v>2592</v>
      </c>
      <c r="CV64" s="1000" cm="1">
        <f t="array" aca="1" ref="CV64" ca="1">IF(NPSwitch=1,_xll.TR(CV$7,CV$6,"Sdate=#1 Period=#2 NULL=BLANK Scale=6",,$D64,$AS$4),CV64)</f>
        <v>383.8</v>
      </c>
      <c r="CW64" s="1000" cm="1">
        <f t="array" aca="1" ref="CW64" ca="1">IF(NPSwitch=1,_xll.TR(CW$7,CW$6,"Sdate=#1 Period=#2 NULL=BLANK Scale=6",,$D64,$AS$4),CW64)</f>
        <v>969.85</v>
      </c>
      <c r="CX64" s="1000" cm="1">
        <f t="array" aca="1" ref="CX64" ca="1">IF(NPSwitch=1,_xll.TR(CX$7,CX$6,"Sdate=#1 Period=#2 NULL=BLANK Scale=6",,$D64,$AS$4),CX64)</f>
        <v>2733.5</v>
      </c>
      <c r="CY64" s="1000" cm="1">
        <f t="array" aca="1" ref="CY64" ca="1">IF(NPSwitch=1,_xll.TR(CY$7,CY$6,"Sdate=#1 Period=#2 NULL=BLANK Scale=6",,$D64,$AS$4),CY64)</f>
        <v>4775.25</v>
      </c>
      <c r="CZ64" s="1000" cm="1">
        <f t="array" aca="1" ref="CZ64" ca="1">IF(NPSwitch=1,_xll.TR(CZ$7,CZ$6,"Sdate=#1 Period=#2 NULL=BLANK Scale=6",,$D64,$AS$4),CZ64)</f>
        <v>3055</v>
      </c>
      <c r="DA64" s="1000" cm="1">
        <f t="array" aca="1" ref="DA64" ca="1">IF(NPSwitch=1,_xll.TR(DA$7,DA$6,"Sdate=#1 Period=#2 NULL=BLANK Scale=6",,$D64,$AS$4),DA64)</f>
        <v>3276</v>
      </c>
      <c r="DB64" s="1000" cm="1">
        <f t="array" aca="1" ref="DB64" ca="1">IF(NPSwitch=1,_xll.TR(DB$7,DB$6,"Sdate=#1 Period=#2 NULL=BLANK Scale=6",,$D64,$AS$4),DB64)</f>
        <v>16543.25</v>
      </c>
      <c r="DC64" s="1000" t="str" cm="1">
        <f t="array" aca="1" ref="DC64" ca="1">IF(NPSwitch=1,_xll.TR(DC$7,DC$6,"Sdate=#1 Period=#2 NULL=BLANK Scale=6",,$D64,$AS$4),DC64)</f>
        <v/>
      </c>
      <c r="DD64" s="1000" cm="1">
        <f t="array" aca="1" ref="DD64" ca="1">IF(NPSwitch=1,_xll.TR(DD$7,DD$6,"Sdate=#1 Period=#2 NULL=BLANK Scale=6",,$D64,$AS$4),DD64)</f>
        <v>7422.75</v>
      </c>
      <c r="DE64" s="1000" t="str" cm="1">
        <f t="array" aca="1" ref="DE64" ca="1">IF(NPSwitch=1,_xll.TR(DE$7,DE$6,"Sdate=#1 Period=#2 NULL=BLANK Scale=6",,$D64,$AS$4),DE64)</f>
        <v/>
      </c>
      <c r="DF64" s="1000" cm="1">
        <f t="array" aca="1" ref="DF64" ca="1">IF(NPSwitch=1,_xll.TR(DF$7,DF$6,"Sdate=#1 Period=#2 NULL=BLANK Scale=6",,$D64,$AS$4),DF64)</f>
        <v>383.8</v>
      </c>
      <c r="DG64" s="1000" cm="1">
        <f t="array" aca="1" ref="DG64" ca="1">IF(NPSwitch=1,_xll.TR(DG$7,DG$6,"Sdate=#1 Period=#2 NULL=BLANK Scale=6",,$D64,$AS$4),DG64)</f>
        <v>3688.5</v>
      </c>
      <c r="DH64" s="1000" cm="1">
        <f t="array" aca="1" ref="DH64" ca="1">IF(NPSwitch=1,_xll.TR(DH$7,DH$6,"Sdate=#1 Period=#2 NULL=BLANK Scale=6",,$D64,$AS$4),DH64)</f>
        <v>1217.7070000000001</v>
      </c>
      <c r="FN64" s="3" t="s">
        <v>1512</v>
      </c>
    </row>
    <row r="65" spans="3:170">
      <c r="C65" s="971">
        <f t="shared" si="44"/>
        <v>41090</v>
      </c>
      <c r="D65" s="974">
        <f t="shared" si="43"/>
        <v>41135</v>
      </c>
      <c r="E65" s="765" cm="1">
        <f t="array" aca="1" ref="E65" ca="1">IF(NPSwitch=1,_xll.TR(E$7,E$6,"Sdate=#1 Period=#2 NULL=BLANK",,$D65,$E$4),E65)</f>
        <v>7.9935544035761197</v>
      </c>
      <c r="F65" s="765" cm="1">
        <f t="array" aca="1" ref="F65" ca="1">IF(NPSwitch=1,_xll.TR(F$7,F$6,"Sdate=#1 Period=#2 NULL=BLANK",,$D65,$E$4),F65)</f>
        <v>7.6850134888325599</v>
      </c>
      <c r="G65" s="765" cm="1">
        <f t="array" aca="1" ref="G65" ca="1">IF(NPSwitch=1,_xll.TR(G$7,G$6,"Sdate=#1 Period=#2 NULL=BLANK",,$D65,$E$4),G65)</f>
        <v>6.1827038958114899</v>
      </c>
      <c r="H65" s="765" cm="1">
        <f t="array" aca="1" ref="H65" ca="1">IF(NPSwitch=1,_xll.TR(H$7,H$6,"Sdate=#1 Period=#2 NULL=BLANK",,$D65,$E$4),H65)</f>
        <v>6.2229840092237598</v>
      </c>
      <c r="I65" s="765" cm="1">
        <f t="array" aca="1" ref="I65" ca="1">IF(NPSwitch=1,_xll.TR(I$7,I$6,"Sdate=#1 Period=#2 NULL=BLANK",,$D65,$E$4),I65)</f>
        <v>4.8574823120436399</v>
      </c>
      <c r="J65" s="765" cm="1">
        <f t="array" aca="1" ref="J65" ca="1">IF(NPSwitch=1,_xll.TR(J$7,J$6,"Sdate=#1 Period=#2 NULL=BLANK",,$D65,$E$4),J65)</f>
        <v>8.92589747838921</v>
      </c>
      <c r="K65" s="765" cm="1">
        <f t="array" aca="1" ref="K65" ca="1">IF(NPSwitch=1,_xll.TR(K$7,K$6,"Sdate=#1 Period=#2 NULL=BLANK",,$D65,$E$4),K65)</f>
        <v>8.0608042775830206</v>
      </c>
      <c r="L65" s="765" cm="1">
        <f t="array" aca="1" ref="L65" ca="1">IF(NPSwitch=1,_xll.TR(L$7,L$6,"Sdate=#1 Period=#2 NULL=BLANK",,$D65,$E$4),L65)</f>
        <v>4.9268715604037796</v>
      </c>
      <c r="M65" s="765" cm="1">
        <f t="array" aca="1" ref="M65" ca="1">IF(NPSwitch=1,_xll.TR(M$7,M$6,"Sdate=#1 Period=#2 NULL=BLANK",,$D65,$E$4),M65)</f>
        <v>4.2829373560378796</v>
      </c>
      <c r="N65" s="1002">
        <f t="shared" ca="1" si="45"/>
        <v>6.5294572555758172</v>
      </c>
      <c r="O65" s="1000" cm="1">
        <f t="array" aca="1" ref="O65" ca="1">IF(NPSwitch=1,_xll.TR(O$7,O$6,"Sdate=#1 Period=#2 Scale=6 NULL=BLANK",,$D65,$O$4),O65)</f>
        <v>63808.786434900001</v>
      </c>
      <c r="P65" s="1000" cm="1">
        <f t="array" aca="1" ref="P65" ca="1">IF(NPSwitch=1,_xll.TR(P$7,P$6,"Sdate=#1 Period=#2 Scale=6 NULL=BLANK",,$D65,$O$4),P65)</f>
        <v>5409.1585478400002</v>
      </c>
      <c r="Q65" s="1000" cm="1">
        <f t="array" aca="1" ref="Q65" ca="1">IF(NPSwitch=1,_xll.TR(Q$7,Q$6,"Sdate=#1 Period=#2 Scale=6 NULL=BLANK",,$D65,$O$4),Q65)</f>
        <v>5786.98575936</v>
      </c>
      <c r="R65" s="1000" cm="1">
        <f t="array" aca="1" ref="R65" ca="1">IF(NPSwitch=1,_xll.TR(R$7,R$6,"Sdate=#1 Period=#2 Scale=6 NULL=BLANK",,$D65,$O$4),R65)</f>
        <v>1393.8966312699999</v>
      </c>
      <c r="S65" s="1000" cm="1">
        <f t="array" aca="1" ref="S65" ca="1">IF(NPSwitch=1,_xll.TR(S$7,S$6,"Sdate=#1 Period=#2 Scale=6 NULL=BLANK",,$D65,$O$4),S65)</f>
        <v>3250.0878200000002</v>
      </c>
      <c r="T65" s="1000" cm="1">
        <f t="array" aca="1" ref="T65" ca="1">IF(NPSwitch=1,_xll.TR(T$7,T$6,"Sdate=#1 Period=#2 Scale=6 NULL=BLANK",,$D65,$O$4),T65)</f>
        <v>7384.9574149199998</v>
      </c>
      <c r="U65" s="1000" cm="1">
        <f t="array" aca="1" ref="U65" ca="1">IF(NPSwitch=1,_xll.TR(U$7,U$6,"Sdate=#1 Period=#2 Scale=6 NULL=BLANK",,$D65,$O$4),U65)</f>
        <v>16563.604220159999</v>
      </c>
      <c r="V65" s="1000" cm="1">
        <f t="array" aca="1" ref="V65" ca="1">IF(NPSwitch=1,_xll.TR(V$7,V$6,"Sdate=#1 Period=#2 Scale=6 NULL=BLANK",,$D65,$O$4),V65)</f>
        <v>7515.5323307490398</v>
      </c>
      <c r="W65" s="1000" cm="1">
        <f t="array" aca="1" ref="W65" ca="1">IF(NPSwitch=1,_xll.TR(W$7,W$6,"Sdate=#1 Period=#2 Scale=6 NULL=BLANK",,$D65,$O$4),W65)</f>
        <v>7396.8149213499901</v>
      </c>
      <c r="X65" s="998"/>
      <c r="Y65" s="1000" cm="1">
        <f t="array" aca="1" ref="Y65" ca="1">IF(NPSwitch=1,_xll.TR(Y$7,Y$6,"Sdate=#1 Period=#2 Scale=6 NULL=BLANK",,$D65,$O$4),Y65)</f>
        <v>4294</v>
      </c>
      <c r="Z65" s="1000" cm="1">
        <f t="array" aca="1" ref="Z65" ca="1">IF(NPSwitch=1,_xll.TR(Z$7,Z$6,"Sdate=#1 Period=#2 Scale=6 NULL=BLANK",,$D65,$O$4),Z65)</f>
        <v>482.94600000000003</v>
      </c>
      <c r="AA65" s="1000" cm="1">
        <f t="array" aca="1" ref="AA65" ca="1">IF(NPSwitch=1,_xll.TR(AA$7,AA$6,"Sdate=#1 Period=#2 Scale=6 NULL=BLANK",,$D65,$O$4),AA65)</f>
        <v>599.75</v>
      </c>
      <c r="AB65" s="1000" cm="1">
        <f t="array" aca="1" ref="AB65" ca="1">IF(NPSwitch=1,_xll.TR(AB$7,AB$6,"Sdate=#1 Period=#2 Scale=6 NULL=BLANK",,$D65,$O$4),AB65)</f>
        <v>249.32499999999999</v>
      </c>
      <c r="AC65" s="1000" cm="1">
        <f t="array" aca="1" ref="AC65" ca="1">IF(NPSwitch=1,_xll.TR(AC$7,AC$6,"Sdate=#1 Period=#2 Scale=6 NULL=BLANK",,$D65,$O$4),AC65)</f>
        <v>480.5</v>
      </c>
      <c r="AD65" s="1000" cm="1">
        <f t="array" aca="1" ref="AD65" ca="1">IF(NPSwitch=1,_xll.TR(AD$7,AD$6,"Sdate=#1 Period=#2 Scale=6 NULL=BLANK",,$D65,$O$4),AD65)</f>
        <v>103.65</v>
      </c>
      <c r="AE65" s="1000" cm="1">
        <f t="array" aca="1" ref="AE65" ca="1">IF(NPSwitch=1,_xll.TR(AE$7,AE$6,"Sdate=#1 Period=#2 Scale=6 NULL=BLANK",,$D65,$O$4),AE65)</f>
        <v>1275.25</v>
      </c>
      <c r="AF65" s="1000" cm="1">
        <f t="array" aca="1" ref="AF65" ca="1">IF(NPSwitch=1,_xll.TR(AF$7,AF$6,"Sdate=#1 Period=#2 Scale=6 NULL=BLANK",,$D65,$O$4),AF65)</f>
        <v>1867.5</v>
      </c>
      <c r="AG65" s="1000" cm="1">
        <f t="array" aca="1" ref="AG65" ca="1">IF(NPSwitch=1,_xll.TR(AG$7,AG$6,"Sdate=#1 Period=#2 Scale=6 NULL=BLANK",,$D65,$O$4),AG65)</f>
        <v>1268.75</v>
      </c>
      <c r="AH65" s="998"/>
      <c r="AI65" s="1000" cm="1">
        <f t="array" aca="1" ref="AI65" ca="1">IF(NPSwitch=1,_xll.TR(AI$7,AI$6,"Sdate=#1 Period=#2 Scale=6 NULL=BLANK",,$D65,$O$4),AI65)</f>
        <v>65679.786434900001</v>
      </c>
      <c r="AJ65" s="1000" cm="1">
        <f t="array" aca="1" ref="AJ65" ca="1">IF(NPSwitch=1,_xll.TR(AJ$7,AJ$6,"Sdate=#1 Period=#2 Scale=6 NULL=BLANK",,$D65,$O$4),AJ65)</f>
        <v>5790.1855478400003</v>
      </c>
      <c r="AK65" s="1000" cm="1">
        <f t="array" aca="1" ref="AK65" ca="1">IF(NPSwitch=1,_xll.TR(AK$7,AK$6,"Sdate=#1 Period=#2 Scale=6 NULL=BLANK",,$D65,$O$4),AK65)</f>
        <v>8910.9857593600009</v>
      </c>
      <c r="AL65" s="1000" cm="1">
        <f t="array" aca="1" ref="AL65" ca="1">IF(NPSwitch=1,_xll.TR(AL$7,AL$6,"Sdate=#1 Period=#2 Scale=6 NULL=BLANK",,$D65,$O$4),AL65)</f>
        <v>1892.79663127</v>
      </c>
      <c r="AM65" s="1000" cm="1">
        <f t="array" aca="1" ref="AM65" ca="1">IF(NPSwitch=1,_xll.TR(AM$7,AM$6,"Sdate=#1 Period=#2 Scale=6 NULL=BLANK",,$D65,$O$4),AM65)</f>
        <v>6664.0878199999997</v>
      </c>
      <c r="AN65" s="1000" cm="1">
        <f t="array" aca="1" ref="AN65" ca="1">IF(NPSwitch=1,_xll.TR(AN$7,AN$6,"Sdate=#1 Period=#2 Scale=6 NULL=BLANK",,$D65,$O$4),AN65)</f>
        <v>8233.0574149200002</v>
      </c>
      <c r="AO65" s="1000" cm="1">
        <f t="array" aca="1" ref="AO65" ca="1">IF(NPSwitch=1,_xll.TR(AO$7,AO$6,"Sdate=#1 Period=#2 Scale=6 NULL=BLANK",,$D65,$O$4),AO65)</f>
        <v>19141.604220159999</v>
      </c>
      <c r="AP65" s="1000" cm="1">
        <f t="array" aca="1" ref="AP65" ca="1">IF(NPSwitch=1,_xll.TR(AP$7,AP$6,"Sdate=#1 Period=#2 Scale=6 NULL=BLANK",,$D65,$O$4),AP65)</f>
        <v>10427.532330749</v>
      </c>
      <c r="AQ65" s="1000" cm="1">
        <f t="array" aca="1" ref="AQ65" ca="1">IF(NPSwitch=1,_xll.TR(AQ$7,AQ$6,"Sdate=#1 Period=#2 Scale=6 NULL=BLANK",,$D65,$O$4),AQ65)</f>
        <v>8262.8149213500001</v>
      </c>
      <c r="AS65" s="765" t="str" cm="1">
        <f t="array" aca="1" ref="AS65" ca="1">IF(NPSwitch=1,_xll.TR(AS$7,AS$6,"Sdate=#1 Period=#2 NULL=BLANK Scale=6",,$D65,$AS$4),AS65)</f>
        <v/>
      </c>
      <c r="AT65" s="765" t="str" cm="1">
        <f t="array" aca="1" ref="AT65" ca="1">IF(NPSwitch=1,_xll.TR(AT$7,AT$6,"Sdate=#1 Period=#2 NULL=BLANK Scale=6",,$D65,$AS$4),AT65)</f>
        <v/>
      </c>
      <c r="AU65" s="765" t="str" cm="1">
        <f t="array" aca="1" ref="AU65" ca="1">IF(NPSwitch=1,_xll.TR(AU$7,AU$6,"Sdate=#1 Period=#2 NULL=BLANK Scale=6",,$D65,$AS$4),AU65)</f>
        <v/>
      </c>
      <c r="AV65" s="765" t="str" cm="1">
        <f t="array" aca="1" ref="AV65" ca="1">IF(NPSwitch=1,_xll.TR(AV$7,AV$6,"Sdate=#1 Period=#2 NULL=BLANK Scale=6",,$D65,$AS$4),AV65)</f>
        <v/>
      </c>
      <c r="AW65" s="765" t="str" cm="1">
        <f t="array" aca="1" ref="AW65" ca="1">IF(NPSwitch=1,_xll.TR(AW$7,AW$6,"Sdate=#1 Period=#2 NULL=BLANK Scale=6",,$D65,$AS$4),AW65)</f>
        <v/>
      </c>
      <c r="AX65" s="765" t="str" cm="1">
        <f t="array" aca="1" ref="AX65" ca="1">IF(NPSwitch=1,_xll.TR(AX$7,AX$6,"Sdate=#1 Period=#2 NULL=BLANK Scale=6",,$D65,$AS$4),AX65)</f>
        <v/>
      </c>
      <c r="AY65" s="765" t="str" cm="1">
        <f t="array" aca="1" ref="AY65" ca="1">IF(NPSwitch=1,_xll.TR(AY$7,AY$6,"Sdate=#1 Period=#2 NULL=BLANK Scale=6",,$D65,$AS$4),AY65)</f>
        <v/>
      </c>
      <c r="AZ65" s="765" t="str" cm="1">
        <f t="array" aca="1" ref="AZ65" ca="1">IF(NPSwitch=1,_xll.TR(AZ$7,AZ$6,"Sdate=#1 Period=#2 NULL=BLANK Scale=6",,$D65,$AS$4),AZ65)</f>
        <v/>
      </c>
      <c r="BA65" s="765" t="str" cm="1">
        <f t="array" aca="1" ref="BA65" ca="1">IF(NPSwitch=1,_xll.TR(BA$7,BA$6,"Sdate=#1 Period=#2 NULL=BLANK Scale=6",,$D65,$AS$4),BA65)</f>
        <v/>
      </c>
      <c r="BB65" s="1002"/>
      <c r="BC65" s="765" cm="1">
        <f t="array" aca="1" ref="BC65" ca="1">IF(NPSwitch=1,_xll.TR(BC$7,BC$6,"Sdate=#1 Period=#2 NULL=BLANK",,$D65,$BC$4),BC65)</f>
        <v>8.7050744120000001</v>
      </c>
      <c r="BD65" s="765" cm="1">
        <f t="array" aca="1" ref="BD65" ca="1">IF(NPSwitch=1,_xll.TR(BD$7,BD$6,"Sdate=#1 Period=#2 NULL=BLANK",,$D65,$BC$4),BD65)</f>
        <v>8.1352080910000009</v>
      </c>
      <c r="BE65" s="765" cm="1">
        <f t="array" aca="1" ref="BE65" ca="1">IF(NPSwitch=1,_xll.TR(BE$7,BE$6,"Sdate=#1 Period=#2 NULL=BLANK",,$D65,$BC$4),BE65)</f>
        <v>12.821562244000001</v>
      </c>
      <c r="BF65" s="765" cm="1">
        <f t="array" aca="1" ref="BF65" ca="1">IF(NPSwitch=1,_xll.TR(BF$7,BF$6,"Sdate=#1 Period=#2 NULL=BLANK",,$D65,$BC$4),BF65)</f>
        <v>13.805956463999999</v>
      </c>
      <c r="BG65" s="765" t="str" cm="1">
        <f t="array" aca="1" ref="BG65" ca="1">IF(NPSwitch=1,_xll.TR(BG$7,BG$6,"Sdate=#1 Period=#2 NULL=BLANK",,$D65,$BC$4),BG65)</f>
        <v/>
      </c>
      <c r="BH65" s="765" cm="1">
        <f t="array" aca="1" ref="BH65" ca="1">IF(NPSwitch=1,_xll.TR(BH$7,BH$6,"Sdate=#1 Period=#2 NULL=BLANK",,$D65,$BC$4),BH65)</f>
        <v>10.847242971</v>
      </c>
      <c r="BI65" s="765" cm="1">
        <f t="array" aca="1" ref="BI65" ca="1">IF(NPSwitch=1,_xll.TR(BI$7,BI$6,"Sdate=#1 Period=#2 NULL=BLANK",,$D65,$BC$4),BI65)</f>
        <v>9.2248695040000008</v>
      </c>
      <c r="BJ65" s="765" cm="1">
        <f t="array" aca="1" ref="BJ65" ca="1">IF(NPSwitch=1,_xll.TR(BJ$7,BJ$6,"Sdate=#1 Period=#2 NULL=BLANK",,$D65,$BC$4),BJ65)</f>
        <v>7.3588795559999998</v>
      </c>
      <c r="BK65" s="765" cm="1">
        <f t="array" aca="1" ref="BK65" ca="1">IF(NPSwitch=1,_xll.TR(BK$7,BK$6,"Sdate=#1 Period=#2 NULL=BLANK",,$D65,$BC$4),BK65)</f>
        <v>6.9610909190000001</v>
      </c>
      <c r="BO65" s="765" cm="1">
        <f t="array" aca="1" ref="BO65" ca="1">IF(NPSwitch=1,_xll.TR(BO$7,BO$6,"Sdate=#1 Period=#2 NULL=BLANK Scale=6",,$D65,$AS$4),BO65)</f>
        <v>29640</v>
      </c>
      <c r="BP65" s="765" cm="1">
        <f t="array" aca="1" ref="BP65" ca="1">IF(NPSwitch=1,_xll.TR(BP$7,BP$6,"Sdate=#1 Period=#2 NULL=BLANK Scale=6",,$D65,$AS$4),BP65)</f>
        <v>2826.9650000000001</v>
      </c>
      <c r="BQ65" s="765" cm="1">
        <f t="array" aca="1" ref="BQ65" ca="1">IF(NPSwitch=1,_xll.TR(BQ$7,BQ$6,"Sdate=#1 Period=#2 NULL=BLANK Scale=6",,$D65,$AS$4),BQ65)</f>
        <v>7996</v>
      </c>
      <c r="BR65" s="765" cm="1">
        <f t="array" aca="1" ref="BR65" ca="1">IF(NPSwitch=1,_xll.TR(BR$7,BR$6,"Sdate=#1 Period=#2 NULL=BLANK Scale=6",,$D65,$AS$4),BR65)</f>
        <v>2878.3</v>
      </c>
      <c r="BS65" s="765" cm="1">
        <f t="array" aca="1" ref="BS65" ca="1">IF(NPSwitch=1,_xll.TR(BS$7,BS$6,"Sdate=#1 Period=#2 NULL=BLANK Scale=6",,$D65,$AS$4),BS65)</f>
        <v>11435</v>
      </c>
      <c r="BT65" s="765" cm="1">
        <f t="array" aca="1" ref="BT65" ca="1">IF(NPSwitch=1,_xll.TR(BT$7,BT$6,"Sdate=#1 Period=#2 NULL=BLANK Scale=6",,$D65,$AS$4),BT65)</f>
        <v>3616.6</v>
      </c>
      <c r="BU65" s="765" cm="1">
        <f t="array" aca="1" ref="BU65" ca="1">IF(NPSwitch=1,_xll.TR(BU$7,BU$6,"Sdate=#1 Period=#2 NULL=BLANK Scale=6",,$D65,$AS$4),BU65)</f>
        <v>14227</v>
      </c>
      <c r="BV65" s="765" cm="1">
        <f t="array" aca="1" ref="BV65" ca="1">IF(NPSwitch=1,_xll.TR(BV$7,BV$6,"Sdate=#1 Period=#2 NULL=BLANK Scale=6",,$D65,$AS$4),BV65)</f>
        <v>9663</v>
      </c>
      <c r="BW65" s="765" cm="1">
        <f t="array" aca="1" ref="BW65" ca="1">IF(NPSwitch=1,_xll.TR(BW$7,BW$6,"Sdate=#1 Period=#2 NULL=BLANK Scale=6",,$D65,$AS$4),BW65)</f>
        <v>7209</v>
      </c>
      <c r="BY65" s="765" cm="1">
        <f t="array" aca="1" ref="BY65" ca="1">IF(NPSwitch=1,_xll.TR(BY$7,BY$6,"Sdate=#1 Period=#2 NULL=BLANK Scale=6",,$D65,$AS$4),BY65)</f>
        <v>22393</v>
      </c>
      <c r="BZ65" s="765" cm="1">
        <f t="array" aca="1" ref="BZ65" ca="1">IF(NPSwitch=1,_xll.TR(BZ$7,BZ$6,"Sdate=#1 Period=#2 NULL=BLANK Scale=6",,$D65,$AS$4),BZ65)</f>
        <v>2529.2012500000001</v>
      </c>
      <c r="CA65" s="765" cm="1">
        <f t="array" aca="1" ref="CA65" ca="1">IF(NPSwitch=1,_xll.TR(CA$7,CA$6,"Sdate=#1 Period=#2 NULL=BLANK Scale=6",,$D65,$AS$4),CA65)</f>
        <v>7926.75</v>
      </c>
      <c r="CB65" s="765" cm="1">
        <f t="array" aca="1" ref="CB65" ca="1">IF(NPSwitch=1,_xll.TR(CB$7,CB$6,"Sdate=#1 Period=#2 NULL=BLANK Scale=6",,$D65,$AS$4),CB65)</f>
        <v>1242.325</v>
      </c>
      <c r="CC65" s="765" cm="1">
        <f t="array" aca="1" ref="CC65" ca="1">IF(NPSwitch=1,_xll.TR(CC$7,CC$6,"Sdate=#1 Period=#2 NULL=BLANK Scale=6",,$D65,$AS$4),CC65)</f>
        <v>5834</v>
      </c>
      <c r="CD65" s="765" cm="1">
        <f t="array" aca="1" ref="CD65" ca="1">IF(NPSwitch=1,_xll.TR(CD$7,CD$6,"Sdate=#1 Period=#2 NULL=BLANK Scale=6",,$D65,$AS$4),CD65)</f>
        <v>2142.0500000000002</v>
      </c>
      <c r="CE65" s="765" cm="1">
        <f t="array" aca="1" ref="CE65" ca="1">IF(NPSwitch=1,_xll.TR(CE$7,CE$6,"Sdate=#1 Period=#2 NULL=BLANK Scale=6",,$D65,$AS$4),CE65)</f>
        <v>7296.25</v>
      </c>
      <c r="CF65" s="765" cm="1">
        <f t="array" aca="1" ref="CF65" ca="1">IF(NPSwitch=1,_xll.TR(CF$7,CF$6,"Sdate=#1 Period=#2 NULL=BLANK Scale=6",,$D65,$AS$4),CF65)</f>
        <v>10845</v>
      </c>
      <c r="CG65" s="765" cm="1">
        <f t="array" aca="1" ref="CG65" ca="1">IF(NPSwitch=1,_xll.TR(CG$7,CG$6,"Sdate=#1 Period=#2 NULL=BLANK Scale=6",,$D65,$AS$4),CG65)</f>
        <v>4146.25</v>
      </c>
      <c r="CI65" s="1000" cm="1">
        <f t="array" aca="1" ref="CI65" ca="1">IF(NPSwitch=1,_xll.TR(CI$7,CI$6,"Sdate=#1 Period=#2 NULL=BLANK Scale=6",,$D65,$AS$4),CI65)</f>
        <v>7545</v>
      </c>
      <c r="CJ65" s="1000" cm="1">
        <f t="array" aca="1" ref="CJ65" ca="1">IF(NPSwitch=1,_xll.TR(CJ$7,CJ$6,"Sdate=#1 Period=#2 NULL=BLANK Scale=6",,$D65,$AS$4),CJ65)</f>
        <v>711.74400000000003</v>
      </c>
      <c r="CK65" s="1000" cm="1">
        <f t="array" aca="1" ref="CK65" ca="1">IF(NPSwitch=1,_xll.TR(CK$7,CK$6,"Sdate=#1 Period=#2 NULL=BLANK Scale=6",,$D65,$AS$4),CK65)</f>
        <v>695</v>
      </c>
      <c r="CL65" s="1000" cm="1">
        <f t="array" aca="1" ref="CL65" ca="1">IF(NPSwitch=1,_xll.TR(CL$7,CL$6,"Sdate=#1 Period=#2 NULL=BLANK Scale=6",,$D65,$AS$4),CL65)</f>
        <v>137.1</v>
      </c>
      <c r="CM65" s="1000" cm="1">
        <f t="array" aca="1" ref="CM65" ca="1">IF(NPSwitch=1,_xll.TR(CM$7,CM$6,"Sdate=#1 Period=#2 NULL=BLANK Scale=6",,$D65,$AS$4),CM65)</f>
        <v>1317</v>
      </c>
      <c r="CN65" s="1000" cm="1">
        <f t="array" aca="1" ref="CN65" ca="1">IF(NPSwitch=1,_xll.TR(CN$7,CN$6,"Sdate=#1 Period=#2 NULL=BLANK Scale=6",,$D65,$AS$4),CN65)</f>
        <v>790.3</v>
      </c>
      <c r="CO65" s="1000" cm="1">
        <f t="array" aca="1" ref="CO65" ca="1">IF(NPSwitch=1,_xll.TR(CO$7,CO$6,"Sdate=#1 Period=#2 NULL=BLANK Scale=6",,$D65,$AS$4),CO65)</f>
        <v>2053</v>
      </c>
      <c r="CP65" s="1000" cm="1">
        <f t="array" aca="1" ref="CP65" ca="1">IF(NPSwitch=1,_xll.TR(CP$7,CP$6,"Sdate=#1 Period=#2 NULL=BLANK Scale=6",,$D65,$AS$4),CP65)</f>
        <v>1417</v>
      </c>
      <c r="CQ65" s="1000" cm="1">
        <f t="array" aca="1" ref="CQ65" ca="1">IF(NPSwitch=1,_xll.TR(CQ$7,CQ$6,"Sdate=#1 Period=#2 NULL=BLANK Scale=6",,$D65,$AS$4),CQ65)</f>
        <v>1187</v>
      </c>
      <c r="CS65" s="1000" cm="1">
        <f t="array" aca="1" ref="CS65" ca="1">IF(NPSwitch=1,_xll.TR(CS$7,CS$6,"Sdate=#1 Period=#2 NULL=BLANK Scale=6",,$D65,$AS$4),CS65)</f>
        <v>7659</v>
      </c>
      <c r="CT65" s="1000" cm="1">
        <f t="array" aca="1" ref="CT65" ca="1">IF(NPSwitch=1,_xll.TR(CT$7,CT$6,"Sdate=#1 Period=#2 NULL=BLANK Scale=6",,$D65,$AS$4),CT65)</f>
        <v>1141.1422500000001</v>
      </c>
      <c r="CU65" s="1000" cm="1">
        <f t="array" aca="1" ref="CU65" ca="1">IF(NPSwitch=1,_xll.TR(CU$7,CU$6,"Sdate=#1 Period=#2 NULL=BLANK Scale=6",,$D65,$AS$4),CU65)</f>
        <v>2837</v>
      </c>
      <c r="CV65" s="1000" cm="1">
        <f t="array" aca="1" ref="CV65" ca="1">IF(NPSwitch=1,_xll.TR(CV$7,CV$6,"Sdate=#1 Period=#2 NULL=BLANK Scale=6",,$D65,$AS$4),CV65)</f>
        <v>383.77499999999998</v>
      </c>
      <c r="CW65" s="1000" cm="1">
        <f t="array" aca="1" ref="CW65" ca="1">IF(NPSwitch=1,_xll.TR(CW$7,CW$6,"Sdate=#1 Period=#2 NULL=BLANK Scale=6",,$D65,$AS$4),CW65)</f>
        <v>985.75</v>
      </c>
      <c r="CX65" s="1000" cm="1">
        <f t="array" aca="1" ref="CX65" ca="1">IF(NPSwitch=1,_xll.TR(CX$7,CX$6,"Sdate=#1 Period=#2 NULL=BLANK Scale=6",,$D65,$AS$4),CX65)</f>
        <v>2723.5</v>
      </c>
      <c r="CY65" s="1000" cm="1">
        <f t="array" aca="1" ref="CY65" ca="1">IF(NPSwitch=1,_xll.TR(CY$7,CY$6,"Sdate=#1 Period=#2 NULL=BLANK Scale=6",,$D65,$AS$4),CY65)</f>
        <v>5400</v>
      </c>
      <c r="CZ65" s="1000" cm="1">
        <f t="array" aca="1" ref="CZ65" ca="1">IF(NPSwitch=1,_xll.TR(CZ$7,CZ$6,"Sdate=#1 Period=#2 NULL=BLANK Scale=6",,$D65,$AS$4),CZ65)</f>
        <v>3109</v>
      </c>
      <c r="DA65" s="1000" cm="1">
        <f t="array" aca="1" ref="DA65" ca="1">IF(NPSwitch=1,_xll.TR(DA$7,DA$6,"Sdate=#1 Period=#2 NULL=BLANK Scale=6",,$D65,$AS$4),DA65)</f>
        <v>3274</v>
      </c>
      <c r="DB65" s="1000" cm="1">
        <f t="array" aca="1" ref="DB65" ca="1">IF(NPSwitch=1,_xll.TR(DB$7,DB$6,"Sdate=#1 Period=#2 NULL=BLANK Scale=6",,$D65,$AS$4),DB65)</f>
        <v>16511.75</v>
      </c>
      <c r="DC65" s="1000" t="str" cm="1">
        <f t="array" aca="1" ref="DC65" ca="1">IF(NPSwitch=1,_xll.TR(DC$7,DC$6,"Sdate=#1 Period=#2 NULL=BLANK Scale=6",,$D65,$AS$4),DC65)</f>
        <v/>
      </c>
      <c r="DD65" s="1000" cm="1">
        <f t="array" aca="1" ref="DD65" ca="1">IF(NPSwitch=1,_xll.TR(DD$7,DD$6,"Sdate=#1 Period=#2 NULL=BLANK Scale=6",,$D65,$AS$4),DD65)</f>
        <v>7339.75</v>
      </c>
      <c r="DE65" s="1000" t="str" cm="1">
        <f t="array" aca="1" ref="DE65" ca="1">IF(NPSwitch=1,_xll.TR(DE$7,DE$6,"Sdate=#1 Period=#2 NULL=BLANK Scale=6",,$D65,$AS$4),DE65)</f>
        <v/>
      </c>
      <c r="DF65" s="1000" cm="1">
        <f t="array" aca="1" ref="DF65" ca="1">IF(NPSwitch=1,_xll.TR(DF$7,DF$6,"Sdate=#1 Period=#2 NULL=BLANK Scale=6",,$D65,$AS$4),DF65)</f>
        <v>383.77499999999998</v>
      </c>
      <c r="DG65" s="1000" cm="1">
        <f t="array" aca="1" ref="DG65" ca="1">IF(NPSwitch=1,_xll.TR(DG$7,DG$6,"Sdate=#1 Period=#2 NULL=BLANK Scale=6",,$D65,$AS$4),DG65)</f>
        <v>3616.25</v>
      </c>
      <c r="DH65" s="1000" cm="1">
        <f t="array" aca="1" ref="DH65" ca="1">IF(NPSwitch=1,_xll.TR(DH$7,DH$6,"Sdate=#1 Period=#2 NULL=BLANK Scale=6",,$D65,$AS$4),DH65)</f>
        <v>1250.2204999999999</v>
      </c>
      <c r="FN65" s="3" t="s">
        <v>1570</v>
      </c>
    </row>
    <row r="66" spans="3:170">
      <c r="C66" s="972">
        <f t="shared" si="44"/>
        <v>41182</v>
      </c>
      <c r="D66" s="974">
        <f t="shared" si="43"/>
        <v>41227</v>
      </c>
      <c r="E66" s="765" cm="1">
        <f t="array" aca="1" ref="E66" ca="1">IF(NPSwitch=1,_xll.TR(E$7,E$6,"Sdate=#1 Period=#2 NULL=BLANK",,$D66,$E$4),E66)</f>
        <v>7.6512529753380498</v>
      </c>
      <c r="F66" s="765" cm="1">
        <f t="array" aca="1" ref="F66" ca="1">IF(NPSwitch=1,_xll.TR(F$7,F$6,"Sdate=#1 Period=#2 NULL=BLANK",,$D66,$E$4),F66)</f>
        <v>7.3026626037966702</v>
      </c>
      <c r="G66" s="765" cm="1">
        <f t="array" aca="1" ref="G66" ca="1">IF(NPSwitch=1,_xll.TR(G$7,G$6,"Sdate=#1 Period=#2 NULL=BLANK",,$D66,$E$4),G66)</f>
        <v>5.9242547499439304</v>
      </c>
      <c r="H66" s="765" cm="1">
        <f t="array" aca="1" ref="H66" ca="1">IF(NPSwitch=1,_xll.TR(H$7,H$6,"Sdate=#1 Period=#2 NULL=BLANK",,$D66,$E$4),H66)</f>
        <v>6.5283011392521697</v>
      </c>
      <c r="I66" s="765" cm="1">
        <f t="array" aca="1" ref="I66" ca="1">IF(NPSwitch=1,_xll.TR(I$7,I$6,"Sdate=#1 Period=#2 NULL=BLANK",,$D66,$E$4),I66)</f>
        <v>5.2803436187539097</v>
      </c>
      <c r="J66" s="765" cm="1">
        <f t="array" aca="1" ref="J66" ca="1">IF(NPSwitch=1,_xll.TR(J$7,J$6,"Sdate=#1 Period=#2 NULL=BLANK",,$D66,$E$4),J66)</f>
        <v>8.2980101019376793</v>
      </c>
      <c r="K66" s="765" cm="1">
        <f t="array" aca="1" ref="K66" ca="1">IF(NPSwitch=1,_xll.TR(K$7,K$6,"Sdate=#1 Period=#2 NULL=BLANK",,$D66,$E$4),K66)</f>
        <v>9.0774761532461099</v>
      </c>
      <c r="L66" s="765" cm="1">
        <f t="array" aca="1" ref="L66" ca="1">IF(NPSwitch=1,_xll.TR(L$7,L$6,"Sdate=#1 Period=#2 NULL=BLANK",,$D66,$E$4),L66)</f>
        <v>5.1206514379128798</v>
      </c>
      <c r="M66" s="765" cm="1">
        <f t="array" aca="1" ref="M66" ca="1">IF(NPSwitch=1,_xll.TR(M$7,M$6,"Sdate=#1 Period=#2 NULL=BLANK",,$D66,$E$4),M66)</f>
        <v>6.5670487505641697</v>
      </c>
      <c r="N66" s="1002">
        <f t="shared" ca="1" si="45"/>
        <v>6.7048395335077799</v>
      </c>
      <c r="O66" s="1000" cm="1">
        <f t="array" aca="1" ref="O66" ca="1">IF(NPSwitch=1,_xll.TR(O$7,O$6,"Sdate=#1 Period=#2 Scale=6 NULL=BLANK",,$D66,$O$4),O66)</f>
        <v>61190.749098109998</v>
      </c>
      <c r="P66" s="1000" cm="1">
        <f t="array" aca="1" ref="P66" ca="1">IF(NPSwitch=1,_xll.TR(P$7,P$6,"Sdate=#1 Period=#2 Scale=6 NULL=BLANK",,$D66,$O$4),P66)</f>
        <v>4850.3816075000004</v>
      </c>
      <c r="Q66" s="1000" cm="1">
        <f t="array" aca="1" ref="Q66" ca="1">IF(NPSwitch=1,_xll.TR(Q$7,Q$6,"Sdate=#1 Period=#2 Scale=6 NULL=BLANK",,$D66,$O$4),Q66)</f>
        <v>5546.70751776</v>
      </c>
      <c r="R66" s="1000" cm="1">
        <f t="array" aca="1" ref="R66" ca="1">IF(NPSwitch=1,_xll.TR(R$7,R$6,"Sdate=#1 Period=#2 Scale=6 NULL=BLANK",,$D66,$O$4),R66)</f>
        <v>1685.30690856</v>
      </c>
      <c r="S66" s="1000" cm="1">
        <f t="array" aca="1" ref="S66" ca="1">IF(NPSwitch=1,_xll.TR(S$7,S$6,"Sdate=#1 Period=#2 Scale=6 NULL=BLANK",,$D66,$O$4),S66)</f>
        <v>3862.7700599999998</v>
      </c>
      <c r="T66" s="1000" cm="1">
        <f t="array" aca="1" ref="T66" ca="1">IF(NPSwitch=1,_xll.TR(T$7,T$6,"Sdate=#1 Period=#2 Scale=6 NULL=BLANK",,$D66,$O$4),T66)</f>
        <v>7062.0569455999903</v>
      </c>
      <c r="U66" s="1000" cm="1">
        <f t="array" aca="1" ref="U66" ca="1">IF(NPSwitch=1,_xll.TR(U$7,U$6,"Sdate=#1 Period=#2 Scale=6 NULL=BLANK",,$D66,$O$4),U66)</f>
        <v>17836.181767319998</v>
      </c>
      <c r="V66" s="1000" cm="1">
        <f t="array" aca="1" ref="V66" ca="1">IF(NPSwitch=1,_xll.TR(V$7,V$6,"Sdate=#1 Period=#2 Scale=6 NULL=BLANK",,$D66,$O$4),V66)</f>
        <v>7871.2771272005302</v>
      </c>
      <c r="W66" s="1000" cm="1">
        <f t="array" aca="1" ref="W66" ca="1">IF(NPSwitch=1,_xll.TR(W$7,W$6,"Sdate=#1 Period=#2 Scale=6 NULL=BLANK",,$D66,$O$4),W66)</f>
        <v>8511.8749380000008</v>
      </c>
      <c r="X66" s="998"/>
      <c r="Y66" s="1000" cm="1">
        <f t="array" aca="1" ref="Y66" ca="1">IF(NPSwitch=1,_xll.TR(Y$7,Y$6,"Sdate=#1 Period=#2 Scale=6 NULL=BLANK",,$D66,$O$4),Y66)</f>
        <v>4333</v>
      </c>
      <c r="Z66" s="1000" cm="1">
        <f t="array" aca="1" ref="Z66" ca="1">IF(NPSwitch=1,_xll.TR(Z$7,Z$6,"Sdate=#1 Period=#2 Scale=6 NULL=BLANK",,$D66,$O$4),Z66)</f>
        <v>463.29199999999997</v>
      </c>
      <c r="AA66" s="1000" cm="1">
        <f t="array" aca="1" ref="AA66" ca="1">IF(NPSwitch=1,_xll.TR(AA$7,AA$6,"Sdate=#1 Period=#2 Scale=6 NULL=BLANK",,$D66,$O$4),AA66)</f>
        <v>546.25</v>
      </c>
      <c r="AB66" s="1000" cm="1">
        <f t="array" aca="1" ref="AB66" ca="1">IF(NPSwitch=1,_xll.TR(AB$7,AB$6,"Sdate=#1 Period=#2 Scale=6 NULL=BLANK",,$D66,$O$4),AB66)</f>
        <v>209.05</v>
      </c>
      <c r="AC66" s="1000" cm="1">
        <f t="array" aca="1" ref="AC66" ca="1">IF(NPSwitch=1,_xll.TR(AC$7,AC$6,"Sdate=#1 Period=#2 Scale=6 NULL=BLANK",,$D66,$O$4),AC66)</f>
        <v>476</v>
      </c>
      <c r="AD66" s="1000" cm="1">
        <f t="array" aca="1" ref="AD66" ca="1">IF(NPSwitch=1,_xll.TR(AD$7,AD$6,"Sdate=#1 Period=#2 Scale=6 NULL=BLANK",,$D66,$O$4),AD66)</f>
        <v>97.4</v>
      </c>
      <c r="AE66" s="1000" cm="1">
        <f t="array" aca="1" ref="AE66" ca="1">IF(NPSwitch=1,_xll.TR(AE$7,AE$6,"Sdate=#1 Period=#2 Scale=6 NULL=BLANK",,$D66,$O$4),AE66)</f>
        <v>1443.5</v>
      </c>
      <c r="AF66" s="1000" cm="1">
        <f t="array" aca="1" ref="AF66" ca="1">IF(NPSwitch=1,_xll.TR(AF$7,AF$6,"Sdate=#1 Period=#2 Scale=6 NULL=BLANK",,$D66,$O$4),AF66)</f>
        <v>1672.5</v>
      </c>
      <c r="AG66" s="1000" cm="1">
        <f t="array" aca="1" ref="AG66" ca="1">IF(NPSwitch=1,_xll.TR(AG$7,AG$6,"Sdate=#1 Period=#2 Scale=6 NULL=BLANK",,$D66,$O$4),AG66)</f>
        <v>1165.75</v>
      </c>
      <c r="AH66" s="998"/>
      <c r="AI66" s="1000" cm="1">
        <f t="array" aca="1" ref="AI66" ca="1">IF(NPSwitch=1,_xll.TR(AI$7,AI$6,"Sdate=#1 Period=#2 Scale=6 NULL=BLANK",,$D66,$O$4),AI66)</f>
        <v>63027.749098109998</v>
      </c>
      <c r="AJ66" s="1000" cm="1">
        <f t="array" aca="1" ref="AJ66" ca="1">IF(NPSwitch=1,_xll.TR(AJ$7,AJ$6,"Sdate=#1 Period=#2 Scale=6 NULL=BLANK",,$D66,$O$4),AJ66)</f>
        <v>5254.4026075000002</v>
      </c>
      <c r="AK66" s="1000" cm="1">
        <f t="array" aca="1" ref="AK66" ca="1">IF(NPSwitch=1,_xll.TR(AK$7,AK$6,"Sdate=#1 Period=#2 Scale=6 NULL=BLANK",,$D66,$O$4),AK66)</f>
        <v>8670.70751776</v>
      </c>
      <c r="AL66" s="1000" cm="1">
        <f t="array" aca="1" ref="AL66" ca="1">IF(NPSwitch=1,_xll.TR(AL$7,AL$6,"Sdate=#1 Period=#2 Scale=6 NULL=BLANK",,$D66,$O$4),AL66)</f>
        <v>2144.2069085600001</v>
      </c>
      <c r="AM66" s="1000" cm="1">
        <f t="array" aca="1" ref="AM66" ca="1">IF(NPSwitch=1,_xll.TR(AM$7,AM$6,"Sdate=#1 Period=#2 Scale=6 NULL=BLANK",,$D66,$O$4),AM66)</f>
        <v>7234.7700599999998</v>
      </c>
      <c r="AN66" s="1000" cm="1">
        <f t="array" aca="1" ref="AN66" ca="1">IF(NPSwitch=1,_xll.TR(AN$7,AN$6,"Sdate=#1 Period=#2 Scale=6 NULL=BLANK",,$D66,$O$4),AN66)</f>
        <v>7910.5569456000003</v>
      </c>
      <c r="AO66" s="1000" cm="1">
        <f t="array" aca="1" ref="AO66" ca="1">IF(NPSwitch=1,_xll.TR(AO$7,AO$6,"Sdate=#1 Period=#2 Scale=6 NULL=BLANK",,$D66,$O$4),AO66)</f>
        <v>20097.181767319998</v>
      </c>
      <c r="AP66" s="1000" cm="1">
        <f t="array" aca="1" ref="AP66" ca="1">IF(NPSwitch=1,_xll.TR(AP$7,AP$6,"Sdate=#1 Period=#2 Scale=6 NULL=BLANK",,$D66,$O$4),AP66)</f>
        <v>10885.277127201</v>
      </c>
      <c r="AQ66" s="1000" cm="1">
        <f t="array" aca="1" ref="AQ66" ca="1">IF(NPSwitch=1,_xll.TR(AQ$7,AQ$6,"Sdate=#1 Period=#2 Scale=6 NULL=BLANK",,$D66,$O$4),AQ66)</f>
        <v>13290.874938000001</v>
      </c>
      <c r="AS66" s="765" t="str" cm="1">
        <f t="array" aca="1" ref="AS66" ca="1">IF(NPSwitch=1,_xll.TR(AS$7,AS$6,"Sdate=#1 Period=#2 NULL=BLANK Scale=6",,$D66,$AS$4),AS66)</f>
        <v/>
      </c>
      <c r="AT66" s="765" t="str" cm="1">
        <f t="array" aca="1" ref="AT66" ca="1">IF(NPSwitch=1,_xll.TR(AT$7,AT$6,"Sdate=#1 Period=#2 NULL=BLANK Scale=6",,$D66,$AS$4),AT66)</f>
        <v/>
      </c>
      <c r="AU66" s="765" t="str" cm="1">
        <f t="array" aca="1" ref="AU66" ca="1">IF(NPSwitch=1,_xll.TR(AU$7,AU$6,"Sdate=#1 Period=#2 NULL=BLANK Scale=6",,$D66,$AS$4),AU66)</f>
        <v/>
      </c>
      <c r="AV66" s="765" t="str" cm="1">
        <f t="array" aca="1" ref="AV66" ca="1">IF(NPSwitch=1,_xll.TR(AV$7,AV$6,"Sdate=#1 Period=#2 NULL=BLANK Scale=6",,$D66,$AS$4),AV66)</f>
        <v/>
      </c>
      <c r="AW66" s="765" t="str" cm="1">
        <f t="array" aca="1" ref="AW66" ca="1">IF(NPSwitch=1,_xll.TR(AW$7,AW$6,"Sdate=#1 Period=#2 NULL=BLANK Scale=6",,$D66,$AS$4),AW66)</f>
        <v/>
      </c>
      <c r="AX66" s="765" t="str" cm="1">
        <f t="array" aca="1" ref="AX66" ca="1">IF(NPSwitch=1,_xll.TR(AX$7,AX$6,"Sdate=#1 Period=#2 NULL=BLANK Scale=6",,$D66,$AS$4),AX66)</f>
        <v/>
      </c>
      <c r="AY66" s="765" t="str" cm="1">
        <f t="array" aca="1" ref="AY66" ca="1">IF(NPSwitch=1,_xll.TR(AY$7,AY$6,"Sdate=#1 Period=#2 NULL=BLANK Scale=6",,$D66,$AS$4),AY66)</f>
        <v/>
      </c>
      <c r="AZ66" s="765" t="str" cm="1">
        <f t="array" aca="1" ref="AZ66" ca="1">IF(NPSwitch=1,_xll.TR(AZ$7,AZ$6,"Sdate=#1 Period=#2 NULL=BLANK Scale=6",,$D66,$AS$4),AZ66)</f>
        <v/>
      </c>
      <c r="BA66" s="765" t="str" cm="1">
        <f t="array" aca="1" ref="BA66" ca="1">IF(NPSwitch=1,_xll.TR(BA$7,BA$6,"Sdate=#1 Period=#2 NULL=BLANK Scale=6",,$D66,$AS$4),BA66)</f>
        <v/>
      </c>
      <c r="BB66" s="1002"/>
      <c r="BC66" s="765" cm="1">
        <f t="array" aca="1" ref="BC66" ca="1">IF(NPSwitch=1,_xll.TR(BC$7,BC$6,"Sdate=#1 Period=#2 NULL=BLANK",,$D66,$BC$4),BC66)</f>
        <v>8.2475463359999992</v>
      </c>
      <c r="BD66" s="765" cm="1">
        <f t="array" aca="1" ref="BD66" ca="1">IF(NPSwitch=1,_xll.TR(BD$7,BD$6,"Sdate=#1 Period=#2 NULL=BLANK",,$D66,$BC$4),BD66)</f>
        <v>7.5460354860000001</v>
      </c>
      <c r="BE66" s="765" cm="1">
        <f t="array" aca="1" ref="BE66" ca="1">IF(NPSwitch=1,_xll.TR(BE$7,BE$6,"Sdate=#1 Period=#2 NULL=BLANK",,$D66,$BC$4),BE66)</f>
        <v>12.475838155</v>
      </c>
      <c r="BF66" s="765" cm="1">
        <f t="array" aca="1" ref="BF66" ca="1">IF(NPSwitch=1,_xll.TR(BF$7,BF$6,"Sdate=#1 Period=#2 NULL=BLANK",,$D66,$BC$4),BF66)</f>
        <v>15.812735313999999</v>
      </c>
      <c r="BG66" s="765" t="str" cm="1">
        <f t="array" aca="1" ref="BG66" ca="1">IF(NPSwitch=1,_xll.TR(BG$7,BG$6,"Sdate=#1 Period=#2 NULL=BLANK",,$D66,$BC$4),BG66)</f>
        <v/>
      </c>
      <c r="BH66" s="765" cm="1">
        <f t="array" aca="1" ref="BH66" ca="1">IF(NPSwitch=1,_xll.TR(BH$7,BH$6,"Sdate=#1 Period=#2 NULL=BLANK",,$D66,$BC$4),BH66)</f>
        <v>10.645346448</v>
      </c>
      <c r="BI66" s="765" cm="1">
        <f t="array" aca="1" ref="BI66" ca="1">IF(NPSwitch=1,_xll.TR(BI$7,BI$6,"Sdate=#1 Period=#2 NULL=BLANK",,$D66,$BC$4),BI66)</f>
        <v>10.109246362</v>
      </c>
      <c r="BJ66" s="765" cm="1">
        <f t="array" aca="1" ref="BJ66" ca="1">IF(NPSwitch=1,_xll.TR(BJ$7,BJ$6,"Sdate=#1 Period=#2 NULL=BLANK",,$D66,$BC$4),BJ66)</f>
        <v>6.6699001999999998</v>
      </c>
      <c r="BK66" s="765" cm="1">
        <f t="array" aca="1" ref="BK66" ca="1">IF(NPSwitch=1,_xll.TR(BK$7,BK$6,"Sdate=#1 Period=#2 NULL=BLANK",,$D66,$BC$4),BK66)</f>
        <v>10.137967153</v>
      </c>
      <c r="BO66" s="765" cm="1">
        <f t="array" aca="1" ref="BO66" ca="1">IF(NPSwitch=1,_xll.TR(BO$7,BO$6,"Sdate=#1 Period=#2 NULL=BLANK Scale=6",,$D66,$AS$4),BO66)</f>
        <v>29606</v>
      </c>
      <c r="BP66" s="765" cm="1">
        <f t="array" aca="1" ref="BP66" ca="1">IF(NPSwitch=1,_xll.TR(BP$7,BP$6,"Sdate=#1 Period=#2 NULL=BLANK Scale=6",,$D66,$AS$4),BP66)</f>
        <v>2765.2139999999999</v>
      </c>
      <c r="BQ66" s="765" cm="1">
        <f t="array" aca="1" ref="BQ66" ca="1">IF(NPSwitch=1,_xll.TR(BQ$7,BQ$6,"Sdate=#1 Period=#2 NULL=BLANK Scale=6",,$D66,$AS$4),BQ66)</f>
        <v>6473</v>
      </c>
      <c r="BR66" s="765" cm="1">
        <f t="array" aca="1" ref="BR66" ca="1">IF(NPSwitch=1,_xll.TR(BR$7,BR$6,"Sdate=#1 Period=#2 NULL=BLANK Scale=6",,$D66,$AS$4),BR66)</f>
        <v>2850.2</v>
      </c>
      <c r="BS66" s="765" cm="1">
        <f t="array" aca="1" ref="BS66" ca="1">IF(NPSwitch=1,_xll.TR(BS$7,BS$6,"Sdate=#1 Period=#2 NULL=BLANK Scale=6",,$D66,$AS$4),BS66)</f>
        <v>11200</v>
      </c>
      <c r="BT66" s="765" cm="1">
        <f t="array" aca="1" ref="BT66" ca="1">IF(NPSwitch=1,_xll.TR(BT$7,BT$6,"Sdate=#1 Period=#2 NULL=BLANK Scale=6",,$D66,$AS$4),BT66)</f>
        <v>3576.4</v>
      </c>
      <c r="BU66" s="765" cm="1">
        <f t="array" aca="1" ref="BU66" ca="1">IF(NPSwitch=1,_xll.TR(BU$7,BU$6,"Sdate=#1 Period=#2 NULL=BLANK Scale=6",,$D66,$AS$4),BU66)</f>
        <v>13786</v>
      </c>
      <c r="BV66" s="765" cm="1">
        <f t="array" aca="1" ref="BV66" ca="1">IF(NPSwitch=1,_xll.TR(BV$7,BV$6,"Sdate=#1 Period=#2 NULL=BLANK Scale=6",,$D66,$AS$4),BV66)</f>
        <v>10783</v>
      </c>
      <c r="BW66" s="765" cm="1">
        <f t="array" aca="1" ref="BW66" ca="1">IF(NPSwitch=1,_xll.TR(BW$7,BW$6,"Sdate=#1 Period=#2 NULL=BLANK Scale=6",,$D66,$AS$4),BW66)</f>
        <v>7656</v>
      </c>
      <c r="BY66" s="765" cm="1">
        <f t="array" aca="1" ref="BY66" ca="1">IF(NPSwitch=1,_xll.TR(BY$7,BY$6,"Sdate=#1 Period=#2 NULL=BLANK Scale=6",,$D66,$AS$4),BY66)</f>
        <v>22625</v>
      </c>
      <c r="BZ66" s="765" cm="1">
        <f t="array" aca="1" ref="BZ66" ca="1">IF(NPSwitch=1,_xll.TR(BZ$7,BZ$6,"Sdate=#1 Period=#2 NULL=BLANK Scale=6",,$D66,$AS$4),BZ66)</f>
        <v>2542.5050000000001</v>
      </c>
      <c r="CA66" s="765" cm="1">
        <f t="array" aca="1" ref="CA66" ca="1">IF(NPSwitch=1,_xll.TR(CA$7,CA$6,"Sdate=#1 Period=#2 NULL=BLANK Scale=6",,$D66,$AS$4),CA66)</f>
        <v>7839.75</v>
      </c>
      <c r="CB66" s="765" cm="1">
        <f t="array" aca="1" ref="CB66" ca="1">IF(NPSwitch=1,_xll.TR(CB$7,CB$6,"Sdate=#1 Period=#2 NULL=BLANK Scale=6",,$D66,$AS$4),CB66)</f>
        <v>1316.2</v>
      </c>
      <c r="CC66" s="765" cm="1">
        <f t="array" aca="1" ref="CC66" ca="1">IF(NPSwitch=1,_xll.TR(CC$7,CC$6,"Sdate=#1 Period=#2 NULL=BLANK Scale=6",,$D66,$AS$4),CC66)</f>
        <v>5805</v>
      </c>
      <c r="CD66" s="765" cm="1">
        <f t="array" aca="1" ref="CD66" ca="1">IF(NPSwitch=1,_xll.TR(CD$7,CD$6,"Sdate=#1 Period=#2 NULL=BLANK Scale=6",,$D66,$AS$4),CD66)</f>
        <v>2244.0749999999998</v>
      </c>
      <c r="CE66" s="765" cm="1">
        <f t="array" aca="1" ref="CE66" ca="1">IF(NPSwitch=1,_xll.TR(CE$7,CE$6,"Sdate=#1 Period=#2 NULL=BLANK Scale=6",,$D66,$AS$4),CE66)</f>
        <v>7430</v>
      </c>
      <c r="CF66" s="765" cm="1">
        <f t="array" aca="1" ref="CF66" ca="1">IF(NPSwitch=1,_xll.TR(CF$7,CF$6,"Sdate=#1 Period=#2 NULL=BLANK Scale=6",,$D66,$AS$4),CF66)</f>
        <v>10785.75</v>
      </c>
      <c r="CG66" s="765" cm="1">
        <f t="array" aca="1" ref="CG66" ca="1">IF(NPSwitch=1,_xll.TR(CG$7,CG$6,"Sdate=#1 Period=#2 NULL=BLANK Scale=6",,$D66,$AS$4),CG66)</f>
        <v>5268</v>
      </c>
      <c r="CI66" s="1000" cm="1">
        <f t="array" aca="1" ref="CI66" ca="1">IF(NPSwitch=1,_xll.TR(CI$7,CI$6,"Sdate=#1 Period=#2 NULL=BLANK Scale=6",,$D66,$AS$4),CI66)</f>
        <v>7642</v>
      </c>
      <c r="CJ66" s="1000" cm="1">
        <f t="array" aca="1" ref="CJ66" ca="1">IF(NPSwitch=1,_xll.TR(CJ$7,CJ$6,"Sdate=#1 Period=#2 NULL=BLANK Scale=6",,$D66,$AS$4),CJ66)</f>
        <v>696.31299999999999</v>
      </c>
      <c r="CK66" s="1000" cm="1">
        <f t="array" aca="1" ref="CK66" ca="1">IF(NPSwitch=1,_xll.TR(CK$7,CK$6,"Sdate=#1 Period=#2 NULL=BLANK Scale=6",,$D66,$AS$4),CK66)</f>
        <v>711</v>
      </c>
      <c r="CL66" s="1000" cm="1">
        <f t="array" aca="1" ref="CL66" ca="1">IF(NPSwitch=1,_xll.TR(CL$7,CL$6,"Sdate=#1 Period=#2 NULL=BLANK Scale=6",,$D66,$AS$4),CL66)</f>
        <v>135.6</v>
      </c>
      <c r="CM66" s="1000" cm="1">
        <f t="array" aca="1" ref="CM66" ca="1">IF(NPSwitch=1,_xll.TR(CM$7,CM$6,"Sdate=#1 Period=#2 NULL=BLANK Scale=6",,$D66,$AS$4),CM66)</f>
        <v>1376</v>
      </c>
      <c r="CN66" s="1000" cm="1">
        <f t="array" aca="1" ref="CN66" ca="1">IF(NPSwitch=1,_xll.TR(CN$7,CN$6,"Sdate=#1 Period=#2 NULL=BLANK Scale=6",,$D66,$AS$4),CN66)</f>
        <v>774.4</v>
      </c>
      <c r="CO66" s="1000" cm="1">
        <f t="array" aca="1" ref="CO66" ca="1">IF(NPSwitch=1,_xll.TR(CO$7,CO$6,"Sdate=#1 Period=#2 NULL=BLANK Scale=6",,$D66,$AS$4),CO66)</f>
        <v>1966</v>
      </c>
      <c r="CP66" s="1000" cm="1">
        <f t="array" aca="1" ref="CP66" ca="1">IF(NPSwitch=1,_xll.TR(CP$7,CP$6,"Sdate=#1 Period=#2 NULL=BLANK Scale=6",,$D66,$AS$4),CP66)</f>
        <v>1632</v>
      </c>
      <c r="CQ66" s="1000" cm="1">
        <f t="array" aca="1" ref="CQ66" ca="1">IF(NPSwitch=1,_xll.TR(CQ$7,CQ$6,"Sdate=#1 Period=#2 NULL=BLANK Scale=6",,$D66,$AS$4),CQ66)</f>
        <v>1311</v>
      </c>
      <c r="CS66" s="1000" cm="1">
        <f t="array" aca="1" ref="CS66" ca="1">IF(NPSwitch=1,_xll.TR(CS$7,CS$6,"Sdate=#1 Period=#2 NULL=BLANK Scale=6",,$D66,$AS$4),CS66)</f>
        <v>7766.5</v>
      </c>
      <c r="CT66" s="1000" cm="1">
        <f t="array" aca="1" ref="CT66" ca="1">IF(NPSwitch=1,_xll.TR(CT$7,CT$6,"Sdate=#1 Period=#2 NULL=BLANK Scale=6",,$D66,$AS$4),CT66)</f>
        <v>1181.7027499999999</v>
      </c>
      <c r="CU66" s="1000" cm="1">
        <f t="array" aca="1" ref="CU66" ca="1">IF(NPSwitch=1,_xll.TR(CU$7,CU$6,"Sdate=#1 Period=#2 NULL=BLANK Scale=6",,$D66,$AS$4),CU66)</f>
        <v>2816.5</v>
      </c>
      <c r="CV66" s="1000" cm="1">
        <f t="array" aca="1" ref="CV66" ca="1">IF(NPSwitch=1,_xll.TR(CV$7,CV$6,"Sdate=#1 Period=#2 NULL=BLANK Scale=6",,$D66,$AS$4),CV66)</f>
        <v>387.7</v>
      </c>
      <c r="CW66" s="1000" cm="1">
        <f t="array" aca="1" ref="CW66" ca="1">IF(NPSwitch=1,_xll.TR(CW$7,CW$6,"Sdate=#1 Period=#2 NULL=BLANK Scale=6",,$D66,$AS$4),CW66)</f>
        <v>1014.875</v>
      </c>
      <c r="CX66" s="1000" cm="1">
        <f t="array" aca="1" ref="CX66" ca="1">IF(NPSwitch=1,_xll.TR(CX$7,CX$6,"Sdate=#1 Period=#2 NULL=BLANK Scale=6",,$D66,$AS$4),CX66)</f>
        <v>2746</v>
      </c>
      <c r="CY66" s="1000" cm="1">
        <f t="array" aca="1" ref="CY66" ca="1">IF(NPSwitch=1,_xll.TR(CY$7,CY$6,"Sdate=#1 Period=#2 NULL=BLANK Scale=6",,$D66,$AS$4),CY66)</f>
        <v>5595.75</v>
      </c>
      <c r="CZ66" s="1000" cm="1">
        <f t="array" aca="1" ref="CZ66" ca="1">IF(NPSwitch=1,_xll.TR(CZ$7,CZ$6,"Sdate=#1 Period=#2 NULL=BLANK Scale=6",,$D66,$AS$4),CZ66)</f>
        <v>3372.75</v>
      </c>
      <c r="DA66" s="1000" cm="1">
        <f t="array" aca="1" ref="DA66" ca="1">IF(NPSwitch=1,_xll.TR(DA$7,DA$6,"Sdate=#1 Period=#2 NULL=BLANK Scale=6",,$D66,$AS$4),DA66)</f>
        <v>3289.5</v>
      </c>
      <c r="DB66" s="1000" cm="1">
        <f t="array" aca="1" ref="DB66" ca="1">IF(NPSwitch=1,_xll.TR(DB$7,DB$6,"Sdate=#1 Period=#2 NULL=BLANK Scale=6",,$D66,$AS$4),DB66)</f>
        <v>16462</v>
      </c>
      <c r="DC66" s="1000" t="str" cm="1">
        <f t="array" aca="1" ref="DC66" ca="1">IF(NPSwitch=1,_xll.TR(DC$7,DC$6,"Sdate=#1 Period=#2 NULL=BLANK Scale=6",,$D66,$AS$4),DC66)</f>
        <v/>
      </c>
      <c r="DD66" s="1000" cm="1">
        <f t="array" aca="1" ref="DD66" ca="1">IF(NPSwitch=1,_xll.TR(DD$7,DD$6,"Sdate=#1 Period=#2 NULL=BLANK Scale=6",,$D66,$AS$4),DD66)</f>
        <v>7352</v>
      </c>
      <c r="DE66" s="1000" t="str" cm="1">
        <f t="array" aca="1" ref="DE66" ca="1">IF(NPSwitch=1,_xll.TR(DE$7,DE$6,"Sdate=#1 Period=#2 NULL=BLANK Scale=6",,$D66,$AS$4),DE66)</f>
        <v/>
      </c>
      <c r="DF66" s="1000" cm="1">
        <f t="array" aca="1" ref="DF66" ca="1">IF(NPSwitch=1,_xll.TR(DF$7,DF$6,"Sdate=#1 Period=#2 NULL=BLANK Scale=6",,$D66,$AS$4),DF66)</f>
        <v>387.7</v>
      </c>
      <c r="DG66" s="1000" cm="1">
        <f t="array" aca="1" ref="DG66" ca="1">IF(NPSwitch=1,_xll.TR(DG$7,DG$6,"Sdate=#1 Period=#2 NULL=BLANK Scale=6",,$D66,$AS$4),DG66)</f>
        <v>3608</v>
      </c>
      <c r="DH66" s="1000" cm="1">
        <f t="array" aca="1" ref="DH66" ca="1">IF(NPSwitch=1,_xll.TR(DH$7,DH$6,"Sdate=#1 Period=#2 NULL=BLANK Scale=6",,$D66,$AS$4),DH66)</f>
        <v>1299.893</v>
      </c>
      <c r="FN66" s="3" t="s">
        <v>1571</v>
      </c>
    </row>
    <row r="67" spans="3:170">
      <c r="C67" s="973">
        <f t="shared" si="44"/>
        <v>41274</v>
      </c>
      <c r="D67" s="974">
        <f t="shared" si="43"/>
        <v>41319</v>
      </c>
      <c r="E67" s="765" cm="1">
        <f t="array" aca="1" ref="E67" ca="1">IF(NPSwitch=1,_xll.TR(E$7,E$6,"Sdate=#1 Period=#2 NULL=BLANK",,$D67,$E$4),E67)</f>
        <v>8.6484962646121293</v>
      </c>
      <c r="F67" s="765" cm="1">
        <f t="array" aca="1" ref="F67" ca="1">IF(NPSwitch=1,_xll.TR(F$7,F$6,"Sdate=#1 Period=#2 NULL=BLANK",,$D67,$E$4),F67)</f>
        <v>8.4481329644202603</v>
      </c>
      <c r="G67" s="765" cm="1">
        <f t="array" aca="1" ref="G67" ca="1">IF(NPSwitch=1,_xll.TR(G$7,G$6,"Sdate=#1 Period=#2 NULL=BLANK",,$D67,$E$4),G67)</f>
        <v>6.1680033546107804</v>
      </c>
      <c r="H67" s="765" cm="1">
        <f t="array" aca="1" ref="H67" ca="1">IF(NPSwitch=1,_xll.TR(H$7,H$6,"Sdate=#1 Period=#2 NULL=BLANK",,$D67,$E$4),H67)</f>
        <v>7.0168539514658104</v>
      </c>
      <c r="I67" s="765" cm="1">
        <f t="array" aca="1" ref="I67" ca="1">IF(NPSwitch=1,_xll.TR(I$7,I$6,"Sdate=#1 Period=#2 NULL=BLANK",,$D67,$E$4),I67)</f>
        <v>5.8969213638205797</v>
      </c>
      <c r="J67" s="765" cm="1">
        <f t="array" aca="1" ref="J67" ca="1">IF(NPSwitch=1,_xll.TR(J$7,J$6,"Sdate=#1 Period=#2 NULL=BLANK",,$D67,$E$4),J67)</f>
        <v>9.1411147185914405</v>
      </c>
      <c r="K67" s="765" cm="1">
        <f t="array" aca="1" ref="K67" ca="1">IF(NPSwitch=1,_xll.TR(K$7,K$6,"Sdate=#1 Period=#2 NULL=BLANK",,$D67,$E$4),K67)</f>
        <v>9.6953535697206004</v>
      </c>
      <c r="L67" s="765" cm="1">
        <f t="array" aca="1" ref="L67" ca="1">IF(NPSwitch=1,_xll.TR(L$7,L$6,"Sdate=#1 Period=#2 NULL=BLANK",,$D67,$E$4),L67)</f>
        <v>6.0223061912448097</v>
      </c>
      <c r="M67" s="765" cm="1">
        <f t="array" aca="1" ref="M67" ca="1">IF(NPSwitch=1,_xll.TR(M$7,M$6,"Sdate=#1 Period=#2 NULL=BLANK",,$D67,$E$4),M67)</f>
        <v>7.7034646244575802</v>
      </c>
      <c r="N67" s="1002">
        <f t="shared" ca="1" si="45"/>
        <v>7.3234255249090028</v>
      </c>
      <c r="O67" s="1000" cm="1">
        <f t="array" aca="1" ref="O67" ca="1">IF(NPSwitch=1,_xll.TR(O$7,O$6,"Sdate=#1 Period=#2 Scale=6 NULL=BLANK",,$D67,$O$4),O67)</f>
        <v>70917.198408900003</v>
      </c>
      <c r="P67" s="1000" cm="1">
        <f t="array" aca="1" ref="P67" ca="1">IF(NPSwitch=1,_xll.TR(P$7,P$6,"Sdate=#1 Period=#2 Scale=6 NULL=BLANK",,$D67,$O$4),P67)</f>
        <v>5810.7917366299998</v>
      </c>
      <c r="Q67" s="1000" cm="1">
        <f t="array" aca="1" ref="Q67" ca="1">IF(NPSwitch=1,_xll.TR(Q$7,Q$6,"Sdate=#1 Period=#2 Scale=6 NULL=BLANK",,$D67,$O$4),Q67)</f>
        <v>6224.3921272500002</v>
      </c>
      <c r="R67" s="1000" cm="1">
        <f t="array" aca="1" ref="R67" ca="1">IF(NPSwitch=1,_xll.TR(R$7,R$6,"Sdate=#1 Period=#2 Scale=6 NULL=BLANK",,$D67,$O$4),R67)</f>
        <v>2098.3613872800001</v>
      </c>
      <c r="S67" s="1000" cm="1">
        <f t="array" aca="1" ref="S67" ca="1">IF(NPSwitch=1,_xll.TR(S$7,S$6,"Sdate=#1 Period=#2 Scale=6 NULL=BLANK",,$D67,$O$4),S67)</f>
        <v>4195.4373699999996</v>
      </c>
      <c r="T67" s="1000" cm="1">
        <f t="array" aca="1" ref="T67" ca="1">IF(NPSwitch=1,_xll.TR(T$7,T$6,"Sdate=#1 Period=#2 Scale=6 NULL=BLANK",,$D67,$O$4),T67)</f>
        <v>8123.9290057799999</v>
      </c>
      <c r="U67" s="1000" cm="1">
        <f t="array" aca="1" ref="U67" ca="1">IF(NPSwitch=1,_xll.TR(U$7,U$6,"Sdate=#1 Period=#2 Scale=6 NULL=BLANK",,$D67,$O$4),U67)</f>
        <v>19855.614710999998</v>
      </c>
      <c r="V67" s="1000" cm="1">
        <f t="array" aca="1" ref="V67" ca="1">IF(NPSwitch=1,_xll.TR(V$7,V$6,"Sdate=#1 Period=#2 Scale=6 NULL=BLANK",,$D67,$O$4),V67)</f>
        <v>9922.7377309499698</v>
      </c>
      <c r="W67" s="1000" cm="1">
        <f t="array" aca="1" ref="W67" ca="1">IF(NPSwitch=1,_xll.TR(W$7,W$6,"Sdate=#1 Period=#2 Scale=6 NULL=BLANK",,$D67,$O$4),W67)</f>
        <v>11405.01203168</v>
      </c>
      <c r="X67" s="998"/>
      <c r="Y67" s="1000" cm="1">
        <f t="array" aca="1" ref="Y67" ca="1">IF(NPSwitch=1,_xll.TR(Y$7,Y$6,"Sdate=#1 Period=#2 Scale=6 NULL=BLANK",,$D67,$O$4),Y67)</f>
        <v>4545.75</v>
      </c>
      <c r="Z67" s="1000" cm="1">
        <f t="array" aca="1" ref="Z67" ca="1">IF(NPSwitch=1,_xll.TR(Z$7,Z$6,"Sdate=#1 Period=#2 Scale=6 NULL=BLANK",,$D67,$O$4),Z67)</f>
        <v>465.36200000000002</v>
      </c>
      <c r="AA67" s="1000" cm="1">
        <f t="array" aca="1" ref="AA67" ca="1">IF(NPSwitch=1,_xll.TR(AA$7,AA$6,"Sdate=#1 Period=#2 Scale=6 NULL=BLANK",,$D67,$O$4),AA67)</f>
        <v>551.75</v>
      </c>
      <c r="AB67" s="1000" cm="1">
        <f t="array" aca="1" ref="AB67" ca="1">IF(NPSwitch=1,_xll.TR(AB$7,AB$6,"Sdate=#1 Period=#2 Scale=6 NULL=BLANK",,$D67,$O$4),AB67)</f>
        <v>213.57499999999999</v>
      </c>
      <c r="AC67" s="1000" cm="1">
        <f t="array" aca="1" ref="AC67" ca="1">IF(NPSwitch=1,_xll.TR(AC$7,AC$6,"Sdate=#1 Period=#2 Scale=6 NULL=BLANK",,$D67,$O$4),AC67)</f>
        <v>434.25</v>
      </c>
      <c r="AD67" s="1000" cm="1">
        <f t="array" aca="1" ref="AD67" ca="1">IF(NPSwitch=1,_xll.TR(AD$7,AD$6,"Sdate=#1 Period=#2 Scale=6 NULL=BLANK",,$D67,$O$4),AD67)</f>
        <v>76.95</v>
      </c>
      <c r="AE67" s="1000" cm="1">
        <f t="array" aca="1" ref="AE67" ca="1">IF(NPSwitch=1,_xll.TR(AE$7,AE$6,"Sdate=#1 Period=#2 Scale=6 NULL=BLANK",,$D67,$O$4),AE67)</f>
        <v>1671.25</v>
      </c>
      <c r="AF67" s="1000" cm="1">
        <f t="array" aca="1" ref="AF67" ca="1">IF(NPSwitch=1,_xll.TR(AF$7,AF$6,"Sdate=#1 Period=#2 Scale=6 NULL=BLANK",,$D67,$O$4),AF67)</f>
        <v>1628.75</v>
      </c>
      <c r="AG67" s="1000" cm="1">
        <f t="array" aca="1" ref="AG67" ca="1">IF(NPSwitch=1,_xll.TR(AG$7,AG$6,"Sdate=#1 Period=#2 Scale=6 NULL=BLANK",,$D67,$O$4),AG67)</f>
        <v>1033.75</v>
      </c>
      <c r="AH67" s="998"/>
      <c r="AI67" s="1000" cm="1">
        <f t="array" aca="1" ref="AI67" ca="1">IF(NPSwitch=1,_xll.TR(AI$7,AI$6,"Sdate=#1 Period=#2 Scale=6 NULL=BLANK",,$D67,$O$4),AI67)</f>
        <v>72754.198408900003</v>
      </c>
      <c r="AJ67" s="1000" cm="1">
        <f t="array" aca="1" ref="AJ67" ca="1">IF(NPSwitch=1,_xll.TR(AJ$7,AJ$6,"Sdate=#1 Period=#2 Scale=6 NULL=BLANK",,$D67,$O$4),AJ67)</f>
        <v>6214.8127366299996</v>
      </c>
      <c r="AK67" s="1000" cm="1">
        <f t="array" aca="1" ref="AK67" ca="1">IF(NPSwitch=1,_xll.TR(AK$7,AK$6,"Sdate=#1 Period=#2 Scale=6 NULL=BLANK",,$D67,$O$4),AK67)</f>
        <v>9289.3921272499992</v>
      </c>
      <c r="AL67" s="1000" cm="1">
        <f t="array" aca="1" ref="AL67" ca="1">IF(NPSwitch=1,_xll.TR(AL$7,AL$6,"Sdate=#1 Period=#2 Scale=6 NULL=BLANK",,$D67,$O$4),AL67)</f>
        <v>2597.56138728</v>
      </c>
      <c r="AM67" s="1000" cm="1">
        <f t="array" aca="1" ref="AM67" ca="1">IF(NPSwitch=1,_xll.TR(AM$7,AM$6,"Sdate=#1 Period=#2 Scale=6 NULL=BLANK",,$D67,$O$4),AM67)</f>
        <v>7650.4373699999996</v>
      </c>
      <c r="AN67" s="1000" cm="1">
        <f t="array" aca="1" ref="AN67" ca="1">IF(NPSwitch=1,_xll.TR(AN$7,AN$6,"Sdate=#1 Period=#2 Scale=6 NULL=BLANK",,$D67,$O$4),AN67)</f>
        <v>8972.4290057800008</v>
      </c>
      <c r="AO67" s="1000" cm="1">
        <f t="array" aca="1" ref="AO67" ca="1">IF(NPSwitch=1,_xll.TR(AO$7,AO$6,"Sdate=#1 Period=#2 Scale=6 NULL=BLANK",,$D67,$O$4),AO67)</f>
        <v>22116.614710999998</v>
      </c>
      <c r="AP67" s="1000" cm="1">
        <f t="array" aca="1" ref="AP67" ca="1">IF(NPSwitch=1,_xll.TR(AP$7,AP$6,"Sdate=#1 Period=#2 Scale=6 NULL=BLANK",,$D67,$O$4),AP67)</f>
        <v>12936.737730950001</v>
      </c>
      <c r="AQ67" s="1000" cm="1">
        <f t="array" aca="1" ref="AQ67" ca="1">IF(NPSwitch=1,_xll.TR(AQ$7,AQ$6,"Sdate=#1 Period=#2 Scale=6 NULL=BLANK",,$D67,$O$4),AQ67)</f>
        <v>16184.01203168</v>
      </c>
      <c r="AS67" s="765" t="str" cm="1">
        <f t="array" aca="1" ref="AS67" ca="1">IF(NPSwitch=1,_xll.TR(AS$7,AS$6,"Sdate=#1 Period=#2 NULL=BLANK Scale=6",,$D67,$AS$4),AS67)</f>
        <v/>
      </c>
      <c r="AT67" s="765" t="str" cm="1">
        <f t="array" aca="1" ref="AT67" ca="1">IF(NPSwitch=1,_xll.TR(AT$7,AT$6,"Sdate=#1 Period=#2 NULL=BLANK Scale=6",,$D67,$AS$4),AT67)</f>
        <v/>
      </c>
      <c r="AU67" s="765" t="str" cm="1">
        <f t="array" aca="1" ref="AU67" ca="1">IF(NPSwitch=1,_xll.TR(AU$7,AU$6,"Sdate=#1 Period=#2 NULL=BLANK Scale=6",,$D67,$AS$4),AU67)</f>
        <v/>
      </c>
      <c r="AV67" s="765" t="str" cm="1">
        <f t="array" aca="1" ref="AV67" ca="1">IF(NPSwitch=1,_xll.TR(AV$7,AV$6,"Sdate=#1 Period=#2 NULL=BLANK Scale=6",,$D67,$AS$4),AV67)</f>
        <v/>
      </c>
      <c r="AW67" s="765" t="str" cm="1">
        <f t="array" aca="1" ref="AW67" ca="1">IF(NPSwitch=1,_xll.TR(AW$7,AW$6,"Sdate=#1 Period=#2 NULL=BLANK Scale=6",,$D67,$AS$4),AW67)</f>
        <v/>
      </c>
      <c r="AX67" s="765" t="str" cm="1">
        <f t="array" aca="1" ref="AX67" ca="1">IF(NPSwitch=1,_xll.TR(AX$7,AX$6,"Sdate=#1 Period=#2 NULL=BLANK Scale=6",,$D67,$AS$4),AX67)</f>
        <v/>
      </c>
      <c r="AY67" s="765" t="str" cm="1">
        <f t="array" aca="1" ref="AY67" ca="1">IF(NPSwitch=1,_xll.TR(AY$7,AY$6,"Sdate=#1 Period=#2 NULL=BLANK Scale=6",,$D67,$AS$4),AY67)</f>
        <v/>
      </c>
      <c r="AZ67" s="765" t="str" cm="1">
        <f t="array" aca="1" ref="AZ67" ca="1">IF(NPSwitch=1,_xll.TR(AZ$7,AZ$6,"Sdate=#1 Period=#2 NULL=BLANK Scale=6",,$D67,$AS$4),AZ67)</f>
        <v/>
      </c>
      <c r="BA67" s="765" t="str" cm="1">
        <f t="array" aca="1" ref="BA67" ca="1">IF(NPSwitch=1,_xll.TR(BA$7,BA$6,"Sdate=#1 Period=#2 NULL=BLANK Scale=6",,$D67,$AS$4),BA67)</f>
        <v/>
      </c>
      <c r="BB67" s="1002"/>
      <c r="BC67" s="765" cm="1">
        <f t="array" aca="1" ref="BC67" ca="1">IF(NPSwitch=1,_xll.TR(BC$7,BC$6,"Sdate=#1 Period=#2 NULL=BLANK",,$D67,$BC$4),BC67)</f>
        <v>9.5203086110000008</v>
      </c>
      <c r="BD67" s="765" cm="1">
        <f t="array" aca="1" ref="BD67" ca="1">IF(NPSwitch=1,_xll.TR(BD$7,BD$6,"Sdate=#1 Period=#2 NULL=BLANK",,$D67,$BC$4),BD67)</f>
        <v>8.9253148180000004</v>
      </c>
      <c r="BE67" s="765" cm="1">
        <f t="array" aca="1" ref="BE67" ca="1">IF(NPSwitch=1,_xll.TR(BE$7,BE$6,"Sdate=#1 Period=#2 NULL=BLANK",,$D67,$BC$4),BE67)</f>
        <v>14.357638527000001</v>
      </c>
      <c r="BF67" s="765" cm="1">
        <f t="array" aca="1" ref="BF67" ca="1">IF(NPSwitch=1,_xll.TR(BF$7,BF$6,"Sdate=#1 Period=#2 NULL=BLANK",,$D67,$BC$4),BF67)</f>
        <v>14.233213081000001</v>
      </c>
      <c r="BG67" s="765" t="str" cm="1">
        <f t="array" aca="1" ref="BG67" ca="1">IF(NPSwitch=1,_xll.TR(BG$7,BG$6,"Sdate=#1 Period=#2 NULL=BLANK",,$D67,$BC$4),BG67)</f>
        <v/>
      </c>
      <c r="BH67" s="765" cm="1">
        <f t="array" aca="1" ref="BH67" ca="1">IF(NPSwitch=1,_xll.TR(BH$7,BH$6,"Sdate=#1 Period=#2 NULL=BLANK",,$D67,$BC$4),BH67)</f>
        <v>12.074322441</v>
      </c>
      <c r="BI67" s="765" cm="1">
        <f t="array" aca="1" ref="BI67" ca="1">IF(NPSwitch=1,_xll.TR(BI$7,BI$6,"Sdate=#1 Period=#2 NULL=BLANK",,$D67,$BC$4),BI67)</f>
        <v>11.125057701999999</v>
      </c>
      <c r="BJ67" s="765" cm="1">
        <f t="array" aca="1" ref="BJ67" ca="1">IF(NPSwitch=1,_xll.TR(BJ$7,BJ$6,"Sdate=#1 Period=#2 NULL=BLANK",,$D67,$BC$4),BJ67)</f>
        <v>7.9269226289999999</v>
      </c>
      <c r="BK67" s="765" cm="1">
        <f t="array" aca="1" ref="BK67" ca="1">IF(NPSwitch=1,_xll.TR(BK$7,BK$6,"Sdate=#1 Period=#2 NULL=BLANK",,$D67,$BC$4),BK67)</f>
        <v>12.344784158</v>
      </c>
      <c r="BO67" s="765" cm="1">
        <f t="array" aca="1" ref="BO67" ca="1">IF(NPSwitch=1,_xll.TR(BO$7,BO$6,"Sdate=#1 Period=#2 NULL=BLANK Scale=6",,$D67,$AS$4),BO67)</f>
        <v>29904</v>
      </c>
      <c r="BP67" s="765" cm="1">
        <f t="array" aca="1" ref="BP67" ca="1">IF(NPSwitch=1,_xll.TR(BP$7,BP$6,"Sdate=#1 Period=#2 NULL=BLANK Scale=6",,$D67,$AS$4),BP67)</f>
        <v>2519.154</v>
      </c>
      <c r="BQ67" s="765" cm="1">
        <f t="array" aca="1" ref="BQ67" ca="1">IF(NPSwitch=1,_xll.TR(BQ$7,BQ$6,"Sdate=#1 Period=#2 NULL=BLANK Scale=6",,$D67,$AS$4),BQ67)</f>
        <v>5991</v>
      </c>
      <c r="BR67" s="765" cm="1">
        <f t="array" aca="1" ref="BR67" ca="1">IF(NPSwitch=1,_xll.TR(BR$7,BR$6,"Sdate=#1 Period=#2 NULL=BLANK Scale=6",,$D67,$AS$4),BR67)</f>
        <v>2860.8</v>
      </c>
      <c r="BS67" s="765" cm="1">
        <f t="array" aca="1" ref="BS67" ca="1">IF(NPSwitch=1,_xll.TR(BS$7,BS$6,"Sdate=#1 Period=#2 NULL=BLANK Scale=6",,$D67,$AS$4),BS67)</f>
        <v>11187</v>
      </c>
      <c r="BT67" s="765" cm="1">
        <f t="array" aca="1" ref="BT67" ca="1">IF(NPSwitch=1,_xll.TR(BT$7,BT$6,"Sdate=#1 Period=#2 NULL=BLANK Scale=6",,$D67,$AS$4),BT67)</f>
        <v>3583.3</v>
      </c>
      <c r="BU67" s="765" cm="1">
        <f t="array" aca="1" ref="BU67" ca="1">IF(NPSwitch=1,_xll.TR(BU$7,BU$6,"Sdate=#1 Period=#2 NULL=BLANK Scale=6",,$D67,$AS$4),BU67)</f>
        <v>13512</v>
      </c>
      <c r="BV67" s="765" cm="1">
        <f t="array" aca="1" ref="BV67" ca="1">IF(NPSwitch=1,_xll.TR(BV$7,BV$6,"Sdate=#1 Period=#2 NULL=BLANK Scale=6",,$D67,$AS$4),BV67)</f>
        <v>10910</v>
      </c>
      <c r="BW67" s="765" cm="1">
        <f t="array" aca="1" ref="BW67" ca="1">IF(NPSwitch=1,_xll.TR(BW$7,BW$6,"Sdate=#1 Period=#2 NULL=BLANK Scale=6",,$D67,$AS$4),BW67)</f>
        <v>8102</v>
      </c>
      <c r="BY67" s="765" cm="1">
        <f t="array" aca="1" ref="BY67" ca="1">IF(NPSwitch=1,_xll.TR(BY$7,BY$6,"Sdate=#1 Period=#2 NULL=BLANK Scale=6",,$D67,$AS$4),BY67)</f>
        <v>23378.25</v>
      </c>
      <c r="BZ67" s="765" cm="1">
        <f t="array" aca="1" ref="BZ67" ca="1">IF(NPSwitch=1,_xll.TR(BZ$7,BZ$6,"Sdate=#1 Period=#2 NULL=BLANK Scale=6",,$D67,$AS$4),BZ67)</f>
        <v>2589.7040000000002</v>
      </c>
      <c r="CA67" s="765" cm="1">
        <f t="array" aca="1" ref="CA67" ca="1">IF(NPSwitch=1,_xll.TR(CA$7,CA$6,"Sdate=#1 Period=#2 NULL=BLANK Scale=6",,$D67,$AS$4),CA67)</f>
        <v>7798.75</v>
      </c>
      <c r="CB67" s="765" cm="1">
        <f t="array" aca="1" ref="CB67" ca="1">IF(NPSwitch=1,_xll.TR(CB$7,CB$6,"Sdate=#1 Period=#2 NULL=BLANK Scale=6",,$D67,$AS$4),CB67)</f>
        <v>1326.95</v>
      </c>
      <c r="CC67" s="765" cm="1">
        <f t="array" aca="1" ref="CC67" ca="1">IF(NPSwitch=1,_xll.TR(CC$7,CC$6,"Sdate=#1 Period=#2 NULL=BLANK Scale=6",,$D67,$AS$4),CC67)</f>
        <v>5775</v>
      </c>
      <c r="CD67" s="765" cm="1">
        <f t="array" aca="1" ref="CD67" ca="1">IF(NPSwitch=1,_xll.TR(CD$7,CD$6,"Sdate=#1 Period=#2 NULL=BLANK Scale=6",,$D67,$AS$4),CD67)</f>
        <v>2341.4499999999998</v>
      </c>
      <c r="CE67" s="765" cm="1">
        <f t="array" aca="1" ref="CE67" ca="1">IF(NPSwitch=1,_xll.TR(CE$7,CE$6,"Sdate=#1 Period=#2 NULL=BLANK Scale=6",,$D67,$AS$4),CE67)</f>
        <v>7731</v>
      </c>
      <c r="CF67" s="765" cm="1">
        <f t="array" aca="1" ref="CF67" ca="1">IF(NPSwitch=1,_xll.TR(CF$7,CF$6,"Sdate=#1 Period=#2 NULL=BLANK Scale=6",,$D67,$AS$4),CF67)</f>
        <v>10638.5</v>
      </c>
      <c r="CG67" s="765" cm="1">
        <f t="array" aca="1" ref="CG67" ca="1">IF(NPSwitch=1,_xll.TR(CG$7,CG$6,"Sdate=#1 Period=#2 NULL=BLANK Scale=6",,$D67,$AS$4),CG67)</f>
        <v>6346</v>
      </c>
      <c r="CI67" s="1000" cm="1">
        <f t="array" aca="1" ref="CI67" ca="1">IF(NPSwitch=1,_xll.TR(CI$7,CI$6,"Sdate=#1 Period=#2 NULL=BLANK Scale=6",,$D67,$AS$4),CI67)</f>
        <v>7771</v>
      </c>
      <c r="CJ67" s="1000" cm="1">
        <f t="array" aca="1" ref="CJ67" ca="1">IF(NPSwitch=1,_xll.TR(CJ$7,CJ$6,"Sdate=#1 Period=#2 NULL=BLANK Scale=6",,$D67,$AS$4),CJ67)</f>
        <v>602.38800000000003</v>
      </c>
      <c r="CK67" s="1000" cm="1">
        <f t="array" aca="1" ref="CK67" ca="1">IF(NPSwitch=1,_xll.TR(CK$7,CK$6,"Sdate=#1 Period=#2 NULL=BLANK Scale=6",,$D67,$AS$4),CK67)</f>
        <v>647</v>
      </c>
      <c r="CL67" s="1000" cm="1">
        <f t="array" aca="1" ref="CL67" ca="1">IF(NPSwitch=1,_xll.TR(CL$7,CL$6,"Sdate=#1 Period=#2 NULL=BLANK Scale=6",,$D67,$AS$4),CL67)</f>
        <v>182.5</v>
      </c>
      <c r="CM67" s="1000" cm="1">
        <f t="array" aca="1" ref="CM67" ca="1">IF(NPSwitch=1,_xll.TR(CM$7,CM$6,"Sdate=#1 Period=#2 NULL=BLANK Scale=6",,$D67,$AS$4),CM67)</f>
        <v>1371</v>
      </c>
      <c r="CN67" s="1000" cm="1">
        <f t="array" aca="1" ref="CN67" ca="1">IF(NPSwitch=1,_xll.TR(CN$7,CN$6,"Sdate=#1 Period=#2 NULL=BLANK Scale=6",,$D67,$AS$4),CN67)</f>
        <v>819.9</v>
      </c>
      <c r="CO67" s="1000" cm="1">
        <f t="array" aca="1" ref="CO67" ca="1">IF(NPSwitch=1,_xll.TR(CO$7,CO$6,"Sdate=#1 Period=#2 NULL=BLANK Scale=6",,$D67,$AS$4),CO67)</f>
        <v>1939</v>
      </c>
      <c r="CP67" s="1000" cm="1">
        <f t="array" aca="1" ref="CP67" ca="1">IF(NPSwitch=1,_xll.TR(CP$7,CP$6,"Sdate=#1 Period=#2 NULL=BLANK Scale=6",,$D67,$AS$4),CP67)</f>
        <v>1706</v>
      </c>
      <c r="CQ67" s="1000" cm="1">
        <f t="array" aca="1" ref="CQ67" ca="1">IF(NPSwitch=1,_xll.TR(CQ$7,CQ$6,"Sdate=#1 Period=#2 NULL=BLANK Scale=6",,$D67,$AS$4),CQ67)</f>
        <v>1385</v>
      </c>
      <c r="CS67" s="1000" cm="1">
        <f t="array" aca="1" ref="CS67" ca="1">IF(NPSwitch=1,_xll.TR(CS$7,CS$6,"Sdate=#1 Period=#2 NULL=BLANK Scale=6",,$D67,$AS$4),CS67)</f>
        <v>7944.5</v>
      </c>
      <c r="CT67" s="1000" cm="1">
        <f t="array" aca="1" ref="CT67" ca="1">IF(NPSwitch=1,_xll.TR(CT$7,CT$6,"Sdate=#1 Period=#2 NULL=BLANK Scale=6",,$D67,$AS$4),CT67)</f>
        <v>1223.4755</v>
      </c>
      <c r="CU67" s="1000" cm="1">
        <f t="array" aca="1" ref="CU67" ca="1">IF(NPSwitch=1,_xll.TR(CU$7,CU$6,"Sdate=#1 Period=#2 NULL=BLANK Scale=6",,$D67,$AS$4),CU67)</f>
        <v>2806.25</v>
      </c>
      <c r="CV67" s="1000" cm="1">
        <f t="array" aca="1" ref="CV67" ca="1">IF(NPSwitch=1,_xll.TR(CV$7,CV$6,"Sdate=#1 Period=#2 NULL=BLANK Scale=6",,$D67,$AS$4),CV67)</f>
        <v>384.75</v>
      </c>
      <c r="CW67" s="1000" cm="1">
        <f t="array" aca="1" ref="CW67" ca="1">IF(NPSwitch=1,_xll.TR(CW$7,CW$6,"Sdate=#1 Period=#2 NULL=BLANK Scale=6",,$D67,$AS$4),CW67)</f>
        <v>1007.225</v>
      </c>
      <c r="CX67" s="1000" cm="1">
        <f t="array" aca="1" ref="CX67" ca="1">IF(NPSwitch=1,_xll.TR(CX$7,CX$6,"Sdate=#1 Period=#2 NULL=BLANK Scale=6",,$D67,$AS$4),CX67)</f>
        <v>2787.75</v>
      </c>
      <c r="CY67" s="1000" cm="1">
        <f t="array" aca="1" ref="CY67" ca="1">IF(NPSwitch=1,_xll.TR(CY$7,CY$6,"Sdate=#1 Period=#2 NULL=BLANK Scale=6",,$D67,$AS$4),CY67)</f>
        <v>5533.75</v>
      </c>
      <c r="CZ67" s="1000" cm="1">
        <f t="array" aca="1" ref="CZ67" ca="1">IF(NPSwitch=1,_xll.TR(CZ$7,CZ$6,"Sdate=#1 Period=#2 NULL=BLANK Scale=6",,$D67,$AS$4),CZ67)</f>
        <v>3641.25</v>
      </c>
      <c r="DA67" s="1000" cm="1">
        <f t="array" aca="1" ref="DA67" ca="1">IF(NPSwitch=1,_xll.TR(DA$7,DA$6,"Sdate=#1 Period=#2 NULL=BLANK Scale=6",,$D67,$AS$4),DA67)</f>
        <v>3309.75</v>
      </c>
      <c r="DB67" s="1000" cm="1">
        <f t="array" aca="1" ref="DB67" ca="1">IF(NPSwitch=1,_xll.TR(DB$7,DB$6,"Sdate=#1 Period=#2 NULL=BLANK Scale=6",,$D67,$AS$4),DB67)</f>
        <v>16462</v>
      </c>
      <c r="DC67" s="1000" t="str" cm="1">
        <f t="array" aca="1" ref="DC67" ca="1">IF(NPSwitch=1,_xll.TR(DC$7,DC$6,"Sdate=#1 Period=#2 NULL=BLANK Scale=6",,$D67,$AS$4),DC67)</f>
        <v/>
      </c>
      <c r="DD67" s="1000" cm="1">
        <f t="array" aca="1" ref="DD67" ca="1">IF(NPSwitch=1,_xll.TR(DD$7,DD$6,"Sdate=#1 Period=#2 NULL=BLANK Scale=6",,$D67,$AS$4),DD67)</f>
        <v>7442.75</v>
      </c>
      <c r="DE67" s="1000" t="str" cm="1">
        <f t="array" aca="1" ref="DE67" ca="1">IF(NPSwitch=1,_xll.TR(DE$7,DE$6,"Sdate=#1 Period=#2 NULL=BLANK Scale=6",,$D67,$AS$4),DE67)</f>
        <v/>
      </c>
      <c r="DF67" s="1000" cm="1">
        <f t="array" aca="1" ref="DF67" ca="1">IF(NPSwitch=1,_xll.TR(DF$7,DF$6,"Sdate=#1 Period=#2 NULL=BLANK Scale=6",,$D67,$AS$4),DF67)</f>
        <v>384.75</v>
      </c>
      <c r="DG67" s="1000" cm="1">
        <f t="array" aca="1" ref="DG67" ca="1">IF(NPSwitch=1,_xll.TR(DG$7,DG$6,"Sdate=#1 Period=#2 NULL=BLANK Scale=6",,$D67,$AS$4),DG67)</f>
        <v>3638.75</v>
      </c>
      <c r="DH67" s="1000" cm="1">
        <f t="array" aca="1" ref="DH67" ca="1">IF(NPSwitch=1,_xll.TR(DH$7,DH$6,"Sdate=#1 Period=#2 NULL=BLANK Scale=6",,$D67,$AS$4),DH67)</f>
        <v>1299.893</v>
      </c>
      <c r="FN67" s="3" t="s">
        <v>637</v>
      </c>
    </row>
    <row r="68" spans="3:170">
      <c r="C68" s="969">
        <f t="shared" si="44"/>
        <v>41364</v>
      </c>
      <c r="D68" s="974">
        <f t="shared" si="43"/>
        <v>41409</v>
      </c>
      <c r="E68" s="765" cm="1">
        <f t="array" aca="1" ref="E68" ca="1">IF(NPSwitch=1,_xll.TR(E$7,E$6,"Sdate=#1 Period=#2 NULL=BLANK",,$D68,$E$4),E68)</f>
        <v>9.3906319924564094</v>
      </c>
      <c r="F68" s="765" cm="1">
        <f t="array" aca="1" ref="F68" ca="1">IF(NPSwitch=1,_xll.TR(F$7,F$6,"Sdate=#1 Period=#2 NULL=BLANK",,$D68,$E$4),F68)</f>
        <v>8.8095842508591709</v>
      </c>
      <c r="G68" s="765" cm="1">
        <f t="array" aca="1" ref="G68" ca="1">IF(NPSwitch=1,_xll.TR(G$7,G$6,"Sdate=#1 Period=#2 NULL=BLANK",,$D68,$E$4),G68)</f>
        <v>6.83267234640046</v>
      </c>
      <c r="H68" s="765" cm="1">
        <f t="array" aca="1" ref="H68" ca="1">IF(NPSwitch=1,_xll.TR(H$7,H$6,"Sdate=#1 Period=#2 NULL=BLANK",,$D68,$E$4),H68)</f>
        <v>8.9912290588750601</v>
      </c>
      <c r="I68" s="765" cm="1">
        <f t="array" aca="1" ref="I68" ca="1">IF(NPSwitch=1,_xll.TR(I$7,I$6,"Sdate=#1 Period=#2 NULL=BLANK",,$D68,$E$4),I68)</f>
        <v>6.2601995758702298</v>
      </c>
      <c r="J68" s="765" cm="1">
        <f t="array" aca="1" ref="J68" ca="1">IF(NPSwitch=1,_xll.TR(J$7,J$6,"Sdate=#1 Period=#2 NULL=BLANK",,$D68,$E$4),J68)</f>
        <v>9.8027038054816895</v>
      </c>
      <c r="K68" s="765" cm="1">
        <f t="array" aca="1" ref="K68" ca="1">IF(NPSwitch=1,_xll.TR(K$7,K$6,"Sdate=#1 Period=#2 NULL=BLANK",,$D68,$E$4),K68)</f>
        <v>10.126873280520799</v>
      </c>
      <c r="L68" s="765" cm="1">
        <f t="array" aca="1" ref="L68" ca="1">IF(NPSwitch=1,_xll.TR(L$7,L$6,"Sdate=#1 Period=#2 NULL=BLANK",,$D68,$E$4),L68)</f>
        <v>5.9738516326459399</v>
      </c>
      <c r="M68" s="765" cm="1">
        <f t="array" aca="1" ref="M68" ca="1">IF(NPSwitch=1,_xll.TR(M$7,M$6,"Sdate=#1 Period=#2 NULL=BLANK",,$D68,$E$4),M68)</f>
        <v>7.3925278844614404</v>
      </c>
      <c r="N68" s="1002">
        <f t="shared" ca="1" si="45"/>
        <v>7.9979216166323637</v>
      </c>
      <c r="O68" s="1000" cm="1">
        <f t="array" aca="1" ref="O68" ca="1">IF(NPSwitch=1,_xll.TR(O$7,O$6,"Sdate=#1 Period=#2 Scale=6 NULL=BLANK",,$D68,$O$4),O68)</f>
        <v>76956.700129999997</v>
      </c>
      <c r="P68" s="1000" cm="1">
        <f t="array" aca="1" ref="P68" ca="1">IF(NPSwitch=1,_xll.TR(P$7,P$6,"Sdate=#1 Period=#2 Scale=6 NULL=BLANK",,$D68,$O$4),P68)</f>
        <v>5782.8048174300002</v>
      </c>
      <c r="Q68" s="1000" cm="1">
        <f t="array" aca="1" ref="Q68" ca="1">IF(NPSwitch=1,_xll.TR(Q$7,Q$6,"Sdate=#1 Period=#2 Scale=6 NULL=BLANK",,$D68,$O$4),Q68)</f>
        <v>7113.6851176999999</v>
      </c>
      <c r="R68" s="1000" cm="1">
        <f t="array" aca="1" ref="R68" ca="1">IF(NPSwitch=1,_xll.TR(R$7,R$6,"Sdate=#1 Period=#2 Scale=6 NULL=BLANK",,$D68,$O$4),R68)</f>
        <v>2482.17419578</v>
      </c>
      <c r="S68" s="1000" cm="1">
        <f t="array" aca="1" ref="S68" ca="1">IF(NPSwitch=1,_xll.TR(S$7,S$6,"Sdate=#1 Period=#2 Scale=6 NULL=BLANK",,$D68,$O$4),S68)</f>
        <v>4651.6827290399997</v>
      </c>
      <c r="T68" s="1000" cm="1">
        <f t="array" aca="1" ref="T68" ca="1">IF(NPSwitch=1,_xll.TR(T$7,T$6,"Sdate=#1 Period=#2 Scale=6 NULL=BLANK",,$D68,$O$4),T68)</f>
        <v>8574.8380225199999</v>
      </c>
      <c r="U68" s="1000" cm="1">
        <f t="array" aca="1" ref="U68" ca="1">IF(NPSwitch=1,_xll.TR(U$7,U$6,"Sdate=#1 Period=#2 Scale=6 NULL=BLANK",,$D68,$O$4),U68)</f>
        <v>22319.88971856</v>
      </c>
      <c r="V68" s="1000" cm="1">
        <f t="array" aca="1" ref="V68" ca="1">IF(NPSwitch=1,_xll.TR(V$7,V$6,"Sdate=#1 Period=#2 Scale=6 NULL=BLANK",,$D68,$O$4),V68)</f>
        <v>9698.2797284999797</v>
      </c>
      <c r="W68" s="1000" cm="1">
        <f t="array" aca="1" ref="W68" ca="1">IF(NPSwitch=1,_xll.TR(W$7,W$6,"Sdate=#1 Period=#2 Scale=6 NULL=BLANK",,$D68,$O$4),W68)</f>
        <v>10967.668233480001</v>
      </c>
      <c r="X68" s="998"/>
      <c r="Y68" s="1000" cm="1">
        <f t="array" aca="1" ref="Y68" ca="1">IF(NPSwitch=1,_xll.TR(Y$7,Y$6,"Sdate=#1 Period=#2 Scale=6 NULL=BLANK",,$D68,$O$4),Y68)</f>
        <v>4707</v>
      </c>
      <c r="Z68" s="1000" cm="1">
        <f t="array" aca="1" ref="Z68" ca="1">IF(NPSwitch=1,_xll.TR(Z$7,Z$6,"Sdate=#1 Period=#2 Scale=6 NULL=BLANK",,$D68,$O$4),Z68)</f>
        <v>444.24824999999998</v>
      </c>
      <c r="AA68" s="1000" cm="1">
        <f t="array" aca="1" ref="AA68" ca="1">IF(NPSwitch=1,_xll.TR(AA$7,AA$6,"Sdate=#1 Period=#2 Scale=6 NULL=BLANK",,$D68,$O$4),AA68)</f>
        <v>519</v>
      </c>
      <c r="AB68" s="1000" cm="1">
        <f t="array" aca="1" ref="AB68" ca="1">IF(NPSwitch=1,_xll.TR(AB$7,AB$6,"Sdate=#1 Period=#2 Scale=6 NULL=BLANK",,$D68,$O$4),AB68)</f>
        <v>209.22499999999999</v>
      </c>
      <c r="AC68" s="1000" cm="1">
        <f t="array" aca="1" ref="AC68" ca="1">IF(NPSwitch=1,_xll.TR(AC$7,AC$6,"Sdate=#1 Period=#2 Scale=6 NULL=BLANK",,$D68,$O$4),AC68)</f>
        <v>380.25</v>
      </c>
      <c r="AD68" s="1000" cm="1">
        <f t="array" aca="1" ref="AD68" ca="1">IF(NPSwitch=1,_xll.TR(AD$7,AD$6,"Sdate=#1 Period=#2 Scale=6 NULL=BLANK",,$D68,$O$4),AD68)</f>
        <v>79.900000000000006</v>
      </c>
      <c r="AE68" s="1000" cm="1">
        <f t="array" aca="1" ref="AE68" ca="1">IF(NPSwitch=1,_xll.TR(AE$7,AE$6,"Sdate=#1 Period=#2 Scale=6 NULL=BLANK",,$D68,$O$4),AE68)</f>
        <v>2007.75</v>
      </c>
      <c r="AF68" s="1000" cm="1">
        <f t="array" aca="1" ref="AF68" ca="1">IF(NPSwitch=1,_xll.TR(AF$7,AF$6,"Sdate=#1 Period=#2 Scale=6 NULL=BLANK",,$D68,$O$4),AF68)</f>
        <v>1581.75</v>
      </c>
      <c r="AG68" s="1000" cm="1">
        <f t="array" aca="1" ref="AG68" ca="1">IF(NPSwitch=1,_xll.TR(AG$7,AG$6,"Sdate=#1 Period=#2 Scale=6 NULL=BLANK",,$D68,$O$4),AG68)</f>
        <v>916</v>
      </c>
      <c r="AH68" s="998"/>
      <c r="AI68" s="1000" cm="1">
        <f t="array" aca="1" ref="AI68" ca="1">IF(NPSwitch=1,_xll.TR(AI$7,AI$6,"Sdate=#1 Period=#2 Scale=6 NULL=BLANK",,$D68,$O$4),AI68)</f>
        <v>78962.700129999997</v>
      </c>
      <c r="AJ68" s="1000" cm="1">
        <f t="array" aca="1" ref="AJ68" ca="1">IF(NPSwitch=1,_xll.TR(AJ$7,AJ$6,"Sdate=#1 Period=#2 Scale=6 NULL=BLANK",,$D68,$O$4),AJ68)</f>
        <v>6147.9638174299998</v>
      </c>
      <c r="AK68" s="1000" cm="1">
        <f t="array" aca="1" ref="AK68" ca="1">IF(NPSwitch=1,_xll.TR(AK$7,AK$6,"Sdate=#1 Period=#2 Scale=6 NULL=BLANK",,$D68,$O$4),AK68)</f>
        <v>10154.685117700001</v>
      </c>
      <c r="AL68" s="1000" cm="1">
        <f t="array" aca="1" ref="AL68" ca="1">IF(NPSwitch=1,_xll.TR(AL$7,AL$6,"Sdate=#1 Period=#2 Scale=6 NULL=BLANK",,$D68,$O$4),AL68)</f>
        <v>3370.8741957799998</v>
      </c>
      <c r="AM68" s="1000" cm="1">
        <f t="array" aca="1" ref="AM68" ca="1">IF(NPSwitch=1,_xll.TR(AM$7,AM$6,"Sdate=#1 Period=#2 Scale=6 NULL=BLANK",,$D68,$O$4),AM68)</f>
        <v>8325.6827290399997</v>
      </c>
      <c r="AN68" s="1000" cm="1">
        <f t="array" aca="1" ref="AN68" ca="1">IF(NPSwitch=1,_xll.TR(AN$7,AN$6,"Sdate=#1 Period=#2 Scale=6 NULL=BLANK",,$D68,$O$4),AN68)</f>
        <v>9816.4380225200002</v>
      </c>
      <c r="AO68" s="1000" cm="1">
        <f t="array" aca="1" ref="AO68" ca="1">IF(NPSwitch=1,_xll.TR(AO$7,AO$6,"Sdate=#1 Period=#2 Scale=6 NULL=BLANK",,$D68,$O$4),AO68)</f>
        <v>23594.88971856</v>
      </c>
      <c r="AP68" s="1000" cm="1">
        <f t="array" aca="1" ref="AP68" ca="1">IF(NPSwitch=1,_xll.TR(AP$7,AP$6,"Sdate=#1 Period=#2 Scale=6 NULL=BLANK",,$D68,$O$4),AP68)</f>
        <v>12324.2797285</v>
      </c>
      <c r="AQ68" s="1000" cm="1">
        <f t="array" aca="1" ref="AQ68" ca="1">IF(NPSwitch=1,_xll.TR(AQ$7,AQ$6,"Sdate=#1 Period=#2 Scale=6 NULL=BLANK",,$D68,$O$4),AQ68)</f>
        <v>15655.668233480001</v>
      </c>
      <c r="AS68" s="765" t="str" cm="1">
        <f t="array" aca="1" ref="AS68" ca="1">IF(NPSwitch=1,_xll.TR(AS$7,AS$6,"Sdate=#1 Period=#2 NULL=BLANK Scale=6",,$D68,$AS$4),AS68)</f>
        <v/>
      </c>
      <c r="AT68" s="765" t="str" cm="1">
        <f t="array" aca="1" ref="AT68" ca="1">IF(NPSwitch=1,_xll.TR(AT$7,AT$6,"Sdate=#1 Period=#2 NULL=BLANK Scale=6",,$D68,$AS$4),AT68)</f>
        <v/>
      </c>
      <c r="AU68" s="765" t="str" cm="1">
        <f t="array" aca="1" ref="AU68" ca="1">IF(NPSwitch=1,_xll.TR(AU$7,AU$6,"Sdate=#1 Period=#2 NULL=BLANK Scale=6",,$D68,$AS$4),AU68)</f>
        <v/>
      </c>
      <c r="AV68" s="765" t="str" cm="1">
        <f t="array" aca="1" ref="AV68" ca="1">IF(NPSwitch=1,_xll.TR(AV$7,AV$6,"Sdate=#1 Period=#2 NULL=BLANK Scale=6",,$D68,$AS$4),AV68)</f>
        <v/>
      </c>
      <c r="AW68" s="765" t="str" cm="1">
        <f t="array" aca="1" ref="AW68" ca="1">IF(NPSwitch=1,_xll.TR(AW$7,AW$6,"Sdate=#1 Period=#2 NULL=BLANK Scale=6",,$D68,$AS$4),AW68)</f>
        <v/>
      </c>
      <c r="AX68" s="765" t="str" cm="1">
        <f t="array" aca="1" ref="AX68" ca="1">IF(NPSwitch=1,_xll.TR(AX$7,AX$6,"Sdate=#1 Period=#2 NULL=BLANK Scale=6",,$D68,$AS$4),AX68)</f>
        <v/>
      </c>
      <c r="AY68" s="765" t="str" cm="1">
        <f t="array" aca="1" ref="AY68" ca="1">IF(NPSwitch=1,_xll.TR(AY$7,AY$6,"Sdate=#1 Period=#2 NULL=BLANK Scale=6",,$D68,$AS$4),AY68)</f>
        <v/>
      </c>
      <c r="AZ68" s="765" t="str" cm="1">
        <f t="array" aca="1" ref="AZ68" ca="1">IF(NPSwitch=1,_xll.TR(AZ$7,AZ$6,"Sdate=#1 Period=#2 NULL=BLANK Scale=6",,$D68,$AS$4),AZ68)</f>
        <v/>
      </c>
      <c r="BA68" s="765" t="str" cm="1">
        <f t="array" aca="1" ref="BA68" ca="1">IF(NPSwitch=1,_xll.TR(BA$7,BA$6,"Sdate=#1 Period=#2 NULL=BLANK Scale=6",,$D68,$AS$4),BA68)</f>
        <v/>
      </c>
      <c r="BB68" s="1002"/>
      <c r="BC68" s="765" cm="1">
        <f t="array" aca="1" ref="BC68" ca="1">IF(NPSwitch=1,_xll.TR(BC$7,BC$6,"Sdate=#1 Period=#2 NULL=BLANK",,$D68,$BC$4),BC68)</f>
        <v>10.102699607</v>
      </c>
      <c r="BD68" s="765" cm="1">
        <f t="array" aca="1" ref="BD68" ca="1">IF(NPSwitch=1,_xll.TR(BD$7,BD$6,"Sdate=#1 Period=#2 NULL=BLANK",,$D68,$BC$4),BD68)</f>
        <v>10.86302894</v>
      </c>
      <c r="BE68" s="765" cm="1">
        <f t="array" aca="1" ref="BE68" ca="1">IF(NPSwitch=1,_xll.TR(BE$7,BE$6,"Sdate=#1 Period=#2 NULL=BLANK",,$D68,$BC$4),BE68)</f>
        <v>16.093003356000001</v>
      </c>
      <c r="BF68" s="765" cm="1">
        <f t="array" aca="1" ref="BF68" ca="1">IF(NPSwitch=1,_xll.TR(BF$7,BF$6,"Sdate=#1 Period=#2 NULL=BLANK",,$D68,$BC$4),BF68)</f>
        <v>16.564492362999999</v>
      </c>
      <c r="BG68" s="765" t="str" cm="1">
        <f t="array" aca="1" ref="BG68" ca="1">IF(NPSwitch=1,_xll.TR(BG$7,BG$6,"Sdate=#1 Period=#2 NULL=BLANK",,$D68,$BC$4),BG68)</f>
        <v/>
      </c>
      <c r="BH68" s="765" cm="1">
        <f t="array" aca="1" ref="BH68" ca="1">IF(NPSwitch=1,_xll.TR(BH$7,BH$6,"Sdate=#1 Period=#2 NULL=BLANK",,$D68,$BC$4),BH68)</f>
        <v>12.411730968000001</v>
      </c>
      <c r="BI68" s="765" cm="1">
        <f t="array" aca="1" ref="BI68" ca="1">IF(NPSwitch=1,_xll.TR(BI$7,BI$6,"Sdate=#1 Period=#2 NULL=BLANK",,$D68,$BC$4),BI68)</f>
        <v>12.353345402</v>
      </c>
      <c r="BJ68" s="765" cm="1">
        <f t="array" aca="1" ref="BJ68" ca="1">IF(NPSwitch=1,_xll.TR(BJ$7,BJ$6,"Sdate=#1 Period=#2 NULL=BLANK",,$D68,$BC$4),BJ68)</f>
        <v>7.5935180090000003</v>
      </c>
      <c r="BK68" s="765" cm="1">
        <f t="array" aca="1" ref="BK68" ca="1">IF(NPSwitch=1,_xll.TR(BK$7,BK$6,"Sdate=#1 Period=#2 NULL=BLANK",,$D68,$BC$4),BK68)</f>
        <v>10.080919660999999</v>
      </c>
      <c r="BO68" s="765" cm="1">
        <f t="array" aca="1" ref="BO68" ca="1">IF(NPSwitch=1,_xll.TR(BO$7,BO$6,"Sdate=#1 Period=#2 NULL=BLANK Scale=6",,$D68,$AS$4),BO68)</f>
        <v>30052</v>
      </c>
      <c r="BP68" s="765" cm="1">
        <f t="array" aca="1" ref="BP68" ca="1">IF(NPSwitch=1,_xll.TR(BP$7,BP$6,"Sdate=#1 Period=#2 NULL=BLANK Scale=6",,$D68,$AS$4),BP68)</f>
        <v>2394.047</v>
      </c>
      <c r="BQ68" s="765" cm="1">
        <f t="array" aca="1" ref="BQ68" ca="1">IF(NPSwitch=1,_xll.TR(BQ$7,BQ$6,"Sdate=#1 Period=#2 NULL=BLANK Scale=6",,$D68,$AS$4),BQ68)</f>
        <v>5462</v>
      </c>
      <c r="BR68" s="765" cm="1">
        <f t="array" aca="1" ref="BR68" ca="1">IF(NPSwitch=1,_xll.TR(BR$7,BR$6,"Sdate=#1 Period=#2 NULL=BLANK Scale=6",,$D68,$AS$4),BR68)</f>
        <v>2916.4</v>
      </c>
      <c r="BS68" s="765" cm="1">
        <f t="array" aca="1" ref="BS68" ca="1">IF(NPSwitch=1,_xll.TR(BS$7,BS$6,"Sdate=#1 Period=#2 NULL=BLANK Scale=6",,$D68,$AS$4),BS68)</f>
        <v>10976</v>
      </c>
      <c r="BT68" s="765" cm="1">
        <f t="array" aca="1" ref="BT68" ca="1">IF(NPSwitch=1,_xll.TR(BT$7,BT$6,"Sdate=#1 Period=#2 NULL=BLANK Scale=6",,$D68,$AS$4),BT68)</f>
        <v>3553.3</v>
      </c>
      <c r="BU68" s="765" cm="1">
        <f t="array" aca="1" ref="BU68" ca="1">IF(NPSwitch=1,_xll.TR(BU$7,BU$6,"Sdate=#1 Period=#2 NULL=BLANK Scale=6",,$D68,$AS$4),BU68)</f>
        <v>13287</v>
      </c>
      <c r="BV68" s="765" cm="1">
        <f t="array" aca="1" ref="BV68" ca="1">IF(NPSwitch=1,_xll.TR(BV$7,BV$6,"Sdate=#1 Period=#2 NULL=BLANK Scale=6",,$D68,$AS$4),BV68)</f>
        <v>10863</v>
      </c>
      <c r="BW68" s="765" cm="1">
        <f t="array" aca="1" ref="BW68" ca="1">IF(NPSwitch=1,_xll.TR(BW$7,BW$6,"Sdate=#1 Period=#2 NULL=BLANK Scale=6",,$D68,$AS$4),BW68)</f>
        <v>8588</v>
      </c>
      <c r="BY68" s="765" cm="1">
        <f t="array" aca="1" ref="BY68" ca="1">IF(NPSwitch=1,_xll.TR(BY$7,BY$6,"Sdate=#1 Period=#2 NULL=BLANK Scale=6",,$D68,$AS$4),BY68)</f>
        <v>24046</v>
      </c>
      <c r="BZ68" s="765" cm="1">
        <f t="array" aca="1" ref="BZ68" ca="1">IF(NPSwitch=1,_xll.TR(BZ$7,BZ$6,"Sdate=#1 Period=#2 NULL=BLANK Scale=6",,$D68,$AS$4),BZ68)</f>
        <v>2598.2102500000001</v>
      </c>
      <c r="CA68" s="765" cm="1">
        <f t="array" aca="1" ref="CA68" ca="1">IF(NPSwitch=1,_xll.TR(CA$7,CA$6,"Sdate=#1 Period=#2 NULL=BLANK Scale=6",,$D68,$AS$4),CA68)</f>
        <v>7719.25</v>
      </c>
      <c r="CB68" s="765" cm="1">
        <f t="array" aca="1" ref="CB68" ca="1">IF(NPSwitch=1,_xll.TR(CB$7,CB$6,"Sdate=#1 Period=#2 NULL=BLANK Scale=6",,$D68,$AS$4),CB68)</f>
        <v>1479.2750000000001</v>
      </c>
      <c r="CC68" s="765" cm="1">
        <f t="array" aca="1" ref="CC68" ca="1">IF(NPSwitch=1,_xll.TR(CC$7,CC$6,"Sdate=#1 Period=#2 NULL=BLANK Scale=6",,$D68,$AS$4),CC68)</f>
        <v>5717.75</v>
      </c>
      <c r="CD68" s="765" cm="1">
        <f t="array" aca="1" ref="CD68" ca="1">IF(NPSwitch=1,_xll.TR(CD$7,CD$6,"Sdate=#1 Period=#2 NULL=BLANK Scale=6",,$D68,$AS$4),CD68)</f>
        <v>2470</v>
      </c>
      <c r="CE68" s="765" cm="1">
        <f t="array" aca="1" ref="CE68" ca="1">IF(NPSwitch=1,_xll.TR(CE$7,CE$6,"Sdate=#1 Period=#2 NULL=BLANK Scale=6",,$D68,$AS$4),CE68)</f>
        <v>8048.25</v>
      </c>
      <c r="CF68" s="765" cm="1">
        <f t="array" aca="1" ref="CF68" ca="1">IF(NPSwitch=1,_xll.TR(CF$7,CF$6,"Sdate=#1 Period=#2 NULL=BLANK Scale=6",,$D68,$AS$4),CF68)</f>
        <v>10531.75</v>
      </c>
      <c r="CG68" s="765" cm="1">
        <f t="array" aca="1" ref="CG68" ca="1">IF(NPSwitch=1,_xll.TR(CG$7,CG$6,"Sdate=#1 Period=#2 NULL=BLANK Scale=6",,$D68,$AS$4),CG68)</f>
        <v>7433.75</v>
      </c>
      <c r="CI68" s="1000" cm="1">
        <f t="array" aca="1" ref="CI68" ca="1">IF(NPSwitch=1,_xll.TR(CI$7,CI$6,"Sdate=#1 Period=#2 NULL=BLANK Scale=6",,$D68,$AS$4),CI68)</f>
        <v>7816</v>
      </c>
      <c r="CJ68" s="1000" cm="1">
        <f t="array" aca="1" ref="CJ68" ca="1">IF(NPSwitch=1,_xll.TR(CJ$7,CJ$6,"Sdate=#1 Period=#2 NULL=BLANK Scale=6",,$D68,$AS$4),CJ68)</f>
        <v>565.95299999999997</v>
      </c>
      <c r="CK68" s="1000" cm="1">
        <f t="array" aca="1" ref="CK68" ca="1">IF(NPSwitch=1,_xll.TR(CK$7,CK$6,"Sdate=#1 Period=#2 NULL=BLANK Scale=6",,$D68,$AS$4),CK68)</f>
        <v>631</v>
      </c>
      <c r="CL68" s="1000" cm="1">
        <f t="array" aca="1" ref="CL68" ca="1">IF(NPSwitch=1,_xll.TR(CL$7,CL$6,"Sdate=#1 Period=#2 NULL=BLANK Scale=6",,$D68,$AS$4),CL68)</f>
        <v>203.5</v>
      </c>
      <c r="CM68" s="1000" cm="1">
        <f t="array" aca="1" ref="CM68" ca="1">IF(NPSwitch=1,_xll.TR(CM$7,CM$6,"Sdate=#1 Period=#2 NULL=BLANK Scale=6",,$D68,$AS$4),CM68)</f>
        <v>1178</v>
      </c>
      <c r="CN68" s="1000" cm="1">
        <f t="array" aca="1" ref="CN68" ca="1">IF(NPSwitch=1,_xll.TR(CN$7,CN$6,"Sdate=#1 Period=#2 NULL=BLANK Scale=6",,$D68,$AS$4),CN68)</f>
        <v>822.2</v>
      </c>
      <c r="CO68" s="1000" cm="1">
        <f t="array" aca="1" ref="CO68" ca="1">IF(NPSwitch=1,_xll.TR(CO$7,CO$6,"Sdate=#1 Period=#2 NULL=BLANK Scale=6",,$D68,$AS$4),CO68)</f>
        <v>1888</v>
      </c>
      <c r="CP68" s="1000" cm="1">
        <f t="array" aca="1" ref="CP68" ca="1">IF(NPSwitch=1,_xll.TR(CP$7,CP$6,"Sdate=#1 Period=#2 NULL=BLANK Scale=6",,$D68,$AS$4),CP68)</f>
        <v>1623</v>
      </c>
      <c r="CQ68" s="1000" cm="1">
        <f t="array" aca="1" ref="CQ68" ca="1">IF(NPSwitch=1,_xll.TR(CQ$7,CQ$6,"Sdate=#1 Period=#2 NULL=BLANK Scale=6",,$D68,$AS$4),CQ68)</f>
        <v>1553</v>
      </c>
      <c r="CS68" s="1000" cm="1">
        <f t="array" aca="1" ref="CS68" ca="1">IF(NPSwitch=1,_xll.TR(CS$7,CS$6,"Sdate=#1 Period=#2 NULL=BLANK Scale=6",,$D68,$AS$4),CS68)</f>
        <v>8085.25</v>
      </c>
      <c r="CT68" s="1000" cm="1">
        <f t="array" aca="1" ref="CT68" ca="1">IF(NPSwitch=1,_xll.TR(CT$7,CT$6,"Sdate=#1 Period=#2 NULL=BLANK Scale=6",,$D68,$AS$4),CT68)</f>
        <v>1261.1097500000001</v>
      </c>
      <c r="CU68" s="1000" cm="1">
        <f t="array" aca="1" ref="CU68" ca="1">IF(NPSwitch=1,_xll.TR(CU$7,CU$6,"Sdate=#1 Period=#2 NULL=BLANK Scale=6",,$D68,$AS$4),CU68)</f>
        <v>2797.75</v>
      </c>
      <c r="CV68" s="1000" cm="1">
        <f t="array" aca="1" ref="CV68" ca="1">IF(NPSwitch=1,_xll.TR(CV$7,CV$6,"Sdate=#1 Period=#2 NULL=BLANK Scale=6",,$D68,$AS$4),CV68)</f>
        <v>454.35</v>
      </c>
      <c r="CW68" s="1000" cm="1">
        <f t="array" aca="1" ref="CW68" ca="1">IF(NPSwitch=1,_xll.TR(CW$7,CW$6,"Sdate=#1 Period=#2 NULL=BLANK Scale=6",,$D68,$AS$4),CW68)</f>
        <v>1036.0999999999999</v>
      </c>
      <c r="CX68" s="1000" cm="1">
        <f t="array" aca="1" ref="CX68" ca="1">IF(NPSwitch=1,_xll.TR(CX$7,CX$6,"Sdate=#1 Period=#2 NULL=BLANK Scale=6",,$D68,$AS$4),CX68)</f>
        <v>2706.75</v>
      </c>
      <c r="CY68" s="1000" cm="1">
        <f t="array" aca="1" ref="CY68" ca="1">IF(NPSwitch=1,_xll.TR(CY$7,CY$6,"Sdate=#1 Period=#2 NULL=BLANK Scale=6",,$D68,$AS$4),CY68)</f>
        <v>5501</v>
      </c>
      <c r="CZ68" s="1000" cm="1">
        <f t="array" aca="1" ref="CZ68" ca="1">IF(NPSwitch=1,_xll.TR(CZ$7,CZ$6,"Sdate=#1 Period=#2 NULL=BLANK Scale=6",,$D68,$AS$4),CZ68)</f>
        <v>3895.75</v>
      </c>
      <c r="DA68" s="1000" cm="1">
        <f t="array" aca="1" ref="DA68" ca="1">IF(NPSwitch=1,_xll.TR(DA$7,DA$6,"Sdate=#1 Period=#2 NULL=BLANK Scale=6",,$D68,$AS$4),DA68)</f>
        <v>3299</v>
      </c>
      <c r="DB68" s="1000" cm="1">
        <f t="array" aca="1" ref="DB68" ca="1">IF(NPSwitch=1,_xll.TR(DB$7,DB$6,"Sdate=#1 Period=#2 NULL=BLANK Scale=6",,$D68,$AS$4),DB68)</f>
        <v>16858</v>
      </c>
      <c r="DC68" s="1000" t="str" cm="1">
        <f t="array" aca="1" ref="DC68" ca="1">IF(NPSwitch=1,_xll.TR(DC$7,DC$6,"Sdate=#1 Period=#2 NULL=BLANK Scale=6",,$D68,$AS$4),DC68)</f>
        <v/>
      </c>
      <c r="DD68" s="1000" cm="1">
        <f t="array" aca="1" ref="DD68" ca="1">IF(NPSwitch=1,_xll.TR(DD$7,DD$6,"Sdate=#1 Period=#2 NULL=BLANK Scale=6",,$D68,$AS$4),DD68)</f>
        <v>7531</v>
      </c>
      <c r="DE68" s="1000" t="str" cm="1">
        <f t="array" aca="1" ref="DE68" ca="1">IF(NPSwitch=1,_xll.TR(DE$7,DE$6,"Sdate=#1 Period=#2 NULL=BLANK Scale=6",,$D68,$AS$4),DE68)</f>
        <v/>
      </c>
      <c r="DF68" s="1000" cm="1">
        <f t="array" aca="1" ref="DF68" ca="1">IF(NPSwitch=1,_xll.TR(DF$7,DF$6,"Sdate=#1 Period=#2 NULL=BLANK Scale=6",,$D68,$AS$4),DF68)</f>
        <v>454.35</v>
      </c>
      <c r="DG68" s="1000" cm="1">
        <f t="array" aca="1" ref="DG68" ca="1">IF(NPSwitch=1,_xll.TR(DG$7,DG$6,"Sdate=#1 Period=#2 NULL=BLANK Scale=6",,$D68,$AS$4),DG68)</f>
        <v>3637.5</v>
      </c>
      <c r="DH68" s="1000" cm="1">
        <f t="array" aca="1" ref="DH68" ca="1">IF(NPSwitch=1,_xll.TR(DH$7,DH$6,"Sdate=#1 Period=#2 NULL=BLANK Scale=6",,$D68,$AS$4),DH68)</f>
        <v>1460.8267499999999</v>
      </c>
      <c r="FN68" s="3" t="s">
        <v>1572</v>
      </c>
    </row>
    <row r="69" spans="3:170">
      <c r="C69" s="971">
        <f t="shared" si="44"/>
        <v>41455</v>
      </c>
      <c r="D69" s="974">
        <f t="shared" si="43"/>
        <v>41500</v>
      </c>
      <c r="E69" s="765" cm="1">
        <f t="array" aca="1" ref="E69" ca="1">IF(NPSwitch=1,_xll.TR(E$7,E$6,"Sdate=#1 Period=#2 NULL=BLANK",,$D69,$E$4),E69)</f>
        <v>9.7427499112243492</v>
      </c>
      <c r="F69" s="765" cm="1">
        <f t="array" aca="1" ref="F69" ca="1">IF(NPSwitch=1,_xll.TR(F$7,F$6,"Sdate=#1 Period=#2 NULL=BLANK",,$D69,$E$4),F69)</f>
        <v>9.1388457686095705</v>
      </c>
      <c r="G69" s="765" cm="1">
        <f t="array" aca="1" ref="G69" ca="1">IF(NPSwitch=1,_xll.TR(G$7,G$6,"Sdate=#1 Period=#2 NULL=BLANK",,$D69,$E$4),G69)</f>
        <v>6.8842561426149</v>
      </c>
      <c r="H69" s="765" cm="1">
        <f t="array" aca="1" ref="H69" ca="1">IF(NPSwitch=1,_xll.TR(H$7,H$6,"Sdate=#1 Period=#2 NULL=BLANK",,$D69,$E$4),H69)</f>
        <v>8.6114269810518405</v>
      </c>
      <c r="I69" s="765" cm="1">
        <f t="array" aca="1" ref="I69" ca="1">IF(NPSwitch=1,_xll.TR(I$7,I$6,"Sdate=#1 Period=#2 NULL=BLANK",,$D69,$E$4),I69)</f>
        <v>6.1709319514946497</v>
      </c>
      <c r="J69" s="765" cm="1">
        <f t="array" aca="1" ref="J69" ca="1">IF(NPSwitch=1,_xll.TR(J$7,J$6,"Sdate=#1 Period=#2 NULL=BLANK",,$D69,$E$4),J69)</f>
        <v>10.036221001803799</v>
      </c>
      <c r="K69" s="765" cm="1">
        <f t="array" aca="1" ref="K69" ca="1">IF(NPSwitch=1,_xll.TR(K$7,K$6,"Sdate=#1 Period=#2 NULL=BLANK",,$D69,$E$4),K69)</f>
        <v>10.4713494752018</v>
      </c>
      <c r="L69" s="765" cm="1">
        <f t="array" aca="1" ref="L69" ca="1">IF(NPSwitch=1,_xll.TR(L$7,L$6,"Sdate=#1 Period=#2 NULL=BLANK",,$D69,$E$4),L69)</f>
        <v>6.1192740025621299</v>
      </c>
      <c r="M69" s="765" cm="1">
        <f t="array" aca="1" ref="M69" ca="1">IF(NPSwitch=1,_xll.TR(M$7,M$6,"Sdate=#1 Period=#2 NULL=BLANK",,$D69,$E$4),M69)</f>
        <v>7.7920271393888303</v>
      </c>
      <c r="N69" s="1002">
        <f t="shared" ca="1" si="45"/>
        <v>8.0489099257881858</v>
      </c>
      <c r="O69" s="1000" cm="1">
        <f t="array" aca="1" ref="O69" ca="1">IF(NPSwitch=1,_xll.TR(O$7,O$6,"Sdate=#1 Period=#2 Scale=6 NULL=BLANK",,$D69,$O$4),O69)</f>
        <v>80389.511217659994</v>
      </c>
      <c r="P69" s="1000" cm="1">
        <f t="array" aca="1" ref="P69" ca="1">IF(NPSwitch=1,_xll.TR(P$7,P$6,"Sdate=#1 Period=#2 Scale=6 NULL=BLANK",,$D69,$O$4),P69)</f>
        <v>5120.0732840399996</v>
      </c>
      <c r="Q69" s="1000" cm="1">
        <f t="array" aca="1" ref="Q69" ca="1">IF(NPSwitch=1,_xll.TR(Q$7,Q$6,"Sdate=#1 Period=#2 Scale=6 NULL=BLANK",,$D69,$O$4),Q69)</f>
        <v>6964.4889727500004</v>
      </c>
      <c r="R69" s="1000" cm="1">
        <f t="array" aca="1" ref="R69" ca="1">IF(NPSwitch=1,_xll.TR(R$7,R$6,"Sdate=#1 Period=#2 Scale=6 NULL=BLANK",,$D69,$O$4),R69)</f>
        <v>2781.58108227</v>
      </c>
      <c r="S69" s="1000" cm="1">
        <f t="array" aca="1" ref="S69" ca="1">IF(NPSwitch=1,_xll.TR(S$7,S$6,"Sdate=#1 Period=#2 Scale=6 NULL=BLANK",,$D69,$O$4),S69)</f>
        <v>4475.7933986500002</v>
      </c>
      <c r="T69" s="1000" cm="1">
        <f t="array" aca="1" ref="T69" ca="1">IF(NPSwitch=1,_xll.TR(T$7,T$6,"Sdate=#1 Period=#2 Scale=6 NULL=BLANK",,$D69,$O$4),T69)</f>
        <v>8931.6483819999994</v>
      </c>
      <c r="U69" s="1000" cm="1">
        <f t="array" aca="1" ref="U69" ca="1">IF(NPSwitch=1,_xll.TR(U$7,U$6,"Sdate=#1 Period=#2 Scale=6 NULL=BLANK",,$D69,$O$4),U69)</f>
        <v>23203.939161260001</v>
      </c>
      <c r="V69" s="1000" cm="1">
        <f t="array" aca="1" ref="V69" ca="1">IF(NPSwitch=1,_xll.TR(V$7,V$6,"Sdate=#1 Period=#2 Scale=6 NULL=BLANK",,$D69,$O$4),V69)</f>
        <v>9223.9533836999599</v>
      </c>
      <c r="W69" s="1000" cm="1">
        <f t="array" aca="1" ref="W69" ca="1">IF(NPSwitch=1,_xll.TR(W$7,W$6,"Sdate=#1 Period=#2 Scale=6 NULL=BLANK",,$D69,$O$4),W69)</f>
        <v>12345.252</v>
      </c>
      <c r="X69" s="998"/>
      <c r="Y69" s="1000" cm="1">
        <f t="array" aca="1" ref="Y69" ca="1">IF(NPSwitch=1,_xll.TR(Y$7,Y$6,"Sdate=#1 Period=#2 Scale=6 NULL=BLANK",,$D69,$O$4),Y69)</f>
        <v>4544.25</v>
      </c>
      <c r="Z69" s="1000" cm="1">
        <f t="array" aca="1" ref="Z69" ca="1">IF(NPSwitch=1,_xll.TR(Z$7,Z$6,"Sdate=#1 Period=#2 Scale=6 NULL=BLANK",,$D69,$O$4),Z69)</f>
        <v>407.47525000000002</v>
      </c>
      <c r="AA69" s="1000" cm="1">
        <f t="array" aca="1" ref="AA69" ca="1">IF(NPSwitch=1,_xll.TR(AA$7,AA$6,"Sdate=#1 Period=#2 Scale=6 NULL=BLANK",,$D69,$O$4),AA69)</f>
        <v>464</v>
      </c>
      <c r="AB69" s="1000" cm="1">
        <f t="array" aca="1" ref="AB69" ca="1">IF(NPSwitch=1,_xll.TR(AB$7,AB$6,"Sdate=#1 Period=#2 Scale=6 NULL=BLANK",,$D69,$O$4),AB69)</f>
        <v>255</v>
      </c>
      <c r="AC69" s="1000" cm="1">
        <f t="array" aca="1" ref="AC69" ca="1">IF(NPSwitch=1,_xll.TR(AC$7,AC$6,"Sdate=#1 Period=#2 Scale=6 NULL=BLANK",,$D69,$O$4),AC69)</f>
        <v>310.25</v>
      </c>
      <c r="AD69" s="1000" cm="1">
        <f t="array" aca="1" ref="AD69" ca="1">IF(NPSwitch=1,_xll.TR(AD$7,AD$6,"Sdate=#1 Period=#2 Scale=6 NULL=BLANK",,$D69,$O$4),AD69)</f>
        <v>80.375</v>
      </c>
      <c r="AE69" s="1000" cm="1">
        <f t="array" aca="1" ref="AE69" ca="1">IF(NPSwitch=1,_xll.TR(AE$7,AE$6,"Sdate=#1 Period=#2 Scale=6 NULL=BLANK",,$D69,$O$4),AE69)</f>
        <v>2141.25</v>
      </c>
      <c r="AF69" s="1000" cm="1">
        <f t="array" aca="1" ref="AF69" ca="1">IF(NPSwitch=1,_xll.TR(AF$7,AF$6,"Sdate=#1 Period=#2 Scale=6 NULL=BLANK",,$D69,$O$4),AF69)</f>
        <v>1501.5</v>
      </c>
      <c r="AG69" s="1000" cm="1">
        <f t="array" aca="1" ref="AG69" ca="1">IF(NPSwitch=1,_xll.TR(AG$7,AG$6,"Sdate=#1 Period=#2 Scale=6 NULL=BLANK",,$D69,$O$4),AG69)</f>
        <v>224.5</v>
      </c>
      <c r="AH69" s="998"/>
      <c r="AI69" s="1000" cm="1">
        <f t="array" aca="1" ref="AI69" ca="1">IF(NPSwitch=1,_xll.TR(AI$7,AI$6,"Sdate=#1 Period=#2 Scale=6 NULL=BLANK",,$D69,$O$4),AI69)</f>
        <v>82526.511217659994</v>
      </c>
      <c r="AJ69" s="1000" cm="1">
        <f t="array" aca="1" ref="AJ69" ca="1">IF(NPSwitch=1,_xll.TR(AJ$7,AJ$6,"Sdate=#1 Period=#2 Scale=6 NULL=BLANK",,$D69,$O$4),AJ69)</f>
        <v>5995.0202840399998</v>
      </c>
      <c r="AK69" s="1000" cm="1">
        <f t="array" aca="1" ref="AK69" ca="1">IF(NPSwitch=1,_xll.TR(AK$7,AK$6,"Sdate=#1 Period=#2 Scale=6 NULL=BLANK",,$D69,$O$4),AK69)</f>
        <v>10009.488972749999</v>
      </c>
      <c r="AL69" s="1000" cm="1">
        <f t="array" aca="1" ref="AL69" ca="1">IF(NPSwitch=1,_xll.TR(AL$7,AL$6,"Sdate=#1 Period=#2 Scale=6 NULL=BLANK",,$D69,$O$4),AL69)</f>
        <v>3422.1810822699999</v>
      </c>
      <c r="AM69" s="1000" cm="1">
        <f t="array" aca="1" ref="AM69" ca="1">IF(NPSwitch=1,_xll.TR(AM$7,AM$6,"Sdate=#1 Period=#2 Scale=6 NULL=BLANK",,$D69,$O$4),AM69)</f>
        <v>8228.7933986499993</v>
      </c>
      <c r="AN69" s="1000" cm="1">
        <f t="array" aca="1" ref="AN69" ca="1">IF(NPSwitch=1,_xll.TR(AN$7,AN$6,"Sdate=#1 Period=#2 Scale=6 NULL=BLANK",,$D69,$O$4),AN69)</f>
        <v>9975.8483820000001</v>
      </c>
      <c r="AO69" s="1000" cm="1">
        <f t="array" aca="1" ref="AO69" ca="1">IF(NPSwitch=1,_xll.TR(AO$7,AO$6,"Sdate=#1 Period=#2 Scale=6 NULL=BLANK",,$D69,$O$4),AO69)</f>
        <v>25060.939161260001</v>
      </c>
      <c r="AP69" s="1000" cm="1">
        <f t="array" aca="1" ref="AP69" ca="1">IF(NPSwitch=1,_xll.TR(AP$7,AP$6,"Sdate=#1 Period=#2 Scale=6 NULL=BLANK",,$D69,$O$4),AP69)</f>
        <v>12066.9533837</v>
      </c>
      <c r="AQ69" s="1000" cm="1">
        <f t="array" aca="1" ref="AQ69" ca="1">IF(NPSwitch=1,_xll.TR(AQ$7,AQ$6,"Sdate=#1 Period=#2 Scale=6 NULL=BLANK",,$D69,$O$4),AQ69)</f>
        <v>16873.252</v>
      </c>
      <c r="AS69" s="765" t="str" cm="1">
        <f t="array" aca="1" ref="AS69" ca="1">IF(NPSwitch=1,_xll.TR(AS$7,AS$6,"Sdate=#1 Period=#2 NULL=BLANK Scale=6",,$D69,$AS$4),AS69)</f>
        <v/>
      </c>
      <c r="AT69" s="765" t="str" cm="1">
        <f t="array" aca="1" ref="AT69" ca="1">IF(NPSwitch=1,_xll.TR(AT$7,AT$6,"Sdate=#1 Period=#2 NULL=BLANK Scale=6",,$D69,$AS$4),AT69)</f>
        <v/>
      </c>
      <c r="AU69" s="765" t="str" cm="1">
        <f t="array" aca="1" ref="AU69" ca="1">IF(NPSwitch=1,_xll.TR(AU$7,AU$6,"Sdate=#1 Period=#2 NULL=BLANK Scale=6",,$D69,$AS$4),AU69)</f>
        <v/>
      </c>
      <c r="AV69" s="765" t="str" cm="1">
        <f t="array" aca="1" ref="AV69" ca="1">IF(NPSwitch=1,_xll.TR(AV$7,AV$6,"Sdate=#1 Period=#2 NULL=BLANK Scale=6",,$D69,$AS$4),AV69)</f>
        <v/>
      </c>
      <c r="AW69" s="765" t="str" cm="1">
        <f t="array" aca="1" ref="AW69" ca="1">IF(NPSwitch=1,_xll.TR(AW$7,AW$6,"Sdate=#1 Period=#2 NULL=BLANK Scale=6",,$D69,$AS$4),AW69)</f>
        <v/>
      </c>
      <c r="AX69" s="765" t="str" cm="1">
        <f t="array" aca="1" ref="AX69" ca="1">IF(NPSwitch=1,_xll.TR(AX$7,AX$6,"Sdate=#1 Period=#2 NULL=BLANK Scale=6",,$D69,$AS$4),AX69)</f>
        <v/>
      </c>
      <c r="AY69" s="765" t="str" cm="1">
        <f t="array" aca="1" ref="AY69" ca="1">IF(NPSwitch=1,_xll.TR(AY$7,AY$6,"Sdate=#1 Period=#2 NULL=BLANK Scale=6",,$D69,$AS$4),AY69)</f>
        <v/>
      </c>
      <c r="AZ69" s="765" t="str" cm="1">
        <f t="array" aca="1" ref="AZ69" ca="1">IF(NPSwitch=1,_xll.TR(AZ$7,AZ$6,"Sdate=#1 Period=#2 NULL=BLANK Scale=6",,$D69,$AS$4),AZ69)</f>
        <v/>
      </c>
      <c r="BA69" s="765" t="str" cm="1">
        <f t="array" aca="1" ref="BA69" ca="1">IF(NPSwitch=1,_xll.TR(BA$7,BA$6,"Sdate=#1 Period=#2 NULL=BLANK Scale=6",,$D69,$AS$4),BA69)</f>
        <v/>
      </c>
      <c r="BB69" s="1002"/>
      <c r="BC69" s="765" cm="1">
        <f t="array" aca="1" ref="BC69" ca="1">IF(NPSwitch=1,_xll.TR(BC$7,BC$6,"Sdate=#1 Period=#2 NULL=BLANK",,$D69,$BC$4),BC69)</f>
        <v>10.546519005</v>
      </c>
      <c r="BD69" s="765" cm="1">
        <f t="array" aca="1" ref="BD69" ca="1">IF(NPSwitch=1,_xll.TR(BD$7,BD$6,"Sdate=#1 Period=#2 NULL=BLANK",,$D69,$BC$4),BD69)</f>
        <v>11.776879057</v>
      </c>
      <c r="BE69" s="765" cm="1">
        <f t="array" aca="1" ref="BE69" ca="1">IF(NPSwitch=1,_xll.TR(BE$7,BE$6,"Sdate=#1 Period=#2 NULL=BLANK",,$D69,$BC$4),BE69)</f>
        <v>19.979019906000001</v>
      </c>
      <c r="BF69" s="765" cm="1">
        <f t="array" aca="1" ref="BF69" ca="1">IF(NPSwitch=1,_xll.TR(BF$7,BF$6,"Sdate=#1 Period=#2 NULL=BLANK",,$D69,$BC$4),BF69)</f>
        <v>13.804683671999999</v>
      </c>
      <c r="BG69" s="765" t="str" cm="1">
        <f t="array" aca="1" ref="BG69" ca="1">IF(NPSwitch=1,_xll.TR(BG$7,BG$6,"Sdate=#1 Period=#2 NULL=BLANK",,$D69,$BC$4),BG69)</f>
        <v/>
      </c>
      <c r="BH69" s="765" cm="1">
        <f t="array" aca="1" ref="BH69" ca="1">IF(NPSwitch=1,_xll.TR(BH$7,BH$6,"Sdate=#1 Period=#2 NULL=BLANK",,$D69,$BC$4),BH69)</f>
        <v>12.474488410999999</v>
      </c>
      <c r="BI69" s="765" cm="1">
        <f t="array" aca="1" ref="BI69" ca="1">IF(NPSwitch=1,_xll.TR(BI$7,BI$6,"Sdate=#1 Period=#2 NULL=BLANK",,$D69,$BC$4),BI69)</f>
        <v>13.114044564</v>
      </c>
      <c r="BJ69" s="765" cm="1">
        <f t="array" aca="1" ref="BJ69" ca="1">IF(NPSwitch=1,_xll.TR(BJ$7,BJ$6,"Sdate=#1 Period=#2 NULL=BLANK",,$D69,$BC$4),BJ69)</f>
        <v>7.8868976359999996</v>
      </c>
      <c r="BK69" s="765" cm="1">
        <f t="array" aca="1" ref="BK69" ca="1">IF(NPSwitch=1,_xll.TR(BK$7,BK$6,"Sdate=#1 Period=#2 NULL=BLANK",,$D69,$BC$4),BK69)</f>
        <v>9.9371330980000003</v>
      </c>
      <c r="BO69" s="765" cm="1">
        <f t="array" aca="1" ref="BO69" ca="1">IF(NPSwitch=1,_xll.TR(BO$7,BO$6,"Sdate=#1 Period=#2 NULL=BLANK Scale=6",,$D69,$AS$4),BO69)</f>
        <v>30270</v>
      </c>
      <c r="BP69" s="765" cm="1">
        <f t="array" aca="1" ref="BP69" ca="1">IF(NPSwitch=1,_xll.TR(BP$7,BP$6,"Sdate=#1 Period=#2 NULL=BLANK Scale=6",,$D69,$AS$4),BP69)</f>
        <v>2285.9949999999999</v>
      </c>
      <c r="BQ69" s="765" cm="1">
        <f t="array" aca="1" ref="BQ69" ca="1">IF(NPSwitch=1,_xll.TR(BQ$7,BQ$6,"Sdate=#1 Period=#2 NULL=BLANK Scale=6",,$D69,$AS$4),BQ69)</f>
        <v>4945</v>
      </c>
      <c r="BR69" s="765" cm="1">
        <f t="array" aca="1" ref="BR69" ca="1">IF(NPSwitch=1,_xll.TR(BR$7,BR$6,"Sdate=#1 Period=#2 NULL=BLANK Scale=6",,$D69,$AS$4),BR69)</f>
        <v>3197.4</v>
      </c>
      <c r="BS69" s="765" cm="1">
        <f t="array" aca="1" ref="BS69" ca="1">IF(NPSwitch=1,_xll.TR(BS$7,BS$6,"Sdate=#1 Period=#2 NULL=BLANK Scale=6",,$D69,$AS$4),BS69)</f>
        <v>10892</v>
      </c>
      <c r="BT69" s="765" cm="1">
        <f t="array" aca="1" ref="BT69" ca="1">IF(NPSwitch=1,_xll.TR(BT$7,BT$6,"Sdate=#1 Period=#2 NULL=BLANK Scale=6",,$D69,$AS$4),BT69)</f>
        <v>3524.1</v>
      </c>
      <c r="BU69" s="765" cm="1">
        <f t="array" aca="1" ref="BU69" ca="1">IF(NPSwitch=1,_xll.TR(BU$7,BU$6,"Sdate=#1 Period=#2 NULL=BLANK Scale=6",,$D69,$AS$4),BU69)</f>
        <v>13642</v>
      </c>
      <c r="BV69" s="765" cm="1">
        <f t="array" aca="1" ref="BV69" ca="1">IF(NPSwitch=1,_xll.TR(BV$7,BV$6,"Sdate=#1 Period=#2 NULL=BLANK Scale=6",,$D69,$AS$4),BV69)</f>
        <v>10742</v>
      </c>
      <c r="BW69" s="765" cm="1">
        <f t="array" aca="1" ref="BW69" ca="1">IF(NPSwitch=1,_xll.TR(BW$7,BW$6,"Sdate=#1 Period=#2 NULL=BLANK Scale=6",,$D69,$AS$4),BW69)</f>
        <v>9175</v>
      </c>
      <c r="BY69" s="765" cm="1">
        <f t="array" aca="1" ref="BY69" ca="1">IF(NPSwitch=1,_xll.TR(BY$7,BY$6,"Sdate=#1 Period=#2 NULL=BLANK Scale=6",,$D69,$AS$4),BY69)</f>
        <v>24317.25</v>
      </c>
      <c r="BZ69" s="765" cm="1">
        <f t="array" aca="1" ref="BZ69" ca="1">IF(NPSwitch=1,_xll.TR(BZ$7,BZ$6,"Sdate=#1 Period=#2 NULL=BLANK Scale=6",,$D69,$AS$4),BZ69)</f>
        <v>2596.74325</v>
      </c>
      <c r="CA69" s="765" cm="1">
        <f t="array" aca="1" ref="CA69" ca="1">IF(NPSwitch=1,_xll.TR(CA$7,CA$6,"Sdate=#1 Period=#2 NULL=BLANK Scale=6",,$D69,$AS$4),CA69)</f>
        <v>7627.75</v>
      </c>
      <c r="CB69" s="765" cm="1">
        <f t="array" aca="1" ref="CB69" ca="1">IF(NPSwitch=1,_xll.TR(CB$7,CB$6,"Sdate=#1 Period=#2 NULL=BLANK Scale=6",,$D69,$AS$4),CB69)</f>
        <v>1657.875</v>
      </c>
      <c r="CC69" s="765" cm="1">
        <f t="array" aca="1" ref="CC69" ca="1">IF(NPSwitch=1,_xll.TR(CC$7,CC$6,"Sdate=#1 Period=#2 NULL=BLANK Scale=6",,$D69,$AS$4),CC69)</f>
        <v>5683.75</v>
      </c>
      <c r="CD69" s="765" cm="1">
        <f t="array" aca="1" ref="CD69" ca="1">IF(NPSwitch=1,_xll.TR(CD$7,CD$6,"Sdate=#1 Period=#2 NULL=BLANK Scale=6",,$D69,$AS$4),CD69)</f>
        <v>2576.5500000000002</v>
      </c>
      <c r="CE69" s="765" cm="1">
        <f t="array" aca="1" ref="CE69" ca="1">IF(NPSwitch=1,_xll.TR(CE$7,CE$6,"Sdate=#1 Period=#2 NULL=BLANK Scale=6",,$D69,$AS$4),CE69)</f>
        <v>8396.75</v>
      </c>
      <c r="CF69" s="765" cm="1">
        <f t="array" aca="1" ref="CF69" ca="1">IF(NPSwitch=1,_xll.TR(CF$7,CF$6,"Sdate=#1 Period=#2 NULL=BLANK Scale=6",,$D69,$AS$4),CF69)</f>
        <v>10420.25</v>
      </c>
      <c r="CG69" s="765" cm="1">
        <f t="array" aca="1" ref="CG69" ca="1">IF(NPSwitch=1,_xll.TR(CG$7,CG$6,"Sdate=#1 Period=#2 NULL=BLANK Scale=6",,$D69,$AS$4),CG69)</f>
        <v>7957.25</v>
      </c>
      <c r="CI69" s="1000" cm="1">
        <f t="array" aca="1" ref="CI69" ca="1">IF(NPSwitch=1,_xll.TR(CI$7,CI$6,"Sdate=#1 Period=#2 NULL=BLANK Scale=6",,$D69,$AS$4),CI69)</f>
        <v>7825</v>
      </c>
      <c r="CJ69" s="1000" cm="1">
        <f t="array" aca="1" ref="CJ69" ca="1">IF(NPSwitch=1,_xll.TR(CJ$7,CJ$6,"Sdate=#1 Period=#2 NULL=BLANK Scale=6",,$D69,$AS$4),CJ69)</f>
        <v>509.05</v>
      </c>
      <c r="CK69" s="1000" cm="1">
        <f t="array" aca="1" ref="CK69" ca="1">IF(NPSwitch=1,_xll.TR(CK$7,CK$6,"Sdate=#1 Period=#2 NULL=BLANK Scale=6",,$D69,$AS$4),CK69)</f>
        <v>501</v>
      </c>
      <c r="CL69" s="1000" cm="1">
        <f t="array" aca="1" ref="CL69" ca="1">IF(NPSwitch=1,_xll.TR(CL$7,CL$6,"Sdate=#1 Period=#2 NULL=BLANK Scale=6",,$D69,$AS$4),CL69)</f>
        <v>247.9</v>
      </c>
      <c r="CM69" s="1000" cm="1">
        <f t="array" aca="1" ref="CM69" ca="1">IF(NPSwitch=1,_xll.TR(CM$7,CM$6,"Sdate=#1 Period=#2 NULL=BLANK Scale=6",,$D69,$AS$4),CM69)</f>
        <v>1092</v>
      </c>
      <c r="CN69" s="1000" cm="1">
        <f t="array" aca="1" ref="CN69" ca="1">IF(NPSwitch=1,_xll.TR(CN$7,CN$6,"Sdate=#1 Period=#2 NULL=BLANK Scale=6",,$D69,$AS$4),CN69)</f>
        <v>799.7</v>
      </c>
      <c r="CO69" s="1000" cm="1">
        <f t="array" aca="1" ref="CO69" ca="1">IF(NPSwitch=1,_xll.TR(CO$7,CO$6,"Sdate=#1 Period=#2 NULL=BLANK Scale=6",,$D69,$AS$4),CO69)</f>
        <v>1911</v>
      </c>
      <c r="CP69" s="1000" cm="1">
        <f t="array" aca="1" ref="CP69" ca="1">IF(NPSwitch=1,_xll.TR(CP$7,CP$6,"Sdate=#1 Period=#2 NULL=BLANK Scale=6",,$D69,$AS$4),CP69)</f>
        <v>1558</v>
      </c>
      <c r="CQ69" s="1000" cm="1">
        <f t="array" aca="1" ref="CQ69" ca="1">IF(NPSwitch=1,_xll.TR(CQ$7,CQ$6,"Sdate=#1 Period=#2 NULL=BLANK Scale=6",,$D69,$AS$4),CQ69)</f>
        <v>1698</v>
      </c>
      <c r="CS69" s="1000" cm="1">
        <f t="array" aca="1" ref="CS69" ca="1">IF(NPSwitch=1,_xll.TR(CS$7,CS$6,"Sdate=#1 Period=#2 NULL=BLANK Scale=6",,$D69,$AS$4),CS69)</f>
        <v>8241</v>
      </c>
      <c r="CT69" s="1000" cm="1">
        <f t="array" aca="1" ref="CT69" ca="1">IF(NPSwitch=1,_xll.TR(CT$7,CT$6,"Sdate=#1 Period=#2 NULL=BLANK Scale=6",,$D69,$AS$4),CT69)</f>
        <v>1300.3085000000001</v>
      </c>
      <c r="CU69" s="1000" cm="1">
        <f t="array" aca="1" ref="CU69" ca="1">IF(NPSwitch=1,_xll.TR(CU$7,CU$6,"Sdate=#1 Period=#2 NULL=BLANK Scale=6",,$D69,$AS$4),CU69)</f>
        <v>2803.75</v>
      </c>
      <c r="CV69" s="1000" cm="1">
        <f t="array" aca="1" ref="CV69" ca="1">IF(NPSwitch=1,_xll.TR(CV$7,CV$6,"Sdate=#1 Period=#2 NULL=BLANK Scale=6",,$D69,$AS$4),CV69)</f>
        <v>523.20000000000005</v>
      </c>
      <c r="CW69" s="1000" cm="1">
        <f t="array" aca="1" ref="CW69" ca="1">IF(NPSwitch=1,_xll.TR(CW$7,CW$6,"Sdate=#1 Period=#2 NULL=BLANK Scale=6",,$D69,$AS$4),CW69)</f>
        <v>1067.675</v>
      </c>
      <c r="CX69" s="1000" cm="1">
        <f t="array" aca="1" ref="CX69" ca="1">IF(NPSwitch=1,_xll.TR(CX$7,CX$6,"Sdate=#1 Period=#2 NULL=BLANK Scale=6",,$D69,$AS$4),CX69)</f>
        <v>2686.25</v>
      </c>
      <c r="CY69" s="1000" cm="1">
        <f t="array" aca="1" ref="CY69" ca="1">IF(NPSwitch=1,_xll.TR(CY$7,CY$6,"Sdate=#1 Period=#2 NULL=BLANK Scale=6",,$D69,$AS$4),CY69)</f>
        <v>5421.25</v>
      </c>
      <c r="CZ69" s="1000" cm="1">
        <f t="array" aca="1" ref="CZ69" ca="1">IF(NPSwitch=1,_xll.TR(CZ$7,CZ$6,"Sdate=#1 Period=#2 NULL=BLANK Scale=6",,$D69,$AS$4),CZ69)</f>
        <v>4156.25</v>
      </c>
      <c r="DA69" s="1000" cm="1">
        <f t="array" aca="1" ref="DA69" ca="1">IF(NPSwitch=1,_xll.TR(DA$7,DA$6,"Sdate=#1 Period=#2 NULL=BLANK Scale=6",,$D69,$AS$4),DA69)</f>
        <v>3314</v>
      </c>
      <c r="DB69" s="1000" cm="1">
        <f t="array" aca="1" ref="DB69" ca="1">IF(NPSwitch=1,_xll.TR(DB$7,DB$6,"Sdate=#1 Period=#2 NULL=BLANK Scale=6",,$D69,$AS$4),DB69)</f>
        <v>17078.25</v>
      </c>
      <c r="DC69" s="1000" t="str" cm="1">
        <f t="array" aca="1" ref="DC69" ca="1">IF(NPSwitch=1,_xll.TR(DC$7,DC$6,"Sdate=#1 Period=#2 NULL=BLANK Scale=6",,$D69,$AS$4),DC69)</f>
        <v/>
      </c>
      <c r="DD69" s="1000" cm="1">
        <f t="array" aca="1" ref="DD69" ca="1">IF(NPSwitch=1,_xll.TR(DD$7,DD$6,"Sdate=#1 Period=#2 NULL=BLANK Scale=6",,$D69,$AS$4),DD69)</f>
        <v>7716.5</v>
      </c>
      <c r="DE69" s="1000" t="str" cm="1">
        <f t="array" aca="1" ref="DE69" ca="1">IF(NPSwitch=1,_xll.TR(DE$7,DE$6,"Sdate=#1 Period=#2 NULL=BLANK Scale=6",,$D69,$AS$4),DE69)</f>
        <v/>
      </c>
      <c r="DF69" s="1000" cm="1">
        <f t="array" aca="1" ref="DF69" ca="1">IF(NPSwitch=1,_xll.TR(DF$7,DF$6,"Sdate=#1 Period=#2 NULL=BLANK Scale=6",,$D69,$AS$4),DF69)</f>
        <v>523.20000000000005</v>
      </c>
      <c r="DG69" s="1000" cm="1">
        <f t="array" aca="1" ref="DG69" ca="1">IF(NPSwitch=1,_xll.TR(DG$7,DG$6,"Sdate=#1 Period=#2 NULL=BLANK Scale=6",,$D69,$AS$4),DG69)</f>
        <v>3656.75</v>
      </c>
      <c r="DH69" s="1000" cm="1">
        <f t="array" aca="1" ref="DH69" ca="1">IF(NPSwitch=1,_xll.TR(DH$7,DH$6,"Sdate=#1 Period=#2 NULL=BLANK Scale=6",,$D69,$AS$4),DH69)</f>
        <v>1579.78225</v>
      </c>
      <c r="FN69" s="3" t="s">
        <v>1573</v>
      </c>
    </row>
    <row r="70" spans="3:170">
      <c r="C70" s="972">
        <f t="shared" si="44"/>
        <v>41547</v>
      </c>
      <c r="D70" s="974">
        <f t="shared" si="43"/>
        <v>41592</v>
      </c>
      <c r="E70" s="765" cm="1">
        <f t="array" aca="1" ref="E70" ca="1">IF(NPSwitch=1,_xll.TR(E$7,E$6,"Sdate=#1 Period=#2 NULL=BLANK",,$D70,$E$4),E70)</f>
        <v>10.5467392645284</v>
      </c>
      <c r="F70" s="765" cm="1">
        <f t="array" aca="1" ref="F70" ca="1">IF(NPSwitch=1,_xll.TR(F$7,F$6,"Sdate=#1 Period=#2 NULL=BLANK",,$D70,$E$4),F70)</f>
        <v>9.7179900840776003</v>
      </c>
      <c r="G70" s="765" cm="1">
        <f t="array" aca="1" ref="G70" ca="1">IF(NPSwitch=1,_xll.TR(G$7,G$6,"Sdate=#1 Period=#2 NULL=BLANK",,$D70,$E$4),G70)</f>
        <v>7.6813108790346796</v>
      </c>
      <c r="H70" s="765" cm="1">
        <f t="array" aca="1" ref="H70" ca="1">IF(NPSwitch=1,_xll.TR(H$7,H$6,"Sdate=#1 Period=#2 NULL=BLANK",,$D70,$E$4),H70)</f>
        <v>8.4063011242511791</v>
      </c>
      <c r="I70" s="765" cm="1">
        <f t="array" aca="1" ref="I70" ca="1">IF(NPSwitch=1,_xll.TR(I$7,I$6,"Sdate=#1 Period=#2 NULL=BLANK",,$D70,$E$4),I70)</f>
        <v>6.5733298475710003</v>
      </c>
      <c r="J70" s="765" cm="1">
        <f t="array" aca="1" ref="J70" ca="1">IF(NPSwitch=1,_xll.TR(J$7,J$6,"Sdate=#1 Period=#2 NULL=BLANK",,$D70,$E$4),J70)</f>
        <v>11.251890616926101</v>
      </c>
      <c r="K70" s="765" cm="1">
        <f t="array" aca="1" ref="K70" ca="1">IF(NPSwitch=1,_xll.TR(K$7,K$6,"Sdate=#1 Period=#2 NULL=BLANK",,$D70,$E$4),K70)</f>
        <v>11.304336621616899</v>
      </c>
      <c r="L70" s="765" cm="1">
        <f t="array" aca="1" ref="L70" ca="1">IF(NPSwitch=1,_xll.TR(L$7,L$6,"Sdate=#1 Period=#2 NULL=BLANK",,$D70,$E$4),L70)</f>
        <v>6.4180361813421403</v>
      </c>
      <c r="M70" s="765" cm="1">
        <f t="array" aca="1" ref="M70" ca="1">IF(NPSwitch=1,_xll.TR(M$7,M$6,"Sdate=#1 Period=#2 NULL=BLANK",,$D70,$E$4),M70)</f>
        <v>7.7148548871086602</v>
      </c>
      <c r="N70" s="1002">
        <f t="shared" ca="1" si="45"/>
        <v>8.605867545123667</v>
      </c>
      <c r="O70" s="1000" cm="1">
        <f t="array" aca="1" ref="O70" ca="1">IF(NPSwitch=1,_xll.TR(O$7,O$6,"Sdate=#1 Period=#2 Scale=6 NULL=BLANK",,$D70,$O$4),O70)</f>
        <v>87383.671637409905</v>
      </c>
      <c r="P70" s="1000" cm="1">
        <f t="array" aca="1" ref="P70" ca="1">IF(NPSwitch=1,_xll.TR(P$7,P$6,"Sdate=#1 Period=#2 Scale=6 NULL=BLANK",,$D70,$O$4),P70)</f>
        <v>5498.5221070500002</v>
      </c>
      <c r="Q70" s="1000" cm="1">
        <f t="array" aca="1" ref="Q70" ca="1">IF(NPSwitch=1,_xll.TR(Q$7,Q$6,"Sdate=#1 Period=#2 Scale=6 NULL=BLANK",,$D70,$O$4),Q70)</f>
        <v>7046.5588285199901</v>
      </c>
      <c r="R70" s="1000" cm="1">
        <f t="array" aca="1" ref="R70" ca="1">IF(NPSwitch=1,_xll.TR(R$7,R$6,"Sdate=#1 Period=#2 Scale=6 NULL=BLANK",,$D70,$O$4),R70)</f>
        <v>2962.2928397400001</v>
      </c>
      <c r="S70" s="1000" cm="1">
        <f t="array" aca="1" ref="S70" ca="1">IF(NPSwitch=1,_xll.TR(S$7,S$6,"Sdate=#1 Period=#2 Scale=6 NULL=BLANK",,$D70,$O$4),S70)</f>
        <v>5620.6978480799999</v>
      </c>
      <c r="T70" s="1000" cm="1">
        <f t="array" aca="1" ref="T70" ca="1">IF(NPSwitch=1,_xll.TR(T$7,T$6,"Sdate=#1 Period=#2 Scale=6 NULL=BLANK",,$D70,$O$4),T70)</f>
        <v>9840.9410101600006</v>
      </c>
      <c r="U70" s="1000" cm="1">
        <f t="array" aca="1" ref="U70" ca="1">IF(NPSwitch=1,_xll.TR(U$7,U$6,"Sdate=#1 Period=#2 Scale=6 NULL=BLANK",,$D70,$O$4),U70)</f>
        <v>26356.56041772</v>
      </c>
      <c r="V70" s="1000" cm="1">
        <f t="array" aca="1" ref="V70" ca="1">IF(NPSwitch=1,_xll.TR(V$7,V$6,"Sdate=#1 Period=#2 Scale=6 NULL=BLANK",,$D70,$O$4),V70)</f>
        <v>9732.1601816999591</v>
      </c>
      <c r="W70" s="1000" cm="1">
        <f t="array" aca="1" ref="W70" ca="1">IF(NPSwitch=1,_xll.TR(W$7,W$6,"Sdate=#1 Period=#2 Scale=6 NULL=BLANK",,$D70,$O$4),W70)</f>
        <v>12196.645839839999</v>
      </c>
      <c r="X70" s="998"/>
      <c r="Y70" s="1000" cm="1">
        <f t="array" aca="1" ref="Y70" ca="1">IF(NPSwitch=1,_xll.TR(Y$7,Y$6,"Sdate=#1 Period=#2 Scale=6 NULL=BLANK",,$D70,$O$4),Y70)</f>
        <v>4117.5</v>
      </c>
      <c r="Z70" s="1000" cm="1">
        <f t="array" aca="1" ref="Z70" ca="1">IF(NPSwitch=1,_xll.TR(Z$7,Z$6,"Sdate=#1 Period=#2 Scale=6 NULL=BLANK",,$D70,$O$4),Z70)</f>
        <v>407.17149999999998</v>
      </c>
      <c r="AA70" s="1000" cm="1">
        <f t="array" aca="1" ref="AA70" ca="1">IF(NPSwitch=1,_xll.TR(AA$7,AA$6,"Sdate=#1 Period=#2 Scale=6 NULL=BLANK",,$D70,$O$4),AA70)</f>
        <v>419.75</v>
      </c>
      <c r="AB70" s="1000" cm="1">
        <f t="array" aca="1" ref="AB70" ca="1">IF(NPSwitch=1,_xll.TR(AB$7,AB$6,"Sdate=#1 Period=#2 Scale=6 NULL=BLANK",,$D70,$O$4),AB70)</f>
        <v>273.52499999999998</v>
      </c>
      <c r="AC70" s="1000" cm="1">
        <f t="array" aca="1" ref="AC70" ca="1">IF(NPSwitch=1,_xll.TR(AC$7,AC$6,"Sdate=#1 Period=#2 Scale=6 NULL=BLANK",,$D70,$O$4),AC70)</f>
        <v>300.75</v>
      </c>
      <c r="AD70" s="1000" cm="1">
        <f t="array" aca="1" ref="AD70" ca="1">IF(NPSwitch=1,_xll.TR(AD$7,AD$6,"Sdate=#1 Period=#2 Scale=6 NULL=BLANK",,$D70,$O$4),AD70)</f>
        <v>86.674999999999997</v>
      </c>
      <c r="AE70" s="1000" cm="1">
        <f t="array" aca="1" ref="AE70" ca="1">IF(NPSwitch=1,_xll.TR(AE$7,AE$6,"Sdate=#1 Period=#2 Scale=6 NULL=BLANK",,$D70,$O$4),AE70)</f>
        <v>2200.75</v>
      </c>
      <c r="AF70" s="1000" cm="1">
        <f t="array" aca="1" ref="AF70" ca="1">IF(NPSwitch=1,_xll.TR(AF$7,AF$6,"Sdate=#1 Period=#2 Scale=6 NULL=BLANK",,$D70,$O$4),AF70)</f>
        <v>1435.75</v>
      </c>
      <c r="AG70" s="1000" cm="1">
        <f t="array" aca="1" ref="AG70" ca="1">IF(NPSwitch=1,_xll.TR(AG$7,AG$6,"Sdate=#1 Period=#2 Scale=6 NULL=BLANK",,$D70,$O$4),AG70)</f>
        <v>220.75</v>
      </c>
      <c r="AH70" s="998"/>
      <c r="AI70" s="1000" cm="1">
        <f t="array" aca="1" ref="AI70" ca="1">IF(NPSwitch=1,_xll.TR(AI$7,AI$6,"Sdate=#1 Period=#2 Scale=6 NULL=BLANK",,$D70,$O$4),AI70)</f>
        <v>90305.671637410007</v>
      </c>
      <c r="AJ70" s="1000" cm="1">
        <f t="array" aca="1" ref="AJ70" ca="1">IF(NPSwitch=1,_xll.TR(AJ$7,AJ$6,"Sdate=#1 Period=#2 Scale=6 NULL=BLANK",,$D70,$O$4),AJ70)</f>
        <v>6287.0331070499997</v>
      </c>
      <c r="AK70" s="1000" cm="1">
        <f t="array" aca="1" ref="AK70" ca="1">IF(NPSwitch=1,_xll.TR(AK$7,AK$6,"Sdate=#1 Period=#2 Scale=6 NULL=BLANK",,$D70,$O$4),AK70)</f>
        <v>10091.558828519999</v>
      </c>
      <c r="AL70" s="1000" cm="1">
        <f t="array" aca="1" ref="AL70" ca="1">IF(NPSwitch=1,_xll.TR(AL$7,AL$6,"Sdate=#1 Period=#2 Scale=6 NULL=BLANK",,$D70,$O$4),AL70)</f>
        <v>3629.1928397400002</v>
      </c>
      <c r="AM70" s="1000" cm="1">
        <f t="array" aca="1" ref="AM70" ca="1">IF(NPSwitch=1,_xll.TR(AM$7,AM$6,"Sdate=#1 Period=#2 Scale=6 NULL=BLANK",,$D70,$O$4),AM70)</f>
        <v>9253.6978480800008</v>
      </c>
      <c r="AN70" s="1000" cm="1">
        <f t="array" aca="1" ref="AN70" ca="1">IF(NPSwitch=1,_xll.TR(AN$7,AN$6,"Sdate=#1 Period=#2 Scale=6 NULL=BLANK",,$D70,$O$4),AN70)</f>
        <v>11495.041010159999</v>
      </c>
      <c r="AO70" s="1000" cm="1">
        <f t="array" aca="1" ref="AO70" ca="1">IF(NPSwitch=1,_xll.TR(AO$7,AO$6,"Sdate=#1 Period=#2 Scale=6 NULL=BLANK",,$D70,$O$4),AO70)</f>
        <v>27772.56041772</v>
      </c>
      <c r="AP70" s="1000" cm="1">
        <f t="array" aca="1" ref="AP70" ca="1">IF(NPSwitch=1,_xll.TR(AP$7,AP$6,"Sdate=#1 Period=#2 Scale=6 NULL=BLANK",,$D70,$O$4),AP70)</f>
        <v>12506.160181699999</v>
      </c>
      <c r="AQ70" s="1000" cm="1">
        <f t="array" aca="1" ref="AQ70" ca="1">IF(NPSwitch=1,_xll.TR(AQ$7,AQ$6,"Sdate=#1 Period=#2 Scale=6 NULL=BLANK",,$D70,$O$4),AQ70)</f>
        <v>16484.645839839999</v>
      </c>
      <c r="AS70" s="765" t="str" cm="1">
        <f t="array" aca="1" ref="AS70" ca="1">IF(NPSwitch=1,_xll.TR(AS$7,AS$6,"Sdate=#1 Period=#2 NULL=BLANK Scale=6",,$D70,$AS$4),AS70)</f>
        <v/>
      </c>
      <c r="AT70" s="765" t="str" cm="1">
        <f t="array" aca="1" ref="AT70" ca="1">IF(NPSwitch=1,_xll.TR(AT$7,AT$6,"Sdate=#1 Period=#2 NULL=BLANK Scale=6",,$D70,$AS$4),AT70)</f>
        <v/>
      </c>
      <c r="AU70" s="765" t="str" cm="1">
        <f t="array" aca="1" ref="AU70" ca="1">IF(NPSwitch=1,_xll.TR(AU$7,AU$6,"Sdate=#1 Period=#2 NULL=BLANK Scale=6",,$D70,$AS$4),AU70)</f>
        <v/>
      </c>
      <c r="AV70" s="765" t="str" cm="1">
        <f t="array" aca="1" ref="AV70" ca="1">IF(NPSwitch=1,_xll.TR(AV$7,AV$6,"Sdate=#1 Period=#2 NULL=BLANK Scale=6",,$D70,$AS$4),AV70)</f>
        <v/>
      </c>
      <c r="AW70" s="765" t="str" cm="1">
        <f t="array" aca="1" ref="AW70" ca="1">IF(NPSwitch=1,_xll.TR(AW$7,AW$6,"Sdate=#1 Period=#2 NULL=BLANK Scale=6",,$D70,$AS$4),AW70)</f>
        <v/>
      </c>
      <c r="AX70" s="765" t="str" cm="1">
        <f t="array" aca="1" ref="AX70" ca="1">IF(NPSwitch=1,_xll.TR(AX$7,AX$6,"Sdate=#1 Period=#2 NULL=BLANK Scale=6",,$D70,$AS$4),AX70)</f>
        <v/>
      </c>
      <c r="AY70" s="765" t="str" cm="1">
        <f t="array" aca="1" ref="AY70" ca="1">IF(NPSwitch=1,_xll.TR(AY$7,AY$6,"Sdate=#1 Period=#2 NULL=BLANK Scale=6",,$D70,$AS$4),AY70)</f>
        <v/>
      </c>
      <c r="AZ70" s="765" t="str" cm="1">
        <f t="array" aca="1" ref="AZ70" ca="1">IF(NPSwitch=1,_xll.TR(AZ$7,AZ$6,"Sdate=#1 Period=#2 NULL=BLANK Scale=6",,$D70,$AS$4),AZ70)</f>
        <v/>
      </c>
      <c r="BA70" s="765" t="str" cm="1">
        <f t="array" aca="1" ref="BA70" ca="1">IF(NPSwitch=1,_xll.TR(BA$7,BA$6,"Sdate=#1 Period=#2 NULL=BLANK Scale=6",,$D70,$AS$4),BA70)</f>
        <v/>
      </c>
      <c r="BB70" s="1002"/>
      <c r="BC70" s="765" cm="1">
        <f t="array" aca="1" ref="BC70" ca="1">IF(NPSwitch=1,_xll.TR(BC$7,BC$6,"Sdate=#1 Period=#2 NULL=BLANK",,$D70,$BC$4),BC70)</f>
        <v>11.397913876</v>
      </c>
      <c r="BD70" s="765" cm="1">
        <f t="array" aca="1" ref="BD70" ca="1">IF(NPSwitch=1,_xll.TR(BD$7,BD$6,"Sdate=#1 Period=#2 NULL=BLANK",,$D70,$BC$4),BD70)</f>
        <v>12.675009994</v>
      </c>
      <c r="BE70" s="765" cm="1">
        <f t="array" aca="1" ref="BE70" ca="1">IF(NPSwitch=1,_xll.TR(BE$7,BE$6,"Sdate=#1 Period=#2 NULL=BLANK",,$D70,$BC$4),BE70)</f>
        <v>20.142831993000001</v>
      </c>
      <c r="BF70" s="765" cm="1">
        <f t="array" aca="1" ref="BF70" ca="1">IF(NPSwitch=1,_xll.TR(BF$7,BF$6,"Sdate=#1 Period=#2 NULL=BLANK",,$D70,$BC$4),BF70)</f>
        <v>13.206669722000001</v>
      </c>
      <c r="BG70" s="765" t="str" cm="1">
        <f t="array" aca="1" ref="BG70" ca="1">IF(NPSwitch=1,_xll.TR(BG$7,BG$6,"Sdate=#1 Period=#2 NULL=BLANK",,$D70,$BC$4),BG70)</f>
        <v/>
      </c>
      <c r="BH70" s="765" cm="1">
        <f t="array" aca="1" ref="BH70" ca="1">IF(NPSwitch=1,_xll.TR(BH$7,BH$6,"Sdate=#1 Period=#2 NULL=BLANK",,$D70,$BC$4),BH70)</f>
        <v>14.283102647</v>
      </c>
      <c r="BI70" s="765" cm="1">
        <f t="array" aca="1" ref="BI70" ca="1">IF(NPSwitch=1,_xll.TR(BI$7,BI$6,"Sdate=#1 Period=#2 NULL=BLANK",,$D70,$BC$4),BI70)</f>
        <v>14.148018552</v>
      </c>
      <c r="BJ70" s="765" cm="1">
        <f t="array" aca="1" ref="BJ70" ca="1">IF(NPSwitch=1,_xll.TR(BJ$7,BJ$6,"Sdate=#1 Period=#2 NULL=BLANK",,$D70,$BC$4),BJ70)</f>
        <v>8.2277369619999998</v>
      </c>
      <c r="BK70" s="765" cm="1">
        <f t="array" aca="1" ref="BK70" ca="1">IF(NPSwitch=1,_xll.TR(BK$7,BK$6,"Sdate=#1 Period=#2 NULL=BLANK",,$D70,$BC$4),BK70)</f>
        <v>9.0724523060000006</v>
      </c>
      <c r="BO70" s="765" cm="1">
        <f t="array" aca="1" ref="BO70" ca="1">IF(NPSwitch=1,_xll.TR(BO$7,BO$6,"Sdate=#1 Period=#2 NULL=BLANK Scale=6",,$D70,$AS$4),BO70)</f>
        <v>30689</v>
      </c>
      <c r="BP70" s="765" cm="1">
        <f t="array" aca="1" ref="BP70" ca="1">IF(NPSwitch=1,_xll.TR(BP$7,BP$6,"Sdate=#1 Period=#2 NULL=BLANK Scale=6",,$D70,$AS$4),BP70)</f>
        <v>2215.9650000000001</v>
      </c>
      <c r="BQ70" s="765" cm="1">
        <f t="array" aca="1" ref="BQ70" ca="1">IF(NPSwitch=1,_xll.TR(BQ$7,BQ$6,"Sdate=#1 Period=#2 NULL=BLANK Scale=6",,$D70,$AS$4),BQ70)</f>
        <v>6092</v>
      </c>
      <c r="BR70" s="765" cm="1">
        <f t="array" aca="1" ref="BR70" ca="1">IF(NPSwitch=1,_xll.TR(BR$7,BR$6,"Sdate=#1 Period=#2 NULL=BLANK Scale=6",,$D70,$AS$4),BR70)</f>
        <v>3498.6</v>
      </c>
      <c r="BS70" s="765" cm="1">
        <f t="array" aca="1" ref="BS70" ca="1">IF(NPSwitch=1,_xll.TR(BS$7,BS$6,"Sdate=#1 Period=#2 NULL=BLANK Scale=6",,$D70,$AS$4),BS70)</f>
        <v>10993</v>
      </c>
      <c r="BT70" s="765" cm="1">
        <f t="array" aca="1" ref="BT70" ca="1">IF(NPSwitch=1,_xll.TR(BT$7,BT$6,"Sdate=#1 Period=#2 NULL=BLANK Scale=6",,$D70,$AS$4),BT70)</f>
        <v>3659.6</v>
      </c>
      <c r="BU70" s="765" cm="1">
        <f t="array" aca="1" ref="BU70" ca="1">IF(NPSwitch=1,_xll.TR(BU$7,BU$6,"Sdate=#1 Period=#2 NULL=BLANK Scale=6",,$D70,$AS$4),BU70)</f>
        <v>14008</v>
      </c>
      <c r="BV70" s="765" cm="1">
        <f t="array" aca="1" ref="BV70" ca="1">IF(NPSwitch=1,_xll.TR(BV$7,BV$6,"Sdate=#1 Period=#2 NULL=BLANK Scale=6",,$D70,$AS$4),BV70)</f>
        <v>10475</v>
      </c>
      <c r="BW70" s="765" cm="1">
        <f t="array" aca="1" ref="BW70" ca="1">IF(NPSwitch=1,_xll.TR(BW$7,BW$6,"Sdate=#1 Period=#2 NULL=BLANK Scale=6",,$D70,$AS$4),BW70)</f>
        <v>9254</v>
      </c>
      <c r="BY70" s="765" cm="1">
        <f t="array" aca="1" ref="BY70" ca="1">IF(NPSwitch=1,_xll.TR(BY$7,BY$6,"Sdate=#1 Period=#2 NULL=BLANK Scale=6",,$D70,$AS$4),BY70)</f>
        <v>24199.75</v>
      </c>
      <c r="BZ70" s="765" cm="1">
        <f t="array" aca="1" ref="BZ70" ca="1">IF(NPSwitch=1,_xll.TR(BZ$7,BZ$6,"Sdate=#1 Period=#2 NULL=BLANK Scale=6",,$D70,$AS$4),BZ70)</f>
        <v>2607.2472499999999</v>
      </c>
      <c r="CA70" s="765" cm="1">
        <f t="array" aca="1" ref="CA70" ca="1">IF(NPSwitch=1,_xll.TR(CA$7,CA$6,"Sdate=#1 Period=#2 NULL=BLANK Scale=6",,$D70,$AS$4),CA70)</f>
        <v>7678</v>
      </c>
      <c r="CB70" s="765" cm="1">
        <f t="array" aca="1" ref="CB70" ca="1">IF(NPSwitch=1,_xll.TR(CB$7,CB$6,"Sdate=#1 Period=#2 NULL=BLANK Scale=6",,$D70,$AS$4),CB70)</f>
        <v>1819.7249999999999</v>
      </c>
      <c r="CC70" s="765" cm="1">
        <f t="array" aca="1" ref="CC70" ca="1">IF(NPSwitch=1,_xll.TR(CC$7,CC$6,"Sdate=#1 Period=#2 NULL=BLANK Scale=6",,$D70,$AS$4),CC70)</f>
        <v>5668.25</v>
      </c>
      <c r="CD70" s="765" cm="1">
        <f t="array" aca="1" ref="CD70" ca="1">IF(NPSwitch=1,_xll.TR(CD$7,CD$6,"Sdate=#1 Period=#2 NULL=BLANK Scale=6",,$D70,$AS$4),CD70)</f>
        <v>2759.125</v>
      </c>
      <c r="CE70" s="765" cm="1">
        <f t="array" aca="1" ref="CE70" ca="1">IF(NPSwitch=1,_xll.TR(CE$7,CE$6,"Sdate=#1 Period=#2 NULL=BLANK Scale=6",,$D70,$AS$4),CE70)</f>
        <v>8582.5</v>
      </c>
      <c r="CF70" s="765" cm="1">
        <f t="array" aca="1" ref="CF70" ca="1">IF(NPSwitch=1,_xll.TR(CF$7,CF$6,"Sdate=#1 Period=#2 NULL=BLANK Scale=6",,$D70,$AS$4),CF70)</f>
        <v>10267.25</v>
      </c>
      <c r="CG70" s="765" cm="1">
        <f t="array" aca="1" ref="CG70" ca="1">IF(NPSwitch=1,_xll.TR(CG$7,CG$6,"Sdate=#1 Period=#2 NULL=BLANK Scale=6",,$D70,$AS$4),CG70)</f>
        <v>7983</v>
      </c>
      <c r="CI70" s="1000" cm="1">
        <f t="array" aca="1" ref="CI70" ca="1">IF(NPSwitch=1,_xll.TR(CI$7,CI$6,"Sdate=#1 Period=#2 NULL=BLANK Scale=6",,$D70,$AS$4),CI70)</f>
        <v>7923</v>
      </c>
      <c r="CJ70" s="1000" cm="1">
        <f t="array" aca="1" ref="CJ70" ca="1">IF(NPSwitch=1,_xll.TR(CJ$7,CJ$6,"Sdate=#1 Period=#2 NULL=BLANK Scale=6",,$D70,$AS$4),CJ70)</f>
        <v>496.01799999999997</v>
      </c>
      <c r="CK70" s="1000" cm="1">
        <f t="array" aca="1" ref="CK70" ca="1">IF(NPSwitch=1,_xll.TR(CK$7,CK$6,"Sdate=#1 Period=#2 NULL=BLANK Scale=6",,$D70,$AS$4),CK70)</f>
        <v>1416</v>
      </c>
      <c r="CL70" s="1000" cm="1">
        <f t="array" aca="1" ref="CL70" ca="1">IF(NPSwitch=1,_xll.TR(CL$7,CL$6,"Sdate=#1 Period=#2 NULL=BLANK Scale=6",,$D70,$AS$4),CL70)</f>
        <v>274.8</v>
      </c>
      <c r="CM70" s="1000" cm="1">
        <f t="array" aca="1" ref="CM70" ca="1">IF(NPSwitch=1,_xll.TR(CM$7,CM$6,"Sdate=#1 Period=#2 NULL=BLANK Scale=6",,$D70,$AS$4),CM70)</f>
        <v>1039</v>
      </c>
      <c r="CN70" s="1000" cm="1">
        <f t="array" aca="1" ref="CN70" ca="1">IF(NPSwitch=1,_xll.TR(CN$7,CN$6,"Sdate=#1 Period=#2 NULL=BLANK Scale=6",,$D70,$AS$4),CN70)</f>
        <v>804.8</v>
      </c>
      <c r="CO70" s="1000" cm="1">
        <f t="array" aca="1" ref="CO70" ca="1">IF(NPSwitch=1,_xll.TR(CO$7,CO$6,"Sdate=#1 Period=#2 NULL=BLANK Scale=6",,$D70,$AS$4),CO70)</f>
        <v>1963</v>
      </c>
      <c r="CP70" s="1000" cm="1">
        <f t="array" aca="1" ref="CP70" ca="1">IF(NPSwitch=1,_xll.TR(CP$7,CP$6,"Sdate=#1 Period=#2 NULL=BLANK Scale=6",,$D70,$AS$4),CP70)</f>
        <v>1548</v>
      </c>
      <c r="CQ70" s="1000" cm="1">
        <f t="array" aca="1" ref="CQ70" ca="1">IF(NPSwitch=1,_xll.TR(CQ$7,CQ$6,"Sdate=#1 Period=#2 NULL=BLANK Scale=6",,$D70,$AS$4),CQ70)</f>
        <v>1817</v>
      </c>
      <c r="CS70" s="1000" cm="1">
        <f t="array" aca="1" ref="CS70" ca="1">IF(NPSwitch=1,_xll.TR(CS$7,CS$6,"Sdate=#1 Period=#2 NULL=BLANK Scale=6",,$D70,$AS$4),CS70)</f>
        <v>8368.25</v>
      </c>
      <c r="CT70" s="1000" cm="1">
        <f t="array" aca="1" ref="CT70" ca="1">IF(NPSwitch=1,_xll.TR(CT$7,CT$6,"Sdate=#1 Period=#2 NULL=BLANK Scale=6",,$D70,$AS$4),CT70)</f>
        <v>1324.26775</v>
      </c>
      <c r="CU70" s="1000" cm="1">
        <f t="array" aca="1" ref="CU70" ca="1">IF(NPSwitch=1,_xll.TR(CU$7,CU$6,"Sdate=#1 Period=#2 NULL=BLANK Scale=6",,$D70,$AS$4),CU70)</f>
        <v>2722.5</v>
      </c>
      <c r="CV70" s="1000" cm="1">
        <f t="array" aca="1" ref="CV70" ca="1">IF(NPSwitch=1,_xll.TR(CV$7,CV$6,"Sdate=#1 Period=#2 NULL=BLANK Scale=6",,$D70,$AS$4),CV70)</f>
        <v>589.125</v>
      </c>
      <c r="CW70" s="1000" cm="1">
        <f t="array" aca="1" ref="CW70" ca="1">IF(NPSwitch=1,_xll.TR(CW$7,CW$6,"Sdate=#1 Period=#2 NULL=BLANK Scale=6",,$D70,$AS$4),CW70)</f>
        <v>1090.7249999999999</v>
      </c>
      <c r="CX70" s="1000" cm="1">
        <f t="array" aca="1" ref="CX70" ca="1">IF(NPSwitch=1,_xll.TR(CX$7,CX$6,"Sdate=#1 Period=#2 NULL=BLANK Scale=6",,$D70,$AS$4),CX70)</f>
        <v>2668.25</v>
      </c>
      <c r="CY70" s="1000" cm="1">
        <f t="array" aca="1" ref="CY70" ca="1">IF(NPSwitch=1,_xll.TR(CY$7,CY$6,"Sdate=#1 Period=#2 NULL=BLANK Scale=6",,$D70,$AS$4),CY70)</f>
        <v>5194</v>
      </c>
      <c r="CZ70" s="1000" cm="1">
        <f t="array" aca="1" ref="CZ70" ca="1">IF(NPSwitch=1,_xll.TR(CZ$7,CZ$6,"Sdate=#1 Period=#2 NULL=BLANK Scale=6",,$D70,$AS$4),CZ70)</f>
        <v>4182.25</v>
      </c>
      <c r="DA70" s="1000" cm="1">
        <f t="array" aca="1" ref="DA70" ca="1">IF(NPSwitch=1,_xll.TR(DA$7,DA$6,"Sdate=#1 Period=#2 NULL=BLANK Scale=6",,$D70,$AS$4),DA70)</f>
        <v>3338</v>
      </c>
      <c r="DB70" s="1000" cm="1">
        <f t="array" aca="1" ref="DB70" ca="1">IF(NPSwitch=1,_xll.TR(DB$7,DB$6,"Sdate=#1 Period=#2 NULL=BLANK Scale=6",,$D70,$AS$4),DB70)</f>
        <v>17442</v>
      </c>
      <c r="DC70" s="1000" t="str" cm="1">
        <f t="array" aca="1" ref="DC70" ca="1">IF(NPSwitch=1,_xll.TR(DC$7,DC$6,"Sdate=#1 Period=#2 NULL=BLANK Scale=6",,$D70,$AS$4),DC70)</f>
        <v/>
      </c>
      <c r="DD70" s="1000" cm="1">
        <f t="array" aca="1" ref="DD70" ca="1">IF(NPSwitch=1,_xll.TR(DD$7,DD$6,"Sdate=#1 Period=#2 NULL=BLANK Scale=6",,$D70,$AS$4),DD70)</f>
        <v>7919.25</v>
      </c>
      <c r="DE70" s="1000" t="str" cm="1">
        <f t="array" aca="1" ref="DE70" ca="1">IF(NPSwitch=1,_xll.TR(DE$7,DE$6,"Sdate=#1 Period=#2 NULL=BLANK Scale=6",,$D70,$AS$4),DE70)</f>
        <v/>
      </c>
      <c r="DF70" s="1000" cm="1">
        <f t="array" aca="1" ref="DF70" ca="1">IF(NPSwitch=1,_xll.TR(DF$7,DF$6,"Sdate=#1 Period=#2 NULL=BLANK Scale=6",,$D70,$AS$4),DF70)</f>
        <v>589.125</v>
      </c>
      <c r="DG70" s="1000" cm="1">
        <f t="array" aca="1" ref="DG70" ca="1">IF(NPSwitch=1,_xll.TR(DG$7,DG$6,"Sdate=#1 Period=#2 NULL=BLANK Scale=6",,$D70,$AS$4),DG70)</f>
        <v>3686.5</v>
      </c>
      <c r="DH70" s="1000" cm="1">
        <f t="array" aca="1" ref="DH70" ca="1">IF(NPSwitch=1,_xll.TR(DH$7,DH$6,"Sdate=#1 Period=#2 NULL=BLANK Scale=6",,$D70,$AS$4),DH70)</f>
        <v>1719.46225</v>
      </c>
      <c r="FN70" s="3" t="s">
        <v>1574</v>
      </c>
    </row>
    <row r="71" spans="3:170">
      <c r="C71" s="973">
        <f t="shared" si="44"/>
        <v>41639</v>
      </c>
      <c r="D71" s="974">
        <f t="shared" si="43"/>
        <v>41684</v>
      </c>
      <c r="E71" s="765" cm="1">
        <f t="array" aca="1" ref="E71" ca="1">IF(NPSwitch=1,_xll.TR(E$7,E$6,"Sdate=#1 Period=#2 NULL=BLANK",,$D71,$E$4),E71)</f>
        <v>10.4587504369968</v>
      </c>
      <c r="F71" s="765" cm="1">
        <f t="array" aca="1" ref="F71" ca="1">IF(NPSwitch=1,_xll.TR(F$7,F$6,"Sdate=#1 Period=#2 NULL=BLANK",,$D71,$E$4),F71)</f>
        <v>9.62564498546595</v>
      </c>
      <c r="G71" s="765" cm="1">
        <f t="array" aca="1" ref="G71" ca="1">IF(NPSwitch=1,_xll.TR(G$7,G$6,"Sdate=#1 Period=#2 NULL=BLANK",,$D71,$E$4),G71)</f>
        <v>8.0578542454300894</v>
      </c>
      <c r="H71" s="765" cm="1">
        <f t="array" aca="1" ref="H71" ca="1">IF(NPSwitch=1,_xll.TR(H$7,H$6,"Sdate=#1 Period=#2 NULL=BLANK",,$D71,$E$4),H71)</f>
        <v>8.5604085834951</v>
      </c>
      <c r="I71" s="765" cm="1">
        <f t="array" aca="1" ref="I71" ca="1">IF(NPSwitch=1,_xll.TR(I$7,I$6,"Sdate=#1 Period=#2 NULL=BLANK",,$D71,$E$4),I71)</f>
        <v>6.1643106287311804</v>
      </c>
      <c r="J71" s="765" cm="1">
        <f t="array" aca="1" ref="J71" ca="1">IF(NPSwitch=1,_xll.TR(J$7,J$6,"Sdate=#1 Period=#2 NULL=BLANK",,$D71,$E$4),J71)</f>
        <v>10.9162074624876</v>
      </c>
      <c r="K71" s="765" cm="1">
        <f t="array" aca="1" ref="K71" ca="1">IF(NPSwitch=1,_xll.TR(K$7,K$6,"Sdate=#1 Period=#2 NULL=BLANK",,$D71,$E$4),K71)</f>
        <v>10.677489758314501</v>
      </c>
      <c r="L71" s="765" cm="1">
        <f t="array" aca="1" ref="L71" ca="1">IF(NPSwitch=1,_xll.TR(L$7,L$6,"Sdate=#1 Period=#2 NULL=BLANK",,$D71,$E$4),L71)</f>
        <v>6.3607678130032097</v>
      </c>
      <c r="M71" s="765" cm="1">
        <f t="array" aca="1" ref="M71" ca="1">IF(NPSwitch=1,_xll.TR(M$7,M$6,"Sdate=#1 Period=#2 NULL=BLANK",,$D71,$E$4),M71)</f>
        <v>7.9226599951817596</v>
      </c>
      <c r="N71" s="1002">
        <f t="shared" ca="1" si="45"/>
        <v>8.4561730819102792</v>
      </c>
      <c r="O71" s="1000" cm="1">
        <f t="array" aca="1" ref="O71" ca="1">IF(NPSwitch=1,_xll.TR(O$7,O$6,"Sdate=#1 Period=#2 Scale=6 NULL=BLANK",,$D71,$O$4),O71)</f>
        <v>87554.897956080007</v>
      </c>
      <c r="P71" s="1000" cm="1">
        <f t="array" aca="1" ref="P71" ca="1">IF(NPSwitch=1,_xll.TR(P$7,P$6,"Sdate=#1 Period=#2 Scale=6 NULL=BLANK",,$D71,$O$4),P71)</f>
        <v>5188.0343244599999</v>
      </c>
      <c r="Q71" s="1000" cm="1">
        <f t="array" aca="1" ref="Q71" ca="1">IF(NPSwitch=1,_xll.TR(Q$7,Q$6,"Sdate=#1 Period=#2 Scale=6 NULL=BLANK",,$D71,$O$4),Q71)</f>
        <v>7483.3350097800003</v>
      </c>
      <c r="R71" s="1000" cm="1">
        <f t="array" aca="1" ref="R71" ca="1">IF(NPSwitch=1,_xll.TR(R$7,R$6,"Sdate=#1 Period=#2 Scale=6 NULL=BLANK",,$D71,$O$4),R71)</f>
        <v>3415.3478631600001</v>
      </c>
      <c r="S71" s="1000" cm="1">
        <f t="array" aca="1" ref="S71" ca="1">IF(NPSwitch=1,_xll.TR(S$7,S$6,"Sdate=#1 Period=#2 Scale=6 NULL=BLANK",,$D71,$O$4),S71)</f>
        <v>5623.793514</v>
      </c>
      <c r="T71" s="1000" cm="1">
        <f t="array" aca="1" ref="T71" ca="1">IF(NPSwitch=1,_xll.TR(T$7,T$6,"Sdate=#1 Period=#2 Scale=6 NULL=BLANK",,$D71,$O$4),T71)</f>
        <v>9691.35329877</v>
      </c>
      <c r="U71" s="1000" cm="1">
        <f t="array" aca="1" ref="U71" ca="1">IF(NPSwitch=1,_xll.TR(U$7,U$6,"Sdate=#1 Period=#2 Scale=6 NULL=BLANK",,$D71,$O$4),U71)</f>
        <v>26164.7915593</v>
      </c>
      <c r="V71" s="1000" cm="1">
        <f t="array" aca="1" ref="V71" ca="1">IF(NPSwitch=1,_xll.TR(V$7,V$6,"Sdate=#1 Period=#2 Scale=6 NULL=BLANK",,$D71,$O$4),V71)</f>
        <v>9473.8217260499805</v>
      </c>
      <c r="W71" s="1000" cm="1">
        <f t="array" aca="1" ref="W71" ca="1">IF(NPSwitch=1,_xll.TR(W$7,W$6,"Sdate=#1 Period=#2 Scale=6 NULL=BLANK",,$D71,$O$4),W71)</f>
        <v>12630.38069416</v>
      </c>
      <c r="X71" s="998"/>
      <c r="Y71" s="1000" cm="1">
        <f t="array" aca="1" ref="Y71" ca="1">IF(NPSwitch=1,_xll.TR(Y$7,Y$6,"Sdate=#1 Period=#2 Scale=6 NULL=BLANK",,$D71,$O$4),Y71)</f>
        <v>3819</v>
      </c>
      <c r="Z71" s="1000" cm="1">
        <f t="array" aca="1" ref="Z71" ca="1">IF(NPSwitch=1,_xll.TR(Z$7,Z$6,"Sdate=#1 Period=#2 Scale=6 NULL=BLANK",,$D71,$O$4),Z71)</f>
        <v>407.05725000000001</v>
      </c>
      <c r="AA71" s="1000" cm="1">
        <f t="array" aca="1" ref="AA71" ca="1">IF(NPSwitch=1,_xll.TR(AA$7,AA$6,"Sdate=#1 Period=#2 Scale=6 NULL=BLANK",,$D71,$O$4),AA71)</f>
        <v>371.5</v>
      </c>
      <c r="AB71" s="1000" cm="1">
        <f t="array" aca="1" ref="AB71" ca="1">IF(NPSwitch=1,_xll.TR(AB$7,AB$6,"Sdate=#1 Period=#2 Scale=6 NULL=BLANK",,$D71,$O$4),AB71)</f>
        <v>312.32499999999999</v>
      </c>
      <c r="AC71" s="1000" cm="1">
        <f t="array" aca="1" ref="AC71" ca="1">IF(NPSwitch=1,_xll.TR(AC$7,AC$6,"Sdate=#1 Period=#2 Scale=6 NULL=BLANK",,$D71,$O$4),AC71)</f>
        <v>334</v>
      </c>
      <c r="AD71" s="1000" cm="1">
        <f t="array" aca="1" ref="AD71" ca="1">IF(NPSwitch=1,_xll.TR(AD$7,AD$6,"Sdate=#1 Period=#2 Scale=6 NULL=BLANK",,$D71,$O$4),AD71)</f>
        <v>98.2</v>
      </c>
      <c r="AE71" s="1000" cm="1">
        <f t="array" aca="1" ref="AE71" ca="1">IF(NPSwitch=1,_xll.TR(AE$7,AE$6,"Sdate=#1 Period=#2 Scale=6 NULL=BLANK",,$D71,$O$4),AE71)</f>
        <v>2038.75</v>
      </c>
      <c r="AF71" s="1000" cm="1">
        <f t="array" aca="1" ref="AF71" ca="1">IF(NPSwitch=1,_xll.TR(AF$7,AF$6,"Sdate=#1 Period=#2 Scale=6 NULL=BLANK",,$D71,$O$4),AF71)</f>
        <v>1435.75</v>
      </c>
      <c r="AG71" s="1000" cm="1">
        <f t="array" aca="1" ref="AG71" ca="1">IF(NPSwitch=1,_xll.TR(AG$7,AG$6,"Sdate=#1 Period=#2 Scale=6 NULL=BLANK",,$D71,$O$4),AG71)</f>
        <v>217.75</v>
      </c>
      <c r="AH71" s="998"/>
      <c r="AI71" s="1000" cm="1">
        <f t="array" aca="1" ref="AI71" ca="1">IF(NPSwitch=1,_xll.TR(AI$7,AI$6,"Sdate=#1 Period=#2 Scale=6 NULL=BLANK",,$D71,$O$4),AI71)</f>
        <v>90730.897956080007</v>
      </c>
      <c r="AJ71" s="1000" cm="1">
        <f t="array" aca="1" ref="AJ71" ca="1">IF(NPSwitch=1,_xll.TR(AJ$7,AJ$6,"Sdate=#1 Period=#2 Scale=6 NULL=BLANK",,$D71,$O$4),AJ71)</f>
        <v>5976.5453244600003</v>
      </c>
      <c r="AK71" s="1000" cm="1">
        <f t="array" aca="1" ref="AK71" ca="1">IF(NPSwitch=1,_xll.TR(AK$7,AK$6,"Sdate=#1 Period=#2 Scale=6 NULL=BLANK",,$D71,$O$4),AK71)</f>
        <v>10450.335009779999</v>
      </c>
      <c r="AL71" s="1000" cm="1">
        <f t="array" aca="1" ref="AL71" ca="1">IF(NPSwitch=1,_xll.TR(AL$7,AL$6,"Sdate=#1 Period=#2 Scale=6 NULL=BLANK",,$D71,$O$4),AL71)</f>
        <v>4040.7478631600002</v>
      </c>
      <c r="AM71" s="1000" cm="1">
        <f t="array" aca="1" ref="AM71" ca="1">IF(NPSwitch=1,_xll.TR(AM$7,AM$6,"Sdate=#1 Period=#2 Scale=6 NULL=BLANK",,$D71,$O$4),AM71)</f>
        <v>9176.7935140000009</v>
      </c>
      <c r="AN71" s="1000" cm="1">
        <f t="array" aca="1" ref="AN71" ca="1">IF(NPSwitch=1,_xll.TR(AN$7,AN$6,"Sdate=#1 Period=#2 Scale=6 NULL=BLANK",,$D71,$O$4),AN71)</f>
        <v>11345.45329877</v>
      </c>
      <c r="AO71" s="1000" cm="1">
        <f t="array" aca="1" ref="AO71" ca="1">IF(NPSwitch=1,_xll.TR(AO$7,AO$6,"Sdate=#1 Period=#2 Scale=6 NULL=BLANK",,$D71,$O$4),AO71)</f>
        <v>27580.7915593</v>
      </c>
      <c r="AP71" s="1000" cm="1">
        <f t="array" aca="1" ref="AP71" ca="1">IF(NPSwitch=1,_xll.TR(AP$7,AP$6,"Sdate=#1 Period=#2 Scale=6 NULL=BLANK",,$D71,$O$4),AP71)</f>
        <v>12247.821726050001</v>
      </c>
      <c r="AQ71" s="1000" cm="1">
        <f t="array" aca="1" ref="AQ71" ca="1">IF(NPSwitch=1,_xll.TR(AQ$7,AQ$6,"Sdate=#1 Period=#2 Scale=6 NULL=BLANK",,$D71,$O$4),AQ71)</f>
        <v>16918.380694160001</v>
      </c>
      <c r="AS71" s="765" cm="1">
        <f t="array" aca="1" ref="AS71" ca="1">IF(NPSwitch=1,_xll.TR(AS$7,AS$6,"Sdate=#1 Period=#2 NULL=BLANK Scale=6",,$D71,$AS$4),AS71)</f>
        <v>19.774999999999999</v>
      </c>
      <c r="AT71" s="765" cm="1">
        <f t="array" aca="1" ref="AT71" ca="1">IF(NPSwitch=1,_xll.TR(AT$7,AT$6,"Sdate=#1 Period=#2 NULL=BLANK Scale=6",,$D71,$AS$4),AT71)</f>
        <v>15.597225</v>
      </c>
      <c r="AU71" s="765" t="str" cm="1">
        <f t="array" aca="1" ref="AU71" ca="1">IF(NPSwitch=1,_xll.TR(AU$7,AU$6,"Sdate=#1 Period=#2 NULL=BLANK Scale=6",,$D71,$AS$4),AU71)</f>
        <v/>
      </c>
      <c r="AV71" s="765" t="str" cm="1">
        <f t="array" aca="1" ref="AV71" ca="1">IF(NPSwitch=1,_xll.TR(AV$7,AV$6,"Sdate=#1 Period=#2 NULL=BLANK Scale=6",,$D71,$AS$4),AV71)</f>
        <v/>
      </c>
      <c r="AW71" s="765" t="str" cm="1">
        <f t="array" aca="1" ref="AW71" ca="1">IF(NPSwitch=1,_xll.TR(AW$7,AW$6,"Sdate=#1 Period=#2 NULL=BLANK Scale=6",,$D71,$AS$4),AW71)</f>
        <v/>
      </c>
      <c r="AX71" s="765" t="str" cm="1">
        <f t="array" aca="1" ref="AX71" ca="1">IF(NPSwitch=1,_xll.TR(AX$7,AX$6,"Sdate=#1 Period=#2 NULL=BLANK Scale=6",,$D71,$AS$4),AX71)</f>
        <v/>
      </c>
      <c r="AY71" s="765" cm="1">
        <f t="array" aca="1" ref="AY71" ca="1">IF(NPSwitch=1,_xll.TR(AY$7,AY$6,"Sdate=#1 Period=#2 NULL=BLANK Scale=6",,$D71,$AS$4),AY71)</f>
        <v>14.233333333333301</v>
      </c>
      <c r="AZ71" s="765" cm="1">
        <f t="array" aca="1" ref="AZ71" ca="1">IF(NPSwitch=1,_xll.TR(AZ$7,AZ$6,"Sdate=#1 Period=#2 NULL=BLANK Scale=6",,$D71,$AS$4),AZ71)</f>
        <v>5.62083333333333</v>
      </c>
      <c r="BA71" s="765" cm="1">
        <f t="array" aca="1" ref="BA71" ca="1">IF(NPSwitch=1,_xll.TR(BA$7,BA$6,"Sdate=#1 Period=#2 NULL=BLANK Scale=6",,$D71,$AS$4),BA71)</f>
        <v>11.758333333333301</v>
      </c>
      <c r="BB71" s="1002"/>
      <c r="BC71" s="765" cm="1">
        <f t="array" aca="1" ref="BC71" ca="1">IF(NPSwitch=1,_xll.TR(BC$7,BC$6,"Sdate=#1 Period=#2 NULL=BLANK",,$D71,$BC$4),BC71)</f>
        <v>11.177885667</v>
      </c>
      <c r="BD71" s="765" cm="1">
        <f t="array" aca="1" ref="BD71" ca="1">IF(NPSwitch=1,_xll.TR(BD$7,BD$6,"Sdate=#1 Period=#2 NULL=BLANK",,$D71,$BC$4),BD71)</f>
        <v>12.049049277</v>
      </c>
      <c r="BE71" s="765" cm="1">
        <f t="array" aca="1" ref="BE71" ca="1">IF(NPSwitch=1,_xll.TR(BE$7,BE$6,"Sdate=#1 Period=#2 NULL=BLANK",,$D71,$BC$4),BE71)</f>
        <v>7.3387184059999999</v>
      </c>
      <c r="BF71" s="765" cm="1">
        <f t="array" aca="1" ref="BF71" ca="1">IF(NPSwitch=1,_xll.TR(BF$7,BF$6,"Sdate=#1 Period=#2 NULL=BLANK",,$D71,$BC$4),BF71)</f>
        <v>12.293117928999999</v>
      </c>
      <c r="BG71" s="765" t="str" cm="1">
        <f t="array" aca="1" ref="BG71" ca="1">IF(NPSwitch=1,_xll.TR(BG$7,BG$6,"Sdate=#1 Period=#2 NULL=BLANK",,$D71,$BC$4),BG71)</f>
        <v/>
      </c>
      <c r="BH71" s="765" cm="1">
        <f t="array" aca="1" ref="BH71" ca="1">IF(NPSwitch=1,_xll.TR(BH$7,BH$6,"Sdate=#1 Period=#2 NULL=BLANK",,$D71,$BC$4),BH71)</f>
        <v>14.097233224</v>
      </c>
      <c r="BI71" s="765" cm="1">
        <f t="array" aca="1" ref="BI71" ca="1">IF(NPSwitch=1,_xll.TR(BI$7,BI$6,"Sdate=#1 Period=#2 NULL=BLANK",,$D71,$BC$4),BI71)</f>
        <v>14.050326825999999</v>
      </c>
      <c r="BJ71" s="765" cm="1">
        <f t="array" aca="1" ref="BJ71" ca="1">IF(NPSwitch=1,_xll.TR(BJ$7,BJ$6,"Sdate=#1 Period=#2 NULL=BLANK",,$D71,$BC$4),BJ71)</f>
        <v>8.0577774509999998</v>
      </c>
      <c r="BK71" s="765" cm="1">
        <f t="array" aca="1" ref="BK71" ca="1">IF(NPSwitch=1,_xll.TR(BK$7,BK$6,"Sdate=#1 Period=#2 NULL=BLANK",,$D71,$BC$4),BK71)</f>
        <v>9.3111616369999997</v>
      </c>
      <c r="BO71" s="765" cm="1">
        <f t="array" aca="1" ref="BO71" ca="1">IF(NPSwitch=1,_xll.TR(BO$7,BO$6,"Sdate=#1 Period=#2 NULL=BLANK Scale=6",,$D71,$AS$4),BO71)</f>
        <v>30871</v>
      </c>
      <c r="BP71" s="765" cm="1">
        <f t="array" aca="1" ref="BP71" ca="1">IF(NPSwitch=1,_xll.TR(BP$7,BP$6,"Sdate=#1 Period=#2 NULL=BLANK Scale=6",,$D71,$AS$4),BP71)</f>
        <v>2394.27</v>
      </c>
      <c r="BQ71" s="765" cm="1">
        <f t="array" aca="1" ref="BQ71" ca="1">IF(NPSwitch=1,_xll.TR(BQ$7,BQ$6,"Sdate=#1 Period=#2 NULL=BLANK Scale=6",,$D71,$AS$4),BQ71)</f>
        <v>6076</v>
      </c>
      <c r="BR71" s="765" cm="1">
        <f t="array" aca="1" ref="BR71" ca="1">IF(NPSwitch=1,_xll.TR(BR$7,BR$6,"Sdate=#1 Period=#2 NULL=BLANK Scale=6",,$D71,$AS$4),BR71)</f>
        <v>3771.2</v>
      </c>
      <c r="BS71" s="765" cm="1">
        <f t="array" aca="1" ref="BS71" ca="1">IF(NPSwitch=1,_xll.TR(BS$7,BS$6,"Sdate=#1 Period=#2 NULL=BLANK Scale=6",,$D71,$AS$4),BS71)</f>
        <v>11079</v>
      </c>
      <c r="BT71" s="765" cm="1">
        <f t="array" aca="1" ref="BT71" ca="1">IF(NPSwitch=1,_xll.TR(BT$7,BT$6,"Sdate=#1 Period=#2 NULL=BLANK Scale=6",,$D71,$AS$4),BT71)</f>
        <v>3874.8</v>
      </c>
      <c r="BU71" s="765" cm="1">
        <f t="array" aca="1" ref="BU71" ca="1">IF(NPSwitch=1,_xll.TR(BU$7,BU$6,"Sdate=#1 Period=#2 NULL=BLANK Scale=6",,$D71,$AS$4),BU71)</f>
        <v>14265</v>
      </c>
      <c r="BV71" s="765" cm="1">
        <f t="array" aca="1" ref="BV71" ca="1">IF(NPSwitch=1,_xll.TR(BV$7,BV$6,"Sdate=#1 Period=#2 NULL=BLANK Scale=6",,$D71,$AS$4),BV71)</f>
        <v>10475</v>
      </c>
      <c r="BW71" s="765" cm="1">
        <f t="array" aca="1" ref="BW71" ca="1">IF(NPSwitch=1,_xll.TR(BW$7,BW$6,"Sdate=#1 Period=#2 NULL=BLANK Scale=6",,$D71,$AS$4),BW71)</f>
        <v>9350</v>
      </c>
      <c r="BY71" s="765" cm="1">
        <f t="array" aca="1" ref="BY71" ca="1">IF(NPSwitch=1,_xll.TR(BY$7,BY$6,"Sdate=#1 Period=#2 NULL=BLANK Scale=6",,$D71,$AS$4),BY71)</f>
        <v>24178.75</v>
      </c>
      <c r="BZ71" s="765" cm="1">
        <f t="array" aca="1" ref="BZ71" ca="1">IF(NPSwitch=1,_xll.TR(BZ$7,BZ$6,"Sdate=#1 Period=#2 NULL=BLANK Scale=6",,$D71,$AS$4),BZ71)</f>
        <v>2654.8332500000001</v>
      </c>
      <c r="CA71" s="765" cm="1">
        <f t="array" aca="1" ref="CA71" ca="1">IF(NPSwitch=1,_xll.TR(CA$7,CA$6,"Sdate=#1 Period=#2 NULL=BLANK Scale=6",,$D71,$AS$4),CA71)</f>
        <v>7733.5</v>
      </c>
      <c r="CB71" s="765" cm="1">
        <f t="array" aca="1" ref="CB71" ca="1">IF(NPSwitch=1,_xll.TR(CB$7,CB$6,"Sdate=#1 Period=#2 NULL=BLANK Scale=6",,$D71,$AS$4),CB71)</f>
        <v>1977</v>
      </c>
      <c r="CC71" s="765" cm="1">
        <f t="array" aca="1" ref="CC71" ca="1">IF(NPSwitch=1,_xll.TR(CC$7,CC$6,"Sdate=#1 Period=#2 NULL=BLANK Scale=6",,$D71,$AS$4),CC71)</f>
        <v>5779</v>
      </c>
      <c r="CD71" s="765" cm="1">
        <f t="array" aca="1" ref="CD71" ca="1">IF(NPSwitch=1,_xll.TR(CD$7,CD$6,"Sdate=#1 Period=#2 NULL=BLANK Scale=6",,$D71,$AS$4),CD71)</f>
        <v>2985.3249999999998</v>
      </c>
      <c r="CE71" s="765" cm="1">
        <f t="array" aca="1" ref="CE71" ca="1">IF(NPSwitch=1,_xll.TR(CE$7,CE$6,"Sdate=#1 Period=#2 NULL=BLANK Scale=6",,$D71,$AS$4),CE71)</f>
        <v>8650.5</v>
      </c>
      <c r="CF71" s="765" cm="1">
        <f t="array" aca="1" ref="CF71" ca="1">IF(NPSwitch=1,_xll.TR(CF$7,CF$6,"Sdate=#1 Period=#2 NULL=BLANK Scale=6",,$D71,$AS$4),CF71)</f>
        <v>10267.25</v>
      </c>
      <c r="CG71" s="765" cm="1">
        <f t="array" aca="1" ref="CG71" ca="1">IF(NPSwitch=1,_xll.TR(CG$7,CG$6,"Sdate=#1 Period=#2 NULL=BLANK Scale=6",,$D71,$AS$4),CG71)</f>
        <v>8062.5</v>
      </c>
      <c r="CI71" s="1000" cm="1">
        <f t="array" aca="1" ref="CI71" ca="1">IF(NPSwitch=1,_xll.TR(CI$7,CI$6,"Sdate=#1 Period=#2 NULL=BLANK Scale=6",,$D71,$AS$4),CI71)</f>
        <v>8117</v>
      </c>
      <c r="CJ71" s="1000" cm="1">
        <f t="array" aca="1" ref="CJ71" ca="1">IF(NPSwitch=1,_xll.TR(CJ$7,CJ$6,"Sdate=#1 Period=#2 NULL=BLANK Scale=6",,$D71,$AS$4),CJ71)</f>
        <v>717.40599999999995</v>
      </c>
      <c r="CK71" s="1000" cm="1">
        <f t="array" aca="1" ref="CK71" ca="1">IF(NPSwitch=1,_xll.TR(CK$7,CK$6,"Sdate=#1 Period=#2 NULL=BLANK Scale=6",,$D71,$AS$4),CK71)</f>
        <v>1424</v>
      </c>
      <c r="CL71" s="1000" cm="1">
        <f t="array" aca="1" ref="CL71" ca="1">IF(NPSwitch=1,_xll.TR(CL$7,CL$6,"Sdate=#1 Period=#2 NULL=BLANK Scale=6",,$D71,$AS$4),CL71)</f>
        <v>328.7</v>
      </c>
      <c r="CM71" s="1000" cm="1">
        <f t="array" aca="1" ref="CM71" ca="1">IF(NPSwitch=1,_xll.TR(CM$7,CM$6,"Sdate=#1 Period=#2 NULL=BLANK Scale=6",,$D71,$AS$4),CM71)</f>
        <v>1109</v>
      </c>
      <c r="CN71" s="1000" cm="1">
        <f t="array" aca="1" ref="CN71" ca="1">IF(NPSwitch=1,_xll.TR(CN$7,CN$6,"Sdate=#1 Period=#2 NULL=BLANK Scale=6",,$D71,$AS$4),CN71)</f>
        <v>823.6</v>
      </c>
      <c r="CO71" s="1000" cm="1">
        <f t="array" aca="1" ref="CO71" ca="1">IF(NPSwitch=1,_xll.TR(CO$7,CO$6,"Sdate=#1 Period=#2 NULL=BLANK Scale=6",,$D71,$AS$4),CO71)</f>
        <v>2002</v>
      </c>
      <c r="CP71" s="1000" cm="1">
        <f t="array" aca="1" ref="CP71" ca="1">IF(NPSwitch=1,_xll.TR(CP$7,CP$6,"Sdate=#1 Period=#2 NULL=BLANK Scale=6",,$D71,$AS$4),CP71)</f>
        <v>1548</v>
      </c>
      <c r="CQ71" s="1000" cm="1">
        <f t="array" aca="1" ref="CQ71" ca="1">IF(NPSwitch=1,_xll.TR(CQ$7,CQ$6,"Sdate=#1 Period=#2 NULL=BLANK Scale=6",,$D71,$AS$4),CQ71)</f>
        <v>2376</v>
      </c>
      <c r="CS71" s="1000" cm="1">
        <f t="array" aca="1" ref="CS71" ca="1">IF(NPSwitch=1,_xll.TR(CS$7,CS$6,"Sdate=#1 Period=#2 NULL=BLANK Scale=6",,$D71,$AS$4),CS71)</f>
        <v>8436.75</v>
      </c>
      <c r="CT71" s="1000" cm="1">
        <f t="array" aca="1" ref="CT71" ca="1">IF(NPSwitch=1,_xll.TR(CT$7,CT$6,"Sdate=#1 Period=#2 NULL=BLANK Scale=6",,$D71,$AS$4),CT71)</f>
        <v>1339.3922500000001</v>
      </c>
      <c r="CU71" s="1000" cm="1">
        <f t="array" aca="1" ref="CU71" ca="1">IF(NPSwitch=1,_xll.TR(CU$7,CU$6,"Sdate=#1 Period=#2 NULL=BLANK Scale=6",,$D71,$AS$4),CU71)</f>
        <v>2725</v>
      </c>
      <c r="CV71" s="1000" cm="1">
        <f t="array" aca="1" ref="CV71" ca="1">IF(NPSwitch=1,_xll.TR(CV$7,CV$6,"Sdate=#1 Period=#2 NULL=BLANK Scale=6",,$D71,$AS$4),CV71)</f>
        <v>654.22500000000002</v>
      </c>
      <c r="CW71" s="1000" cm="1">
        <f t="array" aca="1" ref="CW71" ca="1">IF(NPSwitch=1,_xll.TR(CW$7,CW$6,"Sdate=#1 Period=#2 NULL=BLANK Scale=6",,$D71,$AS$4),CW71)</f>
        <v>1163.75</v>
      </c>
      <c r="CX71" s="1000" cm="1">
        <f t="array" aca="1" ref="CX71" ca="1">IF(NPSwitch=1,_xll.TR(CX$7,CX$6,"Sdate=#1 Period=#2 NULL=BLANK Scale=6",,$D71,$AS$4),CX71)</f>
        <v>2665.25</v>
      </c>
      <c r="CY71" s="1000" cm="1">
        <f t="array" aca="1" ref="CY71" ca="1">IF(NPSwitch=1,_xll.TR(CY$7,CY$6,"Sdate=#1 Period=#2 NULL=BLANK Scale=6",,$D71,$AS$4),CY71)</f>
        <v>5194</v>
      </c>
      <c r="CZ71" s="1000" cm="1">
        <f t="array" aca="1" ref="CZ71" ca="1">IF(NPSwitch=1,_xll.TR(CZ$7,CZ$6,"Sdate=#1 Period=#2 NULL=BLANK Scale=6",,$D71,$AS$4),CZ71)</f>
        <v>4209.5</v>
      </c>
      <c r="DA71" s="1000" cm="1">
        <f t="array" aca="1" ref="DA71" ca="1">IF(NPSwitch=1,_xll.TR(DA$7,DA$6,"Sdate=#1 Period=#2 NULL=BLANK Scale=6",,$D71,$AS$4),DA71)</f>
        <v>3356.75</v>
      </c>
      <c r="DB71" s="1000" cm="1">
        <f t="array" aca="1" ref="DB71" ca="1">IF(NPSwitch=1,_xll.TR(DB$7,DB$6,"Sdate=#1 Period=#2 NULL=BLANK Scale=6",,$D71,$AS$4),DB71)</f>
        <v>17442</v>
      </c>
      <c r="DC71" s="1000" t="str" cm="1">
        <f t="array" aca="1" ref="DC71" ca="1">IF(NPSwitch=1,_xll.TR(DC$7,DC$6,"Sdate=#1 Period=#2 NULL=BLANK Scale=6",,$D71,$AS$4),DC71)</f>
        <v/>
      </c>
      <c r="DD71" s="1000" cm="1">
        <f t="array" aca="1" ref="DD71" ca="1">IF(NPSwitch=1,_xll.TR(DD$7,DD$6,"Sdate=#1 Period=#2 NULL=BLANK Scale=6",,$D71,$AS$4),DD71)</f>
        <v>8109.5</v>
      </c>
      <c r="DE71" s="1000" t="str" cm="1">
        <f t="array" aca="1" ref="DE71" ca="1">IF(NPSwitch=1,_xll.TR(DE$7,DE$6,"Sdate=#1 Period=#2 NULL=BLANK Scale=6",,$D71,$AS$4),DE71)</f>
        <v/>
      </c>
      <c r="DF71" s="1000" cm="1">
        <f t="array" aca="1" ref="DF71" ca="1">IF(NPSwitch=1,_xll.TR(DF$7,DF$6,"Sdate=#1 Period=#2 NULL=BLANK Scale=6",,$D71,$AS$4),DF71)</f>
        <v>654.22500000000002</v>
      </c>
      <c r="DG71" s="1000" cm="1">
        <f t="array" aca="1" ref="DG71" ca="1">IF(NPSwitch=1,_xll.TR(DG$7,DG$6,"Sdate=#1 Period=#2 NULL=BLANK Scale=6",,$D71,$AS$4),DG71)</f>
        <v>3706.25</v>
      </c>
      <c r="DH71" s="1000" cm="1">
        <f t="array" aca="1" ref="DH71" ca="1">IF(NPSwitch=1,_xll.TR(DH$7,DH$6,"Sdate=#1 Period=#2 NULL=BLANK Scale=6",,$D71,$AS$4),DH71)</f>
        <v>1719.46225</v>
      </c>
      <c r="FN71" s="3" t="s">
        <v>1575</v>
      </c>
    </row>
    <row r="72" spans="3:170">
      <c r="C72" s="969">
        <f t="shared" si="44"/>
        <v>41729</v>
      </c>
      <c r="D72" s="974">
        <f t="shared" si="43"/>
        <v>41774</v>
      </c>
      <c r="E72" s="765" cm="1">
        <f t="array" aca="1" ref="E72" ca="1">IF(NPSwitch=1,_xll.TR(E$7,E$6,"Sdate=#1 Period=#2 NULL=BLANK",,$D72,$E$4),E72)</f>
        <v>11.018049567272801</v>
      </c>
      <c r="F72" s="765" cm="1">
        <f t="array" aca="1" ref="F72" ca="1">IF(NPSwitch=1,_xll.TR(F$7,F$6,"Sdate=#1 Period=#2 NULL=BLANK",,$D72,$E$4),F72)</f>
        <v>9.7916232192934594</v>
      </c>
      <c r="G72" s="765" cm="1">
        <f t="array" aca="1" ref="G72" ca="1">IF(NPSwitch=1,_xll.TR(G$7,G$6,"Sdate=#1 Period=#2 NULL=BLANK",,$D72,$E$4),G72)</f>
        <v>9.4970168463910802</v>
      </c>
      <c r="H72" s="765" cm="1">
        <f t="array" aca="1" ref="H72" ca="1">IF(NPSwitch=1,_xll.TR(H$7,H$6,"Sdate=#1 Period=#2 NULL=BLANK",,$D72,$E$4),H72)</f>
        <v>8.9738889913692201</v>
      </c>
      <c r="I72" s="765" cm="1">
        <f t="array" aca="1" ref="I72" ca="1">IF(NPSwitch=1,_xll.TR(I$7,I$6,"Sdate=#1 Period=#2 NULL=BLANK",,$D72,$E$4),I72)</f>
        <v>6.3675079838323096</v>
      </c>
      <c r="J72" s="765" cm="1">
        <f t="array" aca="1" ref="J72" ca="1">IF(NPSwitch=1,_xll.TR(J$7,J$6,"Sdate=#1 Period=#2 NULL=BLANK",,$D72,$E$4),J72)</f>
        <v>10.656687794509599</v>
      </c>
      <c r="K72" s="765" cm="1">
        <f t="array" aca="1" ref="K72" ca="1">IF(NPSwitch=1,_xll.TR(K$7,K$6,"Sdate=#1 Period=#2 NULL=BLANK",,$D72,$E$4),K72)</f>
        <v>11.1274813638761</v>
      </c>
      <c r="L72" s="765" cm="1">
        <f t="array" aca="1" ref="L72" ca="1">IF(NPSwitch=1,_xll.TR(L$7,L$6,"Sdate=#1 Period=#2 NULL=BLANK",,$D72,$E$4),L72)</f>
        <v>6.3913600830519002</v>
      </c>
      <c r="M72" s="765" cm="1">
        <f t="array" aca="1" ref="M72" ca="1">IF(NPSwitch=1,_xll.TR(M$7,M$6,"Sdate=#1 Period=#2 NULL=BLANK",,$D72,$E$4),M72)</f>
        <v>8.0386374338896704</v>
      </c>
      <c r="N72" s="1002">
        <f t="shared" ca="1" si="45"/>
        <v>8.8356571771717025</v>
      </c>
      <c r="O72" s="1000" cm="1">
        <f t="array" aca="1" ref="O72" ca="1">IF(NPSwitch=1,_xll.TR(O$7,O$6,"Sdate=#1 Period=#2 Scale=6 NULL=BLANK",,$D72,$O$4),O72)</f>
        <v>92240.175458059995</v>
      </c>
      <c r="P72" s="1000" cm="1">
        <f t="array" aca="1" ref="P72" ca="1">IF(NPSwitch=1,_xll.TR(P$7,P$6,"Sdate=#1 Period=#2 Scale=6 NULL=BLANK",,$D72,$O$4),P72)</f>
        <v>5382.88756448</v>
      </c>
      <c r="Q72" s="1000" cm="1">
        <f t="array" aca="1" ref="Q72" ca="1">IF(NPSwitch=1,_xll.TR(Q$7,Q$6,"Sdate=#1 Period=#2 Scale=6 NULL=BLANK",,$D72,$O$4),Q72)</f>
        <v>7972.3989971999999</v>
      </c>
      <c r="R72" s="1000" cm="1">
        <f t="array" aca="1" ref="R72" ca="1">IF(NPSwitch=1,_xll.TR(R$7,R$6,"Sdate=#1 Period=#2 Scale=6 NULL=BLANK",,$D72,$O$4),R72)</f>
        <v>3533.4477699600002</v>
      </c>
      <c r="S72" s="1000" cm="1">
        <f t="array" aca="1" ref="S72" ca="1">IF(NPSwitch=1,_xll.TR(S$7,S$6,"Sdate=#1 Period=#2 Scale=6 NULL=BLANK",,$D72,$O$4),S72)</f>
        <v>6076.8505805200002</v>
      </c>
      <c r="T72" s="1000" cm="1">
        <f t="array" aca="1" ref="T72" ca="1">IF(NPSwitch=1,_xll.TR(T$7,T$6,"Sdate=#1 Period=#2 Scale=6 NULL=BLANK",,$D72,$O$4),T72)</f>
        <v>9626.3186430900005</v>
      </c>
      <c r="U72" s="1000" cm="1">
        <f t="array" aca="1" ref="U72" ca="1">IF(NPSwitch=1,_xll.TR(U$7,U$6,"Sdate=#1 Period=#2 Scale=6 NULL=BLANK",,$D72,$O$4),U72)</f>
        <v>26909.572799869999</v>
      </c>
      <c r="V72" s="1000" cm="1">
        <f t="array" aca="1" ref="V72" ca="1">IF(NPSwitch=1,_xll.TR(V$7,V$6,"Sdate=#1 Period=#2 Scale=6 NULL=BLANK",,$D72,$O$4),V72)</f>
        <v>10041.319317150001</v>
      </c>
      <c r="W72" s="1000" cm="1">
        <f t="array" aca="1" ref="W72" ca="1">IF(NPSwitch=1,_xll.TR(W$7,W$6,"Sdate=#1 Period=#2 Scale=6 NULL=BLANK",,$D72,$O$4),W72)</f>
        <v>12684.39042808</v>
      </c>
      <c r="X72" s="998"/>
      <c r="Y72" s="1000" cm="1">
        <f t="array" aca="1" ref="Y72" ca="1">IF(NPSwitch=1,_xll.TR(Y$7,Y$6,"Sdate=#1 Period=#2 Scale=6 NULL=BLANK",,$D72,$O$4),Y72)</f>
        <v>3428.5</v>
      </c>
      <c r="Z72" s="1000" cm="1">
        <f t="array" aca="1" ref="Z72" ca="1">IF(NPSwitch=1,_xll.TR(Z$7,Z$6,"Sdate=#1 Period=#2 Scale=6 NULL=BLANK",,$D72,$O$4),Z72)</f>
        <v>429.34199999999998</v>
      </c>
      <c r="AA72" s="1000" cm="1">
        <f t="array" aca="1" ref="AA72" ca="1">IF(NPSwitch=1,_xll.TR(AA$7,AA$6,"Sdate=#1 Period=#2 Scale=6 NULL=BLANK",,$D72,$O$4),AA72)</f>
        <v>377.25</v>
      </c>
      <c r="AB72" s="1000" cm="1">
        <f t="array" aca="1" ref="AB72" ca="1">IF(NPSwitch=1,_xll.TR(AB$7,AB$6,"Sdate=#1 Period=#2 Scale=6 NULL=BLANK",,$D72,$O$4),AB72)</f>
        <v>329.67500000000001</v>
      </c>
      <c r="AC72" s="1000" cm="1">
        <f t="array" aca="1" ref="AC72" ca="1">IF(NPSwitch=1,_xll.TR(AC$7,AC$6,"Sdate=#1 Period=#2 Scale=6 NULL=BLANK",,$D72,$O$4),AC72)</f>
        <v>341.5</v>
      </c>
      <c r="AD72" s="1000" cm="1">
        <f t="array" aca="1" ref="AD72" ca="1">IF(NPSwitch=1,_xll.TR(AD$7,AD$6,"Sdate=#1 Period=#2 Scale=6 NULL=BLANK",,$D72,$O$4),AD72)</f>
        <v>100.675</v>
      </c>
      <c r="AE72" s="1000" cm="1">
        <f t="array" aca="1" ref="AE72" ca="1">IF(NPSwitch=1,_xll.TR(AE$7,AE$6,"Sdate=#1 Period=#2 Scale=6 NULL=BLANK",,$D72,$O$4),AE72)</f>
        <v>2203.5</v>
      </c>
      <c r="AF72" s="1000" cm="1">
        <f t="array" aca="1" ref="AF72" ca="1">IF(NPSwitch=1,_xll.TR(AF$7,AF$6,"Sdate=#1 Period=#2 Scale=6 NULL=BLANK",,$D72,$O$4),AF72)</f>
        <v>1386.75</v>
      </c>
      <c r="AG72" s="1000" cm="1">
        <f t="array" aca="1" ref="AG72" ca="1">IF(NPSwitch=1,_xll.TR(AG$7,AG$6,"Sdate=#1 Period=#2 Scale=6 NULL=BLANK",,$D72,$O$4),AG72)</f>
        <v>219.5</v>
      </c>
      <c r="AH72" s="998"/>
      <c r="AI72" s="1000" cm="1">
        <f t="array" aca="1" ref="AI72" ca="1">IF(NPSwitch=1,_xll.TR(AI$7,AI$6,"Sdate=#1 Period=#2 Scale=6 NULL=BLANK",,$D72,$O$4),AI72)</f>
        <v>96479.175458059995</v>
      </c>
      <c r="AJ72" s="1000" cm="1">
        <f t="array" aca="1" ref="AJ72" ca="1">IF(NPSwitch=1,_xll.TR(AJ$7,AJ$6,"Sdate=#1 Period=#2 Scale=6 NULL=BLANK",,$D72,$O$4),AJ72)</f>
        <v>6052.5475644799999</v>
      </c>
      <c r="AK72" s="1000" cm="1">
        <f t="array" aca="1" ref="AK72" ca="1">IF(NPSwitch=1,_xll.TR(AK$7,AK$6,"Sdate=#1 Period=#2 Scale=6 NULL=BLANK",,$D72,$O$4),AK72)</f>
        <v>10831.3989972</v>
      </c>
      <c r="AL72" s="1000" cm="1">
        <f t="array" aca="1" ref="AL72" ca="1">IF(NPSwitch=1,_xll.TR(AL$7,AL$6,"Sdate=#1 Period=#2 Scale=6 NULL=BLANK",,$D72,$O$4),AL72)</f>
        <v>4277.5477699599996</v>
      </c>
      <c r="AM72" s="1000" cm="1">
        <f t="array" aca="1" ref="AM72" ca="1">IF(NPSwitch=1,_xll.TR(AM$7,AM$6,"Sdate=#1 Period=#2 Scale=6 NULL=BLANK",,$D72,$O$4),AM72)</f>
        <v>9856.8505805200002</v>
      </c>
      <c r="AN72" s="1000" cm="1">
        <f t="array" aca="1" ref="AN72" ca="1">IF(NPSwitch=1,_xll.TR(AN$7,AN$6,"Sdate=#1 Period=#2 Scale=6 NULL=BLANK",,$D72,$O$4),AN72)</f>
        <v>11400.71864309</v>
      </c>
      <c r="AO72" s="1000" cm="1">
        <f t="array" aca="1" ref="AO72" ca="1">IF(NPSwitch=1,_xll.TR(AO$7,AO$6,"Sdate=#1 Period=#2 Scale=6 NULL=BLANK",,$D72,$O$4),AO72)</f>
        <v>27359.572799869999</v>
      </c>
      <c r="AP72" s="1000" cm="1">
        <f t="array" aca="1" ref="AP72" ca="1">IF(NPSwitch=1,_xll.TR(AP$7,AP$6,"Sdate=#1 Period=#2 Scale=6 NULL=BLANK",,$D72,$O$4),AP72)</f>
        <v>12377.319317150001</v>
      </c>
      <c r="AQ72" s="1000" cm="1">
        <f t="array" aca="1" ref="AQ72" ca="1">IF(NPSwitch=1,_xll.TR(AQ$7,AQ$6,"Sdate=#1 Period=#2 Scale=6 NULL=BLANK",,$D72,$O$4),AQ72)</f>
        <v>17213.390428080002</v>
      </c>
      <c r="AS72" s="765" cm="1">
        <f t="array" aca="1" ref="AS72" ca="1">IF(NPSwitch=1,_xll.TR(AS$7,AS$6,"Sdate=#1 Period=#2 NULL=BLANK Scale=6",,$D72,$AS$4),AS72)</f>
        <v>20.284720833333299</v>
      </c>
      <c r="AT72" s="765" cm="1">
        <f t="array" aca="1" ref="AT72" ca="1">IF(NPSwitch=1,_xll.TR(AT$7,AT$6,"Sdate=#1 Period=#2 NULL=BLANK Scale=6",,$D72,$AS$4),AT72)</f>
        <v>16.097224166666699</v>
      </c>
      <c r="AU72" s="765" t="str" cm="1">
        <f t="array" aca="1" ref="AU72" ca="1">IF(NPSwitch=1,_xll.TR(AU$7,AU$6,"Sdate=#1 Period=#2 NULL=BLANK Scale=6",,$D72,$AS$4),AU72)</f>
        <v/>
      </c>
      <c r="AV72" s="765" t="str" cm="1">
        <f t="array" aca="1" ref="AV72" ca="1">IF(NPSwitch=1,_xll.TR(AV$7,AV$6,"Sdate=#1 Period=#2 NULL=BLANK Scale=6",,$D72,$AS$4),AV72)</f>
        <v/>
      </c>
      <c r="AW72" s="765" t="str" cm="1">
        <f t="array" aca="1" ref="AW72" ca="1">IF(NPSwitch=1,_xll.TR(AW$7,AW$6,"Sdate=#1 Period=#2 NULL=BLANK Scale=6",,$D72,$AS$4),AW72)</f>
        <v/>
      </c>
      <c r="AX72" s="765" t="str" cm="1">
        <f t="array" aca="1" ref="AX72" ca="1">IF(NPSwitch=1,_xll.TR(AX$7,AX$6,"Sdate=#1 Period=#2 NULL=BLANK Scale=6",,$D72,$AS$4),AX72)</f>
        <v/>
      </c>
      <c r="AY72" s="765" cm="1">
        <f t="array" aca="1" ref="AY72" ca="1">IF(NPSwitch=1,_xll.TR(AY$7,AY$6,"Sdate=#1 Period=#2 NULL=BLANK Scale=6",,$D72,$AS$4),AY72)</f>
        <v>14.408333333333299</v>
      </c>
      <c r="AZ72" s="765" cm="1">
        <f t="array" aca="1" ref="AZ72" ca="1">IF(NPSwitch=1,_xll.TR(AZ$7,AZ$6,"Sdate=#1 Period=#2 NULL=BLANK Scale=6",,$D72,$AS$4),AZ72)</f>
        <v>6.3493041666666699</v>
      </c>
      <c r="BA72" s="765" cm="1">
        <f t="array" aca="1" ref="BA72" ca="1">IF(NPSwitch=1,_xll.TR(BA$7,BA$6,"Sdate=#1 Period=#2 NULL=BLANK Scale=6",,$D72,$AS$4),BA72)</f>
        <v>11.904166666666701</v>
      </c>
      <c r="BB72" s="1002"/>
      <c r="BC72" s="765" cm="1">
        <f t="array" aca="1" ref="BC72" ca="1">IF(NPSwitch=1,_xll.TR(BC$7,BC$6,"Sdate=#1 Period=#2 NULL=BLANK",,$D72,$BC$4),BC72)</f>
        <v>11.777243098</v>
      </c>
      <c r="BD72" s="765" cm="1">
        <f t="array" aca="1" ref="BD72" ca="1">IF(NPSwitch=1,_xll.TR(BD$7,BD$6,"Sdate=#1 Period=#2 NULL=BLANK",,$D72,$BC$4),BD72)</f>
        <v>8.6155911639999996</v>
      </c>
      <c r="BE72" s="765" cm="1">
        <f t="array" aca="1" ref="BE72" ca="1">IF(NPSwitch=1,_xll.TR(BE$7,BE$6,"Sdate=#1 Period=#2 NULL=BLANK",,$D72,$BC$4),BE72)</f>
        <v>8.4094712709999992</v>
      </c>
      <c r="BF72" s="765" cm="1">
        <f t="array" aca="1" ref="BF72" ca="1">IF(NPSwitch=1,_xll.TR(BF$7,BF$6,"Sdate=#1 Period=#2 NULL=BLANK",,$D72,$BC$4),BF72)</f>
        <v>11.265598551</v>
      </c>
      <c r="BG72" s="765" t="str" cm="1">
        <f t="array" aca="1" ref="BG72" ca="1">IF(NPSwitch=1,_xll.TR(BG$7,BG$6,"Sdate=#1 Period=#2 NULL=BLANK",,$D72,$BC$4),BG72)</f>
        <v/>
      </c>
      <c r="BH72" s="765" cm="1">
        <f t="array" aca="1" ref="BH72" ca="1">IF(NPSwitch=1,_xll.TR(BH$7,BH$6,"Sdate=#1 Period=#2 NULL=BLANK",,$D72,$BC$4),BH72)</f>
        <v>14.848552544</v>
      </c>
      <c r="BI72" s="765" cm="1">
        <f t="array" aca="1" ref="BI72" ca="1">IF(NPSwitch=1,_xll.TR(BI$7,BI$6,"Sdate=#1 Period=#2 NULL=BLANK",,$D72,$BC$4),BI72)</f>
        <v>12.808788764000001</v>
      </c>
      <c r="BJ72" s="765" cm="1">
        <f t="array" aca="1" ref="BJ72" ca="1">IF(NPSwitch=1,_xll.TR(BJ$7,BJ$6,"Sdate=#1 Period=#2 NULL=BLANK",,$D72,$BC$4),BJ72)</f>
        <v>6.8762885100000002</v>
      </c>
      <c r="BK72" s="765" cm="1">
        <f t="array" aca="1" ref="BK72" ca="1">IF(NPSwitch=1,_xll.TR(BK$7,BK$6,"Sdate=#1 Period=#2 NULL=BLANK",,$D72,$BC$4),BK72)</f>
        <v>7.3092952990000004</v>
      </c>
      <c r="BO72" s="765" cm="1">
        <f t="array" aca="1" ref="BO72" ca="1">IF(NPSwitch=1,_xll.TR(BO$7,BO$6,"Sdate=#1 Period=#2 NULL=BLANK Scale=6",,$D72,$AS$4),BO72)</f>
        <v>31068</v>
      </c>
      <c r="BP72" s="765" cm="1">
        <f t="array" aca="1" ref="BP72" ca="1">IF(NPSwitch=1,_xll.TR(BP$7,BP$6,"Sdate=#1 Period=#2 NULL=BLANK Scale=6",,$D72,$AS$4),BP72)</f>
        <v>2407.5160000000001</v>
      </c>
      <c r="BQ72" s="765" cm="1">
        <f t="array" aca="1" ref="BQ72" ca="1">IF(NPSwitch=1,_xll.TR(BQ$7,BQ$6,"Sdate=#1 Period=#2 NULL=BLANK Scale=6",,$D72,$AS$4),BQ72)</f>
        <v>6071</v>
      </c>
      <c r="BR72" s="765" cm="1">
        <f t="array" aca="1" ref="BR72" ca="1">IF(NPSwitch=1,_xll.TR(BR$7,BR$6,"Sdate=#1 Period=#2 NULL=BLANK Scale=6",,$D72,$AS$4),BR72)</f>
        <v>3972.4</v>
      </c>
      <c r="BS72" s="765" cm="1">
        <f t="array" aca="1" ref="BS72" ca="1">IF(NPSwitch=1,_xll.TR(BS$7,BS$6,"Sdate=#1 Period=#2 NULL=BLANK Scale=6",,$D72,$AS$4),BS72)</f>
        <v>11132</v>
      </c>
      <c r="BT72" s="765" cm="1">
        <f t="array" aca="1" ref="BT72" ca="1">IF(NPSwitch=1,_xll.TR(BT$7,BT$6,"Sdate=#1 Period=#2 NULL=BLANK Scale=6",,$D72,$AS$4),BT72)</f>
        <v>3721</v>
      </c>
      <c r="BU72" s="765" cm="1">
        <f t="array" aca="1" ref="BU72" ca="1">IF(NPSwitch=1,_xll.TR(BU$7,BU$6,"Sdate=#1 Period=#2 NULL=BLANK Scale=6",,$D72,$AS$4),BU72)</f>
        <v>14793</v>
      </c>
      <c r="BV72" s="765" cm="1">
        <f t="array" aca="1" ref="BV72" ca="1">IF(NPSwitch=1,_xll.TR(BV$7,BV$6,"Sdate=#1 Period=#2 NULL=BLANK Scale=6",,$D72,$AS$4),BV72)</f>
        <v>10230</v>
      </c>
      <c r="BW72" s="765" cm="1">
        <f t="array" aca="1" ref="BW72" ca="1">IF(NPSwitch=1,_xll.TR(BW$7,BW$6,"Sdate=#1 Period=#2 NULL=BLANK Scale=6",,$D72,$AS$4),BW72)</f>
        <v>9348</v>
      </c>
      <c r="BY72" s="765" cm="1">
        <f t="array" aca="1" ref="BY72" ca="1">IF(NPSwitch=1,_xll.TR(BY$7,BY$6,"Sdate=#1 Period=#2 NULL=BLANK Scale=6",,$D72,$AS$4),BY72)</f>
        <v>24188</v>
      </c>
      <c r="BZ72" s="765" cm="1">
        <f t="array" aca="1" ref="BZ72" ca="1">IF(NPSwitch=1,_xll.TR(BZ$7,BZ$6,"Sdate=#1 Period=#2 NULL=BLANK Scale=6",,$D72,$AS$4),BZ72)</f>
        <v>2704.9317500000002</v>
      </c>
      <c r="CA72" s="765" cm="1">
        <f t="array" aca="1" ref="CA72" ca="1">IF(NPSwitch=1,_xll.TR(CA$7,CA$6,"Sdate=#1 Period=#2 NULL=BLANK Scale=6",,$D72,$AS$4),CA72)</f>
        <v>7797</v>
      </c>
      <c r="CB72" s="765" cm="1">
        <f t="array" aca="1" ref="CB72" ca="1">IF(NPSwitch=1,_xll.TR(CB$7,CB$6,"Sdate=#1 Period=#2 NULL=BLANK Scale=6",,$D72,$AS$4),CB72)</f>
        <v>1977.15</v>
      </c>
      <c r="CC72" s="765" cm="1">
        <f t="array" aca="1" ref="CC72" ca="1">IF(NPSwitch=1,_xll.TR(CC$7,CC$6,"Sdate=#1 Period=#2 NULL=BLANK Scale=6",,$D72,$AS$4),CC72)</f>
        <v>5893.25</v>
      </c>
      <c r="CD72" s="765" cm="1">
        <f t="array" aca="1" ref="CD72" ca="1">IF(NPSwitch=1,_xll.TR(CD$7,CD$6,"Sdate=#1 Period=#2 NULL=BLANK Scale=6",,$D72,$AS$4),CD72)</f>
        <v>3170.2249999999999</v>
      </c>
      <c r="CE72" s="765" cm="1">
        <f t="array" aca="1" ref="CE72" ca="1">IF(NPSwitch=1,_xll.TR(CE$7,CE$6,"Sdate=#1 Period=#2 NULL=BLANK Scale=6",,$D72,$AS$4),CE72)</f>
        <v>8910.25</v>
      </c>
      <c r="CF72" s="765" cm="1">
        <f t="array" aca="1" ref="CF72" ca="1">IF(NPSwitch=1,_xll.TR(CF$7,CF$6,"Sdate=#1 Period=#2 NULL=BLANK Scale=6",,$D72,$AS$4),CF72)</f>
        <v>10489.5</v>
      </c>
      <c r="CG72" s="765" cm="1">
        <f t="array" aca="1" ref="CG72" ca="1">IF(NPSwitch=1,_xll.TR(CG$7,CG$6,"Sdate=#1 Period=#2 NULL=BLANK Scale=6",,$D72,$AS$4),CG72)</f>
        <v>8180.5</v>
      </c>
      <c r="CI72" s="1000" cm="1">
        <f t="array" aca="1" ref="CI72" ca="1">IF(NPSwitch=1,_xll.TR(CI$7,CI$6,"Sdate=#1 Period=#2 NULL=BLANK Scale=6",,$D72,$AS$4),CI72)</f>
        <v>8192</v>
      </c>
      <c r="CJ72" s="1000" cm="1">
        <f t="array" aca="1" ref="CJ72" ca="1">IF(NPSwitch=1,_xll.TR(CJ$7,CJ$6,"Sdate=#1 Period=#2 NULL=BLANK Scale=6",,$D72,$AS$4),CJ72)</f>
        <v>702.51099999999997</v>
      </c>
      <c r="CK72" s="1000" cm="1">
        <f t="array" aca="1" ref="CK72" ca="1">IF(NPSwitch=1,_xll.TR(CK$7,CK$6,"Sdate=#1 Period=#2 NULL=BLANK Scale=6",,$D72,$AS$4),CK72)</f>
        <v>1288</v>
      </c>
      <c r="CL72" s="1000" cm="1">
        <f t="array" aca="1" ref="CL72" ca="1">IF(NPSwitch=1,_xll.TR(CL$7,CL$6,"Sdate=#1 Period=#2 NULL=BLANK Scale=6",,$D72,$AS$4),CL72)</f>
        <v>379.7</v>
      </c>
      <c r="CM72" s="1000" cm="1">
        <f t="array" aca="1" ref="CM72" ca="1">IF(NPSwitch=1,_xll.TR(CM$7,CM$6,"Sdate=#1 Period=#2 NULL=BLANK Scale=6",,$D72,$AS$4),CM72)</f>
        <v>1220</v>
      </c>
      <c r="CN72" s="1000" cm="1">
        <f t="array" aca="1" ref="CN72" ca="1">IF(NPSwitch=1,_xll.TR(CN$7,CN$6,"Sdate=#1 Period=#2 NULL=BLANK Scale=6",,$D72,$AS$4),CN72)</f>
        <v>767.8</v>
      </c>
      <c r="CO72" s="1000" cm="1">
        <f t="array" aca="1" ref="CO72" ca="1">IF(NPSwitch=1,_xll.TR(CO$7,CO$6,"Sdate=#1 Period=#2 NULL=BLANK Scale=6",,$D72,$AS$4),CO72)</f>
        <v>2136</v>
      </c>
      <c r="CP72" s="1000" cm="1">
        <f t="array" aca="1" ref="CP72" ca="1">IF(NPSwitch=1,_xll.TR(CP$7,CP$6,"Sdate=#1 Period=#2 NULL=BLANK Scale=6",,$D72,$AS$4),CP72)</f>
        <v>1828</v>
      </c>
      <c r="CQ72" s="1000" cm="1">
        <f t="array" aca="1" ref="CQ72" ca="1">IF(NPSwitch=1,_xll.TR(CQ$7,CQ$6,"Sdate=#1 Period=#2 NULL=BLANK Scale=6",,$D72,$AS$4),CQ72)</f>
        <v>2355</v>
      </c>
      <c r="CS72" s="1000" cm="1">
        <f t="array" aca="1" ref="CS72" ca="1">IF(NPSwitch=1,_xll.TR(CS$7,CS$6,"Sdate=#1 Period=#2 NULL=BLANK Scale=6",,$D72,$AS$4),CS72)</f>
        <v>8514.75</v>
      </c>
      <c r="CT72" s="1000" cm="1">
        <f t="array" aca="1" ref="CT72" ca="1">IF(NPSwitch=1,_xll.TR(CT$7,CT$6,"Sdate=#1 Period=#2 NULL=BLANK Scale=6",,$D72,$AS$4),CT72)</f>
        <v>1345.037</v>
      </c>
      <c r="CU72" s="1000" cm="1">
        <f t="array" aca="1" ref="CU72" ca="1">IF(NPSwitch=1,_xll.TR(CU$7,CU$6,"Sdate=#1 Period=#2 NULL=BLANK Scale=6",,$D72,$AS$4),CU72)</f>
        <v>2644.5</v>
      </c>
      <c r="CV72" s="1000" cm="1">
        <f t="array" aca="1" ref="CV72" ca="1">IF(NPSwitch=1,_xll.TR(CV$7,CV$6,"Sdate=#1 Period=#2 NULL=BLANK Scale=6",,$D72,$AS$4),CV72)</f>
        <v>644.125</v>
      </c>
      <c r="CW72" s="1000" cm="1">
        <f t="array" aca="1" ref="CW72" ca="1">IF(NPSwitch=1,_xll.TR(CW$7,CW$6,"Sdate=#1 Period=#2 NULL=BLANK Scale=6",,$D72,$AS$4),CW72)</f>
        <v>1199.0999999999999</v>
      </c>
      <c r="CX72" s="1000" cm="1">
        <f t="array" aca="1" ref="CX72" ca="1">IF(NPSwitch=1,_xll.TR(CX$7,CX$6,"Sdate=#1 Period=#2 NULL=BLANK Scale=6",,$D72,$AS$4),CX72)</f>
        <v>2731</v>
      </c>
      <c r="CY72" s="1000" cm="1">
        <f t="array" aca="1" ref="CY72" ca="1">IF(NPSwitch=1,_xll.TR(CY$7,CY$6,"Sdate=#1 Period=#2 NULL=BLANK Scale=6",,$D72,$AS$4),CY72)</f>
        <v>4989.5</v>
      </c>
      <c r="CZ72" s="1000" cm="1">
        <f t="array" aca="1" ref="CZ72" ca="1">IF(NPSwitch=1,_xll.TR(CZ$7,CZ$6,"Sdate=#1 Period=#2 NULL=BLANK Scale=6",,$D72,$AS$4),CZ72)</f>
        <v>4246.25</v>
      </c>
      <c r="DA72" s="1000" cm="1">
        <f t="array" aca="1" ref="DA72" ca="1">IF(NPSwitch=1,_xll.TR(DA$7,DA$6,"Sdate=#1 Period=#2 NULL=BLANK Scale=6",,$D72,$AS$4),DA72)</f>
        <v>3415</v>
      </c>
      <c r="DB72" s="1000" cm="1">
        <f t="array" aca="1" ref="DB72" ca="1">IF(NPSwitch=1,_xll.TR(DB$7,DB$6,"Sdate=#1 Period=#2 NULL=BLANK Scale=6",,$D72,$AS$4),DB72)</f>
        <v>18607</v>
      </c>
      <c r="DC72" s="1000" t="str" cm="1">
        <f t="array" aca="1" ref="DC72" ca="1">IF(NPSwitch=1,_xll.TR(DC$7,DC$6,"Sdate=#1 Period=#2 NULL=BLANK Scale=6",,$D72,$AS$4),DC72)</f>
        <v/>
      </c>
      <c r="DD72" s="1000" cm="1">
        <f t="array" aca="1" ref="DD72" ca="1">IF(NPSwitch=1,_xll.TR(DD$7,DD$6,"Sdate=#1 Period=#2 NULL=BLANK Scale=6",,$D72,$AS$4),DD72)</f>
        <v>8303.75</v>
      </c>
      <c r="DE72" s="1000" t="str" cm="1">
        <f t="array" aca="1" ref="DE72" ca="1">IF(NPSwitch=1,_xll.TR(DE$7,DE$6,"Sdate=#1 Period=#2 NULL=BLANK Scale=6",,$D72,$AS$4),DE72)</f>
        <v/>
      </c>
      <c r="DF72" s="1000" cm="1">
        <f t="array" aca="1" ref="DF72" ca="1">IF(NPSwitch=1,_xll.TR(DF$7,DF$6,"Sdate=#1 Period=#2 NULL=BLANK Scale=6",,$D72,$AS$4),DF72)</f>
        <v>644.125</v>
      </c>
      <c r="DG72" s="1000" cm="1">
        <f t="array" aca="1" ref="DG72" ca="1">IF(NPSwitch=1,_xll.TR(DG$7,DG$6,"Sdate=#1 Period=#2 NULL=BLANK Scale=6",,$D72,$AS$4),DG72)</f>
        <v>3744</v>
      </c>
      <c r="DH72" s="1000" cm="1">
        <f t="array" aca="1" ref="DH72" ca="1">IF(NPSwitch=1,_xll.TR(DH$7,DH$6,"Sdate=#1 Period=#2 NULL=BLANK Scale=6",,$D72,$AS$4),DH72)</f>
        <v>1994.2872500000001</v>
      </c>
      <c r="FN72" s="3" t="s">
        <v>1362</v>
      </c>
    </row>
    <row r="73" spans="3:170">
      <c r="C73" s="971">
        <f t="shared" si="44"/>
        <v>41820</v>
      </c>
      <c r="D73" s="974">
        <f t="shared" si="43"/>
        <v>41865</v>
      </c>
      <c r="E73" s="765" cm="1">
        <f t="array" aca="1" ref="E73" ca="1">IF(NPSwitch=1,_xll.TR(E$7,E$6,"Sdate=#1 Period=#2 NULL=BLANK",,$D73,$E$4),E73)</f>
        <v>10.8992980472434</v>
      </c>
      <c r="F73" s="765" cm="1">
        <f t="array" aca="1" ref="F73" ca="1">IF(NPSwitch=1,_xll.TR(F$7,F$6,"Sdate=#1 Period=#2 NULL=BLANK",,$D73,$E$4),F73)</f>
        <v>8.9364934687883597</v>
      </c>
      <c r="G73" s="765" cm="1">
        <f t="array" aca="1" ref="G73" ca="1">IF(NPSwitch=1,_xll.TR(G$7,G$6,"Sdate=#1 Period=#2 NULL=BLANK",,$D73,$E$4),G73)</f>
        <v>9.3573603760540607</v>
      </c>
      <c r="H73" s="765" cm="1">
        <f t="array" aca="1" ref="H73" ca="1">IF(NPSwitch=1,_xll.TR(H$7,H$6,"Sdate=#1 Period=#2 NULL=BLANK",,$D73,$E$4),H73)</f>
        <v>8.7063723175934804</v>
      </c>
      <c r="I73" s="765" cm="1">
        <f t="array" aca="1" ref="I73" ca="1">IF(NPSwitch=1,_xll.TR(I$7,I$6,"Sdate=#1 Period=#2 NULL=BLANK",,$D73,$E$4),I73)</f>
        <v>6.5916984378105701</v>
      </c>
      <c r="J73" s="765" cm="1">
        <f t="array" aca="1" ref="J73" ca="1">IF(NPSwitch=1,_xll.TR(J$7,J$6,"Sdate=#1 Period=#2 NULL=BLANK",,$D73,$E$4),J73)</f>
        <v>9.80839816127361</v>
      </c>
      <c r="K73" s="765" cm="1">
        <f t="array" aca="1" ref="K73" ca="1">IF(NPSwitch=1,_xll.TR(K$7,K$6,"Sdate=#1 Period=#2 NULL=BLANK",,$D73,$E$4),K73)</f>
        <v>10.8642667188606</v>
      </c>
      <c r="L73" s="765" cm="1">
        <f t="array" aca="1" ref="L73" ca="1">IF(NPSwitch=1,_xll.TR(L$7,L$6,"Sdate=#1 Period=#2 NULL=BLANK",,$D73,$E$4),L73)</f>
        <v>6.1024295365989802</v>
      </c>
      <c r="M73" s="765" cm="1">
        <f t="array" aca="1" ref="M73" ca="1">IF(NPSwitch=1,_xll.TR(M$7,M$6,"Sdate=#1 Period=#2 NULL=BLANK",,$D73,$E$4),M73)</f>
        <v>7.7710426848552601</v>
      </c>
      <c r="N73" s="1002">
        <f t="shared" ca="1" si="45"/>
        <v>8.5717542580318842</v>
      </c>
      <c r="O73" s="1000" cm="1">
        <f t="array" aca="1" ref="O73" ca="1">IF(NPSwitch=1,_xll.TR(O$7,O$6,"Sdate=#1 Period=#2 Scale=6 NULL=BLANK",,$D73,$O$4),O73)</f>
        <v>92231.928383980005</v>
      </c>
      <c r="P73" s="1000" cm="1">
        <f t="array" aca="1" ref="P73" ca="1">IF(NPSwitch=1,_xll.TR(P$7,P$6,"Sdate=#1 Period=#2 Scale=6 NULL=BLANK",,$D73,$O$4),P73)</f>
        <v>4746.89093452</v>
      </c>
      <c r="Q73" s="1000" cm="1">
        <f t="array" aca="1" ref="Q73" ca="1">IF(NPSwitch=1,_xll.TR(Q$7,Q$6,"Sdate=#1 Period=#2 Scale=6 NULL=BLANK",,$D73,$O$4),Q73)</f>
        <v>8191.6195304000003</v>
      </c>
      <c r="R73" s="1000" cm="1">
        <f t="array" aca="1" ref="R73" ca="1">IF(NPSwitch=1,_xll.TR(R$7,R$6,"Sdate=#1 Period=#2 Scale=6 NULL=BLANK",,$D73,$O$4),R73)</f>
        <v>3635.9239353799999</v>
      </c>
      <c r="S73" s="1000" cm="1">
        <f t="array" aca="1" ref="S73" ca="1">IF(NPSwitch=1,_xll.TR(S$7,S$6,"Sdate=#1 Period=#2 Scale=6 NULL=BLANK",,$D73,$O$4),S73)</f>
        <v>6575.9215208799997</v>
      </c>
      <c r="T73" s="1000" cm="1">
        <f t="array" aca="1" ref="T73" ca="1">IF(NPSwitch=1,_xll.TR(T$7,T$6,"Sdate=#1 Period=#2 Scale=6 NULL=BLANK",,$D73,$O$4),T73)</f>
        <v>8793.9134580000009</v>
      </c>
      <c r="U73" s="1000" cm="1">
        <f t="array" aca="1" ref="U73" ca="1">IF(NPSwitch=1,_xll.TR(U$7,U$6,"Sdate=#1 Period=#2 Scale=6 NULL=BLANK",,$D73,$O$4),U73)</f>
        <v>27783.31286391</v>
      </c>
      <c r="V73" s="1000" cm="1">
        <f t="array" aca="1" ref="V73" ca="1">IF(NPSwitch=1,_xll.TR(V$7,V$6,"Sdate=#1 Period=#2 Scale=6 NULL=BLANK",,$D73,$O$4),V73)</f>
        <v>9973.5584107499308</v>
      </c>
      <c r="W73" s="1000" cm="1">
        <f t="array" aca="1" ref="W73" ca="1">IF(NPSwitch=1,_xll.TR(W$7,W$6,"Sdate=#1 Period=#2 Scale=6 NULL=BLANK",,$D73,$O$4),W73)</f>
        <v>12091.56556076</v>
      </c>
      <c r="X73" s="998"/>
      <c r="Y73" s="1000" cm="1">
        <f t="array" aca="1" ref="Y73" ca="1">IF(NPSwitch=1,_xll.TR(Y$7,Y$6,"Sdate=#1 Period=#2 Scale=6 NULL=BLANK",,$D73,$O$4),Y73)</f>
        <v>3117.75</v>
      </c>
      <c r="Z73" s="1000" cm="1">
        <f t="array" aca="1" ref="Z73" ca="1">IF(NPSwitch=1,_xll.TR(Z$7,Z$6,"Sdate=#1 Period=#2 Scale=6 NULL=BLANK",,$D73,$O$4),Z73)</f>
        <v>479.45699999999999</v>
      </c>
      <c r="AA73" s="1000" cm="1">
        <f t="array" aca="1" ref="AA73" ca="1">IF(NPSwitch=1,_xll.TR(AA$7,AA$6,"Sdate=#1 Period=#2 Scale=6 NULL=BLANK",,$D73,$O$4),AA73)</f>
        <v>425.5</v>
      </c>
      <c r="AB73" s="1000" cm="1">
        <f t="array" aca="1" ref="AB73" ca="1">IF(NPSwitch=1,_xll.TR(AB$7,AB$6,"Sdate=#1 Period=#2 Scale=6 NULL=BLANK",,$D73,$O$4),AB73)</f>
        <v>296.95</v>
      </c>
      <c r="AC73" s="1000" cm="1">
        <f t="array" aca="1" ref="AC73" ca="1">IF(NPSwitch=1,_xll.TR(AC$7,AC$6,"Sdate=#1 Period=#2 Scale=6 NULL=BLANK",,$D73,$O$4),AC73)</f>
        <v>399.25</v>
      </c>
      <c r="AD73" s="1000" cm="1">
        <f t="array" aca="1" ref="AD73" ca="1">IF(NPSwitch=1,_xll.TR(AD$7,AD$6,"Sdate=#1 Period=#2 Scale=6 NULL=BLANK",,$D73,$O$4),AD73)</f>
        <v>109.925</v>
      </c>
      <c r="AE73" s="1000" cm="1">
        <f t="array" aca="1" ref="AE73" ca="1">IF(NPSwitch=1,_xll.TR(AE$7,AE$6,"Sdate=#1 Period=#2 Scale=6 NULL=BLANK",,$D73,$O$4),AE73)</f>
        <v>2486.5</v>
      </c>
      <c r="AF73" s="1000" cm="1">
        <f t="array" aca="1" ref="AF73" ca="1">IF(NPSwitch=1,_xll.TR(AF$7,AF$6,"Sdate=#1 Period=#2 Scale=6 NULL=BLANK",,$D73,$O$4),AF73)</f>
        <v>1361</v>
      </c>
      <c r="AG73" s="1000" cm="1">
        <f t="array" aca="1" ref="AG73" ca="1">IF(NPSwitch=1,_xll.TR(AG$7,AG$6,"Sdate=#1 Period=#2 Scale=6 NULL=BLANK",,$D73,$O$4),AG73)</f>
        <v>204.75</v>
      </c>
      <c r="AH73" s="998"/>
      <c r="AI73" s="1000" cm="1">
        <f t="array" aca="1" ref="AI73" ca="1">IF(NPSwitch=1,_xll.TR(AI$7,AI$6,"Sdate=#1 Period=#2 Scale=6 NULL=BLANK",,$D73,$O$4),AI73)</f>
        <v>96687.928383980005</v>
      </c>
      <c r="AJ73" s="1000" cm="1">
        <f t="array" aca="1" ref="AJ73" ca="1">IF(NPSwitch=1,_xll.TR(AJ$7,AJ$6,"Sdate=#1 Period=#2 Scale=6 NULL=BLANK",,$D73,$O$4),AJ73)</f>
        <v>5417.2469345199997</v>
      </c>
      <c r="AK73" s="1000" cm="1">
        <f t="array" aca="1" ref="AK73" ca="1">IF(NPSwitch=1,_xll.TR(AK$7,AK$6,"Sdate=#1 Period=#2 Scale=6 NULL=BLANK",,$D73,$O$4),AK73)</f>
        <v>10936.619530399999</v>
      </c>
      <c r="AL73" s="1000" cm="1">
        <f t="array" aca="1" ref="AL73" ca="1">IF(NPSwitch=1,_xll.TR(AL$7,AL$6,"Sdate=#1 Period=#2 Scale=6 NULL=BLANK",,$D73,$O$4),AL73)</f>
        <v>4356.32393538</v>
      </c>
      <c r="AM73" s="1000" cm="1">
        <f t="array" aca="1" ref="AM73" ca="1">IF(NPSwitch=1,_xll.TR(AM$7,AM$6,"Sdate=#1 Period=#2 Scale=6 NULL=BLANK",,$D73,$O$4),AM73)</f>
        <v>10409.92152088</v>
      </c>
      <c r="AN73" s="1000" cm="1">
        <f t="array" aca="1" ref="AN73" ca="1">IF(NPSwitch=1,_xll.TR(AN$7,AN$6,"Sdate=#1 Period=#2 Scale=6 NULL=BLANK",,$D73,$O$4),AN73)</f>
        <v>10435.213458</v>
      </c>
      <c r="AO73" s="1000" cm="1">
        <f t="array" aca="1" ref="AO73" ca="1">IF(NPSwitch=1,_xll.TR(AO$7,AO$6,"Sdate=#1 Period=#2 Scale=6 NULL=BLANK",,$D73,$O$4),AO73)</f>
        <v>28342.31286391</v>
      </c>
      <c r="AP73" s="1000" cm="1">
        <f t="array" aca="1" ref="AP73" ca="1">IF(NPSwitch=1,_xll.TR(AP$7,AP$6,"Sdate=#1 Period=#2 Scale=6 NULL=BLANK",,$D73,$O$4),AP73)</f>
        <v>11947.55841075</v>
      </c>
      <c r="AQ73" s="1000" cm="1">
        <f t="array" aca="1" ref="AQ73" ca="1">IF(NPSwitch=1,_xll.TR(AQ$7,AQ$6,"Sdate=#1 Period=#2 Scale=6 NULL=BLANK",,$D73,$O$4),AQ73)</f>
        <v>16766.565560759998</v>
      </c>
      <c r="AS73" s="765" cm="1">
        <f t="array" aca="1" ref="AS73" ca="1">IF(NPSwitch=1,_xll.TR(AS$7,AS$6,"Sdate=#1 Period=#2 NULL=BLANK Scale=6",,$D73,$AS$4),AS73)</f>
        <v>20.2</v>
      </c>
      <c r="AT73" s="765" cm="1">
        <f t="array" aca="1" ref="AT73" ca="1">IF(NPSwitch=1,_xll.TR(AT$7,AT$6,"Sdate=#1 Period=#2 NULL=BLANK Scale=6",,$D73,$AS$4),AT73)</f>
        <v>16.022223333333301</v>
      </c>
      <c r="AU73" s="765" t="str" cm="1">
        <f t="array" aca="1" ref="AU73" ca="1">IF(NPSwitch=1,_xll.TR(AU$7,AU$6,"Sdate=#1 Period=#2 NULL=BLANK Scale=6",,$D73,$AS$4),AU73)</f>
        <v/>
      </c>
      <c r="AV73" s="765" t="str" cm="1">
        <f t="array" aca="1" ref="AV73" ca="1">IF(NPSwitch=1,_xll.TR(AV$7,AV$6,"Sdate=#1 Period=#2 NULL=BLANK Scale=6",,$D73,$AS$4),AV73)</f>
        <v/>
      </c>
      <c r="AW73" s="765" t="str" cm="1">
        <f t="array" aca="1" ref="AW73" ca="1">IF(NPSwitch=1,_xll.TR(AW$7,AW$6,"Sdate=#1 Period=#2 NULL=BLANK Scale=6",,$D73,$AS$4),AW73)</f>
        <v/>
      </c>
      <c r="AX73" s="765" t="str" cm="1">
        <f t="array" aca="1" ref="AX73" ca="1">IF(NPSwitch=1,_xll.TR(AX$7,AX$6,"Sdate=#1 Period=#2 NULL=BLANK Scale=6",,$D73,$AS$4),AX73)</f>
        <v/>
      </c>
      <c r="AY73" s="765" cm="1">
        <f t="array" aca="1" ref="AY73" ca="1">IF(NPSwitch=1,_xll.TR(AY$7,AY$6,"Sdate=#1 Period=#2 NULL=BLANK Scale=6",,$D73,$AS$4),AY73)</f>
        <v>15.233333333333301</v>
      </c>
      <c r="AZ73" s="765" cm="1">
        <f t="array" aca="1" ref="AZ73" ca="1">IF(NPSwitch=1,_xll.TR(AZ$7,AZ$6,"Sdate=#1 Period=#2 NULL=BLANK Scale=6",,$D73,$AS$4),AZ73)</f>
        <v>6.7972200000000003</v>
      </c>
      <c r="BA73" s="765" cm="1">
        <f t="array" aca="1" ref="BA73" ca="1">IF(NPSwitch=1,_xll.TR(BA$7,BA$6,"Sdate=#1 Period=#2 NULL=BLANK Scale=6",,$D73,$AS$4),BA73)</f>
        <v>11.75</v>
      </c>
      <c r="BB73" s="1002"/>
      <c r="BC73" s="765" cm="1">
        <f t="array" aca="1" ref="BC73" ca="1">IF(NPSwitch=1,_xll.TR(BC$7,BC$6,"Sdate=#1 Period=#2 NULL=BLANK",,$D73,$BC$4),BC73)</f>
        <v>11.579392621</v>
      </c>
      <c r="BD73" s="765" cm="1">
        <f t="array" aca="1" ref="BD73" ca="1">IF(NPSwitch=1,_xll.TR(BD$7,BD$6,"Sdate=#1 Period=#2 NULL=BLANK",,$D73,$BC$4),BD73)</f>
        <v>7.6205015969999996</v>
      </c>
      <c r="BE73" s="765" cm="1">
        <f t="array" aca="1" ref="BE73" ca="1">IF(NPSwitch=1,_xll.TR(BE$7,BE$6,"Sdate=#1 Period=#2 NULL=BLANK",,$D73,$BC$4),BE73)</f>
        <v>8.1252745399999995</v>
      </c>
      <c r="BF73" s="765" cm="1">
        <f t="array" aca="1" ref="BF73" ca="1">IF(NPSwitch=1,_xll.TR(BF$7,BF$6,"Sdate=#1 Period=#2 NULL=BLANK",,$D73,$BC$4),BF73)</f>
        <v>10.042240515</v>
      </c>
      <c r="BG73" s="765" t="str" cm="1">
        <f t="array" aca="1" ref="BG73" ca="1">IF(NPSwitch=1,_xll.TR(BG$7,BG$6,"Sdate=#1 Period=#2 NULL=BLANK",,$D73,$BC$4),BG73)</f>
        <v/>
      </c>
      <c r="BH73" s="765" cm="1">
        <f t="array" aca="1" ref="BH73" ca="1">IF(NPSwitch=1,_xll.TR(BH$7,BH$6,"Sdate=#1 Period=#2 NULL=BLANK",,$D73,$BC$4),BH73)</f>
        <v>13.561031135</v>
      </c>
      <c r="BI73" s="765" cm="1">
        <f t="array" aca="1" ref="BI73" ca="1">IF(NPSwitch=1,_xll.TR(BI$7,BI$6,"Sdate=#1 Period=#2 NULL=BLANK",,$D73,$BC$4),BI73)</f>
        <v>12.743845712000001</v>
      </c>
      <c r="BJ73" s="765" cm="1">
        <f t="array" aca="1" ref="BJ73" ca="1">IF(NPSwitch=1,_xll.TR(BJ$7,BJ$6,"Sdate=#1 Period=#2 NULL=BLANK",,$D73,$BC$4),BJ73)</f>
        <v>5.1299091499999996</v>
      </c>
      <c r="BK73" s="765" cm="1">
        <f t="array" aca="1" ref="BK73" ca="1">IF(NPSwitch=1,_xll.TR(BK$7,BK$6,"Sdate=#1 Period=#2 NULL=BLANK",,$D73,$BC$4),BK73)</f>
        <v>7.1897793999999999</v>
      </c>
      <c r="BO73" s="765" cm="1">
        <f t="array" aca="1" ref="BO73" ca="1">IF(NPSwitch=1,_xll.TR(BO$7,BO$6,"Sdate=#1 Period=#2 NULL=BLANK Scale=6",,$D73,$AS$4),BO73)</f>
        <v>31450</v>
      </c>
      <c r="BP73" s="765" cm="1">
        <f t="array" aca="1" ref="BP73" ca="1">IF(NPSwitch=1,_xll.TR(BP$7,BP$6,"Sdate=#1 Period=#2 NULL=BLANK Scale=6",,$D73,$AS$4),BP73)</f>
        <v>2435.395</v>
      </c>
      <c r="BQ73" s="765" cm="1">
        <f t="array" aca="1" ref="BQ73" ca="1">IF(NPSwitch=1,_xll.TR(BQ$7,BQ$6,"Sdate=#1 Period=#2 NULL=BLANK Scale=6",,$D73,$AS$4),BQ73)</f>
        <v>6052</v>
      </c>
      <c r="BR73" s="765" cm="1">
        <f t="array" aca="1" ref="BR73" ca="1">IF(NPSwitch=1,_xll.TR(BR$7,BR$6,"Sdate=#1 Period=#2 NULL=BLANK Scale=6",,$D73,$AS$4),BR73)</f>
        <v>3940.3</v>
      </c>
      <c r="BS73" s="765" cm="1">
        <f t="array" aca="1" ref="BS73" ca="1">IF(NPSwitch=1,_xll.TR(BS$7,BS$6,"Sdate=#1 Period=#2 NULL=BLANK Scale=6",,$D73,$AS$4),BS73)</f>
        <v>11290</v>
      </c>
      <c r="BT73" s="765" cm="1">
        <f t="array" aca="1" ref="BT73" ca="1">IF(NPSwitch=1,_xll.TR(BT$7,BT$6,"Sdate=#1 Period=#2 NULL=BLANK Scale=6",,$D73,$AS$4),BT73)</f>
        <v>3639.9</v>
      </c>
      <c r="BU73" s="765" cm="1">
        <f t="array" aca="1" ref="BU73" ca="1">IF(NPSwitch=1,_xll.TR(BU$7,BU$6,"Sdate=#1 Period=#2 NULL=BLANK Scale=6",,$D73,$AS$4),BU73)</f>
        <v>14992</v>
      </c>
      <c r="BV73" s="765" cm="1">
        <f t="array" aca="1" ref="BV73" ca="1">IF(NPSwitch=1,_xll.TR(BV$7,BV$6,"Sdate=#1 Period=#2 NULL=BLANK Scale=6",,$D73,$AS$4),BV73)</f>
        <v>10297</v>
      </c>
      <c r="BW73" s="765" cm="1">
        <f t="array" aca="1" ref="BW73" ca="1">IF(NPSwitch=1,_xll.TR(BW$7,BW$6,"Sdate=#1 Period=#2 NULL=BLANK Scale=6",,$D73,$AS$4),BW73)</f>
        <v>9368</v>
      </c>
      <c r="BY73" s="765" cm="1">
        <f t="array" aca="1" ref="BY73" ca="1">IF(NPSwitch=1,_xll.TR(BY$7,BY$6,"Sdate=#1 Period=#2 NULL=BLANK Scale=6",,$D73,$AS$4),BY73)</f>
        <v>24326.5</v>
      </c>
      <c r="BZ73" s="765" cm="1">
        <f t="array" aca="1" ref="BZ73" ca="1">IF(NPSwitch=1,_xll.TR(BZ$7,BZ$6,"Sdate=#1 Period=#2 NULL=BLANK Scale=6",,$D73,$AS$4),BZ73)</f>
        <v>2741.3957500000001</v>
      </c>
      <c r="CA73" s="765" cm="1">
        <f t="array" aca="1" ref="CA73" ca="1">IF(NPSwitch=1,_xll.TR(CA$7,CA$6,"Sdate=#1 Period=#2 NULL=BLANK Scale=6",,$D73,$AS$4),CA73)</f>
        <v>7877.75</v>
      </c>
      <c r="CB73" s="765" cm="1">
        <f t="array" aca="1" ref="CB73" ca="1">IF(NPSwitch=1,_xll.TR(CB$7,CB$6,"Sdate=#1 Period=#2 NULL=BLANK Scale=6",,$D73,$AS$4),CB73)</f>
        <v>1943.825</v>
      </c>
      <c r="CC73" s="765" cm="1">
        <f t="array" aca="1" ref="CC73" ca="1">IF(NPSwitch=1,_xll.TR(CC$7,CC$6,"Sdate=#1 Period=#2 NULL=BLANK Scale=6",,$D73,$AS$4),CC73)</f>
        <v>6083.5</v>
      </c>
      <c r="CD73" s="765" cm="1">
        <f t="array" aca="1" ref="CD73" ca="1">IF(NPSwitch=1,_xll.TR(CD$7,CD$6,"Sdate=#1 Period=#2 NULL=BLANK Scale=6",,$D73,$AS$4),CD73)</f>
        <v>3369.5</v>
      </c>
      <c r="CE73" s="765" cm="1">
        <f t="array" aca="1" ref="CE73" ca="1">IF(NPSwitch=1,_xll.TR(CE$7,CE$6,"Sdate=#1 Period=#2 NULL=BLANK Scale=6",,$D73,$AS$4),CE73)</f>
        <v>9166.25</v>
      </c>
      <c r="CF73" s="765" cm="1">
        <f t="array" aca="1" ref="CF73" ca="1">IF(NPSwitch=1,_xll.TR(CF$7,CF$6,"Sdate=#1 Period=#2 NULL=BLANK Scale=6",,$D73,$AS$4),CF73)</f>
        <v>10355.5</v>
      </c>
      <c r="CG73" s="765" cm="1">
        <f t="array" aca="1" ref="CG73" ca="1">IF(NPSwitch=1,_xll.TR(CG$7,CG$6,"Sdate=#1 Period=#2 NULL=BLANK Scale=6",,$D73,$AS$4),CG73)</f>
        <v>8350.5</v>
      </c>
      <c r="CI73" s="1000" cm="1">
        <f t="array" aca="1" ref="CI73" ca="1">IF(NPSwitch=1,_xll.TR(CI$7,CI$6,"Sdate=#1 Period=#2 NULL=BLANK Scale=6",,$D73,$AS$4),CI73)</f>
        <v>8350</v>
      </c>
      <c r="CJ73" s="1000" cm="1">
        <f t="array" aca="1" ref="CJ73" ca="1">IF(NPSwitch=1,_xll.TR(CJ$7,CJ$6,"Sdate=#1 Period=#2 NULL=BLANK Scale=6",,$D73,$AS$4),CJ73)</f>
        <v>710.87800000000004</v>
      </c>
      <c r="CK73" s="1000" cm="1">
        <f t="array" aca="1" ref="CK73" ca="1">IF(NPSwitch=1,_xll.TR(CK$7,CK$6,"Sdate=#1 Period=#2 NULL=BLANK Scale=6",,$D73,$AS$4),CK73)</f>
        <v>1346</v>
      </c>
      <c r="CL73" s="1000" cm="1">
        <f t="array" aca="1" ref="CL73" ca="1">IF(NPSwitch=1,_xll.TR(CL$7,CL$6,"Sdate=#1 Period=#2 NULL=BLANK Scale=6",,$D73,$AS$4),CL73)</f>
        <v>433.8</v>
      </c>
      <c r="CM73" s="1000" cm="1">
        <f t="array" aca="1" ref="CM73" ca="1">IF(NPSwitch=1,_xll.TR(CM$7,CM$6,"Sdate=#1 Period=#2 NULL=BLANK Scale=6",,$D73,$AS$4),CM73)</f>
        <v>1286</v>
      </c>
      <c r="CN73" s="1000" cm="1">
        <f t="array" aca="1" ref="CN73" ca="1">IF(NPSwitch=1,_xll.TR(CN$7,CN$6,"Sdate=#1 Period=#2 NULL=BLANK Scale=6",,$D73,$AS$4),CN73)</f>
        <v>761.7</v>
      </c>
      <c r="CO73" s="1000" cm="1">
        <f t="array" aca="1" ref="CO73" ca="1">IF(NPSwitch=1,_xll.TR(CO$7,CO$6,"Sdate=#1 Period=#2 NULL=BLANK Scale=6",,$D73,$AS$4),CO73)</f>
        <v>2224</v>
      </c>
      <c r="CP73" s="1000" cm="1">
        <f t="array" aca="1" ref="CP73" ca="1">IF(NPSwitch=1,_xll.TR(CP$7,CP$6,"Sdate=#1 Period=#2 NULL=BLANK Scale=6",,$D73,$AS$4),CP73)</f>
        <v>2344</v>
      </c>
      <c r="CQ73" s="1000" cm="1">
        <f t="array" aca="1" ref="CQ73" ca="1">IF(NPSwitch=1,_xll.TR(CQ$7,CQ$6,"Sdate=#1 Period=#2 NULL=BLANK Scale=6",,$D73,$AS$4),CQ73)</f>
        <v>2332</v>
      </c>
      <c r="CS73" s="1000" cm="1">
        <f t="array" aca="1" ref="CS73" ca="1">IF(NPSwitch=1,_xll.TR(CS$7,CS$6,"Sdate=#1 Period=#2 NULL=BLANK Scale=6",,$D73,$AS$4),CS73)</f>
        <v>8603.75</v>
      </c>
      <c r="CT73" s="1000" cm="1">
        <f t="array" aca="1" ref="CT73" ca="1">IF(NPSwitch=1,_xll.TR(CT$7,CT$6,"Sdate=#1 Period=#2 NULL=BLANK Scale=6",,$D73,$AS$4),CT73)</f>
        <v>1321.49225</v>
      </c>
      <c r="CU73" s="1000" cm="1">
        <f t="array" aca="1" ref="CU73" ca="1">IF(NPSwitch=1,_xll.TR(CU$7,CU$6,"Sdate=#1 Period=#2 NULL=BLANK Scale=6",,$D73,$AS$4),CU73)</f>
        <v>2559.5</v>
      </c>
      <c r="CV73" s="1000" cm="1">
        <f t="array" aca="1" ref="CV73" ca="1">IF(NPSwitch=1,_xll.TR(CV$7,CV$6,"Sdate=#1 Period=#2 NULL=BLANK Scale=6",,$D73,$AS$4),CV73)</f>
        <v>633.52499999999998</v>
      </c>
      <c r="CW73" s="1000" cm="1">
        <f t="array" aca="1" ref="CW73" ca="1">IF(NPSwitch=1,_xll.TR(CW$7,CW$6,"Sdate=#1 Period=#2 NULL=BLANK Scale=6",,$D73,$AS$4),CW73)</f>
        <v>1233.5</v>
      </c>
      <c r="CX73" s="1000" cm="1">
        <f t="array" aca="1" ref="CX73" ca="1">IF(NPSwitch=1,_xll.TR(CX$7,CX$6,"Sdate=#1 Period=#2 NULL=BLANK Scale=6",,$D73,$AS$4),CX73)</f>
        <v>2766</v>
      </c>
      <c r="CY73" s="1000" cm="1">
        <f t="array" aca="1" ref="CY73" ca="1">IF(NPSwitch=1,_xll.TR(CY$7,CY$6,"Sdate=#1 Period=#2 NULL=BLANK Scale=6",,$D73,$AS$4),CY73)</f>
        <v>4937</v>
      </c>
      <c r="CZ73" s="1000" cm="1">
        <f t="array" aca="1" ref="CZ73" ca="1">IF(NPSwitch=1,_xll.TR(CZ$7,CZ$6,"Sdate=#1 Period=#2 NULL=BLANK Scale=6",,$D73,$AS$4),CZ73)</f>
        <v>4287.75</v>
      </c>
      <c r="DA73" s="1000" cm="1">
        <f t="array" aca="1" ref="DA73" ca="1">IF(NPSwitch=1,_xll.TR(DA$7,DA$6,"Sdate=#1 Period=#2 NULL=BLANK Scale=6",,$D73,$AS$4),DA73)</f>
        <v>3478</v>
      </c>
      <c r="DB73" s="1000" cm="1">
        <f t="array" aca="1" ref="DB73" ca="1">IF(NPSwitch=1,_xll.TR(DB$7,DB$6,"Sdate=#1 Period=#2 NULL=BLANK Scale=6",,$D73,$AS$4),DB73)</f>
        <v>19234.25</v>
      </c>
      <c r="DC73" s="1000" t="str" cm="1">
        <f t="array" aca="1" ref="DC73" ca="1">IF(NPSwitch=1,_xll.TR(DC$7,DC$6,"Sdate=#1 Period=#2 NULL=BLANK Scale=6",,$D73,$AS$4),DC73)</f>
        <v/>
      </c>
      <c r="DD73" s="1000" cm="1">
        <f t="array" aca="1" ref="DD73" ca="1">IF(NPSwitch=1,_xll.TR(DD$7,DD$6,"Sdate=#1 Period=#2 NULL=BLANK Scale=6",,$D73,$AS$4),DD73)</f>
        <v>8494</v>
      </c>
      <c r="DE73" s="1000" t="str" cm="1">
        <f t="array" aca="1" ref="DE73" ca="1">IF(NPSwitch=1,_xll.TR(DE$7,DE$6,"Sdate=#1 Period=#2 NULL=BLANK Scale=6",,$D73,$AS$4),DE73)</f>
        <v/>
      </c>
      <c r="DF73" s="1000" cm="1">
        <f t="array" aca="1" ref="DF73" ca="1">IF(NPSwitch=1,_xll.TR(DF$7,DF$6,"Sdate=#1 Period=#2 NULL=BLANK Scale=6",,$D73,$AS$4),DF73)</f>
        <v>633.52499999999998</v>
      </c>
      <c r="DG73" s="1000" cm="1">
        <f t="array" aca="1" ref="DG73" ca="1">IF(NPSwitch=1,_xll.TR(DG$7,DG$6,"Sdate=#1 Period=#2 NULL=BLANK Scale=6",,$D73,$AS$4),DG73)</f>
        <v>3784.75</v>
      </c>
      <c r="DH73" s="1000" cm="1">
        <f t="array" aca="1" ref="DH73" ca="1">IF(NPSwitch=1,_xll.TR(DH$7,DH$6,"Sdate=#1 Period=#2 NULL=BLANK Scale=6",,$D73,$AS$4),DH73)</f>
        <v>2102.1559999999999</v>
      </c>
      <c r="FN73" s="3" t="s">
        <v>1576</v>
      </c>
    </row>
    <row r="74" spans="3:170">
      <c r="C74" s="972">
        <f t="shared" si="44"/>
        <v>41912</v>
      </c>
      <c r="D74" s="974">
        <f t="shared" si="43"/>
        <v>41957</v>
      </c>
      <c r="E74" s="765" cm="1">
        <f t="array" aca="1" ref="E74" ca="1">IF(NPSwitch=1,_xll.TR(E$7,E$6,"Sdate=#1 Period=#2 NULL=BLANK",,$D74,$E$4),E74)</f>
        <v>12.000574769565899</v>
      </c>
      <c r="F74" s="765" cm="1">
        <f t="array" aca="1" ref="F74" ca="1">IF(NPSwitch=1,_xll.TR(F$7,F$6,"Sdate=#1 Period=#2 NULL=BLANK",,$D74,$E$4),F74)</f>
        <v>8.7681760997793603</v>
      </c>
      <c r="G74" s="765" cm="1">
        <f t="array" aca="1" ref="G74" ca="1">IF(NPSwitch=1,_xll.TR(G$7,G$6,"Sdate=#1 Period=#2 NULL=BLANK",,$D74,$E$4),G74)</f>
        <v>8.6414057646300098</v>
      </c>
      <c r="H74" s="765" cm="1">
        <f t="array" aca="1" ref="H74" ca="1">IF(NPSwitch=1,_xll.TR(H$7,H$6,"Sdate=#1 Period=#2 NULL=BLANK",,$D74,$E$4),H74)</f>
        <v>8.1700468801471793</v>
      </c>
      <c r="I74" s="765" cm="1">
        <f t="array" aca="1" ref="I74" ca="1">IF(NPSwitch=1,_xll.TR(I$7,I$6,"Sdate=#1 Period=#2 NULL=BLANK",,$D74,$E$4),I74)</f>
        <v>6.15095808887523</v>
      </c>
      <c r="J74" s="765" cm="1">
        <f t="array" aca="1" ref="J74" ca="1">IF(NPSwitch=1,_xll.TR(J$7,J$6,"Sdate=#1 Period=#2 NULL=BLANK",,$D74,$E$4),J74)</f>
        <v>8.7672121098135403</v>
      </c>
      <c r="K74" s="765" cm="1">
        <f t="array" aca="1" ref="K74" ca="1">IF(NPSwitch=1,_xll.TR(K$7,K$6,"Sdate=#1 Period=#2 NULL=BLANK",,$D74,$E$4),K74)</f>
        <v>10.515460138038801</v>
      </c>
      <c r="L74" s="765" cm="1">
        <f t="array" aca="1" ref="L74" ca="1">IF(NPSwitch=1,_xll.TR(L$7,L$6,"Sdate=#1 Period=#2 NULL=BLANK",,$D74,$E$4),L74)</f>
        <v>5.9395532223140801</v>
      </c>
      <c r="M74" s="765" cm="1">
        <f t="array" aca="1" ref="M74" ca="1">IF(NPSwitch=1,_xll.TR(M$7,M$6,"Sdate=#1 Period=#2 NULL=BLANK",,$D74,$E$4),M74)</f>
        <v>7.4467288782765904</v>
      </c>
      <c r="N74" s="1002">
        <f t="shared" ca="1" si="45"/>
        <v>8.030772700636474</v>
      </c>
      <c r="O74" s="1000" cm="1">
        <f t="array" aca="1" ref="O74" ca="1">IF(NPSwitch=1,_xll.TR(O$7,O$6,"Sdate=#1 Period=#2 Scale=6 NULL=BLANK",,$D74,$O$4),O74)</f>
        <v>101794.0730517</v>
      </c>
      <c r="P74" s="1000" cm="1">
        <f t="array" aca="1" ref="P74" ca="1">IF(NPSwitch=1,_xll.TR(P$7,P$6,"Sdate=#1 Period=#2 Scale=6 NULL=BLANK",,$D74,$O$4),P74)</f>
        <v>4831.3839936599998</v>
      </c>
      <c r="Q74" s="1000" cm="1">
        <f t="array" aca="1" ref="Q74" ca="1">IF(NPSwitch=1,_xll.TR(Q$7,Q$6,"Sdate=#1 Period=#2 Scale=6 NULL=BLANK",,$D74,$O$4),Q74)</f>
        <v>7594.4163036</v>
      </c>
      <c r="R74" s="1000" cm="1">
        <f t="array" aca="1" ref="R74" ca="1">IF(NPSwitch=1,_xll.TR(R$7,R$6,"Sdate=#1 Period=#2 Scale=6 NULL=BLANK",,$D74,$O$4),R74)</f>
        <v>3334.59919408</v>
      </c>
      <c r="S74" s="1000" cm="1">
        <f t="array" aca="1" ref="S74" ca="1">IF(NPSwitch=1,_xll.TR(S$7,S$6,"Sdate=#1 Period=#2 Scale=6 NULL=BLANK",,$D74,$O$4),S74)</f>
        <v>6285.6462497399998</v>
      </c>
      <c r="T74" s="1000" cm="1">
        <f t="array" aca="1" ref="T74" ca="1">IF(NPSwitch=1,_xll.TR(T$7,T$6,"Sdate=#1 Period=#2 Scale=6 NULL=BLANK",,$D74,$O$4),T74)</f>
        <v>7545.5787290199896</v>
      </c>
      <c r="U74" s="1000" cm="1">
        <f t="array" aca="1" ref="U74" ca="1">IF(NPSwitch=1,_xll.TR(U$7,U$6,"Sdate=#1 Period=#2 Scale=6 NULL=BLANK",,$D74,$O$4),U74)</f>
        <v>27982.2268989</v>
      </c>
      <c r="V74" s="1000" cm="1">
        <f t="array" aca="1" ref="V74" ca="1">IF(NPSwitch=1,_xll.TR(V$7,V$6,"Sdate=#1 Period=#2 Scale=6 NULL=BLANK",,$D74,$O$4),V74)</f>
        <v>9562.7579156999309</v>
      </c>
      <c r="W74" s="1000" cm="1">
        <f t="array" aca="1" ref="W74" ca="1">IF(NPSwitch=1,_xll.TR(W$7,W$6,"Sdate=#1 Period=#2 Scale=6 NULL=BLANK",,$D74,$O$4),W74)</f>
        <v>12503.036195279999</v>
      </c>
      <c r="X74" s="998"/>
      <c r="Y74" s="1000" cm="1">
        <f t="array" aca="1" ref="Y74" ca="1">IF(NPSwitch=1,_xll.TR(Y$7,Y$6,"Sdate=#1 Period=#2 Scale=6 NULL=BLANK",,$D74,$O$4),Y74)</f>
        <v>2964</v>
      </c>
      <c r="Z74" s="1000" cm="1">
        <f t="array" aca="1" ref="Z74" ca="1">IF(NPSwitch=1,_xll.TR(Z$7,Z$6,"Sdate=#1 Period=#2 Scale=6 NULL=BLANK",,$D74,$O$4),Z74)</f>
        <v>542.38025000000005</v>
      </c>
      <c r="AA74" s="1000" cm="1">
        <f t="array" aca="1" ref="AA74" ca="1">IF(NPSwitch=1,_xll.TR(AA$7,AA$6,"Sdate=#1 Period=#2 Scale=6 NULL=BLANK",,$D74,$O$4),AA74)</f>
        <v>687.25</v>
      </c>
      <c r="AB74" s="1000" cm="1">
        <f t="array" aca="1" ref="AB74" ca="1">IF(NPSwitch=1,_xll.TR(AB$7,AB$6,"Sdate=#1 Period=#2 Scale=6 NULL=BLANK",,$D74,$O$4),AB74)</f>
        <v>282.14999999999998</v>
      </c>
      <c r="AC74" s="1000" cm="1">
        <f t="array" aca="1" ref="AC74" ca="1">IF(NPSwitch=1,_xll.TR(AC$7,AC$6,"Sdate=#1 Period=#2 Scale=6 NULL=BLANK",,$D74,$O$4),AC74)</f>
        <v>445.5</v>
      </c>
      <c r="AD74" s="1000" cm="1">
        <f t="array" aca="1" ref="AD74" ca="1">IF(NPSwitch=1,_xll.TR(AD$7,AD$6,"Sdate=#1 Period=#2 Scale=6 NULL=BLANK",,$D74,$O$4),AD74)</f>
        <v>113.6</v>
      </c>
      <c r="AE74" s="1000" cm="1">
        <f t="array" aca="1" ref="AE74" ca="1">IF(NPSwitch=1,_xll.TR(AE$7,AE$6,"Sdate=#1 Period=#2 Scale=6 NULL=BLANK",,$D74,$O$4),AE74)</f>
        <v>2683.75</v>
      </c>
      <c r="AF74" s="1000" cm="1">
        <f t="array" aca="1" ref="AF74" ca="1">IF(NPSwitch=1,_xll.TR(AF$7,AF$6,"Sdate=#1 Period=#2 Scale=6 NULL=BLANK",,$D74,$O$4),AF74)</f>
        <v>1286.75</v>
      </c>
      <c r="AG74" s="1000" cm="1">
        <f t="array" aca="1" ref="AG74" ca="1">IF(NPSwitch=1,_xll.TR(AG$7,AG$6,"Sdate=#1 Period=#2 Scale=6 NULL=BLANK",,$D74,$O$4),AG74)</f>
        <v>202.25</v>
      </c>
      <c r="AH74" s="998"/>
      <c r="AI74" s="1000" cm="1">
        <f t="array" aca="1" ref="AI74" ca="1">IF(NPSwitch=1,_xll.TR(AI$7,AI$6,"Sdate=#1 Period=#2 Scale=6 NULL=BLANK",,$D74,$O$4),AI74)</f>
        <v>106475.0730517</v>
      </c>
      <c r="AJ74" s="1000" cm="1">
        <f t="array" aca="1" ref="AJ74" ca="1">IF(NPSwitch=1,_xll.TR(AJ$7,AJ$6,"Sdate=#1 Period=#2 Scale=6 NULL=BLANK",,$D74,$O$4),AJ74)</f>
        <v>5361.1689936599996</v>
      </c>
      <c r="AK74" s="1000" cm="1">
        <f t="array" aca="1" ref="AK74" ca="1">IF(NPSwitch=1,_xll.TR(AK$7,AK$6,"Sdate=#1 Period=#2 Scale=6 NULL=BLANK",,$D74,$O$4),AK74)</f>
        <v>10339.416303600001</v>
      </c>
      <c r="AL74" s="1000" cm="1">
        <f t="array" aca="1" ref="AL74" ca="1">IF(NPSwitch=1,_xll.TR(AL$7,AL$6,"Sdate=#1 Period=#2 Scale=6 NULL=BLANK",,$D74,$O$4),AL74)</f>
        <v>4051.1991940799999</v>
      </c>
      <c r="AM74" s="1000" cm="1">
        <f t="array" aca="1" ref="AM74" ca="1">IF(NPSwitch=1,_xll.TR(AM$7,AM$6,"Sdate=#1 Period=#2 Scale=6 NULL=BLANK",,$D74,$O$4),AM74)</f>
        <v>9912.6462497400007</v>
      </c>
      <c r="AN74" s="1000" cm="1">
        <f t="array" aca="1" ref="AN74" ca="1">IF(NPSwitch=1,_xll.TR(AN$7,AN$6,"Sdate=#1 Period=#2 Scale=6 NULL=BLANK",,$D74,$O$4),AN74)</f>
        <v>9214.6787290200009</v>
      </c>
      <c r="AO74" s="1000" cm="1">
        <f t="array" aca="1" ref="AO74" ca="1">IF(NPSwitch=1,_xll.TR(AO$7,AO$6,"Sdate=#1 Period=#2 Scale=6 NULL=BLANK",,$D74,$O$4),AO74)</f>
        <v>28376.2268989</v>
      </c>
      <c r="AP74" s="1000" cm="1">
        <f t="array" aca="1" ref="AP74" ca="1">IF(NPSwitch=1,_xll.TR(AP$7,AP$6,"Sdate=#1 Period=#2 Scale=6 NULL=BLANK",,$D74,$O$4),AP74)</f>
        <v>11567.7579157</v>
      </c>
      <c r="AQ74" s="1000" cm="1">
        <f t="array" aca="1" ref="AQ74" ca="1">IF(NPSwitch=1,_xll.TR(AQ$7,AQ$6,"Sdate=#1 Period=#2 Scale=6 NULL=BLANK",,$D74,$O$4),AQ74)</f>
        <v>16932.036195280001</v>
      </c>
      <c r="AS74" s="765" cm="1">
        <f t="array" aca="1" ref="AS74" ca="1">IF(NPSwitch=1,_xll.TR(AS$7,AS$6,"Sdate=#1 Period=#2 NULL=BLANK Scale=6",,$D74,$AS$4),AS74)</f>
        <v>20.506250000000001</v>
      </c>
      <c r="AT74" s="765" t="str" cm="1">
        <f t="array" aca="1" ref="AT74" ca="1">IF(NPSwitch=1,_xll.TR(AT$7,AT$6,"Sdate=#1 Period=#2 NULL=BLANK Scale=6",,$D74,$AS$4),AT74)</f>
        <v/>
      </c>
      <c r="AU74" s="765" t="str" cm="1">
        <f t="array" aca="1" ref="AU74" ca="1">IF(NPSwitch=1,_xll.TR(AU$7,AU$6,"Sdate=#1 Period=#2 NULL=BLANK Scale=6",,$D74,$AS$4),AU74)</f>
        <v/>
      </c>
      <c r="AV74" s="765" t="str" cm="1">
        <f t="array" aca="1" ref="AV74" ca="1">IF(NPSwitch=1,_xll.TR(AV$7,AV$6,"Sdate=#1 Period=#2 NULL=BLANK Scale=6",,$D74,$AS$4),AV74)</f>
        <v/>
      </c>
      <c r="AW74" s="765" t="str" cm="1">
        <f t="array" aca="1" ref="AW74" ca="1">IF(NPSwitch=1,_xll.TR(AW$7,AW$6,"Sdate=#1 Period=#2 NULL=BLANK Scale=6",,$D74,$AS$4),AW74)</f>
        <v/>
      </c>
      <c r="AX74" s="765" t="str" cm="1">
        <f t="array" aca="1" ref="AX74" ca="1">IF(NPSwitch=1,_xll.TR(AX$7,AX$6,"Sdate=#1 Period=#2 NULL=BLANK Scale=6",,$D74,$AS$4),AX74)</f>
        <v/>
      </c>
      <c r="AY74" s="765" cm="1">
        <f t="array" aca="1" ref="AY74" ca="1">IF(NPSwitch=1,_xll.TR(AY$7,AY$6,"Sdate=#1 Period=#2 NULL=BLANK Scale=6",,$D74,$AS$4),AY74)</f>
        <v>15.391666666666699</v>
      </c>
      <c r="AZ74" s="765" cm="1">
        <f t="array" aca="1" ref="AZ74" ca="1">IF(NPSwitch=1,_xll.TR(AZ$7,AZ$6,"Sdate=#1 Period=#2 NULL=BLANK Scale=6",,$D74,$AS$4),AZ74)</f>
        <v>8.96875</v>
      </c>
      <c r="BA74" s="765" cm="1">
        <f t="array" aca="1" ref="BA74" ca="1">IF(NPSwitch=1,_xll.TR(BA$7,BA$6,"Sdate=#1 Period=#2 NULL=BLANK Scale=6",,$D74,$AS$4),BA74)</f>
        <v>11.534719166666701</v>
      </c>
      <c r="BB74" s="1002"/>
      <c r="BC74" s="765" cm="1">
        <f t="array" aca="1" ref="BC74" ca="1">IF(NPSwitch=1,_xll.TR(BC$7,BC$6,"Sdate=#1 Period=#2 NULL=BLANK",,$D74,$BC$4),BC74)</f>
        <v>12.533852037000001</v>
      </c>
      <c r="BD74" s="765" cm="1">
        <f t="array" aca="1" ref="BD74" ca="1">IF(NPSwitch=1,_xll.TR(BD$7,BD$6,"Sdate=#1 Period=#2 NULL=BLANK",,$D74,$BC$4),BD74)</f>
        <v>7.6909720989999997</v>
      </c>
      <c r="BE74" s="765" cm="1">
        <f t="array" aca="1" ref="BE74" ca="1">IF(NPSwitch=1,_xll.TR(BE$7,BE$6,"Sdate=#1 Period=#2 NULL=BLANK",,$D74,$BC$4),BE74)</f>
        <v>7.6815871500000004</v>
      </c>
      <c r="BF74" s="765" cm="1">
        <f t="array" aca="1" ref="BF74" ca="1">IF(NPSwitch=1,_xll.TR(BF$7,BF$6,"Sdate=#1 Period=#2 NULL=BLANK",,$D74,$BC$4),BF74)</f>
        <v>8.4770855699999998</v>
      </c>
      <c r="BG74" s="765" t="str" cm="1">
        <f t="array" aca="1" ref="BG74" ca="1">IF(NPSwitch=1,_xll.TR(BG$7,BG$6,"Sdate=#1 Period=#2 NULL=BLANK",,$D74,$BC$4),BG74)</f>
        <v/>
      </c>
      <c r="BH74" s="765" cm="1">
        <f t="array" aca="1" ref="BH74" ca="1">IF(NPSwitch=1,_xll.TR(BH$7,BH$6,"Sdate=#1 Period=#2 NULL=BLANK",,$D74,$BC$4),BH74)</f>
        <v>12.383656402</v>
      </c>
      <c r="BI74" s="765" cm="1">
        <f t="array" aca="1" ref="BI74" ca="1">IF(NPSwitch=1,_xll.TR(BI$7,BI$6,"Sdate=#1 Period=#2 NULL=BLANK",,$D74,$BC$4),BI74)</f>
        <v>12.429359132</v>
      </c>
      <c r="BJ74" s="765" cm="1">
        <f t="array" aca="1" ref="BJ74" ca="1">IF(NPSwitch=1,_xll.TR(BJ$7,BJ$6,"Sdate=#1 Period=#2 NULL=BLANK",,$D74,$BC$4),BJ74)</f>
        <v>4.920356408</v>
      </c>
      <c r="BK74" s="765" cm="1">
        <f t="array" aca="1" ref="BK74" ca="1">IF(NPSwitch=1,_xll.TR(BK$7,BK$6,"Sdate=#1 Period=#2 NULL=BLANK",,$D74,$BC$4),BK74)</f>
        <v>7.5053351929999996</v>
      </c>
      <c r="BO74" s="765" cm="1">
        <f t="array" aca="1" ref="BO74" ca="1">IF(NPSwitch=1,_xll.TR(BO$7,BO$6,"Sdate=#1 Period=#2 NULL=BLANK Scale=6",,$D74,$AS$4),BO74)</f>
        <v>31671</v>
      </c>
      <c r="BP74" s="765" cm="1">
        <f t="array" aca="1" ref="BP74" ca="1">IF(NPSwitch=1,_xll.TR(BP$7,BP$6,"Sdate=#1 Period=#2 NULL=BLANK Scale=6",,$D74,$AS$4),BP74)</f>
        <v>2486.6170000000002</v>
      </c>
      <c r="BQ74" s="765" cm="1">
        <f t="array" aca="1" ref="BQ74" ca="1">IF(NPSwitch=1,_xll.TR(BQ$7,BQ$6,"Sdate=#1 Period=#2 NULL=BLANK Scale=6",,$D74,$AS$4),BQ74)</f>
        <v>6120</v>
      </c>
      <c r="BR74" s="765" cm="1">
        <f t="array" aca="1" ref="BR74" ca="1">IF(NPSwitch=1,_xll.TR(BR$7,BR$6,"Sdate=#1 Period=#2 NULL=BLANK Scale=6",,$D74,$AS$4),BR74)</f>
        <v>3889.8</v>
      </c>
      <c r="BS74" s="765" cm="1">
        <f t="array" aca="1" ref="BS74" ca="1">IF(NPSwitch=1,_xll.TR(BS$7,BS$6,"Sdate=#1 Period=#2 NULL=BLANK Scale=6",,$D74,$AS$4),BS74)</f>
        <v>11332</v>
      </c>
      <c r="BT74" s="765" cm="1">
        <f t="array" aca="1" ref="BT74" ca="1">IF(NPSwitch=1,_xll.TR(BT$7,BT$6,"Sdate=#1 Period=#2 NULL=BLANK Scale=6",,$D74,$AS$4),BT74)</f>
        <v>3501.6</v>
      </c>
      <c r="BU74" s="765" cm="1">
        <f t="array" aca="1" ref="BU74" ca="1">IF(NPSwitch=1,_xll.TR(BU$7,BU$6,"Sdate=#1 Period=#2 NULL=BLANK Scale=6",,$D74,$AS$4),BU74)</f>
        <v>15153</v>
      </c>
      <c r="BV74" s="765" cm="1">
        <f t="array" aca="1" ref="BV74" ca="1">IF(NPSwitch=1,_xll.TR(BV$7,BV$6,"Sdate=#1 Period=#2 NULL=BLANK Scale=6",,$D74,$AS$4),BV74)</f>
        <v>10500</v>
      </c>
      <c r="BW74" s="765" cm="1">
        <f t="array" aca="1" ref="BW74" ca="1">IF(NPSwitch=1,_xll.TR(BW$7,BW$6,"Sdate=#1 Period=#2 NULL=BLANK Scale=6",,$D74,$AS$4),BW74)</f>
        <v>9443</v>
      </c>
      <c r="BY74" s="765" cm="1">
        <f t="array" aca="1" ref="BY74" ca="1">IF(NPSwitch=1,_xll.TR(BY$7,BY$6,"Sdate=#1 Period=#2 NULL=BLANK Scale=6",,$D74,$AS$4),BY74)</f>
        <v>24206.75</v>
      </c>
      <c r="BZ74" s="765" cm="1">
        <f t="array" aca="1" ref="BZ74" ca="1">IF(NPSwitch=1,_xll.TR(BZ$7,BZ$6,"Sdate=#1 Period=#2 NULL=BLANK Scale=6",,$D74,$AS$4),BZ74)</f>
        <v>2737.049</v>
      </c>
      <c r="CA74" s="765" cm="1">
        <f t="array" aca="1" ref="CA74" ca="1">IF(NPSwitch=1,_xll.TR(CA$7,CA$6,"Sdate=#1 Period=#2 NULL=BLANK Scale=6",,$D74,$AS$4),CA74)</f>
        <v>7630.75</v>
      </c>
      <c r="CB74" s="765" cm="1">
        <f t="array" aca="1" ref="CB74" ca="1">IF(NPSwitch=1,_xll.TR(CB$7,CB$6,"Sdate=#1 Period=#2 NULL=BLANK Scale=6",,$D74,$AS$4),CB74)</f>
        <v>1909.4749999999999</v>
      </c>
      <c r="CC74" s="765" cm="1">
        <f t="array" aca="1" ref="CC74" ca="1">IF(NPSwitch=1,_xll.TR(CC$7,CC$6,"Sdate=#1 Period=#2 NULL=BLANK Scale=6",,$D74,$AS$4),CC74)</f>
        <v>6231.25</v>
      </c>
      <c r="CD74" s="765" cm="1">
        <f t="array" aca="1" ref="CD74" ca="1">IF(NPSwitch=1,_xll.TR(CD$7,CD$6,"Sdate=#1 Period=#2 NULL=BLANK Scale=6",,$D74,$AS$4),CD74)</f>
        <v>3476.7</v>
      </c>
      <c r="CE74" s="765" cm="1">
        <f t="array" aca="1" ref="CE74" ca="1">IF(NPSwitch=1,_xll.TR(CE$7,CE$6,"Sdate=#1 Period=#2 NULL=BLANK Scale=6",,$D74,$AS$4),CE74)</f>
        <v>9335.5</v>
      </c>
      <c r="CF74" s="765" cm="1">
        <f t="array" aca="1" ref="CF74" ca="1">IF(NPSwitch=1,_xll.TR(CF$7,CF$6,"Sdate=#1 Period=#2 NULL=BLANK Scale=6",,$D74,$AS$4),CF74)</f>
        <v>10223.5</v>
      </c>
      <c r="CG74" s="765" cm="1">
        <f t="array" aca="1" ref="CG74" ca="1">IF(NPSwitch=1,_xll.TR(CG$7,CG$6,"Sdate=#1 Period=#2 NULL=BLANK Scale=6",,$D74,$AS$4),CG74)</f>
        <v>8461.5</v>
      </c>
      <c r="CI74" s="1000" cm="1">
        <f t="array" aca="1" ref="CI74" ca="1">IF(NPSwitch=1,_xll.TR(CI$7,CI$6,"Sdate=#1 Period=#2 NULL=BLANK Scale=6",,$D74,$AS$4),CI74)</f>
        <v>8495</v>
      </c>
      <c r="CJ74" s="1000" cm="1">
        <f t="array" aca="1" ref="CJ74" ca="1">IF(NPSwitch=1,_xll.TR(CJ$7,CJ$6,"Sdate=#1 Period=#2 NULL=BLANK Scale=6",,$D74,$AS$4),CJ74)</f>
        <v>697.07299999999998</v>
      </c>
      <c r="CK74" s="1000" cm="1">
        <f t="array" aca="1" ref="CK74" ca="1">IF(NPSwitch=1,_xll.TR(CK$7,CK$6,"Sdate=#1 Period=#2 NULL=BLANK Scale=6",,$D74,$AS$4),CK74)</f>
        <v>663</v>
      </c>
      <c r="CL74" s="1000" cm="1">
        <f t="array" aca="1" ref="CL74" ca="1">IF(NPSwitch=1,_xll.TR(CL$7,CL$6,"Sdate=#1 Period=#2 NULL=BLANK Scale=6",,$D74,$AS$4),CL74)</f>
        <v>477.9</v>
      </c>
      <c r="CM74" s="1000" cm="1">
        <f t="array" aca="1" ref="CM74" ca="1">IF(NPSwitch=1,_xll.TR(CM$7,CM$6,"Sdate=#1 Period=#2 NULL=BLANK Scale=6",,$D74,$AS$4),CM74)</f>
        <v>1278</v>
      </c>
      <c r="CN74" s="1000" cm="1">
        <f t="array" aca="1" ref="CN74" ca="1">IF(NPSwitch=1,_xll.TR(CN$7,CN$6,"Sdate=#1 Period=#2 NULL=BLANK Scale=6",,$D74,$AS$4),CN74)</f>
        <v>736.3</v>
      </c>
      <c r="CO74" s="1000" cm="1">
        <f t="array" aca="1" ref="CO74" ca="1">IF(NPSwitch=1,_xll.TR(CO$7,CO$6,"Sdate=#1 Period=#2 NULL=BLANK Scale=6",,$D74,$AS$4),CO74)</f>
        <v>2283</v>
      </c>
      <c r="CP74" s="1000" cm="1">
        <f t="array" aca="1" ref="CP74" ca="1">IF(NPSwitch=1,_xll.TR(CP$7,CP$6,"Sdate=#1 Period=#2 NULL=BLANK Scale=6",,$D74,$AS$4),CP74)</f>
        <v>2366</v>
      </c>
      <c r="CQ74" s="1000" cm="1">
        <f t="array" aca="1" ref="CQ74" ca="1">IF(NPSwitch=1,_xll.TR(CQ$7,CQ$6,"Sdate=#1 Period=#2 NULL=BLANK Scale=6",,$D74,$AS$4),CQ74)</f>
        <v>2256</v>
      </c>
      <c r="CS74" s="1000" cm="1">
        <f t="array" aca="1" ref="CS74" ca="1">IF(NPSwitch=1,_xll.TR(CS$7,CS$6,"Sdate=#1 Period=#2 NULL=BLANK Scale=6",,$D74,$AS$4),CS74)</f>
        <v>8616.5</v>
      </c>
      <c r="CT74" s="1000" cm="1">
        <f t="array" aca="1" ref="CT74" ca="1">IF(NPSwitch=1,_xll.TR(CT$7,CT$6,"Sdate=#1 Period=#2 NULL=BLANK Scale=6",,$D74,$AS$4),CT74)</f>
        <v>1291.81675</v>
      </c>
      <c r="CU74" s="1000" cm="1">
        <f t="array" aca="1" ref="CU74" ca="1">IF(NPSwitch=1,_xll.TR(CU$7,CU$6,"Sdate=#1 Period=#2 NULL=BLANK Scale=6",,$D74,$AS$4),CU74)</f>
        <v>2536.25</v>
      </c>
      <c r="CV74" s="1000" cm="1">
        <f t="array" aca="1" ref="CV74" ca="1">IF(NPSwitch=1,_xll.TR(CV$7,CV$6,"Sdate=#1 Period=#2 NULL=BLANK Scale=6",,$D74,$AS$4),CV74)</f>
        <v>621.32500000000005</v>
      </c>
      <c r="CW74" s="1000" cm="1">
        <f t="array" aca="1" ref="CW74" ca="1">IF(NPSwitch=1,_xll.TR(CW$7,CW$6,"Sdate=#1 Period=#2 NULL=BLANK Scale=6",,$D74,$AS$4),CW74)</f>
        <v>1263.45</v>
      </c>
      <c r="CX74" s="1000" cm="1">
        <f t="array" aca="1" ref="CX74" ca="1">IF(NPSwitch=1,_xll.TR(CX$7,CX$6,"Sdate=#1 Period=#2 NULL=BLANK Scale=6",,$D74,$AS$4),CX74)</f>
        <v>2774.25</v>
      </c>
      <c r="CY74" s="1000" cm="1">
        <f t="array" aca="1" ref="CY74" ca="1">IF(NPSwitch=1,_xll.TR(CY$7,CY$6,"Sdate=#1 Period=#2 NULL=BLANK Scale=6",,$D74,$AS$4),CY74)</f>
        <v>5051.25</v>
      </c>
      <c r="CZ74" s="1000" cm="1">
        <f t="array" aca="1" ref="CZ74" ca="1">IF(NPSwitch=1,_xll.TR(CZ$7,CZ$6,"Sdate=#1 Period=#2 NULL=BLANK Scale=6",,$D74,$AS$4),CZ74)</f>
        <v>4321.5</v>
      </c>
      <c r="DA74" s="1000" cm="1">
        <f t="array" aca="1" ref="DA74" ca="1">IF(NPSwitch=1,_xll.TR(DA$7,DA$6,"Sdate=#1 Period=#2 NULL=BLANK Scale=6",,$D74,$AS$4),DA74)</f>
        <v>3534.75</v>
      </c>
      <c r="DB74" s="1000" cm="1">
        <f t="array" aca="1" ref="DB74" ca="1">IF(NPSwitch=1,_xll.TR(DB$7,DB$6,"Sdate=#1 Period=#2 NULL=BLANK Scale=6",,$D74,$AS$4),DB74)</f>
        <v>20002.75</v>
      </c>
      <c r="DC74" s="1000" t="str" cm="1">
        <f t="array" aca="1" ref="DC74" ca="1">IF(NPSwitch=1,_xll.TR(DC$7,DC$6,"Sdate=#1 Period=#2 NULL=BLANK Scale=6",,$D74,$AS$4),DC74)</f>
        <v/>
      </c>
      <c r="DD74" s="1000" cm="1">
        <f t="array" aca="1" ref="DD74" ca="1">IF(NPSwitch=1,_xll.TR(DD$7,DD$6,"Sdate=#1 Period=#2 NULL=BLANK Scale=6",,$D74,$AS$4),DD74)</f>
        <v>8588.25</v>
      </c>
      <c r="DE74" s="1000" t="str" cm="1">
        <f t="array" aca="1" ref="DE74" ca="1">IF(NPSwitch=1,_xll.TR(DE$7,DE$6,"Sdate=#1 Period=#2 NULL=BLANK Scale=6",,$D74,$AS$4),DE74)</f>
        <v/>
      </c>
      <c r="DF74" s="1000" cm="1">
        <f t="array" aca="1" ref="DF74" ca="1">IF(NPSwitch=1,_xll.TR(DF$7,DF$6,"Sdate=#1 Period=#2 NULL=BLANK Scale=6",,$D74,$AS$4),DF74)</f>
        <v>621.32500000000005</v>
      </c>
      <c r="DG74" s="1000" cm="1">
        <f t="array" aca="1" ref="DG74" ca="1">IF(NPSwitch=1,_xll.TR(DG$7,DG$6,"Sdate=#1 Period=#2 NULL=BLANK Scale=6",,$D74,$AS$4),DG74)</f>
        <v>3774.25</v>
      </c>
      <c r="DH74" s="1000" cm="1">
        <f t="array" aca="1" ref="DH74" ca="1">IF(NPSwitch=1,_xll.TR(DH$7,DH$6,"Sdate=#1 Period=#2 NULL=BLANK Scale=6",,$D74,$AS$4),DH74)</f>
        <v>2291.5452500000001</v>
      </c>
      <c r="FN74" s="3" t="s">
        <v>1200</v>
      </c>
    </row>
    <row r="75" spans="3:170">
      <c r="C75" s="973">
        <f t="shared" si="44"/>
        <v>42004</v>
      </c>
      <c r="D75" s="974">
        <f t="shared" si="43"/>
        <v>42049</v>
      </c>
      <c r="E75" s="765" cm="1">
        <f t="array" aca="1" ref="E75" ca="1">IF(NPSwitch=1,_xll.TR(E$7,E$6,"Sdate=#1 Period=#2 NULL=BLANK",,$D75,$E$4),E75)</f>
        <v>12.1663215226773</v>
      </c>
      <c r="F75" s="765" cm="1">
        <f t="array" aca="1" ref="F75" ca="1">IF(NPSwitch=1,_xll.TR(F$7,F$6,"Sdate=#1 Period=#2 NULL=BLANK",,$D75,$E$4),F75)</f>
        <v>7.2450833952439</v>
      </c>
      <c r="G75" s="765" cm="1">
        <f t="array" aca="1" ref="G75" ca="1">IF(NPSwitch=1,_xll.TR(G$7,G$6,"Sdate=#1 Period=#2 NULL=BLANK",,$D75,$E$4),G75)</f>
        <v>9.1939158805191497</v>
      </c>
      <c r="H75" s="765" cm="1">
        <f t="array" aca="1" ref="H75" ca="1">IF(NPSwitch=1,_xll.TR(H$7,H$6,"Sdate=#1 Period=#2 NULL=BLANK",,$D75,$E$4),H75)</f>
        <v>8.7662034069860599</v>
      </c>
      <c r="I75" s="765" cm="1">
        <f t="array" aca="1" ref="I75" ca="1">IF(NPSwitch=1,_xll.TR(I$7,I$6,"Sdate=#1 Period=#2 NULL=BLANK",,$D75,$E$4),I75)</f>
        <v>5.9658327422441202</v>
      </c>
      <c r="J75" s="765" cm="1">
        <f t="array" aca="1" ref="J75" ca="1">IF(NPSwitch=1,_xll.TR(J$7,J$6,"Sdate=#1 Period=#2 NULL=BLANK",,$D75,$E$4),J75)</f>
        <v>10.934597968444301</v>
      </c>
      <c r="K75" s="765" cm="1">
        <f t="array" aca="1" ref="K75" ca="1">IF(NPSwitch=1,_xll.TR(K$7,K$6,"Sdate=#1 Period=#2 NULL=BLANK",,$D75,$E$4),K75)</f>
        <v>11.7965687315367</v>
      </c>
      <c r="L75" s="765" cm="1">
        <f t="array" aca="1" ref="L75" ca="1">IF(NPSwitch=1,_xll.TR(L$7,L$6,"Sdate=#1 Period=#2 NULL=BLANK",,$D75,$E$4),L75)</f>
        <v>6.46518706700473</v>
      </c>
      <c r="M75" s="765" cm="1">
        <f t="array" aca="1" ref="M75" ca="1">IF(NPSwitch=1,_xll.TR(M$7,M$6,"Sdate=#1 Period=#2 NULL=BLANK",,$D75,$E$4),M75)</f>
        <v>6.9296338430472204</v>
      </c>
      <c r="N75" s="1002">
        <f t="shared" ca="1" si="45"/>
        <v>8.8537176327891771</v>
      </c>
      <c r="O75" s="1000" cm="1">
        <f t="array" aca="1" ref="O75" ca="1">IF(NPSwitch=1,_xll.TR(O$7,O$6,"Sdate=#1 Period=#2 Scale=6 NULL=BLANK",,$D75,$O$4),O75)</f>
        <v>105330.36621363999</v>
      </c>
      <c r="P75" s="1000" cm="1">
        <f t="array" aca="1" ref="P75" ca="1">IF(NPSwitch=1,_xll.TR(P$7,P$6,"Sdate=#1 Period=#2 Scale=6 NULL=BLANK",,$D75,$O$4),P75)</f>
        <v>6122.5821195500002</v>
      </c>
      <c r="Q75" s="1000" cm="1">
        <f t="array" aca="1" ref="Q75" ca="1">IF(NPSwitch=1,_xll.TR(Q$7,Q$6,"Sdate=#1 Period=#2 Scale=6 NULL=BLANK",,$D75,$O$4),Q75)</f>
        <v>8836.7835366800009</v>
      </c>
      <c r="R75" s="1000" cm="1">
        <f t="array" aca="1" ref="R75" ca="1">IF(NPSwitch=1,_xll.TR(R$7,R$6,"Sdate=#1 Period=#2 Scale=6 NULL=BLANK",,$D75,$O$4),R75)</f>
        <v>3568.4725819499999</v>
      </c>
      <c r="S75" s="1000" cm="1">
        <f t="array" aca="1" ref="S75" ca="1">IF(NPSwitch=1,_xll.TR(S$7,S$6,"Sdate=#1 Period=#2 Scale=6 NULL=BLANK",,$D75,$O$4),S75)</f>
        <v>5979.1455311999998</v>
      </c>
      <c r="T75" s="1000" cm="1">
        <f t="array" aca="1" ref="T75" ca="1">IF(NPSwitch=1,_xll.TR(T$7,T$6,"Sdate=#1 Period=#2 Scale=6 NULL=BLANK",,$D75,$O$4),T75)</f>
        <v>8489.6692892800002</v>
      </c>
      <c r="U75" s="1000" cm="1">
        <f t="array" aca="1" ref="U75" ca="1">IF(NPSwitch=1,_xll.TR(U$7,U$6,"Sdate=#1 Period=#2 Scale=6 NULL=BLANK",,$D75,$O$4),U75)</f>
        <v>32212.604196609998</v>
      </c>
      <c r="V75" s="1000" cm="1">
        <f t="array" aca="1" ref="V75" ca="1">IF(NPSwitch=1,_xll.TR(V$7,V$6,"Sdate=#1 Period=#2 Scale=6 NULL=BLANK",,$D75,$O$4),V75)</f>
        <v>10502.940492</v>
      </c>
      <c r="W75" s="1000" cm="1">
        <f t="array" aca="1" ref="W75" ca="1">IF(NPSwitch=1,_xll.TR(W$7,W$6,"Sdate=#1 Period=#2 Scale=6 NULL=BLANK",,$D75,$O$4),W75)</f>
        <v>11248.15299552</v>
      </c>
      <c r="X75" s="998"/>
      <c r="Y75" s="1000" cm="1">
        <f t="array" aca="1" ref="Y75" ca="1">IF(NPSwitch=1,_xll.TR(Y$7,Y$6,"Sdate=#1 Period=#2 Scale=6 NULL=BLANK",,$D75,$O$4),Y75)</f>
        <v>2963.75</v>
      </c>
      <c r="Z75" s="1000" cm="1">
        <f t="array" aca="1" ref="Z75" ca="1">IF(NPSwitch=1,_xll.TR(Z$7,Z$6,"Sdate=#1 Period=#2 Scale=6 NULL=BLANK",,$D75,$O$4),Z75)</f>
        <v>1045.5125</v>
      </c>
      <c r="AA75" s="1000" cm="1">
        <f t="array" aca="1" ref="AA75" ca="1">IF(NPSwitch=1,_xll.TR(AA$7,AA$6,"Sdate=#1 Period=#2 Scale=6 NULL=BLANK",,$D75,$O$4),AA75)</f>
        <v>927.5</v>
      </c>
      <c r="AB75" s="1000" cm="1">
        <f t="array" aca="1" ref="AB75" ca="1">IF(NPSwitch=1,_xll.TR(AB$7,AB$6,"Sdate=#1 Period=#2 Scale=6 NULL=BLANK",,$D75,$O$4),AB75)</f>
        <v>250.5</v>
      </c>
      <c r="AC75" s="1000" cm="1">
        <f t="array" aca="1" ref="AC75" ca="1">IF(NPSwitch=1,_xll.TR(AC$7,AC$6,"Sdate=#1 Period=#2 Scale=6 NULL=BLANK",,$D75,$O$4),AC75)</f>
        <v>445.5</v>
      </c>
      <c r="AD75" s="1000" cm="1">
        <f t="array" aca="1" ref="AD75" ca="1">IF(NPSwitch=1,_xll.TR(AD$7,AD$6,"Sdate=#1 Period=#2 Scale=6 NULL=BLANK",,$D75,$O$4),AD75)</f>
        <v>110.175</v>
      </c>
      <c r="AE75" s="1000" cm="1">
        <f t="array" aca="1" ref="AE75" ca="1">IF(NPSwitch=1,_xll.TR(AE$7,AE$6,"Sdate=#1 Period=#2 Scale=6 NULL=BLANK",,$D75,$O$4),AE75)</f>
        <v>2543.25</v>
      </c>
      <c r="AF75" s="1000" cm="1">
        <f t="array" aca="1" ref="AF75" ca="1">IF(NPSwitch=1,_xll.TR(AF$7,AF$6,"Sdate=#1 Period=#2 Scale=6 NULL=BLANK",,$D75,$O$4),AF75)</f>
        <v>1286.75</v>
      </c>
      <c r="AG75" s="1000" cm="1">
        <f t="array" aca="1" ref="AG75" ca="1">IF(NPSwitch=1,_xll.TR(AG$7,AG$6,"Sdate=#1 Period=#2 Scale=6 NULL=BLANK",,$D75,$O$4),AG75)</f>
        <v>196.5</v>
      </c>
      <c r="AH75" s="998"/>
      <c r="AI75" s="1000" cm="1">
        <f t="array" aca="1" ref="AI75" ca="1">IF(NPSwitch=1,_xll.TR(AI$7,AI$6,"Sdate=#1 Period=#2 Scale=6 NULL=BLANK",,$D75,$O$4),AI75)</f>
        <v>108897.36621363999</v>
      </c>
      <c r="AJ75" s="1000" cm="1">
        <f t="array" aca="1" ref="AJ75" ca="1">IF(NPSwitch=1,_xll.TR(AJ$7,AJ$6,"Sdate=#1 Period=#2 Scale=6 NULL=BLANK",,$D75,$O$4),AJ75)</f>
        <v>6652.3671195500001</v>
      </c>
      <c r="AK75" s="1000" cm="1">
        <f t="array" aca="1" ref="AK75" ca="1">IF(NPSwitch=1,_xll.TR(AK$7,AK$6,"Sdate=#1 Period=#2 Scale=6 NULL=BLANK",,$D75,$O$4),AK75)</f>
        <v>10855.783536680001</v>
      </c>
      <c r="AL75" s="1000" cm="1">
        <f t="array" aca="1" ref="AL75" ca="1">IF(NPSwitch=1,_xll.TR(AL$7,AL$6,"Sdate=#1 Period=#2 Scale=6 NULL=BLANK",,$D75,$O$4),AL75)</f>
        <v>4285.0725819500003</v>
      </c>
      <c r="AM75" s="1000" cm="1">
        <f t="array" aca="1" ref="AM75" ca="1">IF(NPSwitch=1,_xll.TR(AM$7,AM$6,"Sdate=#1 Period=#2 Scale=6 NULL=BLANK",,$D75,$O$4),AM75)</f>
        <v>9606.1455311999998</v>
      </c>
      <c r="AN75" s="1000" cm="1">
        <f t="array" aca="1" ref="AN75" ca="1">IF(NPSwitch=1,_xll.TR(AN$7,AN$6,"Sdate=#1 Period=#2 Scale=6 NULL=BLANK",,$D75,$O$4),AN75)</f>
        <v>10158.769289280001</v>
      </c>
      <c r="AO75" s="1000" cm="1">
        <f t="array" aca="1" ref="AO75" ca="1">IF(NPSwitch=1,_xll.TR(AO$7,AO$6,"Sdate=#1 Period=#2 Scale=6 NULL=BLANK",,$D75,$O$4),AO75)</f>
        <v>32606.604196609998</v>
      </c>
      <c r="AP75" s="1000" cm="1">
        <f t="array" aca="1" ref="AP75" ca="1">IF(NPSwitch=1,_xll.TR(AP$7,AP$6,"Sdate=#1 Period=#2 Scale=6 NULL=BLANK",,$D75,$O$4),AP75)</f>
        <v>12507.940492</v>
      </c>
      <c r="AQ75" s="1000" cm="1">
        <f t="array" aca="1" ref="AQ75" ca="1">IF(NPSwitch=1,_xll.TR(AQ$7,AQ$6,"Sdate=#1 Period=#2 Scale=6 NULL=BLANK",,$D75,$O$4),AQ75)</f>
        <v>15677.15299552</v>
      </c>
      <c r="AS75" s="765" cm="1">
        <f t="array" aca="1" ref="AS75" ca="1">IF(NPSwitch=1,_xll.TR(AS$7,AS$6,"Sdate=#1 Period=#2 NULL=BLANK Scale=6",,$D75,$AS$4),AS75)</f>
        <v>21.1277783333333</v>
      </c>
      <c r="AT75" s="765" t="str" cm="1">
        <f t="array" aca="1" ref="AT75" ca="1">IF(NPSwitch=1,_xll.TR(AT$7,AT$6,"Sdate=#1 Period=#2 NULL=BLANK Scale=6",,$D75,$AS$4),AT75)</f>
        <v/>
      </c>
      <c r="AU75" s="765" t="str" cm="1">
        <f t="array" aca="1" ref="AU75" ca="1">IF(NPSwitch=1,_xll.TR(AU$7,AU$6,"Sdate=#1 Period=#2 NULL=BLANK Scale=6",,$D75,$AS$4),AU75)</f>
        <v/>
      </c>
      <c r="AV75" s="765" cm="1">
        <f t="array" aca="1" ref="AV75" ca="1">IF(NPSwitch=1,_xll.TR(AV$7,AV$6,"Sdate=#1 Period=#2 NULL=BLANK Scale=6",,$D75,$AS$4),AV75)</f>
        <v>11.741666666666699</v>
      </c>
      <c r="AW75" s="765" t="str" cm="1">
        <f t="array" aca="1" ref="AW75" ca="1">IF(NPSwitch=1,_xll.TR(AW$7,AW$6,"Sdate=#1 Period=#2 NULL=BLANK Scale=6",,$D75,$AS$4),AW75)</f>
        <v/>
      </c>
      <c r="AX75" s="765" t="str" cm="1">
        <f t="array" aca="1" ref="AX75" ca="1">IF(NPSwitch=1,_xll.TR(AX$7,AX$6,"Sdate=#1 Period=#2 NULL=BLANK Scale=6",,$D75,$AS$4),AX75)</f>
        <v/>
      </c>
      <c r="AY75" s="765" cm="1">
        <f t="array" aca="1" ref="AY75" ca="1">IF(NPSwitch=1,_xll.TR(AY$7,AY$6,"Sdate=#1 Period=#2 NULL=BLANK Scale=6",,$D75,$AS$4),AY75)</f>
        <v>16.324999999999999</v>
      </c>
      <c r="AZ75" s="765" cm="1">
        <f t="array" aca="1" ref="AZ75" ca="1">IF(NPSwitch=1,_xll.TR(AZ$7,AZ$6,"Sdate=#1 Period=#2 NULL=BLANK Scale=6",,$D75,$AS$4),AZ75)</f>
        <v>9.3976183333333303</v>
      </c>
      <c r="BA75" s="765" cm="1">
        <f t="array" aca="1" ref="BA75" ca="1">IF(NPSwitch=1,_xll.TR(BA$7,BA$6,"Sdate=#1 Period=#2 NULL=BLANK Scale=6",,$D75,$AS$4),BA75)</f>
        <v>11.699996666666699</v>
      </c>
      <c r="BB75" s="1002"/>
      <c r="BC75" s="765" cm="1">
        <f t="array" aca="1" ref="BC75" ca="1">IF(NPSwitch=1,_xll.TR(BC$7,BC$6,"Sdate=#1 Period=#2 NULL=BLANK",,$D75,$BC$4),BC75)</f>
        <v>12.732066668</v>
      </c>
      <c r="BD75" s="765" cm="1">
        <f t="array" aca="1" ref="BD75" ca="1">IF(NPSwitch=1,_xll.TR(BD$7,BD$6,"Sdate=#1 Period=#2 NULL=BLANK",,$D75,$BC$4),BD75)</f>
        <v>9.5432861689999999</v>
      </c>
      <c r="BE75" s="765" cm="1">
        <f t="array" aca="1" ref="BE75" ca="1">IF(NPSwitch=1,_xll.TR(BE$7,BE$6,"Sdate=#1 Period=#2 NULL=BLANK",,$D75,$BC$4),BE75)</f>
        <v>15.98789917</v>
      </c>
      <c r="BF75" s="765" cm="1">
        <f t="array" aca="1" ref="BF75" ca="1">IF(NPSwitch=1,_xll.TR(BF$7,BF$6,"Sdate=#1 Period=#2 NULL=BLANK",,$D75,$BC$4),BF75)</f>
        <v>8.9664628210000004</v>
      </c>
      <c r="BG75" s="765" t="str" cm="1">
        <f t="array" aca="1" ref="BG75" ca="1">IF(NPSwitch=1,_xll.TR(BG$7,BG$6,"Sdate=#1 Period=#2 NULL=BLANK",,$D75,$BC$4),BG75)</f>
        <v/>
      </c>
      <c r="BH75" s="765" cm="1">
        <f t="array" aca="1" ref="BH75" ca="1">IF(NPSwitch=1,_xll.TR(BH$7,BH$6,"Sdate=#1 Period=#2 NULL=BLANK",,$D75,$BC$4),BH75)</f>
        <v>13.652424794</v>
      </c>
      <c r="BI75" s="765" cm="1">
        <f t="array" aca="1" ref="BI75" ca="1">IF(NPSwitch=1,_xll.TR(BI$7,BI$6,"Sdate=#1 Period=#2 NULL=BLANK",,$D75,$BC$4),BI75)</f>
        <v>14.282349626</v>
      </c>
      <c r="BJ75" s="765" cm="1">
        <f t="array" aca="1" ref="BJ75" ca="1">IF(NPSwitch=1,_xll.TR(BJ$7,BJ$6,"Sdate=#1 Period=#2 NULL=BLANK",,$D75,$BC$4),BJ75)</f>
        <v>5.3202639270000001</v>
      </c>
      <c r="BK75" s="765" cm="1">
        <f t="array" aca="1" ref="BK75" ca="1">IF(NPSwitch=1,_xll.TR(BK$7,BK$6,"Sdate=#1 Period=#2 NULL=BLANK",,$D75,$BC$4),BK75)</f>
        <v>6.9490926399999999</v>
      </c>
      <c r="BO75" s="765" cm="1">
        <f t="array" aca="1" ref="BO75" ca="1">IF(NPSwitch=1,_xll.TR(BO$7,BO$6,"Sdate=#1 Period=#2 NULL=BLANK Scale=6",,$D75,$AS$4),BO75)</f>
        <v>31821</v>
      </c>
      <c r="BP75" s="765" cm="1">
        <f t="array" aca="1" ref="BP75" ca="1">IF(NPSwitch=1,_xll.TR(BP$7,BP$6,"Sdate=#1 Period=#2 NULL=BLANK Scale=6",,$D75,$AS$4),BP75)</f>
        <v>2445.5479999999998</v>
      </c>
      <c r="BQ75" s="765" cm="1">
        <f t="array" aca="1" ref="BQ75" ca="1">IF(NPSwitch=1,_xll.TR(BQ$7,BQ$6,"Sdate=#1 Period=#2 NULL=BLANK Scale=6",,$D75,$AS$4),BQ75)</f>
        <v>6079</v>
      </c>
      <c r="BR75" s="765" cm="1">
        <f t="array" aca="1" ref="BR75" ca="1">IF(NPSwitch=1,_xll.TR(BR$7,BR$6,"Sdate=#1 Period=#2 NULL=BLANK Scale=6",,$D75,$AS$4),BR75)</f>
        <v>3835.5</v>
      </c>
      <c r="BS75" s="765" cm="1">
        <f t="array" aca="1" ref="BS75" ca="1">IF(NPSwitch=1,_xll.TR(BS$7,BS$6,"Sdate=#1 Period=#2 NULL=BLANK Scale=6",,$D75,$AS$4),BS75)</f>
        <v>11332</v>
      </c>
      <c r="BT75" s="765" cm="1">
        <f t="array" aca="1" ref="BT75" ca="1">IF(NPSwitch=1,_xll.TR(BT$7,BT$6,"Sdate=#1 Period=#2 NULL=BLANK Scale=6",,$D75,$AS$4),BT75)</f>
        <v>3258.7</v>
      </c>
      <c r="BU75" s="765" cm="1">
        <f t="array" aca="1" ref="BU75" ca="1">IF(NPSwitch=1,_xll.TR(BU$7,BU$6,"Sdate=#1 Period=#2 NULL=BLANK Scale=6",,$D75,$AS$4),BU75)</f>
        <v>14791</v>
      </c>
      <c r="BV75" s="765" cm="1">
        <f t="array" aca="1" ref="BV75" ca="1">IF(NPSwitch=1,_xll.TR(BV$7,BV$6,"Sdate=#1 Period=#2 NULL=BLANK Scale=6",,$D75,$AS$4),BV75)</f>
        <v>10500</v>
      </c>
      <c r="BW75" s="765" cm="1">
        <f t="array" aca="1" ref="BW75" ca="1">IF(NPSwitch=1,_xll.TR(BW$7,BW$6,"Sdate=#1 Period=#2 NULL=BLANK Scale=6",,$D75,$AS$4),BW75)</f>
        <v>9527</v>
      </c>
      <c r="BY75" s="765" cm="1">
        <f t="array" aca="1" ref="BY75" ca="1">IF(NPSwitch=1,_xll.TR(BY$7,BY$6,"Sdate=#1 Period=#2 NULL=BLANK Scale=6",,$D75,$AS$4),BY75)</f>
        <v>23205.75</v>
      </c>
      <c r="BZ75" s="765" cm="1">
        <f t="array" aca="1" ref="BZ75" ca="1">IF(NPSwitch=1,_xll.TR(BZ$7,BZ$6,"Sdate=#1 Period=#2 NULL=BLANK Scale=6",,$D75,$AS$4),BZ75)</f>
        <v>3137.3305</v>
      </c>
      <c r="CA75" s="765" cm="1">
        <f t="array" aca="1" ref="CA75" ca="1">IF(NPSwitch=1,_xll.TR(CA$7,CA$6,"Sdate=#1 Period=#2 NULL=BLANK Scale=6",,$D75,$AS$4),CA75)</f>
        <v>7299</v>
      </c>
      <c r="CB75" s="765" cm="1">
        <f t="array" aca="1" ref="CB75" ca="1">IF(NPSwitch=1,_xll.TR(CB$7,CB$6,"Sdate=#1 Period=#2 NULL=BLANK Scale=6",,$D75,$AS$4),CB75)</f>
        <v>1864.575</v>
      </c>
      <c r="CC75" s="765" cm="1">
        <f t="array" aca="1" ref="CC75" ca="1">IF(NPSwitch=1,_xll.TR(CC$7,CC$6,"Sdate=#1 Period=#2 NULL=BLANK Scale=6",,$D75,$AS$4),CC75)</f>
        <v>6231.25</v>
      </c>
      <c r="CD75" s="765" cm="1">
        <f t="array" aca="1" ref="CD75" ca="1">IF(NPSwitch=1,_xll.TR(CD$7,CD$6,"Sdate=#1 Period=#2 NULL=BLANK Scale=6",,$D75,$AS$4),CD75)</f>
        <v>3427.7249999999999</v>
      </c>
      <c r="CE75" s="765" cm="1">
        <f t="array" aca="1" ref="CE75" ca="1">IF(NPSwitch=1,_xll.TR(CE$7,CE$6,"Sdate=#1 Period=#2 NULL=BLANK Scale=6",,$D75,$AS$4),CE75)</f>
        <v>9507</v>
      </c>
      <c r="CF75" s="765" cm="1">
        <f t="array" aca="1" ref="CF75" ca="1">IF(NPSwitch=1,_xll.TR(CF$7,CF$6,"Sdate=#1 Period=#2 NULL=BLANK Scale=6",,$D75,$AS$4),CF75)</f>
        <v>10223.5</v>
      </c>
      <c r="CG75" s="765" cm="1">
        <f t="array" aca="1" ref="CG75" ca="1">IF(NPSwitch=1,_xll.TR(CG$7,CG$6,"Sdate=#1 Period=#2 NULL=BLANK Scale=6",,$D75,$AS$4),CG75)</f>
        <v>9214</v>
      </c>
      <c r="CI75" s="1000" cm="1">
        <f t="array" aca="1" ref="CI75" ca="1">IF(NPSwitch=1,_xll.TR(CI$7,CI$6,"Sdate=#1 Period=#2 NULL=BLANK Scale=6",,$D75,$AS$4),CI75)</f>
        <v>8553</v>
      </c>
      <c r="CJ75" s="1000" cm="1">
        <f t="array" aca="1" ref="CJ75" ca="1">IF(NPSwitch=1,_xll.TR(CJ$7,CJ$6,"Sdate=#1 Period=#2 NULL=BLANK Scale=6",,$D75,$AS$4),CJ75)</f>
        <v>431.00299999999999</v>
      </c>
      <c r="CK75" s="1000" cm="1">
        <f t="array" aca="1" ref="CK75" ca="1">IF(NPSwitch=1,_xll.TR(CK$7,CK$6,"Sdate=#1 Period=#2 NULL=BLANK Scale=6",,$D75,$AS$4),CK75)</f>
        <v>679</v>
      </c>
      <c r="CL75" s="1000" cm="1">
        <f t="array" aca="1" ref="CL75" ca="1">IF(NPSwitch=1,_xll.TR(CL$7,CL$6,"Sdate=#1 Period=#2 NULL=BLANK Scale=6",,$D75,$AS$4),CL75)</f>
        <v>435.2</v>
      </c>
      <c r="CM75" s="1000" cm="1">
        <f t="array" aca="1" ref="CM75" ca="1">IF(NPSwitch=1,_xll.TR(CM$7,CM$6,"Sdate=#1 Period=#2 NULL=BLANK Scale=6",,$D75,$AS$4),CM75)</f>
        <v>1278</v>
      </c>
      <c r="CN75" s="1000" cm="1">
        <f t="array" aca="1" ref="CN75" ca="1">IF(NPSwitch=1,_xll.TR(CN$7,CN$6,"Sdate=#1 Period=#2 NULL=BLANK Scale=6",,$D75,$AS$4),CN75)</f>
        <v>674.1</v>
      </c>
      <c r="CO75" s="1000" cm="1">
        <f t="array" aca="1" ref="CO75" ca="1">IF(NPSwitch=1,_xll.TR(CO$7,CO$6,"Sdate=#1 Period=#2 NULL=BLANK Scale=6",,$D75,$AS$4),CO75)</f>
        <v>1973</v>
      </c>
      <c r="CP75" s="1000" cm="1">
        <f t="array" aca="1" ref="CP75" ca="1">IF(NPSwitch=1,_xll.TR(CP$7,CP$6,"Sdate=#1 Period=#2 NULL=BLANK Scale=6",,$D75,$AS$4),CP75)</f>
        <v>2366</v>
      </c>
      <c r="CQ75" s="1000" cm="1">
        <f t="array" aca="1" ref="CQ75" ca="1">IF(NPSwitch=1,_xll.TR(CQ$7,CQ$6,"Sdate=#1 Period=#2 NULL=BLANK Scale=6",,$D75,$AS$4),CQ75)</f>
        <v>2032</v>
      </c>
      <c r="CS75" s="1000" cm="1">
        <f t="array" aca="1" ref="CS75" ca="1">IF(NPSwitch=1,_xll.TR(CS$7,CS$6,"Sdate=#1 Period=#2 NULL=BLANK Scale=6",,$D75,$AS$4),CS75)</f>
        <v>8575.75</v>
      </c>
      <c r="CT75" s="1000" cm="1">
        <f t="array" aca="1" ref="CT75" ca="1">IF(NPSwitch=1,_xll.TR(CT$7,CT$6,"Sdate=#1 Period=#2 NULL=BLANK Scale=6",,$D75,$AS$4),CT75)</f>
        <v>1260.5165</v>
      </c>
      <c r="CU75" s="1000" cm="1">
        <f t="array" aca="1" ref="CU75" ca="1">IF(NPSwitch=1,_xll.TR(CU$7,CU$6,"Sdate=#1 Period=#2 NULL=BLANK Scale=6",,$D75,$AS$4),CU75)</f>
        <v>2392.75</v>
      </c>
      <c r="CV75" s="1000" cm="1">
        <f t="array" aca="1" ref="CV75" ca="1">IF(NPSwitch=1,_xll.TR(CV$7,CV$6,"Sdate=#1 Period=#2 NULL=BLANK Scale=6",,$D75,$AS$4),CV75)</f>
        <v>608.95000000000005</v>
      </c>
      <c r="CW75" s="1000" cm="1">
        <f t="array" aca="1" ref="CW75" ca="1">IF(NPSwitch=1,_xll.TR(CW$7,CW$6,"Sdate=#1 Period=#2 NULL=BLANK Scale=6",,$D75,$AS$4),CW75)</f>
        <v>1191.7249999999999</v>
      </c>
      <c r="CX75" s="1000" cm="1">
        <f t="array" aca="1" ref="CX75" ca="1">IF(NPSwitch=1,_xll.TR(CX$7,CX$6,"Sdate=#1 Period=#2 NULL=BLANK Scale=6",,$D75,$AS$4),CX75)</f>
        <v>2828.25</v>
      </c>
      <c r="CY75" s="1000" cm="1">
        <f t="array" aca="1" ref="CY75" ca="1">IF(NPSwitch=1,_xll.TR(CY$7,CY$6,"Sdate=#1 Period=#2 NULL=BLANK Scale=6",,$D75,$AS$4),CY75)</f>
        <v>5051.25</v>
      </c>
      <c r="CZ75" s="1000" cm="1">
        <f t="array" aca="1" ref="CZ75" ca="1">IF(NPSwitch=1,_xll.TR(CZ$7,CZ$6,"Sdate=#1 Period=#2 NULL=BLANK Scale=6",,$D75,$AS$4),CZ75)</f>
        <v>4520.75</v>
      </c>
      <c r="DA75" s="1000" cm="1">
        <f t="array" aca="1" ref="DA75" ca="1">IF(NPSwitch=1,_xll.TR(DA$7,DA$6,"Sdate=#1 Period=#2 NULL=BLANK Scale=6",,$D75,$AS$4),DA75)</f>
        <v>3611.75</v>
      </c>
      <c r="DB75" s="1000" cm="1">
        <f t="array" aca="1" ref="DB75" ca="1">IF(NPSwitch=1,_xll.TR(DB$7,DB$6,"Sdate=#1 Period=#2 NULL=BLANK Scale=6",,$D75,$AS$4),DB75)</f>
        <v>20002.75</v>
      </c>
      <c r="DC75" s="1000" t="str" cm="1">
        <f t="array" aca="1" ref="DC75" ca="1">IF(NPSwitch=1,_xll.TR(DC$7,DC$6,"Sdate=#1 Period=#2 NULL=BLANK Scale=6",,$D75,$AS$4),DC75)</f>
        <v/>
      </c>
      <c r="DD75" s="1000" cm="1">
        <f t="array" aca="1" ref="DD75" ca="1">IF(NPSwitch=1,_xll.TR(DD$7,DD$6,"Sdate=#1 Period=#2 NULL=BLANK Scale=6",,$D75,$AS$4),DD75)</f>
        <v>8663.5</v>
      </c>
      <c r="DE75" s="1000" t="str" cm="1">
        <f t="array" aca="1" ref="DE75" ca="1">IF(NPSwitch=1,_xll.TR(DE$7,DE$6,"Sdate=#1 Period=#2 NULL=BLANK Scale=6",,$D75,$AS$4),DE75)</f>
        <v/>
      </c>
      <c r="DF75" s="1000" cm="1">
        <f t="array" aca="1" ref="DF75" ca="1">IF(NPSwitch=1,_xll.TR(DF$7,DF$6,"Sdate=#1 Period=#2 NULL=BLANK Scale=6",,$D75,$AS$4),DF75)</f>
        <v>608.95000000000005</v>
      </c>
      <c r="DG75" s="1000" cm="1">
        <f t="array" aca="1" ref="DG75" ca="1">IF(NPSwitch=1,_xll.TR(DG$7,DG$6,"Sdate=#1 Period=#2 NULL=BLANK Scale=6",,$D75,$AS$4),DG75)</f>
        <v>3774.25</v>
      </c>
      <c r="DH75" s="1000" cm="1">
        <f t="array" aca="1" ref="DH75" ca="1">IF(NPSwitch=1,_xll.TR(DH$7,DH$6,"Sdate=#1 Period=#2 NULL=BLANK Scale=6",,$D75,$AS$4),DH75)</f>
        <v>2291.5452500000001</v>
      </c>
      <c r="FN75" s="3" t="s">
        <v>1577</v>
      </c>
    </row>
    <row r="76" spans="3:170">
      <c r="C76" s="969">
        <f t="shared" si="44"/>
        <v>42094</v>
      </c>
      <c r="D76" s="974">
        <f t="shared" si="43"/>
        <v>42139</v>
      </c>
      <c r="E76" s="765" cm="1">
        <f t="array" aca="1" ref="E76" ca="1">IF(NPSwitch=1,_xll.TR(E$7,E$6,"Sdate=#1 Period=#2 NULL=BLANK",,$D76,$E$4),E76)</f>
        <v>12.0315908508236</v>
      </c>
      <c r="F76" s="765" cm="1">
        <f t="array" aca="1" ref="F76" ca="1">IF(NPSwitch=1,_xll.TR(F$7,F$6,"Sdate=#1 Period=#2 NULL=BLANK",,$D76,$E$4),F76)</f>
        <v>11.3605085604019</v>
      </c>
      <c r="G76" s="765" cm="1">
        <f t="array" aca="1" ref="G76" ca="1">IF(NPSwitch=1,_xll.TR(G$7,G$6,"Sdate=#1 Period=#2 NULL=BLANK",,$D76,$E$4),G76)</f>
        <v>9.1775456263786701</v>
      </c>
      <c r="H76" s="765" cm="1">
        <f t="array" aca="1" ref="H76" ca="1">IF(NPSwitch=1,_xll.TR(H$7,H$6,"Sdate=#1 Period=#2 NULL=BLANK",,$D76,$E$4),H76)</f>
        <v>9.1976113441661997</v>
      </c>
      <c r="I76" s="765" cm="1">
        <f t="array" aca="1" ref="I76" ca="1">IF(NPSwitch=1,_xll.TR(I$7,I$6,"Sdate=#1 Period=#2 NULL=BLANK",,$D76,$E$4),I76)</f>
        <v>6.6210447031213997</v>
      </c>
      <c r="J76" s="765" cm="1">
        <f t="array" aca="1" ref="J76" ca="1">IF(NPSwitch=1,_xll.TR(J$7,J$6,"Sdate=#1 Period=#2 NULL=BLANK",,$D76,$E$4),J76)</f>
        <v>11.1635963715995</v>
      </c>
      <c r="K76" s="765" cm="1">
        <f t="array" aca="1" ref="K76" ca="1">IF(NPSwitch=1,_xll.TR(K$7,K$6,"Sdate=#1 Period=#2 NULL=BLANK",,$D76,$E$4),K76)</f>
        <v>12.6889044953748</v>
      </c>
      <c r="L76" s="765" cm="1">
        <f t="array" aca="1" ref="L76" ca="1">IF(NPSwitch=1,_xll.TR(L$7,L$6,"Sdate=#1 Period=#2 NULL=BLANK",,$D76,$E$4),L76)</f>
        <v>6.1299111483528899</v>
      </c>
      <c r="M76" s="765" cm="1">
        <f t="array" aca="1" ref="M76" ca="1">IF(NPSwitch=1,_xll.TR(M$7,M$6,"Sdate=#1 Period=#2 NULL=BLANK",,$D76,$E$4),M76)</f>
        <v>8.2565020886253606</v>
      </c>
      <c r="N76" s="1002">
        <f t="shared" ca="1" si="45"/>
        <v>9.1631022814989098</v>
      </c>
      <c r="O76" s="1000" cm="1">
        <f t="array" aca="1" ref="O76" ca="1">IF(NPSwitch=1,_xll.TR(O$7,O$6,"Sdate=#1 Period=#2 Scale=6 NULL=BLANK",,$D76,$O$4),O76)</f>
        <v>103587.88121750001</v>
      </c>
      <c r="P76" s="1000" cm="1">
        <f t="array" aca="1" ref="P76" ca="1">IF(NPSwitch=1,_xll.TR(P$7,P$6,"Sdate=#1 Period=#2 Scale=6 NULL=BLANK",,$D76,$O$4),P76)</f>
        <v>7222.5409892400003</v>
      </c>
      <c r="Q76" s="1000" cm="1">
        <f t="array" aca="1" ref="Q76" ca="1">IF(NPSwitch=1,_xll.TR(Q$7,Q$6,"Sdate=#1 Period=#2 Scale=6 NULL=BLANK",,$D76,$O$4),Q76)</f>
        <v>8607.8687118599992</v>
      </c>
      <c r="R76" s="1000" cm="1">
        <f t="array" aca="1" ref="R76" ca="1">IF(NPSwitch=1,_xll.TR(R$7,R$6,"Sdate=#1 Period=#2 Scale=6 NULL=BLANK",,$D76,$O$4),R76)</f>
        <v>3584.5595636499902</v>
      </c>
      <c r="S76" s="1000" cm="1">
        <f t="array" aca="1" ref="S76" ca="1">IF(NPSwitch=1,_xll.TR(S$7,S$6,"Sdate=#1 Period=#2 Scale=6 NULL=BLANK",,$D76,$O$4),S76)</f>
        <v>5459.7401995</v>
      </c>
      <c r="T76" s="1000" cm="1">
        <f t="array" aca="1" ref="T76" ca="1">IF(NPSwitch=1,_xll.TR(T$7,T$6,"Sdate=#1 Period=#2 Scale=6 NULL=BLANK",,$D76,$O$4),T76)</f>
        <v>7793.0538693999997</v>
      </c>
      <c r="U76" s="1000" cm="1">
        <f t="array" aca="1" ref="U76" ca="1">IF(NPSwitch=1,_xll.TR(U$7,U$6,"Sdate=#1 Period=#2 Scale=6 NULL=BLANK",,$D76,$O$4),U76)</f>
        <v>31603.294030699901</v>
      </c>
      <c r="V76" s="1000" cm="1">
        <f t="array" aca="1" ref="V76" ca="1">IF(NPSwitch=1,_xll.TR(V$7,V$6,"Sdate=#1 Period=#2 Scale=6 NULL=BLANK",,$D76,$O$4),V76)</f>
        <v>10502.9404919999</v>
      </c>
      <c r="W76" s="1000" cm="1">
        <f t="array" aca="1" ref="W76" ca="1">IF(NPSwitch=1,_xll.TR(W$7,W$6,"Sdate=#1 Period=#2 Scale=6 NULL=BLANK",,$D76,$O$4),W76)</f>
        <v>11632.497498750001</v>
      </c>
      <c r="X76" s="998"/>
      <c r="Y76" s="1000" cm="1">
        <f t="array" aca="1" ref="Y76" ca="1">IF(NPSwitch=1,_xll.TR(Y$7,Y$6,"Sdate=#1 Period=#2 Scale=6 NULL=BLANK",,$D76,$O$4),Y76)</f>
        <v>2962.5</v>
      </c>
      <c r="Z76" s="1000" cm="1">
        <f t="array" aca="1" ref="Z76" ca="1">IF(NPSwitch=1,_xll.TR(Z$7,Z$6,"Sdate=#1 Period=#2 Scale=6 NULL=BLANK",,$D76,$O$4),Z76)</f>
        <v>979.85699999999997</v>
      </c>
      <c r="AA76" s="1000" cm="1">
        <f t="array" aca="1" ref="AA76" ca="1">IF(NPSwitch=1,_xll.TR(AA$7,AA$6,"Sdate=#1 Period=#2 Scale=6 NULL=BLANK",,$D76,$O$4),AA76)</f>
        <v>1032.5</v>
      </c>
      <c r="AB76" s="1000" cm="1">
        <f t="array" aca="1" ref="AB76" ca="1">IF(NPSwitch=1,_xll.TR(AB$7,AB$6,"Sdate=#1 Period=#2 Scale=6 NULL=BLANK",,$D76,$O$4),AB76)</f>
        <v>247.52500000000001</v>
      </c>
      <c r="AC76" s="1000" cm="1">
        <f t="array" aca="1" ref="AC76" ca="1">IF(NPSwitch=1,_xll.TR(AC$7,AC$6,"Sdate=#1 Period=#2 Scale=6 NULL=BLANK",,$D76,$O$4),AC76)</f>
        <v>709.75</v>
      </c>
      <c r="AD76" s="1000" cm="1">
        <f t="array" aca="1" ref="AD76" ca="1">IF(NPSwitch=1,_xll.TR(AD$7,AD$6,"Sdate=#1 Period=#2 Scale=6 NULL=BLANK",,$D76,$O$4),AD76)</f>
        <v>113.35</v>
      </c>
      <c r="AE76" s="1000" cm="1">
        <f t="array" aca="1" ref="AE76" ca="1">IF(NPSwitch=1,_xll.TR(AE$7,AE$6,"Sdate=#1 Period=#2 Scale=6 NULL=BLANK",,$D76,$O$4),AE76)</f>
        <v>2076</v>
      </c>
      <c r="AF76" s="1000" cm="1">
        <f t="array" aca="1" ref="AF76" ca="1">IF(NPSwitch=1,_xll.TR(AF$7,AF$6,"Sdate=#1 Period=#2 Scale=6 NULL=BLANK",,$D76,$O$4),AF76)</f>
        <v>1128.75</v>
      </c>
      <c r="AG76" s="1000" cm="1">
        <f t="array" aca="1" ref="AG76" ca="1">IF(NPSwitch=1,_xll.TR(AG$7,AG$6,"Sdate=#1 Period=#2 Scale=6 NULL=BLANK",,$D76,$O$4),AG76)</f>
        <v>199.25</v>
      </c>
      <c r="AH76" s="998"/>
      <c r="AI76" s="1000" cm="1">
        <f t="array" aca="1" ref="AI76" ca="1">IF(NPSwitch=1,_xll.TR(AI$7,AI$6,"Sdate=#1 Period=#2 Scale=6 NULL=BLANK",,$D76,$O$4),AI76)</f>
        <v>107404.88121750001</v>
      </c>
      <c r="AJ76" s="1000" cm="1">
        <f t="array" aca="1" ref="AJ76" ca="1">IF(NPSwitch=1,_xll.TR(AJ$7,AJ$6,"Sdate=#1 Period=#2 Scale=6 NULL=BLANK",,$D76,$O$4),AJ76)</f>
        <v>11112.187989239999</v>
      </c>
      <c r="AK76" s="1000" cm="1">
        <f t="array" aca="1" ref="AK76" ca="1">IF(NPSwitch=1,_xll.TR(AK$7,AK$6,"Sdate=#1 Period=#2 Scale=6 NULL=BLANK",,$D76,$O$4),AK76)</f>
        <v>10881.868711859999</v>
      </c>
      <c r="AL76" s="1000" cm="1">
        <f t="array" aca="1" ref="AL76" ca="1">IF(NPSwitch=1,_xll.TR(AL$7,AL$6,"Sdate=#1 Period=#2 Scale=6 NULL=BLANK",,$D76,$O$4),AL76)</f>
        <v>4470.1595636499997</v>
      </c>
      <c r="AM76" s="1000" cm="1">
        <f t="array" aca="1" ref="AM76" ca="1">IF(NPSwitch=1,_xll.TR(AM$7,AM$6,"Sdate=#1 Period=#2 Scale=6 NULL=BLANK",,$D76,$O$4),AM76)</f>
        <v>10035.7401995</v>
      </c>
      <c r="AN76" s="1000" cm="1">
        <f t="array" aca="1" ref="AN76" ca="1">IF(NPSwitch=1,_xll.TR(AN$7,AN$6,"Sdate=#1 Period=#2 Scale=6 NULL=BLANK",,$D76,$O$4),AN76)</f>
        <v>9780.5538694000006</v>
      </c>
      <c r="AO76" s="1000" cm="1">
        <f t="array" aca="1" ref="AO76" ca="1">IF(NPSwitch=1,_xll.TR(AO$7,AO$6,"Sdate=#1 Period=#2 Scale=6 NULL=BLANK",,$D76,$O$4),AO76)</f>
        <v>35157.294030700003</v>
      </c>
      <c r="AP76" s="1000" cm="1">
        <f t="array" aca="1" ref="AP76" ca="1">IF(NPSwitch=1,_xll.TR(AP$7,AP$6,"Sdate=#1 Period=#2 Scale=6 NULL=BLANK",,$D76,$O$4),AP76)</f>
        <v>12219.940492</v>
      </c>
      <c r="AQ76" s="1000" cm="1">
        <f t="array" aca="1" ref="AQ76" ca="1">IF(NPSwitch=1,_xll.TR(AQ$7,AQ$6,"Sdate=#1 Period=#2 Scale=6 NULL=BLANK",,$D76,$O$4),AQ76)</f>
        <v>19159.497498749999</v>
      </c>
      <c r="AS76" s="765" cm="1">
        <f t="array" aca="1" ref="AS76" ca="1">IF(NPSwitch=1,_xll.TR(AS$7,AS$6,"Sdate=#1 Period=#2 NULL=BLANK Scale=6",,$D76,$AS$4),AS76)</f>
        <v>21.477083333333301</v>
      </c>
      <c r="AT76" s="765" t="str" cm="1">
        <f t="array" aca="1" ref="AT76" ca="1">IF(NPSwitch=1,_xll.TR(AT$7,AT$6,"Sdate=#1 Period=#2 NULL=BLANK Scale=6",,$D76,$AS$4),AT76)</f>
        <v/>
      </c>
      <c r="AU76" s="765" t="str" cm="1">
        <f t="array" aca="1" ref="AU76" ca="1">IF(NPSwitch=1,_xll.TR(AU$7,AU$6,"Sdate=#1 Period=#2 NULL=BLANK Scale=6",,$D76,$AS$4),AU76)</f>
        <v/>
      </c>
      <c r="AV76" s="765" cm="1">
        <f t="array" aca="1" ref="AV76" ca="1">IF(NPSwitch=1,_xll.TR(AV$7,AV$6,"Sdate=#1 Period=#2 NULL=BLANK Scale=6",,$D76,$AS$4),AV76)</f>
        <v>12.554166666666699</v>
      </c>
      <c r="AW76" s="765" t="str" cm="1">
        <f t="array" aca="1" ref="AW76" ca="1">IF(NPSwitch=1,_xll.TR(AW$7,AW$6,"Sdate=#1 Period=#2 NULL=BLANK Scale=6",,$D76,$AS$4),AW76)</f>
        <v/>
      </c>
      <c r="AX76" s="765" t="str" cm="1">
        <f t="array" aca="1" ref="AX76" ca="1">IF(NPSwitch=1,_xll.TR(AX$7,AX$6,"Sdate=#1 Period=#2 NULL=BLANK Scale=6",,$D76,$AS$4),AX76)</f>
        <v/>
      </c>
      <c r="AY76" s="765" cm="1">
        <f t="array" aca="1" ref="AY76" ca="1">IF(NPSwitch=1,_xll.TR(AY$7,AY$6,"Sdate=#1 Period=#2 NULL=BLANK Scale=6",,$D76,$AS$4),AY76)</f>
        <v>18.375</v>
      </c>
      <c r="AZ76" s="765" cm="1">
        <f t="array" aca="1" ref="AZ76" ca="1">IF(NPSwitch=1,_xll.TR(AZ$7,AZ$6,"Sdate=#1 Period=#2 NULL=BLANK Scale=6",,$D76,$AS$4),AZ76)</f>
        <v>10.294442500000001</v>
      </c>
      <c r="BA76" s="765" cm="1">
        <f t="array" aca="1" ref="BA76" ca="1">IF(NPSwitch=1,_xll.TR(BA$7,BA$6,"Sdate=#1 Period=#2 NULL=BLANK Scale=6",,$D76,$AS$4),BA76)</f>
        <v>10.6027758333333</v>
      </c>
      <c r="BB76" s="1002"/>
      <c r="BC76" s="765" cm="1">
        <f t="array" aca="1" ref="BC76" ca="1">IF(NPSwitch=1,_xll.TR(BC$7,BC$6,"Sdate=#1 Period=#2 NULL=BLANK",,$D76,$BC$4),BC76)</f>
        <v>12.554632521</v>
      </c>
      <c r="BD76" s="765" cm="1">
        <f t="array" aca="1" ref="BD76" ca="1">IF(NPSwitch=1,_xll.TR(BD$7,BD$6,"Sdate=#1 Period=#2 NULL=BLANK",,$D76,$BC$4),BD76)</f>
        <v>24.342408983999999</v>
      </c>
      <c r="BE76" s="765" cm="1">
        <f t="array" aca="1" ref="BE76" ca="1">IF(NPSwitch=1,_xll.TR(BE$7,BE$6,"Sdate=#1 Period=#2 NULL=BLANK",,$D76,$BC$4),BE76)</f>
        <v>12.817277635</v>
      </c>
      <c r="BF76" s="765" cm="1">
        <f t="array" aca="1" ref="BF76" ca="1">IF(NPSwitch=1,_xll.TR(BF$7,BF$6,"Sdate=#1 Period=#2 NULL=BLANK",,$D76,$BC$4),BF76)</f>
        <v>10.774064987999999</v>
      </c>
      <c r="BG76" s="765" t="str" cm="1">
        <f t="array" aca="1" ref="BG76" ca="1">IF(NPSwitch=1,_xll.TR(BG$7,BG$6,"Sdate=#1 Period=#2 NULL=BLANK",,$D76,$BC$4),BG76)</f>
        <v/>
      </c>
      <c r="BH76" s="765" cm="1">
        <f t="array" aca="1" ref="BH76" ca="1">IF(NPSwitch=1,_xll.TR(BH$7,BH$6,"Sdate=#1 Period=#2 NULL=BLANK",,$D76,$BC$4),BH76)</f>
        <v>15.460881868</v>
      </c>
      <c r="BI76" s="765" cm="1">
        <f t="array" aca="1" ref="BI76" ca="1">IF(NPSwitch=1,_xll.TR(BI$7,BI$6,"Sdate=#1 Period=#2 NULL=BLANK",,$D76,$BC$4),BI76)</f>
        <v>17.473804189999999</v>
      </c>
      <c r="BJ76" s="765" cm="1">
        <f t="array" aca="1" ref="BJ76" ca="1">IF(NPSwitch=1,_xll.TR(BJ$7,BJ$6,"Sdate=#1 Period=#2 NULL=BLANK",,$D76,$BC$4),BJ76)</f>
        <v>4.9816308569999999</v>
      </c>
      <c r="BK76" s="765" cm="1">
        <f t="array" aca="1" ref="BK76" ca="1">IF(NPSwitch=1,_xll.TR(BK$7,BK$6,"Sdate=#1 Period=#2 NULL=BLANK",,$D76,$BC$4),BK76)</f>
        <v>9.0289809139999999</v>
      </c>
      <c r="BO76" s="765" cm="1">
        <f t="array" aca="1" ref="BO76" ca="1">IF(NPSwitch=1,_xll.TR(BO$7,BO$6,"Sdate=#1 Period=#2 NULL=BLANK Scale=6",,$D76,$AS$4),BO76)</f>
        <v>31568</v>
      </c>
      <c r="BP76" s="765" cm="1">
        <f t="array" aca="1" ref="BP76" ca="1">IF(NPSwitch=1,_xll.TR(BP$7,BP$6,"Sdate=#1 Period=#2 NULL=BLANK Scale=6",,$D76,$AS$4),BP76)</f>
        <v>2538.018</v>
      </c>
      <c r="BQ76" s="765" cm="1">
        <f t="array" aca="1" ref="BQ76" ca="1">IF(NPSwitch=1,_xll.TR(BQ$7,BQ$6,"Sdate=#1 Period=#2 NULL=BLANK Scale=6",,$D76,$AS$4),BQ76)</f>
        <v>5884</v>
      </c>
      <c r="BR76" s="765" cm="1">
        <f t="array" aca="1" ref="BR76" ca="1">IF(NPSwitch=1,_xll.TR(BR$7,BR$6,"Sdate=#1 Period=#2 NULL=BLANK Scale=6",,$D76,$AS$4),BR76)</f>
        <v>3706.3</v>
      </c>
      <c r="BS76" s="765" cm="1">
        <f t="array" aca="1" ref="BS76" ca="1">IF(NPSwitch=1,_xll.TR(BS$7,BS$6,"Sdate=#1 Period=#2 NULL=BLANK Scale=6",,$D76,$AS$4),BS76)</f>
        <v>11412</v>
      </c>
      <c r="BT76" s="765" cm="1">
        <f t="array" aca="1" ref="BT76" ca="1">IF(NPSwitch=1,_xll.TR(BT$7,BT$6,"Sdate=#1 Period=#2 NULL=BLANK Scale=6",,$D76,$AS$4),BT76)</f>
        <v>3161.2</v>
      </c>
      <c r="BU76" s="765" cm="1">
        <f t="array" aca="1" ref="BU76" ca="1">IF(NPSwitch=1,_xll.TR(BU$7,BU$6,"Sdate=#1 Period=#2 NULL=BLANK Scale=6",,$D76,$AS$4),BU76)</f>
        <v>14817</v>
      </c>
      <c r="BV76" s="765" cm="1">
        <f t="array" aca="1" ref="BV76" ca="1">IF(NPSwitch=1,_xll.TR(BV$7,BV$6,"Sdate=#1 Period=#2 NULL=BLANK Scale=6",,$D76,$AS$4),BV76)</f>
        <v>10869</v>
      </c>
      <c r="BW76" s="765" cm="1">
        <f t="array" aca="1" ref="BW76" ca="1">IF(NPSwitch=1,_xll.TR(BW$7,BW$6,"Sdate=#1 Period=#2 NULL=BLANK Scale=6",,$D76,$AS$4),BW76)</f>
        <v>9665</v>
      </c>
      <c r="BY76" s="765" cm="1">
        <f t="array" aca="1" ref="BY76" ca="1">IF(NPSwitch=1,_xll.TR(BY$7,BY$6,"Sdate=#1 Period=#2 NULL=BLANK Scale=6",,$D76,$AS$4),BY76)</f>
        <v>22216.25</v>
      </c>
      <c r="BZ76" s="765" cm="1">
        <f t="array" aca="1" ref="BZ76" ca="1">IF(NPSwitch=1,_xll.TR(BZ$7,BZ$6,"Sdate=#1 Period=#2 NULL=BLANK Scale=6",,$D76,$AS$4),BZ76)</f>
        <v>4252.8297499999999</v>
      </c>
      <c r="CA76" s="765" cm="1">
        <f t="array" aca="1" ref="CA76" ca="1">IF(NPSwitch=1,_xll.TR(CA$7,CA$6,"Sdate=#1 Period=#2 NULL=BLANK Scale=6",,$D76,$AS$4),CA76)</f>
        <v>6870</v>
      </c>
      <c r="CB76" s="765" cm="1">
        <f t="array" aca="1" ref="CB76" ca="1">IF(NPSwitch=1,_xll.TR(CB$7,CB$6,"Sdate=#1 Period=#2 NULL=BLANK Scale=6",,$D76,$AS$4),CB76)</f>
        <v>1849.625</v>
      </c>
      <c r="CC76" s="765" cm="1">
        <f t="array" aca="1" ref="CC76" ca="1">IF(NPSwitch=1,_xll.TR(CC$7,CC$6,"Sdate=#1 Period=#2 NULL=BLANK Scale=6",,$D76,$AS$4),CC76)</f>
        <v>6755.5</v>
      </c>
      <c r="CD76" s="765" cm="1">
        <f t="array" aca="1" ref="CD76" ca="1">IF(NPSwitch=1,_xll.TR(CD$7,CD$6,"Sdate=#1 Period=#2 NULL=BLANK Scale=6",,$D76,$AS$4),CD76)</f>
        <v>3434.65</v>
      </c>
      <c r="CE76" s="765" cm="1">
        <f t="array" aca="1" ref="CE76" ca="1">IF(NPSwitch=1,_xll.TR(CE$7,CE$6,"Sdate=#1 Period=#2 NULL=BLANK Scale=6",,$D76,$AS$4),CE76)</f>
        <v>9587.25</v>
      </c>
      <c r="CF76" s="765" cm="1">
        <f t="array" aca="1" ref="CF76" ca="1">IF(NPSwitch=1,_xll.TR(CF$7,CF$6,"Sdate=#1 Period=#2 NULL=BLANK Scale=6",,$D76,$AS$4),CF76)</f>
        <v>9646.75</v>
      </c>
      <c r="CG76" s="765" cm="1">
        <f t="array" aca="1" ref="CG76" ca="1">IF(NPSwitch=1,_xll.TR(CG$7,CG$6,"Sdate=#1 Period=#2 NULL=BLANK Scale=6",,$D76,$AS$4),CG76)</f>
        <v>9894.75</v>
      </c>
      <c r="CI76" s="1000" cm="1">
        <f t="array" aca="1" ref="CI76" ca="1">IF(NPSwitch=1,_xll.TR(CI$7,CI$6,"Sdate=#1 Period=#2 NULL=BLANK Scale=6",,$D76,$AS$4),CI76)</f>
        <v>8555</v>
      </c>
      <c r="CJ76" s="1000" cm="1">
        <f t="array" aca="1" ref="CJ76" ca="1">IF(NPSwitch=1,_xll.TR(CJ$7,CJ$6,"Sdate=#1 Period=#2 NULL=BLANK Scale=6",,$D76,$AS$4),CJ76)</f>
        <v>456.495</v>
      </c>
      <c r="CK76" s="1000" cm="1">
        <f t="array" aca="1" ref="CK76" ca="1">IF(NPSwitch=1,_xll.TR(CK$7,CK$6,"Sdate=#1 Period=#2 NULL=BLANK Scale=6",,$D76,$AS$4),CK76)</f>
        <v>828</v>
      </c>
      <c r="CL76" s="1000" cm="1">
        <f t="array" aca="1" ref="CL76" ca="1">IF(NPSwitch=1,_xll.TR(CL$7,CL$6,"Sdate=#1 Period=#2 NULL=BLANK Scale=6",,$D76,$AS$4),CL76)</f>
        <v>414.9</v>
      </c>
      <c r="CM76" s="1000" cm="1">
        <f t="array" aca="1" ref="CM76" ca="1">IF(NPSwitch=1,_xll.TR(CM$7,CM$6,"Sdate=#1 Period=#2 NULL=BLANK Scale=6",,$D76,$AS$4),CM76)</f>
        <v>1189</v>
      </c>
      <c r="CN76" s="1000" cm="1">
        <f t="array" aca="1" ref="CN76" ca="1">IF(NPSwitch=1,_xll.TR(CN$7,CN$6,"Sdate=#1 Period=#2 NULL=BLANK Scale=6",,$D76,$AS$4),CN76)</f>
        <v>624.79999999999995</v>
      </c>
      <c r="CO76" s="1000" cm="1">
        <f t="array" aca="1" ref="CO76" ca="1">IF(NPSwitch=1,_xll.TR(CO$7,CO$6,"Sdate=#1 Period=#2 NULL=BLANK Scale=6",,$D76,$AS$4),CO76)</f>
        <v>2012</v>
      </c>
      <c r="CP76" s="1000" cm="1">
        <f t="array" aca="1" ref="CP76" ca="1">IF(NPSwitch=1,_xll.TR(CP$7,CP$6,"Sdate=#1 Period=#2 NULL=BLANK Scale=6",,$D76,$AS$4),CP76)</f>
        <v>2468</v>
      </c>
      <c r="CQ76" s="1000" cm="1">
        <f t="array" aca="1" ref="CQ76" ca="1">IF(NPSwitch=1,_xll.TR(CQ$7,CQ$6,"Sdate=#1 Period=#2 NULL=BLANK Scale=6",,$D76,$AS$4),CQ76)</f>
        <v>2122</v>
      </c>
      <c r="CS76" s="1000" cm="1">
        <f t="array" aca="1" ref="CS76" ca="1">IF(NPSwitch=1,_xll.TR(CS$7,CS$6,"Sdate=#1 Period=#2 NULL=BLANK Scale=6",,$D76,$AS$4),CS76)</f>
        <v>8489.75</v>
      </c>
      <c r="CT76" s="1000" cm="1">
        <f t="array" aca="1" ref="CT76" ca="1">IF(NPSwitch=1,_xll.TR(CT$7,CT$6,"Sdate=#1 Period=#2 NULL=BLANK Scale=6",,$D76,$AS$4),CT76)</f>
        <v>1579.68875</v>
      </c>
      <c r="CU76" s="1000" cm="1">
        <f t="array" aca="1" ref="CU76" ca="1">IF(NPSwitch=1,_xll.TR(CU$7,CU$6,"Sdate=#1 Period=#2 NULL=BLANK Scale=6",,$D76,$AS$4),CU76)</f>
        <v>2317</v>
      </c>
      <c r="CV76" s="1000" cm="1">
        <f t="array" aca="1" ref="CV76" ca="1">IF(NPSwitch=1,_xll.TR(CV$7,CV$6,"Sdate=#1 Period=#2 NULL=BLANK Scale=6",,$D76,$AS$4),CV76)</f>
        <v>595.67499999999995</v>
      </c>
      <c r="CW76" s="1000" cm="1">
        <f t="array" aca="1" ref="CW76" ca="1">IF(NPSwitch=1,_xll.TR(CW$7,CW$6,"Sdate=#1 Period=#2 NULL=BLANK Scale=6",,$D76,$AS$4),CW76)</f>
        <v>1100.2</v>
      </c>
      <c r="CX76" s="1000" cm="1">
        <f t="array" aca="1" ref="CX76" ca="1">IF(NPSwitch=1,_xll.TR(CX$7,CX$6,"Sdate=#1 Period=#2 NULL=BLANK Scale=6",,$D76,$AS$4),CX76)</f>
        <v>2888.5</v>
      </c>
      <c r="CY76" s="1000" cm="1">
        <f t="array" aca="1" ref="CY76" ca="1">IF(NPSwitch=1,_xll.TR(CY$7,CY$6,"Sdate=#1 Period=#2 NULL=BLANK Scale=6",,$D76,$AS$4),CY76)</f>
        <v>5327.25</v>
      </c>
      <c r="CZ76" s="1000" cm="1">
        <f t="array" aca="1" ref="CZ76" ca="1">IF(NPSwitch=1,_xll.TR(CZ$7,CZ$6,"Sdate=#1 Period=#2 NULL=BLANK Scale=6",,$D76,$AS$4),CZ76)</f>
        <v>4684.75</v>
      </c>
      <c r="DA76" s="1000" cm="1">
        <f t="array" aca="1" ref="DA76" ca="1">IF(NPSwitch=1,_xll.TR(DA$7,DA$6,"Sdate=#1 Period=#2 NULL=BLANK Scale=6",,$D76,$AS$4),DA76)</f>
        <v>3653.25</v>
      </c>
      <c r="DB76" s="1000" cm="1">
        <f t="array" aca="1" ref="DB76" ca="1">IF(NPSwitch=1,_xll.TR(DB$7,DB$6,"Sdate=#1 Period=#2 NULL=BLANK Scale=6",,$D76,$AS$4),DB76)</f>
        <v>22608.5</v>
      </c>
      <c r="DC76" s="1000" t="str" cm="1">
        <f t="array" aca="1" ref="DC76" ca="1">IF(NPSwitch=1,_xll.TR(DC$7,DC$6,"Sdate=#1 Period=#2 NULL=BLANK Scale=6",,$D76,$AS$4),DC76)</f>
        <v/>
      </c>
      <c r="DD76" s="1000" cm="1">
        <f t="array" aca="1" ref="DD76" ca="1">IF(NPSwitch=1,_xll.TR(DD$7,DD$6,"Sdate=#1 Period=#2 NULL=BLANK Scale=6",,$D76,$AS$4),DD76)</f>
        <v>8632</v>
      </c>
      <c r="DE76" s="1000" t="str" cm="1">
        <f t="array" aca="1" ref="DE76" ca="1">IF(NPSwitch=1,_xll.TR(DE$7,DE$6,"Sdate=#1 Period=#2 NULL=BLANK Scale=6",,$D76,$AS$4),DE76)</f>
        <v/>
      </c>
      <c r="DF76" s="1000" cm="1">
        <f t="array" aca="1" ref="DF76" ca="1">IF(NPSwitch=1,_xll.TR(DF$7,DF$6,"Sdate=#1 Period=#2 NULL=BLANK Scale=6",,$D76,$AS$4),DF76)</f>
        <v>595.67499999999995</v>
      </c>
      <c r="DG76" s="1000" cm="1">
        <f t="array" aca="1" ref="DG76" ca="1">IF(NPSwitch=1,_xll.TR(DG$7,DG$6,"Sdate=#1 Period=#2 NULL=BLANK Scale=6",,$D76,$AS$4),DG76)</f>
        <v>4038</v>
      </c>
      <c r="DH76" s="1000" cm="1">
        <f t="array" aca="1" ref="DH76" ca="1">IF(NPSwitch=1,_xll.TR(DH$7,DH$6,"Sdate=#1 Period=#2 NULL=BLANK Scale=6",,$D76,$AS$4),DH76)</f>
        <v>2609.1417499999998</v>
      </c>
      <c r="FN76" s="3" t="s">
        <v>1578</v>
      </c>
    </row>
    <row r="77" spans="3:170">
      <c r="C77" s="971">
        <f t="shared" si="44"/>
        <v>42185</v>
      </c>
      <c r="D77" s="974">
        <f t="shared" si="43"/>
        <v>42230</v>
      </c>
      <c r="E77" s="765" cm="1">
        <f t="array" aca="1" ref="E77" ca="1">IF(NPSwitch=1,_xll.TR(E$7,E$6,"Sdate=#1 Period=#2 NULL=BLANK",,$D77,$E$4),E77)</f>
        <v>10.8951116010749</v>
      </c>
      <c r="F77" s="765" cm="1">
        <f t="array" aca="1" ref="F77" ca="1">IF(NPSwitch=1,_xll.TR(F$7,F$6,"Sdate=#1 Period=#2 NULL=BLANK",,$D77,$E$4),F77)</f>
        <v>9.7315860398888105</v>
      </c>
      <c r="G77" s="765" cm="1">
        <f t="array" aca="1" ref="G77" ca="1">IF(NPSwitch=1,_xll.TR(G$7,G$6,"Sdate=#1 Period=#2 NULL=BLANK",,$D77,$E$4),G77)</f>
        <v>8.9317757819120303</v>
      </c>
      <c r="H77" s="765" cm="1">
        <f t="array" aca="1" ref="H77" ca="1">IF(NPSwitch=1,_xll.TR(H$7,H$6,"Sdate=#1 Period=#2 NULL=BLANK",,$D77,$E$4),H77)</f>
        <v>8.0002764536747595</v>
      </c>
      <c r="I77" s="765" cm="1">
        <f t="array" aca="1" ref="I77" ca="1">IF(NPSwitch=1,_xll.TR(I$7,I$6,"Sdate=#1 Period=#2 NULL=BLANK",,$D77,$E$4),I77)</f>
        <v>5.7405870370381402</v>
      </c>
      <c r="J77" s="765" cm="1">
        <f t="array" aca="1" ref="J77" ca="1">IF(NPSwitch=1,_xll.TR(J$7,J$6,"Sdate=#1 Period=#2 NULL=BLANK",,$D77,$E$4),J77)</f>
        <v>9.0240406133546305</v>
      </c>
      <c r="K77" s="765" cm="1">
        <f t="array" aca="1" ref="K77" ca="1">IF(NPSwitch=1,_xll.TR(K$7,K$6,"Sdate=#1 Period=#2 NULL=BLANK",,$D77,$E$4),K77)</f>
        <v>11.1116980310351</v>
      </c>
      <c r="L77" s="765" cm="1">
        <f t="array" aca="1" ref="L77" ca="1">IF(NPSwitch=1,_xll.TR(L$7,L$6,"Sdate=#1 Period=#2 NULL=BLANK",,$D77,$E$4),L77)</f>
        <v>5.6230122148470096</v>
      </c>
      <c r="M77" s="765" cm="1">
        <f t="array" aca="1" ref="M77" ca="1">IF(NPSwitch=1,_xll.TR(M$7,M$6,"Sdate=#1 Period=#2 NULL=BLANK",,$D77,$E$4),M77)</f>
        <v>7.7631885983009097</v>
      </c>
      <c r="N77" s="1002">
        <f t="shared" ca="1" si="45"/>
        <v>8.0718983553102763</v>
      </c>
      <c r="O77" s="1000" cm="1">
        <f t="array" aca="1" ref="O77" ca="1">IF(NPSwitch=1,_xll.TR(O$7,O$6,"Sdate=#1 Period=#2 Scale=6 NULL=BLANK",,$D77,$O$4),O77)</f>
        <v>92637.249246520005</v>
      </c>
      <c r="P77" s="1000" cm="1">
        <f t="array" aca="1" ref="P77" ca="1">IF(NPSwitch=1,_xll.TR(P$7,P$6,"Sdate=#1 Period=#2 Scale=6 NULL=BLANK",,$D77,$O$4),P77)</f>
        <v>5734.6364512800001</v>
      </c>
      <c r="Q77" s="1000" cm="1">
        <f t="array" aca="1" ref="Q77" ca="1">IF(NPSwitch=1,_xll.TR(Q$7,Q$6,"Sdate=#1 Period=#2 Scale=6 NULL=BLANK",,$D77,$O$4),Q77)</f>
        <v>7790.3385983999997</v>
      </c>
      <c r="R77" s="1000" cm="1">
        <f t="array" aca="1" ref="R77" ca="1">IF(NPSwitch=1,_xll.TR(R$7,R$6,"Sdate=#1 Period=#2 Scale=6 NULL=BLANK",,$D77,$O$4),R77)</f>
        <v>2975.2578734799999</v>
      </c>
      <c r="S77" s="1000" cm="1">
        <f t="array" aca="1" ref="S77" ca="1">IF(NPSwitch=1,_xll.TR(S$7,S$6,"Sdate=#1 Period=#2 Scale=6 NULL=BLANK",,$D77,$O$4),S77)</f>
        <v>4111.1839179999997</v>
      </c>
      <c r="T77" s="1000" cm="1">
        <f t="array" aca="1" ref="T77" ca="1">IF(NPSwitch=1,_xll.TR(T$7,T$6,"Sdate=#1 Period=#2 Scale=6 NULL=BLANK",,$D77,$O$4),T77)</f>
        <v>6213.1025685000004</v>
      </c>
      <c r="U77" s="1000" cm="1">
        <f t="array" aca="1" ref="U77" ca="1">IF(NPSwitch=1,_xll.TR(U$7,U$6,"Sdate=#1 Period=#2 Scale=6 NULL=BLANK",,$D77,$O$4),U77)</f>
        <v>28344.528067200001</v>
      </c>
      <c r="V77" s="1000" cm="1">
        <f t="array" aca="1" ref="V77" ca="1">IF(NPSwitch=1,_xll.TR(V$7,V$6,"Sdate=#1 Period=#2 Scale=6 NULL=BLANK",,$D77,$O$4),V77)</f>
        <v>9850.7417678999609</v>
      </c>
      <c r="W77" s="1000" cm="1">
        <f t="array" aca="1" ref="W77" ca="1">IF(NPSwitch=1,_xll.TR(W$7,W$6,"Sdate=#1 Period=#2 Scale=6 NULL=BLANK",,$D77,$O$4),W77)</f>
        <v>11372.821551000001</v>
      </c>
      <c r="X77" s="998"/>
      <c r="Y77" s="1000" cm="1">
        <f t="array" aca="1" ref="Y77" ca="1">IF(NPSwitch=1,_xll.TR(Y$7,Y$6,"Sdate=#1 Period=#2 Scale=6 NULL=BLANK",,$D77,$O$4),Y77)</f>
        <v>3081.5</v>
      </c>
      <c r="Z77" s="1000" cm="1">
        <f t="array" aca="1" ref="Z77" ca="1">IF(NPSwitch=1,_xll.TR(Z$7,Z$6,"Sdate=#1 Period=#2 Scale=6 NULL=BLANK",,$D77,$O$4),Z77)</f>
        <v>902.88675000000001</v>
      </c>
      <c r="AA77" s="1000" cm="1">
        <f t="array" aca="1" ref="AA77" ca="1">IF(NPSwitch=1,_xll.TR(AA$7,AA$6,"Sdate=#1 Period=#2 Scale=6 NULL=BLANK",,$D77,$O$4),AA77)</f>
        <v>1168.25</v>
      </c>
      <c r="AB77" s="1000" cm="1">
        <f t="array" aca="1" ref="AB77" ca="1">IF(NPSwitch=1,_xll.TR(AB$7,AB$6,"Sdate=#1 Period=#2 Scale=6 NULL=BLANK",,$D77,$O$4),AB77)</f>
        <v>241.35</v>
      </c>
      <c r="AC77" s="1000" cm="1">
        <f t="array" aca="1" ref="AC77" ca="1">IF(NPSwitch=1,_xll.TR(AC$7,AC$6,"Sdate=#1 Period=#2 Scale=6 NULL=BLANK",,$D77,$O$4),AC77)</f>
        <v>758.75</v>
      </c>
      <c r="AD77" s="1000" cm="1">
        <f t="array" aca="1" ref="AD77" ca="1">IF(NPSwitch=1,_xll.TR(AD$7,AD$6,"Sdate=#1 Period=#2 Scale=6 NULL=BLANK",,$D77,$O$4),AD77)</f>
        <v>204.125</v>
      </c>
      <c r="AE77" s="1000" cm="1">
        <f t="array" aca="1" ref="AE77" ca="1">IF(NPSwitch=1,_xll.TR(AE$7,AE$6,"Sdate=#1 Period=#2 Scale=6 NULL=BLANK",,$D77,$O$4),AE77)</f>
        <v>1643.25</v>
      </c>
      <c r="AF77" s="1000" cm="1">
        <f t="array" aca="1" ref="AF77" ca="1">IF(NPSwitch=1,_xll.TR(AF$7,AF$6,"Sdate=#1 Period=#2 Scale=6 NULL=BLANK",,$D77,$O$4),AF77)</f>
        <v>1102.75</v>
      </c>
      <c r="AG77" s="1000" cm="1">
        <f t="array" aca="1" ref="AG77" ca="1">IF(NPSwitch=1,_xll.TR(AG$7,AG$6,"Sdate=#1 Period=#2 Scale=6 NULL=BLANK",,$D77,$O$4),AG77)</f>
        <v>222.5</v>
      </c>
      <c r="AH77" s="998"/>
      <c r="AI77" s="1000" cm="1">
        <f t="array" aca="1" ref="AI77" ca="1">IF(NPSwitch=1,_xll.TR(AI$7,AI$6,"Sdate=#1 Period=#2 Scale=6 NULL=BLANK",,$D77,$O$4),AI77)</f>
        <v>97706.249246520005</v>
      </c>
      <c r="AJ77" s="1000" cm="1">
        <f t="array" aca="1" ref="AJ77" ca="1">IF(NPSwitch=1,_xll.TR(AJ$7,AJ$6,"Sdate=#1 Period=#2 Scale=6 NULL=BLANK",,$D77,$O$4),AJ77)</f>
        <v>9654.5394512799994</v>
      </c>
      <c r="AK77" s="1000" cm="1">
        <f t="array" aca="1" ref="AK77" ca="1">IF(NPSwitch=1,_xll.TR(AK$7,AK$6,"Sdate=#1 Period=#2 Scale=6 NULL=BLANK",,$D77,$O$4),AK77)</f>
        <v>10375.3385984</v>
      </c>
      <c r="AL77" s="1000" cm="1">
        <f t="array" aca="1" ref="AL77" ca="1">IF(NPSwitch=1,_xll.TR(AL$7,AL$6,"Sdate=#1 Period=#2 Scale=6 NULL=BLANK",,$D77,$O$4),AL77)</f>
        <v>3797.7578734799999</v>
      </c>
      <c r="AM77" s="1000" cm="1">
        <f t="array" aca="1" ref="AM77" ca="1">IF(NPSwitch=1,_xll.TR(AM$7,AM$6,"Sdate=#1 Period=#2 Scale=6 NULL=BLANK",,$D77,$O$4),AM77)</f>
        <v>8778.1839180000006</v>
      </c>
      <c r="AN77" s="1000" cm="1">
        <f t="array" aca="1" ref="AN77" ca="1">IF(NPSwitch=1,_xll.TR(AN$7,AN$6,"Sdate=#1 Period=#2 Scale=6 NULL=BLANK",,$D77,$O$4),AN77)</f>
        <v>8093.3025685000002</v>
      </c>
      <c r="AO77" s="1000" cm="1">
        <f t="array" aca="1" ref="AO77" ca="1">IF(NPSwitch=1,_xll.TR(AO$7,AO$6,"Sdate=#1 Period=#2 Scale=6 NULL=BLANK",,$D77,$O$4),AO77)</f>
        <v>31762.528067200001</v>
      </c>
      <c r="AP77" s="1000" cm="1">
        <f t="array" aca="1" ref="AP77" ca="1">IF(NPSwitch=1,_xll.TR(AP$7,AP$6,"Sdate=#1 Period=#2 Scale=6 NULL=BLANK",,$D77,$O$4),AP77)</f>
        <v>11772.741767899999</v>
      </c>
      <c r="AQ77" s="1000" cm="1">
        <f t="array" aca="1" ref="AQ77" ca="1">IF(NPSwitch=1,_xll.TR(AQ$7,AQ$6,"Sdate=#1 Period=#2 Scale=6 NULL=BLANK",,$D77,$O$4),AQ77)</f>
        <v>18508.821551000001</v>
      </c>
      <c r="AS77" s="765" cm="1">
        <f t="array" aca="1" ref="AS77" ca="1">IF(NPSwitch=1,_xll.TR(AS$7,AS$6,"Sdate=#1 Period=#2 NULL=BLANK Scale=6",,$D77,$AS$4),AS77)</f>
        <v>21.466666666666701</v>
      </c>
      <c r="AT77" s="765" t="str" cm="1">
        <f t="array" aca="1" ref="AT77" ca="1">IF(NPSwitch=1,_xll.TR(AT$7,AT$6,"Sdate=#1 Period=#2 NULL=BLANK Scale=6",,$D77,$AS$4),AT77)</f>
        <v/>
      </c>
      <c r="AU77" s="765" t="str" cm="1">
        <f t="array" aca="1" ref="AU77" ca="1">IF(NPSwitch=1,_xll.TR(AU$7,AU$6,"Sdate=#1 Period=#2 NULL=BLANK Scale=6",,$D77,$AS$4),AU77)</f>
        <v/>
      </c>
      <c r="AV77" s="765" cm="1">
        <f t="array" aca="1" ref="AV77" ca="1">IF(NPSwitch=1,_xll.TR(AV$7,AV$6,"Sdate=#1 Period=#2 NULL=BLANK Scale=6",,$D77,$AS$4),AV77)</f>
        <v>12.1</v>
      </c>
      <c r="AW77" s="765" t="str" cm="1">
        <f t="array" aca="1" ref="AW77" ca="1">IF(NPSwitch=1,_xll.TR(AW$7,AW$6,"Sdate=#1 Period=#2 NULL=BLANK Scale=6",,$D77,$AS$4),AW77)</f>
        <v/>
      </c>
      <c r="AX77" s="765" t="str" cm="1">
        <f t="array" aca="1" ref="AX77" ca="1">IF(NPSwitch=1,_xll.TR(AX$7,AX$6,"Sdate=#1 Period=#2 NULL=BLANK Scale=6",,$D77,$AS$4),AX77)</f>
        <v/>
      </c>
      <c r="AY77" s="765" cm="1">
        <f t="array" aca="1" ref="AY77" ca="1">IF(NPSwitch=1,_xll.TR(AY$7,AY$6,"Sdate=#1 Period=#2 NULL=BLANK Scale=6",,$D77,$AS$4),AY77)</f>
        <v>18.466666666666701</v>
      </c>
      <c r="AZ77" s="765" cm="1">
        <f t="array" aca="1" ref="AZ77" ca="1">IF(NPSwitch=1,_xll.TR(AZ$7,AZ$6,"Sdate=#1 Period=#2 NULL=BLANK Scale=6",,$D77,$AS$4),AZ77)</f>
        <v>9.0888899999999992</v>
      </c>
      <c r="BA77" s="765" cm="1">
        <f t="array" aca="1" ref="BA77" ca="1">IF(NPSwitch=1,_xll.TR(BA$7,BA$6,"Sdate=#1 Period=#2 NULL=BLANK Scale=6",,$D77,$AS$4),BA77)</f>
        <v>10.1444433333333</v>
      </c>
      <c r="BB77" s="1002"/>
      <c r="BO77" s="765" cm="1">
        <f t="array" aca="1" ref="BO77" ca="1">IF(NPSwitch=1,_xll.TR(BO$7,BO$6,"Sdate=#1 Period=#2 NULL=BLANK Scale=6",,$D77,$AS$4),BO77)</f>
        <v>31120</v>
      </c>
      <c r="BP77" s="765" cm="1">
        <f t="array" aca="1" ref="BP77" ca="1">IF(NPSwitch=1,_xll.TR(BP$7,BP$6,"Sdate=#1 Period=#2 NULL=BLANK Scale=6",,$D77,$AS$4),BP77)</f>
        <v>2651.587</v>
      </c>
      <c r="BQ77" s="765" cm="1">
        <f t="array" aca="1" ref="BQ77" ca="1">IF(NPSwitch=1,_xll.TR(BQ$7,BQ$6,"Sdate=#1 Period=#2 NULL=BLANK Scale=6",,$D77,$AS$4),BQ77)</f>
        <v>5646</v>
      </c>
      <c r="BR77" s="765" cm="1">
        <f t="array" aca="1" ref="BR77" ca="1">IF(NPSwitch=1,_xll.TR(BR$7,BR$6,"Sdate=#1 Period=#2 NULL=BLANK Scale=6",,$D77,$AS$4),BR77)</f>
        <v>3587.9</v>
      </c>
      <c r="BS77" s="765" cm="1">
        <f t="array" aca="1" ref="BS77" ca="1">IF(NPSwitch=1,_xll.TR(BS$7,BS$6,"Sdate=#1 Period=#2 NULL=BLANK Scale=6",,$D77,$AS$4),BS77)</f>
        <v>11164</v>
      </c>
      <c r="BT77" s="765" cm="1">
        <f t="array" aca="1" ref="BT77" ca="1">IF(NPSwitch=1,_xll.TR(BT$7,BT$6,"Sdate=#1 Period=#2 NULL=BLANK Scale=6",,$D77,$AS$4),BT77)</f>
        <v>3253.4</v>
      </c>
      <c r="BU77" s="765" cm="1">
        <f t="array" aca="1" ref="BU77" ca="1">IF(NPSwitch=1,_xll.TR(BU$7,BU$6,"Sdate=#1 Period=#2 NULL=BLANK Scale=6",,$D77,$AS$4),BU77)</f>
        <v>14835</v>
      </c>
      <c r="BV77" s="765" cm="1">
        <f t="array" aca="1" ref="BV77" ca="1">IF(NPSwitch=1,_xll.TR(BV$7,BV$6,"Sdate=#1 Period=#2 NULL=BLANK Scale=6",,$D77,$AS$4),BV77)</f>
        <v>10929</v>
      </c>
      <c r="BW77" s="765" cm="1">
        <f t="array" aca="1" ref="BW77" ca="1">IF(NPSwitch=1,_xll.TR(BW$7,BW$6,"Sdate=#1 Period=#2 NULL=BLANK Scale=6",,$D77,$AS$4),BW77)</f>
        <v>9738</v>
      </c>
      <c r="BY77" s="765" cm="1">
        <f t="array" aca="1" ref="BY77" ca="1">IF(NPSwitch=1,_xll.TR(BY$7,BY$6,"Sdate=#1 Period=#2 NULL=BLANK Scale=6",,$D77,$AS$4),BY77)</f>
        <v>21423.25</v>
      </c>
      <c r="BZ77" s="765" cm="1">
        <f t="array" aca="1" ref="BZ77" ca="1">IF(NPSwitch=1,_xll.TR(BZ$7,BZ$6,"Sdate=#1 Period=#2 NULL=BLANK Scale=6",,$D77,$AS$4),BZ77)</f>
        <v>5407.2702499999996</v>
      </c>
      <c r="CA77" s="765" cm="1">
        <f t="array" aca="1" ref="CA77" ca="1">IF(NPSwitch=1,_xll.TR(CA$7,CA$6,"Sdate=#1 Period=#2 NULL=BLANK Scale=6",,$D77,$AS$4),CA77)</f>
        <v>6625.25</v>
      </c>
      <c r="CB77" s="765" cm="1">
        <f t="array" aca="1" ref="CB77" ca="1">IF(NPSwitch=1,_xll.TR(CB$7,CB$6,"Sdate=#1 Period=#2 NULL=BLANK Scale=6",,$D77,$AS$4),CB77)</f>
        <v>1840.75</v>
      </c>
      <c r="CC77" s="765" cm="1">
        <f t="array" aca="1" ref="CC77" ca="1">IF(NPSwitch=1,_xll.TR(CC$7,CC$6,"Sdate=#1 Period=#2 NULL=BLANK Scale=6",,$D77,$AS$4),CC77)</f>
        <v>6884.75</v>
      </c>
      <c r="CD77" s="765" cm="1">
        <f t="array" aca="1" ref="CD77" ca="1">IF(NPSwitch=1,_xll.TR(CD$7,CD$6,"Sdate=#1 Period=#2 NULL=BLANK Scale=6",,$D77,$AS$4),CD77)</f>
        <v>3699.95</v>
      </c>
      <c r="CE77" s="765" cm="1">
        <f t="array" aca="1" ref="CE77" ca="1">IF(NPSwitch=1,_xll.TR(CE$7,CE$6,"Sdate=#1 Period=#2 NULL=BLANK Scale=6",,$D77,$AS$4),CE77)</f>
        <v>9604</v>
      </c>
      <c r="CF77" s="765" cm="1">
        <f t="array" aca="1" ref="CF77" ca="1">IF(NPSwitch=1,_xll.TR(CF$7,CF$6,"Sdate=#1 Period=#2 NULL=BLANK Scale=6",,$D77,$AS$4),CF77)</f>
        <v>9729.5</v>
      </c>
      <c r="CG77" s="765" cm="1">
        <f t="array" aca="1" ref="CG77" ca="1">IF(NPSwitch=1,_xll.TR(CG$7,CG$6,"Sdate=#1 Period=#2 NULL=BLANK Scale=6",,$D77,$AS$4),CG77)</f>
        <v>10503.75</v>
      </c>
      <c r="CI77" s="1000" cm="1">
        <f t="array" aca="1" ref="CI77" ca="1">IF(NPSwitch=1,_xll.TR(CI$7,CI$6,"Sdate=#1 Period=#2 NULL=BLANK Scale=6",,$D77,$AS$4),CI77)</f>
        <v>8522</v>
      </c>
      <c r="CJ77" s="1000" cm="1">
        <f t="array" aca="1" ref="CJ77" ca="1">IF(NPSwitch=1,_xll.TR(CJ$7,CJ$6,"Sdate=#1 Period=#2 NULL=BLANK Scale=6",,$D77,$AS$4),CJ77)</f>
        <v>482.75400000000002</v>
      </c>
      <c r="CK77" s="1000" cm="1">
        <f t="array" aca="1" ref="CK77" ca="1">IF(NPSwitch=1,_xll.TR(CK$7,CK$6,"Sdate=#1 Period=#2 NULL=BLANK Scale=6",,$D77,$AS$4),CK77)</f>
        <v>859</v>
      </c>
      <c r="CL77" s="1000" cm="1">
        <f t="array" aca="1" ref="CL77" ca="1">IF(NPSwitch=1,_xll.TR(CL$7,CL$6,"Sdate=#1 Period=#2 NULL=BLANK Scale=6",,$D77,$AS$4),CL77)</f>
        <v>367.3</v>
      </c>
      <c r="CM77" s="1000" cm="1">
        <f t="array" aca="1" ref="CM77" ca="1">IF(NPSwitch=1,_xll.TR(CM$7,CM$6,"Sdate=#1 Period=#2 NULL=BLANK Scale=6",,$D77,$AS$4),CM77)</f>
        <v>1203</v>
      </c>
      <c r="CN77" s="1000" cm="1">
        <f t="array" aca="1" ref="CN77" ca="1">IF(NPSwitch=1,_xll.TR(CN$7,CN$6,"Sdate=#1 Period=#2 NULL=BLANK Scale=6",,$D77,$AS$4),CN77)</f>
        <v>560.20000000000005</v>
      </c>
      <c r="CO77" s="1000" cm="1">
        <f t="array" aca="1" ref="CO77" ca="1">IF(NPSwitch=1,_xll.TR(CO$7,CO$6,"Sdate=#1 Period=#2 NULL=BLANK Scale=6",,$D77,$AS$4),CO77)</f>
        <v>2087</v>
      </c>
      <c r="CP77" s="1000" cm="1">
        <f t="array" aca="1" ref="CP77" ca="1">IF(NPSwitch=1,_xll.TR(CP$7,CP$6,"Sdate=#1 Period=#2 NULL=BLANK Scale=6",,$D77,$AS$4),CP77)</f>
        <v>2050</v>
      </c>
      <c r="CQ77" s="1000" cm="1">
        <f t="array" aca="1" ref="CQ77" ca="1">IF(NPSwitch=1,_xll.TR(CQ$7,CQ$6,"Sdate=#1 Period=#2 NULL=BLANK Scale=6",,$D77,$AS$4),CQ77)</f>
        <v>2213</v>
      </c>
      <c r="CS77" s="1000" cm="1">
        <f t="array" aca="1" ref="CS77" ca="1">IF(NPSwitch=1,_xll.TR(CS$7,CS$6,"Sdate=#1 Period=#2 NULL=BLANK Scale=6",,$D77,$AS$4),CS77)</f>
        <v>8415.75</v>
      </c>
      <c r="CT77" s="1000" cm="1">
        <f t="array" aca="1" ref="CT77" ca="1">IF(NPSwitch=1,_xll.TR(CT$7,CT$6,"Sdate=#1 Period=#2 NULL=BLANK Scale=6",,$D77,$AS$4),CT77)</f>
        <v>1924.4265</v>
      </c>
      <c r="CU77" s="1000" cm="1">
        <f t="array" aca="1" ref="CU77" ca="1">IF(NPSwitch=1,_xll.TR(CU$7,CU$6,"Sdate=#1 Period=#2 NULL=BLANK Scale=6",,$D77,$AS$4),CU77)</f>
        <v>2249.25</v>
      </c>
      <c r="CV77" s="1000" cm="1">
        <f t="array" aca="1" ref="CV77" ca="1">IF(NPSwitch=1,_xll.TR(CV$7,CV$6,"Sdate=#1 Period=#2 NULL=BLANK Scale=6",,$D77,$AS$4),CV77)</f>
        <v>588.04999999999995</v>
      </c>
      <c r="CW77" s="1000" cm="1">
        <f t="array" aca="1" ref="CW77" ca="1">IF(NPSwitch=1,_xll.TR(CW$7,CW$6,"Sdate=#1 Period=#2 NULL=BLANK Scale=6",,$D77,$AS$4),CW77)</f>
        <v>1057.175</v>
      </c>
      <c r="CX77" s="1000" cm="1">
        <f t="array" aca="1" ref="CX77" ca="1">IF(NPSwitch=1,_xll.TR(CX$7,CX$6,"Sdate=#1 Period=#2 NULL=BLANK Scale=6",,$D77,$AS$4),CX77)</f>
        <v>2923.5</v>
      </c>
      <c r="CY77" s="1000" cm="1">
        <f t="array" aca="1" ref="CY77" ca="1">IF(NPSwitch=1,_xll.TR(CY$7,CY$6,"Sdate=#1 Period=#2 NULL=BLANK Scale=6",,$D77,$AS$4),CY77)</f>
        <v>5474</v>
      </c>
      <c r="CZ77" s="1000" cm="1">
        <f t="array" aca="1" ref="CZ77" ca="1">IF(NPSwitch=1,_xll.TR(CZ$7,CZ$6,"Sdate=#1 Period=#2 NULL=BLANK Scale=6",,$D77,$AS$4),CZ77)</f>
        <v>4851.75</v>
      </c>
      <c r="DA77" s="1000" cm="1">
        <f t="array" aca="1" ref="DA77" ca="1">IF(NPSwitch=1,_xll.TR(DA$7,DA$6,"Sdate=#1 Period=#2 NULL=BLANK Scale=6",,$D77,$AS$4),DA77)</f>
        <v>3701.75</v>
      </c>
      <c r="DB77" s="1000" cm="1">
        <f t="array" aca="1" ref="DB77" ca="1">IF(NPSwitch=1,_xll.TR(DB$7,DB$6,"Sdate=#1 Period=#2 NULL=BLANK Scale=6",,$D77,$AS$4),DB77)</f>
        <v>23810.75</v>
      </c>
      <c r="DC77" s="1000" t="str" cm="1">
        <f t="array" aca="1" ref="DC77" ca="1">IF(NPSwitch=1,_xll.TR(DC$7,DC$6,"Sdate=#1 Period=#2 NULL=BLANK Scale=6",,$D77,$AS$4),DC77)</f>
        <v/>
      </c>
      <c r="DD77" s="1000" cm="1">
        <f t="array" aca="1" ref="DD77" ca="1">IF(NPSwitch=1,_xll.TR(DD$7,DD$6,"Sdate=#1 Period=#2 NULL=BLANK Scale=6",,$D77,$AS$4),DD77)</f>
        <v>8606</v>
      </c>
      <c r="DE77" s="1000" t="str" cm="1">
        <f t="array" aca="1" ref="DE77" ca="1">IF(NPSwitch=1,_xll.TR(DE$7,DE$6,"Sdate=#1 Period=#2 NULL=BLANK Scale=6",,$D77,$AS$4),DE77)</f>
        <v/>
      </c>
      <c r="DF77" s="1000" cm="1">
        <f t="array" aca="1" ref="DF77" ca="1">IF(NPSwitch=1,_xll.TR(DF$7,DF$6,"Sdate=#1 Period=#2 NULL=BLANK Scale=6",,$D77,$AS$4),DF77)</f>
        <v>588.04999999999995</v>
      </c>
      <c r="DG77" s="1000" cm="1">
        <f t="array" aca="1" ref="DG77" ca="1">IF(NPSwitch=1,_xll.TR(DG$7,DG$6,"Sdate=#1 Period=#2 NULL=BLANK Scale=6",,$D77,$AS$4),DG77)</f>
        <v>4176</v>
      </c>
      <c r="DH77" s="1000" cm="1">
        <f t="array" aca="1" ref="DH77" ca="1">IF(NPSwitch=1,_xll.TR(DH$7,DH$6,"Sdate=#1 Period=#2 NULL=BLANK Scale=6",,$D77,$AS$4),DH77)</f>
        <v>2768.7565</v>
      </c>
      <c r="FN77" s="3" t="s">
        <v>1579</v>
      </c>
    </row>
    <row r="78" spans="3:170">
      <c r="C78" s="972">
        <f t="shared" si="44"/>
        <v>42277</v>
      </c>
      <c r="D78" s="974">
        <f t="shared" si="43"/>
        <v>42322</v>
      </c>
      <c r="E78" s="765" cm="1">
        <f t="array" aca="1" ref="E78" ca="1">IF(NPSwitch=1,_xll.TR(E$7,E$6,"Sdate=#1 Period=#2 NULL=BLANK",,$D78,$E$4),E78)</f>
        <v>11.8626544522781</v>
      </c>
      <c r="F78" s="765" cm="1">
        <f t="array" aca="1" ref="F78" ca="1">IF(NPSwitch=1,_xll.TR(F$7,F$6,"Sdate=#1 Period=#2 NULL=BLANK",,$D78,$E$4),F78)</f>
        <v>9.2848273267530796</v>
      </c>
      <c r="G78" s="765" cm="1">
        <f t="array" aca="1" ref="G78" ca="1">IF(NPSwitch=1,_xll.TR(G$7,G$6,"Sdate=#1 Period=#2 NULL=BLANK",,$D78,$E$4),G78)</f>
        <v>8.6734787046646407</v>
      </c>
      <c r="H78" s="765" cm="1">
        <f t="array" aca="1" ref="H78" ca="1">IF(NPSwitch=1,_xll.TR(H$7,H$6,"Sdate=#1 Period=#2 NULL=BLANK",,$D78,$E$4),H78)</f>
        <v>8.3083517188247598</v>
      </c>
      <c r="I78" s="765" cm="1">
        <f t="array" aca="1" ref="I78" ca="1">IF(NPSwitch=1,_xll.TR(I$7,I$6,"Sdate=#1 Period=#2 NULL=BLANK",,$D78,$E$4),I78)</f>
        <v>5.7366277526196203</v>
      </c>
      <c r="J78" s="765" cm="1">
        <f t="array" aca="1" ref="J78" ca="1">IF(NPSwitch=1,_xll.TR(J$7,J$6,"Sdate=#1 Period=#2 NULL=BLANK",,$D78,$E$4),J78)</f>
        <v>9.7079359163403005</v>
      </c>
      <c r="K78" s="765" cm="1">
        <f t="array" aca="1" ref="K78" ca="1">IF(NPSwitch=1,_xll.TR(K$7,K$6,"Sdate=#1 Period=#2 NULL=BLANK",,$D78,$E$4),K78)</f>
        <v>10.602367034623001</v>
      </c>
      <c r="L78" s="765" cm="1">
        <f t="array" aca="1" ref="L78" ca="1">IF(NPSwitch=1,_xll.TR(L$7,L$6,"Sdate=#1 Period=#2 NULL=BLANK",,$D78,$E$4),L78)</f>
        <v>4.8495529813120104</v>
      </c>
      <c r="M78" s="765" cm="1">
        <f t="array" aca="1" ref="M78" ca="1">IF(NPSwitch=1,_xll.TR(M$7,M$6,"Sdate=#1 Period=#2 NULL=BLANK",,$D78,$E$4),M78)</f>
        <v>7.2711183570638598</v>
      </c>
      <c r="N78" s="1002">
        <f t="shared" ca="1" si="45"/>
        <v>7.9797190180640536</v>
      </c>
      <c r="O78" s="1000" cm="1">
        <f t="array" aca="1" ref="O78" ca="1">IF(NPSwitch=1,_xll.TR(O$7,O$6,"Sdate=#1 Period=#2 Scale=6 NULL=BLANK",,$D78,$O$4),O78)</f>
        <v>95835.718644049994</v>
      </c>
      <c r="P78" s="1000" cm="1">
        <f t="array" aca="1" ref="P78" ca="1">IF(NPSwitch=1,_xll.TR(P$7,P$6,"Sdate=#1 Period=#2 Scale=6 NULL=BLANK",,$D78,$O$4),P78)</f>
        <v>5343.1141934799998</v>
      </c>
      <c r="Q78" s="1000" cm="1">
        <f t="array" aca="1" ref="Q78" ca="1">IF(NPSwitch=1,_xll.TR(Q$7,Q$6,"Sdate=#1 Period=#2 Scale=6 NULL=BLANK",,$D78,$O$4),Q78)</f>
        <v>7295.1263111999997</v>
      </c>
      <c r="R78" s="1000" cm="1">
        <f t="array" aca="1" ref="R78" ca="1">IF(NPSwitch=1,_xll.TR(R$7,R$6,"Sdate=#1 Period=#2 Scale=6 NULL=BLANK",,$D78,$O$4),R78)</f>
        <v>2912.1991087500001</v>
      </c>
      <c r="S78" s="1000" cm="1">
        <f t="array" aca="1" ref="S78" ca="1">IF(NPSwitch=1,_xll.TR(S$7,S$6,"Sdate=#1 Period=#2 Scale=6 NULL=BLANK",,$D78,$O$4),S78)</f>
        <v>3045.9416483800001</v>
      </c>
      <c r="T78" s="1000" cm="1">
        <f t="array" aca="1" ref="T78" ca="1">IF(NPSwitch=1,_xll.TR(T$7,T$6,"Sdate=#1 Period=#2 Scale=6 NULL=BLANK",,$D78,$O$4),T78)</f>
        <v>5423.7574482299997</v>
      </c>
      <c r="U78" s="1000" cm="1">
        <f t="array" aca="1" ref="U78" ca="1">IF(NPSwitch=1,_xll.TR(U$7,U$6,"Sdate=#1 Period=#2 Scale=6 NULL=BLANK",,$D78,$O$4),U78)</f>
        <v>27150.413435999999</v>
      </c>
      <c r="V78" s="1000" cm="1">
        <f t="array" aca="1" ref="V78" ca="1">IF(NPSwitch=1,_xll.TR(V$7,V$6,"Sdate=#1 Period=#2 Scale=6 NULL=BLANK",,$D78,$O$4),V78)</f>
        <v>8542.1092630499897</v>
      </c>
      <c r="W78" s="1000" cm="1">
        <f t="array" aca="1" ref="W78" ca="1">IF(NPSwitch=1,_xll.TR(W$7,W$6,"Sdate=#1 Period=#2 Scale=6 NULL=BLANK",,$D78,$O$4),W78)</f>
        <v>10194.476352199899</v>
      </c>
      <c r="X78" s="998"/>
      <c r="Y78" s="1000" cm="1">
        <f t="array" aca="1" ref="Y78" ca="1">IF(NPSwitch=1,_xll.TR(Y$7,Y$6,"Sdate=#1 Period=#2 Scale=6 NULL=BLANK",,$D78,$O$4),Y78)</f>
        <v>2847</v>
      </c>
      <c r="Z78" s="1000" cm="1">
        <f t="array" aca="1" ref="Z78" ca="1">IF(NPSwitch=1,_xll.TR(Z$7,Z$6,"Sdate=#1 Period=#2 Scale=6 NULL=BLANK",,$D78,$O$4),Z78)</f>
        <v>798.22924999999998</v>
      </c>
      <c r="AA78" s="1000" cm="1">
        <f t="array" aca="1" ref="AA78" ca="1">IF(NPSwitch=1,_xll.TR(AA$7,AA$6,"Sdate=#1 Period=#2 Scale=6 NULL=BLANK",,$D78,$O$4),AA78)</f>
        <v>1134.25</v>
      </c>
      <c r="AB78" s="1000" cm="1">
        <f t="array" aca="1" ref="AB78" ca="1">IF(NPSwitch=1,_xll.TR(AB$7,AB$6,"Sdate=#1 Period=#2 Scale=6 NULL=BLANK",,$D78,$O$4),AB78)</f>
        <v>234.375</v>
      </c>
      <c r="AC78" s="1000" cm="1">
        <f t="array" aca="1" ref="AC78" ca="1">IF(NPSwitch=1,_xll.TR(AC$7,AC$6,"Sdate=#1 Period=#2 Scale=6 NULL=BLANK",,$D78,$O$4),AC78)</f>
        <v>721.5</v>
      </c>
      <c r="AD78" s="1000" cm="1">
        <f t="array" aca="1" ref="AD78" ca="1">IF(NPSwitch=1,_xll.TR(AD$7,AD$6,"Sdate=#1 Period=#2 Scale=6 NULL=BLANK",,$D78,$O$4),AD78)</f>
        <v>216.47499999999999</v>
      </c>
      <c r="AE78" s="1000" cm="1">
        <f t="array" aca="1" ref="AE78" ca="1">IF(NPSwitch=1,_xll.TR(AE$7,AE$6,"Sdate=#1 Period=#2 Scale=6 NULL=BLANK",,$D78,$O$4),AE78)</f>
        <v>1237.25</v>
      </c>
      <c r="AF78" s="1000" cm="1">
        <f t="array" aca="1" ref="AF78" ca="1">IF(NPSwitch=1,_xll.TR(AF$7,AF$6,"Sdate=#1 Period=#2 Scale=6 NULL=BLANK",,$D78,$O$4),AF78)</f>
        <v>1158.25</v>
      </c>
      <c r="AG78" s="1000" cm="1">
        <f t="array" aca="1" ref="AG78" ca="1">IF(NPSwitch=1,_xll.TR(AG$7,AG$6,"Sdate=#1 Period=#2 Scale=6 NULL=BLANK",,$D78,$O$4),AG78)</f>
        <v>246.75</v>
      </c>
      <c r="AH78" s="998"/>
      <c r="AI78" s="1000" cm="1">
        <f t="array" aca="1" ref="AI78" ca="1">IF(NPSwitch=1,_xll.TR(AI$7,AI$6,"Sdate=#1 Period=#2 Scale=6 NULL=BLANK",,$D78,$O$4),AI78)</f>
        <v>105368.71864404999</v>
      </c>
      <c r="AJ78" s="1000" cm="1">
        <f t="array" aca="1" ref="AJ78" ca="1">IF(NPSwitch=1,_xll.TR(AJ$7,AJ$6,"Sdate=#1 Period=#2 Scale=6 NULL=BLANK",,$D78,$O$4),AJ78)</f>
        <v>9081.98119348</v>
      </c>
      <c r="AK78" s="1000" cm="1">
        <f t="array" aca="1" ref="AK78" ca="1">IF(NPSwitch=1,_xll.TR(AK$7,AK$6,"Sdate=#1 Period=#2 Scale=6 NULL=BLANK",,$D78,$O$4),AK78)</f>
        <v>9880.1263111999997</v>
      </c>
      <c r="AL78" s="1000" cm="1">
        <f t="array" aca="1" ref="AL78" ca="1">IF(NPSwitch=1,_xll.TR(AL$7,AL$6,"Sdate=#1 Period=#2 Scale=6 NULL=BLANK",,$D78,$O$4),AL78)</f>
        <v>3777.3991087499999</v>
      </c>
      <c r="AM78" s="1000" cm="1">
        <f t="array" aca="1" ref="AM78" ca="1">IF(NPSwitch=1,_xll.TR(AM$7,AM$6,"Sdate=#1 Period=#2 Scale=6 NULL=BLANK",,$D78,$O$4),AM78)</f>
        <v>7704.9416483799996</v>
      </c>
      <c r="AN78" s="1000" cm="1">
        <f t="array" aca="1" ref="AN78" ca="1">IF(NPSwitch=1,_xll.TR(AN$7,AN$6,"Sdate=#1 Period=#2 Scale=6 NULL=BLANK",,$D78,$O$4),AN78)</f>
        <v>7460.6574482300002</v>
      </c>
      <c r="AO78" s="1000" cm="1">
        <f t="array" aca="1" ref="AO78" ca="1">IF(NPSwitch=1,_xll.TR(AO$7,AO$6,"Sdate=#1 Period=#2 Scale=6 NULL=BLANK",,$D78,$O$4),AO78)</f>
        <v>30373.413435999999</v>
      </c>
      <c r="AP78" s="1000" cm="1">
        <f t="array" aca="1" ref="AP78" ca="1">IF(NPSwitch=1,_xll.TR(AP$7,AP$6,"Sdate=#1 Period=#2 Scale=6 NULL=BLANK",,$D78,$O$4),AP78)</f>
        <v>10375.109263050001</v>
      </c>
      <c r="AQ78" s="1000" cm="1">
        <f t="array" aca="1" ref="AQ78" ca="1">IF(NPSwitch=1,_xll.TR(AQ$7,AQ$6,"Sdate=#1 Period=#2 Scale=6 NULL=BLANK",,$D78,$O$4),AQ78)</f>
        <v>17244.476352199999</v>
      </c>
      <c r="AS78" s="765" cm="1">
        <f t="array" aca="1" ref="AS78" ca="1">IF(NPSwitch=1,_xll.TR(AS$7,AS$6,"Sdate=#1 Period=#2 NULL=BLANK Scale=6",,$D78,$AS$4),AS78)</f>
        <v>22.129166666666698</v>
      </c>
      <c r="AT78" s="765" t="str" cm="1">
        <f t="array" aca="1" ref="AT78" ca="1">IF(NPSwitch=1,_xll.TR(AT$7,AT$6,"Sdate=#1 Period=#2 NULL=BLANK Scale=6",,$D78,$AS$4),AT78)</f>
        <v/>
      </c>
      <c r="AU78" s="765" cm="1">
        <f t="array" aca="1" ref="AU78" ca="1">IF(NPSwitch=1,_xll.TR(AU$7,AU$6,"Sdate=#1 Period=#2 NULL=BLANK Scale=6",,$D78,$AS$4),AU78)</f>
        <v>10.283333333333299</v>
      </c>
      <c r="AV78" s="765" cm="1">
        <f t="array" aca="1" ref="AV78" ca="1">IF(NPSwitch=1,_xll.TR(AV$7,AV$6,"Sdate=#1 Period=#2 NULL=BLANK Scale=6",,$D78,$AS$4),AV78)</f>
        <v>12.4375</v>
      </c>
      <c r="AW78" s="765" t="str" cm="1">
        <f t="array" aca="1" ref="AW78" ca="1">IF(NPSwitch=1,_xll.TR(AW$7,AW$6,"Sdate=#1 Period=#2 NULL=BLANK Scale=6",,$D78,$AS$4),AW78)</f>
        <v/>
      </c>
      <c r="AX78" s="765" t="str" cm="1">
        <f t="array" aca="1" ref="AX78" ca="1">IF(NPSwitch=1,_xll.TR(AX$7,AX$6,"Sdate=#1 Period=#2 NULL=BLANK Scale=6",,$D78,$AS$4),AX78)</f>
        <v/>
      </c>
      <c r="AY78" s="765" cm="1">
        <f t="array" aca="1" ref="AY78" ca="1">IF(NPSwitch=1,_xll.TR(AY$7,AY$6,"Sdate=#1 Period=#2 NULL=BLANK Scale=6",,$D78,$AS$4),AY78)</f>
        <v>15.9125</v>
      </c>
      <c r="AZ78" s="765" cm="1">
        <f t="array" aca="1" ref="AZ78" ca="1">IF(NPSwitch=1,_xll.TR(AZ$7,AZ$6,"Sdate=#1 Period=#2 NULL=BLANK Scale=6",,$D78,$AS$4),AZ78)</f>
        <v>7.5399966666666698</v>
      </c>
      <c r="BA78" s="765" cm="1">
        <f t="array" aca="1" ref="BA78" ca="1">IF(NPSwitch=1,_xll.TR(BA$7,BA$6,"Sdate=#1 Period=#2 NULL=BLANK Scale=6",,$D78,$AS$4),BA78)</f>
        <v>10.9527775</v>
      </c>
      <c r="BB78" s="1002"/>
      <c r="BO78" s="765" cm="1">
        <f t="array" aca="1" ref="BO78" ca="1">IF(NPSwitch=1,_xll.TR(BO$7,BO$6,"Sdate=#1 Period=#2 NULL=BLANK Scale=6",,$D78,$AS$4),BO78)</f>
        <v>30695</v>
      </c>
      <c r="BP78" s="765" cm="1">
        <f t="array" aca="1" ref="BP78" ca="1">IF(NPSwitch=1,_xll.TR(BP$7,BP$6,"Sdate=#1 Period=#2 NULL=BLANK Scale=6",,$D78,$AS$4),BP78)</f>
        <v>2702.3850000000002</v>
      </c>
      <c r="BQ78" s="765" cm="1">
        <f t="array" aca="1" ref="BQ78" ca="1">IF(NPSwitch=1,_xll.TR(BQ$7,BQ$6,"Sdate=#1 Period=#2 NULL=BLANK Scale=6",,$D78,$AS$4),BQ78)</f>
        <v>5388</v>
      </c>
      <c r="BR78" s="765" cm="1">
        <f t="array" aca="1" ref="BR78" ca="1">IF(NPSwitch=1,_xll.TR(BR$7,BR$6,"Sdate=#1 Period=#2 NULL=BLANK Scale=6",,$D78,$AS$4),BR78)</f>
        <v>3471.1</v>
      </c>
      <c r="BS78" s="765" cm="1">
        <f t="array" aca="1" ref="BS78" ca="1">IF(NPSwitch=1,_xll.TR(BS$7,BS$6,"Sdate=#1 Period=#2 NULL=BLANK Scale=6",,$D78,$AS$4),BS78)</f>
        <v>10918</v>
      </c>
      <c r="BT78" s="765" cm="1">
        <f t="array" aca="1" ref="BT78" ca="1">IF(NPSwitch=1,_xll.TR(BT$7,BT$6,"Sdate=#1 Period=#2 NULL=BLANK Scale=6",,$D78,$AS$4),BT78)</f>
        <v>3265</v>
      </c>
      <c r="BU78" s="765" cm="1">
        <f t="array" aca="1" ref="BU78" ca="1">IF(NPSwitch=1,_xll.TR(BU$7,BU$6,"Sdate=#1 Period=#2 NULL=BLANK Scale=6",,$D78,$AS$4),BU78)</f>
        <v>14625</v>
      </c>
      <c r="BV78" s="765" cm="1">
        <f t="array" aca="1" ref="BV78" ca="1">IF(NPSwitch=1,_xll.TR(BV$7,BV$6,"Sdate=#1 Period=#2 NULL=BLANK Scale=6",,$D78,$AS$4),BV78)</f>
        <v>11068</v>
      </c>
      <c r="BW78" s="765" cm="1">
        <f t="array" aca="1" ref="BW78" ca="1">IF(NPSwitch=1,_xll.TR(BW$7,BW$6,"Sdate=#1 Period=#2 NULL=BLANK Scale=6",,$D78,$AS$4),BW78)</f>
        <v>9772</v>
      </c>
      <c r="BY78" s="765" cm="1">
        <f t="array" aca="1" ref="BY78" ca="1">IF(NPSwitch=1,_xll.TR(BY$7,BY$6,"Sdate=#1 Period=#2 NULL=BLANK Scale=6",,$D78,$AS$4),BY78)</f>
        <v>21405</v>
      </c>
      <c r="BZ78" s="765" cm="1">
        <f t="array" aca="1" ref="BZ78" ca="1">IF(NPSwitch=1,_xll.TR(BZ$7,BZ$6,"Sdate=#1 Period=#2 NULL=BLANK Scale=6",,$D78,$AS$4),BZ78)</f>
        <v>6526.8202499999998</v>
      </c>
      <c r="CA78" s="765" cm="1">
        <f t="array" aca="1" ref="CA78" ca="1">IF(NPSwitch=1,_xll.TR(CA$7,CA$6,"Sdate=#1 Period=#2 NULL=BLANK Scale=6",,$D78,$AS$4),CA78)</f>
        <v>6608.75</v>
      </c>
      <c r="CB78" s="765" cm="1">
        <f t="array" aca="1" ref="CB78" ca="1">IF(NPSwitch=1,_xll.TR(CB$7,CB$6,"Sdate=#1 Period=#2 NULL=BLANK Scale=6",,$D78,$AS$4),CB78)</f>
        <v>1841.2249999999999</v>
      </c>
      <c r="CC78" s="765" cm="1">
        <f t="array" aca="1" ref="CC78" ca="1">IF(NPSwitch=1,_xll.TR(CC$7,CC$6,"Sdate=#1 Period=#2 NULL=BLANK Scale=6",,$D78,$AS$4),CC78)</f>
        <v>6944</v>
      </c>
      <c r="CD78" s="765" cm="1">
        <f t="array" aca="1" ref="CD78" ca="1">IF(NPSwitch=1,_xll.TR(CD$7,CD$6,"Sdate=#1 Period=#2 NULL=BLANK Scale=6",,$D78,$AS$4),CD78)</f>
        <v>3901.875</v>
      </c>
      <c r="CE78" s="765" cm="1">
        <f t="array" aca="1" ref="CE78" ca="1">IF(NPSwitch=1,_xll.TR(CE$7,CE$6,"Sdate=#1 Period=#2 NULL=BLANK Scale=6",,$D78,$AS$4),CE78)</f>
        <v>9652.75</v>
      </c>
      <c r="CF78" s="765" cm="1">
        <f t="array" aca="1" ref="CF78" ca="1">IF(NPSwitch=1,_xll.TR(CF$7,CF$6,"Sdate=#1 Period=#2 NULL=BLANK Scale=6",,$D78,$AS$4),CF78)</f>
        <v>9805.5</v>
      </c>
      <c r="CG78" s="765" cm="1">
        <f t="array" aca="1" ref="CG78" ca="1">IF(NPSwitch=1,_xll.TR(CG$7,CG$6,"Sdate=#1 Period=#2 NULL=BLANK Scale=6",,$D78,$AS$4),CG78)</f>
        <v>11177.25</v>
      </c>
      <c r="CI78" s="1000" cm="1">
        <f t="array" aca="1" ref="CI78" ca="1">IF(NPSwitch=1,_xll.TR(CI$7,CI$6,"Sdate=#1 Period=#2 NULL=BLANK Scale=6",,$D78,$AS$4),CI78)</f>
        <v>8514</v>
      </c>
      <c r="CJ78" s="1000" cm="1">
        <f t="array" aca="1" ref="CJ78" ca="1">IF(NPSwitch=1,_xll.TR(CJ$7,CJ$6,"Sdate=#1 Period=#2 NULL=BLANK Scale=6",,$D78,$AS$4),CJ78)</f>
        <v>525.13</v>
      </c>
      <c r="CK78" s="1000" cm="1">
        <f t="array" aca="1" ref="CK78" ca="1">IF(NPSwitch=1,_xll.TR(CK$7,CK$6,"Sdate=#1 Period=#2 NULL=BLANK Scale=6",,$D78,$AS$4),CK78)</f>
        <v>880</v>
      </c>
      <c r="CL78" s="1000" cm="1">
        <f t="array" aca="1" ref="CL78" ca="1">IF(NPSwitch=1,_xll.TR(CL$7,CL$6,"Sdate=#1 Period=#2 NULL=BLANK Scale=6",,$D78,$AS$4),CL78)</f>
        <v>342.9</v>
      </c>
      <c r="CM78" s="1000" cm="1">
        <f t="array" aca="1" ref="CM78" ca="1">IF(NPSwitch=1,_xll.TR(CM$7,CM$6,"Sdate=#1 Period=#2 NULL=BLANK Scale=6",,$D78,$AS$4),CM78)</f>
        <v>1152</v>
      </c>
      <c r="CN78" s="1000" cm="1">
        <f t="array" aca="1" ref="CN78" ca="1">IF(NPSwitch=1,_xll.TR(CN$7,CN$6,"Sdate=#1 Period=#2 NULL=BLANK Scale=6",,$D78,$AS$4),CN78)</f>
        <v>492.6</v>
      </c>
      <c r="CO78" s="1000" cm="1">
        <f t="array" aca="1" ref="CO78" ca="1">IF(NPSwitch=1,_xll.TR(CO$7,CO$6,"Sdate=#1 Period=#2 NULL=BLANK Scale=6",,$D78,$AS$4),CO78)</f>
        <v>2128</v>
      </c>
      <c r="CP78" s="1000" cm="1">
        <f t="array" aca="1" ref="CP78" ca="1">IF(NPSwitch=1,_xll.TR(CP$7,CP$6,"Sdate=#1 Period=#2 NULL=BLANK Scale=6",,$D78,$AS$4),CP78)</f>
        <v>2089</v>
      </c>
      <c r="CQ78" s="1000" cm="1">
        <f t="array" aca="1" ref="CQ78" ca="1">IF(NPSwitch=1,_xll.TR(CQ$7,CQ$6,"Sdate=#1 Period=#2 NULL=BLANK Scale=6",,$D78,$AS$4),CQ78)</f>
        <v>2300</v>
      </c>
      <c r="CS78" s="1000" cm="1">
        <f t="array" aca="1" ref="CS78" ca="1">IF(NPSwitch=1,_xll.TR(CS$7,CS$6,"Sdate=#1 Period=#2 NULL=BLANK Scale=6",,$D78,$AS$4),CS78)</f>
        <v>8408.5</v>
      </c>
      <c r="CT78" s="1000" cm="1">
        <f t="array" aca="1" ref="CT78" ca="1">IF(NPSwitch=1,_xll.TR(CT$7,CT$6,"Sdate=#1 Period=#2 NULL=BLANK Scale=6",,$D78,$AS$4),CT78)</f>
        <v>2267.0709999999999</v>
      </c>
      <c r="CU78" s="1000" cm="1">
        <f t="array" aca="1" ref="CU78" ca="1">IF(NPSwitch=1,_xll.TR(CU$7,CU$6,"Sdate=#1 Period=#2 NULL=BLANK Scale=6",,$D78,$AS$4),CU78)</f>
        <v>2191.25</v>
      </c>
      <c r="CV78" s="1000" cm="1">
        <f t="array" aca="1" ref="CV78" ca="1">IF(NPSwitch=1,_xll.TR(CV$7,CV$6,"Sdate=#1 Period=#2 NULL=BLANK Scale=6",,$D78,$AS$4),CV78)</f>
        <v>582.77499999999998</v>
      </c>
      <c r="CW78" s="1000" cm="1">
        <f t="array" aca="1" ref="CW78" ca="1">IF(NPSwitch=1,_xll.TR(CW$7,CW$6,"Sdate=#1 Period=#2 NULL=BLANK Scale=6",,$D78,$AS$4),CW78)</f>
        <v>1007.05</v>
      </c>
      <c r="CX78" s="1000" cm="1">
        <f t="array" aca="1" ref="CX78" ca="1">IF(NPSwitch=1,_xll.TR(CX$7,CX$6,"Sdate=#1 Period=#2 NULL=BLANK Scale=6",,$D78,$AS$4),CX78)</f>
        <v>2973.25</v>
      </c>
      <c r="CY78" s="1000" cm="1">
        <f t="array" aca="1" ref="CY78" ca="1">IF(NPSwitch=1,_xll.TR(CY$7,CY$6,"Sdate=#1 Period=#2 NULL=BLANK Scale=6",,$D78,$AS$4),CY78)</f>
        <v>5605.25</v>
      </c>
      <c r="CZ78" s="1000" cm="1">
        <f t="array" aca="1" ref="CZ78" ca="1">IF(NPSwitch=1,_xll.TR(CZ$7,CZ$6,"Sdate=#1 Period=#2 NULL=BLANK Scale=6",,$D78,$AS$4),CZ78)</f>
        <v>5025</v>
      </c>
      <c r="DA78" s="1000" cm="1">
        <f t="array" aca="1" ref="DA78" ca="1">IF(NPSwitch=1,_xll.TR(DA$7,DA$6,"Sdate=#1 Period=#2 NULL=BLANK Scale=6",,$D78,$AS$4),DA78)</f>
        <v>3741.75</v>
      </c>
      <c r="DB78" s="1000" cm="1">
        <f t="array" aca="1" ref="DB78" ca="1">IF(NPSwitch=1,_xll.TR(DB$7,DB$6,"Sdate=#1 Period=#2 NULL=BLANK Scale=6",,$D78,$AS$4),DB78)</f>
        <v>24402.25</v>
      </c>
      <c r="DC78" s="1000" t="str" cm="1">
        <f t="array" aca="1" ref="DC78" ca="1">IF(NPSwitch=1,_xll.TR(DC$7,DC$6,"Sdate=#1 Period=#2 NULL=BLANK Scale=6",,$D78,$AS$4),DC78)</f>
        <v/>
      </c>
      <c r="DD78" s="1000" cm="1">
        <f t="array" aca="1" ref="DD78" ca="1">IF(NPSwitch=1,_xll.TR(DD$7,DD$6,"Sdate=#1 Period=#2 NULL=BLANK Scale=6",,$D78,$AS$4),DD78)</f>
        <v>8654.25</v>
      </c>
      <c r="DE78" s="1000" t="str" cm="1">
        <f t="array" aca="1" ref="DE78" ca="1">IF(NPSwitch=1,_xll.TR(DE$7,DE$6,"Sdate=#1 Period=#2 NULL=BLANK Scale=6",,$D78,$AS$4),DE78)</f>
        <v/>
      </c>
      <c r="DF78" s="1000" cm="1">
        <f t="array" aca="1" ref="DF78" ca="1">IF(NPSwitch=1,_xll.TR(DF$7,DF$6,"Sdate=#1 Period=#2 NULL=BLANK Scale=6",,$D78,$AS$4),DF78)</f>
        <v>582.77499999999998</v>
      </c>
      <c r="DG78" s="1000" cm="1">
        <f t="array" aca="1" ref="DG78" ca="1">IF(NPSwitch=1,_xll.TR(DG$7,DG$6,"Sdate=#1 Period=#2 NULL=BLANK Scale=6",,$D78,$AS$4),DG78)</f>
        <v>4345.25</v>
      </c>
      <c r="DH78" s="1000" cm="1">
        <f t="array" aca="1" ref="DH78" ca="1">IF(NPSwitch=1,_xll.TR(DH$7,DH$6,"Sdate=#1 Period=#2 NULL=BLANK Scale=6",,$D78,$AS$4),DH78)</f>
        <v>2820.2952500000001</v>
      </c>
      <c r="FN78" s="3" t="s">
        <v>1580</v>
      </c>
    </row>
    <row r="79" spans="3:170">
      <c r="C79" s="973">
        <f t="shared" si="44"/>
        <v>42369</v>
      </c>
      <c r="D79" s="974">
        <f t="shared" si="43"/>
        <v>42414</v>
      </c>
      <c r="E79" s="765" cm="1">
        <f t="array" aca="1" ref="E79" ca="1">IF(NPSwitch=1,_xll.TR(E$7,E$6,"Sdate=#1 Period=#2 NULL=BLANK",,$D79,$E$4),E79)</f>
        <v>11.5003979220114</v>
      </c>
      <c r="F79" s="765" cm="1">
        <f t="array" aca="1" ref="F79" ca="1">IF(NPSwitch=1,_xll.TR(F$7,F$6,"Sdate=#1 Period=#2 NULL=BLANK",,$D79,$E$4),F79)</f>
        <v>9.7938740692853603</v>
      </c>
      <c r="G79" s="765" cm="1">
        <f t="array" aca="1" ref="G79" ca="1">IF(NPSwitch=1,_xll.TR(G$7,G$6,"Sdate=#1 Period=#2 NULL=BLANK",,$D79,$E$4),G79)</f>
        <v>7.8397966047338299</v>
      </c>
      <c r="H79" s="765" cm="1">
        <f t="array" aca="1" ref="H79" ca="1">IF(NPSwitch=1,_xll.TR(H$7,H$6,"Sdate=#1 Period=#2 NULL=BLANK",,$D79,$E$4),H79)</f>
        <v>6.8175579805070798</v>
      </c>
      <c r="I79" s="765" cm="1">
        <f t="array" aca="1" ref="I79" ca="1">IF(NPSwitch=1,_xll.TR(I$7,I$6,"Sdate=#1 Period=#2 NULL=BLANK",,$D79,$E$4),I79)</f>
        <v>5.4312746393979303</v>
      </c>
      <c r="J79" s="765" cm="1">
        <f t="array" aca="1" ref="J79" ca="1">IF(NPSwitch=1,_xll.TR(J$7,J$6,"Sdate=#1 Period=#2 NULL=BLANK",,$D79,$E$4),J79)</f>
        <v>9.2712639671836392</v>
      </c>
      <c r="K79" s="765" cm="1">
        <f t="array" aca="1" ref="K79" ca="1">IF(NPSwitch=1,_xll.TR(K$7,K$6,"Sdate=#1 Period=#2 NULL=BLANK",,$D79,$E$4),K79)</f>
        <v>9.6202688618295191</v>
      </c>
      <c r="L79" s="765" cm="1">
        <f t="array" aca="1" ref="L79" ca="1">IF(NPSwitch=1,_xll.TR(L$7,L$6,"Sdate=#1 Period=#2 NULL=BLANK",,$D79,$E$4),L79)</f>
        <v>4.2105512875408202</v>
      </c>
      <c r="M79" s="765" cm="1">
        <f t="array" aca="1" ref="M79" ca="1">IF(NPSwitch=1,_xll.TR(M$7,M$6,"Sdate=#1 Period=#2 NULL=BLANK",,$D79,$E$4),M79)</f>
        <v>7.1603280818444901</v>
      </c>
      <c r="N79" s="1002">
        <f t="shared" ca="1" si="45"/>
        <v>7.1984522235321364</v>
      </c>
      <c r="O79" s="1000" cm="1">
        <f t="array" aca="1" ref="O79" ca="1">IF(NPSwitch=1,_xll.TR(O$7,O$6,"Sdate=#1 Period=#2 Scale=6 NULL=BLANK",,$D79,$O$4),O79)</f>
        <v>93151.679116560001</v>
      </c>
      <c r="P79" s="1000" cm="1">
        <f t="array" aca="1" ref="P79" ca="1">IF(NPSwitch=1,_xll.TR(P$7,P$6,"Sdate=#1 Period=#2 Scale=6 NULL=BLANK",,$D79,$O$4),P79)</f>
        <v>5764.9980525199999</v>
      </c>
      <c r="Q79" s="1000" cm="1">
        <f t="array" aca="1" ref="Q79" ca="1">IF(NPSwitch=1,_xll.TR(Q$7,Q$6,"Sdate=#1 Period=#2 Scale=6 NULL=BLANK",,$D79,$O$4),Q79)</f>
        <v>5812.2761805299997</v>
      </c>
      <c r="R79" s="1000" cm="1">
        <f t="array" aca="1" ref="R79" ca="1">IF(NPSwitch=1,_xll.TR(R$7,R$6,"Sdate=#1 Period=#2 Scale=6 NULL=BLANK",,$D79,$O$4),R79)</f>
        <v>2207.7344715600002</v>
      </c>
      <c r="S79" s="1000" cm="1">
        <f t="array" aca="1" ref="S79" ca="1">IF(NPSwitch=1,_xll.TR(S$7,S$6,"Sdate=#1 Period=#2 Scale=6 NULL=BLANK",,$D79,$O$4),S79)</f>
        <v>2084.5115983999999</v>
      </c>
      <c r="T79" s="1000" cm="1">
        <f t="array" aca="1" ref="T79" ca="1">IF(NPSwitch=1,_xll.TR(T$7,T$6,"Sdate=#1 Period=#2 Scale=6 NULL=BLANK",,$D79,$O$4),T79)</f>
        <v>4683.2984260800004</v>
      </c>
      <c r="U79" s="1000" cm="1">
        <f t="array" aca="1" ref="U79" ca="1">IF(NPSwitch=1,_xll.TR(U$7,U$6,"Sdate=#1 Period=#2 Scale=6 NULL=BLANK",,$D79,$O$4),U79)</f>
        <v>24483.749704959999</v>
      </c>
      <c r="V79" s="1000" cm="1">
        <f t="array" aca="1" ref="V79" ca="1">IF(NPSwitch=1,_xll.TR(V$7,V$6,"Sdate=#1 Period=#2 Scale=6 NULL=BLANK",,$D79,$O$4),V79)</f>
        <v>7887.7929919999997</v>
      </c>
      <c r="W79" s="1000" cm="1">
        <f t="array" aca="1" ref="W79" ca="1">IF(NPSwitch=1,_xll.TR(W$7,W$6,"Sdate=#1 Period=#2 Scale=6 NULL=BLANK",,$D79,$O$4),W79)</f>
        <v>8966.3237807400001</v>
      </c>
      <c r="X79" s="998"/>
      <c r="Y79" s="1000" cm="1">
        <f t="array" aca="1" ref="Y79" ca="1">IF(NPSwitch=1,_xll.TR(Y$7,Y$6,"Sdate=#1 Period=#2 Scale=6 NULL=BLANK",,$D79,$O$4),Y79)</f>
        <v>2492</v>
      </c>
      <c r="Z79" s="1000" cm="1">
        <f t="array" aca="1" ref="Z79" ca="1">IF(NPSwitch=1,_xll.TR(Z$7,Z$6,"Sdate=#1 Period=#2 Scale=6 NULL=BLANK",,$D79,$O$4),Z79)</f>
        <v>798.22924999999998</v>
      </c>
      <c r="AA79" s="1000" cm="1">
        <f t="array" aca="1" ref="AA79" ca="1">IF(NPSwitch=1,_xll.TR(AA$7,AA$6,"Sdate=#1 Period=#2 Scale=6 NULL=BLANK",,$D79,$O$4),AA79)</f>
        <v>1080</v>
      </c>
      <c r="AB79" s="1000" cm="1">
        <f t="array" aca="1" ref="AB79" ca="1">IF(NPSwitch=1,_xll.TR(AB$7,AB$6,"Sdate=#1 Period=#2 Scale=6 NULL=BLANK",,$D79,$O$4),AB79)</f>
        <v>244.67500000000001</v>
      </c>
      <c r="AC79" s="1000" cm="1">
        <f t="array" aca="1" ref="AC79" ca="1">IF(NPSwitch=1,_xll.TR(AC$7,AC$6,"Sdate=#1 Period=#2 Scale=6 NULL=BLANK",,$D79,$O$4),AC79)</f>
        <v>570.75</v>
      </c>
      <c r="AD79" s="1000" cm="1">
        <f t="array" aca="1" ref="AD79" ca="1">IF(NPSwitch=1,_xll.TR(AD$7,AD$6,"Sdate=#1 Period=#2 Scale=6 NULL=BLANK",,$D79,$O$4),AD79)</f>
        <v>208.75</v>
      </c>
      <c r="AE79" s="1000" cm="1">
        <f t="array" aca="1" ref="AE79" ca="1">IF(NPSwitch=1,_xll.TR(AE$7,AE$6,"Sdate=#1 Period=#2 Scale=6 NULL=BLANK",,$D79,$O$4),AE79)</f>
        <v>1305.25</v>
      </c>
      <c r="AF79" s="1000" cm="1">
        <f t="array" aca="1" ref="AF79" ca="1">IF(NPSwitch=1,_xll.TR(AF$7,AF$6,"Sdate=#1 Period=#2 Scale=6 NULL=BLANK",,$D79,$O$4),AF79)</f>
        <v>1158.25</v>
      </c>
      <c r="AG79" s="1000" cm="1">
        <f t="array" aca="1" ref="AG79" ca="1">IF(NPSwitch=1,_xll.TR(AG$7,AG$6,"Sdate=#1 Period=#2 Scale=6 NULL=BLANK",,$D79,$O$4),AG79)</f>
        <v>266.5</v>
      </c>
      <c r="AH79" s="998"/>
      <c r="AI79" s="1000" cm="1">
        <f t="array" aca="1" ref="AI79" ca="1">IF(NPSwitch=1,_xll.TR(AI$7,AI$6,"Sdate=#1 Period=#2 Scale=6 NULL=BLANK",,$D79,$O$4),AI79)</f>
        <v>102117.67911656</v>
      </c>
      <c r="AJ79" s="1000" cm="1">
        <f t="array" aca="1" ref="AJ79" ca="1">IF(NPSwitch=1,_xll.TR(AJ$7,AJ$6,"Sdate=#1 Period=#2 Scale=6 NULL=BLANK",,$D79,$O$4),AJ79)</f>
        <v>9503.8650525199992</v>
      </c>
      <c r="AK79" s="1000" cm="1">
        <f t="array" aca="1" ref="AK79" ca="1">IF(NPSwitch=1,_xll.TR(AK$7,AK$6,"Sdate=#1 Period=#2 Scale=6 NULL=BLANK",,$D79,$O$4),AK79)</f>
        <v>8810.2761805299997</v>
      </c>
      <c r="AL79" s="1000" cm="1">
        <f t="array" aca="1" ref="AL79" ca="1">IF(NPSwitch=1,_xll.TR(AL$7,AL$6,"Sdate=#1 Period=#2 Scale=6 NULL=BLANK",,$D79,$O$4),AL79)</f>
        <v>3072.93447156</v>
      </c>
      <c r="AM79" s="1000" cm="1">
        <f t="array" aca="1" ref="AM79" ca="1">IF(NPSwitch=1,_xll.TR(AM$7,AM$6,"Sdate=#1 Period=#2 Scale=6 NULL=BLANK",,$D79,$O$4),AM79)</f>
        <v>6743.5115984000004</v>
      </c>
      <c r="AN79" s="1000" cm="1">
        <f t="array" aca="1" ref="AN79" ca="1">IF(NPSwitch=1,_xll.TR(AN$7,AN$6,"Sdate=#1 Period=#2 Scale=6 NULL=BLANK",,$D79,$O$4),AN79)</f>
        <v>6720.19842608</v>
      </c>
      <c r="AO79" s="1000" cm="1">
        <f t="array" aca="1" ref="AO79" ca="1">IF(NPSwitch=1,_xll.TR(AO$7,AO$6,"Sdate=#1 Period=#2 Scale=6 NULL=BLANK",,$D79,$O$4),AO79)</f>
        <v>27706.749704959999</v>
      </c>
      <c r="AP79" s="1000" cm="1">
        <f t="array" aca="1" ref="AP79" ca="1">IF(NPSwitch=1,_xll.TR(AP$7,AP$6,"Sdate=#1 Period=#2 Scale=6 NULL=BLANK",,$D79,$O$4),AP79)</f>
        <v>9720.7929920000006</v>
      </c>
      <c r="AQ79" s="1000" cm="1">
        <f t="array" aca="1" ref="AQ79" ca="1">IF(NPSwitch=1,_xll.TR(AQ$7,AQ$6,"Sdate=#1 Period=#2 Scale=6 NULL=BLANK",,$D79,$O$4),AQ79)</f>
        <v>16016.32378074</v>
      </c>
      <c r="AS79" s="765" cm="1">
        <f t="array" aca="1" ref="AS79" ca="1">IF(NPSwitch=1,_xll.TR(AS$7,AS$6,"Sdate=#1 Period=#2 NULL=BLANK Scale=6",,$D79,$AS$4),AS79)</f>
        <v>21.504166666666698</v>
      </c>
      <c r="AT79" s="765" cm="1">
        <f t="array" aca="1" ref="AT79" ca="1">IF(NPSwitch=1,_xll.TR(AT$7,AT$6,"Sdate=#1 Period=#2 NULL=BLANK Scale=6",,$D79,$AS$4),AT79)</f>
        <v>9.56666666666667</v>
      </c>
      <c r="AU79" s="765" t="str" cm="1">
        <f t="array" aca="1" ref="AU79" ca="1">IF(NPSwitch=1,_xll.TR(AU$7,AU$6,"Sdate=#1 Period=#2 NULL=BLANK Scale=6",,$D79,$AS$4),AU79)</f>
        <v/>
      </c>
      <c r="AV79" s="765" t="str" cm="1">
        <f t="array" aca="1" ref="AV79" ca="1">IF(NPSwitch=1,_xll.TR(AV$7,AV$6,"Sdate=#1 Period=#2 NULL=BLANK Scale=6",,$D79,$AS$4),AV79)</f>
        <v/>
      </c>
      <c r="AW79" s="765" cm="1">
        <f t="array" aca="1" ref="AW79" ca="1">IF(NPSwitch=1,_xll.TR(AW$7,AW$6,"Sdate=#1 Period=#2 NULL=BLANK Scale=6",,$D79,$AS$4),AW79)</f>
        <v>9.6333333333333293</v>
      </c>
      <c r="AX79" s="765" cm="1">
        <f t="array" aca="1" ref="AX79" ca="1">IF(NPSwitch=1,_xll.TR(AX$7,AX$6,"Sdate=#1 Period=#2 NULL=BLANK Scale=6",,$D79,$AS$4),AX79)</f>
        <v>7.5333333333333297</v>
      </c>
      <c r="AY79" s="765" cm="1">
        <f t="array" aca="1" ref="AY79" ca="1">IF(NPSwitch=1,_xll.TR(AY$7,AY$6,"Sdate=#1 Period=#2 NULL=BLANK Scale=6",,$D79,$AS$4),AY79)</f>
        <v>15.891666666666699</v>
      </c>
      <c r="AZ79" s="765" cm="1">
        <f t="array" aca="1" ref="AZ79" ca="1">IF(NPSwitch=1,_xll.TR(AZ$7,AZ$6,"Sdate=#1 Period=#2 NULL=BLANK Scale=6",,$D79,$AS$4),AZ79)</f>
        <v>5.8968333333333298</v>
      </c>
      <c r="BA79" s="765" cm="1">
        <f t="array" aca="1" ref="BA79" ca="1">IF(NPSwitch=1,_xll.TR(BA$7,BA$6,"Sdate=#1 Period=#2 NULL=BLANK Scale=6",,$D79,$AS$4),BA79)</f>
        <v>10.6666666666667</v>
      </c>
      <c r="BB79" s="1002"/>
      <c r="BO79" s="765" cm="1">
        <f t="array" aca="1" ref="BO79" ca="1">IF(NPSwitch=1,_xll.TR(BO$7,BO$6,"Sdate=#1 Period=#2 NULL=BLANK Scale=6",,$D79,$AS$4),BO79)</f>
        <v>30274</v>
      </c>
      <c r="BP79" s="765" cm="1">
        <f t="array" aca="1" ref="BP79" ca="1">IF(NPSwitch=1,_xll.TR(BP$7,BP$6,"Sdate=#1 Period=#2 NULL=BLANK Scale=6",,$D79,$AS$4),BP79)</f>
        <v>2702.3850000000002</v>
      </c>
      <c r="BQ79" s="765" cm="1">
        <f t="array" aca="1" ref="BQ79" ca="1">IF(NPSwitch=1,_xll.TR(BQ$7,BQ$6,"Sdate=#1 Period=#2 NULL=BLANK Scale=6",,$D79,$AS$4),BQ79)</f>
        <v>5160</v>
      </c>
      <c r="BR79" s="765" cm="1">
        <f t="array" aca="1" ref="BR79" ca="1">IF(NPSwitch=1,_xll.TR(BR$7,BR$6,"Sdate=#1 Period=#2 NULL=BLANK Scale=6",,$D79,$AS$4),BR79)</f>
        <v>3377.6</v>
      </c>
      <c r="BS79" s="765" cm="1">
        <f t="array" aca="1" ref="BS79" ca="1">IF(NPSwitch=1,_xll.TR(BS$7,BS$6,"Sdate=#1 Period=#2 NULL=BLANK Scale=6",,$D79,$AS$4),BS79)</f>
        <v>10299</v>
      </c>
      <c r="BT79" s="765" cm="1">
        <f t="array" aca="1" ref="BT79" ca="1">IF(NPSwitch=1,_xll.TR(BT$7,BT$6,"Sdate=#1 Period=#2 NULL=BLANK Scale=6",,$D79,$AS$4),BT79)</f>
        <v>3276.5</v>
      </c>
      <c r="BU79" s="765" cm="1">
        <f t="array" aca="1" ref="BU79" ca="1">IF(NPSwitch=1,_xll.TR(BU$7,BU$6,"Sdate=#1 Period=#2 NULL=BLANK Scale=6",,$D79,$AS$4),BU79)</f>
        <v>14514</v>
      </c>
      <c r="BV79" s="765" cm="1">
        <f t="array" aca="1" ref="BV79" ca="1">IF(NPSwitch=1,_xll.TR(BV$7,BV$6,"Sdate=#1 Period=#2 NULL=BLANK Scale=6",,$D79,$AS$4),BV79)</f>
        <v>11068</v>
      </c>
      <c r="BW79" s="765" cm="1">
        <f t="array" aca="1" ref="BW79" ca="1">IF(NPSwitch=1,_xll.TR(BW$7,BW$6,"Sdate=#1 Period=#2 NULL=BLANK Scale=6",,$D79,$AS$4),BW79)</f>
        <v>9648</v>
      </c>
      <c r="BY79" s="765" cm="1">
        <f t="array" aca="1" ref="BY79" ca="1">IF(NPSwitch=1,_xll.TR(BY$7,BY$6,"Sdate=#1 Period=#2 NULL=BLANK Scale=6",,$D79,$AS$4),BY79)</f>
        <v>21983</v>
      </c>
      <c r="BZ79" s="765" cm="1">
        <f t="array" aca="1" ref="BZ79" ca="1">IF(NPSwitch=1,_xll.TR(BZ$7,BZ$6,"Sdate=#1 Period=#2 NULL=BLANK Scale=6",,$D79,$AS$4),BZ79)</f>
        <v>6526.8202499999998</v>
      </c>
      <c r="CA79" s="765" cm="1">
        <f t="array" aca="1" ref="CA79" ca="1">IF(NPSwitch=1,_xll.TR(CA$7,CA$6,"Sdate=#1 Period=#2 NULL=BLANK Scale=6",,$D79,$AS$4),CA79)</f>
        <v>6604.75</v>
      </c>
      <c r="CB79" s="765" cm="1">
        <f t="array" aca="1" ref="CB79" ca="1">IF(NPSwitch=1,_xll.TR(CB$7,CB$6,"Sdate=#1 Period=#2 NULL=BLANK Scale=6",,$D79,$AS$4),CB79)</f>
        <v>1857.2249999999999</v>
      </c>
      <c r="CC79" s="765" cm="1">
        <f t="array" aca="1" ref="CC79" ca="1">IF(NPSwitch=1,_xll.TR(CC$7,CC$6,"Sdate=#1 Period=#2 NULL=BLANK Scale=6",,$D79,$AS$4),CC79)</f>
        <v>6780.75</v>
      </c>
      <c r="CD79" s="765" cm="1">
        <f t="array" aca="1" ref="CD79" ca="1">IF(NPSwitch=1,_xll.TR(CD$7,CD$6,"Sdate=#1 Period=#2 NULL=BLANK Scale=6",,$D79,$AS$4),CD79)</f>
        <v>4109.1499999999996</v>
      </c>
      <c r="CE79" s="765" cm="1">
        <f t="array" aca="1" ref="CE79" ca="1">IF(NPSwitch=1,_xll.TR(CE$7,CE$6,"Sdate=#1 Period=#2 NULL=BLANK Scale=6",,$D79,$AS$4),CE79)</f>
        <v>9674.25</v>
      </c>
      <c r="CF79" s="765" cm="1">
        <f t="array" aca="1" ref="CF79" ca="1">IF(NPSwitch=1,_xll.TR(CF$7,CF$6,"Sdate=#1 Period=#2 NULL=BLANK Scale=6",,$D79,$AS$4),CF79)</f>
        <v>9805.5</v>
      </c>
      <c r="CG79" s="765" cm="1">
        <f t="array" aca="1" ref="CG79" ca="1">IF(NPSwitch=1,_xll.TR(CG$7,CG$6,"Sdate=#1 Period=#2 NULL=BLANK Scale=6",,$D79,$AS$4),CG79)</f>
        <v>11149.75</v>
      </c>
      <c r="CI79" s="1000" cm="1">
        <f t="array" aca="1" ref="CI79" ca="1">IF(NPSwitch=1,_xll.TR(CI$7,CI$6,"Sdate=#1 Period=#2 NULL=BLANK Scale=6",,$D79,$AS$4),CI79)</f>
        <v>8497</v>
      </c>
      <c r="CJ79" s="1000" cm="1">
        <f t="array" aca="1" ref="CJ79" ca="1">IF(NPSwitch=1,_xll.TR(CJ$7,CJ$6,"Sdate=#1 Period=#2 NULL=BLANK Scale=6",,$D79,$AS$4),CJ79)</f>
        <v>525.13</v>
      </c>
      <c r="CK79" s="1000" cm="1">
        <f t="array" aca="1" ref="CK79" ca="1">IF(NPSwitch=1,_xll.TR(CK$7,CK$6,"Sdate=#1 Period=#2 NULL=BLANK Scale=6",,$D79,$AS$4),CK79)</f>
        <v>889</v>
      </c>
      <c r="CL79" s="1000" cm="1">
        <f t="array" aca="1" ref="CL79" ca="1">IF(NPSwitch=1,_xll.TR(CL$7,CL$6,"Sdate=#1 Period=#2 NULL=BLANK Scale=6",,$D79,$AS$4),CL79)</f>
        <v>432.8</v>
      </c>
      <c r="CM79" s="1000" cm="1">
        <f t="array" aca="1" ref="CM79" ca="1">IF(NPSwitch=1,_xll.TR(CM$7,CM$6,"Sdate=#1 Period=#2 NULL=BLANK Scale=6",,$D79,$AS$4),CM79)</f>
        <v>1106</v>
      </c>
      <c r="CN79" s="1000" cm="1">
        <f t="array" aca="1" ref="CN79" ca="1">IF(NPSwitch=1,_xll.TR(CN$7,CN$6,"Sdate=#1 Period=#2 NULL=BLANK Scale=6",,$D79,$AS$4),CN79)</f>
        <v>459.9</v>
      </c>
      <c r="CO79" s="1000" cm="1">
        <f t="array" aca="1" ref="CO79" ca="1">IF(NPSwitch=1,_xll.TR(CO$7,CO$6,"Sdate=#1 Period=#2 NULL=BLANK Scale=6",,$D79,$AS$4),CO79)</f>
        <v>2554</v>
      </c>
      <c r="CP79" s="1000" cm="1">
        <f t="array" aca="1" ref="CP79" ca="1">IF(NPSwitch=1,_xll.TR(CP$7,CP$6,"Sdate=#1 Period=#2 NULL=BLANK Scale=6",,$D79,$AS$4),CP79)</f>
        <v>2089</v>
      </c>
      <c r="CQ79" s="1000" cm="1">
        <f t="array" aca="1" ref="CQ79" ca="1">IF(NPSwitch=1,_xll.TR(CQ$7,CQ$6,"Sdate=#1 Period=#2 NULL=BLANK Scale=6",,$D79,$AS$4),CQ79)</f>
        <v>2288</v>
      </c>
      <c r="CS79" s="1000" cm="1">
        <f t="array" aca="1" ref="CS79" ca="1">IF(NPSwitch=1,_xll.TR(CS$7,CS$6,"Sdate=#1 Period=#2 NULL=BLANK Scale=6",,$D79,$AS$4),CS79)</f>
        <v>8415</v>
      </c>
      <c r="CT79" s="1000" cm="1">
        <f t="array" aca="1" ref="CT79" ca="1">IF(NPSwitch=1,_xll.TR(CT$7,CT$6,"Sdate=#1 Period=#2 NULL=BLANK Scale=6",,$D79,$AS$4),CT79)</f>
        <v>2267.0709999999999</v>
      </c>
      <c r="CU79" s="1000" cm="1">
        <f t="array" aca="1" ref="CU79" ca="1">IF(NPSwitch=1,_xll.TR(CU$7,CU$6,"Sdate=#1 Period=#2 NULL=BLANK Scale=6",,$D79,$AS$4),CU79)</f>
        <v>2167</v>
      </c>
      <c r="CV79" s="1000" cm="1">
        <f t="array" aca="1" ref="CV79" ca="1">IF(NPSwitch=1,_xll.TR(CV$7,CV$6,"Sdate=#1 Period=#2 NULL=BLANK Scale=6",,$D79,$AS$4),CV79)</f>
        <v>579.47500000000002</v>
      </c>
      <c r="CW79" s="1000" cm="1">
        <f t="array" aca="1" ref="CW79" ca="1">IF(NPSwitch=1,_xll.TR(CW$7,CW$6,"Sdate=#1 Period=#2 NULL=BLANK Scale=6",,$D79,$AS$4),CW79)</f>
        <v>1028.6500000000001</v>
      </c>
      <c r="CX79" s="1000" cm="1">
        <f t="array" aca="1" ref="CX79" ca="1">IF(NPSwitch=1,_xll.TR(CX$7,CX$6,"Sdate=#1 Period=#2 NULL=BLANK Scale=6",,$D79,$AS$4),CX79)</f>
        <v>2905.75</v>
      </c>
      <c r="CY79" s="1000" cm="1">
        <f t="array" aca="1" ref="CY79" ca="1">IF(NPSwitch=1,_xll.TR(CY$7,CY$6,"Sdate=#1 Period=#2 NULL=BLANK Scale=6",,$D79,$AS$4),CY79)</f>
        <v>5605.25</v>
      </c>
      <c r="CZ79" s="1000" cm="1">
        <f t="array" aca="1" ref="CZ79" ca="1">IF(NPSwitch=1,_xll.TR(CZ$7,CZ$6,"Sdate=#1 Period=#2 NULL=BLANK Scale=6",,$D79,$AS$4),CZ79)</f>
        <v>5035.75</v>
      </c>
      <c r="DA79" s="1000" cm="1">
        <f t="array" aca="1" ref="DA79" ca="1">IF(NPSwitch=1,_xll.TR(DA$7,DA$6,"Sdate=#1 Period=#2 NULL=BLANK Scale=6",,$D79,$AS$4),DA79)</f>
        <v>3710.75</v>
      </c>
      <c r="DB79" s="1000" cm="1">
        <f t="array" aca="1" ref="DB79" ca="1">IF(NPSwitch=1,_xll.TR(DB$7,DB$6,"Sdate=#1 Period=#2 NULL=BLANK Scale=6",,$D79,$AS$4),DB79)</f>
        <v>24843.25</v>
      </c>
      <c r="DC79" s="1000" t="str" cm="1">
        <f t="array" aca="1" ref="DC79" ca="1">IF(NPSwitch=1,_xll.TR(DC$7,DC$6,"Sdate=#1 Period=#2 NULL=BLANK Scale=6",,$D79,$AS$4),DC79)</f>
        <v/>
      </c>
      <c r="DD79" s="1000" cm="1">
        <f t="array" aca="1" ref="DD79" ca="1">IF(NPSwitch=1,_xll.TR(DD$7,DD$6,"Sdate=#1 Period=#2 NULL=BLANK Scale=6",,$D79,$AS$4),DD79)</f>
        <v>8712.5</v>
      </c>
      <c r="DE79" s="1000" t="str" cm="1">
        <f t="array" aca="1" ref="DE79" ca="1">IF(NPSwitch=1,_xll.TR(DE$7,DE$6,"Sdate=#1 Period=#2 NULL=BLANK Scale=6",,$D79,$AS$4),DE79)</f>
        <v/>
      </c>
      <c r="DF79" s="1000" cm="1">
        <f t="array" aca="1" ref="DF79" ca="1">IF(NPSwitch=1,_xll.TR(DF$7,DF$6,"Sdate=#1 Period=#2 NULL=BLANK Scale=6",,$D79,$AS$4),DF79)</f>
        <v>579.47500000000002</v>
      </c>
      <c r="DG79" s="1000" cm="1">
        <f t="array" aca="1" ref="DG79" ca="1">IF(NPSwitch=1,_xll.TR(DG$7,DG$6,"Sdate=#1 Period=#2 NULL=BLANK Scale=6",,$D79,$AS$4),DG79)</f>
        <v>4351</v>
      </c>
      <c r="DH79" s="1000" cm="1">
        <f t="array" aca="1" ref="DH79" ca="1">IF(NPSwitch=1,_xll.TR(DH$7,DH$6,"Sdate=#1 Period=#2 NULL=BLANK Scale=6",,$D79,$AS$4),DH79)</f>
        <v>2820.2952500000001</v>
      </c>
      <c r="FN79" s="3" t="s">
        <v>1581</v>
      </c>
    </row>
    <row r="80" spans="3:170">
      <c r="C80" s="969">
        <f t="shared" si="44"/>
        <v>42460</v>
      </c>
      <c r="D80" s="974">
        <f t="shared" si="43"/>
        <v>42505</v>
      </c>
      <c r="E80" s="765" cm="1">
        <f t="array" aca="1" ref="E80" ca="1">IF(NPSwitch=1,_xll.TR(E$7,E$6,"Sdate=#1 Period=#2 NULL=BLANK",,$D80,$E$4),E80)</f>
        <v>12.398849073721401</v>
      </c>
      <c r="F80" s="765" cm="1">
        <f t="array" aca="1" ref="F80" ca="1">IF(NPSwitch=1,_xll.TR(F$7,F$6,"Sdate=#1 Period=#2 NULL=BLANK",,$D80,$E$4),F80)</f>
        <v>12.226084970652099</v>
      </c>
      <c r="G80" s="765" cm="1">
        <f t="array" aca="1" ref="G80" ca="1">IF(NPSwitch=1,_xll.TR(G$7,G$6,"Sdate=#1 Period=#2 NULL=BLANK",,$D80,$E$4),G80)</f>
        <v>8.7303825112299105</v>
      </c>
      <c r="H80" s="765" cm="1">
        <f t="array" aca="1" ref="H80" ca="1">IF(NPSwitch=1,_xll.TR(H$7,H$6,"Sdate=#1 Period=#2 NULL=BLANK",,$D80,$E$4),H80)</f>
        <v>8.9242136810277604</v>
      </c>
      <c r="I80" s="765" cm="1">
        <f t="array" aca="1" ref="I80" ca="1">IF(NPSwitch=1,_xll.TR(I$7,I$6,"Sdate=#1 Period=#2 NULL=BLANK",,$D80,$E$4),I80)</f>
        <v>6.5626959490298802</v>
      </c>
      <c r="J80" s="765" cm="1">
        <f t="array" aca="1" ref="J80" ca="1">IF(NPSwitch=1,_xll.TR(J$7,J$6,"Sdate=#1 Period=#2 NULL=BLANK",,$D80,$E$4),J80)</f>
        <v>11.2711006742922</v>
      </c>
      <c r="K80" s="765" cm="1">
        <f t="array" aca="1" ref="K80" ca="1">IF(NPSwitch=1,_xll.TR(K$7,K$6,"Sdate=#1 Period=#2 NULL=BLANK",,$D80,$E$4),K80)</f>
        <v>10.8242669622637</v>
      </c>
      <c r="L80" s="765" cm="1">
        <f t="array" aca="1" ref="L80" ca="1">IF(NPSwitch=1,_xll.TR(L$7,L$6,"Sdate=#1 Period=#2 NULL=BLANK",,$D80,$E$4),L80)</f>
        <v>5.7490231654047799</v>
      </c>
      <c r="M80" s="765" cm="1">
        <f t="array" aca="1" ref="M80" ca="1">IF(NPSwitch=1,_xll.TR(M$7,M$6,"Sdate=#1 Period=#2 NULL=BLANK",,$D80,$E$4),M80)</f>
        <v>7.8611620646486102</v>
      </c>
      <c r="N80" s="1002">
        <f t="shared" ca="1" si="45"/>
        <v>8.6769471572080388</v>
      </c>
      <c r="O80" s="1000" cm="1">
        <f t="array" aca="1" ref="O80" ca="1">IF(NPSwitch=1,_xll.TR(O$7,O$6,"Sdate=#1 Period=#2 Scale=6 NULL=BLANK",,$D80,$O$4),O80)</f>
        <v>102088.525689599</v>
      </c>
      <c r="P80" s="1000" cm="1">
        <f t="array" aca="1" ref="P80" ca="1">IF(NPSwitch=1,_xll.TR(P$7,P$6,"Sdate=#1 Period=#2 Scale=6 NULL=BLANK",,$D80,$O$4),P80)</f>
        <v>8552.5645766399903</v>
      </c>
      <c r="Q80" s="1000" cm="1">
        <f t="array" aca="1" ref="Q80" ca="1">IF(NPSwitch=1,_xll.TR(Q$7,Q$6,"Sdate=#1 Period=#2 Scale=6 NULL=BLANK",,$D80,$O$4),Q80)</f>
        <v>6939.6299340400001</v>
      </c>
      <c r="R80" s="1000" cm="1">
        <f t="array" aca="1" ref="R80" ca="1">IF(NPSwitch=1,_xll.TR(R$7,R$6,"Sdate=#1 Period=#2 Scale=6 NULL=BLANK",,$D80,$O$4),R80)</f>
        <v>3078.50593248</v>
      </c>
      <c r="S80" s="1000" cm="1">
        <f t="array" aca="1" ref="S80" ca="1">IF(NPSwitch=1,_xll.TR(S$7,S$6,"Sdate=#1 Period=#2 Scale=6 NULL=BLANK",,$D80,$O$4),S80)</f>
        <v>3303.32839689</v>
      </c>
      <c r="T80" s="1000" cm="1">
        <f t="array" aca="1" ref="T80" ca="1">IF(NPSwitch=1,_xll.TR(T$7,T$6,"Sdate=#1 Period=#2 Scale=6 NULL=BLANK",,$D80,$O$4),T80)</f>
        <v>6152.5712080000003</v>
      </c>
      <c r="U80" s="1000" cm="1">
        <f t="array" aca="1" ref="U80" ca="1">IF(NPSwitch=1,_xll.TR(U$7,U$6,"Sdate=#1 Period=#2 Scale=6 NULL=BLANK",,$D80,$O$4),U80)</f>
        <v>28462.746976400002</v>
      </c>
      <c r="V80" s="1000" cm="1">
        <f t="array" aca="1" ref="V80" ca="1">IF(NPSwitch=1,_xll.TR(V$7,V$6,"Sdate=#1 Period=#2 Scale=6 NULL=BLANK",,$D80,$O$4),V80)</f>
        <v>9232.4234751999393</v>
      </c>
      <c r="W80" s="1000" cm="1">
        <f t="array" aca="1" ref="W80" ca="1">IF(NPSwitch=1,_xll.TR(W$7,W$6,"Sdate=#1 Period=#2 Scale=6 NULL=BLANK",,$D80,$O$4),W80)</f>
        <v>10762.505650499999</v>
      </c>
      <c r="X80" s="998"/>
      <c r="Y80" s="1000" cm="1">
        <f t="array" aca="1" ref="Y80" ca="1">IF(NPSwitch=1,_xll.TR(Y$7,Y$6,"Sdate=#1 Period=#2 Scale=6 NULL=BLANK",,$D80,$O$4),Y80)</f>
        <v>2168</v>
      </c>
      <c r="Z80" s="1000" cm="1">
        <f t="array" aca="1" ref="Z80" ca="1">IF(NPSwitch=1,_xll.TR(Z$7,Z$6,"Sdate=#1 Period=#2 Scale=6 NULL=BLANK",,$D80,$O$4),Z80)</f>
        <v>226.96100000000001</v>
      </c>
      <c r="AA80" s="1000" cm="1">
        <f t="array" aca="1" ref="AA80" ca="1">IF(NPSwitch=1,_xll.TR(AA$7,AA$6,"Sdate=#1 Period=#2 Scale=6 NULL=BLANK",,$D80,$O$4),AA80)</f>
        <v>1136.25</v>
      </c>
      <c r="AB80" s="1000" cm="1">
        <f t="array" aca="1" ref="AB80" ca="1">IF(NPSwitch=1,_xll.TR(AB$7,AB$6,"Sdate=#1 Period=#2 Scale=6 NULL=BLANK",,$D80,$O$4),AB80)</f>
        <v>226.92500000000001</v>
      </c>
      <c r="AC80" s="1000" cm="1">
        <f t="array" aca="1" ref="AC80" ca="1">IF(NPSwitch=1,_xll.TR(AC$7,AC$6,"Sdate=#1 Period=#2 Scale=6 NULL=BLANK",,$D80,$O$4),AC80)</f>
        <v>374.25</v>
      </c>
      <c r="AD80" s="1000" cm="1">
        <f t="array" aca="1" ref="AD80" ca="1">IF(NPSwitch=1,_xll.TR(AD$7,AD$6,"Sdate=#1 Period=#2 Scale=6 NULL=BLANK",,$D80,$O$4),AD80)</f>
        <v>198.52500000000001</v>
      </c>
      <c r="AE80" s="1000" cm="1">
        <f t="array" aca="1" ref="AE80" ca="1">IF(NPSwitch=1,_xll.TR(AE$7,AE$6,"Sdate=#1 Period=#2 Scale=6 NULL=BLANK",,$D80,$O$4),AE80)</f>
        <v>1270.25</v>
      </c>
      <c r="AF80" s="1000" cm="1">
        <f t="array" aca="1" ref="AF80" ca="1">IF(NPSwitch=1,_xll.TR(AF$7,AF$6,"Sdate=#1 Period=#2 Scale=6 NULL=BLANK",,$D80,$O$4),AF80)</f>
        <v>1428.5</v>
      </c>
      <c r="AG80" s="1000" cm="1">
        <f t="array" aca="1" ref="AG80" ca="1">IF(NPSwitch=1,_xll.TR(AG$7,AG$6,"Sdate=#1 Period=#2 Scale=6 NULL=BLANK",,$D80,$O$4),AG80)</f>
        <v>268</v>
      </c>
      <c r="AH80" s="998"/>
      <c r="AI80" s="1000" cm="1">
        <f t="array" aca="1" ref="AI80" ca="1">IF(NPSwitch=1,_xll.TR(AI$7,AI$6,"Sdate=#1 Period=#2 Scale=6 NULL=BLANK",,$D80,$O$4),AI80)</f>
        <v>111755.52568960001</v>
      </c>
      <c r="AJ80" s="1000" cm="1">
        <f t="array" aca="1" ref="AJ80" ca="1">IF(NPSwitch=1,_xll.TR(AJ$7,AJ$6,"Sdate=#1 Period=#2 Scale=6 NULL=BLANK",,$D80,$O$4),AJ80)</f>
        <v>12044.85357664</v>
      </c>
      <c r="AK80" s="1000" cm="1">
        <f t="array" aca="1" ref="AK80" ca="1">IF(NPSwitch=1,_xll.TR(AK$7,AK$6,"Sdate=#1 Period=#2 Scale=6 NULL=BLANK",,$D80,$O$4),AK80)</f>
        <v>9880.6299340400001</v>
      </c>
      <c r="AL80" s="1000" cm="1">
        <f t="array" aca="1" ref="AL80" ca="1">IF(NPSwitch=1,_xll.TR(AL$7,AL$6,"Sdate=#1 Period=#2 Scale=6 NULL=BLANK",,$D80,$O$4),AL80)</f>
        <v>4116.90593248</v>
      </c>
      <c r="AM80" s="1000" cm="1">
        <f t="array" aca="1" ref="AM80" ca="1">IF(NPSwitch=1,_xll.TR(AM$7,AM$6,"Sdate=#1 Period=#2 Scale=6 NULL=BLANK",,$D80,$O$4),AM80)</f>
        <v>8135.3283968899996</v>
      </c>
      <c r="AN80" s="1000" cm="1">
        <f t="array" aca="1" ref="AN80" ca="1">IF(NPSwitch=1,_xll.TR(AN$7,AN$6,"Sdate=#1 Period=#2 Scale=6 NULL=BLANK",,$D80,$O$4),AN80)</f>
        <v>8231.7712080000001</v>
      </c>
      <c r="AO80" s="1000" cm="1">
        <f t="array" aca="1" ref="AO80" ca="1">IF(NPSwitch=1,_xll.TR(AO$7,AO$6,"Sdate=#1 Period=#2 Scale=6 NULL=BLANK",,$D80,$O$4),AO80)</f>
        <v>31783.746976400002</v>
      </c>
      <c r="AP80" s="1000" cm="1">
        <f t="array" aca="1" ref="AP80" ca="1">IF(NPSwitch=1,_xll.TR(AP$7,AP$6,"Sdate=#1 Period=#2 Scale=6 NULL=BLANK",,$D80,$O$4),AP80)</f>
        <v>14198.423475199999</v>
      </c>
      <c r="AQ80" s="1000" cm="1">
        <f t="array" aca="1" ref="AQ80" ca="1">IF(NPSwitch=1,_xll.TR(AQ$7,AQ$6,"Sdate=#1 Period=#2 Scale=6 NULL=BLANK",,$D80,$O$4),AQ80)</f>
        <v>17719.505650499999</v>
      </c>
      <c r="AS80" s="765" cm="1">
        <f t="array" aca="1" ref="AS80" ca="1">IF(NPSwitch=1,_xll.TR(AS$7,AS$6,"Sdate=#1 Period=#2 NULL=BLANK Scale=6",,$D80,$AS$4),AS80)</f>
        <v>21.827083333333299</v>
      </c>
      <c r="AT80" s="765" t="str" cm="1">
        <f t="array" aca="1" ref="AT80" ca="1">IF(NPSwitch=1,_xll.TR(AT$7,AT$6,"Sdate=#1 Period=#2 NULL=BLANK Scale=6",,$D80,$AS$4),AT80)</f>
        <v/>
      </c>
      <c r="AU80" s="765" t="str" cm="1">
        <f t="array" aca="1" ref="AU80" ca="1">IF(NPSwitch=1,_xll.TR(AU$7,AU$6,"Sdate=#1 Period=#2 NULL=BLANK Scale=6",,$D80,$AS$4),AU80)</f>
        <v/>
      </c>
      <c r="AV80" s="765" t="str" cm="1">
        <f t="array" aca="1" ref="AV80" ca="1">IF(NPSwitch=1,_xll.TR(AV$7,AV$6,"Sdate=#1 Period=#2 NULL=BLANK Scale=6",,$D80,$AS$4),AV80)</f>
        <v/>
      </c>
      <c r="AW80" s="765" cm="1">
        <f t="array" aca="1" ref="AW80" ca="1">IF(NPSwitch=1,_xll.TR(AW$7,AW$6,"Sdate=#1 Period=#2 NULL=BLANK Scale=6",,$D80,$AS$4),AW80)</f>
        <v>9.8333333333333304</v>
      </c>
      <c r="AX80" s="765" cm="1">
        <f t="array" aca="1" ref="AX80" ca="1">IF(NPSwitch=1,_xll.TR(AX$7,AX$6,"Sdate=#1 Period=#2 NULL=BLANK Scale=6",,$D80,$AS$4),AX80)</f>
        <v>9.4350000000000005</v>
      </c>
      <c r="AY80" s="765" cm="1">
        <f t="array" aca="1" ref="AY80" ca="1">IF(NPSwitch=1,_xll.TR(AY$7,AY$6,"Sdate=#1 Period=#2 NULL=BLANK Scale=6",,$D80,$AS$4),AY80)</f>
        <v>16.470833333333299</v>
      </c>
      <c r="AZ80" s="765" cm="1">
        <f t="array" aca="1" ref="AZ80" ca="1">IF(NPSwitch=1,_xll.TR(AZ$7,AZ$6,"Sdate=#1 Period=#2 NULL=BLANK Scale=6",,$D80,$AS$4),AZ80)</f>
        <v>7.43333333333333</v>
      </c>
      <c r="BA80" s="765" cm="1">
        <f t="array" aca="1" ref="BA80" ca="1">IF(NPSwitch=1,_xll.TR(BA$7,BA$6,"Sdate=#1 Period=#2 NULL=BLANK Scale=6",,$D80,$AS$4),BA80)</f>
        <v>11.3791666666667</v>
      </c>
      <c r="BB80" s="1002"/>
      <c r="BO80" s="765" cm="1">
        <f t="array" aca="1" ref="BO80" ca="1">IF(NPSwitch=1,_xll.TR(BO$7,BO$6,"Sdate=#1 Period=#2 NULL=BLANK Scale=6",,$D80,$AS$4),BO80)</f>
        <v>30105</v>
      </c>
      <c r="BP80" s="765" cm="1">
        <f t="array" aca="1" ref="BP80" ca="1">IF(NPSwitch=1,_xll.TR(BP$7,BP$6,"Sdate=#1 Period=#2 NULL=BLANK Scale=6",,$D80,$AS$4),BP80)</f>
        <v>2791.3270000000002</v>
      </c>
      <c r="BQ80" s="765" cm="1">
        <f t="array" aca="1" ref="BQ80" ca="1">IF(NPSwitch=1,_xll.TR(BQ$7,BQ$6,"Sdate=#1 Period=#2 NULL=BLANK Scale=6",,$D80,$AS$4),BQ80)</f>
        <v>5057</v>
      </c>
      <c r="BR80" s="765" cm="1">
        <f t="array" aca="1" ref="BR80" ca="1">IF(NPSwitch=1,_xll.TR(BR$7,BR$6,"Sdate=#1 Period=#2 NULL=BLANK Scale=6",,$D80,$AS$4),BR80)</f>
        <v>3243.4</v>
      </c>
      <c r="BS80" s="765" cm="1">
        <f t="array" aca="1" ref="BS80" ca="1">IF(NPSwitch=1,_xll.TR(BS$7,BS$6,"Sdate=#1 Period=#2 NULL=BLANK Scale=6",,$D80,$AS$4),BS80)</f>
        <v>10065</v>
      </c>
      <c r="BT80" s="765" cm="1">
        <f t="array" aca="1" ref="BT80" ca="1">IF(NPSwitch=1,_xll.TR(BT$7,BT$6,"Sdate=#1 Period=#2 NULL=BLANK Scale=6",,$D80,$AS$4),BT80)</f>
        <v>3223.5</v>
      </c>
      <c r="BU80" s="765" cm="1">
        <f t="array" aca="1" ref="BU80" ca="1">IF(NPSwitch=1,_xll.TR(BU$7,BU$6,"Sdate=#1 Period=#2 NULL=BLANK Scale=6",,$D80,$AS$4),BU80)</f>
        <v>14263</v>
      </c>
      <c r="BV80" s="765" cm="1">
        <f t="array" aca="1" ref="BV80" ca="1">IF(NPSwitch=1,_xll.TR(BV$7,BV$6,"Sdate=#1 Period=#2 NULL=BLANK Scale=6",,$D80,$AS$4),BV80)</f>
        <v>10145</v>
      </c>
      <c r="BW80" s="765" cm="1">
        <f t="array" aca="1" ref="BW80" ca="1">IF(NPSwitch=1,_xll.TR(BW$7,BW$6,"Sdate=#1 Period=#2 NULL=BLANK Scale=6",,$D80,$AS$4),BW80)</f>
        <v>9441</v>
      </c>
      <c r="BY80" s="765" cm="1">
        <f t="array" aca="1" ref="BY80" ca="1">IF(NPSwitch=1,_xll.TR(BY$7,BY$6,"Sdate=#1 Period=#2 NULL=BLANK Scale=6",,$D80,$AS$4),BY80)</f>
        <v>22575.5</v>
      </c>
      <c r="BZ80" s="765" cm="1">
        <f t="array" aca="1" ref="BZ80" ca="1">IF(NPSwitch=1,_xll.TR(BZ$7,BZ$6,"Sdate=#1 Period=#2 NULL=BLANK Scale=6",,$D80,$AS$4),BZ80)</f>
        <v>7231.8774999999996</v>
      </c>
      <c r="CA80" s="765" cm="1">
        <f t="array" aca="1" ref="CA80" ca="1">IF(NPSwitch=1,_xll.TR(CA$7,CA$6,"Sdate=#1 Period=#2 NULL=BLANK Scale=6",,$D80,$AS$4),CA80)</f>
        <v>6753.75</v>
      </c>
      <c r="CB80" s="765" cm="1">
        <f t="array" aca="1" ref="CB80" ca="1">IF(NPSwitch=1,_xll.TR(CB$7,CB$6,"Sdate=#1 Period=#2 NULL=BLANK Scale=6",,$D80,$AS$4),CB80)</f>
        <v>1861.2750000000001</v>
      </c>
      <c r="CC80" s="765" cm="1">
        <f t="array" aca="1" ref="CC80" ca="1">IF(NPSwitch=1,_xll.TR(CC$7,CC$6,"Sdate=#1 Period=#2 NULL=BLANK Scale=6",,$D80,$AS$4),CC80)</f>
        <v>6624.75</v>
      </c>
      <c r="CD80" s="765" cm="1">
        <f t="array" aca="1" ref="CD80" ca="1">IF(NPSwitch=1,_xll.TR(CD$7,CD$6,"Sdate=#1 Period=#2 NULL=BLANK Scale=6",,$D80,$AS$4),CD80)</f>
        <v>4253.1750000000002</v>
      </c>
      <c r="CE80" s="765" cm="1">
        <f t="array" aca="1" ref="CE80" ca="1">IF(NPSwitch=1,_xll.TR(CE$7,CE$6,"Sdate=#1 Period=#2 NULL=BLANK Scale=6",,$D80,$AS$4),CE80)</f>
        <v>9601.75</v>
      </c>
      <c r="CF80" s="765" cm="1">
        <f t="array" aca="1" ref="CF80" ca="1">IF(NPSwitch=1,_xll.TR(CF$7,CF$6,"Sdate=#1 Period=#2 NULL=BLANK Scale=6",,$D80,$AS$4),CF80)</f>
        <v>12908.75</v>
      </c>
      <c r="CG80" s="765" cm="1">
        <f t="array" aca="1" ref="CG80" ca="1">IF(NPSwitch=1,_xll.TR(CG$7,CG$6,"Sdate=#1 Period=#2 NULL=BLANK Scale=6",,$D80,$AS$4),CG80)</f>
        <v>11199</v>
      </c>
      <c r="CI80" s="1000" cm="1">
        <f t="array" aca="1" ref="CI80" ca="1">IF(NPSwitch=1,_xll.TR(CI$7,CI$6,"Sdate=#1 Period=#2 NULL=BLANK Scale=6",,$D80,$AS$4),CI80)</f>
        <v>8572</v>
      </c>
      <c r="CJ80" s="1000" cm="1">
        <f t="array" aca="1" ref="CJ80" ca="1">IF(NPSwitch=1,_xll.TR(CJ$7,CJ$6,"Sdate=#1 Period=#2 NULL=BLANK Scale=6",,$D80,$AS$4),CJ80)</f>
        <v>766.09799999999996</v>
      </c>
      <c r="CK80" s="1000" cm="1">
        <f t="array" aca="1" ref="CK80" ca="1">IF(NPSwitch=1,_xll.TR(CK$7,CK$6,"Sdate=#1 Period=#2 NULL=BLANK Scale=6",,$D80,$AS$4),CK80)</f>
        <v>811</v>
      </c>
      <c r="CL80" s="1000" cm="1">
        <f t="array" aca="1" ref="CL80" ca="1">IF(NPSwitch=1,_xll.TR(CL$7,CL$6,"Sdate=#1 Period=#2 NULL=BLANK Scale=6",,$D80,$AS$4),CL80)</f>
        <v>421.7</v>
      </c>
      <c r="CM80" s="1000" cm="1">
        <f t="array" aca="1" ref="CM80" ca="1">IF(NPSwitch=1,_xll.TR(CM$7,CM$6,"Sdate=#1 Period=#2 NULL=BLANK Scale=6",,$D80,$AS$4),CM80)</f>
        <v>1101</v>
      </c>
      <c r="CN80" s="1000" cm="1">
        <f t="array" aca="1" ref="CN80" ca="1">IF(NPSwitch=1,_xll.TR(CN$7,CN$6,"Sdate=#1 Period=#2 NULL=BLANK Scale=6",,$D80,$AS$4),CN80)</f>
        <v>425.9</v>
      </c>
      <c r="CO80" s="1000" cm="1">
        <f t="array" aca="1" ref="CO80" ca="1">IF(NPSwitch=1,_xll.TR(CO$7,CO$6,"Sdate=#1 Period=#2 NULL=BLANK Scale=6",,$D80,$AS$4),CO80)</f>
        <v>2587</v>
      </c>
      <c r="CP80" s="1000" cm="1">
        <f t="array" aca="1" ref="CP80" ca="1">IF(NPSwitch=1,_xll.TR(CP$7,CP$6,"Sdate=#1 Period=#2 NULL=BLANK Scale=6",,$D80,$AS$4),CP80)</f>
        <v>2004</v>
      </c>
      <c r="CQ80" s="1000" cm="1">
        <f t="array" aca="1" ref="CQ80" ca="1">IF(NPSwitch=1,_xll.TR(CQ$7,CQ$6,"Sdate=#1 Period=#2 NULL=BLANK Scale=6",,$D80,$AS$4),CQ80)</f>
        <v>2261</v>
      </c>
      <c r="CS80" s="1000" cm="1">
        <f t="array" aca="1" ref="CS80" ca="1">IF(NPSwitch=1,_xll.TR(CS$7,CS$6,"Sdate=#1 Period=#2 NULL=BLANK Scale=6",,$D80,$AS$4),CS80)</f>
        <v>8497</v>
      </c>
      <c r="CT80" s="1000" cm="1">
        <f t="array" aca="1" ref="CT80" ca="1">IF(NPSwitch=1,_xll.TR(CT$7,CT$6,"Sdate=#1 Period=#2 NULL=BLANK Scale=6",,$D80,$AS$4),CT80)</f>
        <v>2507.5059999999999</v>
      </c>
      <c r="CU80" s="1000" cm="1">
        <f t="array" aca="1" ref="CU80" ca="1">IF(NPSwitch=1,_xll.TR(CU$7,CU$6,"Sdate=#1 Period=#2 NULL=BLANK Scale=6",,$D80,$AS$4),CU80)</f>
        <v>2167.75</v>
      </c>
      <c r="CV80" s="1000" cm="1">
        <f t="array" aca="1" ref="CV80" ca="1">IF(NPSwitch=1,_xll.TR(CV$7,CV$6,"Sdate=#1 Period=#2 NULL=BLANK Scale=6",,$D80,$AS$4),CV80)</f>
        <v>579.92499999999995</v>
      </c>
      <c r="CW80" s="1000" cm="1">
        <f t="array" aca="1" ref="CW80" ca="1">IF(NPSwitch=1,_xll.TR(CW$7,CW$6,"Sdate=#1 Period=#2 NULL=BLANK Scale=6",,$D80,$AS$4),CW80)</f>
        <v>1059.95</v>
      </c>
      <c r="CX80" s="1000" cm="1">
        <f t="array" aca="1" ref="CX80" ca="1">IF(NPSwitch=1,_xll.TR(CX$7,CX$6,"Sdate=#1 Period=#2 NULL=BLANK Scale=6",,$D80,$AS$4),CX80)</f>
        <v>2924</v>
      </c>
      <c r="CY80" s="1000" cm="1">
        <f t="array" aca="1" ref="CY80" ca="1">IF(NPSwitch=1,_xll.TR(CY$7,CY$6,"Sdate=#1 Period=#2 NULL=BLANK Scale=6",,$D80,$AS$4),CY80)</f>
        <v>6223.25</v>
      </c>
      <c r="CZ80" s="1000" cm="1">
        <f t="array" aca="1" ref="CZ80" ca="1">IF(NPSwitch=1,_xll.TR(CZ$7,CZ$6,"Sdate=#1 Period=#2 NULL=BLANK Scale=6",,$D80,$AS$4),CZ80)</f>
        <v>5092.75</v>
      </c>
      <c r="DA80" s="1000" cm="1">
        <f t="array" aca="1" ref="DA80" ca="1">IF(NPSwitch=1,_xll.TR(DA$7,DA$6,"Sdate=#1 Period=#2 NULL=BLANK Scale=6",,$D80,$AS$4),DA80)</f>
        <v>3699.5</v>
      </c>
      <c r="DB80" s="1000" cm="1">
        <f t="array" aca="1" ref="DB80" ca="1">IF(NPSwitch=1,_xll.TR(DB$7,DB$6,"Sdate=#1 Period=#2 NULL=BLANK Scale=6",,$D80,$AS$4),DB80)</f>
        <v>24686.25</v>
      </c>
      <c r="DC80" s="1000" t="str" cm="1">
        <f t="array" aca="1" ref="DC80" ca="1">IF(NPSwitch=1,_xll.TR(DC$7,DC$6,"Sdate=#1 Period=#2 NULL=BLANK Scale=6",,$D80,$AS$4),DC80)</f>
        <v/>
      </c>
      <c r="DD80" s="1000" cm="1">
        <f t="array" aca="1" ref="DD80" ca="1">IF(NPSwitch=1,_xll.TR(DD$7,DD$6,"Sdate=#1 Period=#2 NULL=BLANK Scale=6",,$D80,$AS$4),DD80)</f>
        <v>8948.25</v>
      </c>
      <c r="DE80" s="1000" t="str" cm="1">
        <f t="array" aca="1" ref="DE80" ca="1">IF(NPSwitch=1,_xll.TR(DE$7,DE$6,"Sdate=#1 Period=#2 NULL=BLANK Scale=6",,$D80,$AS$4),DE80)</f>
        <v/>
      </c>
      <c r="DF80" s="1000" cm="1">
        <f t="array" aca="1" ref="DF80" ca="1">IF(NPSwitch=1,_xll.TR(DF$7,DF$6,"Sdate=#1 Period=#2 NULL=BLANK Scale=6",,$D80,$AS$4),DF80)</f>
        <v>579.92499999999995</v>
      </c>
      <c r="DG80" s="1000" cm="1">
        <f t="array" aca="1" ref="DG80" ca="1">IF(NPSwitch=1,_xll.TR(DG$7,DG$6,"Sdate=#1 Period=#2 NULL=BLANK Scale=6",,$D80,$AS$4),DG80)</f>
        <v>4397.75</v>
      </c>
      <c r="DH80" s="1000" cm="1">
        <f t="array" aca="1" ref="DH80" ca="1">IF(NPSwitch=1,_xll.TR(DH$7,DH$6,"Sdate=#1 Period=#2 NULL=BLANK Scale=6",,$D80,$AS$4),DH80)</f>
        <v>2972.7565</v>
      </c>
      <c r="FN80" s="3" t="s">
        <v>1511</v>
      </c>
    </row>
    <row r="81" spans="3:170">
      <c r="C81" s="969">
        <f t="shared" si="44"/>
        <v>42551</v>
      </c>
      <c r="D81" s="974">
        <f t="shared" si="43"/>
        <v>42596</v>
      </c>
      <c r="E81" s="765" cm="1">
        <f t="array" aca="1" ref="E81" ca="1">IF(NPSwitch=1,_xll.TR(E$7,E$6,"Sdate=#1 Period=#2 NULL=BLANK",,$D81,$E$4),E81)</f>
        <v>13.180583222849799</v>
      </c>
      <c r="F81" s="765" cm="1">
        <f t="array" aca="1" ref="F81" ca="1">IF(NPSwitch=1,_xll.TR(F$7,F$6,"Sdate=#1 Period=#2 NULL=BLANK",,$D81,$E$4),F81)</f>
        <v>16.145578592445698</v>
      </c>
      <c r="G81" s="765" cm="1">
        <f t="array" aca="1" ref="G81" ca="1">IF(NPSwitch=1,_xll.TR(G$7,G$6,"Sdate=#1 Period=#2 NULL=BLANK",,$D81,$E$4),G81)</f>
        <v>8.7481013001247998</v>
      </c>
      <c r="H81" s="765" cm="1">
        <f t="array" aca="1" ref="H81" ca="1">IF(NPSwitch=1,_xll.TR(H$7,H$6,"Sdate=#1 Period=#2 NULL=BLANK",,$D81,$E$4),H81)</f>
        <v>8.2130557007303402</v>
      </c>
      <c r="I81" s="765" cm="1">
        <f t="array" aca="1" ref="I81" ca="1">IF(NPSwitch=1,_xll.TR(I$7,I$6,"Sdate=#1 Period=#2 NULL=BLANK",,$D81,$E$4),I81)</f>
        <v>6.6928684957804396</v>
      </c>
      <c r="J81" s="765" cm="1">
        <f t="array" aca="1" ref="J81" ca="1">IF(NPSwitch=1,_xll.TR(J$7,J$6,"Sdate=#1 Period=#2 NULL=BLANK",,$D81,$E$4),J81)</f>
        <v>11.0455481127727</v>
      </c>
      <c r="K81" s="765" cm="1">
        <f t="array" aca="1" ref="K81" ca="1">IF(NPSwitch=1,_xll.TR(K$7,K$6,"Sdate=#1 Period=#2 NULL=BLANK",,$D81,$E$4),K81)</f>
        <v>10.759682218573399</v>
      </c>
      <c r="L81" s="765" cm="1">
        <f t="array" aca="1" ref="L81" ca="1">IF(NPSwitch=1,_xll.TR(L$7,L$6,"Sdate=#1 Period=#2 NULL=BLANK",,$D81,$E$4),L81)</f>
        <v>6.0853859452360402</v>
      </c>
      <c r="M81" s="765" cm="1">
        <f t="array" aca="1" ref="M81" ca="1">IF(NPSwitch=1,_xll.TR(M$7,M$6,"Sdate=#1 Period=#2 NULL=BLANK",,$D81,$E$4),M81)</f>
        <v>7.4409689632156102</v>
      </c>
      <c r="N81" s="1002">
        <f t="shared" ca="1" si="45"/>
        <v>8.5907736288696199</v>
      </c>
      <c r="O81" s="1000" cm="1">
        <f t="array" aca="1" ref="O81" ca="1">IF(NPSwitch=1,_xll.TR(O$7,O$6,"Sdate=#1 Period=#2 Scale=6 NULL=BLANK",,$D81,$O$4),O81)</f>
        <v>108955.24045857</v>
      </c>
      <c r="P81" s="1000" cm="1">
        <f t="array" aca="1" ref="P81" ca="1">IF(NPSwitch=1,_xll.TR(P$7,P$6,"Sdate=#1 Period=#2 Scale=6 NULL=BLANK",,$D81,$O$4),P81)</f>
        <v>9330.5828251799994</v>
      </c>
      <c r="Q81" s="1000" cm="1">
        <f t="array" aca="1" ref="Q81" ca="1">IF(NPSwitch=1,_xll.TR(Q$7,Q$6,"Sdate=#1 Period=#2 Scale=6 NULL=BLANK",,$D81,$O$4),Q81)</f>
        <v>7001.86959725</v>
      </c>
      <c r="R81" s="1000" cm="1">
        <f t="array" aca="1" ref="R81" ca="1">IF(NPSwitch=1,_xll.TR(R$7,R$6,"Sdate=#1 Period=#2 Scale=6 NULL=BLANK",,$D81,$O$4),R81)</f>
        <v>2829.7861356600001</v>
      </c>
      <c r="S81" s="1000" cm="1">
        <f t="array" aca="1" ref="S81" ca="1">IF(NPSwitch=1,_xll.TR(S$7,S$6,"Sdate=#1 Period=#2 Scale=6 NULL=BLANK",,$D81,$O$4),S81)</f>
        <v>3908.1872043899998</v>
      </c>
      <c r="T81" s="1000" cm="1">
        <f t="array" aca="1" ref="T81" ca="1">IF(NPSwitch=1,_xll.TR(T$7,T$6,"Sdate=#1 Period=#2 Scale=6 NULL=BLANK",,$D81,$O$4),T81)</f>
        <v>6376.0075699500003</v>
      </c>
      <c r="U81" s="1000" cm="1">
        <f t="array" aca="1" ref="U81" ca="1">IF(NPSwitch=1,_xll.TR(U$7,U$6,"Sdate=#1 Period=#2 Scale=6 NULL=BLANK",,$D81,$O$4),U81)</f>
        <v>27690.6964809899</v>
      </c>
      <c r="V81" s="1000" cm="1">
        <f t="array" aca="1" ref="V81" ca="1">IF(NPSwitch=1,_xll.TR(V$7,V$6,"Sdate=#1 Period=#2 Scale=6 NULL=BLANK",,$D81,$O$4),V81)</f>
        <v>10243.543248</v>
      </c>
      <c r="W81" s="1000" cm="1">
        <f t="array" aca="1" ref="W81" ca="1">IF(NPSwitch=1,_xll.TR(W$7,W$6,"Sdate=#1 Period=#2 Scale=6 NULL=BLANK",,$D81,$O$4),W81)</f>
        <v>9570.2595081500003</v>
      </c>
      <c r="X81" s="998"/>
      <c r="Y81" s="1000" cm="1">
        <f t="array" aca="1" ref="Y81" ca="1">IF(NPSwitch=1,_xll.TR(Y$7,Y$6,"Sdate=#1 Period=#2 Scale=6 NULL=BLANK",,$D81,$O$4),Y81)</f>
        <v>1763</v>
      </c>
      <c r="Z81" s="1000" cm="1">
        <f t="array" aca="1" ref="Z81" ca="1">IF(NPSwitch=1,_xll.TR(Z$7,Z$6,"Sdate=#1 Period=#2 Scale=6 NULL=BLANK",,$D81,$O$4),Z81)</f>
        <v>223.56675000000001</v>
      </c>
      <c r="AA81" s="1000" cm="1">
        <f t="array" aca="1" ref="AA81" ca="1">IF(NPSwitch=1,_xll.TR(AA$7,AA$6,"Sdate=#1 Period=#2 Scale=6 NULL=BLANK",,$D81,$O$4),AA81)</f>
        <v>1161.75</v>
      </c>
      <c r="AB81" s="1000" cm="1">
        <f t="array" aca="1" ref="AB81" ca="1">IF(NPSwitch=1,_xll.TR(AB$7,AB$6,"Sdate=#1 Period=#2 Scale=6 NULL=BLANK",,$D81,$O$4),AB81)</f>
        <v>208.07499999999999</v>
      </c>
      <c r="AC81" s="1000" cm="1">
        <f t="array" aca="1" ref="AC81" ca="1">IF(NPSwitch=1,_xll.TR(AC$7,AC$6,"Sdate=#1 Period=#2 Scale=6 NULL=BLANK",,$D81,$O$4),AC81)</f>
        <v>317.75</v>
      </c>
      <c r="AD81" s="1000" cm="1">
        <f t="array" aca="1" ref="AD81" ca="1">IF(NPSwitch=1,_xll.TR(AD$7,AD$6,"Sdate=#1 Period=#2 Scale=6 NULL=BLANK",,$D81,$O$4),AD81)</f>
        <v>102.55</v>
      </c>
      <c r="AE81" s="1000" cm="1">
        <f t="array" aca="1" ref="AE81" ca="1">IF(NPSwitch=1,_xll.TR(AE$7,AE$6,"Sdate=#1 Period=#2 Scale=6 NULL=BLANK",,$D81,$O$4),AE81)</f>
        <v>1392</v>
      </c>
      <c r="AF81" s="1000" cm="1">
        <f t="array" aca="1" ref="AF81" ca="1">IF(NPSwitch=1,_xll.TR(AF$7,AF$6,"Sdate=#1 Period=#2 Scale=6 NULL=BLANK",,$D81,$O$4),AF81)</f>
        <v>1449.25</v>
      </c>
      <c r="AG81" s="1000" cm="1">
        <f t="array" aca="1" ref="AG81" ca="1">IF(NPSwitch=1,_xll.TR(AG$7,AG$6,"Sdate=#1 Period=#2 Scale=6 NULL=BLANK",,$D81,$O$4),AG81)</f>
        <v>261</v>
      </c>
      <c r="AH81" s="998"/>
      <c r="AI81" s="1000" cm="1">
        <f t="array" aca="1" ref="AI81" ca="1">IF(NPSwitch=1,_xll.TR(AI$7,AI$6,"Sdate=#1 Period=#2 Scale=6 NULL=BLANK",,$D81,$O$4),AI81)</f>
        <v>118882.24045857</v>
      </c>
      <c r="AJ81" s="1000" cm="1">
        <f t="array" aca="1" ref="AJ81" ca="1">IF(NPSwitch=1,_xll.TR(AJ$7,AJ$6,"Sdate=#1 Period=#2 Scale=6 NULL=BLANK",,$D81,$O$4),AJ81)</f>
        <v>12799.83582518</v>
      </c>
      <c r="AK81" s="1000" cm="1">
        <f t="array" aca="1" ref="AK81" ca="1">IF(NPSwitch=1,_xll.TR(AK$7,AK$6,"Sdate=#1 Period=#2 Scale=6 NULL=BLANK",,$D81,$O$4),AK81)</f>
        <v>9873.8695972500009</v>
      </c>
      <c r="AL81" s="1000" cm="1">
        <f t="array" aca="1" ref="AL81" ca="1">IF(NPSwitch=1,_xll.TR(AL$7,AL$6,"Sdate=#1 Period=#2 Scale=6 NULL=BLANK",,$D81,$O$4),AL81)</f>
        <v>3813.88613566</v>
      </c>
      <c r="AM81" s="1000" cm="1">
        <f t="array" aca="1" ref="AM81" ca="1">IF(NPSwitch=1,_xll.TR(AM$7,AM$6,"Sdate=#1 Period=#2 Scale=6 NULL=BLANK",,$D81,$O$4),AM81)</f>
        <v>8492.1872043900003</v>
      </c>
      <c r="AN81" s="1000" cm="1">
        <f t="array" aca="1" ref="AN81" ca="1">IF(NPSwitch=1,_xll.TR(AN$7,AN$6,"Sdate=#1 Period=#2 Scale=6 NULL=BLANK",,$D81,$O$4),AN81)</f>
        <v>8369.3075699500005</v>
      </c>
      <c r="AO81" s="1000" cm="1">
        <f t="array" aca="1" ref="AO81" ca="1">IF(NPSwitch=1,_xll.TR(AO$7,AO$6,"Sdate=#1 Period=#2 Scale=6 NULL=BLANK",,$D81,$O$4),AO81)</f>
        <v>31220.696480989998</v>
      </c>
      <c r="AP81" s="1000" cm="1">
        <f t="array" aca="1" ref="AP81" ca="1">IF(NPSwitch=1,_xll.TR(AP$7,AP$6,"Sdate=#1 Period=#2 Scale=6 NULL=BLANK",,$D81,$O$4),AP81)</f>
        <v>15438.543248</v>
      </c>
      <c r="AQ81" s="1000" cm="1">
        <f t="array" aca="1" ref="AQ81" ca="1">IF(NPSwitch=1,_xll.TR(AQ$7,AQ$6,"Sdate=#1 Period=#2 Scale=6 NULL=BLANK",,$D81,$O$4),AQ81)</f>
        <v>16212.25950815</v>
      </c>
      <c r="AS81" s="765" cm="1">
        <f t="array" aca="1" ref="AS81" ca="1">IF(NPSwitch=1,_xll.TR(AS$7,AS$6,"Sdate=#1 Period=#2 NULL=BLANK Scale=6",,$D81,$AS$4),AS81)</f>
        <v>21.883333333333301</v>
      </c>
      <c r="AT81" s="765" cm="1">
        <f t="array" aca="1" ref="AT81" ca="1">IF(NPSwitch=1,_xll.TR(AT$7,AT$6,"Sdate=#1 Period=#2 NULL=BLANK Scale=6",,$D81,$AS$4),AT81)</f>
        <v>8.9</v>
      </c>
      <c r="AU81" s="765" t="str" cm="1">
        <f t="array" aca="1" ref="AU81" ca="1">IF(NPSwitch=1,_xll.TR(AU$7,AU$6,"Sdate=#1 Period=#2 NULL=BLANK Scale=6",,$D81,$AS$4),AU81)</f>
        <v/>
      </c>
      <c r="AV81" s="765" t="str" cm="1">
        <f t="array" aca="1" ref="AV81" ca="1">IF(NPSwitch=1,_xll.TR(AV$7,AV$6,"Sdate=#1 Period=#2 NULL=BLANK Scale=6",,$D81,$AS$4),AV81)</f>
        <v/>
      </c>
      <c r="AW81" s="765" cm="1">
        <f t="array" aca="1" ref="AW81" ca="1">IF(NPSwitch=1,_xll.TR(AW$7,AW$6,"Sdate=#1 Period=#2 NULL=BLANK Scale=6",,$D81,$AS$4),AW81)</f>
        <v>9.7666666666666693</v>
      </c>
      <c r="AX81" s="765" cm="1">
        <f t="array" aca="1" ref="AX81" ca="1">IF(NPSwitch=1,_xll.TR(AX$7,AX$6,"Sdate=#1 Period=#2 NULL=BLANK Scale=6",,$D81,$AS$4),AX81)</f>
        <v>9.9533333333333296</v>
      </c>
      <c r="AY81" s="765" cm="1">
        <f t="array" aca="1" ref="AY81" ca="1">IF(NPSwitch=1,_xll.TR(AY$7,AY$6,"Sdate=#1 Period=#2 NULL=BLANK Scale=6",,$D81,$AS$4),AY81)</f>
        <v>19.316666666666698</v>
      </c>
      <c r="AZ81" s="765" cm="1">
        <f t="array" aca="1" ref="AZ81" ca="1">IF(NPSwitch=1,_xll.TR(AZ$7,AZ$6,"Sdate=#1 Period=#2 NULL=BLANK Scale=6",,$D81,$AS$4),AZ81)</f>
        <v>7.7853333333333303</v>
      </c>
      <c r="BA81" s="765" cm="1">
        <f t="array" aca="1" ref="BA81" ca="1">IF(NPSwitch=1,_xll.TR(BA$7,BA$6,"Sdate=#1 Period=#2 NULL=BLANK Scale=6",,$D81,$AS$4),BA81)</f>
        <v>9.4666666666666703</v>
      </c>
      <c r="BB81" s="1002"/>
      <c r="BO81" s="765" cm="1">
        <f t="array" aca="1" ref="BO81" ca="1">IF(NPSwitch=1,_xll.TR(BO$7,BO$6,"Sdate=#1 Period=#2 NULL=BLANK Scale=6",,$D81,$AS$4),BO81)</f>
        <v>30081</v>
      </c>
      <c r="BP81" s="765" cm="1">
        <f t="array" aca="1" ref="BP81" ca="1">IF(NPSwitch=1,_xll.TR(BP$7,BP$6,"Sdate=#1 Period=#2 NULL=BLANK Scale=6",,$D81,$AS$4),BP81)</f>
        <v>2742.364</v>
      </c>
      <c r="BQ81" s="765" cm="1">
        <f t="array" aca="1" ref="BQ81" ca="1">IF(NPSwitch=1,_xll.TR(BQ$7,BQ$6,"Sdate=#1 Period=#2 NULL=BLANK Scale=6",,$D81,$AS$4),BQ81)</f>
        <v>4480</v>
      </c>
      <c r="BR81" s="765" cm="1">
        <f t="array" aca="1" ref="BR81" ca="1">IF(NPSwitch=1,_xll.TR(BR$7,BR$6,"Sdate=#1 Period=#2 NULL=BLANK Scale=6",,$D81,$AS$4),BR81)</f>
        <v>3114.5</v>
      </c>
      <c r="BS81" s="765" cm="1">
        <f t="array" aca="1" ref="BS81" ca="1">IF(NPSwitch=1,_xll.TR(BS$7,BS$6,"Sdate=#1 Period=#2 NULL=BLANK Scale=6",,$D81,$AS$4),BS81)</f>
        <v>9869</v>
      </c>
      <c r="BT81" s="765" cm="1">
        <f t="array" aca="1" ref="BT81" ca="1">IF(NPSwitch=1,_xll.TR(BT$7,BT$6,"Sdate=#1 Period=#2 NULL=BLANK Scale=6",,$D81,$AS$4),BT81)</f>
        <v>2951.7</v>
      </c>
      <c r="BU81" s="765" cm="1">
        <f t="array" aca="1" ref="BU81" ca="1">IF(NPSwitch=1,_xll.TR(BU$7,BU$6,"Sdate=#1 Period=#2 NULL=BLANK Scale=6",,$D81,$AS$4),BU81)</f>
        <v>13945</v>
      </c>
      <c r="BV81" s="765" cm="1">
        <f t="array" aca="1" ref="BV81" ca="1">IF(NPSwitch=1,_xll.TR(BV$7,BV$6,"Sdate=#1 Period=#2 NULL=BLANK Scale=6",,$D81,$AS$4),BV81)</f>
        <v>10183</v>
      </c>
      <c r="BW81" s="765" cm="1">
        <f t="array" aca="1" ref="BW81" ca="1">IF(NPSwitch=1,_xll.TR(BW$7,BW$6,"Sdate=#1 Period=#2 NULL=BLANK Scale=6",,$D81,$AS$4),BW81)</f>
        <v>9205</v>
      </c>
      <c r="BY81" s="765" cm="1">
        <f t="array" aca="1" ref="BY81" ca="1">IF(NPSwitch=1,_xll.TR(BY$7,BY$6,"Sdate=#1 Period=#2 NULL=BLANK Scale=6",,$D81,$AS$4),BY81)</f>
        <v>23085.25</v>
      </c>
      <c r="BZ81" s="765" cm="1">
        <f t="array" aca="1" ref="BZ81" ca="1">IF(NPSwitch=1,_xll.TR(BZ$7,BZ$6,"Sdate=#1 Period=#2 NULL=BLANK Scale=6",,$D81,$AS$4),BZ81)</f>
        <v>7110.20525</v>
      </c>
      <c r="CA81" s="765" cm="1">
        <f t="array" aca="1" ref="CA81" ca="1">IF(NPSwitch=1,_xll.TR(CA$7,CA$6,"Sdate=#1 Period=#2 NULL=BLANK Scale=6",,$D81,$AS$4),CA81)</f>
        <v>6742.75</v>
      </c>
      <c r="CB81" s="765" cm="1">
        <f t="array" aca="1" ref="CB81" ca="1">IF(NPSwitch=1,_xll.TR(CB$7,CB$6,"Sdate=#1 Period=#2 NULL=BLANK Scale=6",,$D81,$AS$4),CB81)</f>
        <v>1865.85</v>
      </c>
      <c r="CC81" s="765" cm="1">
        <f t="array" aca="1" ref="CC81" ca="1">IF(NPSwitch=1,_xll.TR(CC$7,CC$6,"Sdate=#1 Period=#2 NULL=BLANK Scale=6",,$D81,$AS$4),CC81)</f>
        <v>6515.25</v>
      </c>
      <c r="CD81" s="765" cm="1">
        <f t="array" aca="1" ref="CD81" ca="1">IF(NPSwitch=1,_xll.TR(CD$7,CD$6,"Sdate=#1 Period=#2 NULL=BLANK Scale=6",,$D81,$AS$4),CD81)</f>
        <v>4142.3</v>
      </c>
      <c r="CE81" s="765" cm="1">
        <f t="array" aca="1" ref="CE81" ca="1">IF(NPSwitch=1,_xll.TR(CE$7,CE$6,"Sdate=#1 Period=#2 NULL=BLANK Scale=6",,$D81,$AS$4),CE81)</f>
        <v>9795.25</v>
      </c>
      <c r="CF81" s="765" cm="1">
        <f t="array" aca="1" ref="CF81" ca="1">IF(NPSwitch=1,_xll.TR(CF$7,CF$6,"Sdate=#1 Period=#2 NULL=BLANK Scale=6",,$D81,$AS$4),CF81)</f>
        <v>14219.5</v>
      </c>
      <c r="CG81" s="765" cm="1">
        <f t="array" aca="1" ref="CG81" ca="1">IF(NPSwitch=1,_xll.TR(CG$7,CG$6,"Sdate=#1 Period=#2 NULL=BLANK Scale=6",,$D81,$AS$4),CG81)</f>
        <v>11221.25</v>
      </c>
      <c r="CI81" s="1000" cm="1">
        <f t="array" aca="1" ref="CI81" ca="1">IF(NPSwitch=1,_xll.TR(CI$7,CI$6,"Sdate=#1 Period=#2 NULL=BLANK Scale=6",,$D81,$AS$4),CI81)</f>
        <v>8618</v>
      </c>
      <c r="CJ81" s="1000" cm="1">
        <f t="array" aca="1" ref="CJ81" ca="1">IF(NPSwitch=1,_xll.TR(CJ$7,CJ$6,"Sdate=#1 Period=#2 NULL=BLANK Scale=6",,$D81,$AS$4),CJ81)</f>
        <v>806.02099999999996</v>
      </c>
      <c r="CK81" s="1000" cm="1">
        <f t="array" aca="1" ref="CK81" ca="1">IF(NPSwitch=1,_xll.TR(CK$7,CK$6,"Sdate=#1 Period=#2 NULL=BLANK Scale=6",,$D81,$AS$4),CK81)</f>
        <v>636</v>
      </c>
      <c r="CL81" s="1000" cm="1">
        <f t="array" aca="1" ref="CL81" ca="1">IF(NPSwitch=1,_xll.TR(CL$7,CL$6,"Sdate=#1 Period=#2 NULL=BLANK Scale=6",,$D81,$AS$4),CL81)</f>
        <v>415.6</v>
      </c>
      <c r="CM81" s="1000" cm="1">
        <f t="array" aca="1" ref="CM81" ca="1">IF(NPSwitch=1,_xll.TR(CM$7,CM$6,"Sdate=#1 Period=#2 NULL=BLANK Scale=6",,$D81,$AS$4),CM81)</f>
        <v>1060</v>
      </c>
      <c r="CN81" s="1000" cm="1">
        <f t="array" aca="1" ref="CN81" ca="1">IF(NPSwitch=1,_xll.TR(CN$7,CN$6,"Sdate=#1 Period=#2 NULL=BLANK Scale=6",,$D81,$AS$4),CN81)</f>
        <v>414</v>
      </c>
      <c r="CO81" s="1000" cm="1">
        <f t="array" aca="1" ref="CO81" ca="1">IF(NPSwitch=1,_xll.TR(CO$7,CO$6,"Sdate=#1 Period=#2 NULL=BLANK Scale=6",,$D81,$AS$4),CO81)</f>
        <v>2619</v>
      </c>
      <c r="CP81" s="1000" cm="1">
        <f t="array" aca="1" ref="CP81" ca="1">IF(NPSwitch=1,_xll.TR(CP$7,CP$6,"Sdate=#1 Period=#2 NULL=BLANK Scale=6",,$D81,$AS$4),CP81)</f>
        <v>2049</v>
      </c>
      <c r="CQ81" s="1000" cm="1">
        <f t="array" aca="1" ref="CQ81" ca="1">IF(NPSwitch=1,_xll.TR(CQ$7,CQ$6,"Sdate=#1 Period=#2 NULL=BLANK Scale=6",,$D81,$AS$4),CQ81)</f>
        <v>2159</v>
      </c>
      <c r="CS81" s="1000" cm="1">
        <f t="array" aca="1" ref="CS81" ca="1">IF(NPSwitch=1,_xll.TR(CS$7,CS$6,"Sdate=#1 Period=#2 NULL=BLANK Scale=6",,$D81,$AS$4),CS81)</f>
        <v>8550.75</v>
      </c>
      <c r="CT81" s="1000" cm="1">
        <f t="array" aca="1" ref="CT81" ca="1">IF(NPSwitch=1,_xll.TR(CT$7,CT$6,"Sdate=#1 Period=#2 NULL=BLANK Scale=6",,$D81,$AS$4),CT81)</f>
        <v>2439.4047500000001</v>
      </c>
      <c r="CU81" s="1000" cm="1">
        <f t="array" aca="1" ref="CU81" ca="1">IF(NPSwitch=1,_xll.TR(CU$7,CU$6,"Sdate=#1 Period=#2 NULL=BLANK Scale=6",,$D81,$AS$4),CU81)</f>
        <v>2168.5</v>
      </c>
      <c r="CV81" s="1000" cm="1">
        <f t="array" aca="1" ref="CV81" ca="1">IF(NPSwitch=1,_xll.TR(CV$7,CV$6,"Sdate=#1 Period=#2 NULL=BLANK Scale=6",,$D81,$AS$4),CV81)</f>
        <v>579.9</v>
      </c>
      <c r="CW81" s="1000" cm="1">
        <f t="array" aca="1" ref="CW81" ca="1">IF(NPSwitch=1,_xll.TR(CW$7,CW$6,"Sdate=#1 Period=#2 NULL=BLANK Scale=6",,$D81,$AS$4),CW81)</f>
        <v>1038.2249999999999</v>
      </c>
      <c r="CX81" s="1000" cm="1">
        <f t="array" aca="1" ref="CX81" ca="1">IF(NPSwitch=1,_xll.TR(CX$7,CX$6,"Sdate=#1 Period=#2 NULL=BLANK Scale=6",,$D81,$AS$4),CX81)</f>
        <v>2932.25</v>
      </c>
      <c r="CY81" s="1000" cm="1">
        <f t="array" aca="1" ref="CY81" ca="1">IF(NPSwitch=1,_xll.TR(CY$7,CY$6,"Sdate=#1 Period=#2 NULL=BLANK Scale=6",,$D81,$AS$4),CY81)</f>
        <v>6498.75</v>
      </c>
      <c r="CZ81" s="1000" cm="1">
        <f t="array" aca="1" ref="CZ81" ca="1">IF(NPSwitch=1,_xll.TR(CZ$7,CZ$6,"Sdate=#1 Period=#2 NULL=BLANK Scale=6",,$D81,$AS$4),CZ81)</f>
        <v>5130.5</v>
      </c>
      <c r="DA81" s="1000" cm="1">
        <f t="array" aca="1" ref="DA81" ca="1">IF(NPSwitch=1,_xll.TR(DA$7,DA$6,"Sdate=#1 Period=#2 NULL=BLANK Scale=6",,$D81,$AS$4),DA81)</f>
        <v>3653.75</v>
      </c>
      <c r="DB81" s="1000" cm="1">
        <f t="array" aca="1" ref="DB81" ca="1">IF(NPSwitch=1,_xll.TR(DB$7,DB$6,"Sdate=#1 Period=#2 NULL=BLANK Scale=6",,$D81,$AS$4),DB81)</f>
        <v>24794</v>
      </c>
      <c r="DC81" s="1000" t="str" cm="1">
        <f t="array" aca="1" ref="DC81" ca="1">IF(NPSwitch=1,_xll.TR(DC$7,DC$6,"Sdate=#1 Period=#2 NULL=BLANK Scale=6",,$D81,$AS$4),DC81)</f>
        <v/>
      </c>
      <c r="DD81" s="1000" cm="1">
        <f t="array" aca="1" ref="DD81" ca="1">IF(NPSwitch=1,_xll.TR(DD$7,DD$6,"Sdate=#1 Period=#2 NULL=BLANK Scale=6",,$D81,$AS$4),DD81)</f>
        <v>9209.5</v>
      </c>
      <c r="DE81" s="1000" t="str" cm="1">
        <f t="array" aca="1" ref="DE81" ca="1">IF(NPSwitch=1,_xll.TR(DE$7,DE$6,"Sdate=#1 Period=#2 NULL=BLANK Scale=6",,$D81,$AS$4),DE81)</f>
        <v/>
      </c>
      <c r="DF81" s="1000" cm="1">
        <f t="array" aca="1" ref="DF81" ca="1">IF(NPSwitch=1,_xll.TR(DF$7,DF$6,"Sdate=#1 Period=#2 NULL=BLANK Scale=6",,$D81,$AS$4),DF81)</f>
        <v>579.9</v>
      </c>
      <c r="DG81" s="1000" cm="1">
        <f t="array" aca="1" ref="DG81" ca="1">IF(NPSwitch=1,_xll.TR(DG$7,DG$6,"Sdate=#1 Period=#2 NULL=BLANK Scale=6",,$D81,$AS$4),DG81)</f>
        <v>4410</v>
      </c>
      <c r="DH81" s="1000" cm="1">
        <f t="array" aca="1" ref="DH81" ca="1">IF(NPSwitch=1,_xll.TR(DH$7,DH$6,"Sdate=#1 Period=#2 NULL=BLANK Scale=6",,$D81,$AS$4),DH81)</f>
        <v>3066.5102499999998</v>
      </c>
      <c r="FN81" s="3" t="s">
        <v>1582</v>
      </c>
    </row>
    <row r="82" spans="3:170">
      <c r="C82" s="969">
        <f t="shared" si="44"/>
        <v>42643</v>
      </c>
      <c r="D82" s="974">
        <f t="shared" si="43"/>
        <v>42688</v>
      </c>
      <c r="E82" s="765" cm="1">
        <f t="array" aca="1" ref="E82" ca="1">IF(NPSwitch=1,_xll.TR(E$7,E$6,"Sdate=#1 Period=#2 NULL=BLANK",,$D82,$E$4),E82)</f>
        <v>12.6218963680436</v>
      </c>
      <c r="F82" s="765" cm="1">
        <f t="array" aca="1" ref="F82" ca="1">IF(NPSwitch=1,_xll.TR(F$7,F$6,"Sdate=#1 Period=#2 NULL=BLANK",,$D82,$E$4),F82)</f>
        <v>15.2739557968938</v>
      </c>
      <c r="G82" s="765" cm="1">
        <f t="array" aca="1" ref="G82" ca="1">IF(NPSwitch=1,_xll.TR(G$7,G$6,"Sdate=#1 Period=#2 NULL=BLANK",,$D82,$E$4),G82)</f>
        <v>10.091929265714599</v>
      </c>
      <c r="H82" s="765" cm="1">
        <f t="array" aca="1" ref="H82" ca="1">IF(NPSwitch=1,_xll.TR(H$7,H$6,"Sdate=#1 Period=#2 NULL=BLANK",,$D82,$E$4),H82)</f>
        <v>8.2805861468607205</v>
      </c>
      <c r="I82" s="765" cm="1">
        <f t="array" aca="1" ref="I82" ca="1">IF(NPSwitch=1,_xll.TR(I$7,I$6,"Sdate=#1 Period=#2 NULL=BLANK",,$D82,$E$4),I82)</f>
        <v>7.0696623255931899</v>
      </c>
      <c r="J82" s="765" cm="1">
        <f t="array" aca="1" ref="J82" ca="1">IF(NPSwitch=1,_xll.TR(J$7,J$6,"Sdate=#1 Period=#2 NULL=BLANK",,$D82,$E$4),J82)</f>
        <v>11.4225088779455</v>
      </c>
      <c r="K82" s="765" cm="1">
        <f t="array" aca="1" ref="K82" ca="1">IF(NPSwitch=1,_xll.TR(K$7,K$6,"Sdate=#1 Period=#2 NULL=BLANK",,$D82,$E$4),K82)</f>
        <v>10.5014163391018</v>
      </c>
      <c r="L82" s="765" cm="1">
        <f t="array" aca="1" ref="L82" ca="1">IF(NPSwitch=1,_xll.TR(L$7,L$6,"Sdate=#1 Period=#2 NULL=BLANK",,$D82,$E$4),L82)</f>
        <v>6.0318811415648197</v>
      </c>
      <c r="M82" s="765" cm="1">
        <f t="array" aca="1" ref="M82" ca="1">IF(NPSwitch=1,_xll.TR(M$7,M$6,"Sdate=#1 Period=#2 NULL=BLANK",,$D82,$E$4),M82)</f>
        <v>7.8806669581190301</v>
      </c>
      <c r="N82" s="1002">
        <f t="shared" ca="1" si="45"/>
        <v>8.8996640161301048</v>
      </c>
      <c r="O82" s="1000" cm="1">
        <f t="array" aca="1" ref="O82" ca="1">IF(NPSwitch=1,_xll.TR(O$7,O$6,"Sdate=#1 Period=#2 Scale=6 NULL=BLANK",,$D82,$O$4),O82)</f>
        <v>103999.55539691</v>
      </c>
      <c r="P82" s="1000" cm="1">
        <f t="array" aca="1" ref="P82" ca="1">IF(NPSwitch=1,_xll.TR(P$7,P$6,"Sdate=#1 Period=#2 Scale=6 NULL=BLANK",,$D82,$O$4),P82)</f>
        <v>8669.6453781199907</v>
      </c>
      <c r="Q82" s="1000" cm="1">
        <f t="array" aca="1" ref="Q82" ca="1">IF(NPSwitch=1,_xll.TR(Q$7,Q$6,"Sdate=#1 Period=#2 Scale=6 NULL=BLANK",,$D82,$O$4),Q82)</f>
        <v>6728.5028542199998</v>
      </c>
      <c r="R82" s="1000" cm="1">
        <f t="array" aca="1" ref="R82" ca="1">IF(NPSwitch=1,_xll.TR(R$7,R$6,"Sdate=#1 Period=#2 Scale=6 NULL=BLANK",,$D82,$O$4),R82)</f>
        <v>2741.2801276</v>
      </c>
      <c r="S82" s="1000" cm="1">
        <f t="array" aca="1" ref="S82" ca="1">IF(NPSwitch=1,_xll.TR(S$7,S$6,"Sdate=#1 Period=#2 Scale=6 NULL=BLANK",,$D82,$O$4),S82)</f>
        <v>4439.2423605599997</v>
      </c>
      <c r="T82" s="1000" cm="1">
        <f t="array" aca="1" ref="T82" ca="1">IF(NPSwitch=1,_xll.TR(T$7,T$6,"Sdate=#1 Period=#2 Scale=6 NULL=BLANK",,$D82,$O$4),T82)</f>
        <v>7061.3348242000002</v>
      </c>
      <c r="U82" s="1000" cm="1">
        <f t="array" aca="1" ref="U82" ca="1">IF(NPSwitch=1,_xll.TR(U$7,U$6,"Sdate=#1 Period=#2 Scale=6 NULL=BLANK",,$D82,$O$4),U82)</f>
        <v>25356.743186200001</v>
      </c>
      <c r="V82" s="1000" cm="1">
        <f t="array" aca="1" ref="V82" ca="1">IF(NPSwitch=1,_xll.TR(V$7,V$6,"Sdate=#1 Period=#2 Scale=6 NULL=BLANK",,$D82,$O$4),V82)</f>
        <v>10704.105657599999</v>
      </c>
      <c r="W82" s="1000" cm="1">
        <f t="array" aca="1" ref="W82" ca="1">IF(NPSwitch=1,_xll.TR(W$7,W$6,"Sdate=#1 Period=#2 Scale=6 NULL=BLANK",,$D82,$O$4),W82)</f>
        <v>10896.252394499999</v>
      </c>
      <c r="X82" s="998"/>
      <c r="Y82" s="1000" cm="1">
        <f t="array" aca="1" ref="Y82" ca="1">IF(NPSwitch=1,_xll.TR(Y$7,Y$6,"Sdate=#1 Period=#2 Scale=6 NULL=BLANK",,$D82,$O$4),Y82)</f>
        <v>1990</v>
      </c>
      <c r="Z82" s="1000" cm="1">
        <f t="array" aca="1" ref="Z82" ca="1">IF(NPSwitch=1,_xll.TR(Z$7,Z$6,"Sdate=#1 Period=#2 Scale=6 NULL=BLANK",,$D82,$O$4),Z82)</f>
        <v>223.34399999999999</v>
      </c>
      <c r="AA82" s="1000" cm="1">
        <f t="array" aca="1" ref="AA82" ca="1">IF(NPSwitch=1,_xll.TR(AA$7,AA$6,"Sdate=#1 Period=#2 Scale=6 NULL=BLANK",,$D82,$O$4),AA82)</f>
        <v>1101.75</v>
      </c>
      <c r="AB82" s="1000" cm="1">
        <f t="array" aca="1" ref="AB82" ca="1">IF(NPSwitch=1,_xll.TR(AB$7,AB$6,"Sdate=#1 Period=#2 Scale=6 NULL=BLANK",,$D82,$O$4),AB82)</f>
        <v>202.2</v>
      </c>
      <c r="AC82" s="1000" cm="1">
        <f t="array" aca="1" ref="AC82" ca="1">IF(NPSwitch=1,_xll.TR(AC$7,AC$6,"Sdate=#1 Period=#2 Scale=6 NULL=BLANK",,$D82,$O$4),AC82)</f>
        <v>319.25</v>
      </c>
      <c r="AD82" s="1000" cm="1">
        <f t="array" aca="1" ref="AD82" ca="1">IF(NPSwitch=1,_xll.TR(AD$7,AD$6,"Sdate=#1 Period=#2 Scale=6 NULL=BLANK",,$D82,$O$4),AD82)</f>
        <v>91.8</v>
      </c>
      <c r="AE82" s="1000" cm="1">
        <f t="array" aca="1" ref="AE82" ca="1">IF(NPSwitch=1,_xll.TR(AE$7,AE$6,"Sdate=#1 Period=#2 Scale=6 NULL=BLANK",,$D82,$O$4),AE82)</f>
        <v>1282.25</v>
      </c>
      <c r="AF82" s="1000" cm="1">
        <f t="array" aca="1" ref="AF82" ca="1">IF(NPSwitch=1,_xll.TR(AF$7,AF$6,"Sdate=#1 Period=#2 Scale=6 NULL=BLANK",,$D82,$O$4),AF82)</f>
        <v>1431.25</v>
      </c>
      <c r="AG82" s="1000" cm="1">
        <f t="array" aca="1" ref="AG82" ca="1">IF(NPSwitch=1,_xll.TR(AG$7,AG$6,"Sdate=#1 Period=#2 Scale=6 NULL=BLANK",,$D82,$O$4),AG82)</f>
        <v>235.5</v>
      </c>
      <c r="AH82" s="998"/>
      <c r="AI82" s="1000" cm="1">
        <f t="array" aca="1" ref="AI82" ca="1">IF(NPSwitch=1,_xll.TR(AI$7,AI$6,"Sdate=#1 Period=#2 Scale=6 NULL=BLANK",,$D82,$O$4),AI82)</f>
        <v>113740.55539691</v>
      </c>
      <c r="AJ82" s="1000" cm="1">
        <f t="array" aca="1" ref="AJ82" ca="1">IF(NPSwitch=1,_xll.TR(AJ$7,AJ$6,"Sdate=#1 Period=#2 Scale=6 NULL=BLANK",,$D82,$O$4),AJ82)</f>
        <v>12037.78937812</v>
      </c>
      <c r="AK82" s="1000" cm="1">
        <f t="array" aca="1" ref="AK82" ca="1">IF(NPSwitch=1,_xll.TR(AK$7,AK$6,"Sdate=#1 Period=#2 Scale=6 NULL=BLANK",,$D82,$O$4),AK82)</f>
        <v>9600.5028542199998</v>
      </c>
      <c r="AL82" s="1000" cm="1">
        <f t="array" aca="1" ref="AL82" ca="1">IF(NPSwitch=1,_xll.TR(AL$7,AL$6,"Sdate=#1 Period=#2 Scale=6 NULL=BLANK",,$D82,$O$4),AL82)</f>
        <v>3789.4801275999998</v>
      </c>
      <c r="AM82" s="1000" cm="1">
        <f t="array" aca="1" ref="AM82" ca="1">IF(NPSwitch=1,_xll.TR(AM$7,AM$6,"Sdate=#1 Period=#2 Scale=6 NULL=BLANK",,$D82,$O$4),AM82)</f>
        <v>8768.2423605599997</v>
      </c>
      <c r="AN82" s="1000" cm="1">
        <f t="array" aca="1" ref="AN82" ca="1">IF(NPSwitch=1,_xll.TR(AN$7,AN$6,"Sdate=#1 Period=#2 Scale=6 NULL=BLANK",,$D82,$O$4),AN82)</f>
        <v>8943.5348242</v>
      </c>
      <c r="AO82" s="1000" cm="1">
        <f t="array" aca="1" ref="AO82" ca="1">IF(NPSwitch=1,_xll.TR(AO$7,AO$6,"Sdate=#1 Period=#2 Scale=6 NULL=BLANK",,$D82,$O$4),AO82)</f>
        <v>28875.743186200001</v>
      </c>
      <c r="AP82" s="1000" cm="1">
        <f t="array" aca="1" ref="AP82" ca="1">IF(NPSwitch=1,_xll.TR(AP$7,AP$6,"Sdate=#1 Period=#2 Scale=6 NULL=BLANK",,$D82,$O$4),AP82)</f>
        <v>15398.105657599999</v>
      </c>
      <c r="AQ82" s="1000" cm="1">
        <f t="array" aca="1" ref="AQ82" ca="1">IF(NPSwitch=1,_xll.TR(AQ$7,AQ$6,"Sdate=#1 Period=#2 Scale=6 NULL=BLANK",,$D82,$O$4),AQ82)</f>
        <v>17372.252394499999</v>
      </c>
      <c r="AS82" s="765" cm="1">
        <f t="array" aca="1" ref="AS82" ca="1">IF(NPSwitch=1,_xll.TR(AS$7,AS$6,"Sdate=#1 Period=#2 NULL=BLANK Scale=6",,$D82,$AS$4),AS82)</f>
        <v>20.183333333333302</v>
      </c>
      <c r="AT82" s="765" cm="1">
        <f t="array" aca="1" ref="AT82" ca="1">IF(NPSwitch=1,_xll.TR(AT$7,AT$6,"Sdate=#1 Period=#2 NULL=BLANK Scale=6",,$D82,$AS$4),AT82)</f>
        <v>13.5833333333333</v>
      </c>
      <c r="AU82" s="765" t="str" cm="1">
        <f t="array" aca="1" ref="AU82" ca="1">IF(NPSwitch=1,_xll.TR(AU$7,AU$6,"Sdate=#1 Period=#2 NULL=BLANK Scale=6",,$D82,$AS$4),AU82)</f>
        <v/>
      </c>
      <c r="AV82" s="765" t="str" cm="1">
        <f t="array" aca="1" ref="AV82" ca="1">IF(NPSwitch=1,_xll.TR(AV$7,AV$6,"Sdate=#1 Period=#2 NULL=BLANK Scale=6",,$D82,$AS$4),AV82)</f>
        <v/>
      </c>
      <c r="AW82" s="765" cm="1">
        <f t="array" aca="1" ref="AW82" ca="1">IF(NPSwitch=1,_xll.TR(AW$7,AW$6,"Sdate=#1 Period=#2 NULL=BLANK Scale=6",,$D82,$AS$4),AW82)</f>
        <v>9.0875000000000004</v>
      </c>
      <c r="AX82" s="765" cm="1">
        <f t="array" aca="1" ref="AX82" ca="1">IF(NPSwitch=1,_xll.TR(AX$7,AX$6,"Sdate=#1 Period=#2 NULL=BLANK Scale=6",,$D82,$AS$4),AX82)</f>
        <v>15.205</v>
      </c>
      <c r="AY82" s="765" cm="1">
        <f t="array" aca="1" ref="AY82" ca="1">IF(NPSwitch=1,_xll.TR(AY$7,AY$6,"Sdate=#1 Period=#2 NULL=BLANK Scale=6",,$D82,$AS$4),AY82)</f>
        <v>18.134719166666699</v>
      </c>
      <c r="AZ82" s="765" cm="1">
        <f t="array" aca="1" ref="AZ82" ca="1">IF(NPSwitch=1,_xll.TR(AZ$7,AZ$6,"Sdate=#1 Period=#2 NULL=BLANK Scale=6",,$D82,$AS$4),AZ82)</f>
        <v>8.4837500000000006</v>
      </c>
      <c r="BA82" s="765" cm="1">
        <f t="array" aca="1" ref="BA82" ca="1">IF(NPSwitch=1,_xll.TR(BA$7,BA$6,"Sdate=#1 Period=#2 NULL=BLANK Scale=6",,$D82,$AS$4),BA82)</f>
        <v>9.6472191666666696</v>
      </c>
      <c r="BB82" s="1002"/>
      <c r="BO82" s="765" cm="1">
        <f t="array" aca="1" ref="BO82" ca="1">IF(NPSwitch=1,_xll.TR(BO$7,BO$6,"Sdate=#1 Period=#2 NULL=BLANK Scale=6",,$D82,$AS$4),BO82)</f>
        <v>30078</v>
      </c>
      <c r="BP82" s="765" cm="1">
        <f t="array" aca="1" ref="BP82" ca="1">IF(NPSwitch=1,_xll.TR(BP$7,BP$6,"Sdate=#1 Period=#2 NULL=BLANK Scale=6",,$D82,$AS$4),BP82)</f>
        <v>2703.1579999999999</v>
      </c>
      <c r="BQ82" s="765" cm="1">
        <f t="array" aca="1" ref="BQ82" ca="1">IF(NPSwitch=1,_xll.TR(BQ$7,BQ$6,"Sdate=#1 Period=#2 NULL=BLANK Scale=6",,$D82,$AS$4),BQ82)</f>
        <v>3954</v>
      </c>
      <c r="BR82" s="765" cm="1">
        <f t="array" aca="1" ref="BR82" ca="1">IF(NPSwitch=1,_xll.TR(BR$7,BR$6,"Sdate=#1 Period=#2 NULL=BLANK Scale=6",,$D82,$AS$4),BR82)</f>
        <v>3019.6</v>
      </c>
      <c r="BS82" s="765" cm="1">
        <f t="array" aca="1" ref="BS82" ca="1">IF(NPSwitch=1,_xll.TR(BS$7,BS$6,"Sdate=#1 Period=#2 NULL=BLANK Scale=6",,$D82,$AS$4),BS82)</f>
        <v>9062</v>
      </c>
      <c r="BT82" s="765" cm="1">
        <f t="array" aca="1" ref="BT82" ca="1">IF(NPSwitch=1,_xll.TR(BT$7,BT$6,"Sdate=#1 Period=#2 NULL=BLANK Scale=6",,$D82,$AS$4),BT82)</f>
        <v>2749.8</v>
      </c>
      <c r="BU82" s="765" cm="1">
        <f t="array" aca="1" ref="BU82" ca="1">IF(NPSwitch=1,_xll.TR(BU$7,BU$6,"Sdate=#1 Period=#2 NULL=BLANK Scale=6",,$D82,$AS$4),BU82)</f>
        <v>13880</v>
      </c>
      <c r="BV82" s="765" cm="1">
        <f t="array" aca="1" ref="BV82" ca="1">IF(NPSwitch=1,_xll.TR(BV$7,BV$6,"Sdate=#1 Period=#2 NULL=BLANK Scale=6",,$D82,$AS$4),BV82)</f>
        <v>9839</v>
      </c>
      <c r="BW82" s="765" cm="1">
        <f t="array" aca="1" ref="BW82" ca="1">IF(NPSwitch=1,_xll.TR(BW$7,BW$6,"Sdate=#1 Period=#2 NULL=BLANK Scale=6",,$D82,$AS$4),BW82)</f>
        <v>9045</v>
      </c>
      <c r="BY82" s="765" cm="1">
        <f t="array" aca="1" ref="BY82" ca="1">IF(NPSwitch=1,_xll.TR(BY$7,BY$6,"Sdate=#1 Period=#2 NULL=BLANK Scale=6",,$D82,$AS$4),BY82)</f>
        <v>23318.25</v>
      </c>
      <c r="BZ82" s="765" cm="1">
        <f t="array" aca="1" ref="BZ82" ca="1">IF(NPSwitch=1,_xll.TR(BZ$7,BZ$6,"Sdate=#1 Period=#2 NULL=BLANK Scale=6",,$D82,$AS$4),BZ82)</f>
        <v>7055.9350000000004</v>
      </c>
      <c r="CA82" s="765" cm="1">
        <f t="array" aca="1" ref="CA82" ca="1">IF(NPSwitch=1,_xll.TR(CA$7,CA$6,"Sdate=#1 Period=#2 NULL=BLANK Scale=6",,$D82,$AS$4),CA82)</f>
        <v>6466.25</v>
      </c>
      <c r="CB82" s="765" cm="1">
        <f t="array" aca="1" ref="CB82" ca="1">IF(NPSwitch=1,_xll.TR(CB$7,CB$6,"Sdate=#1 Period=#2 NULL=BLANK Scale=6",,$D82,$AS$4),CB82)</f>
        <v>1907.6</v>
      </c>
      <c r="CC82" s="765" cm="1">
        <f t="array" aca="1" ref="CC82" ca="1">IF(NPSwitch=1,_xll.TR(CC$7,CC$6,"Sdate=#1 Period=#2 NULL=BLANK Scale=6",,$D82,$AS$4),CC82)</f>
        <v>6431</v>
      </c>
      <c r="CD82" s="765" cm="1">
        <f t="array" aca="1" ref="CD82" ca="1">IF(NPSwitch=1,_xll.TR(CD$7,CD$6,"Sdate=#1 Period=#2 NULL=BLANK Scale=6",,$D82,$AS$4),CD82)</f>
        <v>4085.5250000000001</v>
      </c>
      <c r="CE82" s="765" cm="1">
        <f t="array" aca="1" ref="CE82" ca="1">IF(NPSwitch=1,_xll.TR(CE$7,CE$6,"Sdate=#1 Period=#2 NULL=BLANK Scale=6",,$D82,$AS$4),CE82)</f>
        <v>9739.5</v>
      </c>
      <c r="CF82" s="765" cm="1">
        <f t="array" aca="1" ref="CF82" ca="1">IF(NPSwitch=1,_xll.TR(CF$7,CF$6,"Sdate=#1 Period=#2 NULL=BLANK Scale=6",,$D82,$AS$4),CF82)</f>
        <v>15409</v>
      </c>
      <c r="CG82" s="765" cm="1">
        <f t="array" aca="1" ref="CG82" ca="1">IF(NPSwitch=1,_xll.TR(CG$7,CG$6,"Sdate=#1 Period=#2 NULL=BLANK Scale=6",,$D82,$AS$4),CG82)</f>
        <v>11193.25</v>
      </c>
      <c r="CI82" s="1000" cm="1">
        <f t="array" aca="1" ref="CI82" ca="1">IF(NPSwitch=1,_xll.TR(CI$7,CI$6,"Sdate=#1 Period=#2 NULL=BLANK Scale=6",,$D82,$AS$4),CI82)</f>
        <v>8655</v>
      </c>
      <c r="CJ82" s="1000" cm="1">
        <f t="array" aca="1" ref="CJ82" ca="1">IF(NPSwitch=1,_xll.TR(CJ$7,CJ$6,"Sdate=#1 Period=#2 NULL=BLANK Scale=6",,$D82,$AS$4),CJ82)</f>
        <v>800.64</v>
      </c>
      <c r="CK82" s="1000" cm="1">
        <f t="array" aca="1" ref="CK82" ca="1">IF(NPSwitch=1,_xll.TR(CK$7,CK$6,"Sdate=#1 Period=#2 NULL=BLANK Scale=6",,$D82,$AS$4),CK82)</f>
        <v>714</v>
      </c>
      <c r="CL82" s="1000" cm="1">
        <f t="array" aca="1" ref="CL82" ca="1">IF(NPSwitch=1,_xll.TR(CL$7,CL$6,"Sdate=#1 Period=#2 NULL=BLANK Scale=6",,$D82,$AS$4),CL82)</f>
        <v>406.5</v>
      </c>
      <c r="CM82" s="1000" cm="1">
        <f t="array" aca="1" ref="CM82" ca="1">IF(NPSwitch=1,_xll.TR(CM$7,CM$6,"Sdate=#1 Period=#2 NULL=BLANK Scale=6",,$D82,$AS$4),CM82)</f>
        <v>948</v>
      </c>
      <c r="CN82" s="1000" cm="1">
        <f t="array" aca="1" ref="CN82" ca="1">IF(NPSwitch=1,_xll.TR(CN$7,CN$6,"Sdate=#1 Period=#2 NULL=BLANK Scale=6",,$D82,$AS$4),CN82)</f>
        <v>421.2</v>
      </c>
      <c r="CO82" s="1000" cm="1">
        <f t="array" aca="1" ref="CO82" ca="1">IF(NPSwitch=1,_xll.TR(CO$7,CO$6,"Sdate=#1 Period=#2 NULL=BLANK Scale=6",,$D82,$AS$4),CO82)</f>
        <v>2608</v>
      </c>
      <c r="CP82" s="1000" cm="1">
        <f t="array" aca="1" ref="CP82" ca="1">IF(NPSwitch=1,_xll.TR(CP$7,CP$6,"Sdate=#1 Period=#2 NULL=BLANK Scale=6",,$D82,$AS$4),CP82)</f>
        <v>2069</v>
      </c>
      <c r="CQ82" s="1000" cm="1">
        <f t="array" aca="1" ref="CQ82" ca="1">IF(NPSwitch=1,_xll.TR(CQ$7,CQ$6,"Sdate=#1 Period=#2 NULL=BLANK Scale=6",,$D82,$AS$4),CQ82)</f>
        <v>2119</v>
      </c>
      <c r="CS82" s="1000" cm="1">
        <f t="array" aca="1" ref="CS82" ca="1">IF(NPSwitch=1,_xll.TR(CS$7,CS$6,"Sdate=#1 Period=#2 NULL=BLANK Scale=6",,$D82,$AS$4),CS82)</f>
        <v>8601</v>
      </c>
      <c r="CT82" s="1000" cm="1">
        <f t="array" aca="1" ref="CT82" ca="1">IF(NPSwitch=1,_xll.TR(CT$7,CT$6,"Sdate=#1 Period=#2 NULL=BLANK Scale=6",,$D82,$AS$4),CT82)</f>
        <v>2375.4335000000001</v>
      </c>
      <c r="CU82" s="1000" cm="1">
        <f t="array" aca="1" ref="CU82" ca="1">IF(NPSwitch=1,_xll.TR(CU$7,CU$6,"Sdate=#1 Period=#2 NULL=BLANK Scale=6",,$D82,$AS$4),CU82)</f>
        <v>2098</v>
      </c>
      <c r="CV82" s="1000" cm="1">
        <f t="array" aca="1" ref="CV82" ca="1">IF(NPSwitch=1,_xll.TR(CV$7,CV$6,"Sdate=#1 Period=#2 NULL=BLANK Scale=6",,$D82,$AS$4),CV82)</f>
        <v>587.52499999999998</v>
      </c>
      <c r="CW82" s="1000" cm="1">
        <f t="array" aca="1" ref="CW82" ca="1">IF(NPSwitch=1,_xll.TR(CW$7,CW$6,"Sdate=#1 Period=#2 NULL=BLANK Scale=6",,$D82,$AS$4),CW82)</f>
        <v>1025.2750000000001</v>
      </c>
      <c r="CX82" s="1000" cm="1">
        <f t="array" aca="1" ref="CX82" ca="1">IF(NPSwitch=1,_xll.TR(CX$7,CX$6,"Sdate=#1 Period=#2 NULL=BLANK Scale=6",,$D82,$AS$4),CX82)</f>
        <v>2918.25</v>
      </c>
      <c r="CY82" s="1000" cm="1">
        <f t="array" aca="1" ref="CY82" ca="1">IF(NPSwitch=1,_xll.TR(CY$7,CY$6,"Sdate=#1 Period=#2 NULL=BLANK Scale=6",,$D82,$AS$4),CY82)</f>
        <v>6787.75</v>
      </c>
      <c r="CZ82" s="1000" cm="1">
        <f t="array" aca="1" ref="CZ82" ca="1">IF(NPSwitch=1,_xll.TR(CZ$7,CZ$6,"Sdate=#1 Period=#2 NULL=BLANK Scale=6",,$D82,$AS$4),CZ82)</f>
        <v>5168.5</v>
      </c>
      <c r="DA82" s="1000" cm="1">
        <f t="array" aca="1" ref="DA82" ca="1">IF(NPSwitch=1,_xll.TR(DA$7,DA$6,"Sdate=#1 Period=#2 NULL=BLANK Scale=6",,$D82,$AS$4),DA82)</f>
        <v>3603.75</v>
      </c>
      <c r="DB82" s="1000" cm="1">
        <f t="array" aca="1" ref="DB82" ca="1">IF(NPSwitch=1,_xll.TR(DB$7,DB$6,"Sdate=#1 Period=#2 NULL=BLANK Scale=6",,$D82,$AS$4),DB82)</f>
        <v>25183.25</v>
      </c>
      <c r="DC82" s="1000" t="str" cm="1">
        <f t="array" aca="1" ref="DC82" ca="1">IF(NPSwitch=1,_xll.TR(DC$7,DC$6,"Sdate=#1 Period=#2 NULL=BLANK Scale=6",,$D82,$AS$4),DC82)</f>
        <v/>
      </c>
      <c r="DD82" s="1000" cm="1">
        <f t="array" aca="1" ref="DD82" ca="1">IF(NPSwitch=1,_xll.TR(DD$7,DD$6,"Sdate=#1 Period=#2 NULL=BLANK Scale=6",,$D82,$AS$4),DD82)</f>
        <v>9525.5</v>
      </c>
      <c r="DE82" s="1000" t="str" cm="1">
        <f t="array" aca="1" ref="DE82" ca="1">IF(NPSwitch=1,_xll.TR(DE$7,DE$6,"Sdate=#1 Period=#2 NULL=BLANK Scale=6",,$D82,$AS$4),DE82)</f>
        <v/>
      </c>
      <c r="DF82" s="1000" cm="1">
        <f t="array" aca="1" ref="DF82" ca="1">IF(NPSwitch=1,_xll.TR(DF$7,DF$6,"Sdate=#1 Period=#2 NULL=BLANK Scale=6",,$D82,$AS$4),DF82)</f>
        <v>587.52499999999998</v>
      </c>
      <c r="DG82" s="1000" cm="1">
        <f t="array" aca="1" ref="DG82" ca="1">IF(NPSwitch=1,_xll.TR(DG$7,DG$6,"Sdate=#1 Period=#2 NULL=BLANK Scale=6",,$D82,$AS$4),DG82)</f>
        <v>4389.5</v>
      </c>
      <c r="DH82" s="1000" cm="1">
        <f t="array" aca="1" ref="DH82" ca="1">IF(NPSwitch=1,_xll.TR(DH$7,DH$6,"Sdate=#1 Period=#2 NULL=BLANK Scale=6",,$D82,$AS$4),DH82)</f>
        <v>3950.0895</v>
      </c>
      <c r="FN82" s="3" t="s">
        <v>1510</v>
      </c>
    </row>
    <row r="83" spans="3:170">
      <c r="C83" s="969">
        <f t="shared" si="44"/>
        <v>42735</v>
      </c>
      <c r="D83" s="974">
        <f t="shared" si="43"/>
        <v>42780</v>
      </c>
      <c r="E83" s="765" cm="1">
        <f t="array" aca="1" ref="E83" ca="1">IF(NPSwitch=1,_xll.TR(E$7,E$6,"Sdate=#1 Period=#2 NULL=BLANK",,$D83,$E$4),E83)</f>
        <v>12.949942770294401</v>
      </c>
      <c r="F83" s="765" cm="1">
        <f t="array" aca="1" ref="F83" ca="1">IF(NPSwitch=1,_xll.TR(F$7,F$6,"Sdate=#1 Period=#2 NULL=BLANK",,$D83,$E$4),F83)</f>
        <v>16.761408923557099</v>
      </c>
      <c r="G83" s="765" cm="1">
        <f t="array" aca="1" ref="G83" ca="1">IF(NPSwitch=1,_xll.TR(G$7,G$6,"Sdate=#1 Period=#2 NULL=BLANK",,$D83,$E$4),G83)</f>
        <v>13.1295855675331</v>
      </c>
      <c r="H83" s="765" cm="1">
        <f t="array" aca="1" ref="H83" ca="1">IF(NPSwitch=1,_xll.TR(H$7,H$6,"Sdate=#1 Period=#2 NULL=BLANK",,$D83,$E$4),H83)</f>
        <v>8.3971765178003004</v>
      </c>
      <c r="I83" s="765" cm="1">
        <f t="array" aca="1" ref="I83" ca="1">IF(NPSwitch=1,_xll.TR(I$7,I$6,"Sdate=#1 Period=#2 NULL=BLANK",,$D83,$E$4),I83)</f>
        <v>7.4537429084077802</v>
      </c>
      <c r="J83" s="765" cm="1">
        <f t="array" aca="1" ref="J83" ca="1">IF(NPSwitch=1,_xll.TR(J$7,J$6,"Sdate=#1 Period=#2 NULL=BLANK",,$D83,$E$4),J83)</f>
        <v>12.236894168649799</v>
      </c>
      <c r="K83" s="765" cm="1">
        <f t="array" aca="1" ref="K83" ca="1">IF(NPSwitch=1,_xll.TR(K$7,K$6,"Sdate=#1 Period=#2 NULL=BLANK",,$D83,$E$4),K83)</f>
        <v>10.812006971228</v>
      </c>
      <c r="L83" s="765" cm="1">
        <f t="array" aca="1" ref="L83" ca="1">IF(NPSwitch=1,_xll.TR(L$7,L$6,"Sdate=#1 Period=#2 NULL=BLANK",,$D83,$E$4),L83)</f>
        <v>6.5684517590041196</v>
      </c>
      <c r="M83" s="765" cm="1">
        <f t="array" aca="1" ref="M83" ca="1">IF(NPSwitch=1,_xll.TR(M$7,M$6,"Sdate=#1 Period=#2 NULL=BLANK",,$D83,$E$4),M83)</f>
        <v>8.2584597768041892</v>
      </c>
      <c r="N83" s="1002">
        <f t="shared" ca="1" si="45"/>
        <v>9.7663096487705179</v>
      </c>
      <c r="O83" s="1000" cm="1">
        <f t="array" aca="1" ref="O83" ca="1">IF(NPSwitch=1,_xll.TR(O$7,O$6,"Sdate=#1 Period=#2 Scale=6 NULL=BLANK",,$D83,$O$4),O83)</f>
        <v>108269.92</v>
      </c>
      <c r="P83" s="1000" cm="1">
        <f t="array" aca="1" ref="P83" ca="1">IF(NPSwitch=1,_xll.TR(P$7,P$6,"Sdate=#1 Period=#2 Scale=6 NULL=BLANK",,$D83,$O$4),P83)</f>
        <v>10256.680877410001</v>
      </c>
      <c r="Q83" s="1000" cm="1">
        <f t="array" aca="1" ref="Q83" ca="1">IF(NPSwitch=1,_xll.TR(Q$7,Q$6,"Sdate=#1 Period=#2 Scale=6 NULL=BLANK",,$D83,$O$4),Q83)</f>
        <v>7495.8876542400003</v>
      </c>
      <c r="R83" s="1000" cm="1">
        <f t="array" aca="1" ref="R83" ca="1">IF(NPSwitch=1,_xll.TR(R$7,R$6,"Sdate=#1 Period=#2 Scale=6 NULL=BLANK",,$D83,$O$4),R83)</f>
        <v>2776.4352295600002</v>
      </c>
      <c r="S83" s="1000" cm="1">
        <f t="array" aca="1" ref="S83" ca="1">IF(NPSwitch=1,_xll.TR(S$7,S$6,"Sdate=#1 Period=#2 Scale=6 NULL=BLANK",,$D83,$O$4),S83)</f>
        <v>5182.7178221599997</v>
      </c>
      <c r="T83" s="1000" cm="1">
        <f t="array" aca="1" ref="T83" ca="1">IF(NPSwitch=1,_xll.TR(T$7,T$6,"Sdate=#1 Period=#2 Scale=6 NULL=BLANK",,$D83,$O$4),T83)</f>
        <v>7762.0475543599996</v>
      </c>
      <c r="U83" s="1000" cm="1">
        <f t="array" aca="1" ref="U83" ca="1">IF(NPSwitch=1,_xll.TR(U$7,U$6,"Sdate=#1 Period=#2 Scale=6 NULL=BLANK",,$D83,$O$4),U83)</f>
        <v>26113.088365</v>
      </c>
      <c r="V83" s="1000" cm="1">
        <f t="array" aca="1" ref="V83" ca="1">IF(NPSwitch=1,_xll.TR(V$7,V$6,"Sdate=#1 Period=#2 Scale=6 NULL=BLANK",,$D83,$O$4),V83)</f>
        <v>11916.390620799901</v>
      </c>
      <c r="W83" s="1000" cm="1">
        <f t="array" aca="1" ref="W83" ca="1">IF(NPSwitch=1,_xll.TR(W$7,W$6,"Sdate=#1 Period=#2 Scale=6 NULL=BLANK",,$D83,$O$4),W83)</f>
        <v>11804.077495920001</v>
      </c>
      <c r="X83" s="998"/>
      <c r="Y83" s="1000" cm="1">
        <f t="array" aca="1" ref="Y83" ca="1">IF(NPSwitch=1,_xll.TR(Y$7,Y$6,"Sdate=#1 Period=#2 Scale=6 NULL=BLANK",,$D83,$O$4),Y83)</f>
        <v>2180.5</v>
      </c>
      <c r="Z83" s="1000" cm="1">
        <f t="array" aca="1" ref="Z83" ca="1">IF(NPSwitch=1,_xll.TR(Z$7,Z$6,"Sdate=#1 Period=#2 Scale=6 NULL=BLANK",,$D83,$O$4),Z83)</f>
        <v>223.34399999999999</v>
      </c>
      <c r="AA83" s="1000" cm="1">
        <f t="array" aca="1" ref="AA83" ca="1">IF(NPSwitch=1,_xll.TR(AA$7,AA$6,"Sdate=#1 Period=#2 Scale=6 NULL=BLANK",,$D83,$O$4),AA83)</f>
        <v>1018</v>
      </c>
      <c r="AB83" s="1000" cm="1">
        <f t="array" aca="1" ref="AB83" ca="1">IF(NPSwitch=1,_xll.TR(AB$7,AB$6,"Sdate=#1 Period=#2 Scale=6 NULL=BLANK",,$D83,$O$4),AB83)</f>
        <v>188.625</v>
      </c>
      <c r="AC83" s="1000" t="str" cm="1">
        <f t="array" aca="1" ref="AC83" ca="1">IF(NPSwitch=1,_xll.TR(AC$7,AC$6,"Sdate=#1 Period=#2 Scale=6 NULL=BLANK",,$D83,$O$4),AC83)</f>
        <v/>
      </c>
      <c r="AD83" s="1000" cm="1">
        <f t="array" aca="1" ref="AD83" ca="1">IF(NPSwitch=1,_xll.TR(AD$7,AD$6,"Sdate=#1 Period=#2 Scale=6 NULL=BLANK",,$D83,$O$4),AD83)</f>
        <v>88.2</v>
      </c>
      <c r="AE83" s="1000" cm="1">
        <f t="array" aca="1" ref="AE83" ca="1">IF(NPSwitch=1,_xll.TR(AE$7,AE$6,"Sdate=#1 Period=#2 Scale=6 NULL=BLANK",,$D83,$O$4),AE83)</f>
        <v>1384.25</v>
      </c>
      <c r="AF83" s="1000" cm="1">
        <f t="array" aca="1" ref="AF83" ca="1">IF(NPSwitch=1,_xll.TR(AF$7,AF$6,"Sdate=#1 Period=#2 Scale=6 NULL=BLANK",,$D83,$O$4),AF83)</f>
        <v>1431.25</v>
      </c>
      <c r="AG83" s="1000" cm="1">
        <f t="array" aca="1" ref="AG83" ca="1">IF(NPSwitch=1,_xll.TR(AG$7,AG$6,"Sdate=#1 Period=#2 Scale=6 NULL=BLANK",,$D83,$O$4),AG83)</f>
        <v>207.5</v>
      </c>
      <c r="AH83" s="998"/>
      <c r="AI83" s="1000" cm="1">
        <f t="array" aca="1" ref="AI83" ca="1">IF(NPSwitch=1,_xll.TR(AI$7,AI$6,"Sdate=#1 Period=#2 Scale=6 NULL=BLANK",,$D83,$O$4),AI83)</f>
        <v>117331.92</v>
      </c>
      <c r="AJ83" s="1000" cm="1">
        <f t="array" aca="1" ref="AJ83" ca="1">IF(NPSwitch=1,_xll.TR(AJ$7,AJ$6,"Sdate=#1 Period=#2 Scale=6 NULL=BLANK",,$D83,$O$4),AJ83)</f>
        <v>13624.824877409999</v>
      </c>
      <c r="AK83" s="1000" cm="1">
        <f t="array" aca="1" ref="AK83" ca="1">IF(NPSwitch=1,_xll.TR(AK$7,AK$6,"Sdate=#1 Period=#2 Scale=6 NULL=BLANK",,$D83,$O$4),AK83)</f>
        <v>9549.8876542399994</v>
      </c>
      <c r="AL83" s="1000" cm="1">
        <f t="array" aca="1" ref="AL83" ca="1">IF(NPSwitch=1,_xll.TR(AL$7,AL$6,"Sdate=#1 Period=#2 Scale=6 NULL=BLANK",,$D83,$O$4),AL83)</f>
        <v>3824.63522956</v>
      </c>
      <c r="AM83" s="1000" cm="1">
        <f t="array" aca="1" ref="AM83" ca="1">IF(NPSwitch=1,_xll.TR(AM$7,AM$6,"Sdate=#1 Period=#2 Scale=6 NULL=BLANK",,$D83,$O$4),AM83)</f>
        <v>9511.7178221600007</v>
      </c>
      <c r="AN83" s="1000" cm="1">
        <f t="array" aca="1" ref="AN83" ca="1">IF(NPSwitch=1,_xll.TR(AN$7,AN$6,"Sdate=#1 Period=#2 Scale=6 NULL=BLANK",,$D83,$O$4),AN83)</f>
        <v>9644.2475543599994</v>
      </c>
      <c r="AO83" s="1000" cm="1">
        <f t="array" aca="1" ref="AO83" ca="1">IF(NPSwitch=1,_xll.TR(AO$7,AO$6,"Sdate=#1 Period=#2 Scale=6 NULL=BLANK",,$D83,$O$4),AO83)</f>
        <v>29632.088365</v>
      </c>
      <c r="AP83" s="1000" cm="1">
        <f t="array" aca="1" ref="AP83" ca="1">IF(NPSwitch=1,_xll.TR(AP$7,AP$6,"Sdate=#1 Period=#2 Scale=6 NULL=BLANK",,$D83,$O$4),AP83)</f>
        <v>16610.390620800001</v>
      </c>
      <c r="AQ83" s="1000" cm="1">
        <f t="array" aca="1" ref="AQ83" ca="1">IF(NPSwitch=1,_xll.TR(AQ$7,AQ$6,"Sdate=#1 Period=#2 Scale=6 NULL=BLANK",,$D83,$O$4),AQ83)</f>
        <v>18280.077495919999</v>
      </c>
      <c r="AS83" s="765" cm="1">
        <f t="array" aca="1" ref="AS83" ca="1">IF(NPSwitch=1,_xll.TR(AS$7,AS$6,"Sdate=#1 Period=#2 NULL=BLANK Scale=6",,$D83,$AS$4),AS83)</f>
        <v>19.838333333333299</v>
      </c>
      <c r="AT83" s="765" cm="1">
        <f t="array" aca="1" ref="AT83" ca="1">IF(NPSwitch=1,_xll.TR(AT$7,AT$6,"Sdate=#1 Period=#2 NULL=BLANK Scale=6",,$D83,$AS$4),AT83)</f>
        <v>18.716666666666701</v>
      </c>
      <c r="AU83" s="765" t="str" cm="1">
        <f t="array" aca="1" ref="AU83" ca="1">IF(NPSwitch=1,_xll.TR(AU$7,AU$6,"Sdate=#1 Period=#2 NULL=BLANK Scale=6",,$D83,$AS$4),AU83)</f>
        <v/>
      </c>
      <c r="AV83" s="765" t="str" cm="1">
        <f t="array" aca="1" ref="AV83" ca="1">IF(NPSwitch=1,_xll.TR(AV$7,AV$6,"Sdate=#1 Period=#2 NULL=BLANK Scale=6",,$D83,$AS$4),AV83)</f>
        <v/>
      </c>
      <c r="AW83" s="765" cm="1">
        <f t="array" aca="1" ref="AW83" ca="1">IF(NPSwitch=1,_xll.TR(AW$7,AW$6,"Sdate=#1 Period=#2 NULL=BLANK Scale=6",,$D83,$AS$4),AW83)</f>
        <v>9.19166666666667</v>
      </c>
      <c r="AX83" s="765" cm="1">
        <f t="array" aca="1" ref="AX83" ca="1">IF(NPSwitch=1,_xll.TR(AX$7,AX$6,"Sdate=#1 Period=#2 NULL=BLANK Scale=6",,$D83,$AS$4),AX83)</f>
        <v>16.100000000000001</v>
      </c>
      <c r="AY83" s="765" cm="1">
        <f t="array" aca="1" ref="AY83" ca="1">IF(NPSwitch=1,_xll.TR(AY$7,AY$6,"Sdate=#1 Period=#2 NULL=BLANK Scale=6",,$D83,$AS$4),AY83)</f>
        <v>18.994441666666699</v>
      </c>
      <c r="AZ83" s="765" cm="1">
        <f t="array" aca="1" ref="AZ83" ca="1">IF(NPSwitch=1,_xll.TR(AZ$7,AZ$6,"Sdate=#1 Period=#2 NULL=BLANK Scale=6",,$D83,$AS$4),AZ83)</f>
        <v>8.5625</v>
      </c>
      <c r="BA83" s="765" cm="1">
        <f t="array" aca="1" ref="BA83" ca="1">IF(NPSwitch=1,_xll.TR(BA$7,BA$6,"Sdate=#1 Period=#2 NULL=BLANK Scale=6",,$D83,$AS$4),BA83)</f>
        <v>10.07222</v>
      </c>
      <c r="BB83" s="1002"/>
      <c r="BO83" s="765" cm="1">
        <f t="array" aca="1" ref="BO83" ca="1">IF(NPSwitch=1,_xll.TR(BO$7,BO$6,"Sdate=#1 Period=#2 NULL=BLANK Scale=6",,$D83,$AS$4),BO83)</f>
        <v>30109</v>
      </c>
      <c r="BP83" s="765" cm="1">
        <f t="array" aca="1" ref="BP83" ca="1">IF(NPSwitch=1,_xll.TR(BP$7,BP$6,"Sdate=#1 Period=#2 NULL=BLANK Scale=6",,$D83,$AS$4),BP83)</f>
        <v>2703.1579999999999</v>
      </c>
      <c r="BQ83" s="765" cm="1">
        <f t="array" aca="1" ref="BQ83" ca="1">IF(NPSwitch=1,_xll.TR(BQ$7,BQ$6,"Sdate=#1 Period=#2 NULL=BLANK Scale=6",,$D83,$AS$4),BQ83)</f>
        <v>3495</v>
      </c>
      <c r="BR83" s="765" cm="1">
        <f t="array" aca="1" ref="BR83" ca="1">IF(NPSwitch=1,_xll.TR(BR$7,BR$6,"Sdate=#1 Period=#2 NULL=BLANK Scale=6",,$D83,$AS$4),BR83)</f>
        <v>2938.6</v>
      </c>
      <c r="BS83" s="765" t="str" cm="1">
        <f t="array" aca="1" ref="BS83" ca="1">IF(NPSwitch=1,_xll.TR(BS$7,BS$6,"Sdate=#1 Period=#2 NULL=BLANK Scale=6",,$D83,$AS$4),BS83)</f>
        <v/>
      </c>
      <c r="BT83" s="765" cm="1">
        <f t="array" aca="1" ref="BT83" ca="1">IF(NPSwitch=1,_xll.TR(BT$7,BT$6,"Sdate=#1 Period=#2 NULL=BLANK Scale=6",,$D83,$AS$4),BT83)</f>
        <v>2538.9</v>
      </c>
      <c r="BU83" s="765" cm="1">
        <f t="array" aca="1" ref="BU83" ca="1">IF(NPSwitch=1,_xll.TR(BU$7,BU$6,"Sdate=#1 Period=#2 NULL=BLANK Scale=6",,$D83,$AS$4),BU83)</f>
        <v>14270</v>
      </c>
      <c r="BV83" s="765" cm="1">
        <f t="array" aca="1" ref="BV83" ca="1">IF(NPSwitch=1,_xll.TR(BV$7,BV$6,"Sdate=#1 Period=#2 NULL=BLANK Scale=6",,$D83,$AS$4),BV83)</f>
        <v>9839</v>
      </c>
      <c r="BW83" s="765" cm="1">
        <f t="array" aca="1" ref="BW83" ca="1">IF(NPSwitch=1,_xll.TR(BW$7,BW$6,"Sdate=#1 Period=#2 NULL=BLANK Scale=6",,$D83,$AS$4),BW83)</f>
        <v>9008</v>
      </c>
      <c r="BY83" s="765" cm="1">
        <f t="array" aca="1" ref="BY83" ca="1">IF(NPSwitch=1,_xll.TR(BY$7,BY$6,"Sdate=#1 Period=#2 NULL=BLANK Scale=6",,$D83,$AS$4),BY83)</f>
        <v>23250.25</v>
      </c>
      <c r="BZ83" s="765" cm="1">
        <f t="array" aca="1" ref="BZ83" ca="1">IF(NPSwitch=1,_xll.TR(BZ$7,BZ$6,"Sdate=#1 Period=#2 NULL=BLANK Scale=6",,$D83,$AS$4),BZ83)</f>
        <v>7055.9350000000004</v>
      </c>
      <c r="CA83" s="765" cm="1">
        <f t="array" aca="1" ref="CA83" ca="1">IF(NPSwitch=1,_xll.TR(CA$7,CA$6,"Sdate=#1 Period=#2 NULL=BLANK Scale=6",,$D83,$AS$4),CA83)</f>
        <v>6303.5</v>
      </c>
      <c r="CB83" s="765" cm="1">
        <f t="array" aca="1" ref="CB83" ca="1">IF(NPSwitch=1,_xll.TR(CB$7,CB$6,"Sdate=#1 Period=#2 NULL=BLANK Scale=6",,$D83,$AS$4),CB83)</f>
        <v>1940.5</v>
      </c>
      <c r="CC83" s="765" t="str" cm="1">
        <f t="array" aca="1" ref="CC83" ca="1">IF(NPSwitch=1,_xll.TR(CC$7,CC$6,"Sdate=#1 Period=#2 NULL=BLANK Scale=6",,$D83,$AS$4),CC83)</f>
        <v/>
      </c>
      <c r="CD83" s="765" cm="1">
        <f t="array" aca="1" ref="CD83" ca="1">IF(NPSwitch=1,_xll.TR(CD$7,CD$6,"Sdate=#1 Period=#2 NULL=BLANK Scale=6",,$D83,$AS$4),CD83)</f>
        <v>4042.7249999999999</v>
      </c>
      <c r="CE83" s="765" cm="1">
        <f t="array" aca="1" ref="CE83" ca="1">IF(NPSwitch=1,_xll.TR(CE$7,CE$6,"Sdate=#1 Period=#2 NULL=BLANK Scale=6",,$D83,$AS$4),CE83)</f>
        <v>9727.75</v>
      </c>
      <c r="CF83" s="765" cm="1">
        <f t="array" aca="1" ref="CF83" ca="1">IF(NPSwitch=1,_xll.TR(CF$7,CF$6,"Sdate=#1 Period=#2 NULL=BLANK Scale=6",,$D83,$AS$4),CF83)</f>
        <v>15409</v>
      </c>
      <c r="CG83" s="765" cm="1">
        <f t="array" aca="1" ref="CG83" ca="1">IF(NPSwitch=1,_xll.TR(CG$7,CG$6,"Sdate=#1 Period=#2 NULL=BLANK Scale=6",,$D83,$AS$4),CG83)</f>
        <v>11236.5</v>
      </c>
      <c r="CI83" s="1000" cm="1">
        <f t="array" aca="1" ref="CI83" ca="1">IF(NPSwitch=1,_xll.TR(CI$7,CI$6,"Sdate=#1 Period=#2 NULL=BLANK Scale=6",,$D83,$AS$4),CI83)</f>
        <v>8391</v>
      </c>
      <c r="CJ83" s="1000" cm="1">
        <f t="array" aca="1" ref="CJ83" ca="1">IF(NPSwitch=1,_xll.TR(CJ$7,CJ$6,"Sdate=#1 Period=#2 NULL=BLANK Scale=6",,$D83,$AS$4),CJ83)</f>
        <v>800.64</v>
      </c>
      <c r="CK83" s="1000" cm="1">
        <f t="array" aca="1" ref="CK83" ca="1">IF(NPSwitch=1,_xll.TR(CK$7,CK$6,"Sdate=#1 Period=#2 NULL=BLANK Scale=6",,$D83,$AS$4),CK83)</f>
        <v>569</v>
      </c>
      <c r="CL83" s="1000" cm="1">
        <f t="array" aca="1" ref="CL83" ca="1">IF(NPSwitch=1,_xll.TR(CL$7,CL$6,"Sdate=#1 Period=#2 NULL=BLANK Scale=6",,$D83,$AS$4),CL83)</f>
        <v>392.9</v>
      </c>
      <c r="CM83" s="1000" t="str" cm="1">
        <f t="array" aca="1" ref="CM83" ca="1">IF(NPSwitch=1,_xll.TR(CM$7,CM$6,"Sdate=#1 Period=#2 NULL=BLANK Scale=6",,$D83,$AS$4),CM83)</f>
        <v/>
      </c>
      <c r="CN83" s="1000" cm="1">
        <f t="array" aca="1" ref="CN83" ca="1">IF(NPSwitch=1,_xll.TR(CN$7,CN$6,"Sdate=#1 Period=#2 NULL=BLANK Scale=6",,$D83,$AS$4),CN83)</f>
        <v>403.5</v>
      </c>
      <c r="CO83" s="1000" cm="1">
        <f t="array" aca="1" ref="CO83" ca="1">IF(NPSwitch=1,_xll.TR(CO$7,CO$6,"Sdate=#1 Period=#2 NULL=BLANK Scale=6",,$D83,$AS$4),CO83)</f>
        <v>2670</v>
      </c>
      <c r="CP83" s="1000" cm="1">
        <f t="array" aca="1" ref="CP83" ca="1">IF(NPSwitch=1,_xll.TR(CP$7,CP$6,"Sdate=#1 Period=#2 NULL=BLANK Scale=6",,$D83,$AS$4),CP83)</f>
        <v>2069</v>
      </c>
      <c r="CQ83" s="1000" cm="1">
        <f t="array" aca="1" ref="CQ83" ca="1">IF(NPSwitch=1,_xll.TR(CQ$7,CQ$6,"Sdate=#1 Period=#2 NULL=BLANK Scale=6",,$D83,$AS$4),CQ83)</f>
        <v>2114</v>
      </c>
      <c r="CS83" s="1000" cm="1">
        <f t="array" aca="1" ref="CS83" ca="1">IF(NPSwitch=1,_xll.TR(CS$7,CS$6,"Sdate=#1 Period=#2 NULL=BLANK Scale=6",,$D83,$AS$4),CS83)</f>
        <v>8601.25</v>
      </c>
      <c r="CT83" s="1000" cm="1">
        <f t="array" aca="1" ref="CT83" ca="1">IF(NPSwitch=1,_xll.TR(CT$7,CT$6,"Sdate=#1 Period=#2 NULL=BLANK Scale=6",,$D83,$AS$4),CT83)</f>
        <v>2375.4335000000001</v>
      </c>
      <c r="CU83" s="1000" cm="1">
        <f t="array" aca="1" ref="CU83" ca="1">IF(NPSwitch=1,_xll.TR(CU$7,CU$6,"Sdate=#1 Period=#2 NULL=BLANK Scale=6",,$D83,$AS$4),CU83)</f>
        <v>2105.5</v>
      </c>
      <c r="CV83" s="1000" cm="1">
        <f t="array" aca="1" ref="CV83" ca="1">IF(NPSwitch=1,_xll.TR(CV$7,CV$6,"Sdate=#1 Period=#2 NULL=BLANK Scale=6",,$D83,$AS$4),CV83)</f>
        <v>548.22500000000002</v>
      </c>
      <c r="CW83" s="1000" cm="1">
        <f t="array" aca="1" ref="CW83" ca="1">IF(NPSwitch=1,_xll.TR(CW$7,CW$6,"Sdate=#1 Period=#2 NULL=BLANK Scale=6",,$D83,$AS$4),CW83)</f>
        <v>905.7</v>
      </c>
      <c r="CX83" s="1000" cm="1">
        <f t="array" aca="1" ref="CX83" ca="1">IF(NPSwitch=1,_xll.TR(CX$7,CX$6,"Sdate=#1 Period=#2 NULL=BLANK Scale=6",,$D83,$AS$4),CX83)</f>
        <v>2864.75</v>
      </c>
      <c r="CY83" s="1000" cm="1">
        <f t="array" aca="1" ref="CY83" ca="1">IF(NPSwitch=1,_xll.TR(CY$7,CY$6,"Sdate=#1 Period=#2 NULL=BLANK Scale=6",,$D83,$AS$4),CY83)</f>
        <v>6787.75</v>
      </c>
      <c r="CZ83" s="1000" cm="1">
        <f t="array" aca="1" ref="CZ83" ca="1">IF(NPSwitch=1,_xll.TR(CZ$7,CZ$6,"Sdate=#1 Period=#2 NULL=BLANK Scale=6",,$D83,$AS$4),CZ83)</f>
        <v>5205</v>
      </c>
      <c r="DA83" s="1000" cm="1">
        <f t="array" aca="1" ref="DA83" ca="1">IF(NPSwitch=1,_xll.TR(DA$7,DA$6,"Sdate=#1 Period=#2 NULL=BLANK Scale=6",,$D83,$AS$4),DA83)</f>
        <v>3595.75</v>
      </c>
      <c r="DB83" s="1000" cm="1">
        <f t="array" aca="1" ref="DB83" ca="1">IF(NPSwitch=1,_xll.TR(DB$7,DB$6,"Sdate=#1 Period=#2 NULL=BLANK Scale=6",,$D83,$AS$4),DB83)</f>
        <v>25183.25</v>
      </c>
      <c r="DC83" s="1000" t="str" cm="1">
        <f t="array" aca="1" ref="DC83" ca="1">IF(NPSwitch=1,_xll.TR(DC$7,DC$6,"Sdate=#1 Period=#2 NULL=BLANK Scale=6",,$D83,$AS$4),DC83)</f>
        <v/>
      </c>
      <c r="DD83" s="1000" cm="1">
        <f t="array" aca="1" ref="DD83" ca="1">IF(NPSwitch=1,_xll.TR(DD$7,DD$6,"Sdate=#1 Period=#2 NULL=BLANK Scale=6",,$D83,$AS$4),DD83)</f>
        <v>9812</v>
      </c>
      <c r="DE83" s="1000" t="str" cm="1">
        <f t="array" aca="1" ref="DE83" ca="1">IF(NPSwitch=1,_xll.TR(DE$7,DE$6,"Sdate=#1 Period=#2 NULL=BLANK Scale=6",,$D83,$AS$4),DE83)</f>
        <v/>
      </c>
      <c r="DF83" s="1000" cm="1">
        <f t="array" aca="1" ref="DF83" ca="1">IF(NPSwitch=1,_xll.TR(DF$7,DF$6,"Sdate=#1 Period=#2 NULL=BLANK Scale=6",,$D83,$AS$4),DF83)</f>
        <v>548.22500000000002</v>
      </c>
      <c r="DG83" s="1000" t="str" cm="1">
        <f t="array" aca="1" ref="DG83" ca="1">IF(NPSwitch=1,_xll.TR(DG$7,DG$6,"Sdate=#1 Period=#2 NULL=BLANK Scale=6",,$D83,$AS$4),DG83)</f>
        <v/>
      </c>
      <c r="DH83" s="1000" cm="1">
        <f t="array" aca="1" ref="DH83" ca="1">IF(NPSwitch=1,_xll.TR(DH$7,DH$6,"Sdate=#1 Period=#2 NULL=BLANK Scale=6",,$D83,$AS$4),DH83)</f>
        <v>3950.0895</v>
      </c>
      <c r="FN83" s="3" t="s">
        <v>1583</v>
      </c>
    </row>
    <row r="84" spans="3:170">
      <c r="C84" s="969">
        <f t="shared" si="44"/>
        <v>42825</v>
      </c>
      <c r="D84" s="974">
        <f t="shared" ref="D84:D106" si="46">+C84+45</f>
        <v>42870</v>
      </c>
      <c r="E84" s="765" cm="1">
        <f t="array" aca="1" ref="E84" ca="1">IF(NPSwitch=1,_xll.TR(E$7,E$6,"Sdate=#1 Period=#2 NULL=BLANK",,$D84,$E$4),E84)</f>
        <v>13.8740098571296</v>
      </c>
      <c r="F84" s="765" cm="1">
        <f t="array" aca="1" ref="F84" ca="1">IF(NPSwitch=1,_xll.TR(F$7,F$6,"Sdate=#1 Period=#2 NULL=BLANK",,$D84,$E$4),F84)</f>
        <v>14.6056699715381</v>
      </c>
      <c r="G84" s="765" cm="1">
        <f t="array" aca="1" ref="G84" ca="1">IF(NPSwitch=1,_xll.TR(G$7,G$6,"Sdate=#1 Period=#2 NULL=BLANK",,$D84,$E$4),G84)</f>
        <v>8.4975831315300603</v>
      </c>
      <c r="H84" s="765" cm="1">
        <f t="array" aca="1" ref="H84" ca="1">IF(NPSwitch=1,_xll.TR(H$7,H$6,"Sdate=#1 Period=#2 NULL=BLANK",,$D84,$E$4),H84)</f>
        <v>9.2956181283728991</v>
      </c>
      <c r="I84" s="765" cm="1">
        <f t="array" aca="1" ref="I84" ca="1">IF(NPSwitch=1,_xll.TR(I$7,I$6,"Sdate=#1 Period=#2 NULL=BLANK",,$D84,$E$4),I84)</f>
        <v>7.5948022758904896</v>
      </c>
      <c r="J84" s="765" cm="1">
        <f t="array" aca="1" ref="J84" ca="1">IF(NPSwitch=1,_xll.TR(J$7,J$6,"Sdate=#1 Period=#2 NULL=BLANK",,$D84,$E$4),J84)</f>
        <v>15.253252976117199</v>
      </c>
      <c r="K84" s="765" cm="1">
        <f t="array" aca="1" ref="K84" ca="1">IF(NPSwitch=1,_xll.TR(K$7,K$6,"Sdate=#1 Period=#2 NULL=BLANK",,$D84,$E$4),K84)</f>
        <v>11.0851772197008</v>
      </c>
      <c r="L84" s="765" cm="1">
        <f t="array" aca="1" ref="L84" ca="1">IF(NPSwitch=1,_xll.TR(L$7,L$6,"Sdate=#1 Period=#2 NULL=BLANK",,$D84,$E$4),L84)</f>
        <v>6.9702365393921504</v>
      </c>
      <c r="M84" s="765" cm="1">
        <f t="array" aca="1" ref="M84" ca="1">IF(NPSwitch=1,_xll.TR(M$7,M$6,"Sdate=#1 Period=#2 NULL=BLANK",,$D84,$E$4),M84)</f>
        <v>8.1286033293183397</v>
      </c>
      <c r="N84" s="1002">
        <f t="shared" ca="1" si="45"/>
        <v>9.7827783785006002</v>
      </c>
      <c r="O84" s="1000" cm="1">
        <f t="array" aca="1" ref="O84" ca="1">IF(NPSwitch=1,_xll.TR(O$7,O$6,"Sdate=#1 Period=#2 Scale=6 NULL=BLANK",,$D84,$O$4),O84)</f>
        <v>118032.45740488</v>
      </c>
      <c r="P84" s="1000" cm="1">
        <f t="array" aca="1" ref="P84" ca="1">IF(NPSwitch=1,_xll.TR(P$7,P$6,"Sdate=#1 Period=#2 Scale=6 NULL=BLANK",,$D84,$O$4),P84)</f>
        <v>12409.793870400001</v>
      </c>
      <c r="Q84" s="1000" cm="1">
        <f t="array" aca="1" ref="Q84" ca="1">IF(NPSwitch=1,_xll.TR(Q$7,Q$6,"Sdate=#1 Period=#2 Scale=6 NULL=BLANK",,$D84,$O$4),Q84)</f>
        <v>3916.1330819099999</v>
      </c>
      <c r="R84" s="1000" cm="1">
        <f t="array" aca="1" ref="R84" ca="1">IF(NPSwitch=1,_xll.TR(R$7,R$6,"Sdate=#1 Period=#2 Scale=6 NULL=BLANK",,$D84,$O$4),R84)</f>
        <v>3182.7590945699999</v>
      </c>
      <c r="S84" s="1000" cm="1">
        <f t="array" aca="1" ref="S84" ca="1">IF(NPSwitch=1,_xll.TR(S$7,S$6,"Sdate=#1 Period=#2 Scale=6 NULL=BLANK",,$D84,$O$4),S84)</f>
        <v>6312.5847718099903</v>
      </c>
      <c r="T84" s="1000" cm="1">
        <f t="array" aca="1" ref="T84" ca="1">IF(NPSwitch=1,_xll.TR(T$7,T$6,"Sdate=#1 Period=#2 Scale=6 NULL=BLANK",,$D84,$O$4),T84)</f>
        <v>10030.014295949901</v>
      </c>
      <c r="U84" s="1000" cm="1">
        <f t="array" aca="1" ref="U84" ca="1">IF(NPSwitch=1,_xll.TR(U$7,U$6,"Sdate=#1 Period=#2 Scale=6 NULL=BLANK",,$D84,$O$4),U84)</f>
        <v>27664.138454520002</v>
      </c>
      <c r="V84" s="1000" cm="1">
        <f t="array" aca="1" ref="V84" ca="1">IF(NPSwitch=1,_xll.TR(V$7,V$6,"Sdate=#1 Period=#2 Scale=6 NULL=BLANK",,$D84,$O$4),V84)</f>
        <v>12816.340156799901</v>
      </c>
      <c r="W84" s="1000" cm="1">
        <f t="array" aca="1" ref="W84" ca="1">IF(NPSwitch=1,_xll.TR(W$7,W$6,"Sdate=#1 Period=#2 Scale=6 NULL=BLANK",,$D84,$O$4),W84)</f>
        <v>11464.922671</v>
      </c>
      <c r="X84" s="998"/>
      <c r="Y84" s="1000" cm="1">
        <f t="array" aca="1" ref="Y84" ca="1">IF(NPSwitch=1,_xll.TR(Y$7,Y$6,"Sdate=#1 Period=#2 Scale=6 NULL=BLANK",,$D84,$O$4),Y84)</f>
        <v>2380.75</v>
      </c>
      <c r="Z84" s="1000" cm="1">
        <f t="array" aca="1" ref="Z84" ca="1">IF(NPSwitch=1,_xll.TR(Z$7,Z$6,"Sdate=#1 Period=#2 Scale=6 NULL=BLANK",,$D84,$O$4),Z84)</f>
        <v>987.88800000000003</v>
      </c>
      <c r="AA84" s="1000" cm="1">
        <f t="array" aca="1" ref="AA84" ca="1">IF(NPSwitch=1,_xll.TR(AA$7,AA$6,"Sdate=#1 Period=#2 Scale=6 NULL=BLANK",,$D84,$O$4),AA84)</f>
        <v>885.25</v>
      </c>
      <c r="AB84" s="1000" cm="1">
        <f t="array" aca="1" ref="AB84" ca="1">IF(NPSwitch=1,_xll.TR(AB$7,AB$6,"Sdate=#1 Period=#2 Scale=6 NULL=BLANK",,$D84,$O$4),AB84)</f>
        <v>189.2</v>
      </c>
      <c r="AC84" s="1000" cm="1">
        <f t="array" aca="1" ref="AC84" ca="1">IF(NPSwitch=1,_xll.TR(AC$7,AC$6,"Sdate=#1 Period=#2 Scale=6 NULL=BLANK",,$D84,$O$4),AC84)</f>
        <v>413.5</v>
      </c>
      <c r="AD84" s="1000" cm="1">
        <f t="array" aca="1" ref="AD84" ca="1">IF(NPSwitch=1,_xll.TR(AD$7,AD$6,"Sdate=#1 Period=#2 Scale=6 NULL=BLANK",,$D84,$O$4),AD84)</f>
        <v>96.15</v>
      </c>
      <c r="AE84" s="1000" cm="1">
        <f t="array" aca="1" ref="AE84" ca="1">IF(NPSwitch=1,_xll.TR(AE$7,AE$6,"Sdate=#1 Period=#2 Scale=6 NULL=BLANK",,$D84,$O$4),AE84)</f>
        <v>1474</v>
      </c>
      <c r="AF84" s="1000" cm="1">
        <f t="array" aca="1" ref="AF84" ca="1">IF(NPSwitch=1,_xll.TR(AF$7,AF$6,"Sdate=#1 Period=#2 Scale=6 NULL=BLANK",,$D84,$O$4),AF84)</f>
        <v>1050.75</v>
      </c>
      <c r="AG84" s="1000" cm="1">
        <f t="array" aca="1" ref="AG84" ca="1">IF(NPSwitch=1,_xll.TR(AG$7,AG$6,"Sdate=#1 Period=#2 Scale=6 NULL=BLANK",,$D84,$O$4),AG84)</f>
        <v>206.25</v>
      </c>
      <c r="AH84" s="998"/>
      <c r="AI84" s="1000" cm="1">
        <f t="array" aca="1" ref="AI84" ca="1">IF(NPSwitch=1,_xll.TR(AI$7,AI$6,"Sdate=#1 Period=#2 Scale=6 NULL=BLANK",,$D84,$O$4),AI84)</f>
        <v>127480.45740488</v>
      </c>
      <c r="AJ84" s="1000" cm="1">
        <f t="array" aca="1" ref="AJ84" ca="1">IF(NPSwitch=1,_xll.TR(AJ$7,AJ$6,"Sdate=#1 Period=#2 Scale=6 NULL=BLANK",,$D84,$O$4),AJ84)</f>
        <v>13014.446870399999</v>
      </c>
      <c r="AK84" s="1000" cm="1">
        <f t="array" aca="1" ref="AK84" ca="1">IF(NPSwitch=1,_xll.TR(AK$7,AK$6,"Sdate=#1 Period=#2 Scale=6 NULL=BLANK",,$D84,$O$4),AK84)</f>
        <v>6077.1330819100003</v>
      </c>
      <c r="AL84" s="1000" cm="1">
        <f t="array" aca="1" ref="AL84" ca="1">IF(NPSwitch=1,_xll.TR(AL$7,AL$6,"Sdate=#1 Period=#2 Scale=6 NULL=BLANK",,$D84,$O$4),AL84)</f>
        <v>4322.9590945700002</v>
      </c>
      <c r="AM84" s="1000" cm="1">
        <f t="array" aca="1" ref="AM84" ca="1">IF(NPSwitch=1,_xll.TR(AM$7,AM$6,"Sdate=#1 Period=#2 Scale=6 NULL=BLANK",,$D84,$O$4),AM84)</f>
        <v>10308.584771809999</v>
      </c>
      <c r="AN84" s="1000" cm="1">
        <f t="array" aca="1" ref="AN84" ca="1">IF(NPSwitch=1,_xll.TR(AN$7,AN$6,"Sdate=#1 Period=#2 Scale=6 NULL=BLANK",,$D84,$O$4),AN84)</f>
        <v>11955.71429595</v>
      </c>
      <c r="AO84" s="1000" cm="1">
        <f t="array" aca="1" ref="AO84" ca="1">IF(NPSwitch=1,_xll.TR(AO$7,AO$6,"Sdate=#1 Period=#2 Scale=6 NULL=BLANK",,$D84,$O$4),AO84)</f>
        <v>30790.138454520002</v>
      </c>
      <c r="AP84" s="1000" cm="1">
        <f t="array" aca="1" ref="AP84" ca="1">IF(NPSwitch=1,_xll.TR(AP$7,AP$6,"Sdate=#1 Period=#2 Scale=6 NULL=BLANK",,$D84,$O$4),AP84)</f>
        <v>17205.340156800001</v>
      </c>
      <c r="AQ84" s="1000" cm="1">
        <f t="array" aca="1" ref="AQ84" ca="1">IF(NPSwitch=1,_xll.TR(AQ$7,AQ$6,"Sdate=#1 Period=#2 Scale=6 NULL=BLANK",,$D84,$O$4),AQ84)</f>
        <v>18226.922671</v>
      </c>
      <c r="AS84" s="765" cm="1">
        <f t="array" aca="1" ref="AS84" ca="1">IF(NPSwitch=1,_xll.TR(AS$7,AS$6,"Sdate=#1 Period=#2 NULL=BLANK Scale=6",,$D84,$AS$4),AS84)</f>
        <v>21.491666666666699</v>
      </c>
      <c r="AT84" s="765" cm="1">
        <f t="array" aca="1" ref="AT84" ca="1">IF(NPSwitch=1,_xll.TR(AT$7,AT$6,"Sdate=#1 Period=#2 NULL=BLANK Scale=6",,$D84,$AS$4),AT84)</f>
        <v>13.625</v>
      </c>
      <c r="AU84" s="765" t="str" cm="1">
        <f t="array" aca="1" ref="AU84" ca="1">IF(NPSwitch=1,_xll.TR(AU$7,AU$6,"Sdate=#1 Period=#2 NULL=BLANK Scale=6",,$D84,$AS$4),AU84)</f>
        <v/>
      </c>
      <c r="AV84" s="765" t="str" cm="1">
        <f t="array" aca="1" ref="AV84" ca="1">IF(NPSwitch=1,_xll.TR(AV$7,AV$6,"Sdate=#1 Period=#2 NULL=BLANK Scale=6",,$D84,$AS$4),AV84)</f>
        <v/>
      </c>
      <c r="AW84" s="765" cm="1">
        <f t="array" aca="1" ref="AW84" ca="1">IF(NPSwitch=1,_xll.TR(AW$7,AW$6,"Sdate=#1 Period=#2 NULL=BLANK Scale=6",,$D84,$AS$4),AW84)</f>
        <v>8.9875000000000007</v>
      </c>
      <c r="AX84" s="765" cm="1">
        <f t="array" aca="1" ref="AX84" ca="1">IF(NPSwitch=1,_xll.TR(AX$7,AX$6,"Sdate=#1 Period=#2 NULL=BLANK Scale=6",,$D84,$AS$4),AX84)</f>
        <v>12.7083333333333</v>
      </c>
      <c r="AY84" s="765" cm="1">
        <f t="array" aca="1" ref="AY84" ca="1">IF(NPSwitch=1,_xll.TR(AY$7,AY$6,"Sdate=#1 Period=#2 NULL=BLANK Scale=6",,$D84,$AS$4),AY84)</f>
        <v>20.430554999999998</v>
      </c>
      <c r="AZ84" s="765" cm="1">
        <f t="array" aca="1" ref="AZ84" ca="1">IF(NPSwitch=1,_xll.TR(AZ$7,AZ$6,"Sdate=#1 Period=#2 NULL=BLANK Scale=6",,$D84,$AS$4),AZ84)</f>
        <v>8.9152791666666698</v>
      </c>
      <c r="BA84" s="765" cm="1">
        <f t="array" aca="1" ref="BA84" ca="1">IF(NPSwitch=1,_xll.TR(BA$7,BA$6,"Sdate=#1 Period=#2 NULL=BLANK Scale=6",,$D84,$AS$4),BA84)</f>
        <v>11.4777758333333</v>
      </c>
      <c r="BB84" s="1002"/>
      <c r="BO84" s="765" cm="1">
        <f t="array" aca="1" ref="BO84" ca="1">IF(NPSwitch=1,_xll.TR(BO$7,BO$6,"Sdate=#1 Period=#2 NULL=BLANK Scale=6",,$D84,$AS$4),BO84)</f>
        <v>30385</v>
      </c>
      <c r="BP84" s="765" cm="1">
        <f t="array" aca="1" ref="BP84" ca="1">IF(NPSwitch=1,_xll.TR(BP$7,BP$6,"Sdate=#1 Period=#2 NULL=BLANK Scale=6",,$D84,$AS$4),BP84)</f>
        <v>2742.0549999999998</v>
      </c>
      <c r="BQ84" s="765" cm="1">
        <f t="array" aca="1" ref="BQ84" ca="1">IF(NPSwitch=1,_xll.TR(BQ$7,BQ$6,"Sdate=#1 Period=#2 NULL=BLANK Scale=6",,$D84,$AS$4),BQ84)</f>
        <v>3054</v>
      </c>
      <c r="BR84" s="765" cm="1">
        <f t="array" aca="1" ref="BR84" ca="1">IF(NPSwitch=1,_xll.TR(BR$7,BR$6,"Sdate=#1 Period=#2 NULL=BLANK Scale=6",,$D84,$AS$4),BR84)</f>
        <v>2996.4</v>
      </c>
      <c r="BS84" s="765" cm="1">
        <f t="array" aca="1" ref="BS84" ca="1">IF(NPSwitch=1,_xll.TR(BS$7,BS$6,"Sdate=#1 Period=#2 NULL=BLANK Scale=6",,$D84,$AS$4),BS84)</f>
        <v>8211</v>
      </c>
      <c r="BT84" s="765" cm="1">
        <f t="array" aca="1" ref="BT84" ca="1">IF(NPSwitch=1,_xll.TR(BT$7,BT$6,"Sdate=#1 Period=#2 NULL=BLANK Scale=6",,$D84,$AS$4),BT84)</f>
        <v>2528.5</v>
      </c>
      <c r="BU84" s="765" cm="1">
        <f t="array" aca="1" ref="BU84" ca="1">IF(NPSwitch=1,_xll.TR(BU$7,BU$6,"Sdate=#1 Period=#2 NULL=BLANK Scale=6",,$D84,$AS$4),BU84)</f>
        <v>14345</v>
      </c>
      <c r="BV84" s="765" cm="1">
        <f t="array" aca="1" ref="BV84" ca="1">IF(NPSwitch=1,_xll.TR(BV$7,BV$6,"Sdate=#1 Period=#2 NULL=BLANK Scale=6",,$D84,$AS$4),BV84)</f>
        <v>10729</v>
      </c>
      <c r="BW84" s="765" cm="1">
        <f t="array" aca="1" ref="BW84" ca="1">IF(NPSwitch=1,_xll.TR(BW$7,BW$6,"Sdate=#1 Period=#2 NULL=BLANK Scale=6",,$D84,$AS$4),BW84)</f>
        <v>9075</v>
      </c>
      <c r="BY84" s="765" cm="1">
        <f t="array" aca="1" ref="BY84" ca="1">IF(NPSwitch=1,_xll.TR(BY$7,BY$6,"Sdate=#1 Period=#2 NULL=BLANK Scale=6",,$D84,$AS$4),BY84)</f>
        <v>23209.75</v>
      </c>
      <c r="BZ84" s="765" cm="1">
        <f t="array" aca="1" ref="BZ84" ca="1">IF(NPSwitch=1,_xll.TR(BZ$7,BZ$6,"Sdate=#1 Period=#2 NULL=BLANK Scale=6",,$D84,$AS$4),BZ84)</f>
        <v>6382.2545</v>
      </c>
      <c r="CA84" s="765" cm="1">
        <f t="array" aca="1" ref="CA84" ca="1">IF(NPSwitch=1,_xll.TR(CA$7,CA$6,"Sdate=#1 Period=#2 NULL=BLANK Scale=6",,$D84,$AS$4),CA84)</f>
        <v>6120</v>
      </c>
      <c r="CB84" s="765" cm="1">
        <f t="array" aca="1" ref="CB84" ca="1">IF(NPSwitch=1,_xll.TR(CB$7,CB$6,"Sdate=#1 Period=#2 NULL=BLANK Scale=6",,$D84,$AS$4),CB84)</f>
        <v>1976.7750000000001</v>
      </c>
      <c r="CC84" s="765" cm="1">
        <f t="array" aca="1" ref="CC84" ca="1">IF(NPSwitch=1,_xll.TR(CC$7,CC$6,"Sdate=#1 Period=#2 NULL=BLANK Scale=6",,$D84,$AS$4),CC84)</f>
        <v>6074.25</v>
      </c>
      <c r="CD84" s="765" cm="1">
        <f t="array" aca="1" ref="CD84" ca="1">IF(NPSwitch=1,_xll.TR(CD$7,CD$6,"Sdate=#1 Period=#2 NULL=BLANK Scale=6",,$D84,$AS$4),CD84)</f>
        <v>3991.5749999999998</v>
      </c>
      <c r="CE84" s="765" cm="1">
        <f t="array" aca="1" ref="CE84" ca="1">IF(NPSwitch=1,_xll.TR(CE$7,CE$6,"Sdate=#1 Period=#2 NULL=BLANK Scale=6",,$D84,$AS$4),CE84)</f>
        <v>9776.5</v>
      </c>
      <c r="CF84" s="765" cm="1">
        <f t="array" aca="1" ref="CF84" ca="1">IF(NPSwitch=1,_xll.TR(CF$7,CF$6,"Sdate=#1 Period=#2 NULL=BLANK Scale=6",,$D84,$AS$4),CF84)</f>
        <v>15208</v>
      </c>
      <c r="CG84" s="765" cm="1">
        <f t="array" aca="1" ref="CG84" ca="1">IF(NPSwitch=1,_xll.TR(CG$7,CG$6,"Sdate=#1 Period=#2 NULL=BLANK Scale=6",,$D84,$AS$4),CG84)</f>
        <v>11298.25</v>
      </c>
      <c r="CI84" s="1000" cm="1">
        <f t="array" aca="1" ref="CI84" ca="1">IF(NPSwitch=1,_xll.TR(CI$7,CI$6,"Sdate=#1 Period=#2 NULL=BLANK Scale=6",,$D84,$AS$4),CI84)</f>
        <v>8396</v>
      </c>
      <c r="CJ84" s="1000" cm="1">
        <f t="array" aca="1" ref="CJ84" ca="1">IF(NPSwitch=1,_xll.TR(CJ$7,CJ$6,"Sdate=#1 Period=#2 NULL=BLANK Scale=6",,$D84,$AS$4),CJ84)</f>
        <v>708.82899999999995</v>
      </c>
      <c r="CK84" s="1000" cm="1">
        <f t="array" aca="1" ref="CK84" ca="1">IF(NPSwitch=1,_xll.TR(CK$7,CK$6,"Sdate=#1 Period=#2 NULL=BLANK Scale=6",,$D84,$AS$4),CK84)</f>
        <v>493</v>
      </c>
      <c r="CL84" s="1000" cm="1">
        <f t="array" aca="1" ref="CL84" ca="1">IF(NPSwitch=1,_xll.TR(CL$7,CL$6,"Sdate=#1 Period=#2 NULL=BLANK Scale=6",,$D84,$AS$4),CL84)</f>
        <v>408.3</v>
      </c>
      <c r="CM84" s="1000" cm="1">
        <f t="array" aca="1" ref="CM84" ca="1">IF(NPSwitch=1,_xll.TR(CM$7,CM$6,"Sdate=#1 Period=#2 NULL=BLANK Scale=6",,$D84,$AS$4),CM84)</f>
        <v>1125</v>
      </c>
      <c r="CN84" s="1000" cm="1">
        <f t="array" aca="1" ref="CN84" ca="1">IF(NPSwitch=1,_xll.TR(CN$7,CN$6,"Sdate=#1 Period=#2 NULL=BLANK Scale=6",,$D84,$AS$4),CN84)</f>
        <v>414.5</v>
      </c>
      <c r="CO84" s="1000" cm="1">
        <f t="array" aca="1" ref="CO84" ca="1">IF(NPSwitch=1,_xll.TR(CO$7,CO$6,"Sdate=#1 Period=#2 NULL=BLANK Scale=6",,$D84,$AS$4),CO84)</f>
        <v>2683</v>
      </c>
      <c r="CP84" s="1000" cm="1">
        <f t="array" aca="1" ref="CP84" ca="1">IF(NPSwitch=1,_xll.TR(CP$7,CP$6,"Sdate=#1 Period=#2 NULL=BLANK Scale=6",,$D84,$AS$4),CP84)</f>
        <v>2143</v>
      </c>
      <c r="CQ84" s="1000" cm="1">
        <f t="array" aca="1" ref="CQ84" ca="1">IF(NPSwitch=1,_xll.TR(CQ$7,CQ$6,"Sdate=#1 Period=#2 NULL=BLANK Scale=6",,$D84,$AS$4),CQ84)</f>
        <v>2103</v>
      </c>
      <c r="CS84" s="1000" cm="1">
        <f t="array" aca="1" ref="CS84" ca="1">IF(NPSwitch=1,_xll.TR(CS$7,CS$6,"Sdate=#1 Period=#2 NULL=BLANK Scale=6",,$D84,$AS$4),CS84)</f>
        <v>8585.5</v>
      </c>
      <c r="CT84" s="1000" cm="1">
        <f t="array" aca="1" ref="CT84" ca="1">IF(NPSwitch=1,_xll.TR(CT$7,CT$6,"Sdate=#1 Period=#2 NULL=BLANK Scale=6",,$D84,$AS$4),CT84)</f>
        <v>2358.1547500000001</v>
      </c>
      <c r="CU84" s="1000" cm="1">
        <f t="array" aca="1" ref="CU84" ca="1">IF(NPSwitch=1,_xll.TR(CU$7,CU$6,"Sdate=#1 Period=#2 NULL=BLANK Scale=6",,$D84,$AS$4),CU84)</f>
        <v>2115.25</v>
      </c>
      <c r="CV84" s="1000" cm="1">
        <f t="array" aca="1" ref="CV84" ca="1">IF(NPSwitch=1,_xll.TR(CV$7,CV$6,"Sdate=#1 Period=#2 NULL=BLANK Scale=6",,$D84,$AS$4),CV84)</f>
        <v>554.65</v>
      </c>
      <c r="CW84" s="1000" cm="1">
        <f t="array" aca="1" ref="CW84" ca="1">IF(NPSwitch=1,_xll.TR(CW$7,CW$6,"Sdate=#1 Period=#2 NULL=BLANK Scale=6",,$D84,$AS$4),CW84)</f>
        <v>782.52499999999998</v>
      </c>
      <c r="CX84" s="1000" cm="1">
        <f t="array" aca="1" ref="CX84" ca="1">IF(NPSwitch=1,_xll.TR(CX$7,CX$6,"Sdate=#1 Period=#2 NULL=BLANK Scale=6",,$D84,$AS$4),CX84)</f>
        <v>2806.75</v>
      </c>
      <c r="CY84" s="1000" cm="1">
        <f t="array" aca="1" ref="CY84" ca="1">IF(NPSwitch=1,_xll.TR(CY$7,CY$6,"Sdate=#1 Period=#2 NULL=BLANK Scale=6",,$D84,$AS$4),CY84)</f>
        <v>6614.5</v>
      </c>
      <c r="CZ84" s="1000" cm="1">
        <f t="array" aca="1" ref="CZ84" ca="1">IF(NPSwitch=1,_xll.TR(CZ$7,CZ$6,"Sdate=#1 Period=#2 NULL=BLANK Scale=6",,$D84,$AS$4),CZ84)</f>
        <v>5239</v>
      </c>
      <c r="DA84" s="1000" cm="1">
        <f t="array" aca="1" ref="DA84" ca="1">IF(NPSwitch=1,_xll.TR(DA$7,DA$6,"Sdate=#1 Period=#2 NULL=BLANK Scale=6",,$D84,$AS$4),DA84)</f>
        <v>3578.5</v>
      </c>
      <c r="DB84" s="1000" cm="1">
        <f t="array" aca="1" ref="DB84" ca="1">IF(NPSwitch=1,_xll.TR(DB$7,DB$6,"Sdate=#1 Period=#2 NULL=BLANK Scale=6",,$D84,$AS$4),DB84)</f>
        <v>25783</v>
      </c>
      <c r="DC84" s="1000" t="str" cm="1">
        <f t="array" aca="1" ref="DC84" ca="1">IF(NPSwitch=1,_xll.TR(DC$7,DC$6,"Sdate=#1 Period=#2 NULL=BLANK Scale=6",,$D84,$AS$4),DC84)</f>
        <v/>
      </c>
      <c r="DD84" s="1000" cm="1">
        <f t="array" aca="1" ref="DD84" ca="1">IF(NPSwitch=1,_xll.TR(DD$7,DD$6,"Sdate=#1 Period=#2 NULL=BLANK Scale=6",,$D84,$AS$4),DD84)</f>
        <v>10059</v>
      </c>
      <c r="DE84" s="1000" t="str" cm="1">
        <f t="array" aca="1" ref="DE84" ca="1">IF(NPSwitch=1,_xll.TR(DE$7,DE$6,"Sdate=#1 Period=#2 NULL=BLANK Scale=6",,$D84,$AS$4),DE84)</f>
        <v/>
      </c>
      <c r="DF84" s="1000" cm="1">
        <f t="array" aca="1" ref="DF84" ca="1">IF(NPSwitch=1,_xll.TR(DF$7,DF$6,"Sdate=#1 Period=#2 NULL=BLANK Scale=6",,$D84,$AS$4),DF84)</f>
        <v>554.65</v>
      </c>
      <c r="DG84" s="1000" cm="1">
        <f t="array" aca="1" ref="DG84" ca="1">IF(NPSwitch=1,_xll.TR(DG$7,DG$6,"Sdate=#1 Period=#2 NULL=BLANK Scale=6",,$D84,$AS$4),DG84)</f>
        <v>3973.75</v>
      </c>
      <c r="DH84" s="1000" cm="1">
        <f t="array" aca="1" ref="DH84" ca="1">IF(NPSwitch=1,_xll.TR(DH$7,DH$6,"Sdate=#1 Period=#2 NULL=BLANK Scale=6",,$D84,$AS$4),DH84)</f>
        <v>5623.5692499999996</v>
      </c>
      <c r="FN84" s="3" t="s">
        <v>1584</v>
      </c>
    </row>
    <row r="85" spans="3:170">
      <c r="C85" s="969">
        <f t="shared" ref="C85:C107" si="47">+EOMONTH(C84,3)</f>
        <v>42916</v>
      </c>
      <c r="D85" s="974">
        <f t="shared" si="46"/>
        <v>42961</v>
      </c>
      <c r="E85" s="765" cm="1">
        <f t="array" aca="1" ref="E85" ca="1">IF(NPSwitch=1,_xll.TR(E$7,E$6,"Sdate=#1 Period=#2 NULL=BLANK",,$D85,$E$4),E85)</f>
        <v>14.2063297993021</v>
      </c>
      <c r="F85" s="765" cm="1">
        <f t="array" aca="1" ref="F85" ca="1">IF(NPSwitch=1,_xll.TR(F$7,F$6,"Sdate=#1 Period=#2 NULL=BLANK",,$D85,$E$4),F85)</f>
        <v>14.223353862889301</v>
      </c>
      <c r="G85" s="765" cm="1">
        <f t="array" aca="1" ref="G85" ca="1">IF(NPSwitch=1,_xll.TR(G$7,G$6,"Sdate=#1 Period=#2 NULL=BLANK",,$D85,$E$4),G85)</f>
        <v>9.1625953672298603</v>
      </c>
      <c r="H85" s="765" cm="1">
        <f t="array" aca="1" ref="H85" ca="1">IF(NPSwitch=1,_xll.TR(H$7,H$6,"Sdate=#1 Period=#2 NULL=BLANK",,$D85,$E$4),H85)</f>
        <v>9.5664800503901795</v>
      </c>
      <c r="I85" s="765" cm="1">
        <f t="array" aca="1" ref="I85" ca="1">IF(NPSwitch=1,_xll.TR(I$7,I$6,"Sdate=#1 Period=#2 NULL=BLANK",,$D85,$E$4),I85)</f>
        <v>7.4597784732890604</v>
      </c>
      <c r="J85" s="765" cm="1">
        <f t="array" aca="1" ref="J85" ca="1">IF(NPSwitch=1,_xll.TR(J$7,J$6,"Sdate=#1 Period=#2 NULL=BLANK",,$D85,$E$4),J85)</f>
        <v>13.472768202536599</v>
      </c>
      <c r="K85" s="765" cm="1">
        <f t="array" aca="1" ref="K85" ca="1">IF(NPSwitch=1,_xll.TR(K$7,K$6,"Sdate=#1 Period=#2 NULL=BLANK",,$D85,$E$4),K85)</f>
        <v>10.6626450282237</v>
      </c>
      <c r="L85" s="765" cm="1">
        <f t="array" aca="1" ref="L85" ca="1">IF(NPSwitch=1,_xll.TR(L$7,L$6,"Sdate=#1 Period=#2 NULL=BLANK",,$D85,$E$4),L85)</f>
        <v>6.8798223790928201</v>
      </c>
      <c r="M85" s="765" cm="1">
        <f t="array" aca="1" ref="M85" ca="1">IF(NPSwitch=1,_xll.TR(M$7,M$6,"Sdate=#1 Period=#2 NULL=BLANK",,$D85,$E$4),M85)</f>
        <v>8.3615309094421608</v>
      </c>
      <c r="N85" s="1002">
        <f t="shared" ca="1" si="45"/>
        <v>9.5340149167937032</v>
      </c>
      <c r="O85" s="1000" cm="1">
        <f t="array" aca="1" ref="O85" ca="1">IF(NPSwitch=1,_xll.TR(O$7,O$6,"Sdate=#1 Period=#2 Scale=6 NULL=BLANK",,$D85,$O$4),O85)</f>
        <v>123751.60327339001</v>
      </c>
      <c r="P85" s="1000" cm="1">
        <f t="array" aca="1" ref="P85" ca="1">IF(NPSwitch=1,_xll.TR(P$7,P$6,"Sdate=#1 Period=#2 Scale=6 NULL=BLANK",,$D85,$O$4),P85)</f>
        <v>12243.69322005</v>
      </c>
      <c r="Q85" s="1000" cm="1">
        <f t="array" aca="1" ref="Q85" ca="1">IF(NPSwitch=1,_xll.TR(Q$7,Q$6,"Sdate=#1 Period=#2 Scale=6 NULL=BLANK",,$D85,$O$4),Q85)</f>
        <v>3819.0217392</v>
      </c>
      <c r="R85" s="1000" cm="1">
        <f t="array" aca="1" ref="R85" ca="1">IF(NPSwitch=1,_xll.TR(R$7,R$6,"Sdate=#1 Period=#2 Scale=6 NULL=BLANK",,$D85,$O$4),R85)</f>
        <v>2990.2985561599999</v>
      </c>
      <c r="S85" s="1000" cm="1">
        <f t="array" aca="1" ref="S85" ca="1">IF(NPSwitch=1,_xll.TR(S$7,S$6,"Sdate=#1 Period=#2 Scale=6 NULL=BLANK",,$D85,$O$4),S85)</f>
        <v>6142.1680468200002</v>
      </c>
      <c r="T85" s="1000" cm="1">
        <f t="array" aca="1" ref="T85" ca="1">IF(NPSwitch=1,_xll.TR(T$7,T$6,"Sdate=#1 Period=#2 Scale=6 NULL=BLANK",,$D85,$O$4),T85)</f>
        <v>11179.6014731999</v>
      </c>
      <c r="U85" s="1000" cm="1">
        <f t="array" aca="1" ref="U85" ca="1">IF(NPSwitch=1,_xll.TR(U$7,U$6,"Sdate=#1 Period=#2 Scale=6 NULL=BLANK",,$D85,$O$4),U85)</f>
        <v>26304.566236800001</v>
      </c>
      <c r="V85" s="1000" cm="1">
        <f t="array" aca="1" ref="V85" ca="1">IF(NPSwitch=1,_xll.TR(V$7,V$6,"Sdate=#1 Period=#2 Scale=6 NULL=BLANK",,$D85,$O$4),V85)</f>
        <v>12927.5103936</v>
      </c>
      <c r="W85" s="1000" cm="1">
        <f t="array" aca="1" ref="W85" ca="1">IF(NPSwitch=1,_xll.TR(W$7,W$6,"Sdate=#1 Period=#2 Scale=6 NULL=BLANK",,$D85,$O$4),W85)</f>
        <v>12207.51279748</v>
      </c>
      <c r="X85" s="998"/>
      <c r="Y85" s="1000" cm="1">
        <f t="array" aca="1" ref="Y85" ca="1">IF(NPSwitch=1,_xll.TR(Y$7,Y$6,"Sdate=#1 Period=#2 Scale=6 NULL=BLANK",,$D85,$O$4),Y85)</f>
        <v>2613</v>
      </c>
      <c r="Z85" s="1000" cm="1">
        <f t="array" aca="1" ref="Z85" ca="1">IF(NPSwitch=1,_xll.TR(Z$7,Z$6,"Sdate=#1 Period=#2 Scale=6 NULL=BLANK",,$D85,$O$4),Z85)</f>
        <v>1191.2090000000001</v>
      </c>
      <c r="AA85" s="1000" cm="1">
        <f t="array" aca="1" ref="AA85" ca="1">IF(NPSwitch=1,_xll.TR(AA$7,AA$6,"Sdate=#1 Period=#2 Scale=6 NULL=BLANK",,$D85,$O$4),AA85)</f>
        <v>704.5</v>
      </c>
      <c r="AB85" s="1000" cm="1">
        <f t="array" aca="1" ref="AB85" ca="1">IF(NPSwitch=1,_xll.TR(AB$7,AB$6,"Sdate=#1 Period=#2 Scale=6 NULL=BLANK",,$D85,$O$4),AB85)</f>
        <v>196.625</v>
      </c>
      <c r="AC85" s="1000" cm="1">
        <f t="array" aca="1" ref="AC85" ca="1">IF(NPSwitch=1,_xll.TR(AC$7,AC$6,"Sdate=#1 Period=#2 Scale=6 NULL=BLANK",,$D85,$O$4),AC85)</f>
        <v>447.5</v>
      </c>
      <c r="AD85" s="1000" cm="1">
        <f t="array" aca="1" ref="AD85" ca="1">IF(NPSwitch=1,_xll.TR(AD$7,AD$6,"Sdate=#1 Period=#2 Scale=6 NULL=BLANK",,$D85,$O$4),AD85)</f>
        <v>101.05</v>
      </c>
      <c r="AE85" s="1000" cm="1">
        <f t="array" aca="1" ref="AE85" ca="1">IF(NPSwitch=1,_xll.TR(AE$7,AE$6,"Sdate=#1 Period=#2 Scale=6 NULL=BLANK",,$D85,$O$4),AE85)</f>
        <v>1461</v>
      </c>
      <c r="AF85" s="1000" cm="1">
        <f t="array" aca="1" ref="AF85" ca="1">IF(NPSwitch=1,_xll.TR(AF$7,AF$6,"Sdate=#1 Period=#2 Scale=6 NULL=BLANK",,$D85,$O$4),AF85)</f>
        <v>1069.75</v>
      </c>
      <c r="AG85" s="1000" cm="1">
        <f t="array" aca="1" ref="AG85" ca="1">IF(NPSwitch=1,_xll.TR(AG$7,AG$6,"Sdate=#1 Period=#2 Scale=6 NULL=BLANK",,$D85,$O$4),AG85)</f>
        <v>201.75</v>
      </c>
      <c r="AH85" s="998"/>
      <c r="AI85" s="1000" cm="1">
        <f t="array" aca="1" ref="AI85" ca="1">IF(NPSwitch=1,_xll.TR(AI$7,AI$6,"Sdate=#1 Period=#2 Scale=6 NULL=BLANK",,$D85,$O$4),AI85)</f>
        <v>132311.60327339001</v>
      </c>
      <c r="AJ85" s="1000" cm="1">
        <f t="array" aca="1" ref="AJ85" ca="1">IF(NPSwitch=1,_xll.TR(AJ$7,AJ$6,"Sdate=#1 Period=#2 Scale=6 NULL=BLANK",,$D85,$O$4),AJ85)</f>
        <v>13104.28622005</v>
      </c>
      <c r="AK85" s="1000" cm="1">
        <f t="array" aca="1" ref="AK85" ca="1">IF(NPSwitch=1,_xll.TR(AK$7,AK$6,"Sdate=#1 Period=#2 Scale=6 NULL=BLANK",,$D85,$O$4),AK85)</f>
        <v>6140.0217392000004</v>
      </c>
      <c r="AL85" s="1000" cm="1">
        <f t="array" aca="1" ref="AL85" ca="1">IF(NPSwitch=1,_xll.TR(AL$7,AL$6,"Sdate=#1 Period=#2 Scale=6 NULL=BLANK",,$D85,$O$4),AL85)</f>
        <v>4200.09855616</v>
      </c>
      <c r="AM85" s="1000" cm="1">
        <f t="array" aca="1" ref="AM85" ca="1">IF(NPSwitch=1,_xll.TR(AM$7,AM$6,"Sdate=#1 Period=#2 Scale=6 NULL=BLANK",,$D85,$O$4),AM85)</f>
        <v>9989.1680468199993</v>
      </c>
      <c r="AN85" s="1000" cm="1">
        <f t="array" aca="1" ref="AN85" ca="1">IF(NPSwitch=1,_xll.TR(AN$7,AN$6,"Sdate=#1 Period=#2 Scale=6 NULL=BLANK",,$D85,$O$4),AN85)</f>
        <v>12866.0014732</v>
      </c>
      <c r="AO85" s="1000" cm="1">
        <f t="array" aca="1" ref="AO85" ca="1">IF(NPSwitch=1,_xll.TR(AO$7,AO$6,"Sdate=#1 Period=#2 Scale=6 NULL=BLANK",,$D85,$O$4),AO85)</f>
        <v>29409.566236800001</v>
      </c>
      <c r="AP85" s="1000" cm="1">
        <f t="array" aca="1" ref="AP85" ca="1">IF(NPSwitch=1,_xll.TR(AP$7,AP$6,"Sdate=#1 Period=#2 Scale=6 NULL=BLANK",,$D85,$O$4),AP85)</f>
        <v>17224.510393600001</v>
      </c>
      <c r="AQ85" s="1000" cm="1">
        <f t="array" aca="1" ref="AQ85" ca="1">IF(NPSwitch=1,_xll.TR(AQ$7,AQ$6,"Sdate=#1 Period=#2 Scale=6 NULL=BLANK",,$D85,$O$4),AQ85)</f>
        <v>18944.512797480002</v>
      </c>
      <c r="AS85" s="765" cm="1">
        <f t="array" aca="1" ref="AS85" ca="1">IF(NPSwitch=1,_xll.TR(AS$7,AS$6,"Sdate=#1 Period=#2 NULL=BLANK Scale=6",,$D85,$AS$4),AS85)</f>
        <v>26.4</v>
      </c>
      <c r="AT85" s="765" cm="1">
        <f t="array" aca="1" ref="AT85" ca="1">IF(NPSwitch=1,_xll.TR(AT$7,AT$6,"Sdate=#1 Period=#2 NULL=BLANK Scale=6",,$D85,$AS$4),AT85)</f>
        <v>10.1</v>
      </c>
      <c r="AU85" s="765" t="str" cm="1">
        <f t="array" aca="1" ref="AU85" ca="1">IF(NPSwitch=1,_xll.TR(AU$7,AU$6,"Sdate=#1 Period=#2 NULL=BLANK Scale=6",,$D85,$AS$4),AU85)</f>
        <v/>
      </c>
      <c r="AV85" s="765" t="str" cm="1">
        <f t="array" aca="1" ref="AV85" ca="1">IF(NPSwitch=1,_xll.TR(AV$7,AV$6,"Sdate=#1 Period=#2 NULL=BLANK Scale=6",,$D85,$AS$4),AV85)</f>
        <v/>
      </c>
      <c r="AW85" s="765" t="str" cm="1">
        <f t="array" aca="1" ref="AW85" ca="1">IF(NPSwitch=1,_xll.TR(AW$7,AW$6,"Sdate=#1 Period=#2 NULL=BLANK Scale=6",,$D85,$AS$4),AW85)</f>
        <v/>
      </c>
      <c r="AX85" s="765" cm="1">
        <f t="array" aca="1" ref="AX85" ca="1">IF(NPSwitch=1,_xll.TR(AX$7,AX$6,"Sdate=#1 Period=#2 NULL=BLANK Scale=6",,$D85,$AS$4),AX85)</f>
        <v>10.9</v>
      </c>
      <c r="AY85" s="765" cm="1">
        <f t="array" aca="1" ref="AY85" ca="1">IF(NPSwitch=1,_xll.TR(AY$7,AY$6,"Sdate=#1 Period=#2 NULL=BLANK Scale=6",,$D85,$AS$4),AY85)</f>
        <v>15.977776666666699</v>
      </c>
      <c r="AZ85" s="765" cm="1">
        <f t="array" aca="1" ref="AZ85" ca="1">IF(NPSwitch=1,_xll.TR(AZ$7,AZ$6,"Sdate=#1 Period=#2 NULL=BLANK Scale=6",,$D85,$AS$4),AZ85)</f>
        <v>9.3849999999999998</v>
      </c>
      <c r="BA85" s="765" cm="1">
        <f t="array" aca="1" ref="BA85" ca="1">IF(NPSwitch=1,_xll.TR(BA$7,BA$6,"Sdate=#1 Period=#2 NULL=BLANK Scale=6",,$D85,$AS$4),BA85)</f>
        <v>12.6777766666667</v>
      </c>
      <c r="BB85" s="1002"/>
      <c r="BO85" s="765" cm="1">
        <f t="array" aca="1" ref="BO85" ca="1">IF(NPSwitch=1,_xll.TR(BO$7,BO$6,"Sdate=#1 Period=#2 NULL=BLANK Scale=6",,$D85,$AS$4),BO85)</f>
        <v>30533</v>
      </c>
      <c r="BP85" s="765" cm="1">
        <f t="array" aca="1" ref="BP85" ca="1">IF(NPSwitch=1,_xll.TR(BP$7,BP$6,"Sdate=#1 Period=#2 NULL=BLANK Scale=6",,$D85,$AS$4),BP85)</f>
        <v>2809.9859999999999</v>
      </c>
      <c r="BQ85" s="765" cm="1">
        <f t="array" aca="1" ref="BQ85" ca="1">IF(NPSwitch=1,_xll.TR(BQ$7,BQ$6,"Sdate=#1 Period=#2 NULL=BLANK Scale=6",,$D85,$AS$4),BQ85)</f>
        <v>3134</v>
      </c>
      <c r="BR85" s="765" cm="1">
        <f t="array" aca="1" ref="BR85" ca="1">IF(NPSwitch=1,_xll.TR(BR$7,BR$6,"Sdate=#1 Period=#2 NULL=BLANK Scale=6",,$D85,$AS$4),BR85)</f>
        <v>3052.3</v>
      </c>
      <c r="BS85" s="765" cm="1">
        <f t="array" aca="1" ref="BS85" ca="1">IF(NPSwitch=1,_xll.TR(BS$7,BS$6,"Sdate=#1 Period=#2 NULL=BLANK Scale=6",,$D85,$AS$4),BS85)</f>
        <v>7721</v>
      </c>
      <c r="BT85" s="765" cm="1">
        <f t="array" aca="1" ref="BT85" ca="1">IF(NPSwitch=1,_xll.TR(BT$7,BT$6,"Sdate=#1 Period=#2 NULL=BLANK Scale=6",,$D85,$AS$4),BT85)</f>
        <v>2570</v>
      </c>
      <c r="BU85" s="765" cm="1">
        <f t="array" aca="1" ref="BU85" ca="1">IF(NPSwitch=1,_xll.TR(BU$7,BU$6,"Sdate=#1 Period=#2 NULL=BLANK Scale=6",,$D85,$AS$4),BU85)</f>
        <v>14367</v>
      </c>
      <c r="BV85" s="765" cm="1">
        <f t="array" aca="1" ref="BV85" ca="1">IF(NPSwitch=1,_xll.TR(BV$7,BV$6,"Sdate=#1 Period=#2 NULL=BLANK Scale=6",,$D85,$AS$4),BV85)</f>
        <v>10695</v>
      </c>
      <c r="BW85" s="765" cm="1">
        <f t="array" aca="1" ref="BW85" ca="1">IF(NPSwitch=1,_xll.TR(BW$7,BW$6,"Sdate=#1 Period=#2 NULL=BLANK Scale=6",,$D85,$AS$4),BW85)</f>
        <v>9197</v>
      </c>
      <c r="BY85" s="765" cm="1">
        <f t="array" aca="1" ref="BY85" ca="1">IF(NPSwitch=1,_xll.TR(BY$7,BY$6,"Sdate=#1 Period=#2 NULL=BLANK Scale=6",,$D85,$AS$4),BY85)</f>
        <v>23024.5</v>
      </c>
      <c r="BZ85" s="765" cm="1">
        <f t="array" aca="1" ref="BZ85" ca="1">IF(NPSwitch=1,_xll.TR(BZ$7,BZ$6,"Sdate=#1 Period=#2 NULL=BLANK Scale=6",,$D85,$AS$4),BZ85)</f>
        <v>6084.46425</v>
      </c>
      <c r="CA85" s="765" cm="1">
        <f t="array" aca="1" ref="CA85" ca="1">IF(NPSwitch=1,_xll.TR(CA$7,CA$6,"Sdate=#1 Period=#2 NULL=BLANK Scale=6",,$D85,$AS$4),CA85)</f>
        <v>5967.75</v>
      </c>
      <c r="CB85" s="765" cm="1">
        <f t="array" aca="1" ref="CB85" ca="1">IF(NPSwitch=1,_xll.TR(CB$7,CB$6,"Sdate=#1 Period=#2 NULL=BLANK Scale=6",,$D85,$AS$4),CB85)</f>
        <v>1997.2249999999999</v>
      </c>
      <c r="CC85" s="765" cm="1">
        <f t="array" aca="1" ref="CC85" ca="1">IF(NPSwitch=1,_xll.TR(CC$7,CC$6,"Sdate=#1 Period=#2 NULL=BLANK Scale=6",,$D85,$AS$4),CC85)</f>
        <v>5958.25</v>
      </c>
      <c r="CD85" s="765" cm="1">
        <f t="array" aca="1" ref="CD85" ca="1">IF(NPSwitch=1,_xll.TR(CD$7,CD$6,"Sdate=#1 Period=#2 NULL=BLANK Scale=6",,$D85,$AS$4),CD85)</f>
        <v>3923.45</v>
      </c>
      <c r="CE85" s="765" cm="1">
        <f t="array" aca="1" ref="CE85" ca="1">IF(NPSwitch=1,_xll.TR(CE$7,CE$6,"Sdate=#1 Period=#2 NULL=BLANK Scale=6",,$D85,$AS$4),CE85)</f>
        <v>9728.25</v>
      </c>
      <c r="CF85" s="765" cm="1">
        <f t="array" aca="1" ref="CF85" ca="1">IF(NPSwitch=1,_xll.TR(CF$7,CF$6,"Sdate=#1 Period=#2 NULL=BLANK Scale=6",,$D85,$AS$4),CF85)</f>
        <v>15194</v>
      </c>
      <c r="CG85" s="765" cm="1">
        <f t="array" aca="1" ref="CG85" ca="1">IF(NPSwitch=1,_xll.TR(CG$7,CG$6,"Sdate=#1 Period=#2 NULL=BLANK Scale=6",,$D85,$AS$4),CG85)</f>
        <v>11426.75</v>
      </c>
      <c r="CI85" s="1000" cm="1">
        <f t="array" aca="1" ref="CI85" ca="1">IF(NPSwitch=1,_xll.TR(CI$7,CI$6,"Sdate=#1 Period=#2 NULL=BLANK Scale=6",,$D85,$AS$4),CI85)</f>
        <v>8335</v>
      </c>
      <c r="CJ85" s="1000" cm="1">
        <f t="array" aca="1" ref="CJ85" ca="1">IF(NPSwitch=1,_xll.TR(CJ$7,CJ$6,"Sdate=#1 Period=#2 NULL=BLANK Scale=6",,$D85,$AS$4),CJ85)</f>
        <v>686.48800000000006</v>
      </c>
      <c r="CK85" s="1000" cm="1">
        <f t="array" aca="1" ref="CK85" ca="1">IF(NPSwitch=1,_xll.TR(CK$7,CK$6,"Sdate=#1 Period=#2 NULL=BLANK Scale=6",,$D85,$AS$4),CK85)</f>
        <v>498</v>
      </c>
      <c r="CL85" s="1000" cm="1">
        <f t="array" aca="1" ref="CL85" ca="1">IF(NPSwitch=1,_xll.TR(CL$7,CL$6,"Sdate=#1 Period=#2 NULL=BLANK Scale=6",,$D85,$AS$4),CL85)</f>
        <v>408.1</v>
      </c>
      <c r="CM85" s="1000" cm="1">
        <f t="array" aca="1" ref="CM85" ca="1">IF(NPSwitch=1,_xll.TR(CM$7,CM$6,"Sdate=#1 Period=#2 NULL=BLANK Scale=6",,$D85,$AS$4),CM85)</f>
        <v>1099</v>
      </c>
      <c r="CN85" s="1000" cm="1">
        <f t="array" aca="1" ref="CN85" ca="1">IF(NPSwitch=1,_xll.TR(CN$7,CN$6,"Sdate=#1 Period=#2 NULL=BLANK Scale=6",,$D85,$AS$4),CN85)</f>
        <v>406.6</v>
      </c>
      <c r="CO85" s="1000" cm="1">
        <f t="array" aca="1" ref="CO85" ca="1">IF(NPSwitch=1,_xll.TR(CO$7,CO$6,"Sdate=#1 Period=#2 NULL=BLANK Scale=6",,$D85,$AS$4),CO85)</f>
        <v>2647</v>
      </c>
      <c r="CP85" s="1000" cm="1">
        <f t="array" aca="1" ref="CP85" ca="1">IF(NPSwitch=1,_xll.TR(CP$7,CP$6,"Sdate=#1 Period=#2 NULL=BLANK Scale=6",,$D85,$AS$4),CP85)</f>
        <v>2227</v>
      </c>
      <c r="CQ85" s="1000" cm="1">
        <f t="array" aca="1" ref="CQ85" ca="1">IF(NPSwitch=1,_xll.TR(CQ$7,CQ$6,"Sdate=#1 Period=#2 NULL=BLANK Scale=6",,$D85,$AS$4),CQ85)</f>
        <v>2150</v>
      </c>
      <c r="CS85" s="1000" cm="1">
        <f t="array" aca="1" ref="CS85" ca="1">IF(NPSwitch=1,_xll.TR(CS$7,CS$6,"Sdate=#1 Period=#2 NULL=BLANK Scale=6",,$D85,$AS$4),CS85)</f>
        <v>8576</v>
      </c>
      <c r="CT85" s="1000" cm="1">
        <f t="array" aca="1" ref="CT85" ca="1">IF(NPSwitch=1,_xll.TR(CT$7,CT$6,"Sdate=#1 Period=#2 NULL=BLANK Scale=6",,$D85,$AS$4),CT85)</f>
        <v>2375.8290000000002</v>
      </c>
      <c r="CU85" s="1000" cm="1">
        <f t="array" aca="1" ref="CU85" ca="1">IF(NPSwitch=1,_xll.TR(CU$7,CU$6,"Sdate=#1 Period=#2 NULL=BLANK Scale=6",,$D85,$AS$4),CU85)</f>
        <v>2057</v>
      </c>
      <c r="CV85" s="1000" cm="1">
        <f t="array" aca="1" ref="CV85" ca="1">IF(NPSwitch=1,_xll.TR(CV$7,CV$6,"Sdate=#1 Period=#2 NULL=BLANK Scale=6",,$D85,$AS$4),CV85)</f>
        <v>518.125</v>
      </c>
      <c r="CW85" s="1000" cm="1">
        <f t="array" aca="1" ref="CW85" ca="1">IF(NPSwitch=1,_xll.TR(CW$7,CW$6,"Sdate=#1 Period=#2 NULL=BLANK Scale=6",,$D85,$AS$4),CW85)</f>
        <v>660.625</v>
      </c>
      <c r="CX85" s="1000" cm="1">
        <f t="array" aca="1" ref="CX85" ca="1">IF(NPSwitch=1,_xll.TR(CX$7,CX$6,"Sdate=#1 Period=#2 NULL=BLANK Scale=6",,$D85,$AS$4),CX85)</f>
        <v>2746.75</v>
      </c>
      <c r="CY85" s="1000" cm="1">
        <f t="array" aca="1" ref="CY85" ca="1">IF(NPSwitch=1,_xll.TR(CY$7,CY$6,"Sdate=#1 Period=#2 NULL=BLANK Scale=6",,$D85,$AS$4),CY85)</f>
        <v>6443.5</v>
      </c>
      <c r="CZ85" s="1000" cm="1">
        <f t="array" aca="1" ref="CZ85" ca="1">IF(NPSwitch=1,_xll.TR(CZ$7,CZ$6,"Sdate=#1 Period=#2 NULL=BLANK Scale=6",,$D85,$AS$4),CZ85)</f>
        <v>5299.25</v>
      </c>
      <c r="DA85" s="1000" cm="1">
        <f t="array" aca="1" ref="DA85" ca="1">IF(NPSwitch=1,_xll.TR(DA$7,DA$6,"Sdate=#1 Period=#2 NULL=BLANK Scale=6",,$D85,$AS$4),DA85)</f>
        <v>3597.25</v>
      </c>
      <c r="DB85" s="1000" cm="1">
        <f t="array" aca="1" ref="DB85" ca="1">IF(NPSwitch=1,_xll.TR(DB$7,DB$6,"Sdate=#1 Period=#2 NULL=BLANK Scale=6",,$D85,$AS$4),DB85)</f>
        <v>25716.75</v>
      </c>
      <c r="DC85" s="1000" t="str" cm="1">
        <f t="array" aca="1" ref="DC85" ca="1">IF(NPSwitch=1,_xll.TR(DC$7,DC$6,"Sdate=#1 Period=#2 NULL=BLANK Scale=6",,$D85,$AS$4),DC85)</f>
        <v/>
      </c>
      <c r="DD85" s="1000" cm="1">
        <f t="array" aca="1" ref="DD85" ca="1">IF(NPSwitch=1,_xll.TR(DD$7,DD$6,"Sdate=#1 Period=#2 NULL=BLANK Scale=6",,$D85,$AS$4),DD85)</f>
        <v>10276.5</v>
      </c>
      <c r="DE85" s="1000" t="str" cm="1">
        <f t="array" aca="1" ref="DE85" ca="1">IF(NPSwitch=1,_xll.TR(DE$7,DE$6,"Sdate=#1 Period=#2 NULL=BLANK Scale=6",,$D85,$AS$4),DE85)</f>
        <v/>
      </c>
      <c r="DF85" s="1000" cm="1">
        <f t="array" aca="1" ref="DF85" ca="1">IF(NPSwitch=1,_xll.TR(DF$7,DF$6,"Sdate=#1 Period=#2 NULL=BLANK Scale=6",,$D85,$AS$4),DF85)</f>
        <v>518.125</v>
      </c>
      <c r="DG85" s="1000" cm="1">
        <f t="array" aca="1" ref="DG85" ca="1">IF(NPSwitch=1,_xll.TR(DG$7,DG$6,"Sdate=#1 Period=#2 NULL=BLANK Scale=6",,$D85,$AS$4),DG85)</f>
        <v>3936.5</v>
      </c>
      <c r="DH85" s="1000" cm="1">
        <f t="array" aca="1" ref="DH85" ca="1">IF(NPSwitch=1,_xll.TR(DH$7,DH$6,"Sdate=#1 Period=#2 NULL=BLANK Scale=6",,$D85,$AS$4),DH85)</f>
        <v>6395.1212500000001</v>
      </c>
      <c r="FN85" s="3" t="s">
        <v>1585</v>
      </c>
    </row>
    <row r="86" spans="3:170">
      <c r="C86" s="969">
        <f t="shared" si="47"/>
        <v>43008</v>
      </c>
      <c r="D86" s="974">
        <f t="shared" si="46"/>
        <v>43053</v>
      </c>
      <c r="E86" s="765" cm="1">
        <f t="array" aca="1" ref="E86" ca="1">IF(NPSwitch=1,_xll.TR(E$7,E$6,"Sdate=#1 Period=#2 NULL=BLANK",,$D86,$E$4),E86)</f>
        <v>15.099686195703701</v>
      </c>
      <c r="F86" s="765" cm="1">
        <f t="array" aca="1" ref="F86" ca="1">IF(NPSwitch=1,_xll.TR(F$7,F$6,"Sdate=#1 Period=#2 NULL=BLANK",,$D86,$E$4),F86)</f>
        <v>16.582955621596501</v>
      </c>
      <c r="G86" s="765" cm="1">
        <f t="array" aca="1" ref="G86" ca="1">IF(NPSwitch=1,_xll.TR(G$7,G$6,"Sdate=#1 Period=#2 NULL=BLANK",,$D86,$E$4),G86)</f>
        <v>9.5864314822488801</v>
      </c>
      <c r="H86" s="765" cm="1">
        <f t="array" aca="1" ref="H86" ca="1">IF(NPSwitch=1,_xll.TR(H$7,H$6,"Sdate=#1 Period=#2 NULL=BLANK",,$D86,$E$4),H86)</f>
        <v>10.9229126179304</v>
      </c>
      <c r="I86" s="765" cm="1">
        <f t="array" aca="1" ref="I86" ca="1">IF(NPSwitch=1,_xll.TR(I$7,I$6,"Sdate=#1 Period=#2 NULL=BLANK",,$D86,$E$4),I86)</f>
        <v>8.0406974306395806</v>
      </c>
      <c r="J86" s="765" cm="1">
        <f t="array" aca="1" ref="J86" ca="1">IF(NPSwitch=1,_xll.TR(J$7,J$6,"Sdate=#1 Period=#2 NULL=BLANK",,$D86,$E$4),J86)</f>
        <v>12.487101344224399</v>
      </c>
      <c r="K86" s="765" cm="1">
        <f t="array" aca="1" ref="K86" ca="1">IF(NPSwitch=1,_xll.TR(K$7,K$6,"Sdate=#1 Period=#2 NULL=BLANK",,$D86,$E$4),K86)</f>
        <v>11.5155465844276</v>
      </c>
      <c r="L86" s="765" cm="1">
        <f t="array" aca="1" ref="L86" ca="1">IF(NPSwitch=1,_xll.TR(L$7,L$6,"Sdate=#1 Period=#2 NULL=BLANK",,$D86,$E$4),L86)</f>
        <v>7.1261167879991296</v>
      </c>
      <c r="M86" s="765" cm="1">
        <f t="array" aca="1" ref="M86" ca="1">IF(NPSwitch=1,_xll.TR(M$7,M$6,"Sdate=#1 Period=#2 NULL=BLANK",,$D86,$E$4),M86)</f>
        <v>8.5433213500236693</v>
      </c>
      <c r="N86" s="1002">
        <f t="shared" ca="1" si="45"/>
        <v>9.9464677079116637</v>
      </c>
      <c r="O86" s="1000" cm="1">
        <f t="array" aca="1" ref="O86" ca="1">IF(NPSwitch=1,_xll.TR(O$7,O$6,"Sdate=#1 Period=#2 Scale=6 NULL=BLANK",,$D86,$O$4),O86)</f>
        <v>136590.80740764001</v>
      </c>
      <c r="P86" s="1000" cm="1">
        <f t="array" aca="1" ref="P86" ca="1">IF(NPSwitch=1,_xll.TR(P$7,P$6,"Sdate=#1 Period=#2 Scale=6 NULL=BLANK",,$D86,$O$4),P86)</f>
        <v>15209.72636015</v>
      </c>
      <c r="Q86" s="1000" cm="1">
        <f t="array" aca="1" ref="Q86" ca="1">IF(NPSwitch=1,_xll.TR(Q$7,Q$6,"Sdate=#1 Period=#2 Scale=6 NULL=BLANK",,$D86,$O$4),Q86)</f>
        <v>4143.0486087400004</v>
      </c>
      <c r="R86" s="1000" cm="1">
        <f t="array" aca="1" ref="R86" ca="1">IF(NPSwitch=1,_xll.TR(R$7,R$6,"Sdate=#1 Period=#2 Scale=6 NULL=BLANK",,$D86,$O$4),R86)</f>
        <v>3648.3103072499998</v>
      </c>
      <c r="S86" s="1000" cm="1">
        <f t="array" aca="1" ref="S86" ca="1">IF(NPSwitch=1,_xll.TR(S$7,S$6,"Sdate=#1 Period=#2 Scale=6 NULL=BLANK",,$D86,$O$4),S86)</f>
        <v>7226.6439813300003</v>
      </c>
      <c r="T86" s="1000" cm="1">
        <f t="array" aca="1" ref="T86" ca="1">IF(NPSwitch=1,_xll.TR(T$7,T$6,"Sdate=#1 Period=#2 Scale=6 NULL=BLANK",,$D86,$O$4),T86)</f>
        <v>12487.68834382</v>
      </c>
      <c r="U86" s="1000" cm="1">
        <f t="array" aca="1" ref="U86" ca="1">IF(NPSwitch=1,_xll.TR(U$7,U$6,"Sdate=#1 Period=#2 Scale=6 NULL=BLANK",,$D86,$O$4),U86)</f>
        <v>29099.3222524499</v>
      </c>
      <c r="V86" s="1000" cm="1">
        <f t="array" aca="1" ref="V86" ca="1">IF(NPSwitch=1,_xll.TR(V$7,V$6,"Sdate=#1 Period=#2 Scale=6 NULL=BLANK",,$D86,$O$4),V86)</f>
        <v>12642.4551222551</v>
      </c>
      <c r="W86" s="1000" cm="1">
        <f t="array" aca="1" ref="W86" ca="1">IF(NPSwitch=1,_xll.TR(W$7,W$6,"Sdate=#1 Period=#2 Scale=6 NULL=BLANK",,$D86,$O$4),W86)</f>
        <v>12970.592165759899</v>
      </c>
      <c r="X86" s="998"/>
      <c r="Y86" s="1000" cm="1">
        <f t="array" aca="1" ref="Y86" ca="1">IF(NPSwitch=1,_xll.TR(Y$7,Y$6,"Sdate=#1 Period=#2 Scale=6 NULL=BLANK",,$D86,$O$4),Y86)</f>
        <v>2800.75</v>
      </c>
      <c r="Z86" s="1000" cm="1">
        <f t="array" aca="1" ref="Z86" ca="1">IF(NPSwitch=1,_xll.TR(Z$7,Z$6,"Sdate=#1 Period=#2 Scale=6 NULL=BLANK",,$D86,$O$4),Z86)</f>
        <v>1394.144</v>
      </c>
      <c r="AA86" s="1000" cm="1">
        <f t="array" aca="1" ref="AA86" ca="1">IF(NPSwitch=1,_xll.TR(AA$7,AA$6,"Sdate=#1 Period=#2 Scale=6 NULL=BLANK",,$D86,$O$4),AA86)</f>
        <v>591.75</v>
      </c>
      <c r="AB86" s="1000" cm="1">
        <f t="array" aca="1" ref="AB86" ca="1">IF(NPSwitch=1,_xll.TR(AB$7,AB$6,"Sdate=#1 Period=#2 Scale=6 NULL=BLANK",,$D86,$O$4),AB86)</f>
        <v>201.95</v>
      </c>
      <c r="AC86" s="1000" cm="1">
        <f t="array" aca="1" ref="AC86" ca="1">IF(NPSwitch=1,_xll.TR(AC$7,AC$6,"Sdate=#1 Period=#2 Scale=6 NULL=BLANK",,$D86,$O$4),AC86)</f>
        <v>447.75</v>
      </c>
      <c r="AD86" s="1000" cm="1">
        <f t="array" aca="1" ref="AD86" ca="1">IF(NPSwitch=1,_xll.TR(AD$7,AD$6,"Sdate=#1 Period=#2 Scale=6 NULL=BLANK",,$D86,$O$4),AD86)</f>
        <v>91.825000000000003</v>
      </c>
      <c r="AE86" s="1000" cm="1">
        <f t="array" aca="1" ref="AE86" ca="1">IF(NPSwitch=1,_xll.TR(AE$7,AE$6,"Sdate=#1 Period=#2 Scale=6 NULL=BLANK",,$D86,$O$4),AE86)</f>
        <v>1799.25</v>
      </c>
      <c r="AF86" s="1000" cm="1">
        <f t="array" aca="1" ref="AF86" ca="1">IF(NPSwitch=1,_xll.TR(AF$7,AF$6,"Sdate=#1 Period=#2 Scale=6 NULL=BLANK",,$D86,$O$4),AF86)</f>
        <v>1144.25</v>
      </c>
      <c r="AG86" s="1000" cm="1">
        <f t="array" aca="1" ref="AG86" ca="1">IF(NPSwitch=1,_xll.TR(AG$7,AG$6,"Sdate=#1 Period=#2 Scale=6 NULL=BLANK",,$D86,$O$4),AG86)</f>
        <v>198.75</v>
      </c>
      <c r="AH86" s="998"/>
      <c r="AI86" s="1000" cm="1">
        <f t="array" aca="1" ref="AI86" ca="1">IF(NPSwitch=1,_xll.TR(AI$7,AI$6,"Sdate=#1 Period=#2 Scale=6 NULL=BLANK",,$D86,$O$4),AI86)</f>
        <v>144892.80740764001</v>
      </c>
      <c r="AJ86" s="1000" cm="1">
        <f t="array" aca="1" ref="AJ86" ca="1">IF(NPSwitch=1,_xll.TR(AJ$7,AJ$6,"Sdate=#1 Period=#2 Scale=6 NULL=BLANK",,$D86,$O$4),AJ86)</f>
        <v>16094.669360149999</v>
      </c>
      <c r="AK86" s="1000" cm="1">
        <f t="array" aca="1" ref="AK86" ca="1">IF(NPSwitch=1,_xll.TR(AK$7,AK$6,"Sdate=#1 Period=#2 Scale=6 NULL=BLANK",,$D86,$O$4),AK86)</f>
        <v>6464.0486087400004</v>
      </c>
      <c r="AL86" s="1000" cm="1">
        <f t="array" aca="1" ref="AL86" ca="1">IF(NPSwitch=1,_xll.TR(AL$7,AL$6,"Sdate=#1 Period=#2 Scale=6 NULL=BLANK",,$D86,$O$4),AL86)</f>
        <v>4767.61030725</v>
      </c>
      <c r="AM86" s="1000" cm="1">
        <f t="array" aca="1" ref="AM86" ca="1">IF(NPSwitch=1,_xll.TR(AM$7,AM$6,"Sdate=#1 Period=#2 Scale=6 NULL=BLANK",,$D86,$O$4),AM86)</f>
        <v>10236.64398133</v>
      </c>
      <c r="AN86" s="1000" cm="1">
        <f t="array" aca="1" ref="AN86" ca="1">IF(NPSwitch=1,_xll.TR(AN$7,AN$6,"Sdate=#1 Period=#2 Scale=6 NULL=BLANK",,$D86,$O$4),AN86)</f>
        <v>14115.888343819999</v>
      </c>
      <c r="AO86" s="1000" cm="1">
        <f t="array" aca="1" ref="AO86" ca="1">IF(NPSwitch=1,_xll.TR(AO$7,AO$6,"Sdate=#1 Period=#2 Scale=6 NULL=BLANK",,$D86,$O$4),AO86)</f>
        <v>31584.322252450002</v>
      </c>
      <c r="AP86" s="1000" cm="1">
        <f t="array" aca="1" ref="AP86" ca="1">IF(NPSwitch=1,_xll.TR(AP$7,AP$6,"Sdate=#1 Period=#2 Scale=6 NULL=BLANK",,$D86,$O$4),AP86)</f>
        <v>16607.455122255</v>
      </c>
      <c r="AQ86" s="1000" cm="1">
        <f t="array" aca="1" ref="AQ86" ca="1">IF(NPSwitch=1,_xll.TR(AQ$7,AQ$6,"Sdate=#1 Period=#2 Scale=6 NULL=BLANK",,$D86,$O$4),AQ86)</f>
        <v>19545.592165760001</v>
      </c>
      <c r="AS86" s="765" cm="1">
        <f t="array" aca="1" ref="AS86" ca="1">IF(NPSwitch=1,_xll.TR(AS$7,AS$6,"Sdate=#1 Period=#2 NULL=BLANK Scale=6",,$D86,$AS$4),AS86)</f>
        <v>28.641666666666701</v>
      </c>
      <c r="AT86" s="765" cm="1">
        <f t="array" aca="1" ref="AT86" ca="1">IF(NPSwitch=1,_xll.TR(AT$7,AT$6,"Sdate=#1 Period=#2 NULL=BLANK Scale=6",,$D86,$AS$4),AT86)</f>
        <v>8.31666666666667</v>
      </c>
      <c r="AU86" s="765" t="str" cm="1">
        <f t="array" aca="1" ref="AU86" ca="1">IF(NPSwitch=1,_xll.TR(AU$7,AU$6,"Sdate=#1 Period=#2 NULL=BLANK Scale=6",,$D86,$AS$4),AU86)</f>
        <v/>
      </c>
      <c r="AV86" s="765" t="str" cm="1">
        <f t="array" aca="1" ref="AV86" ca="1">IF(NPSwitch=1,_xll.TR(AV$7,AV$6,"Sdate=#1 Period=#2 NULL=BLANK Scale=6",,$D86,$AS$4),AV86)</f>
        <v/>
      </c>
      <c r="AW86" s="765" t="str" cm="1">
        <f t="array" aca="1" ref="AW86" ca="1">IF(NPSwitch=1,_xll.TR(AW$7,AW$6,"Sdate=#1 Period=#2 NULL=BLANK Scale=6",,$D86,$AS$4),AW86)</f>
        <v/>
      </c>
      <c r="AX86" s="765" cm="1">
        <f t="array" aca="1" ref="AX86" ca="1">IF(NPSwitch=1,_xll.TR(AX$7,AX$6,"Sdate=#1 Period=#2 NULL=BLANK Scale=6",,$D86,$AS$4),AX86)</f>
        <v>9.7249999999999996</v>
      </c>
      <c r="AY86" s="765" cm="1">
        <f t="array" aca="1" ref="AY86" ca="1">IF(NPSwitch=1,_xll.TR(AY$7,AY$6,"Sdate=#1 Period=#2 NULL=BLANK Scale=6",,$D86,$AS$4),AY86)</f>
        <v>14.177777499999999</v>
      </c>
      <c r="AZ86" s="765" cm="1">
        <f t="array" aca="1" ref="AZ86" ca="1">IF(NPSwitch=1,_xll.TR(AZ$7,AZ$6,"Sdate=#1 Period=#2 NULL=BLANK Scale=6",,$D86,$AS$4),AZ86)</f>
        <v>5.81471916666667</v>
      </c>
      <c r="BA86" s="765" cm="1">
        <f t="array" aca="1" ref="BA86" ca="1">IF(NPSwitch=1,_xll.TR(BA$7,BA$6,"Sdate=#1 Period=#2 NULL=BLANK Scale=6",,$D86,$AS$4),BA86)</f>
        <v>11.7027775</v>
      </c>
      <c r="BB86" s="1002"/>
      <c r="BO86" s="765" cm="1">
        <f t="array" aca="1" ref="BO86" ca="1">IF(NPSwitch=1,_xll.TR(BO$7,BO$6,"Sdate=#1 Period=#2 NULL=BLANK Scale=6",,$D86,$AS$4),BO86)</f>
        <v>30996</v>
      </c>
      <c r="BP86" s="765" cm="1">
        <f t="array" aca="1" ref="BP86" ca="1">IF(NPSwitch=1,_xll.TR(BP$7,BP$6,"Sdate=#1 Period=#2 NULL=BLANK Scale=6",,$D86,$AS$4),BP86)</f>
        <v>2910.8420000000001</v>
      </c>
      <c r="BQ86" s="765" cm="1">
        <f t="array" aca="1" ref="BQ86" ca="1">IF(NPSwitch=1,_xll.TR(BQ$7,BQ$6,"Sdate=#1 Period=#2 NULL=BLANK Scale=6",,$D86,$AS$4),BQ86)</f>
        <v>3260</v>
      </c>
      <c r="BR86" s="765" cm="1">
        <f t="array" aca="1" ref="BR86" ca="1">IF(NPSwitch=1,_xll.TR(BR$7,BR$6,"Sdate=#1 Period=#2 NULL=BLANK Scale=6",,$D86,$AS$4),BR86)</f>
        <v>3124.1</v>
      </c>
      <c r="BS86" s="765" cm="1">
        <f t="array" aca="1" ref="BS86" ca="1">IF(NPSwitch=1,_xll.TR(BS$7,BS$6,"Sdate=#1 Period=#2 NULL=BLANK Scale=6",,$D86,$AS$4),BS86)</f>
        <v>8059</v>
      </c>
      <c r="BT86" s="765" cm="1">
        <f t="array" aca="1" ref="BT86" ca="1">IF(NPSwitch=1,_xll.TR(BT$7,BT$6,"Sdate=#1 Period=#2 NULL=BLANK Scale=6",,$D86,$AS$4),BT86)</f>
        <v>2587.4</v>
      </c>
      <c r="BU86" s="765" cm="1">
        <f t="array" aca="1" ref="BU86" ca="1">IF(NPSwitch=1,_xll.TR(BU$7,BU$6,"Sdate=#1 Period=#2 NULL=BLANK Scale=6",,$D86,$AS$4),BU86)</f>
        <v>14483</v>
      </c>
      <c r="BV86" s="765" cm="1">
        <f t="array" aca="1" ref="BV86" ca="1">IF(NPSwitch=1,_xll.TR(BV$7,BV$6,"Sdate=#1 Period=#2 NULL=BLANK Scale=6",,$D86,$AS$4),BV86)</f>
        <v>10852</v>
      </c>
      <c r="BW86" s="765" cm="1">
        <f t="array" aca="1" ref="BW86" ca="1">IF(NPSwitch=1,_xll.TR(BW$7,BW$6,"Sdate=#1 Period=#2 NULL=BLANK Scale=6",,$D86,$AS$4),BW86)</f>
        <v>9375</v>
      </c>
      <c r="BY86" s="765" cm="1">
        <f t="array" aca="1" ref="BY86" ca="1">IF(NPSwitch=1,_xll.TR(BY$7,BY$6,"Sdate=#1 Period=#2 NULL=BLANK Scale=6",,$D86,$AS$4),BY86)</f>
        <v>22888.5</v>
      </c>
      <c r="BZ86" s="765" cm="1">
        <f t="array" aca="1" ref="BZ86" ca="1">IF(NPSwitch=1,_xll.TR(BZ$7,BZ$6,"Sdate=#1 Period=#2 NULL=BLANK Scale=6",,$D86,$AS$4),BZ86)</f>
        <v>5816.5482499999998</v>
      </c>
      <c r="CA86" s="765" cm="1">
        <f t="array" aca="1" ref="CA86" ca="1">IF(NPSwitch=1,_xll.TR(CA$7,CA$6,"Sdate=#1 Period=#2 NULL=BLANK Scale=6",,$D86,$AS$4),CA86)</f>
        <v>6109</v>
      </c>
      <c r="CB86" s="765" cm="1">
        <f t="array" aca="1" ref="CB86" ca="1">IF(NPSwitch=1,_xll.TR(CB$7,CB$6,"Sdate=#1 Period=#2 NULL=BLANK Scale=6",,$D86,$AS$4),CB86)</f>
        <v>1973.45</v>
      </c>
      <c r="CC86" s="765" cm="1">
        <f t="array" aca="1" ref="CC86" ca="1">IF(NPSwitch=1,_xll.TR(CC$7,CC$6,"Sdate=#1 Period=#2 NULL=BLANK Scale=6",,$D86,$AS$4),CC86)</f>
        <v>5742.5</v>
      </c>
      <c r="CD86" s="765" cm="1">
        <f t="array" aca="1" ref="CD86" ca="1">IF(NPSwitch=1,_xll.TR(CD$7,CD$6,"Sdate=#1 Period=#2 NULL=BLANK Scale=6",,$D86,$AS$4),CD86)</f>
        <v>3859.7249999999999</v>
      </c>
      <c r="CE86" s="765" cm="1">
        <f t="array" aca="1" ref="CE86" ca="1">IF(NPSwitch=1,_xll.TR(CE$7,CE$6,"Sdate=#1 Period=#2 NULL=BLANK Scale=6",,$D86,$AS$4),CE86)</f>
        <v>10025.75</v>
      </c>
      <c r="CF86" s="765" cm="1">
        <f t="array" aca="1" ref="CF86" ca="1">IF(NPSwitch=1,_xll.TR(CF$7,CF$6,"Sdate=#1 Period=#2 NULL=BLANK Scale=6",,$D86,$AS$4),CF86)</f>
        <v>15282.75</v>
      </c>
      <c r="CG86" s="765" cm="1">
        <f t="array" aca="1" ref="CG86" ca="1">IF(NPSwitch=1,_xll.TR(CG$7,CG$6,"Sdate=#1 Period=#2 NULL=BLANK Scale=6",,$D86,$AS$4),CG86)</f>
        <v>11594</v>
      </c>
      <c r="CI86" s="1000" cm="1">
        <f t="array" aca="1" ref="CI86" ca="1">IF(NPSwitch=1,_xll.TR(CI$7,CI$6,"Sdate=#1 Period=#2 NULL=BLANK Scale=6",,$D86,$AS$4),CI86)</f>
        <v>8447</v>
      </c>
      <c r="CJ86" s="1000" cm="1">
        <f t="array" aca="1" ref="CJ86" ca="1">IF(NPSwitch=1,_xll.TR(CJ$7,CJ$6,"Sdate=#1 Period=#2 NULL=BLANK Scale=6",,$D86,$AS$4),CJ86)</f>
        <v>704.15300000000002</v>
      </c>
      <c r="CK86" s="1000" cm="1">
        <f t="array" aca="1" ref="CK86" ca="1">IF(NPSwitch=1,_xll.TR(CK$7,CK$6,"Sdate=#1 Period=#2 NULL=BLANK Scale=6",,$D86,$AS$4),CK86)</f>
        <v>579</v>
      </c>
      <c r="CL86" s="1000" cm="1">
        <f t="array" aca="1" ref="CL86" ca="1">IF(NPSwitch=1,_xll.TR(CL$7,CL$6,"Sdate=#1 Period=#2 NULL=BLANK Scale=6",,$D86,$AS$4),CL86)</f>
        <v>401.4</v>
      </c>
      <c r="CM86" s="1000" cm="1">
        <f t="array" aca="1" ref="CM86" ca="1">IF(NPSwitch=1,_xll.TR(CM$7,CM$6,"Sdate=#1 Period=#2 NULL=BLANK Scale=6",,$D86,$AS$4),CM86)</f>
        <v>1190</v>
      </c>
      <c r="CN86" s="1000" cm="1">
        <f t="array" aca="1" ref="CN86" ca="1">IF(NPSwitch=1,_xll.TR(CN$7,CN$6,"Sdate=#1 Period=#2 NULL=BLANK Scale=6",,$D86,$AS$4),CN86)</f>
        <v>470.6</v>
      </c>
      <c r="CO86" s="1000" cm="1">
        <f t="array" aca="1" ref="CO86" ca="1">IF(NPSwitch=1,_xll.TR(CO$7,CO$6,"Sdate=#1 Period=#2 NULL=BLANK Scale=6",,$D86,$AS$4),CO86)</f>
        <v>2623</v>
      </c>
      <c r="CP86" s="1000" cm="1">
        <f t="array" aca="1" ref="CP86" ca="1">IF(NPSwitch=1,_xll.TR(CP$7,CP$6,"Sdate=#1 Period=#2 NULL=BLANK Scale=6",,$D86,$AS$4),CP86)</f>
        <v>2348</v>
      </c>
      <c r="CQ86" s="1000" cm="1">
        <f t="array" aca="1" ref="CQ86" ca="1">IF(NPSwitch=1,_xll.TR(CQ$7,CQ$6,"Sdate=#1 Period=#2 NULL=BLANK Scale=6",,$D86,$AS$4),CQ86)</f>
        <v>2195</v>
      </c>
      <c r="CS86" s="1000" cm="1">
        <f t="array" aca="1" ref="CS86" ca="1">IF(NPSwitch=1,_xll.TR(CS$7,CS$6,"Sdate=#1 Period=#2 NULL=BLANK Scale=6",,$D86,$AS$4),CS86)</f>
        <v>8572.75</v>
      </c>
      <c r="CT86" s="1000" cm="1">
        <f t="array" aca="1" ref="CT86" ca="1">IF(NPSwitch=1,_xll.TR(CT$7,CT$6,"Sdate=#1 Period=#2 NULL=BLANK Scale=6",,$D86,$AS$4),CT86)</f>
        <v>2410.6585</v>
      </c>
      <c r="CU86" s="1000" cm="1">
        <f t="array" aca="1" ref="CU86" ca="1">IF(NPSwitch=1,_xll.TR(CU$7,CU$6,"Sdate=#1 Period=#2 NULL=BLANK Scale=6",,$D86,$AS$4),CU86)</f>
        <v>2074.5</v>
      </c>
      <c r="CV86" s="1000" cm="1">
        <f t="array" aca="1" ref="CV86" ca="1">IF(NPSwitch=1,_xll.TR(CV$7,CV$6,"Sdate=#1 Period=#2 NULL=BLANK Scale=6",,$D86,$AS$4),CV86)</f>
        <v>478.82499999999999</v>
      </c>
      <c r="CW86" s="1000" cm="1">
        <f t="array" aca="1" ref="CW86" ca="1">IF(NPSwitch=1,_xll.TR(CW$7,CW$6,"Sdate=#1 Period=#2 NULL=BLANK Scale=6",,$D86,$AS$4),CW86)</f>
        <v>539.625</v>
      </c>
      <c r="CX86" s="1000" cm="1">
        <f t="array" aca="1" ref="CX86" ca="1">IF(NPSwitch=1,_xll.TR(CX$7,CX$6,"Sdate=#1 Period=#2 NULL=BLANK Scale=6",,$D86,$AS$4),CX86)</f>
        <v>2713.5</v>
      </c>
      <c r="CY86" s="1000" cm="1">
        <f t="array" aca="1" ref="CY86" ca="1">IF(NPSwitch=1,_xll.TR(CY$7,CY$6,"Sdate=#1 Period=#2 NULL=BLANK Scale=6",,$D86,$AS$4),CY86)</f>
        <v>6103</v>
      </c>
      <c r="CZ86" s="1000" cm="1">
        <f t="array" aca="1" ref="CZ86" ca="1">IF(NPSwitch=1,_xll.TR(CZ$7,CZ$6,"Sdate=#1 Period=#2 NULL=BLANK Scale=6",,$D86,$AS$4),CZ86)</f>
        <v>5371.25</v>
      </c>
      <c r="DA86" s="1000" cm="1">
        <f t="array" aca="1" ref="DA86" ca="1">IF(NPSwitch=1,_xll.TR(DA$7,DA$6,"Sdate=#1 Period=#2 NULL=BLANK Scale=6",,$D86,$AS$4),DA86)</f>
        <v>3629.25</v>
      </c>
      <c r="DB86" s="1000" cm="1">
        <f t="array" aca="1" ref="DB86" ca="1">IF(NPSwitch=1,_xll.TR(DB$7,DB$6,"Sdate=#1 Period=#2 NULL=BLANK Scale=6",,$D86,$AS$4),DB86)</f>
        <v>25513.75</v>
      </c>
      <c r="DC86" s="1000" t="str" cm="1">
        <f t="array" aca="1" ref="DC86" ca="1">IF(NPSwitch=1,_xll.TR(DC$7,DC$6,"Sdate=#1 Period=#2 NULL=BLANK Scale=6",,$D86,$AS$4),DC86)</f>
        <v/>
      </c>
      <c r="DD86" s="1000" cm="1">
        <f t="array" aca="1" ref="DD86" ca="1">IF(NPSwitch=1,_xll.TR(DD$7,DD$6,"Sdate=#1 Period=#2 NULL=BLANK Scale=6",,$D86,$AS$4),DD86)</f>
        <v>10446.5</v>
      </c>
      <c r="DE86" s="1000" t="str" cm="1">
        <f t="array" aca="1" ref="DE86" ca="1">IF(NPSwitch=1,_xll.TR(DE$7,DE$6,"Sdate=#1 Period=#2 NULL=BLANK Scale=6",,$D86,$AS$4),DE86)</f>
        <v/>
      </c>
      <c r="DF86" s="1000" cm="1">
        <f t="array" aca="1" ref="DF86" ca="1">IF(NPSwitch=1,_xll.TR(DF$7,DF$6,"Sdate=#1 Period=#2 NULL=BLANK Scale=6",,$D86,$AS$4),DF86)</f>
        <v>478.82499999999999</v>
      </c>
      <c r="DG86" s="1000" cm="1">
        <f t="array" aca="1" ref="DG86" ca="1">IF(NPSwitch=1,_xll.TR(DG$7,DG$6,"Sdate=#1 Period=#2 NULL=BLANK Scale=6",,$D86,$AS$4),DG86)</f>
        <v>3620.75</v>
      </c>
      <c r="DH86" s="1000" cm="1">
        <f t="array" aca="1" ref="DH86" ca="1">IF(NPSwitch=1,_xll.TR(DH$7,DH$6,"Sdate=#1 Period=#2 NULL=BLANK Scale=6",,$D86,$AS$4),DH86)</f>
        <v>6368.2937499999998</v>
      </c>
      <c r="FN86" s="3" t="s">
        <v>1586</v>
      </c>
    </row>
    <row r="87" spans="3:170">
      <c r="C87" s="969">
        <f t="shared" si="47"/>
        <v>43100</v>
      </c>
      <c r="D87" s="974">
        <f t="shared" si="46"/>
        <v>43145</v>
      </c>
      <c r="E87" s="765" cm="1">
        <f t="array" aca="1" ref="E87" ca="1">IF(NPSwitch=1,_xll.TR(E$7,E$6,"Sdate=#1 Period=#2 NULL=BLANK",,$D87,$E$4),E87)</f>
        <v>14.910785211393399</v>
      </c>
      <c r="F87" s="765" cm="1">
        <f t="array" aca="1" ref="F87" ca="1">IF(NPSwitch=1,_xll.TR(F$7,F$6,"Sdate=#1 Period=#2 NULL=BLANK",,$D87,$E$4),F87)</f>
        <v>13.2882066350509</v>
      </c>
      <c r="G87" s="765" cm="1">
        <f t="array" aca="1" ref="G87" ca="1">IF(NPSwitch=1,_xll.TR(G$7,G$6,"Sdate=#1 Period=#2 NULL=BLANK",,$D87,$E$4),G87)</f>
        <v>9.9168957331733196</v>
      </c>
      <c r="H87" s="765" cm="1">
        <f t="array" aca="1" ref="H87" ca="1">IF(NPSwitch=1,_xll.TR(H$7,H$6,"Sdate=#1 Period=#2 NULL=BLANK",,$D87,$E$4),H87)</f>
        <v>10.3863722263353</v>
      </c>
      <c r="I87" s="765" cm="1">
        <f t="array" aca="1" ref="I87" ca="1">IF(NPSwitch=1,_xll.TR(I$7,I$6,"Sdate=#1 Period=#2 NULL=BLANK",,$D87,$E$4),I87)</f>
        <v>8.0771278329659992</v>
      </c>
      <c r="J87" s="765" cm="1">
        <f t="array" aca="1" ref="J87" ca="1">IF(NPSwitch=1,_xll.TR(J$7,J$6,"Sdate=#1 Period=#2 NULL=BLANK",,$D87,$E$4),J87)</f>
        <v>10.6715750778847</v>
      </c>
      <c r="K87" s="765" cm="1">
        <f t="array" aca="1" ref="K87" ca="1">IF(NPSwitch=1,_xll.TR(K$7,K$6,"Sdate=#1 Period=#2 NULL=BLANK",,$D87,$E$4),K87)</f>
        <v>11.467025357163701</v>
      </c>
      <c r="L87" s="765" cm="1">
        <f t="array" aca="1" ref="L87" ca="1">IF(NPSwitch=1,_xll.TR(L$7,L$6,"Sdate=#1 Period=#2 NULL=BLANK",,$D87,$E$4),L87)</f>
        <v>6.8130576744040798</v>
      </c>
      <c r="M87" s="765" cm="1">
        <f t="array" aca="1" ref="M87" ca="1">IF(NPSwitch=1,_xll.TR(M$7,M$6,"Sdate=#1 Period=#2 NULL=BLANK",,$D87,$E$4),M87)</f>
        <v>8.9477286757746892</v>
      </c>
      <c r="N87" s="1002">
        <f t="shared" ca="1" si="45"/>
        <v>9.5553423169878489</v>
      </c>
      <c r="O87" s="1000" cm="1">
        <f t="array" aca="1" ref="O87" ca="1">IF(NPSwitch=1,_xll.TR(O$7,O$6,"Sdate=#1 Period=#2 Scale=6 NULL=BLANK",,$D87,$O$4),O87)</f>
        <v>138156</v>
      </c>
      <c r="P87" s="1000" cm="1">
        <f t="array" aca="1" ref="P87" ca="1">IF(NPSwitch=1,_xll.TR(P$7,P$6,"Sdate=#1 Period=#2 Scale=6 NULL=BLANK",,$D87,$O$4),P87)</f>
        <v>12360.527522279999</v>
      </c>
      <c r="Q87" s="1000" cm="1">
        <f t="array" aca="1" ref="Q87" ca="1">IF(NPSwitch=1,_xll.TR(Q$7,Q$6,"Sdate=#1 Period=#2 Scale=6 NULL=BLANK",,$D87,$O$4),Q87)</f>
        <v>4466.78412536</v>
      </c>
      <c r="R87" s="1000" cm="1">
        <f t="array" aca="1" ref="R87" ca="1">IF(NPSwitch=1,_xll.TR(R$7,R$6,"Sdate=#1 Period=#2 Scale=6 NULL=BLANK",,$D87,$O$4),R87)</f>
        <v>3388.4048129500002</v>
      </c>
      <c r="S87" s="1000" cm="1">
        <f t="array" aca="1" ref="S87" ca="1">IF(NPSwitch=1,_xll.TR(S$7,S$6,"Sdate=#1 Period=#2 Scale=6 NULL=BLANK",,$D87,$O$4),S87)</f>
        <v>7933.2068806799998</v>
      </c>
      <c r="T87" s="1000" cm="1">
        <f t="array" aca="1" ref="T87" ca="1">IF(NPSwitch=1,_xll.TR(T$7,T$6,"Sdate=#1 Period=#2 Scale=6 NULL=BLANK",,$D87,$O$4),T87)</f>
        <v>11453.023204560001</v>
      </c>
      <c r="U87" s="1000" cm="1">
        <f t="array" aca="1" ref="U87" ca="1">IF(NPSwitch=1,_xll.TR(U$7,U$6,"Sdate=#1 Period=#2 Scale=6 NULL=BLANK",,$D87,$O$4),U87)</f>
        <v>29066.11290416</v>
      </c>
      <c r="V87" s="1000" cm="1">
        <f t="array" aca="1" ref="V87" ca="1">IF(NPSwitch=1,_xll.TR(V$7,V$6,"Sdate=#1 Period=#2 Scale=6 NULL=BLANK",,$D87,$O$4),V87)</f>
        <v>11731.1068927999</v>
      </c>
      <c r="W87" s="1000" cm="1">
        <f t="array" aca="1" ref="W87" ca="1">IF(NPSwitch=1,_xll.TR(W$7,W$6,"Sdate=#1 Period=#2 Scale=6 NULL=BLANK",,$D87,$O$4),W87)</f>
        <v>14253.7778963</v>
      </c>
      <c r="X87" s="998"/>
      <c r="Y87" s="1000" cm="1">
        <f t="array" aca="1" ref="Y87" ca="1">IF(NPSwitch=1,_xll.TR(Y$7,Y$6,"Sdate=#1 Period=#2 Scale=6 NULL=BLANK",,$D87,$O$4),Y87)</f>
        <v>3163.5</v>
      </c>
      <c r="Z87" s="1000" cm="1">
        <f t="array" aca="1" ref="Z87" ca="1">IF(NPSwitch=1,_xll.TR(Z$7,Z$6,"Sdate=#1 Period=#2 Scale=6 NULL=BLANK",,$D87,$O$4),Z87)</f>
        <v>1394.144</v>
      </c>
      <c r="AA87" s="1000" cm="1">
        <f t="array" aca="1" ref="AA87" ca="1">IF(NPSwitch=1,_xll.TR(AA$7,AA$6,"Sdate=#1 Period=#2 Scale=6 NULL=BLANK",,$D87,$O$4),AA87)</f>
        <v>566</v>
      </c>
      <c r="AB87" s="1000" cm="1">
        <f t="array" aca="1" ref="AB87" ca="1">IF(NPSwitch=1,_xll.TR(AB$7,AB$6,"Sdate=#1 Period=#2 Scale=6 NULL=BLANK",,$D87,$O$4),AB87)</f>
        <v>206.47499999999999</v>
      </c>
      <c r="AC87" s="1000" cm="1">
        <f t="array" aca="1" ref="AC87" ca="1">IF(NPSwitch=1,_xll.TR(AC$7,AC$6,"Sdate=#1 Period=#2 Scale=6 NULL=BLANK",,$D87,$O$4),AC87)</f>
        <v>447.75</v>
      </c>
      <c r="AD87" s="1000" cm="1">
        <f t="array" aca="1" ref="AD87" ca="1">IF(NPSwitch=1,_xll.TR(AD$7,AD$6,"Sdate=#1 Period=#2 Scale=6 NULL=BLANK",,$D87,$O$4),AD87)</f>
        <v>146.52500000000001</v>
      </c>
      <c r="AE87" s="1000" cm="1">
        <f t="array" aca="1" ref="AE87" ca="1">IF(NPSwitch=1,_xll.TR(AE$7,AE$6,"Sdate=#1 Period=#2 Scale=6 NULL=BLANK",,$D87,$O$4),AE87)</f>
        <v>1706.25</v>
      </c>
      <c r="AF87" s="1000" cm="1">
        <f t="array" aca="1" ref="AF87" ca="1">IF(NPSwitch=1,_xll.TR(AF$7,AF$6,"Sdate=#1 Period=#2 Scale=6 NULL=BLANK",,$D87,$O$4),AF87)</f>
        <v>1144.25</v>
      </c>
      <c r="AG87" s="1000" cm="1">
        <f t="array" aca="1" ref="AG87" ca="1">IF(NPSwitch=1,_xll.TR(AG$7,AG$6,"Sdate=#1 Period=#2 Scale=6 NULL=BLANK",,$D87,$O$4),AG87)</f>
        <v>201.25</v>
      </c>
      <c r="AH87" s="998"/>
      <c r="AI87" s="1000" cm="1">
        <f t="array" aca="1" ref="AI87" ca="1">IF(NPSwitch=1,_xll.TR(AI$7,AI$6,"Sdate=#1 Period=#2 Scale=6 NULL=BLANK",,$D87,$O$4),AI87)</f>
        <v>148095</v>
      </c>
      <c r="AJ87" s="1000" cm="1">
        <f t="array" aca="1" ref="AJ87" ca="1">IF(NPSwitch=1,_xll.TR(AJ$7,AJ$6,"Sdate=#1 Period=#2 Scale=6 NULL=BLANK",,$D87,$O$4),AJ87)</f>
        <v>13245.47052228</v>
      </c>
      <c r="AK87" s="1000" cm="1">
        <f t="array" aca="1" ref="AK87" ca="1">IF(NPSwitch=1,_xll.TR(AK$7,AK$6,"Sdate=#1 Period=#2 Scale=6 NULL=BLANK",,$D87,$O$4),AK87)</f>
        <v>6804.78412536</v>
      </c>
      <c r="AL87" s="1000" cm="1">
        <f t="array" aca="1" ref="AL87" ca="1">IF(NPSwitch=1,_xll.TR(AL$7,AL$6,"Sdate=#1 Period=#2 Scale=6 NULL=BLANK",,$D87,$O$4),AL87)</f>
        <v>4507.7048129499999</v>
      </c>
      <c r="AM87" s="1000" cm="1">
        <f t="array" aca="1" ref="AM87" ca="1">IF(NPSwitch=1,_xll.TR(AM$7,AM$6,"Sdate=#1 Period=#2 Scale=6 NULL=BLANK",,$D87,$O$4),AM87)</f>
        <v>10943.20688068</v>
      </c>
      <c r="AN87" s="1000" cm="1">
        <f t="array" aca="1" ref="AN87" ca="1">IF(NPSwitch=1,_xll.TR(AN$7,AN$6,"Sdate=#1 Period=#2 Scale=6 NULL=BLANK",,$D87,$O$4),AN87)</f>
        <v>13081.223204559999</v>
      </c>
      <c r="AO87" s="1000" cm="1">
        <f t="array" aca="1" ref="AO87" ca="1">IF(NPSwitch=1,_xll.TR(AO$7,AO$6,"Sdate=#1 Period=#2 Scale=6 NULL=BLANK",,$D87,$O$4),AO87)</f>
        <v>31551.11290416</v>
      </c>
      <c r="AP87" s="1000" cm="1">
        <f t="array" aca="1" ref="AP87" ca="1">IF(NPSwitch=1,_xll.TR(AP$7,AP$6,"Sdate=#1 Period=#2 Scale=6 NULL=BLANK",,$D87,$O$4),AP87)</f>
        <v>15696.1068928</v>
      </c>
      <c r="AQ87" s="1000" cm="1">
        <f t="array" aca="1" ref="AQ87" ca="1">IF(NPSwitch=1,_xll.TR(AQ$7,AQ$6,"Sdate=#1 Period=#2 Scale=6 NULL=BLANK",,$D87,$O$4),AQ87)</f>
        <v>20828.777896299998</v>
      </c>
      <c r="AS87" s="765" cm="1">
        <f t="array" aca="1" ref="AS87" ca="1">IF(NPSwitch=1,_xll.TR(AS$7,AS$6,"Sdate=#1 Period=#2 NULL=BLANK Scale=6",,$D87,$AS$4),AS87)</f>
        <v>29.016666666666701</v>
      </c>
      <c r="AT87" s="765" cm="1">
        <f t="array" aca="1" ref="AT87" ca="1">IF(NPSwitch=1,_xll.TR(AT$7,AT$6,"Sdate=#1 Period=#2 NULL=BLANK Scale=6",,$D87,$AS$4),AT87)</f>
        <v>10.341666666666701</v>
      </c>
      <c r="AU87" s="765" t="str" cm="1">
        <f t="array" aca="1" ref="AU87" ca="1">IF(NPSwitch=1,_xll.TR(AU$7,AU$6,"Sdate=#1 Period=#2 NULL=BLANK Scale=6",,$D87,$AS$4),AU87)</f>
        <v/>
      </c>
      <c r="AV87" s="765" cm="1">
        <f t="array" aca="1" ref="AV87" ca="1">IF(NPSwitch=1,_xll.TR(AV$7,AV$6,"Sdate=#1 Period=#2 NULL=BLANK Scale=6",,$D87,$AS$4),AV87)</f>
        <v>10.0833333333333</v>
      </c>
      <c r="AW87" s="765" t="str" cm="1">
        <f t="array" aca="1" ref="AW87" ca="1">IF(NPSwitch=1,_xll.TR(AW$7,AW$6,"Sdate=#1 Period=#2 NULL=BLANK Scale=6",,$D87,$AS$4),AW87)</f>
        <v/>
      </c>
      <c r="AX87" s="765" cm="1">
        <f t="array" aca="1" ref="AX87" ca="1">IF(NPSwitch=1,_xll.TR(AX$7,AX$6,"Sdate=#1 Period=#2 NULL=BLANK Scale=6",,$D87,$AS$4),AX87)</f>
        <v>10.6666666666667</v>
      </c>
      <c r="AY87" s="765" cm="1">
        <f t="array" aca="1" ref="AY87" ca="1">IF(NPSwitch=1,_xll.TR(AY$7,AY$6,"Sdate=#1 Period=#2 NULL=BLANK Scale=6",,$D87,$AS$4),AY87)</f>
        <v>15.766666666666699</v>
      </c>
      <c r="AZ87" s="765" cm="1">
        <f t="array" aca="1" ref="AZ87" ca="1">IF(NPSwitch=1,_xll.TR(AZ$7,AZ$6,"Sdate=#1 Period=#2 NULL=BLANK Scale=6",,$D87,$AS$4),AZ87)</f>
        <v>5.5616666666666701</v>
      </c>
      <c r="BA87" s="765" cm="1">
        <f t="array" aca="1" ref="BA87" ca="1">IF(NPSwitch=1,_xll.TR(BA$7,BA$6,"Sdate=#1 Period=#2 NULL=BLANK Scale=6",,$D87,$AS$4),BA87)</f>
        <v>11.944445</v>
      </c>
      <c r="BB87" s="1002"/>
      <c r="BO87" s="765" cm="1">
        <f t="array" aca="1" ref="BO87" ca="1">IF(NPSwitch=1,_xll.TR(BO$7,BO$6,"Sdate=#1 Period=#2 NULL=BLANK Scale=6",,$D87,$AS$4),BO87)</f>
        <v>31657</v>
      </c>
      <c r="BP87" s="765" cm="1">
        <f t="array" aca="1" ref="BP87" ca="1">IF(NPSwitch=1,_xll.TR(BP$7,BP$6,"Sdate=#1 Period=#2 NULL=BLANK Scale=6",,$D87,$AS$4),BP87)</f>
        <v>2910.8420000000001</v>
      </c>
      <c r="BQ87" s="765" cm="1">
        <f t="array" aca="1" ref="BQ87" ca="1">IF(NPSwitch=1,_xll.TR(BQ$7,BQ$6,"Sdate=#1 Period=#2 NULL=BLANK Scale=6",,$D87,$AS$4),BQ87)</f>
        <v>3137</v>
      </c>
      <c r="BR87" s="765" cm="1">
        <f t="array" aca="1" ref="BR87" ca="1">IF(NPSwitch=1,_xll.TR(BR$7,BR$6,"Sdate=#1 Period=#2 NULL=BLANK Scale=6",,$D87,$AS$4),BR87)</f>
        <v>2590.3000000000002</v>
      </c>
      <c r="BS87" s="765" cm="1">
        <f t="array" aca="1" ref="BS87" ca="1">IF(NPSwitch=1,_xll.TR(BS$7,BS$6,"Sdate=#1 Period=#2 NULL=BLANK Scale=6",,$D87,$AS$4),BS87)</f>
        <v>8059</v>
      </c>
      <c r="BT87" s="765" cm="1">
        <f t="array" aca="1" ref="BT87" ca="1">IF(NPSwitch=1,_xll.TR(BT$7,BT$6,"Sdate=#1 Period=#2 NULL=BLANK Scale=6",,$D87,$AS$4),BT87)</f>
        <v>2878.6</v>
      </c>
      <c r="BU87" s="765" cm="1">
        <f t="array" aca="1" ref="BU87" ca="1">IF(NPSwitch=1,_xll.TR(BU$7,BU$6,"Sdate=#1 Period=#2 NULL=BLANK Scale=6",,$D87,$AS$4),BU87)</f>
        <v>14748</v>
      </c>
      <c r="BV87" s="765" cm="1">
        <f t="array" aca="1" ref="BV87" ca="1">IF(NPSwitch=1,_xll.TR(BV$7,BV$6,"Sdate=#1 Period=#2 NULL=BLANK Scale=6",,$D87,$AS$4),BV87)</f>
        <v>10852</v>
      </c>
      <c r="BW87" s="765" cm="1">
        <f t="array" aca="1" ref="BW87" ca="1">IF(NPSwitch=1,_xll.TR(BW$7,BW$6,"Sdate=#1 Period=#2 NULL=BLANK Scale=6",,$D87,$AS$4),BW87)</f>
        <v>9549</v>
      </c>
      <c r="BY87" s="765" cm="1">
        <f t="array" aca="1" ref="BY87" ca="1">IF(NPSwitch=1,_xll.TR(BY$7,BY$6,"Sdate=#1 Period=#2 NULL=BLANK Scale=6",,$D87,$AS$4),BY87)</f>
        <v>23783</v>
      </c>
      <c r="BZ87" s="765" cm="1">
        <f t="array" aca="1" ref="BZ87" ca="1">IF(NPSwitch=1,_xll.TR(BZ$7,BZ$6,"Sdate=#1 Period=#2 NULL=BLANK Scale=6",,$D87,$AS$4),BZ87)</f>
        <v>5816.5482499999998</v>
      </c>
      <c r="CA87" s="765" cm="1">
        <f t="array" aca="1" ref="CA87" ca="1">IF(NPSwitch=1,_xll.TR(CA$7,CA$6,"Sdate=#1 Period=#2 NULL=BLANK Scale=6",,$D87,$AS$4),CA87)</f>
        <v>6210.25</v>
      </c>
      <c r="CB87" s="765" cm="1">
        <f t="array" aca="1" ref="CB87" ca="1">IF(NPSwitch=1,_xll.TR(CB$7,CB$6,"Sdate=#1 Period=#2 NULL=BLANK Scale=6",,$D87,$AS$4),CB87)</f>
        <v>1954.7</v>
      </c>
      <c r="CC87" s="765" cm="1">
        <f t="array" aca="1" ref="CC87" ca="1">IF(NPSwitch=1,_xll.TR(CC$7,CC$6,"Sdate=#1 Period=#2 NULL=BLANK Scale=6",,$D87,$AS$4),CC87)</f>
        <v>5742.5</v>
      </c>
      <c r="CD87" s="765" cm="1">
        <f t="array" aca="1" ref="CD87" ca="1">IF(NPSwitch=1,_xll.TR(CD$7,CD$6,"Sdate=#1 Period=#2 NULL=BLANK Scale=6",,$D87,$AS$4),CD87)</f>
        <v>4361.3999999999996</v>
      </c>
      <c r="CE87" s="765" cm="1">
        <f t="array" aca="1" ref="CE87" ca="1">IF(NPSwitch=1,_xll.TR(CE$7,CE$6,"Sdate=#1 Period=#2 NULL=BLANK Scale=6",,$D87,$AS$4),CE87)</f>
        <v>10148.25</v>
      </c>
      <c r="CF87" s="765" cm="1">
        <f t="array" aca="1" ref="CF87" ca="1">IF(NPSwitch=1,_xll.TR(CF$7,CF$6,"Sdate=#1 Period=#2 NULL=BLANK Scale=6",,$D87,$AS$4),CF87)</f>
        <v>15282.75</v>
      </c>
      <c r="CG87" s="765" cm="1">
        <f t="array" aca="1" ref="CG87" ca="1">IF(NPSwitch=1,_xll.TR(CG$7,CG$6,"Sdate=#1 Period=#2 NULL=BLANK Scale=6",,$D87,$AS$4),CG87)</f>
        <v>11798.5</v>
      </c>
      <c r="CI87" s="1000" cm="1">
        <f t="array" aca="1" ref="CI87" ca="1">IF(NPSwitch=1,_xll.TR(CI$7,CI$6,"Sdate=#1 Period=#2 NULL=BLANK Scale=6",,$D87,$AS$4),CI87)</f>
        <v>8742</v>
      </c>
      <c r="CJ87" s="1000" cm="1">
        <f t="array" aca="1" ref="CJ87" ca="1">IF(NPSwitch=1,_xll.TR(CJ$7,CJ$6,"Sdate=#1 Period=#2 NULL=BLANK Scale=6",,$D87,$AS$4),CJ87)</f>
        <v>704.15300000000002</v>
      </c>
      <c r="CK87" s="1000" cm="1">
        <f t="array" aca="1" ref="CK87" ca="1">IF(NPSwitch=1,_xll.TR(CK$7,CK$6,"Sdate=#1 Period=#2 NULL=BLANK Scale=6",,$D87,$AS$4),CK87)</f>
        <v>566</v>
      </c>
      <c r="CL87" s="1000" cm="1">
        <f t="array" aca="1" ref="CL87" ca="1">IF(NPSwitch=1,_xll.TR(CL$7,CL$6,"Sdate=#1 Period=#2 NULL=BLANK Scale=6",,$D87,$AS$4),CL87)</f>
        <v>285.39999999999998</v>
      </c>
      <c r="CM87" s="1000" cm="1">
        <f t="array" aca="1" ref="CM87" ca="1">IF(NPSwitch=1,_xll.TR(CM$7,CM$6,"Sdate=#1 Period=#2 NULL=BLANK Scale=6",,$D87,$AS$4),CM87)</f>
        <v>1190</v>
      </c>
      <c r="CN87" s="1000" cm="1">
        <f t="array" aca="1" ref="CN87" ca="1">IF(NPSwitch=1,_xll.TR(CN$7,CN$6,"Sdate=#1 Period=#2 NULL=BLANK Scale=6",,$D87,$AS$4),CN87)</f>
        <v>585.6</v>
      </c>
      <c r="CO87" s="1000" cm="1">
        <f t="array" aca="1" ref="CO87" ca="1">IF(NPSwitch=1,_xll.TR(CO$7,CO$6,"Sdate=#1 Period=#2 NULL=BLANK Scale=6",,$D87,$AS$4),CO87)</f>
        <v>2543</v>
      </c>
      <c r="CP87" s="1000" cm="1">
        <f t="array" aca="1" ref="CP87" ca="1">IF(NPSwitch=1,_xll.TR(CP$7,CP$6,"Sdate=#1 Period=#2 NULL=BLANK Scale=6",,$D87,$AS$4),CP87)</f>
        <v>2348</v>
      </c>
      <c r="CQ87" s="1000" cm="1">
        <f t="array" aca="1" ref="CQ87" ca="1">IF(NPSwitch=1,_xll.TR(CQ$7,CQ$6,"Sdate=#1 Period=#2 NULL=BLANK Scale=6",,$D87,$AS$4),CQ87)</f>
        <v>2103</v>
      </c>
      <c r="CS87" s="1000" cm="1">
        <f t="array" aca="1" ref="CS87" ca="1">IF(NPSwitch=1,_xll.TR(CS$7,CS$6,"Sdate=#1 Period=#2 NULL=BLANK Scale=6",,$D87,$AS$4),CS87)</f>
        <v>8660.25</v>
      </c>
      <c r="CT87" s="1000" cm="1">
        <f t="array" aca="1" ref="CT87" ca="1">IF(NPSwitch=1,_xll.TR(CT$7,CT$6,"Sdate=#1 Period=#2 NULL=BLANK Scale=6",,$D87,$AS$4),CT87)</f>
        <v>2410.6585</v>
      </c>
      <c r="CU87" s="1000" cm="1">
        <f t="array" aca="1" ref="CU87" ca="1">IF(NPSwitch=1,_xll.TR(CU$7,CU$6,"Sdate=#1 Period=#2 NULL=BLANK Scale=6",,$D87,$AS$4),CU87)</f>
        <v>2014.25</v>
      </c>
      <c r="CV87" s="1000" cm="1">
        <f t="array" aca="1" ref="CV87" ca="1">IF(NPSwitch=1,_xll.TR(CV$7,CV$6,"Sdate=#1 Period=#2 NULL=BLANK Scale=6",,$D87,$AS$4),CV87)</f>
        <v>487.65</v>
      </c>
      <c r="CW87" s="1000" cm="1">
        <f t="array" aca="1" ref="CW87" ca="1">IF(NPSwitch=1,_xll.TR(CW$7,CW$6,"Sdate=#1 Period=#2 NULL=BLANK Scale=6",,$D87,$AS$4),CW87)</f>
        <v>661.4</v>
      </c>
      <c r="CX87" s="1000" cm="1">
        <f t="array" aca="1" ref="CX87" ca="1">IF(NPSwitch=1,_xll.TR(CX$7,CX$6,"Sdate=#1 Period=#2 NULL=BLANK Scale=6",,$D87,$AS$4),CX87)</f>
        <v>2767.5</v>
      </c>
      <c r="CY87" s="1000" cm="1">
        <f t="array" aca="1" ref="CY87" ca="1">IF(NPSwitch=1,_xll.TR(CY$7,CY$6,"Sdate=#1 Period=#2 NULL=BLANK Scale=6",,$D87,$AS$4),CY87)</f>
        <v>6103</v>
      </c>
      <c r="CZ87" s="1000" cm="1">
        <f t="array" aca="1" ref="CZ87" ca="1">IF(NPSwitch=1,_xll.TR(CZ$7,CZ$6,"Sdate=#1 Period=#2 NULL=BLANK Scale=6",,$D87,$AS$4),CZ87)</f>
        <v>5454</v>
      </c>
      <c r="DA87" s="1000" cm="1">
        <f t="array" aca="1" ref="DA87" ca="1">IF(NPSwitch=1,_xll.TR(DA$7,DA$6,"Sdate=#1 Period=#2 NULL=BLANK Scale=6",,$D87,$AS$4),DA87)</f>
        <v>3675.5</v>
      </c>
      <c r="DB87" s="1000" cm="1">
        <f t="array" aca="1" ref="DB87" ca="1">IF(NPSwitch=1,_xll.TR(DB$7,DB$6,"Sdate=#1 Period=#2 NULL=BLANK Scale=6",,$D87,$AS$4),DB87)</f>
        <v>25513.75</v>
      </c>
      <c r="DC87" s="1000" t="str" cm="1">
        <f t="array" aca="1" ref="DC87" ca="1">IF(NPSwitch=1,_xll.TR(DC$7,DC$6,"Sdate=#1 Period=#2 NULL=BLANK Scale=6",,$D87,$AS$4),DC87)</f>
        <v/>
      </c>
      <c r="DD87" s="1000" cm="1">
        <f t="array" aca="1" ref="DD87" ca="1">IF(NPSwitch=1,_xll.TR(DD$7,DD$6,"Sdate=#1 Period=#2 NULL=BLANK Scale=6",,$D87,$AS$4),DD87)</f>
        <v>10661.5</v>
      </c>
      <c r="DE87" s="1000" t="str" cm="1">
        <f t="array" aca="1" ref="DE87" ca="1">IF(NPSwitch=1,_xll.TR(DE$7,DE$6,"Sdate=#1 Period=#2 NULL=BLANK Scale=6",,$D87,$AS$4),DE87)</f>
        <v/>
      </c>
      <c r="DF87" s="1000" cm="1">
        <f t="array" aca="1" ref="DF87" ca="1">IF(NPSwitch=1,_xll.TR(DF$7,DF$6,"Sdate=#1 Period=#2 NULL=BLANK Scale=6",,$D87,$AS$4),DF87)</f>
        <v>487.65</v>
      </c>
      <c r="DG87" s="1000" cm="1">
        <f t="array" aca="1" ref="DG87" ca="1">IF(NPSwitch=1,_xll.TR(DG$7,DG$6,"Sdate=#1 Period=#2 NULL=BLANK Scale=6",,$D87,$AS$4),DG87)</f>
        <v>3620.75</v>
      </c>
      <c r="DH87" s="1000" cm="1">
        <f t="array" aca="1" ref="DH87" ca="1">IF(NPSwitch=1,_xll.TR(DH$7,DH$6,"Sdate=#1 Period=#2 NULL=BLANK Scale=6",,$D87,$AS$4),DH87)</f>
        <v>6368.2937499999998</v>
      </c>
      <c r="FN87" s="3" t="s">
        <v>1587</v>
      </c>
    </row>
    <row r="88" spans="3:170">
      <c r="C88" s="969">
        <f t="shared" si="47"/>
        <v>43190</v>
      </c>
      <c r="D88" s="974">
        <f t="shared" si="46"/>
        <v>43235</v>
      </c>
      <c r="E88" s="765" cm="1">
        <f t="array" aca="1" ref="E88" ca="1">IF(NPSwitch=1,_xll.TR(E$7,E$6,"Sdate=#1 Period=#2 NULL=BLANK",,$D88,$E$4),E88)</f>
        <v>13.3756729796504</v>
      </c>
      <c r="F88" s="765" cm="1">
        <f t="array" aca="1" ref="F88" ca="1">IF(NPSwitch=1,_xll.TR(F$7,F$6,"Sdate=#1 Period=#2 NULL=BLANK",,$D88,$E$4),F88)</f>
        <v>11.6316002403884</v>
      </c>
      <c r="G88" s="765" cm="1">
        <f t="array" aca="1" ref="G88" ca="1">IF(NPSwitch=1,_xll.TR(G$7,G$6,"Sdate=#1 Period=#2 NULL=BLANK",,$D88,$E$4),G88)</f>
        <v>9.8408536325323901</v>
      </c>
      <c r="H88" s="765" cm="1">
        <f t="array" aca="1" ref="H88" ca="1">IF(NPSwitch=1,_xll.TR(H$7,H$6,"Sdate=#1 Period=#2 NULL=BLANK",,$D88,$E$4),H88)</f>
        <v>10.3448585974613</v>
      </c>
      <c r="I88" s="765" cm="1">
        <f t="array" aca="1" ref="I88" ca="1">IF(NPSwitch=1,_xll.TR(I$7,I$6,"Sdate=#1 Period=#2 NULL=BLANK",,$D88,$E$4),I88)</f>
        <v>7.2295657705564196</v>
      </c>
      <c r="J88" s="765" cm="1">
        <f t="array" aca="1" ref="J88" ca="1">IF(NPSwitch=1,_xll.TR(J$7,J$6,"Sdate=#1 Period=#2 NULL=BLANK",,$D88,$E$4),J88)</f>
        <v>11.0281239957121</v>
      </c>
      <c r="K88" s="765" cm="1">
        <f t="array" aca="1" ref="K88" ca="1">IF(NPSwitch=1,_xll.TR(K$7,K$6,"Sdate=#1 Period=#2 NULL=BLANK",,$D88,$E$4),K88)</f>
        <v>10.510856702627301</v>
      </c>
      <c r="L88" s="765" cm="1">
        <f t="array" aca="1" ref="L88" ca="1">IF(NPSwitch=1,_xll.TR(L$7,L$6,"Sdate=#1 Period=#2 NULL=BLANK",,$D88,$E$4),L88)</f>
        <v>6.8744490549253499</v>
      </c>
      <c r="M88" s="765" cm="1">
        <f t="array" aca="1" ref="M88" ca="1">IF(NPSwitch=1,_xll.TR(M$7,M$6,"Sdate=#1 Period=#2 NULL=BLANK",,$D88,$E$4),M88)</f>
        <v>9.2461479850569592</v>
      </c>
      <c r="N88" s="1002">
        <f t="shared" ca="1" si="45"/>
        <v>9.3047846256358095</v>
      </c>
      <c r="O88" s="1000" cm="1">
        <f t="array" aca="1" ref="O88" ca="1">IF(NPSwitch=1,_xll.TR(O$7,O$6,"Sdate=#1 Period=#2 Scale=6 NULL=BLANK",,$D88,$O$4),O88)</f>
        <v>120169.25479962</v>
      </c>
      <c r="P88" s="1000" cm="1">
        <f t="array" aca="1" ref="P88" ca="1">IF(NPSwitch=1,_xll.TR(P$7,P$6,"Sdate=#1 Period=#2 Scale=6 NULL=BLANK",,$D88,$O$4),P88)</f>
        <v>11166.04293007</v>
      </c>
      <c r="Q88" s="1000" cm="1">
        <f t="array" aca="1" ref="Q88" ca="1">IF(NPSwitch=1,_xll.TR(Q$7,Q$6,"Sdate=#1 Period=#2 Scale=6 NULL=BLANK",,$D88,$O$4),Q88)</f>
        <v>4709.5449762500002</v>
      </c>
      <c r="R88" s="1000" cm="1">
        <f t="array" aca="1" ref="R88" ca="1">IF(NPSwitch=1,_xll.TR(R$7,R$6,"Sdate=#1 Period=#2 Scale=6 NULL=BLANK",,$D88,$O$4),R88)</f>
        <v>3409.96399432</v>
      </c>
      <c r="S88" s="1000" cm="1">
        <f t="array" aca="1" ref="S88" ca="1">IF(NPSwitch=1,_xll.TR(S$7,S$6,"Sdate=#1 Period=#2 Scale=6 NULL=BLANK",,$D88,$O$4),S88)</f>
        <v>7725.51574419999</v>
      </c>
      <c r="T88" s="1000" cm="1">
        <f t="array" aca="1" ref="T88" ca="1">IF(NPSwitch=1,_xll.TR(T$7,T$6,"Sdate=#1 Period=#2 Scale=6 NULL=BLANK",,$D88,$O$4),T88)</f>
        <v>12106.28313</v>
      </c>
      <c r="U88" s="1000" cm="1">
        <f t="array" aca="1" ref="U88" ca="1">IF(NPSwitch=1,_xll.TR(U$7,U$6,"Sdate=#1 Period=#2 Scale=6 NULL=BLANK",,$D88,$O$4),U88)</f>
        <v>25687.726435519999</v>
      </c>
      <c r="V88" s="1000" cm="1">
        <f t="array" aca="1" ref="V88" ca="1">IF(NPSwitch=1,_xll.TR(V$7,V$6,"Sdate=#1 Period=#2 Scale=6 NULL=BLANK",,$D88,$O$4),V88)</f>
        <v>12281.664256</v>
      </c>
      <c r="W88" s="1000" cm="1">
        <f t="array" aca="1" ref="W88" ca="1">IF(NPSwitch=1,_xll.TR(W$7,W$6,"Sdate=#1 Period=#2 Scale=6 NULL=BLANK",,$D88,$O$4),W88)</f>
        <v>15346.565624999999</v>
      </c>
      <c r="X88" s="998"/>
      <c r="Y88" s="1000" cm="1">
        <f t="array" aca="1" ref="Y88" ca="1">IF(NPSwitch=1,_xll.TR(Y$7,Y$6,"Sdate=#1 Period=#2 Scale=6 NULL=BLANK",,$D88,$O$4),Y88)</f>
        <v>3608.75</v>
      </c>
      <c r="Z88" s="1000" cm="1">
        <f t="array" aca="1" ref="Z88" ca="1">IF(NPSwitch=1,_xll.TR(Z$7,Z$6,"Sdate=#1 Period=#2 Scale=6 NULL=BLANK",,$D88,$O$4),Z88)</f>
        <v>970.44375000000002</v>
      </c>
      <c r="AA88" s="1000" cm="1">
        <f t="array" aca="1" ref="AA88" ca="1">IF(NPSwitch=1,_xll.TR(AA$7,AA$6,"Sdate=#1 Period=#2 Scale=6 NULL=BLANK",,$D88,$O$4),AA88)</f>
        <v>471</v>
      </c>
      <c r="AB88" s="1000" cm="1">
        <f t="array" aca="1" ref="AB88" ca="1">IF(NPSwitch=1,_xll.TR(AB$7,AB$6,"Sdate=#1 Period=#2 Scale=6 NULL=BLANK",,$D88,$O$4),AB88)</f>
        <v>208.42500000000001</v>
      </c>
      <c r="AC88" s="1000" cm="1">
        <f t="array" aca="1" ref="AC88" ca="1">IF(NPSwitch=1,_xll.TR(AC$7,AC$6,"Sdate=#1 Period=#2 Scale=6 NULL=BLANK",,$D88,$O$4),AC88)</f>
        <v>465.75</v>
      </c>
      <c r="AD88" s="1000" cm="1">
        <f t="array" aca="1" ref="AD88" ca="1">IF(NPSwitch=1,_xll.TR(AD$7,AD$6,"Sdate=#1 Period=#2 Scale=6 NULL=BLANK",,$D88,$O$4),AD88)</f>
        <v>212.42500000000001</v>
      </c>
      <c r="AE88" s="1000" cm="1">
        <f t="array" aca="1" ref="AE88" ca="1">IF(NPSwitch=1,_xll.TR(AE$7,AE$6,"Sdate=#1 Period=#2 Scale=6 NULL=BLANK",,$D88,$O$4),AE88)</f>
        <v>1710</v>
      </c>
      <c r="AF88" s="1000" cm="1">
        <f t="array" aca="1" ref="AF88" ca="1">IF(NPSwitch=1,_xll.TR(AF$7,AF$6,"Sdate=#1 Period=#2 Scale=6 NULL=BLANK",,$D88,$O$4),AF88)</f>
        <v>1124</v>
      </c>
      <c r="AG88" s="1000" cm="1">
        <f t="array" aca="1" ref="AG88" ca="1">IF(NPSwitch=1,_xll.TR(AG$7,AG$6,"Sdate=#1 Period=#2 Scale=6 NULL=BLANK",,$D88,$O$4),AG88)</f>
        <v>200.5</v>
      </c>
      <c r="AH88" s="998"/>
      <c r="AI88" s="1000" cm="1">
        <f t="array" aca="1" ref="AI88" ca="1">IF(NPSwitch=1,_xll.TR(AI$7,AI$6,"Sdate=#1 Period=#2 Scale=6 NULL=BLANK",,$D88,$O$4),AI88)</f>
        <v>131796.25479961999</v>
      </c>
      <c r="AJ88" s="1000" cm="1">
        <f t="array" aca="1" ref="AJ88" ca="1">IF(NPSwitch=1,_xll.TR(AJ$7,AJ$6,"Sdate=#1 Period=#2 Scale=6 NULL=BLANK",,$D88,$O$4),AJ88)</f>
        <v>12093.04293007</v>
      </c>
      <c r="AK88" s="1000" cm="1">
        <f t="array" aca="1" ref="AK88" ca="1">IF(NPSwitch=1,_xll.TR(AK$7,AK$6,"Sdate=#1 Period=#2 Scale=6 NULL=BLANK",,$D88,$O$4),AK88)</f>
        <v>7122.5449762500002</v>
      </c>
      <c r="AL88" s="1000" cm="1">
        <f t="array" aca="1" ref="AL88" ca="1">IF(NPSwitch=1,_xll.TR(AL$7,AL$6,"Sdate=#1 Period=#2 Scale=6 NULL=BLANK",,$D88,$O$4),AL88)</f>
        <v>4599.2639943200002</v>
      </c>
      <c r="AM88" s="1000" cm="1">
        <f t="array" aca="1" ref="AM88" ca="1">IF(NPSwitch=1,_xll.TR(AM$7,AM$6,"Sdate=#1 Period=#2 Scale=6 NULL=BLANK",,$D88,$O$4),AM88)</f>
        <v>10594.5157442</v>
      </c>
      <c r="AN88" s="1000" cm="1">
        <f t="array" aca="1" ref="AN88" ca="1">IF(NPSwitch=1,_xll.TR(AN$7,AN$6,"Sdate=#1 Period=#2 Scale=6 NULL=BLANK",,$D88,$O$4),AN88)</f>
        <v>15096.78313</v>
      </c>
      <c r="AO88" s="1000" cm="1">
        <f t="array" aca="1" ref="AO88" ca="1">IF(NPSwitch=1,_xll.TR(AO$7,AO$6,"Sdate=#1 Period=#2 Scale=6 NULL=BLANK",,$D88,$O$4),AO88)</f>
        <v>28457.726435519999</v>
      </c>
      <c r="AP88" s="1000" cm="1">
        <f t="array" aca="1" ref="AP88" ca="1">IF(NPSwitch=1,_xll.TR(AP$7,AP$6,"Sdate=#1 Period=#2 Scale=6 NULL=BLANK",,$D88,$O$4),AP88)</f>
        <v>15628.664256</v>
      </c>
      <c r="AQ88" s="1000" cm="1">
        <f t="array" aca="1" ref="AQ88" ca="1">IF(NPSwitch=1,_xll.TR(AQ$7,AQ$6,"Sdate=#1 Period=#2 Scale=6 NULL=BLANK",,$D88,$O$4),AQ88)</f>
        <v>22127.565624999999</v>
      </c>
      <c r="AS88" s="765" cm="1">
        <f t="array" aca="1" ref="AS88" ca="1">IF(NPSwitch=1,_xll.TR(AS$7,AS$6,"Sdate=#1 Period=#2 NULL=BLANK Scale=6",,$D88,$AS$4),AS88)</f>
        <v>25.1875</v>
      </c>
      <c r="AT88" s="765" cm="1">
        <f t="array" aca="1" ref="AT88" ca="1">IF(NPSwitch=1,_xll.TR(AT$7,AT$6,"Sdate=#1 Period=#2 NULL=BLANK Scale=6",,$D88,$AS$4),AT88)</f>
        <v>11.829166666666699</v>
      </c>
      <c r="AU88" s="765" t="str" cm="1">
        <f t="array" aca="1" ref="AU88" ca="1">IF(NPSwitch=1,_xll.TR(AU$7,AU$6,"Sdate=#1 Period=#2 NULL=BLANK Scale=6",,$D88,$AS$4),AU88)</f>
        <v/>
      </c>
      <c r="AV88" s="765" cm="1">
        <f t="array" aca="1" ref="AV88" ca="1">IF(NPSwitch=1,_xll.TR(AV$7,AV$6,"Sdate=#1 Period=#2 NULL=BLANK Scale=6",,$D88,$AS$4),AV88)</f>
        <v>10.258333333333301</v>
      </c>
      <c r="AW88" s="765" t="str" cm="1">
        <f t="array" aca="1" ref="AW88" ca="1">IF(NPSwitch=1,_xll.TR(AW$7,AW$6,"Sdate=#1 Period=#2 NULL=BLANK Scale=6",,$D88,$AS$4),AW88)</f>
        <v/>
      </c>
      <c r="AX88" s="765" cm="1">
        <f t="array" aca="1" ref="AX88" ca="1">IF(NPSwitch=1,_xll.TR(AX$7,AX$6,"Sdate=#1 Period=#2 NULL=BLANK Scale=6",,$D88,$AS$4),AX88)</f>
        <v>14.383333333333301</v>
      </c>
      <c r="AY88" s="765" cm="1">
        <f t="array" aca="1" ref="AY88" ca="1">IF(NPSwitch=1,_xll.TR(AY$7,AY$6,"Sdate=#1 Period=#2 NULL=BLANK Scale=6",,$D88,$AS$4),AY88)</f>
        <v>16.116666666666699</v>
      </c>
      <c r="AZ88" s="765" cm="1">
        <f t="array" aca="1" ref="AZ88" ca="1">IF(NPSwitch=1,_xll.TR(AZ$7,AZ$6,"Sdate=#1 Period=#2 NULL=BLANK Scale=6",,$D88,$AS$4),AZ88)</f>
        <v>5.8284166666666701</v>
      </c>
      <c r="BA88" s="765" cm="1">
        <f t="array" aca="1" ref="BA88" ca="1">IF(NPSwitch=1,_xll.TR(BA$7,BA$6,"Sdate=#1 Period=#2 NULL=BLANK Scale=6",,$D88,$AS$4),BA88)</f>
        <v>11.983333333333301</v>
      </c>
      <c r="BB88" s="1002"/>
      <c r="BO88" s="765" cm="1">
        <f t="array" aca="1" ref="BO88" ca="1">IF(NPSwitch=1,_xll.TR(BO$7,BO$6,"Sdate=#1 Period=#2 NULL=BLANK Scale=6",,$D88,$AS$4),BO88)</f>
        <v>32250</v>
      </c>
      <c r="BP88" s="765" cm="1">
        <f t="array" aca="1" ref="BP88" ca="1">IF(NPSwitch=1,_xll.TR(BP$7,BP$6,"Sdate=#1 Period=#2 NULL=BLANK Scale=6",,$D88,$AS$4),BP88)</f>
        <v>3171.5419999999999</v>
      </c>
      <c r="BQ88" s="765" cm="1">
        <f t="array" aca="1" ref="BQ88" ca="1">IF(NPSwitch=1,_xll.TR(BQ$7,BQ$6,"Sdate=#1 Period=#2 NULL=BLANK Scale=6",,$D88,$AS$4),BQ88)</f>
        <v>3003</v>
      </c>
      <c r="BR88" s="765" cm="1">
        <f t="array" aca="1" ref="BR88" ca="1">IF(NPSwitch=1,_xll.TR(BR$7,BR$6,"Sdate=#1 Period=#2 NULL=BLANK Scale=6",,$D88,$AS$4),BR88)</f>
        <v>2695.2</v>
      </c>
      <c r="BS88" s="765" cm="1">
        <f t="array" aca="1" ref="BS88" ca="1">IF(NPSwitch=1,_xll.TR(BS$7,BS$6,"Sdate=#1 Period=#2 NULL=BLANK Scale=6",,$D88,$AS$4),BS88)</f>
        <v>7208</v>
      </c>
      <c r="BT88" s="765" cm="1">
        <f t="array" aca="1" ref="BT88" ca="1">IF(NPSwitch=1,_xll.TR(BT$7,BT$6,"Sdate=#1 Period=#2 NULL=BLANK Scale=6",,$D88,$AS$4),BT88)</f>
        <v>3390.5</v>
      </c>
      <c r="BU88" s="765" cm="1">
        <f t="array" aca="1" ref="BU88" ca="1">IF(NPSwitch=1,_xll.TR(BU$7,BU$6,"Sdate=#1 Period=#2 NULL=BLANK Scale=6",,$D88,$AS$4),BU88)</f>
        <v>15043</v>
      </c>
      <c r="BV88" s="765" cm="1">
        <f t="array" aca="1" ref="BV88" ca="1">IF(NPSwitch=1,_xll.TR(BV$7,BV$6,"Sdate=#1 Period=#2 NULL=BLANK Scale=6",,$D88,$AS$4),BV88)</f>
        <v>10952</v>
      </c>
      <c r="BW88" s="765" cm="1">
        <f t="array" aca="1" ref="BW88" ca="1">IF(NPSwitch=1,_xll.TR(BW$7,BW$6,"Sdate=#1 Period=#2 NULL=BLANK Scale=6",,$D88,$AS$4),BW88)</f>
        <v>9853</v>
      </c>
      <c r="BY88" s="765" cm="1">
        <f t="array" aca="1" ref="BY88" ca="1">IF(NPSwitch=1,_xll.TR(BY$7,BY$6,"Sdate=#1 Period=#2 NULL=BLANK Scale=6",,$D88,$AS$4),BY88)</f>
        <v>24770</v>
      </c>
      <c r="BZ88" s="765" cm="1">
        <f t="array" aca="1" ref="BZ88" ca="1">IF(NPSwitch=1,_xll.TR(BZ$7,BZ$6,"Sdate=#1 Period=#2 NULL=BLANK Scale=6",,$D88,$AS$4),BZ88)</f>
        <v>5633.00875</v>
      </c>
      <c r="CA88" s="765" cm="1">
        <f t="array" aca="1" ref="CA88" ca="1">IF(NPSwitch=1,_xll.TR(CA$7,CA$6,"Sdate=#1 Period=#2 NULL=BLANK Scale=6",,$D88,$AS$4),CA88)</f>
        <v>6231</v>
      </c>
      <c r="CB88" s="765" cm="1">
        <f t="array" aca="1" ref="CB88" ca="1">IF(NPSwitch=1,_xll.TR(CB$7,CB$6,"Sdate=#1 Period=#2 NULL=BLANK Scale=6",,$D88,$AS$4),CB88)</f>
        <v>1931.575</v>
      </c>
      <c r="CC88" s="765" cm="1">
        <f t="array" aca="1" ref="CC88" ca="1">IF(NPSwitch=1,_xll.TR(CC$7,CC$6,"Sdate=#1 Period=#2 NULL=BLANK Scale=6",,$D88,$AS$4),CC88)</f>
        <v>5807.75</v>
      </c>
      <c r="CD88" s="765" cm="1">
        <f t="array" aca="1" ref="CD88" ca="1">IF(NPSwitch=1,_xll.TR(CD$7,CD$6,"Sdate=#1 Period=#2 NULL=BLANK Scale=6",,$D88,$AS$4),CD88)</f>
        <v>4970.8249999999998</v>
      </c>
      <c r="CE88" s="765" cm="1">
        <f t="array" aca="1" ref="CE88" ca="1">IF(NPSwitch=1,_xll.TR(CE$7,CE$6,"Sdate=#1 Period=#2 NULL=BLANK Scale=6",,$D88,$AS$4),CE88)</f>
        <v>10392.75</v>
      </c>
      <c r="CF88" s="765" cm="1">
        <f t="array" aca="1" ref="CF88" ca="1">IF(NPSwitch=1,_xll.TR(CF$7,CF$6,"Sdate=#1 Period=#2 NULL=BLANK Scale=6",,$D88,$AS$4),CF88)</f>
        <v>14522.5</v>
      </c>
      <c r="CG88" s="765" cm="1">
        <f t="array" aca="1" ref="CG88" ca="1">IF(NPSwitch=1,_xll.TR(CG$7,CG$6,"Sdate=#1 Period=#2 NULL=BLANK Scale=6",,$D88,$AS$4),CG88)</f>
        <v>12026</v>
      </c>
      <c r="CI88" s="1000" cm="1">
        <f t="array" aca="1" ref="CI88" ca="1">IF(NPSwitch=1,_xll.TR(CI$7,CI$6,"Sdate=#1 Period=#2 NULL=BLANK Scale=6",,$D88,$AS$4),CI88)</f>
        <v>7961</v>
      </c>
      <c r="CJ88" s="1000" cm="1">
        <f t="array" aca="1" ref="CJ88" ca="1">IF(NPSwitch=1,_xll.TR(CJ$7,CJ$6,"Sdate=#1 Period=#2 NULL=BLANK Scale=6",,$D88,$AS$4),CJ88)</f>
        <v>891.32</v>
      </c>
      <c r="CK88" s="1000" cm="1">
        <f t="array" aca="1" ref="CK88" ca="1">IF(NPSwitch=1,_xll.TR(CK$7,CK$6,"Sdate=#1 Period=#2 NULL=BLANK Scale=6",,$D88,$AS$4),CK88)</f>
        <v>550</v>
      </c>
      <c r="CL88" s="1000" cm="1">
        <f t="array" aca="1" ref="CL88" ca="1">IF(NPSwitch=1,_xll.TR(CL$7,CL$6,"Sdate=#1 Period=#2 NULL=BLANK Scale=6",,$D88,$AS$4),CL88)</f>
        <v>276.5</v>
      </c>
      <c r="CM88" s="1000" cm="1">
        <f t="array" aca="1" ref="CM88" ca="1">IF(NPSwitch=1,_xll.TR(CM$7,CM$6,"Sdate=#1 Period=#2 NULL=BLANK Scale=6",,$D88,$AS$4),CM88)</f>
        <v>1094</v>
      </c>
      <c r="CN88" s="1000" cm="1">
        <f t="array" aca="1" ref="CN88" ca="1">IF(NPSwitch=1,_xll.TR(CN$7,CN$6,"Sdate=#1 Period=#2 NULL=BLANK Scale=6",,$D88,$AS$4),CN88)</f>
        <v>893.3</v>
      </c>
      <c r="CO88" s="1000" cm="1">
        <f t="array" aca="1" ref="CO88" ca="1">IF(NPSwitch=1,_xll.TR(CO$7,CO$6,"Sdate=#1 Period=#2 NULL=BLANK Scale=6",,$D88,$AS$4),CO88)</f>
        <v>2481</v>
      </c>
      <c r="CP88" s="1000" cm="1">
        <f t="array" aca="1" ref="CP88" ca="1">IF(NPSwitch=1,_xll.TR(CP$7,CP$6,"Sdate=#1 Period=#2 NULL=BLANK Scale=6",,$D88,$AS$4),CP88)</f>
        <v>2347</v>
      </c>
      <c r="CQ88" s="1000" cm="1">
        <f t="array" aca="1" ref="CQ88" ca="1">IF(NPSwitch=1,_xll.TR(CQ$7,CQ$6,"Sdate=#1 Period=#2 NULL=BLANK Scale=6",,$D88,$AS$4),CQ88)</f>
        <v>2080</v>
      </c>
      <c r="CS88" s="1000" cm="1">
        <f t="array" aca="1" ref="CS88" ca="1">IF(NPSwitch=1,_xll.TR(CS$7,CS$6,"Sdate=#1 Period=#2 NULL=BLANK Scale=6",,$D88,$AS$4),CS88)</f>
        <v>8738.5</v>
      </c>
      <c r="CT88" s="1000" cm="1">
        <f t="array" aca="1" ref="CT88" ca="1">IF(NPSwitch=1,_xll.TR(CT$7,CT$6,"Sdate=#1 Period=#2 NULL=BLANK Scale=6",,$D88,$AS$4),CT88)</f>
        <v>2490.9074999999998</v>
      </c>
      <c r="CU88" s="1000" cm="1">
        <f t="array" aca="1" ref="CU88" ca="1">IF(NPSwitch=1,_xll.TR(CU$7,CU$6,"Sdate=#1 Period=#2 NULL=BLANK Scale=6",,$D88,$AS$4),CU88)</f>
        <v>1948</v>
      </c>
      <c r="CV88" s="1000" cm="1">
        <f t="array" aca="1" ref="CV88" ca="1">IF(NPSwitch=1,_xll.TR(CV$7,CV$6,"Sdate=#1 Period=#2 NULL=BLANK Scale=6",,$D88,$AS$4),CV88)</f>
        <v>457.875</v>
      </c>
      <c r="CW88" s="1000" cm="1">
        <f t="array" aca="1" ref="CW88" ca="1">IF(NPSwitch=1,_xll.TR(CW$7,CW$6,"Sdate=#1 Period=#2 NULL=BLANK Scale=6",,$D88,$AS$4),CW88)</f>
        <v>785.22500000000002</v>
      </c>
      <c r="CX88" s="1000" cm="1">
        <f t="array" aca="1" ref="CX88" ca="1">IF(NPSwitch=1,_xll.TR(CX$7,CX$6,"Sdate=#1 Period=#2 NULL=BLANK Scale=6",,$D88,$AS$4),CX88)</f>
        <v>2781.5</v>
      </c>
      <c r="CY88" s="1000" cm="1">
        <f t="array" aca="1" ref="CY88" ca="1">IF(NPSwitch=1,_xll.TR(CY$7,CY$6,"Sdate=#1 Period=#2 NULL=BLANK Scale=6",,$D88,$AS$4),CY88)</f>
        <v>5566.25</v>
      </c>
      <c r="CZ88" s="1000" cm="1">
        <f t="array" aca="1" ref="CZ88" ca="1">IF(NPSwitch=1,_xll.TR(CZ$7,CZ$6,"Sdate=#1 Period=#2 NULL=BLANK Scale=6",,$D88,$AS$4),CZ88)</f>
        <v>5531.75</v>
      </c>
      <c r="DA88" s="1000" cm="1">
        <f t="array" aca="1" ref="DA88" ca="1">IF(NPSwitch=1,_xll.TR(DA$7,DA$6,"Sdate=#1 Period=#2 NULL=BLANK Scale=6",,$D88,$AS$4),DA88)</f>
        <v>3733</v>
      </c>
      <c r="DB88" s="1000" cm="1">
        <f t="array" aca="1" ref="DB88" ca="1">IF(NPSwitch=1,_xll.TR(DB$7,DB$6,"Sdate=#1 Period=#2 NULL=BLANK Scale=6",,$D88,$AS$4),DB88)</f>
        <v>24914.75</v>
      </c>
      <c r="DC88" s="1000" t="str" cm="1">
        <f t="array" aca="1" ref="DC88" ca="1">IF(NPSwitch=1,_xll.TR(DC$7,DC$6,"Sdate=#1 Period=#2 NULL=BLANK Scale=6",,$D88,$AS$4),DC88)</f>
        <v/>
      </c>
      <c r="DD88" s="1000" cm="1">
        <f t="array" aca="1" ref="DD88" ca="1">IF(NPSwitch=1,_xll.TR(DD$7,DD$6,"Sdate=#1 Period=#2 NULL=BLANK Scale=6",,$D88,$AS$4),DD88)</f>
        <v>10883.5</v>
      </c>
      <c r="DE88" s="1000" t="str" cm="1">
        <f t="array" aca="1" ref="DE88" ca="1">IF(NPSwitch=1,_xll.TR(DE$7,DE$6,"Sdate=#1 Period=#2 NULL=BLANK Scale=6",,$D88,$AS$4),DE88)</f>
        <v/>
      </c>
      <c r="DF88" s="1000" cm="1">
        <f t="array" aca="1" ref="DF88" ca="1">IF(NPSwitch=1,_xll.TR(DF$7,DF$6,"Sdate=#1 Period=#2 NULL=BLANK Scale=6",,$D88,$AS$4),DF88)</f>
        <v>457.875</v>
      </c>
      <c r="DG88" s="1000" cm="1">
        <f t="array" aca="1" ref="DG88" ca="1">IF(NPSwitch=1,_xll.TR(DG$7,DG$6,"Sdate=#1 Period=#2 NULL=BLANK Scale=6",,$D88,$AS$4),DG88)</f>
        <v>3369.5</v>
      </c>
      <c r="DH88" s="1000" cm="1">
        <f t="array" aca="1" ref="DH88" ca="1">IF(NPSwitch=1,_xll.TR(DH$7,DH$6,"Sdate=#1 Period=#2 NULL=BLANK Scale=6",,$D88,$AS$4),DH88)</f>
        <v>6379.8419999999996</v>
      </c>
      <c r="FN88" s="3" t="s">
        <v>1588</v>
      </c>
    </row>
    <row r="89" spans="3:170">
      <c r="C89" s="969">
        <f t="shared" si="47"/>
        <v>43281</v>
      </c>
      <c r="D89" s="974">
        <f t="shared" si="46"/>
        <v>43326</v>
      </c>
      <c r="E89" s="765" cm="1">
        <f t="array" aca="1" ref="E89" ca="1">IF(NPSwitch=1,_xll.TR(E$7,E$6,"Sdate=#1 Period=#2 NULL=BLANK",,$D89,$E$4),E89)</f>
        <v>13.0236905087407</v>
      </c>
      <c r="F89" s="765" cm="1">
        <f t="array" aca="1" ref="F89" ca="1">IF(NPSwitch=1,_xll.TR(F$7,F$6,"Sdate=#1 Period=#2 NULL=BLANK",,$D89,$E$4),F89)</f>
        <v>10.5715092666562</v>
      </c>
      <c r="G89" s="765" cm="1">
        <f t="array" aca="1" ref="G89" ca="1">IF(NPSwitch=1,_xll.TR(G$7,G$6,"Sdate=#1 Period=#2 NULL=BLANK",,$D89,$E$4),G89)</f>
        <v>10.554310481621901</v>
      </c>
      <c r="H89" s="765" cm="1">
        <f t="array" aca="1" ref="H89" ca="1">IF(NPSwitch=1,_xll.TR(H$7,H$6,"Sdate=#1 Period=#2 NULL=BLANK",,$D89,$E$4),H89)</f>
        <v>10.4871230168393</v>
      </c>
      <c r="I89" s="765" cm="1">
        <f t="array" aca="1" ref="I89" ca="1">IF(NPSwitch=1,_xll.TR(I$7,I$6,"Sdate=#1 Period=#2 NULL=BLANK",,$D89,$E$4),I89)</f>
        <v>7.1764401109556699</v>
      </c>
      <c r="J89" s="765" cm="1">
        <f t="array" aca="1" ref="J89" ca="1">IF(NPSwitch=1,_xll.TR(J$7,J$6,"Sdate=#1 Period=#2 NULL=BLANK",,$D89,$E$4),J89)</f>
        <v>10.2372787059067</v>
      </c>
      <c r="K89" s="765" cm="1">
        <f t="array" aca="1" ref="K89" ca="1">IF(NPSwitch=1,_xll.TR(K$7,K$6,"Sdate=#1 Period=#2 NULL=BLANK",,$D89,$E$4),K89)</f>
        <v>11.0906284073215</v>
      </c>
      <c r="L89" s="765" cm="1">
        <f t="array" aca="1" ref="L89" ca="1">IF(NPSwitch=1,_xll.TR(L$7,L$6,"Sdate=#1 Period=#2 NULL=BLANK",,$D89,$E$4),L89)</f>
        <v>6.8942844322837598</v>
      </c>
      <c r="M89" s="765" cm="1">
        <f t="array" aca="1" ref="M89" ca="1">IF(NPSwitch=1,_xll.TR(M$7,M$6,"Sdate=#1 Period=#2 NULL=BLANK",,$D89,$E$4),M89)</f>
        <v>8.5354105219265808</v>
      </c>
      <c r="N89" s="1002">
        <f t="shared" ca="1" si="45"/>
        <v>9.4066775258214737</v>
      </c>
      <c r="O89" s="1000" cm="1">
        <f t="array" aca="1" ref="O89" ca="1">IF(NPSwitch=1,_xll.TR(O$7,O$6,"Sdate=#1 Period=#2 Scale=6 NULL=BLANK",,$D89,$O$4),O89)</f>
        <v>117627.73420752</v>
      </c>
      <c r="P89" s="1000" cm="1">
        <f t="array" aca="1" ref="P89" ca="1">IF(NPSwitch=1,_xll.TR(P$7,P$6,"Sdate=#1 Period=#2 Scale=6 NULL=BLANK",,$D89,$O$4),P89)</f>
        <v>10555.4154327899</v>
      </c>
      <c r="Q89" s="1000" cm="1">
        <f t="array" aca="1" ref="Q89" ca="1">IF(NPSwitch=1,_xll.TR(Q$7,Q$6,"Sdate=#1 Period=#2 Scale=6 NULL=BLANK",,$D89,$O$4),Q89)</f>
        <v>5294.3652587099996</v>
      </c>
      <c r="R89" s="1000" cm="1">
        <f t="array" aca="1" ref="R89" ca="1">IF(NPSwitch=1,_xll.TR(R$7,R$6,"Sdate=#1 Period=#2 Scale=6 NULL=BLANK",,$D89,$O$4),R89)</f>
        <v>3496.6404664199999</v>
      </c>
      <c r="S89" s="1000" cm="1">
        <f t="array" aca="1" ref="S89" ca="1">IF(NPSwitch=1,_xll.TR(S$7,S$6,"Sdate=#1 Period=#2 Scale=6 NULL=BLANK",,$D89,$O$4),S89)</f>
        <v>7610.3167339800002</v>
      </c>
      <c r="T89" s="1000" cm="1">
        <f t="array" aca="1" ref="T89" ca="1">IF(NPSwitch=1,_xll.TR(T$7,T$6,"Sdate=#1 Period=#2 Scale=6 NULL=BLANK",,$D89,$O$4),T89)</f>
        <v>11528.336929499999</v>
      </c>
      <c r="U89" s="1000" cm="1">
        <f t="array" aca="1" ref="U89" ca="1">IF(NPSwitch=1,_xll.TR(U$7,U$6,"Sdate=#1 Period=#2 Scale=6 NULL=BLANK",,$D89,$O$4),U89)</f>
        <v>25859.634412399901</v>
      </c>
      <c r="V89" s="1000" cm="1">
        <f t="array" aca="1" ref="V89" ca="1">IF(NPSwitch=1,_xll.TR(V$7,V$6,"Sdate=#1 Period=#2 Scale=6 NULL=BLANK",,$D89,$O$4),V89)</f>
        <v>12106.968169600001</v>
      </c>
      <c r="W89" s="1000" cm="1">
        <f t="array" aca="1" ref="W89" ca="1">IF(NPSwitch=1,_xll.TR(W$7,W$6,"Sdate=#1 Period=#2 Scale=6 NULL=BLANK",,$D89,$O$4),W89)</f>
        <v>13992.375755839999</v>
      </c>
      <c r="X89" s="998"/>
      <c r="Y89" s="1000" cm="1">
        <f t="array" aca="1" ref="Y89" ca="1">IF(NPSwitch=1,_xll.TR(Y$7,Y$6,"Sdate=#1 Period=#2 Scale=6 NULL=BLANK",,$D89,$O$4),Y89)</f>
        <v>3706.75</v>
      </c>
      <c r="Z89" s="1000" cm="1">
        <f t="array" aca="1" ref="Z89" ca="1">IF(NPSwitch=1,_xll.TR(Z$7,Z$6,"Sdate=#1 Period=#2 Scale=6 NULL=BLANK",,$D89,$O$4),Z89)</f>
        <v>945.74350000000004</v>
      </c>
      <c r="AA89" s="1000" cm="1">
        <f t="array" aca="1" ref="AA89" ca="1">IF(NPSwitch=1,_xll.TR(AA$7,AA$6,"Sdate=#1 Period=#2 Scale=6 NULL=BLANK",,$D89,$O$4),AA89)</f>
        <v>393.5</v>
      </c>
      <c r="AB89" s="1000" cm="1">
        <f t="array" aca="1" ref="AB89" ca="1">IF(NPSwitch=1,_xll.TR(AB$7,AB$6,"Sdate=#1 Period=#2 Scale=6 NULL=BLANK",,$D89,$O$4),AB89)</f>
        <v>200.3</v>
      </c>
      <c r="AC89" s="1000" cm="1">
        <f t="array" aca="1" ref="AC89" ca="1">IF(NPSwitch=1,_xll.TR(AC$7,AC$6,"Sdate=#1 Period=#2 Scale=6 NULL=BLANK",,$D89,$O$4),AC89)</f>
        <v>440.5</v>
      </c>
      <c r="AD89" s="1000" cm="1">
        <f t="array" aca="1" ref="AD89" ca="1">IF(NPSwitch=1,_xll.TR(AD$7,AD$6,"Sdate=#1 Period=#2 Scale=6 NULL=BLANK",,$D89,$O$4),AD89)</f>
        <v>265.72500000000002</v>
      </c>
      <c r="AE89" s="1000" cm="1">
        <f t="array" aca="1" ref="AE89" ca="1">IF(NPSwitch=1,_xll.TR(AE$7,AE$6,"Sdate=#1 Period=#2 Scale=6 NULL=BLANK",,$D89,$O$4),AE89)</f>
        <v>1576.5</v>
      </c>
      <c r="AF89" s="1000" cm="1">
        <f t="array" aca="1" ref="AF89" ca="1">IF(NPSwitch=1,_xll.TR(AF$7,AF$6,"Sdate=#1 Period=#2 Scale=6 NULL=BLANK",,$D89,$O$4),AF89)</f>
        <v>1094</v>
      </c>
      <c r="AG89" s="1000" cm="1">
        <f t="array" aca="1" ref="AG89" ca="1">IF(NPSwitch=1,_xll.TR(AG$7,AG$6,"Sdate=#1 Period=#2 Scale=6 NULL=BLANK",,$D89,$O$4),AG89)</f>
        <v>193.25</v>
      </c>
      <c r="AH89" s="998"/>
      <c r="AI89" s="1000" cm="1">
        <f t="array" aca="1" ref="AI89" ca="1">IF(NPSwitch=1,_xll.TR(AI$7,AI$6,"Sdate=#1 Period=#2 Scale=6 NULL=BLANK",,$D89,$O$4),AI89)</f>
        <v>129023.73420752</v>
      </c>
      <c r="AJ89" s="1000" cm="1">
        <f t="array" aca="1" ref="AJ89" ca="1">IF(NPSwitch=1,_xll.TR(AJ$7,AJ$6,"Sdate=#1 Period=#2 Scale=6 NULL=BLANK",,$D89,$O$4),AJ89)</f>
        <v>11406.38043279</v>
      </c>
      <c r="AK89" s="1000" cm="1">
        <f t="array" aca="1" ref="AK89" ca="1">IF(NPSwitch=1,_xll.TR(AK$7,AK$6,"Sdate=#1 Period=#2 Scale=6 NULL=BLANK",,$D89,$O$4),AK89)</f>
        <v>7644.3652587099996</v>
      </c>
      <c r="AL89" s="1000" cm="1">
        <f t="array" aca="1" ref="AL89" ca="1">IF(NPSwitch=1,_xll.TR(AL$7,AL$6,"Sdate=#1 Period=#2 Scale=6 NULL=BLANK",,$D89,$O$4),AL89)</f>
        <v>4670.0404664199996</v>
      </c>
      <c r="AM89" s="1000" cm="1">
        <f t="array" aca="1" ref="AM89" ca="1">IF(NPSwitch=1,_xll.TR(AM$7,AM$6,"Sdate=#1 Period=#2 Scale=6 NULL=BLANK",,$D89,$O$4),AM89)</f>
        <v>10943.31673398</v>
      </c>
      <c r="AN89" s="1000" cm="1">
        <f t="array" aca="1" ref="AN89" ca="1">IF(NPSwitch=1,_xll.TR(AN$7,AN$6,"Sdate=#1 Period=#2 Scale=6 NULL=BLANK",,$D89,$O$4),AN89)</f>
        <v>14298.836929499999</v>
      </c>
      <c r="AO89" s="1000" cm="1">
        <f t="array" aca="1" ref="AO89" ca="1">IF(NPSwitch=1,_xll.TR(AO$7,AO$6,"Sdate=#1 Period=#2 Scale=6 NULL=BLANK",,$D89,$O$4),AO89)</f>
        <v>29945.634412399999</v>
      </c>
      <c r="AP89" s="1000" cm="1">
        <f t="array" aca="1" ref="AP89" ca="1">IF(NPSwitch=1,_xll.TR(AP$7,AP$6,"Sdate=#1 Period=#2 Scale=6 NULL=BLANK",,$D89,$O$4),AP89)</f>
        <v>15828.968169600001</v>
      </c>
      <c r="AQ89" s="1000" cm="1">
        <f t="array" aca="1" ref="AQ89" ca="1">IF(NPSwitch=1,_xll.TR(AQ$7,AQ$6,"Sdate=#1 Period=#2 Scale=6 NULL=BLANK",,$D89,$O$4),AQ89)</f>
        <v>20571.375755839999</v>
      </c>
      <c r="AS89" s="765" cm="1">
        <f t="array" aca="1" ref="AS89" ca="1">IF(NPSwitch=1,_xll.TR(AS$7,AS$6,"Sdate=#1 Period=#2 NULL=BLANK Scale=6",,$D89,$AS$4),AS89)</f>
        <v>22.966666666666701</v>
      </c>
      <c r="AT89" s="765" cm="1">
        <f t="array" aca="1" ref="AT89" ca="1">IF(NPSwitch=1,_xll.TR(AT$7,AT$6,"Sdate=#1 Period=#2 NULL=BLANK Scale=6",,$D89,$AS$4),AT89)</f>
        <v>10.92778</v>
      </c>
      <c r="AU89" s="765" t="str" cm="1">
        <f t="array" aca="1" ref="AU89" ca="1">IF(NPSwitch=1,_xll.TR(AU$7,AU$6,"Sdate=#1 Period=#2 NULL=BLANK Scale=6",,$D89,$AS$4),AU89)</f>
        <v/>
      </c>
      <c r="AV89" s="765" cm="1">
        <f t="array" aca="1" ref="AV89" ca="1">IF(NPSwitch=1,_xll.TR(AV$7,AV$6,"Sdate=#1 Period=#2 NULL=BLANK Scale=6",,$D89,$AS$4),AV89)</f>
        <v>11</v>
      </c>
      <c r="AW89" s="765" t="str" cm="1">
        <f t="array" aca="1" ref="AW89" ca="1">IF(NPSwitch=1,_xll.TR(AW$7,AW$6,"Sdate=#1 Period=#2 NULL=BLANK Scale=6",,$D89,$AS$4),AW89)</f>
        <v/>
      </c>
      <c r="AX89" s="765" cm="1">
        <f t="array" aca="1" ref="AX89" ca="1">IF(NPSwitch=1,_xll.TR(AX$7,AX$6,"Sdate=#1 Period=#2 NULL=BLANK Scale=6",,$D89,$AS$4),AX89)</f>
        <v>14.866666666666699</v>
      </c>
      <c r="AY89" s="765" cm="1">
        <f t="array" aca="1" ref="AY89" ca="1">IF(NPSwitch=1,_xll.TR(AY$7,AY$6,"Sdate=#1 Period=#2 NULL=BLANK Scale=6",,$D89,$AS$4),AY89)</f>
        <v>16.366666666666699</v>
      </c>
      <c r="AZ89" s="765" cm="1">
        <f t="array" aca="1" ref="AZ89" ca="1">IF(NPSwitch=1,_xll.TR(AZ$7,AZ$6,"Sdate=#1 Period=#2 NULL=BLANK Scale=6",,$D89,$AS$4),AZ89)</f>
        <v>7.4983333333333304</v>
      </c>
      <c r="BA89" s="765" cm="1">
        <f t="array" aca="1" ref="BA89" ca="1">IF(NPSwitch=1,_xll.TR(BA$7,BA$6,"Sdate=#1 Period=#2 NULL=BLANK Scale=6",,$D89,$AS$4),BA89)</f>
        <v>12.1</v>
      </c>
      <c r="BB89" s="1002"/>
      <c r="BO89" s="765" cm="1">
        <f t="array" aca="1" ref="BO89" ca="1">IF(NPSwitch=1,_xll.TR(BO$7,BO$6,"Sdate=#1 Period=#2 NULL=BLANK Scale=6",,$D89,$AS$4),BO89)</f>
        <v>32830</v>
      </c>
      <c r="BP89" s="765" cm="1">
        <f t="array" aca="1" ref="BP89" ca="1">IF(NPSwitch=1,_xll.TR(BP$7,BP$6,"Sdate=#1 Period=#2 NULL=BLANK Scale=6",,$D89,$AS$4),BP89)</f>
        <v>3288.1579999999999</v>
      </c>
      <c r="BQ89" s="765" cm="1">
        <f t="array" aca="1" ref="BQ89" ca="1">IF(NPSwitch=1,_xll.TR(BQ$7,BQ$6,"Sdate=#1 Period=#2 NULL=BLANK Scale=6",,$D89,$AS$4),BQ89)</f>
        <v>2801</v>
      </c>
      <c r="BR89" s="765" cm="1">
        <f t="array" aca="1" ref="BR89" ca="1">IF(NPSwitch=1,_xll.TR(BR$7,BR$6,"Sdate=#1 Period=#2 NULL=BLANK Scale=6",,$D89,$AS$4),BR89)</f>
        <v>2795.9</v>
      </c>
      <c r="BS89" s="765" cm="1">
        <f t="array" aca="1" ref="BS89" ca="1">IF(NPSwitch=1,_xll.TR(BS$7,BS$6,"Sdate=#1 Period=#2 NULL=BLANK Scale=6",,$D89,$AS$4),BS89)</f>
        <v>7558</v>
      </c>
      <c r="BT89" s="765" cm="1">
        <f t="array" aca="1" ref="BT89" ca="1">IF(NPSwitch=1,_xll.TR(BT$7,BT$6,"Sdate=#1 Period=#2 NULL=BLANK Scale=6",,$D89,$AS$4),BT89)</f>
        <v>3888.1</v>
      </c>
      <c r="BU89" s="765" cm="1">
        <f t="array" aca="1" ref="BU89" ca="1">IF(NPSwitch=1,_xll.TR(BU$7,BU$6,"Sdate=#1 Period=#2 NULL=BLANK Scale=6",,$D89,$AS$4),BU89)</f>
        <v>15370</v>
      </c>
      <c r="BV89" s="765" cm="1">
        <f t="array" aca="1" ref="BV89" ca="1">IF(NPSwitch=1,_xll.TR(BV$7,BV$6,"Sdate=#1 Period=#2 NULL=BLANK Scale=6",,$D89,$AS$4),BV89)</f>
        <v>10987</v>
      </c>
      <c r="BW89" s="765" cm="1">
        <f t="array" aca="1" ref="BW89" ca="1">IF(NPSwitch=1,_xll.TR(BW$7,BW$6,"Sdate=#1 Period=#2 NULL=BLANK Scale=6",,$D89,$AS$4),BW89)</f>
        <v>10055</v>
      </c>
      <c r="BY89" s="765" cm="1">
        <f t="array" aca="1" ref="BY89" ca="1">IF(NPSwitch=1,_xll.TR(BY$7,BY$6,"Sdate=#1 Period=#2 NULL=BLANK Scale=6",,$D89,$AS$4),BY89)</f>
        <v>25270.5</v>
      </c>
      <c r="BZ89" s="765" cm="1">
        <f t="array" aca="1" ref="BZ89" ca="1">IF(NPSwitch=1,_xll.TR(BZ$7,BZ$6,"Sdate=#1 Period=#2 NULL=BLANK Scale=6",,$D89,$AS$4),BZ89)</f>
        <v>5589.0879999999997</v>
      </c>
      <c r="CA89" s="765" cm="1">
        <f t="array" aca="1" ref="CA89" ca="1">IF(NPSwitch=1,_xll.TR(CA$7,CA$6,"Sdate=#1 Period=#2 NULL=BLANK Scale=6",,$D89,$AS$4),CA89)</f>
        <v>6160.75</v>
      </c>
      <c r="CB89" s="765" cm="1">
        <f t="array" aca="1" ref="CB89" ca="1">IF(NPSwitch=1,_xll.TR(CB$7,CB$6,"Sdate=#1 Period=#2 NULL=BLANK Scale=6",,$D89,$AS$4),CB89)</f>
        <v>1923.5</v>
      </c>
      <c r="CC89" s="765" cm="1">
        <f t="array" aca="1" ref="CC89" ca="1">IF(NPSwitch=1,_xll.TR(CC$7,CC$6,"Sdate=#1 Period=#2 NULL=BLANK Scale=6",,$D89,$AS$4),CC89)</f>
        <v>5968.25</v>
      </c>
      <c r="CD89" s="765" cm="1">
        <f t="array" aca="1" ref="CD89" ca="1">IF(NPSwitch=1,_xll.TR(CD$7,CD$6,"Sdate=#1 Period=#2 NULL=BLANK Scale=6",,$D89,$AS$4),CD89)</f>
        <v>5541.2250000000004</v>
      </c>
      <c r="CE89" s="765" cm="1">
        <f t="array" aca="1" ref="CE89" ca="1">IF(NPSwitch=1,_xll.TR(CE$7,CE$6,"Sdate=#1 Period=#2 NULL=BLANK Scale=6",,$D89,$AS$4),CE89)</f>
        <v>10318</v>
      </c>
      <c r="CF89" s="765" cm="1">
        <f t="array" aca="1" ref="CF89" ca="1">IF(NPSwitch=1,_xll.TR(CF$7,CF$6,"Sdate=#1 Period=#2 NULL=BLANK Scale=6",,$D89,$AS$4),CF89)</f>
        <v>14394.25</v>
      </c>
      <c r="CG89" s="765" cm="1">
        <f t="array" aca="1" ref="CG89" ca="1">IF(NPSwitch=1,_xll.TR(CG$7,CG$6,"Sdate=#1 Period=#2 NULL=BLANK Scale=6",,$D89,$AS$4),CG89)</f>
        <v>12200.5</v>
      </c>
      <c r="CI89" s="1000" cm="1">
        <f t="array" aca="1" ref="CI89" ca="1">IF(NPSwitch=1,_xll.TR(CI$7,CI$6,"Sdate=#1 Period=#2 NULL=BLANK Scale=6",,$D89,$AS$4),CI89)</f>
        <v>8172</v>
      </c>
      <c r="CJ89" s="1000" cm="1">
        <f t="array" aca="1" ref="CJ89" ca="1">IF(NPSwitch=1,_xll.TR(CJ$7,CJ$6,"Sdate=#1 Period=#2 NULL=BLANK Scale=6",,$D89,$AS$4),CJ89)</f>
        <v>926.27800000000002</v>
      </c>
      <c r="CK89" s="1000" cm="1">
        <f t="array" aca="1" ref="CK89" ca="1">IF(NPSwitch=1,_xll.TR(CK$7,CK$6,"Sdate=#1 Period=#2 NULL=BLANK Scale=6",,$D89,$AS$4),CK89)</f>
        <v>551</v>
      </c>
      <c r="CL89" s="1000" cm="1">
        <f t="array" aca="1" ref="CL89" ca="1">IF(NPSwitch=1,_xll.TR(CL$7,CL$6,"Sdate=#1 Period=#2 NULL=BLANK Scale=6",,$D89,$AS$4),CL89)</f>
        <v>270</v>
      </c>
      <c r="CM89" s="1000" cm="1">
        <f t="array" aca="1" ref="CM89" ca="1">IF(NPSwitch=1,_xll.TR(CM$7,CM$6,"Sdate=#1 Period=#2 NULL=BLANK Scale=6",,$D89,$AS$4),CM89)</f>
        <v>1194</v>
      </c>
      <c r="CN89" s="1000" cm="1">
        <f t="array" aca="1" ref="CN89" ca="1">IF(NPSwitch=1,_xll.TR(CN$7,CN$6,"Sdate=#1 Period=#2 NULL=BLANK Scale=6",,$D89,$AS$4),CN89)</f>
        <v>1097.9000000000001</v>
      </c>
      <c r="CO89" s="1000" cm="1">
        <f t="array" aca="1" ref="CO89" ca="1">IF(NPSwitch=1,_xll.TR(CO$7,CO$6,"Sdate=#1 Period=#2 NULL=BLANK Scale=6",,$D89,$AS$4),CO89)</f>
        <v>2479</v>
      </c>
      <c r="CP89" s="1000" cm="1">
        <f t="array" aca="1" ref="CP89" ca="1">IF(NPSwitch=1,_xll.TR(CP$7,CP$6,"Sdate=#1 Period=#2 NULL=BLANK Scale=6",,$D89,$AS$4),CP89)</f>
        <v>2282</v>
      </c>
      <c r="CQ89" s="1000" cm="1">
        <f t="array" aca="1" ref="CQ89" ca="1">IF(NPSwitch=1,_xll.TR(CQ$7,CQ$6,"Sdate=#1 Period=#2 NULL=BLANK Scale=6",,$D89,$AS$4),CQ89)</f>
        <v>2149</v>
      </c>
      <c r="CS89" s="1000" cm="1">
        <f t="array" aca="1" ref="CS89" ca="1">IF(NPSwitch=1,_xll.TR(CS$7,CS$6,"Sdate=#1 Period=#2 NULL=BLANK Scale=6",,$D89,$AS$4),CS89)</f>
        <v>8758.25</v>
      </c>
      <c r="CT89" s="1000" cm="1">
        <f t="array" aca="1" ref="CT89" ca="1">IF(NPSwitch=1,_xll.TR(CT$7,CT$6,"Sdate=#1 Period=#2 NULL=BLANK Scale=6",,$D89,$AS$4),CT89)</f>
        <v>2554.1152499999998</v>
      </c>
      <c r="CU89" s="1000" cm="1">
        <f t="array" aca="1" ref="CU89" ca="1">IF(NPSwitch=1,_xll.TR(CU$7,CU$6,"Sdate=#1 Period=#2 NULL=BLANK Scale=6",,$D89,$AS$4),CU89)</f>
        <v>1937</v>
      </c>
      <c r="CV89" s="1000" cm="1">
        <f t="array" aca="1" ref="CV89" ca="1">IF(NPSwitch=1,_xll.TR(CV$7,CV$6,"Sdate=#1 Period=#2 NULL=BLANK Scale=6",,$D89,$AS$4),CV89)</f>
        <v>470.55</v>
      </c>
      <c r="CW89" s="1000" cm="1">
        <f t="array" aca="1" ref="CW89" ca="1">IF(NPSwitch=1,_xll.TR(CW$7,CW$6,"Sdate=#1 Period=#2 NULL=BLANK Scale=6",,$D89,$AS$4),CW89)</f>
        <v>904.22500000000002</v>
      </c>
      <c r="CX89" s="1000" cm="1">
        <f t="array" aca="1" ref="CX89" ca="1">IF(NPSwitch=1,_xll.TR(CX$7,CX$6,"Sdate=#1 Period=#2 NULL=BLANK Scale=6",,$D89,$AS$4),CX89)</f>
        <v>2788.5</v>
      </c>
      <c r="CY89" s="1000" cm="1">
        <f t="array" aca="1" ref="CY89" ca="1">IF(NPSwitch=1,_xll.TR(CY$7,CY$6,"Sdate=#1 Period=#2 NULL=BLANK Scale=6",,$D89,$AS$4),CY89)</f>
        <v>5385</v>
      </c>
      <c r="CZ89" s="1000" cm="1">
        <f t="array" aca="1" ref="CZ89" ca="1">IF(NPSwitch=1,_xll.TR(CZ$7,CZ$6,"Sdate=#1 Period=#2 NULL=BLANK Scale=6",,$D89,$AS$4),CZ89)</f>
        <v>5573.5</v>
      </c>
      <c r="DA89" s="1000" cm="1">
        <f t="array" aca="1" ref="DA89" ca="1">IF(NPSwitch=1,_xll.TR(DA$7,DA$6,"Sdate=#1 Period=#2 NULL=BLANK Scale=6",,$D89,$AS$4),DA89)</f>
        <v>3748.25</v>
      </c>
      <c r="DB89" s="1000" cm="1">
        <f t="array" aca="1" ref="DB89" ca="1">IF(NPSwitch=1,_xll.TR(DB$7,DB$6,"Sdate=#1 Period=#2 NULL=BLANK Scale=6",,$D89,$AS$4),DB89)</f>
        <v>24922</v>
      </c>
      <c r="DC89" s="1000" t="str" cm="1">
        <f t="array" aca="1" ref="DC89" ca="1">IF(NPSwitch=1,_xll.TR(DC$7,DC$6,"Sdate=#1 Period=#2 NULL=BLANK Scale=6",,$D89,$AS$4),DC89)</f>
        <v/>
      </c>
      <c r="DD89" s="1000" cm="1">
        <f t="array" aca="1" ref="DD89" ca="1">IF(NPSwitch=1,_xll.TR(DD$7,DD$6,"Sdate=#1 Period=#2 NULL=BLANK Scale=6",,$D89,$AS$4),DD89)</f>
        <v>11073.25</v>
      </c>
      <c r="DE89" s="1000" cm="1">
        <f t="array" aca="1" ref="DE89" ca="1">IF(NPSwitch=1,_xll.TR(DE$7,DE$6,"Sdate=#1 Period=#2 NULL=BLANK Scale=6",,$D89,$AS$4),DE89)</f>
        <v>35941.5</v>
      </c>
      <c r="DF89" s="1000" cm="1">
        <f t="array" aca="1" ref="DF89" ca="1">IF(NPSwitch=1,_xll.TR(DF$7,DF$6,"Sdate=#1 Period=#2 NULL=BLANK Scale=6",,$D89,$AS$4),DF89)</f>
        <v>470.55</v>
      </c>
      <c r="DG89" s="1000" cm="1">
        <f t="array" aca="1" ref="DG89" ca="1">IF(NPSwitch=1,_xll.TR(DG$7,DG$6,"Sdate=#1 Period=#2 NULL=BLANK Scale=6",,$D89,$AS$4),DG89)</f>
        <v>3066</v>
      </c>
      <c r="DH89" s="1000" cm="1">
        <f t="array" aca="1" ref="DH89" ca="1">IF(NPSwitch=1,_xll.TR(DH$7,DH$6,"Sdate=#1 Period=#2 NULL=BLANK Scale=6",,$D89,$AS$4),DH89)</f>
        <v>6417.6592499999997</v>
      </c>
      <c r="FN89" s="3" t="s">
        <v>1589</v>
      </c>
    </row>
    <row r="90" spans="3:170">
      <c r="C90" s="969">
        <f t="shared" si="47"/>
        <v>43373</v>
      </c>
      <c r="D90" s="974">
        <f t="shared" si="46"/>
        <v>43418</v>
      </c>
      <c r="E90" s="765" cm="1">
        <f t="array" aca="1" ref="E90" ca="1">IF(NPSwitch=1,_xll.TR(E$7,E$6,"Sdate=#1 Period=#2 NULL=BLANK",,$D90,$E$4),E90)</f>
        <v>12.952019703027601</v>
      </c>
      <c r="F90" s="765" cm="1">
        <f t="array" aca="1" ref="F90" ca="1">IF(NPSwitch=1,_xll.TR(F$7,F$6,"Sdate=#1 Period=#2 NULL=BLANK",,$D90,$E$4),F90)</f>
        <v>10.673669509687899</v>
      </c>
      <c r="G90" s="765" cm="1">
        <f t="array" aca="1" ref="G90" ca="1">IF(NPSwitch=1,_xll.TR(G$7,G$6,"Sdate=#1 Period=#2 NULL=BLANK",,$D90,$E$4),G90)</f>
        <v>10.436165249049999</v>
      </c>
      <c r="H90" s="765" cm="1">
        <f t="array" aca="1" ref="H90" ca="1">IF(NPSwitch=1,_xll.TR(H$7,H$6,"Sdate=#1 Period=#2 NULL=BLANK",,$D90,$E$4),H90)</f>
        <v>8.8528965154588395</v>
      </c>
      <c r="I90" s="765" cm="1">
        <f t="array" aca="1" ref="I90" ca="1">IF(NPSwitch=1,_xll.TR(I$7,I$6,"Sdate=#1 Period=#2 NULL=BLANK",,$D90,$E$4),I90)</f>
        <v>5.6564327096620897</v>
      </c>
      <c r="J90" s="765" cm="1">
        <f t="array" aca="1" ref="J90" ca="1">IF(NPSwitch=1,_xll.TR(J$7,J$6,"Sdate=#1 Period=#2 NULL=BLANK",,$D90,$E$4),J90)</f>
        <v>10.3721663936004</v>
      </c>
      <c r="K90" s="765" cm="1">
        <f t="array" aca="1" ref="K90" ca="1">IF(NPSwitch=1,_xll.TR(K$7,K$6,"Sdate=#1 Period=#2 NULL=BLANK",,$D90,$E$4),K90)</f>
        <v>11.3254201438208</v>
      </c>
      <c r="L90" s="765" cm="1">
        <f t="array" aca="1" ref="L90" ca="1">IF(NPSwitch=1,_xll.TR(L$7,L$6,"Sdate=#1 Period=#2 NULL=BLANK",,$D90,$E$4),L90)</f>
        <v>6.2124315728994404</v>
      </c>
      <c r="M90" s="765" cm="1">
        <f t="array" aca="1" ref="M90" ca="1">IF(NPSwitch=1,_xll.TR(M$7,M$6,"Sdate=#1 Period=#2 NULL=BLANK",,$D90,$E$4),M90)</f>
        <v>7.5448281157362196</v>
      </c>
      <c r="N90" s="1002">
        <f t="shared" ca="1" si="45"/>
        <v>8.8092520974152624</v>
      </c>
      <c r="O90" s="1000" cm="1">
        <f t="array" aca="1" ref="O90" ca="1">IF(NPSwitch=1,_xll.TR(O$7,O$6,"Sdate=#1 Period=#2 Scale=6 NULL=BLANK",,$D90,$O$4),O90)</f>
        <v>115327.78995809999</v>
      </c>
      <c r="P90" s="1000" cm="1">
        <f t="array" aca="1" ref="P90" ca="1">IF(NPSwitch=1,_xll.TR(P$7,P$6,"Sdate=#1 Period=#2 Scale=6 NULL=BLANK",,$D90,$O$4),P90)</f>
        <v>10614.2161469</v>
      </c>
      <c r="Q90" s="1000" cm="1">
        <f t="array" aca="1" ref="Q90" ca="1">IF(NPSwitch=1,_xll.TR(Q$7,Q$6,"Sdate=#1 Period=#2 Scale=6 NULL=BLANK",,$D90,$O$4),Q90)</f>
        <v>5052.7140216799999</v>
      </c>
      <c r="R90" s="1000" cm="1">
        <f t="array" aca="1" ref="R90" ca="1">IF(NPSwitch=1,_xll.TR(R$7,R$6,"Sdate=#1 Period=#2 Scale=6 NULL=BLANK",,$D90,$O$4),R90)</f>
        <v>2641.2583926900002</v>
      </c>
      <c r="S90" s="1000" cm="1">
        <f t="array" aca="1" ref="S90" ca="1">IF(NPSwitch=1,_xll.TR(S$7,S$6,"Sdate=#1 Period=#2 Scale=6 NULL=BLANK",,$D90,$O$4),S90)</f>
        <v>5166.8092527999997</v>
      </c>
      <c r="T90" s="1000" cm="1">
        <f t="array" aca="1" ref="T90" ca="1">IF(NPSwitch=1,_xll.TR(T$7,T$6,"Sdate=#1 Period=#2 Scale=6 NULL=BLANK",,$D90,$O$4),T90)</f>
        <v>10904.597794740001</v>
      </c>
      <c r="U90" s="1000" cm="1">
        <f t="array" aca="1" ref="U90" ca="1">IF(NPSwitch=1,_xll.TR(U$7,U$6,"Sdate=#1 Period=#2 Scale=6 NULL=BLANK",,$D90,$O$4),U90)</f>
        <v>25271.866735149899</v>
      </c>
      <c r="V90" s="1000" cm="1">
        <f t="array" aca="1" ref="V90" ca="1">IF(NPSwitch=1,_xll.TR(V$7,V$6,"Sdate=#1 Period=#2 Scale=6 NULL=BLANK",,$D90,$O$4),V90)</f>
        <v>10868.214102399999</v>
      </c>
      <c r="W90" s="1000" cm="1">
        <f t="array" aca="1" ref="W90" ca="1">IF(NPSwitch=1,_xll.TR(W$7,W$6,"Sdate=#1 Period=#2 Scale=6 NULL=BLANK",,$D90,$O$4),W90)</f>
        <v>11486.2534521</v>
      </c>
      <c r="X90" s="998"/>
      <c r="Y90" s="1000" cm="1">
        <f t="array" aca="1" ref="Y90" ca="1">IF(NPSwitch=1,_xll.TR(Y$7,Y$6,"Sdate=#1 Period=#2 Scale=6 NULL=BLANK",,$D90,$O$4),Y90)</f>
        <v>3733.25</v>
      </c>
      <c r="Z90" s="1000" cm="1">
        <f t="array" aca="1" ref="Z90" ca="1">IF(NPSwitch=1,_xll.TR(Z$7,Z$6,"Sdate=#1 Period=#2 Scale=6 NULL=BLANK",,$D90,$O$4),Z90)</f>
        <v>844.71524999999997</v>
      </c>
      <c r="AA90" s="1000" cm="1">
        <f t="array" aca="1" ref="AA90" ca="1">IF(NPSwitch=1,_xll.TR(AA$7,AA$6,"Sdate=#1 Period=#2 Scale=6 NULL=BLANK",,$D90,$O$4),AA90)</f>
        <v>325.5</v>
      </c>
      <c r="AB90" s="1000" cm="1">
        <f t="array" aca="1" ref="AB90" ca="1">IF(NPSwitch=1,_xll.TR(AB$7,AB$6,"Sdate=#1 Period=#2 Scale=6 NULL=BLANK",,$D90,$O$4),AB90)</f>
        <v>187.125</v>
      </c>
      <c r="AC90" s="1000" cm="1">
        <f t="array" aca="1" ref="AC90" ca="1">IF(NPSwitch=1,_xll.TR(AC$7,AC$6,"Sdate=#1 Period=#2 Scale=6 NULL=BLANK",,$D90,$O$4),AC90)</f>
        <v>442</v>
      </c>
      <c r="AD90" s="1000" cm="1">
        <f t="array" aca="1" ref="AD90" ca="1">IF(NPSwitch=1,_xll.TR(AD$7,AD$6,"Sdate=#1 Period=#2 Scale=6 NULL=BLANK",,$D90,$O$4),AD90)</f>
        <v>286.39999999999998</v>
      </c>
      <c r="AE90" s="1000" cm="1">
        <f t="array" aca="1" ref="AE90" ca="1">IF(NPSwitch=1,_xll.TR(AE$7,AE$6,"Sdate=#1 Period=#2 Scale=6 NULL=BLANK",,$D90,$O$4),AE90)</f>
        <v>1284.5</v>
      </c>
      <c r="AF90" s="1000" cm="1">
        <f t="array" aca="1" ref="AF90" ca="1">IF(NPSwitch=1,_xll.TR(AF$7,AF$6,"Sdate=#1 Period=#2 Scale=6 NULL=BLANK",,$D90,$O$4),AF90)</f>
        <v>1059</v>
      </c>
      <c r="AG90" s="1000" cm="1">
        <f t="array" aca="1" ref="AG90" ca="1">IF(NPSwitch=1,_xll.TR(AG$7,AG$6,"Sdate=#1 Period=#2 Scale=6 NULL=BLANK",,$D90,$O$4),AG90)</f>
        <v>192.75</v>
      </c>
      <c r="AH90" s="998"/>
      <c r="AI90" s="1000" cm="1">
        <f t="array" aca="1" ref="AI90" ca="1">IF(NPSwitch=1,_xll.TR(AI$7,AI$6,"Sdate=#1 Period=#2 Scale=6 NULL=BLANK",,$D90,$O$4),AI90)</f>
        <v>126713.78995809999</v>
      </c>
      <c r="AJ90" s="1000" cm="1">
        <f t="array" aca="1" ref="AJ90" ca="1">IF(NPSwitch=1,_xll.TR(AJ$7,AJ$6,"Sdate=#1 Period=#2 Scale=6 NULL=BLANK",,$D90,$O$4),AJ90)</f>
        <v>11828.2161469</v>
      </c>
      <c r="AK90" s="1000" cm="1">
        <f t="array" aca="1" ref="AK90" ca="1">IF(NPSwitch=1,_xll.TR(AK$7,AK$6,"Sdate=#1 Period=#2 Scale=6 NULL=BLANK",,$D90,$O$4),AK90)</f>
        <v>7402.7140216799999</v>
      </c>
      <c r="AL90" s="1000" cm="1">
        <f t="array" aca="1" ref="AL90" ca="1">IF(NPSwitch=1,_xll.TR(AL$7,AL$6,"Sdate=#1 Period=#2 Scale=6 NULL=BLANK",,$D90,$O$4),AL90)</f>
        <v>3797.45839269</v>
      </c>
      <c r="AM90" s="1000" cm="1">
        <f t="array" aca="1" ref="AM90" ca="1">IF(NPSwitch=1,_xll.TR(AM$7,AM$6,"Sdate=#1 Period=#2 Scale=6 NULL=BLANK",,$D90,$O$4),AM90)</f>
        <v>8373.8092527999997</v>
      </c>
      <c r="AN90" s="1000" cm="1">
        <f t="array" aca="1" ref="AN90" ca="1">IF(NPSwitch=1,_xll.TR(AN$7,AN$6,"Sdate=#1 Period=#2 Scale=6 NULL=BLANK",,$D90,$O$4),AN90)</f>
        <v>13502.697794739999</v>
      </c>
      <c r="AO90" s="1000" cm="1">
        <f t="array" aca="1" ref="AO90" ca="1">IF(NPSwitch=1,_xll.TR(AO$7,AO$6,"Sdate=#1 Period=#2 Scale=6 NULL=BLANK",,$D90,$O$4),AO90)</f>
        <v>29247.866735150001</v>
      </c>
      <c r="AP90" s="1000" cm="1">
        <f t="array" aca="1" ref="AP90" ca="1">IF(NPSwitch=1,_xll.TR(AP$7,AP$6,"Sdate=#1 Period=#2 Scale=6 NULL=BLANK",,$D90,$O$4),AP90)</f>
        <v>14490.214102399999</v>
      </c>
      <c r="AQ90" s="1000" cm="1">
        <f t="array" aca="1" ref="AQ90" ca="1">IF(NPSwitch=1,_xll.TR(AQ$7,AQ$6,"Sdate=#1 Period=#2 Scale=6 NULL=BLANK",,$D90,$O$4),AQ90)</f>
        <v>17994.253452100002</v>
      </c>
      <c r="AS90" s="765" cm="1">
        <f t="array" aca="1" ref="AS90" ca="1">IF(NPSwitch=1,_xll.TR(AS$7,AS$6,"Sdate=#1 Period=#2 NULL=BLANK Scale=6",,$D90,$AS$4),AS90)</f>
        <v>19.737500000000001</v>
      </c>
      <c r="AT90" s="765" cm="1">
        <f t="array" aca="1" ref="AT90" ca="1">IF(NPSwitch=1,_xll.TR(AT$7,AT$6,"Sdate=#1 Period=#2 NULL=BLANK Scale=6",,$D90,$AS$4),AT90)</f>
        <v>11.362500000000001</v>
      </c>
      <c r="AU90" s="765" t="str" cm="1">
        <f t="array" aca="1" ref="AU90" ca="1">IF(NPSwitch=1,_xll.TR(AU$7,AU$6,"Sdate=#1 Period=#2 NULL=BLANK Scale=6",,$D90,$AS$4),AU90)</f>
        <v/>
      </c>
      <c r="AV90" s="765" cm="1">
        <f t="array" aca="1" ref="AV90" ca="1">IF(NPSwitch=1,_xll.TR(AV$7,AV$6,"Sdate=#1 Period=#2 NULL=BLANK Scale=6",,$D90,$AS$4),AV90)</f>
        <v>10.625</v>
      </c>
      <c r="AW90" s="765" t="str" cm="1">
        <f t="array" aca="1" ref="AW90" ca="1">IF(NPSwitch=1,_xll.TR(AW$7,AW$6,"Sdate=#1 Period=#2 NULL=BLANK Scale=6",,$D90,$AS$4),AW90)</f>
        <v/>
      </c>
      <c r="AX90" s="765" cm="1">
        <f t="array" aca="1" ref="AX90" ca="1">IF(NPSwitch=1,_xll.TR(AX$7,AX$6,"Sdate=#1 Period=#2 NULL=BLANK Scale=6",,$D90,$AS$4),AX90)</f>
        <v>15.277780833333299</v>
      </c>
      <c r="AY90" s="765" cm="1">
        <f t="array" aca="1" ref="AY90" ca="1">IF(NPSwitch=1,_xll.TR(AY$7,AY$6,"Sdate=#1 Period=#2 NULL=BLANK Scale=6",,$D90,$AS$4),AY90)</f>
        <v>16.4375</v>
      </c>
      <c r="AZ90" s="765" cm="1">
        <f t="array" aca="1" ref="AZ90" ca="1">IF(NPSwitch=1,_xll.TR(AZ$7,AZ$6,"Sdate=#1 Period=#2 NULL=BLANK Scale=6",,$D90,$AS$4),AZ90)</f>
        <v>8.1979166666666696</v>
      </c>
      <c r="BA90" s="765" cm="1">
        <f t="array" aca="1" ref="BA90" ca="1">IF(NPSwitch=1,_xll.TR(BA$7,BA$6,"Sdate=#1 Period=#2 NULL=BLANK Scale=6",,$D90,$AS$4),BA90)</f>
        <v>11.991666666666699</v>
      </c>
      <c r="BB90" s="1002"/>
      <c r="BO90" s="765" cm="1">
        <f t="array" aca="1" ref="BO90" ca="1">IF(NPSwitch=1,_xll.TR(BO$7,BO$6,"Sdate=#1 Period=#2 NULL=BLANK Scale=6",,$D90,$AS$4),BO90)</f>
        <v>32810</v>
      </c>
      <c r="BP90" s="765" cm="1">
        <f t="array" aca="1" ref="BP90" ca="1">IF(NPSwitch=1,_xll.TR(BP$7,BP$6,"Sdate=#1 Period=#2 NULL=BLANK Scale=6",,$D90,$AS$4),BP90)</f>
        <v>3311.04</v>
      </c>
      <c r="BQ90" s="765" cm="1">
        <f t="array" aca="1" ref="BQ90" ca="1">IF(NPSwitch=1,_xll.TR(BQ$7,BQ$6,"Sdate=#1 Period=#2 NULL=BLANK Scale=6",,$D90,$AS$4),BQ90)</f>
        <v>2588</v>
      </c>
      <c r="BR90" s="765" cm="1">
        <f t="array" aca="1" ref="BR90" ca="1">IF(NPSwitch=1,_xll.TR(BR$7,BR$6,"Sdate=#1 Period=#2 NULL=BLANK Scale=6",,$D90,$AS$4),BR90)</f>
        <v>2706.4</v>
      </c>
      <c r="BS90" s="765" cm="1">
        <f t="array" aca="1" ref="BS90" ca="1">IF(NPSwitch=1,_xll.TR(BS$7,BS$6,"Sdate=#1 Period=#2 NULL=BLANK Scale=6",,$D90,$AS$4),BS90)</f>
        <v>7357</v>
      </c>
      <c r="BT90" s="765" cm="1">
        <f t="array" aca="1" ref="BT90" ca="1">IF(NPSwitch=1,_xll.TR(BT$7,BT$6,"Sdate=#1 Period=#2 NULL=BLANK Scale=6",,$D90,$AS$4),BT90)</f>
        <v>4165.5</v>
      </c>
      <c r="BU90" s="765" cm="1">
        <f t="array" aca="1" ref="BU90" ca="1">IF(NPSwitch=1,_xll.TR(BU$7,BU$6,"Sdate=#1 Period=#2 NULL=BLANK Scale=6",,$D90,$AS$4),BU90)</f>
        <v>15411</v>
      </c>
      <c r="BV90" s="765" cm="1">
        <f t="array" aca="1" ref="BV90" ca="1">IF(NPSwitch=1,_xll.TR(BV$7,BV$6,"Sdate=#1 Period=#2 NULL=BLANK Scale=6",,$D90,$AS$4),BV90)</f>
        <v>11187</v>
      </c>
      <c r="BW90" s="765" cm="1">
        <f t="array" aca="1" ref="BW90" ca="1">IF(NPSwitch=1,_xll.TR(BW$7,BW$6,"Sdate=#1 Period=#2 NULL=BLANK Scale=6",,$D90,$AS$4),BW90)</f>
        <v>10137</v>
      </c>
      <c r="BY90" s="765" cm="1">
        <f t="array" aca="1" ref="BY90" ca="1">IF(NPSwitch=1,_xll.TR(BY$7,BY$6,"Sdate=#1 Period=#2 NULL=BLANK Scale=6",,$D90,$AS$4),BY90)</f>
        <v>25593.5</v>
      </c>
      <c r="BZ90" s="765" cm="1">
        <f t="array" aca="1" ref="BZ90" ca="1">IF(NPSwitch=1,_xll.TR(BZ$7,BZ$6,"Sdate=#1 Period=#2 NULL=BLANK Scale=6",,$D90,$AS$4),BZ90)</f>
        <v>5477.83025</v>
      </c>
      <c r="CA90" s="765" cm="1">
        <f t="array" aca="1" ref="CA90" ca="1">IF(NPSwitch=1,_xll.TR(CA$7,CA$6,"Sdate=#1 Period=#2 NULL=BLANK Scale=6",,$D90,$AS$4),CA90)</f>
        <v>6088.25</v>
      </c>
      <c r="CB90" s="765" cm="1">
        <f t="array" aca="1" ref="CB90" ca="1">IF(NPSwitch=1,_xll.TR(CB$7,CB$6,"Sdate=#1 Period=#2 NULL=BLANK Scale=6",,$D90,$AS$4),CB90)</f>
        <v>1930.9</v>
      </c>
      <c r="CC90" s="765" cm="1">
        <f t="array" aca="1" ref="CC90" ca="1">IF(NPSwitch=1,_xll.TR(CC$7,CC$6,"Sdate=#1 Period=#2 NULL=BLANK Scale=6",,$D90,$AS$4),CC90)</f>
        <v>6212.25</v>
      </c>
      <c r="CD90" s="765" cm="1">
        <f t="array" aca="1" ref="CD90" ca="1">IF(NPSwitch=1,_xll.TR(CD$7,CD$6,"Sdate=#1 Period=#2 NULL=BLANK Scale=6",,$D90,$AS$4),CD90)</f>
        <v>6035.9</v>
      </c>
      <c r="CE90" s="765" cm="1">
        <f t="array" aca="1" ref="CE90" ca="1">IF(NPSwitch=1,_xll.TR(CE$7,CE$6,"Sdate=#1 Period=#2 NULL=BLANK Scale=6",,$D90,$AS$4),CE90)</f>
        <v>10168.25</v>
      </c>
      <c r="CF90" s="765" cm="1">
        <f t="array" aca="1" ref="CF90" ca="1">IF(NPSwitch=1,_xll.TR(CF$7,CF$6,"Sdate=#1 Period=#2 NULL=BLANK Scale=6",,$D90,$AS$4),CF90)</f>
        <v>14421.25</v>
      </c>
      <c r="CG90" s="765" cm="1">
        <f t="array" aca="1" ref="CG90" ca="1">IF(NPSwitch=1,_xll.TR(CG$7,CG$6,"Sdate=#1 Period=#2 NULL=BLANK Scale=6",,$D90,$AS$4),CG90)</f>
        <v>12407.5</v>
      </c>
      <c r="CI90" s="1000" cm="1">
        <f t="array" aca="1" ref="CI90" ca="1">IF(NPSwitch=1,_xll.TR(CI$7,CI$6,"Sdate=#1 Period=#2 NULL=BLANK Scale=6",,$D90,$AS$4),CI90)</f>
        <v>8158</v>
      </c>
      <c r="CJ90" s="1000" cm="1">
        <f t="array" aca="1" ref="CJ90" ca="1">IF(NPSwitch=1,_xll.TR(CJ$7,CJ$6,"Sdate=#1 Period=#2 NULL=BLANK Scale=6",,$D90,$AS$4),CJ90)</f>
        <v>942.428</v>
      </c>
      <c r="CK90" s="1000" cm="1">
        <f t="array" aca="1" ref="CK90" ca="1">IF(NPSwitch=1,_xll.TR(CK$7,CK$6,"Sdate=#1 Period=#2 NULL=BLANK Scale=6",,$D90,$AS$4),CK90)</f>
        <v>660</v>
      </c>
      <c r="CL90" s="1000" cm="1">
        <f t="array" aca="1" ref="CL90" ca="1">IF(NPSwitch=1,_xll.TR(CL$7,CL$6,"Sdate=#1 Period=#2 NULL=BLANK Scale=6",,$D90,$AS$4),CL90)</f>
        <v>249.3</v>
      </c>
      <c r="CM90" s="1000" cm="1">
        <f t="array" aca="1" ref="CM90" ca="1">IF(NPSwitch=1,_xll.TR(CM$7,CM$6,"Sdate=#1 Period=#2 NULL=BLANK Scale=6",,$D90,$AS$4),CM90)</f>
        <v>1178</v>
      </c>
      <c r="CN90" s="1000" cm="1">
        <f t="array" aca="1" ref="CN90" ca="1">IF(NPSwitch=1,_xll.TR(CN$7,CN$6,"Sdate=#1 Period=#2 NULL=BLANK Scale=6",,$D90,$AS$4),CN90)</f>
        <v>1131.4000000000001</v>
      </c>
      <c r="CO90" s="1000" cm="1">
        <f t="array" aca="1" ref="CO90" ca="1">IF(NPSwitch=1,_xll.TR(CO$7,CO$6,"Sdate=#1 Period=#2 NULL=BLANK Scale=6",,$D90,$AS$4),CO90)</f>
        <v>2421</v>
      </c>
      <c r="CP90" s="1000" cm="1">
        <f t="array" aca="1" ref="CP90" ca="1">IF(NPSwitch=1,_xll.TR(CP$7,CP$6,"Sdate=#1 Period=#2 NULL=BLANK Scale=6",,$D90,$AS$4),CP90)</f>
        <v>2193</v>
      </c>
      <c r="CQ90" s="1000" cm="1">
        <f t="array" aca="1" ref="CQ90" ca="1">IF(NPSwitch=1,_xll.TR(CQ$7,CQ$6,"Sdate=#1 Period=#2 NULL=BLANK Scale=6",,$D90,$AS$4),CQ90)</f>
        <v>2215</v>
      </c>
      <c r="CS90" s="1000" cm="1">
        <f t="array" aca="1" ref="CS90" ca="1">IF(NPSwitch=1,_xll.TR(CS$7,CS$6,"Sdate=#1 Period=#2 NULL=BLANK Scale=6",,$D90,$AS$4),CS90)</f>
        <v>8751.25</v>
      </c>
      <c r="CT90" s="1000" cm="1">
        <f t="array" aca="1" ref="CT90" ca="1">IF(NPSwitch=1,_xll.TR(CT$7,CT$6,"Sdate=#1 Period=#2 NULL=BLANK Scale=6",,$D90,$AS$4),CT90)</f>
        <v>2639.3852499999998</v>
      </c>
      <c r="CU90" s="1000" cm="1">
        <f t="array" aca="1" ref="CU90" ca="1">IF(NPSwitch=1,_xll.TR(CU$7,CU$6,"Sdate=#1 Period=#2 NULL=BLANK Scale=6",,$D90,$AS$4),CU90)</f>
        <v>1858.25</v>
      </c>
      <c r="CV90" s="1000" cm="1">
        <f t="array" aca="1" ref="CV90" ca="1">IF(NPSwitch=1,_xll.TR(CV$7,CV$6,"Sdate=#1 Period=#2 NULL=BLANK Scale=6",,$D90,$AS$4),CV90)</f>
        <v>480.52499999999998</v>
      </c>
      <c r="CW90" s="1000" cm="1">
        <f t="array" aca="1" ref="CW90" ca="1">IF(NPSwitch=1,_xll.TR(CW$7,CW$6,"Sdate=#1 Period=#2 NULL=BLANK Scale=6",,$D90,$AS$4),CW90)</f>
        <v>1018.15</v>
      </c>
      <c r="CX90" s="1000" cm="1">
        <f t="array" aca="1" ref="CX90" ca="1">IF(NPSwitch=1,_xll.TR(CX$7,CX$6,"Sdate=#1 Period=#2 NULL=BLANK Scale=6",,$D90,$AS$4),CX90)</f>
        <v>2790.5</v>
      </c>
      <c r="CY90" s="1000" cm="1">
        <f t="array" aca="1" ref="CY90" ca="1">IF(NPSwitch=1,_xll.TR(CY$7,CY$6,"Sdate=#1 Period=#2 NULL=BLANK Scale=6",,$D90,$AS$4),CY90)</f>
        <v>5372.5</v>
      </c>
      <c r="CZ90" s="1000" cm="1">
        <f t="array" aca="1" ref="CZ90" ca="1">IF(NPSwitch=1,_xll.TR(CZ$7,CZ$6,"Sdate=#1 Period=#2 NULL=BLANK Scale=6",,$D90,$AS$4),CZ90)</f>
        <v>5594.75</v>
      </c>
      <c r="DA90" s="1000" cm="1">
        <f t="array" aca="1" ref="DA90" ca="1">IF(NPSwitch=1,_xll.TR(DA$7,DA$6,"Sdate=#1 Period=#2 NULL=BLANK Scale=6",,$D90,$AS$4),DA90)</f>
        <v>3746.5</v>
      </c>
      <c r="DB90" s="1000" cm="1">
        <f t="array" aca="1" ref="DB90" ca="1">IF(NPSwitch=1,_xll.TR(DB$7,DB$6,"Sdate=#1 Period=#2 NULL=BLANK Scale=6",,$D90,$AS$4),DB90)</f>
        <v>23777.5</v>
      </c>
      <c r="DC90" s="1000" t="str" cm="1">
        <f t="array" aca="1" ref="DC90" ca="1">IF(NPSwitch=1,_xll.TR(DC$7,DC$6,"Sdate=#1 Period=#2 NULL=BLANK Scale=6",,$D90,$AS$4),DC90)</f>
        <v/>
      </c>
      <c r="DD90" s="1000" cm="1">
        <f t="array" aca="1" ref="DD90" ca="1">IF(NPSwitch=1,_xll.TR(DD$7,DD$6,"Sdate=#1 Period=#2 NULL=BLANK Scale=6",,$D90,$AS$4),DD90)</f>
        <v>11394.5</v>
      </c>
      <c r="DE90" s="1000" cm="1">
        <f t="array" aca="1" ref="DE90" ca="1">IF(NPSwitch=1,_xll.TR(DE$7,DE$6,"Sdate=#1 Period=#2 NULL=BLANK Scale=6",,$D90,$AS$4),DE90)</f>
        <v>35693.75</v>
      </c>
      <c r="DF90" s="1000" cm="1">
        <f t="array" aca="1" ref="DF90" ca="1">IF(NPSwitch=1,_xll.TR(DF$7,DF$6,"Sdate=#1 Period=#2 NULL=BLANK Scale=6",,$D90,$AS$4),DF90)</f>
        <v>480.52499999999998</v>
      </c>
      <c r="DG90" s="1000" cm="1">
        <f t="array" aca="1" ref="DG90" ca="1">IF(NPSwitch=1,_xll.TR(DG$7,DG$6,"Sdate=#1 Period=#2 NULL=BLANK Scale=6",,$D90,$AS$4),DG90)</f>
        <v>3058.25</v>
      </c>
      <c r="DH90" s="1000" cm="1">
        <f t="array" aca="1" ref="DH90" ca="1">IF(NPSwitch=1,_xll.TR(DH$7,DH$6,"Sdate=#1 Period=#2 NULL=BLANK Scale=6",,$D90,$AS$4),DH90)</f>
        <v>6461.5</v>
      </c>
      <c r="FN90" s="3" t="s">
        <v>1590</v>
      </c>
    </row>
    <row r="91" spans="3:170">
      <c r="C91" s="969">
        <f t="shared" si="47"/>
        <v>43465</v>
      </c>
      <c r="D91" s="974">
        <f t="shared" si="46"/>
        <v>43510</v>
      </c>
      <c r="E91" s="765" cm="1">
        <f t="array" aca="1" ref="E91" ca="1">IF(NPSwitch=1,_xll.TR(E$7,E$6,"Sdate=#1 Period=#2 NULL=BLANK",,$D91,$E$4),E91)</f>
        <v>13.2702384716635</v>
      </c>
      <c r="F91" s="765" cm="1">
        <f t="array" aca="1" ref="F91" ca="1">IF(NPSwitch=1,_xll.TR(F$7,F$6,"Sdate=#1 Period=#2 NULL=BLANK",,$D91,$E$4),F91)</f>
        <v>8.5500730661281494</v>
      </c>
      <c r="G91" s="765" cm="1">
        <f t="array" aca="1" ref="G91" ca="1">IF(NPSwitch=1,_xll.TR(G$7,G$6,"Sdate=#1 Period=#2 NULL=BLANK",,$D91,$E$4),G91)</f>
        <v>11.9402118751548</v>
      </c>
      <c r="H91" s="765" cm="1">
        <f t="array" aca="1" ref="H91" ca="1">IF(NPSwitch=1,_xll.TR(H$7,H$6,"Sdate=#1 Period=#2 NULL=BLANK",,$D91,$E$4),H91)</f>
        <v>8.4498532407750808</v>
      </c>
      <c r="I91" s="765" cm="1">
        <f t="array" aca="1" ref="I91" ca="1">IF(NPSwitch=1,_xll.TR(I$7,I$6,"Sdate=#1 Period=#2 NULL=BLANK",,$D91,$E$4),I91)</f>
        <v>5.4819116319725296</v>
      </c>
      <c r="J91" s="765" cm="1">
        <f t="array" aca="1" ref="J91" ca="1">IF(NPSwitch=1,_xll.TR(J$7,J$6,"Sdate=#1 Period=#2 NULL=BLANK",,$D91,$E$4),J91)</f>
        <v>11.2589981297007</v>
      </c>
      <c r="K91" s="765" cm="1">
        <f t="array" aca="1" ref="K91" ca="1">IF(NPSwitch=1,_xll.TR(K$7,K$6,"Sdate=#1 Period=#2 NULL=BLANK",,$D91,$E$4),K91)</f>
        <v>11.2929116951781</v>
      </c>
      <c r="L91" s="765" cm="1">
        <f t="array" aca="1" ref="L91" ca="1">IF(NPSwitch=1,_xll.TR(L$7,L$6,"Sdate=#1 Period=#2 NULL=BLANK",,$D91,$E$4),L91)</f>
        <v>5.9414654646435103</v>
      </c>
      <c r="M91" s="765" cm="1">
        <f t="array" aca="1" ref="M91" ca="1">IF(NPSwitch=1,_xll.TR(M$7,M$6,"Sdate=#1 Period=#2 NULL=BLANK",,$D91,$E$4),M91)</f>
        <v>7.7196499070828004</v>
      </c>
      <c r="N91" s="1002">
        <f t="shared" ca="1" si="45"/>
        <v>9.0608920062374523</v>
      </c>
      <c r="O91" s="1000" cm="1">
        <f t="array" aca="1" ref="O91" ca="1">IF(NPSwitch=1,_xll.TR(O$7,O$6,"Sdate=#1 Period=#2 Scale=6 NULL=BLANK",,$D91,$O$4),O91)</f>
        <v>117998.694</v>
      </c>
      <c r="P91" s="1000" cm="1">
        <f t="array" aca="1" ref="P91" ca="1">IF(NPSwitch=1,_xll.TR(P$7,P$6,"Sdate=#1 Period=#2 Scale=6 NULL=BLANK",,$D91,$O$4),P91)</f>
        <v>8541.0772717</v>
      </c>
      <c r="Q91" s="1000" cm="1">
        <f t="array" aca="1" ref="Q91" ca="1">IF(NPSwitch=1,_xll.TR(Q$7,Q$6,"Sdate=#1 Period=#2 Scale=6 NULL=BLANK",,$D91,$O$4),Q91)</f>
        <v>4939.9729916599999</v>
      </c>
      <c r="R91" s="1000" cm="1">
        <f t="array" aca="1" ref="R91" ca="1">IF(NPSwitch=1,_xll.TR(R$7,R$6,"Sdate=#1 Period=#2 Scale=6 NULL=BLANK",,$D91,$O$4),R91)</f>
        <v>2486.3395120199998</v>
      </c>
      <c r="S91" s="1000" cm="1">
        <f t="array" aca="1" ref="S91" ca="1">IF(NPSwitch=1,_xll.TR(S$7,S$6,"Sdate=#1 Period=#2 Scale=6 NULL=BLANK",,$D91,$O$4),S91)</f>
        <v>5358.3836768000001</v>
      </c>
      <c r="T91" s="1000" cm="1">
        <f t="array" aca="1" ref="T91" ca="1">IF(NPSwitch=1,_xll.TR(T$7,T$6,"Sdate=#1 Period=#2 Scale=6 NULL=BLANK",,$D91,$O$4),T91)</f>
        <v>11107.68712758</v>
      </c>
      <c r="U91" s="1000" cm="1">
        <f t="array" aca="1" ref="U91" ca="1">IF(NPSwitch=1,_xll.TR(U$7,U$6,"Sdate=#1 Period=#2 Scale=6 NULL=BLANK",,$D91,$O$4),U91)</f>
        <v>25302.522127820001</v>
      </c>
      <c r="V91" s="1000" cm="1">
        <f t="array" aca="1" ref="V91" ca="1">IF(NPSwitch=1,_xll.TR(V$7,V$6,"Sdate=#1 Period=#2 Scale=6 NULL=BLANK",,$D91,$O$4),V91)</f>
        <v>10219.191672319899</v>
      </c>
      <c r="W91" s="1000" cm="1">
        <f t="array" aca="1" ref="W91" ca="1">IF(NPSwitch=1,_xll.TR(W$7,W$6,"Sdate=#1 Period=#2 Scale=6 NULL=BLANK",,$D91,$O$4),W91)</f>
        <v>11428.194664320001</v>
      </c>
      <c r="X91" s="998"/>
      <c r="Y91" s="1000" cm="1">
        <f t="array" aca="1" ref="Y91" ca="1">IF(NPSwitch=1,_xll.TR(Y$7,Y$6,"Sdate=#1 Period=#2 Scale=6 NULL=BLANK",,$D91,$O$4),Y91)</f>
        <v>3509.25</v>
      </c>
      <c r="Z91" s="1000" cm="1">
        <f t="array" aca="1" ref="Z91" ca="1">IF(NPSwitch=1,_xll.TR(Z$7,Z$6,"Sdate=#1 Period=#2 Scale=6 NULL=BLANK",,$D91,$O$4),Z91)</f>
        <v>844.71524999999997</v>
      </c>
      <c r="AA91" s="1000" cm="1">
        <f t="array" aca="1" ref="AA91" ca="1">IF(NPSwitch=1,_xll.TR(AA$7,AA$6,"Sdate=#1 Period=#2 Scale=6 NULL=BLANK",,$D91,$O$4),AA91)</f>
        <v>212.5</v>
      </c>
      <c r="AB91" s="1000" cm="1">
        <f t="array" aca="1" ref="AB91" ca="1">IF(NPSwitch=1,_xll.TR(AB$7,AB$6,"Sdate=#1 Period=#2 Scale=6 NULL=BLANK",,$D91,$O$4),AB91)</f>
        <v>168.95</v>
      </c>
      <c r="AC91" s="1000" cm="1">
        <f t="array" aca="1" ref="AC91" ca="1">IF(NPSwitch=1,_xll.TR(AC$7,AC$6,"Sdate=#1 Period=#2 Scale=6 NULL=BLANK",,$D91,$O$4),AC91)</f>
        <v>409.5</v>
      </c>
      <c r="AD91" s="1000" cm="1">
        <f t="array" aca="1" ref="AD91" ca="1">IF(NPSwitch=1,_xll.TR(AD$7,AD$6,"Sdate=#1 Period=#2 Scale=6 NULL=BLANK",,$D91,$O$4),AD91)</f>
        <v>249.25</v>
      </c>
      <c r="AE91" s="1000" cm="1">
        <f t="array" aca="1" ref="AE91" ca="1">IF(NPSwitch=1,_xll.TR(AE$7,AE$6,"Sdate=#1 Period=#2 Scale=6 NULL=BLANK",,$D91,$O$4),AE91)</f>
        <v>1152.5</v>
      </c>
      <c r="AF91" s="1000" cm="1">
        <f t="array" aca="1" ref="AF91" ca="1">IF(NPSwitch=1,_xll.TR(AF$7,AF$6,"Sdate=#1 Period=#2 Scale=6 NULL=BLANK",,$D91,$O$4),AF91)</f>
        <v>1059</v>
      </c>
      <c r="AG91" s="1000" cm="1">
        <f t="array" aca="1" ref="AG91" ca="1">IF(NPSwitch=1,_xll.TR(AG$7,AG$6,"Sdate=#1 Period=#2 Scale=6 NULL=BLANK",,$D91,$O$4),AG91)</f>
        <v>201.5</v>
      </c>
      <c r="AH91" s="998"/>
      <c r="AI91" s="1000" cm="1">
        <f t="array" aca="1" ref="AI91" ca="1">IF(NPSwitch=1,_xll.TR(AI$7,AI$6,"Sdate=#1 Period=#2 Scale=6 NULL=BLANK",,$D91,$O$4),AI91)</f>
        <v>129514.694</v>
      </c>
      <c r="AJ91" s="1000" cm="1">
        <f t="array" aca="1" ref="AJ91" ca="1">IF(NPSwitch=1,_xll.TR(AJ$7,AJ$6,"Sdate=#1 Period=#2 Scale=6 NULL=BLANK",,$D91,$O$4),AJ91)</f>
        <v>9755.0772717</v>
      </c>
      <c r="AK91" s="1000" cm="1">
        <f t="array" aca="1" ref="AK91" ca="1">IF(NPSwitch=1,_xll.TR(AK$7,AK$6,"Sdate=#1 Period=#2 Scale=6 NULL=BLANK",,$D91,$O$4),AK91)</f>
        <v>7294.9729916599999</v>
      </c>
      <c r="AL91" s="1000" cm="1">
        <f t="array" aca="1" ref="AL91" ca="1">IF(NPSwitch=1,_xll.TR(AL$7,AL$6,"Sdate=#1 Period=#2 Scale=6 NULL=BLANK",,$D91,$O$4),AL91)</f>
        <v>3642.5395120200001</v>
      </c>
      <c r="AM91" s="1000" cm="1">
        <f t="array" aca="1" ref="AM91" ca="1">IF(NPSwitch=1,_xll.TR(AM$7,AM$6,"Sdate=#1 Period=#2 Scale=6 NULL=BLANK",,$D91,$O$4),AM91)</f>
        <v>7603.3836768000001</v>
      </c>
      <c r="AN91" s="1000" cm="1">
        <f t="array" aca="1" ref="AN91" ca="1">IF(NPSwitch=1,_xll.TR(AN$7,AN$6,"Sdate=#1 Period=#2 Scale=6 NULL=BLANK",,$D91,$O$4),AN91)</f>
        <v>13705.787127580001</v>
      </c>
      <c r="AO91" s="1000" cm="1">
        <f t="array" aca="1" ref="AO91" ca="1">IF(NPSwitch=1,_xll.TR(AO$7,AO$6,"Sdate=#1 Period=#2 Scale=6 NULL=BLANK",,$D91,$O$4),AO91)</f>
        <v>29278.522127820001</v>
      </c>
      <c r="AP91" s="1000" cm="1">
        <f t="array" aca="1" ref="AP91" ca="1">IF(NPSwitch=1,_xll.TR(AP$7,AP$6,"Sdate=#1 Period=#2 Scale=6 NULL=BLANK",,$D91,$O$4),AP91)</f>
        <v>13841.191672319999</v>
      </c>
      <c r="AQ91" s="1000" cm="1">
        <f t="array" aca="1" ref="AQ91" ca="1">IF(NPSwitch=1,_xll.TR(AQ$7,AQ$6,"Sdate=#1 Period=#2 Scale=6 NULL=BLANK",,$D91,$O$4),AQ91)</f>
        <v>17936.194664319999</v>
      </c>
      <c r="AS91" s="765" cm="1">
        <f t="array" aca="1" ref="AS91" ca="1">IF(NPSwitch=1,_xll.TR(AS$7,AS$6,"Sdate=#1 Period=#2 NULL=BLANK Scale=6",,$D91,$AS$4),AS91)</f>
        <v>19.438888333333299</v>
      </c>
      <c r="AT91" s="765" cm="1">
        <f t="array" aca="1" ref="AT91" ca="1">IF(NPSwitch=1,_xll.TR(AT$7,AT$6,"Sdate=#1 Period=#2 NULL=BLANK Scale=6",,$D91,$AS$4),AT91)</f>
        <v>11.824999999999999</v>
      </c>
      <c r="AU91" s="765" t="str" cm="1">
        <f t="array" aca="1" ref="AU91" ca="1">IF(NPSwitch=1,_xll.TR(AU$7,AU$6,"Sdate=#1 Period=#2 NULL=BLANK Scale=6",,$D91,$AS$4),AU91)</f>
        <v/>
      </c>
      <c r="AV91" s="765" cm="1">
        <f t="array" aca="1" ref="AV91" ca="1">IF(NPSwitch=1,_xll.TR(AV$7,AV$6,"Sdate=#1 Period=#2 NULL=BLANK Scale=6",,$D91,$AS$4),AV91)</f>
        <v>10.866666666666699</v>
      </c>
      <c r="AW91" s="765" cm="1">
        <f t="array" aca="1" ref="AW91" ca="1">IF(NPSwitch=1,_xll.TR(AW$7,AW$6,"Sdate=#1 Period=#2 NULL=BLANK Scale=6",,$D91,$AS$4),AW91)</f>
        <v>10.8083333333333</v>
      </c>
      <c r="AX91" s="765" cm="1">
        <f t="array" aca="1" ref="AX91" ca="1">IF(NPSwitch=1,_xll.TR(AX$7,AX$6,"Sdate=#1 Period=#2 NULL=BLANK Scale=6",,$D91,$AS$4),AX91)</f>
        <v>16.05</v>
      </c>
      <c r="AY91" s="765" cm="1">
        <f t="array" aca="1" ref="AY91" ca="1">IF(NPSwitch=1,_xll.TR(AY$7,AY$6,"Sdate=#1 Period=#2 NULL=BLANK Scale=6",,$D91,$AS$4),AY91)</f>
        <v>16.491666666666699</v>
      </c>
      <c r="AZ91" s="765" cm="1">
        <f t="array" aca="1" ref="AZ91" ca="1">IF(NPSwitch=1,_xll.TR(AZ$7,AZ$6,"Sdate=#1 Period=#2 NULL=BLANK Scale=6",,$D91,$AS$4),AZ91)</f>
        <v>8.02</v>
      </c>
      <c r="BA91" s="765" cm="1">
        <f t="array" aca="1" ref="BA91" ca="1">IF(NPSwitch=1,_xll.TR(BA$7,BA$6,"Sdate=#1 Period=#2 NULL=BLANK Scale=6",,$D91,$AS$4),BA91)</f>
        <v>11.991666666666699</v>
      </c>
      <c r="BB91" s="1002"/>
      <c r="BO91" s="765" cm="1">
        <f t="array" aca="1" ref="BO91" ca="1">IF(NPSwitch=1,_xll.TR(BO$7,BO$6,"Sdate=#1 Period=#2 NULL=BLANK Scale=6",,$D91,$AS$4),BO91)</f>
        <v>32765</v>
      </c>
      <c r="BP91" s="765" cm="1">
        <f t="array" aca="1" ref="BP91" ca="1">IF(NPSwitch=1,_xll.TR(BP$7,BP$6,"Sdate=#1 Period=#2 NULL=BLANK Scale=6",,$D91,$AS$4),BP91)</f>
        <v>3311.04</v>
      </c>
      <c r="BQ91" s="765" cm="1">
        <f t="array" aca="1" ref="BQ91" ca="1">IF(NPSwitch=1,_xll.TR(BQ$7,BQ$6,"Sdate=#1 Period=#2 NULL=BLANK Scale=6",,$D91,$AS$4),BQ91)</f>
        <v>2583</v>
      </c>
      <c r="BR91" s="765" cm="1">
        <f t="array" aca="1" ref="BR91" ca="1">IF(NPSwitch=1,_xll.TR(BR$7,BR$6,"Sdate=#1 Period=#2 NULL=BLANK Scale=6",,$D91,$AS$4),BR91)</f>
        <v>3222.5</v>
      </c>
      <c r="BS91" s="765" cm="1">
        <f t="array" aca="1" ref="BS91" ca="1">IF(NPSwitch=1,_xll.TR(BS$7,BS$6,"Sdate=#1 Period=#2 NULL=BLANK Scale=6",,$D91,$AS$4),BS91)</f>
        <v>8488</v>
      </c>
      <c r="BT91" s="765" cm="1">
        <f t="array" aca="1" ref="BT91" ca="1">IF(NPSwitch=1,_xll.TR(BT$7,BT$6,"Sdate=#1 Period=#2 NULL=BLANK Scale=6",,$D91,$AS$4),BT91)</f>
        <v>4285.3</v>
      </c>
      <c r="BU91" s="765" cm="1">
        <f t="array" aca="1" ref="BU91" ca="1">IF(NPSwitch=1,_xll.TR(BU$7,BU$6,"Sdate=#1 Period=#2 NULL=BLANK Scale=6",,$D91,$AS$4),BU91)</f>
        <v>15374</v>
      </c>
      <c r="BV91" s="765" cm="1">
        <f t="array" aca="1" ref="BV91" ca="1">IF(NPSwitch=1,_xll.TR(BV$7,BV$6,"Sdate=#1 Period=#2 NULL=BLANK Scale=6",,$D91,$AS$4),BV91)</f>
        <v>11187</v>
      </c>
      <c r="BW91" s="765" cm="1">
        <f t="array" aca="1" ref="BW91" ca="1">IF(NPSwitch=1,_xll.TR(BW$7,BW$6,"Sdate=#1 Period=#2 NULL=BLANK Scale=6",,$D91,$AS$4),BW91)</f>
        <v>10151</v>
      </c>
      <c r="BY91" s="765" cm="1">
        <f t="array" aca="1" ref="BY91" ca="1">IF(NPSwitch=1,_xll.TR(BY$7,BY$6,"Sdate=#1 Period=#2 NULL=BLANK Scale=6",,$D91,$AS$4),BY91)</f>
        <v>25318.25</v>
      </c>
      <c r="BZ91" s="765" cm="1">
        <f t="array" aca="1" ref="BZ91" ca="1">IF(NPSwitch=1,_xll.TR(BZ$7,BZ$6,"Sdate=#1 Period=#2 NULL=BLANK Scale=6",,$D91,$AS$4),BZ91)</f>
        <v>5477.83025</v>
      </c>
      <c r="CA91" s="765" cm="1">
        <f t="array" aca="1" ref="CA91" ca="1">IF(NPSwitch=1,_xll.TR(CA$7,CA$6,"Sdate=#1 Period=#2 NULL=BLANK Scale=6",,$D91,$AS$4),CA91)</f>
        <v>5956</v>
      </c>
      <c r="CB91" s="765" cm="1">
        <f t="array" aca="1" ref="CB91" ca="1">IF(NPSwitch=1,_xll.TR(CB$7,CB$6,"Sdate=#1 Period=#2 NULL=BLANK Scale=6",,$D91,$AS$4),CB91)</f>
        <v>1927.85</v>
      </c>
      <c r="CC91" s="765" cm="1">
        <f t="array" aca="1" ref="CC91" ca="1">IF(NPSwitch=1,_xll.TR(CC$7,CC$6,"Sdate=#1 Period=#2 NULL=BLANK Scale=6",,$D91,$AS$4),CC91)</f>
        <v>6062.25</v>
      </c>
      <c r="CD91" s="765" cm="1">
        <f t="array" aca="1" ref="CD91" ca="1">IF(NPSwitch=1,_xll.TR(CD$7,CD$6,"Sdate=#1 Period=#2 NULL=BLANK Scale=6",,$D91,$AS$4),CD91)</f>
        <v>6038.5</v>
      </c>
      <c r="CE91" s="765" cm="1">
        <f t="array" aca="1" ref="CE91" ca="1">IF(NPSwitch=1,_xll.TR(CE$7,CE$6,"Sdate=#1 Period=#2 NULL=BLANK Scale=6",,$D91,$AS$4),CE91)</f>
        <v>10150.5</v>
      </c>
      <c r="CF91" s="765" cm="1">
        <f t="array" aca="1" ref="CF91" ca="1">IF(NPSwitch=1,_xll.TR(CF$7,CF$6,"Sdate=#1 Period=#2 NULL=BLANK Scale=6",,$D91,$AS$4),CF91)</f>
        <v>14421.25</v>
      </c>
      <c r="CG91" s="765" cm="1">
        <f t="array" aca="1" ref="CG91" ca="1">IF(NPSwitch=1,_xll.TR(CG$7,CG$6,"Sdate=#1 Period=#2 NULL=BLANK Scale=6",,$D91,$AS$4),CG91)</f>
        <v>12414</v>
      </c>
      <c r="CI91" s="1000" cm="1">
        <f t="array" aca="1" ref="CI91" ca="1">IF(NPSwitch=1,_xll.TR(CI$7,CI$6,"Sdate=#1 Period=#2 NULL=BLANK Scale=6",,$D91,$AS$4),CI91)</f>
        <v>8283</v>
      </c>
      <c r="CJ91" s="1000" cm="1">
        <f t="array" aca="1" ref="CJ91" ca="1">IF(NPSwitch=1,_xll.TR(CJ$7,CJ$6,"Sdate=#1 Period=#2 NULL=BLANK Scale=6",,$D91,$AS$4),CJ91)</f>
        <v>942.428</v>
      </c>
      <c r="CK91" s="1000" cm="1">
        <f t="array" aca="1" ref="CK91" ca="1">IF(NPSwitch=1,_xll.TR(CK$7,CK$6,"Sdate=#1 Period=#2 NULL=BLANK Scale=6",,$D91,$AS$4),CK91)</f>
        <v>666</v>
      </c>
      <c r="CL91" s="1000" cm="1">
        <f t="array" aca="1" ref="CL91" ca="1">IF(NPSwitch=1,_xll.TR(CL$7,CL$6,"Sdate=#1 Period=#2 NULL=BLANK Scale=6",,$D91,$AS$4),CL91)</f>
        <v>346.7</v>
      </c>
      <c r="CM91" s="1000" cm="1">
        <f t="array" aca="1" ref="CM91" ca="1">IF(NPSwitch=1,_xll.TR(CM$7,CM$6,"Sdate=#1 Period=#2 NULL=BLANK Scale=6",,$D91,$AS$4),CM91)</f>
        <v>1236</v>
      </c>
      <c r="CN91" s="1000" cm="1">
        <f t="array" aca="1" ref="CN91" ca="1">IF(NPSwitch=1,_xll.TR(CN$7,CN$6,"Sdate=#1 Period=#2 NULL=BLANK Scale=6",,$D91,$AS$4),CN91)</f>
        <v>1176.4000000000001</v>
      </c>
      <c r="CO91" s="1000" cm="1">
        <f t="array" aca="1" ref="CO91" ca="1">IF(NPSwitch=1,_xll.TR(CO$7,CO$6,"Sdate=#1 Period=#2 NULL=BLANK Scale=6",,$D91,$AS$4),CO91)</f>
        <v>2330</v>
      </c>
      <c r="CP91" s="1000" cm="1">
        <f t="array" aca="1" ref="CP91" ca="1">IF(NPSwitch=1,_xll.TR(CP$7,CP$6,"Sdate=#1 Period=#2 NULL=BLANK Scale=6",,$D91,$AS$4),CP91)</f>
        <v>2193</v>
      </c>
      <c r="CQ91" s="1000" cm="1">
        <f t="array" aca="1" ref="CQ91" ca="1">IF(NPSwitch=1,_xll.TR(CQ$7,CQ$6,"Sdate=#1 Period=#2 NULL=BLANK Scale=6",,$D91,$AS$4),CQ91)</f>
        <v>2250</v>
      </c>
      <c r="CS91" s="1000" cm="1">
        <f t="array" aca="1" ref="CS91" ca="1">IF(NPSwitch=1,_xll.TR(CS$7,CS$6,"Sdate=#1 Period=#2 NULL=BLANK Scale=6",,$D91,$AS$4),CS91)</f>
        <v>8719.25</v>
      </c>
      <c r="CT91" s="1000" cm="1">
        <f t="array" aca="1" ref="CT91" ca="1">IF(NPSwitch=1,_xll.TR(CT$7,CT$6,"Sdate=#1 Period=#2 NULL=BLANK Scale=6",,$D91,$AS$4),CT91)</f>
        <v>2639.3852499999998</v>
      </c>
      <c r="CU91" s="1000" cm="1">
        <f t="array" aca="1" ref="CU91" ca="1">IF(NPSwitch=1,_xll.TR(CU$7,CU$6,"Sdate=#1 Period=#2 NULL=BLANK Scale=6",,$D91,$AS$4),CU91)</f>
        <v>1777.25</v>
      </c>
      <c r="CV91" s="1000" cm="1">
        <f t="array" aca="1" ref="CV91" ca="1">IF(NPSwitch=1,_xll.TR(CV$7,CV$6,"Sdate=#1 Period=#2 NULL=BLANK Scale=6",,$D91,$AS$4),CV91)</f>
        <v>461.25</v>
      </c>
      <c r="CW91" s="1000" cm="1">
        <f t="array" aca="1" ref="CW91" ca="1">IF(NPSwitch=1,_xll.TR(CW$7,CW$6,"Sdate=#1 Period=#2 NULL=BLANK Scale=6",,$D91,$AS$4),CW91)</f>
        <v>951.07500000000005</v>
      </c>
      <c r="CX91" s="1000" cm="1">
        <f t="array" aca="1" ref="CX91" ca="1">IF(NPSwitch=1,_xll.TR(CX$7,CX$6,"Sdate=#1 Period=#2 NULL=BLANK Scale=6",,$D91,$AS$4),CX91)</f>
        <v>2785.75</v>
      </c>
      <c r="CY91" s="1000" cm="1">
        <f t="array" aca="1" ref="CY91" ca="1">IF(NPSwitch=1,_xll.TR(CY$7,CY$6,"Sdate=#1 Period=#2 NULL=BLANK Scale=6",,$D91,$AS$4),CY91)</f>
        <v>5372.5</v>
      </c>
      <c r="CZ91" s="1000" cm="1">
        <f t="array" aca="1" ref="CZ91" ca="1">IF(NPSwitch=1,_xll.TR(CZ$7,CZ$6,"Sdate=#1 Period=#2 NULL=BLANK Scale=6",,$D91,$AS$4),CZ91)</f>
        <v>5593</v>
      </c>
      <c r="DA91" s="1000" cm="1">
        <f t="array" aca="1" ref="DA91" ca="1">IF(NPSwitch=1,_xll.TR(DA$7,DA$6,"Sdate=#1 Period=#2 NULL=BLANK Scale=6",,$D91,$AS$4),DA91)</f>
        <v>3735.75</v>
      </c>
      <c r="DB91" s="1000" cm="1">
        <f t="array" aca="1" ref="DB91" ca="1">IF(NPSwitch=1,_xll.TR(DB$7,DB$6,"Sdate=#1 Period=#2 NULL=BLANK Scale=6",,$D91,$AS$4),DB91)</f>
        <v>23777.5</v>
      </c>
      <c r="DC91" s="1000" t="str" cm="1">
        <f t="array" aca="1" ref="DC91" ca="1">IF(NPSwitch=1,_xll.TR(DC$7,DC$6,"Sdate=#1 Period=#2 NULL=BLANK Scale=6",,$D91,$AS$4),DC91)</f>
        <v/>
      </c>
      <c r="DD91" s="1000" cm="1">
        <f t="array" aca="1" ref="DD91" ca="1">IF(NPSwitch=1,_xll.TR(DD$7,DD$6,"Sdate=#1 Period=#2 NULL=BLANK Scale=6",,$D91,$AS$4),DD91)</f>
        <v>11764.5</v>
      </c>
      <c r="DE91" s="1000" cm="1">
        <f t="array" aca="1" ref="DE91" ca="1">IF(NPSwitch=1,_xll.TR(DE$7,DE$6,"Sdate=#1 Period=#2 NULL=BLANK Scale=6",,$D91,$AS$4),DE91)</f>
        <v>29111.25</v>
      </c>
      <c r="DF91" s="1000" cm="1">
        <f t="array" aca="1" ref="DF91" ca="1">IF(NPSwitch=1,_xll.TR(DF$7,DF$6,"Sdate=#1 Period=#2 NULL=BLANK Scale=6",,$D91,$AS$4),DF91)</f>
        <v>461.25</v>
      </c>
      <c r="DG91" s="1000" cm="1">
        <f t="array" aca="1" ref="DG91" ca="1">IF(NPSwitch=1,_xll.TR(DG$7,DG$6,"Sdate=#1 Period=#2 NULL=BLANK Scale=6",,$D91,$AS$4),DG91)</f>
        <v>2872</v>
      </c>
      <c r="DH91" s="1000" cm="1">
        <f t="array" aca="1" ref="DH91" ca="1">IF(NPSwitch=1,_xll.TR(DH$7,DH$6,"Sdate=#1 Period=#2 NULL=BLANK Scale=6",,$D91,$AS$4),DH91)</f>
        <v>6461.5</v>
      </c>
      <c r="FN91" s="3" t="s">
        <v>1591</v>
      </c>
    </row>
    <row r="92" spans="3:170">
      <c r="C92" s="969">
        <f t="shared" si="47"/>
        <v>43555</v>
      </c>
      <c r="D92" s="974">
        <f t="shared" si="46"/>
        <v>43600</v>
      </c>
      <c r="E92" s="765" cm="1">
        <f t="array" aca="1" ref="E92" ca="1">IF(NPSwitch=1,_xll.TR(E$7,E$6,"Sdate=#1 Period=#2 NULL=BLANK",,$D92,$E$4),E92)</f>
        <v>12.3119794847662</v>
      </c>
      <c r="F92" s="765" cm="1">
        <f t="array" aca="1" ref="F92" ca="1">IF(NPSwitch=1,_xll.TR(F$7,F$6,"Sdate=#1 Period=#2 NULL=BLANK",,$D92,$E$4),F92)</f>
        <v>7.76009277953818</v>
      </c>
      <c r="G92" s="765" cm="1">
        <f t="array" aca="1" ref="G92" ca="1">IF(NPSwitch=1,_xll.TR(G$7,G$6,"Sdate=#1 Period=#2 NULL=BLANK",,$D92,$E$4),G92)</f>
        <v>11.585450472286199</v>
      </c>
      <c r="H92" s="765" cm="1">
        <f t="array" aca="1" ref="H92" ca="1">IF(NPSwitch=1,_xll.TR(H$7,H$6,"Sdate=#1 Period=#2 NULL=BLANK",,$D92,$E$4),H92)</f>
        <v>8.0918338070828604</v>
      </c>
      <c r="I92" s="765" cm="1">
        <f t="array" aca="1" ref="I92" ca="1">IF(NPSwitch=1,_xll.TR(I$7,I$6,"Sdate=#1 Period=#2 NULL=BLANK",,$D92,$E$4),I92)</f>
        <v>5.2806818966205604</v>
      </c>
      <c r="J92" s="765" cm="1">
        <f t="array" aca="1" ref="J92" ca="1">IF(NPSwitch=1,_xll.TR(J$7,J$6,"Sdate=#1 Period=#2 NULL=BLANK",,$D92,$E$4),J92)</f>
        <v>10.4025974132039</v>
      </c>
      <c r="K92" s="765" cm="1">
        <f t="array" aca="1" ref="K92" ca="1">IF(NPSwitch=1,_xll.TR(K$7,K$6,"Sdate=#1 Period=#2 NULL=BLANK",,$D92,$E$4),K92)</f>
        <v>11.6868995644887</v>
      </c>
      <c r="L92" s="765" cm="1">
        <f t="array" aca="1" ref="L92" ca="1">IF(NPSwitch=1,_xll.TR(L$7,L$6,"Sdate=#1 Period=#2 NULL=BLANK",,$D92,$E$4),L92)</f>
        <v>5.5007126555727899</v>
      </c>
      <c r="M92" s="765" cm="1">
        <f t="array" aca="1" ref="M92" ca="1">IF(NPSwitch=1,_xll.TR(M$7,M$6,"Sdate=#1 Period=#2 NULL=BLANK",,$D92,$E$4),M92)</f>
        <v>7.1041326552310702</v>
      </c>
      <c r="N92" s="1002">
        <f t="shared" ca="1" si="45"/>
        <v>8.7580293015425017</v>
      </c>
      <c r="O92" s="1000" cm="1">
        <f t="array" aca="1" ref="O92" ca="1">IF(NPSwitch=1,_xll.TR(O$7,O$6,"Sdate=#1 Period=#2 Scale=6 NULL=BLANK",,$D92,$O$4),O92)</f>
        <v>100367.41804872001</v>
      </c>
      <c r="P92" s="1000" cm="1">
        <f t="array" aca="1" ref="P92" ca="1">IF(NPSwitch=1,_xll.TR(P$7,P$6,"Sdate=#1 Period=#2 Scale=6 NULL=BLANK",,$D92,$O$4),P92)</f>
        <v>7372.4687863400004</v>
      </c>
      <c r="Q92" s="1000" cm="1">
        <f t="array" aca="1" ref="Q92" ca="1">IF(NPSwitch=1,_xll.TR(Q$7,Q$6,"Sdate=#1 Period=#2 Scale=6 NULL=BLANK",,$D92,$O$4),Q92)</f>
        <v>4626.1343187499997</v>
      </c>
      <c r="R92" s="1000" cm="1">
        <f t="array" aca="1" ref="R92" ca="1">IF(NPSwitch=1,_xll.TR(R$7,R$6,"Sdate=#1 Period=#2 Scale=6 NULL=BLANK",,$D92,$O$4),R92)</f>
        <v>2072.21755102</v>
      </c>
      <c r="S92" s="1000" cm="1">
        <f t="array" aca="1" ref="S92" ca="1">IF(NPSwitch=1,_xll.TR(S$7,S$6,"Sdate=#1 Period=#2 Scale=6 NULL=BLANK",,$D92,$O$4),S92)</f>
        <v>4745.3678024500005</v>
      </c>
      <c r="T92" s="1000" cm="1">
        <f t="array" aca="1" ref="T92" ca="1">IF(NPSwitch=1,_xll.TR(T$7,T$6,"Sdate=#1 Period=#2 Scale=6 NULL=BLANK",,$D92,$O$4),T92)</f>
        <v>9963.8585199999998</v>
      </c>
      <c r="U92" s="1000" cm="1">
        <f t="array" aca="1" ref="U92" ca="1">IF(NPSwitch=1,_xll.TR(U$7,U$6,"Sdate=#1 Period=#2 Scale=6 NULL=BLANK",,$D92,$O$4),U92)</f>
        <v>26429.224969639999</v>
      </c>
      <c r="V92" s="1000" cm="1">
        <f t="array" aca="1" ref="V92" ca="1">IF(NPSwitch=1,_xll.TR(V$7,V$6,"Sdate=#1 Period=#2 Scale=6 NULL=BLANK",,$D92,$O$4),V92)</f>
        <v>9491.1956271405998</v>
      </c>
      <c r="W92" s="1000" cm="1">
        <f t="array" aca="1" ref="W92" ca="1">IF(NPSwitch=1,_xll.TR(W$7,W$6,"Sdate=#1 Period=#2 Scale=6 NULL=BLANK",,$D92,$O$4),W92)</f>
        <v>10045.322283920001</v>
      </c>
      <c r="X92" s="998"/>
      <c r="Y92" s="1000" cm="1">
        <f t="array" aca="1" ref="Y92" ca="1">IF(NPSwitch=1,_xll.TR(Y$7,Y$6,"Sdate=#1 Period=#2 Scale=6 NULL=BLANK",,$D92,$O$4),Y92)</f>
        <v>3354.75</v>
      </c>
      <c r="Z92" s="1000" cm="1">
        <f t="array" aca="1" ref="Z92" ca="1">IF(NPSwitch=1,_xll.TR(Z$7,Z$6,"Sdate=#1 Period=#2 Scale=6 NULL=BLANK",,$D92,$O$4),Z92)</f>
        <v>642.49099999999999</v>
      </c>
      <c r="AA92" s="1000" cm="1">
        <f t="array" aca="1" ref="AA92" ca="1">IF(NPSwitch=1,_xll.TR(AA$7,AA$6,"Sdate=#1 Period=#2 Scale=6 NULL=BLANK",,$D92,$O$4),AA92)</f>
        <v>197.25</v>
      </c>
      <c r="AB92" s="1000" cm="1">
        <f t="array" aca="1" ref="AB92" ca="1">IF(NPSwitch=1,_xll.TR(AB$7,AB$6,"Sdate=#1 Period=#2 Scale=6 NULL=BLANK",,$D92,$O$4),AB92)</f>
        <v>154.65</v>
      </c>
      <c r="AC92" s="1000" cm="1">
        <f t="array" aca="1" ref="AC92" ca="1">IF(NPSwitch=1,_xll.TR(AC$7,AC$6,"Sdate=#1 Period=#2 Scale=6 NULL=BLANK",,$D92,$O$4),AC92)</f>
        <v>409.5</v>
      </c>
      <c r="AD92" s="1000" cm="1">
        <f t="array" aca="1" ref="AD92" ca="1">IF(NPSwitch=1,_xll.TR(AD$7,AD$6,"Sdate=#1 Period=#2 Scale=6 NULL=BLANK",,$D92,$O$4),AD92)</f>
        <v>186.7</v>
      </c>
      <c r="AE92" s="1000" cm="1">
        <f t="array" aca="1" ref="AE92" ca="1">IF(NPSwitch=1,_xll.TR(AE$7,AE$6,"Sdate=#1 Period=#2 Scale=6 NULL=BLANK",,$D92,$O$4),AE92)</f>
        <v>1011.25</v>
      </c>
      <c r="AF92" s="1000" cm="1">
        <f t="array" aca="1" ref="AF92" ca="1">IF(NPSwitch=1,_xll.TR(AF$7,AF$6,"Sdate=#1 Period=#2 Scale=6 NULL=BLANK",,$D92,$O$4),AF92)</f>
        <v>1154.5</v>
      </c>
      <c r="AG92" s="1000" cm="1">
        <f t="array" aca="1" ref="AG92" ca="1">IF(NPSwitch=1,_xll.TR(AG$7,AG$6,"Sdate=#1 Period=#2 Scale=6 NULL=BLANK",,$D92,$O$4),AG92)</f>
        <v>201.75</v>
      </c>
      <c r="AH92" s="998"/>
      <c r="AI92" s="1000" cm="1">
        <f t="array" aca="1" ref="AI92" ca="1">IF(NPSwitch=1,_xll.TR(AI$7,AI$6,"Sdate=#1 Period=#2 Scale=6 NULL=BLANK",,$D92,$O$4),AI92)</f>
        <v>113414.41804872001</v>
      </c>
      <c r="AJ92" s="1000" cm="1">
        <f t="array" aca="1" ref="AJ92" ca="1">IF(NPSwitch=1,_xll.TR(AJ$7,AJ$6,"Sdate=#1 Period=#2 Scale=6 NULL=BLANK",,$D92,$O$4),AJ92)</f>
        <v>8918.5477863399992</v>
      </c>
      <c r="AK92" s="1000" cm="1">
        <f t="array" aca="1" ref="AK92" ca="1">IF(NPSwitch=1,_xll.TR(AK$7,AK$6,"Sdate=#1 Period=#2 Scale=6 NULL=BLANK",,$D92,$O$4),AK92)</f>
        <v>6998.1343187499997</v>
      </c>
      <c r="AL92" s="1000" cm="1">
        <f t="array" aca="1" ref="AL92" ca="1">IF(NPSwitch=1,_xll.TR(AL$7,AL$6,"Sdate=#1 Period=#2 Scale=6 NULL=BLANK",,$D92,$O$4),AL92)</f>
        <v>3424.3175510199999</v>
      </c>
      <c r="AM92" s="1000" cm="1">
        <f t="array" aca="1" ref="AM92" ca="1">IF(NPSwitch=1,_xll.TR(AM$7,AM$6,"Sdate=#1 Period=#2 Scale=6 NULL=BLANK",,$D92,$O$4),AM92)</f>
        <v>7177.3678024500005</v>
      </c>
      <c r="AN92" s="1000" cm="1">
        <f t="array" aca="1" ref="AN92" ca="1">IF(NPSwitch=1,_xll.TR(AN$7,AN$6,"Sdate=#1 Period=#2 Scale=6 NULL=BLANK",,$D92,$O$4),AN92)</f>
        <v>13023.95852</v>
      </c>
      <c r="AO92" s="1000" cm="1">
        <f t="array" aca="1" ref="AO92" ca="1">IF(NPSwitch=1,_xll.TR(AO$7,AO$6,"Sdate=#1 Period=#2 Scale=6 NULL=BLANK",,$D92,$O$4),AO92)</f>
        <v>30975.224969639999</v>
      </c>
      <c r="AP92" s="1000" cm="1">
        <f t="array" aca="1" ref="AP92" ca="1">IF(NPSwitch=1,_xll.TR(AP$7,AP$6,"Sdate=#1 Period=#2 Scale=6 NULL=BLANK",,$D92,$O$4),AP92)</f>
        <v>13010.195627141</v>
      </c>
      <c r="AQ92" s="1000" cm="1">
        <f t="array" aca="1" ref="AQ92" ca="1">IF(NPSwitch=1,_xll.TR(AQ$7,AQ$6,"Sdate=#1 Period=#2 Scale=6 NULL=BLANK",,$D92,$O$4),AQ92)</f>
        <v>16387.322283919999</v>
      </c>
      <c r="AS92" s="765" cm="1">
        <f t="array" aca="1" ref="AS92" ca="1">IF(NPSwitch=1,_xll.TR(AS$7,AS$6,"Sdate=#1 Period=#2 NULL=BLANK Scale=6",,$D92,$AS$4),AS92)</f>
        <v>19.125</v>
      </c>
      <c r="AT92" s="765" cm="1">
        <f t="array" aca="1" ref="AT92" ca="1">IF(NPSwitch=1,_xll.TR(AT$7,AT$6,"Sdate=#1 Period=#2 NULL=BLANK Scale=6",,$D92,$AS$4),AT92)</f>
        <v>13.095833333333299</v>
      </c>
      <c r="AU92" s="765" t="str" cm="1">
        <f t="array" aca="1" ref="AU92" ca="1">IF(NPSwitch=1,_xll.TR(AU$7,AU$6,"Sdate=#1 Period=#2 NULL=BLANK Scale=6",,$D92,$AS$4),AU92)</f>
        <v/>
      </c>
      <c r="AV92" s="765" cm="1">
        <f t="array" aca="1" ref="AV92" ca="1">IF(NPSwitch=1,_xll.TR(AV$7,AV$6,"Sdate=#1 Period=#2 NULL=BLANK Scale=6",,$D92,$AS$4),AV92)</f>
        <v>10.199999999999999</v>
      </c>
      <c r="AW92" s="765" cm="1">
        <f t="array" aca="1" ref="AW92" ca="1">IF(NPSwitch=1,_xll.TR(AW$7,AW$6,"Sdate=#1 Period=#2 NULL=BLANK Scale=6",,$D92,$AS$4),AW92)</f>
        <v>10.716666666666701</v>
      </c>
      <c r="AX92" s="765" cm="1">
        <f t="array" aca="1" ref="AX92" ca="1">IF(NPSwitch=1,_xll.TR(AX$7,AX$6,"Sdate=#1 Period=#2 NULL=BLANK Scale=6",,$D92,$AS$4),AX92)</f>
        <v>18.358333333333299</v>
      </c>
      <c r="AY92" s="765" cm="1">
        <f t="array" aca="1" ref="AY92" ca="1">IF(NPSwitch=1,_xll.TR(AY$7,AY$6,"Sdate=#1 Period=#2 NULL=BLANK Scale=6",,$D92,$AS$4),AY92)</f>
        <v>18.008333333333301</v>
      </c>
      <c r="AZ92" s="765" cm="1">
        <f t="array" aca="1" ref="AZ92" ca="1">IF(NPSwitch=1,_xll.TR(AZ$7,AZ$6,"Sdate=#1 Period=#2 NULL=BLANK Scale=6",,$D92,$AS$4),AZ92)</f>
        <v>8.4566666666666706</v>
      </c>
      <c r="BA92" s="765" cm="1">
        <f t="array" aca="1" ref="BA92" ca="1">IF(NPSwitch=1,_xll.TR(BA$7,BA$6,"Sdate=#1 Period=#2 NULL=BLANK Scale=6",,$D92,$AS$4),BA92)</f>
        <v>11.875</v>
      </c>
      <c r="BB92" s="1002"/>
      <c r="BO92" s="765" cm="1">
        <f t="array" aca="1" ref="BO92" ca="1">IF(NPSwitch=1,_xll.TR(BO$7,BO$6,"Sdate=#1 Period=#2 NULL=BLANK Scale=6",,$D92,$AS$4),BO92)</f>
        <v>32350</v>
      </c>
      <c r="BP92" s="765" cm="1">
        <f t="array" aca="1" ref="BP92" ca="1">IF(NPSwitch=1,_xll.TR(BP$7,BP$6,"Sdate=#1 Period=#2 NULL=BLANK Scale=6",,$D92,$AS$4),BP92)</f>
        <v>3385.3850000000002</v>
      </c>
      <c r="BQ92" s="765" cm="1">
        <f t="array" aca="1" ref="BQ92" ca="1">IF(NPSwitch=1,_xll.TR(BQ$7,BQ$6,"Sdate=#1 Period=#2 NULL=BLANK Scale=6",,$D92,$AS$4),BQ92)</f>
        <v>2578</v>
      </c>
      <c r="BR92" s="765" cm="1">
        <f t="array" aca="1" ref="BR92" ca="1">IF(NPSwitch=1,_xll.TR(BR$7,BR$6,"Sdate=#1 Period=#2 NULL=BLANK Scale=6",,$D92,$AS$4),BR92)</f>
        <v>3071.5</v>
      </c>
      <c r="BS92" s="765" cm="1">
        <f t="array" aca="1" ref="BS92" ca="1">IF(NPSwitch=1,_xll.TR(BS$7,BS$6,"Sdate=#1 Period=#2 NULL=BLANK Scale=6",,$D92,$AS$4),BS92)</f>
        <v>7862</v>
      </c>
      <c r="BT92" s="765" cm="1">
        <f t="array" aca="1" ref="BT92" ca="1">IF(NPSwitch=1,_xll.TR(BT$7,BT$6,"Sdate=#1 Period=#2 NULL=BLANK Scale=6",,$D92,$AS$4),BT92)</f>
        <v>4369.5</v>
      </c>
      <c r="BU92" s="765" cm="1">
        <f t="array" aca="1" ref="BU92" ca="1">IF(NPSwitch=1,_xll.TR(BU$7,BU$6,"Sdate=#1 Period=#2 NULL=BLANK Scale=6",,$D92,$AS$4),BU92)</f>
        <v>15217</v>
      </c>
      <c r="BV92" s="765" cm="1">
        <f t="array" aca="1" ref="BV92" ca="1">IF(NPSwitch=1,_xll.TR(BV$7,BV$6,"Sdate=#1 Period=#2 NULL=BLANK Scale=6",,$D92,$AS$4),BV92)</f>
        <v>11350</v>
      </c>
      <c r="BW92" s="765" cm="1">
        <f t="array" aca="1" ref="BW92" ca="1">IF(NPSwitch=1,_xll.TR(BW$7,BW$6,"Sdate=#1 Period=#2 NULL=BLANK Scale=6",,$D92,$AS$4),BW92)</f>
        <v>9924</v>
      </c>
      <c r="BY92" s="765" cm="1">
        <f t="array" aca="1" ref="BY92" ca="1">IF(NPSwitch=1,_xll.TR(BY$7,BY$6,"Sdate=#1 Period=#2 NULL=BLANK Scale=6",,$D92,$AS$4),BY92)</f>
        <v>25200.25</v>
      </c>
      <c r="BZ92" s="765" cm="1">
        <f t="array" aca="1" ref="BZ92" ca="1">IF(NPSwitch=1,_xll.TR(BZ$7,BZ$6,"Sdate=#1 Period=#2 NULL=BLANK Scale=6",,$D92,$AS$4),BZ92)</f>
        <v>5496.1750000000002</v>
      </c>
      <c r="CA92" s="765" cm="1">
        <f t="array" aca="1" ref="CA92" ca="1">IF(NPSwitch=1,_xll.TR(CA$7,CA$6,"Sdate=#1 Period=#2 NULL=BLANK Scale=6",,$D92,$AS$4),CA92)</f>
        <v>5893.25</v>
      </c>
      <c r="CB92" s="765" cm="1">
        <f t="array" aca="1" ref="CB92" ca="1">IF(NPSwitch=1,_xll.TR(CB$7,CB$6,"Sdate=#1 Period=#2 NULL=BLANK Scale=6",,$D92,$AS$4),CB92)</f>
        <v>1950.25</v>
      </c>
      <c r="CC92" s="765" cm="1">
        <f t="array" aca="1" ref="CC92" ca="1">IF(NPSwitch=1,_xll.TR(CC$7,CC$6,"Sdate=#1 Period=#2 NULL=BLANK Scale=6",,$D92,$AS$4),CC92)</f>
        <v>5902</v>
      </c>
      <c r="CD92" s="765" cm="1">
        <f t="array" aca="1" ref="CD92" ca="1">IF(NPSwitch=1,_xll.TR(CD$7,CD$6,"Sdate=#1 Period=#2 NULL=BLANK Scale=6",,$D92,$AS$4),CD92)</f>
        <v>5936.95</v>
      </c>
      <c r="CE92" s="765" cm="1">
        <f t="array" aca="1" ref="CE92" ca="1">IF(NPSwitch=1,_xll.TR(CE$7,CE$6,"Sdate=#1 Period=#2 NULL=BLANK Scale=6",,$D92,$AS$4),CE92)</f>
        <v>10051.5</v>
      </c>
      <c r="CF92" s="765" cm="1">
        <f t="array" aca="1" ref="CF92" ca="1">IF(NPSwitch=1,_xll.TR(CF$7,CF$6,"Sdate=#1 Period=#2 NULL=BLANK Scale=6",,$D92,$AS$4),CF92)</f>
        <v>14977</v>
      </c>
      <c r="CG92" s="765" cm="1">
        <f t="array" aca="1" ref="CG92" ca="1">IF(NPSwitch=1,_xll.TR(CG$7,CG$6,"Sdate=#1 Period=#2 NULL=BLANK Scale=6",,$D92,$AS$4),CG92)</f>
        <v>12379</v>
      </c>
      <c r="CI92" s="1000" cm="1">
        <f t="array" aca="1" ref="CI92" ca="1">IF(NPSwitch=1,_xll.TR(CI$7,CI$6,"Sdate=#1 Period=#2 NULL=BLANK Scale=6",,$D92,$AS$4),CI92)</f>
        <v>8971</v>
      </c>
      <c r="CJ92" s="1000" cm="1">
        <f t="array" aca="1" ref="CJ92" ca="1">IF(NPSwitch=1,_xll.TR(CJ$7,CJ$6,"Sdate=#1 Period=#2 NULL=BLANK Scale=6",,$D92,$AS$4),CJ92)</f>
        <v>883.19399999999996</v>
      </c>
      <c r="CK92" s="1000" cm="1">
        <f t="array" aca="1" ref="CK92" ca="1">IF(NPSwitch=1,_xll.TR(CK$7,CK$6,"Sdate=#1 Period=#2 NULL=BLANK Scale=6",,$D92,$AS$4),CK92)</f>
        <v>678</v>
      </c>
      <c r="CL92" s="1000" cm="1">
        <f t="array" aca="1" ref="CL92" ca="1">IF(NPSwitch=1,_xll.TR(CL$7,CL$6,"Sdate=#1 Period=#2 NULL=BLANK Scale=6",,$D92,$AS$4),CL92)</f>
        <v>314.2</v>
      </c>
      <c r="CM92" s="1000" cm="1">
        <f t="array" aca="1" ref="CM92" ca="1">IF(NPSwitch=1,_xll.TR(CM$7,CM$6,"Sdate=#1 Period=#2 NULL=BLANK Scale=6",,$D92,$AS$4),CM92)</f>
        <v>1055</v>
      </c>
      <c r="CN92" s="1000" cm="1">
        <f t="array" aca="1" ref="CN92" ca="1">IF(NPSwitch=1,_xll.TR(CN$7,CN$6,"Sdate=#1 Period=#2 NULL=BLANK Scale=6",,$D92,$AS$4),CN92)</f>
        <v>1105.3</v>
      </c>
      <c r="CO92" s="1000" cm="1">
        <f t="array" aca="1" ref="CO92" ca="1">IF(NPSwitch=1,_xll.TR(CO$7,CO$6,"Sdate=#1 Period=#2 NULL=BLANK Scale=6",,$D92,$AS$4),CO92)</f>
        <v>2342</v>
      </c>
      <c r="CP92" s="1000" cm="1">
        <f t="array" aca="1" ref="CP92" ca="1">IF(NPSwitch=1,_xll.TR(CP$7,CP$6,"Sdate=#1 Period=#2 NULL=BLANK Scale=6",,$D92,$AS$4),CP92)</f>
        <v>2193</v>
      </c>
      <c r="CQ92" s="1000" cm="1">
        <f t="array" aca="1" ref="CQ92" ca="1">IF(NPSwitch=1,_xll.TR(CQ$7,CQ$6,"Sdate=#1 Period=#2 NULL=BLANK Scale=6",,$D92,$AS$4),CQ92)</f>
        <v>2235</v>
      </c>
      <c r="CS92" s="1000" cm="1">
        <f t="array" aca="1" ref="CS92" ca="1">IF(NPSwitch=1,_xll.TR(CS$7,CS$6,"Sdate=#1 Period=#2 NULL=BLANK Scale=6",,$D92,$AS$4),CS92)</f>
        <v>8909.75</v>
      </c>
      <c r="CT92" s="1000" cm="1">
        <f t="array" aca="1" ref="CT92" ca="1">IF(NPSwitch=1,_xll.TR(CT$7,CT$6,"Sdate=#1 Period=#2 NULL=BLANK Scale=6",,$D92,$AS$4),CT92)</f>
        <v>2954.2317499999999</v>
      </c>
      <c r="CU92" s="1000" cm="1">
        <f t="array" aca="1" ref="CU92" ca="1">IF(NPSwitch=1,_xll.TR(CU$7,CU$6,"Sdate=#1 Period=#2 NULL=BLANK Scale=6",,$D92,$AS$4),CU92)</f>
        <v>1689</v>
      </c>
      <c r="CV92" s="1000" cm="1">
        <f t="array" aca="1" ref="CV92" ca="1">IF(NPSwitch=1,_xll.TR(CV$7,CV$6,"Sdate=#1 Period=#2 NULL=BLANK Scale=6",,$D92,$AS$4),CV92)</f>
        <v>483.05</v>
      </c>
      <c r="CW92" s="1000" cm="1">
        <f t="array" aca="1" ref="CW92" ca="1">IF(NPSwitch=1,_xll.TR(CW$7,CW$6,"Sdate=#1 Period=#2 NULL=BLANK Scale=6",,$D92,$AS$4),CW92)</f>
        <v>920.8</v>
      </c>
      <c r="CX92" s="1000" cm="1">
        <f t="array" aca="1" ref="CX92" ca="1">IF(NPSwitch=1,_xll.TR(CX$7,CX$6,"Sdate=#1 Period=#2 NULL=BLANK Scale=6",,$D92,$AS$4),CX92)</f>
        <v>2968.25</v>
      </c>
      <c r="CY92" s="1000" cm="1">
        <f t="array" aca="1" ref="CY92" ca="1">IF(NPSwitch=1,_xll.TR(CY$7,CY$6,"Sdate=#1 Period=#2 NULL=BLANK Scale=6",,$D92,$AS$4),CY92)</f>
        <v>5537</v>
      </c>
      <c r="CZ92" s="1000" cm="1">
        <f t="array" aca="1" ref="CZ92" ca="1">IF(NPSwitch=1,_xll.TR(CZ$7,CZ$6,"Sdate=#1 Period=#2 NULL=BLANK Scale=6",,$D92,$AS$4),CZ92)</f>
        <v>5633.75</v>
      </c>
      <c r="DA92" s="1000" cm="1">
        <f t="array" aca="1" ref="DA92" ca="1">IF(NPSwitch=1,_xll.TR(DA$7,DA$6,"Sdate=#1 Period=#2 NULL=BLANK Scale=6",,$D92,$AS$4),DA92)</f>
        <v>3768.25</v>
      </c>
      <c r="DB92" s="1000" cm="1">
        <f t="array" aca="1" ref="DB92" ca="1">IF(NPSwitch=1,_xll.TR(DB$7,DB$6,"Sdate=#1 Period=#2 NULL=BLANK Scale=6",,$D92,$AS$4),DB92)</f>
        <v>21957.75</v>
      </c>
      <c r="DC92" s="1000" cm="1">
        <f t="array" aca="1" ref="DC92" ca="1">IF(NPSwitch=1,_xll.TR(DC$7,DC$6,"Sdate=#1 Period=#2 NULL=BLANK Scale=6",,$D92,$AS$4),DC92)</f>
        <v>23570.5</v>
      </c>
      <c r="DD92" s="1000" cm="1">
        <f t="array" aca="1" ref="DD92" ca="1">IF(NPSwitch=1,_xll.TR(DD$7,DD$6,"Sdate=#1 Period=#2 NULL=BLANK Scale=6",,$D92,$AS$4),DD92)</f>
        <v>12535</v>
      </c>
      <c r="DE92" s="1000" cm="1">
        <f t="array" aca="1" ref="DE92" ca="1">IF(NPSwitch=1,_xll.TR(DE$7,DE$6,"Sdate=#1 Period=#2 NULL=BLANK Scale=6",,$D92,$AS$4),DE92)</f>
        <v>29807.75</v>
      </c>
      <c r="DF92" s="1000" cm="1">
        <f t="array" aca="1" ref="DF92" ca="1">IF(NPSwitch=1,_xll.TR(DF$7,DF$6,"Sdate=#1 Period=#2 NULL=BLANK Scale=6",,$D92,$AS$4),DF92)</f>
        <v>483.05</v>
      </c>
      <c r="DG92" s="1000" cm="1">
        <f t="array" aca="1" ref="DG92" ca="1">IF(NPSwitch=1,_xll.TR(DG$7,DG$6,"Sdate=#1 Period=#2 NULL=BLANK Scale=6",,$D92,$AS$4),DG92)</f>
        <v>2969.75</v>
      </c>
      <c r="DH92" s="1000" cm="1">
        <f t="array" aca="1" ref="DH92" ca="1">IF(NPSwitch=1,_xll.TR(DH$7,DH$6,"Sdate=#1 Period=#2 NULL=BLANK Scale=6",,$D92,$AS$4),DH92)</f>
        <v>6675.5</v>
      </c>
    </row>
    <row r="93" spans="3:170">
      <c r="C93" s="969">
        <f t="shared" si="47"/>
        <v>43646</v>
      </c>
      <c r="D93" s="974">
        <f t="shared" si="46"/>
        <v>43691</v>
      </c>
      <c r="E93" s="765" cm="1">
        <f t="array" aca="1" ref="E93" ca="1">IF(NPSwitch=1,_xll.TR(E$7,E$6,"Sdate=#1 Period=#2 NULL=BLANK",,$D93,$E$4),E93)</f>
        <v>11.3866055057038</v>
      </c>
      <c r="F93" s="765" cm="1">
        <f t="array" aca="1" ref="F93" ca="1">IF(NPSwitch=1,_xll.TR(F$7,F$6,"Sdate=#1 Period=#2 NULL=BLANK",,$D93,$E$4),F93)</f>
        <v>7.4040482667830201</v>
      </c>
      <c r="G93" s="765" cm="1">
        <f t="array" aca="1" ref="G93" ca="1">IF(NPSwitch=1,_xll.TR(G$7,G$6,"Sdate=#1 Period=#2 NULL=BLANK",,$D93,$E$4),G93)</f>
        <v>11.8400248900872</v>
      </c>
      <c r="H93" s="765" cm="1">
        <f t="array" aca="1" ref="H93" ca="1">IF(NPSwitch=1,_xll.TR(H$7,H$6,"Sdate=#1 Period=#2 NULL=BLANK",,$D93,$E$4),H93)</f>
        <v>8.2665823209227405</v>
      </c>
      <c r="I93" s="765" cm="1">
        <f t="array" aca="1" ref="I93" ca="1">IF(NPSwitch=1,_xll.TR(I$7,I$6,"Sdate=#1 Period=#2 NULL=BLANK",,$D93,$E$4),I93)</f>
        <v>5.5166759803668803</v>
      </c>
      <c r="J93" s="765" cm="1">
        <f t="array" aca="1" ref="J93" ca="1">IF(NPSwitch=1,_xll.TR(J$7,J$6,"Sdate=#1 Period=#2 NULL=BLANK",,$D93,$E$4),J93)</f>
        <v>10.9881373785334</v>
      </c>
      <c r="K93" s="765" cm="1">
        <f t="array" aca="1" ref="K93" ca="1">IF(NPSwitch=1,_xll.TR(K$7,K$6,"Sdate=#1 Period=#2 NULL=BLANK",,$D93,$E$4),K93)</f>
        <v>11.356251315564601</v>
      </c>
      <c r="L93" s="765" cm="1">
        <f t="array" aca="1" ref="L93" ca="1">IF(NPSwitch=1,_xll.TR(L$7,L$6,"Sdate=#1 Period=#2 NULL=BLANK",,$D93,$E$4),L93)</f>
        <v>5.8130342655910496</v>
      </c>
      <c r="M93" s="765" cm="1">
        <f t="array" aca="1" ref="M93" ca="1">IF(NPSwitch=1,_xll.TR(M$7,M$6,"Sdate=#1 Period=#2 NULL=BLANK",,$D93,$E$4),M93)</f>
        <v>6.8293388553292402</v>
      </c>
      <c r="N93" s="1002">
        <f t="shared" ref="N93:N107" ca="1" si="48">AVERAGE(G93:L93)</f>
        <v>8.9634510251776458</v>
      </c>
      <c r="O93" s="1000" cm="1">
        <f t="array" aca="1" ref="O93" ca="1">IF(NPSwitch=1,_xll.TR(O$7,O$6,"Sdate=#1 Period=#2 Scale=6 NULL=BLANK",,$D93,$O$4),O93)</f>
        <v>91360.065930500001</v>
      </c>
      <c r="P93" s="1000" cm="1">
        <f t="array" aca="1" ref="P93" ca="1">IF(NPSwitch=1,_xll.TR(P$7,P$6,"Sdate=#1 Period=#2 Scale=6 NULL=BLANK",,$D93,$O$4),P93)</f>
        <v>6813.8569125599997</v>
      </c>
      <c r="Q93" s="1000" cm="1">
        <f t="array" aca="1" ref="Q93" ca="1">IF(NPSwitch=1,_xll.TR(Q$7,Q$6,"Sdate=#1 Period=#2 Scale=6 NULL=BLANK",,$D93,$O$4),Q93)</f>
        <v>4345.5091098000003</v>
      </c>
      <c r="R93" s="1000" cm="1">
        <f t="array" aca="1" ref="R93" ca="1">IF(NPSwitch=1,_xll.TR(R$7,R$6,"Sdate=#1 Period=#2 Scale=6 NULL=BLANK",,$D93,$O$4),R93)</f>
        <v>2282.28686702</v>
      </c>
      <c r="S93" s="1000" cm="1">
        <f t="array" aca="1" ref="S93" ca="1">IF(NPSwitch=1,_xll.TR(S$7,S$6,"Sdate=#1 Period=#2 Scale=6 NULL=BLANK",,$D93,$O$4),S93)</f>
        <v>4353.0502441299996</v>
      </c>
      <c r="T93" s="1000" cm="1">
        <f t="array" aca="1" ref="T93" ca="1">IF(NPSwitch=1,_xll.TR(T$7,T$6,"Sdate=#1 Period=#2 Scale=6 NULL=BLANK",,$D93,$O$4),T93)</f>
        <v>10934.16686992</v>
      </c>
      <c r="U93" s="1000" cm="1">
        <f t="array" aca="1" ref="U93" ca="1">IF(NPSwitch=1,_xll.TR(U$7,U$6,"Sdate=#1 Period=#2 Scale=6 NULL=BLANK",,$D93,$O$4),U93)</f>
        <v>26044.202225579898</v>
      </c>
      <c r="V93" s="1000" cm="1">
        <f t="array" aca="1" ref="V93" ca="1">IF(NPSwitch=1,_xll.TR(V$7,V$6,"Sdate=#1 Period=#2 Scale=6 NULL=BLANK",,$D93,$O$4),V93)</f>
        <v>9232.4234751999902</v>
      </c>
      <c r="W93" s="1000" cm="1">
        <f t="array" aca="1" ref="W93" ca="1">IF(NPSwitch=1,_xll.TR(W$7,W$6,"Sdate=#1 Period=#2 Scale=6 NULL=BLANK",,$D93,$O$4),W93)</f>
        <v>8723.7873446400008</v>
      </c>
      <c r="X93" s="998"/>
      <c r="Y93" s="1000" cm="1">
        <f t="array" aca="1" ref="Y93" ca="1">IF(NPSwitch=1,_xll.TR(Y$7,Y$6,"Sdate=#1 Period=#2 Scale=6 NULL=BLANK",,$D93,$O$4),Y93)</f>
        <v>3305.25</v>
      </c>
      <c r="Z93" s="1000" cm="1">
        <f t="array" aca="1" ref="Z93" ca="1">IF(NPSwitch=1,_xll.TR(Z$7,Z$6,"Sdate=#1 Period=#2 Scale=6 NULL=BLANK",,$D93,$O$4),Z93)</f>
        <v>515.00075000000004</v>
      </c>
      <c r="AA93" s="1000" cm="1">
        <f t="array" aca="1" ref="AA93" ca="1">IF(NPSwitch=1,_xll.TR(AA$7,AA$6,"Sdate=#1 Period=#2 Scale=6 NULL=BLANK",,$D93,$O$4),AA93)</f>
        <v>184.75</v>
      </c>
      <c r="AB93" s="1000" cm="1">
        <f t="array" aca="1" ref="AB93" ca="1">IF(NPSwitch=1,_xll.TR(AB$7,AB$6,"Sdate=#1 Period=#2 Scale=6 NULL=BLANK",,$D93,$O$4),AB93)</f>
        <v>146.375</v>
      </c>
      <c r="AC93" s="1000" cm="1">
        <f t="array" aca="1" ref="AC93" ca="1">IF(NPSwitch=1,_xll.TR(AC$7,AC$6,"Sdate=#1 Period=#2 Scale=6 NULL=BLANK",,$D93,$O$4),AC93)</f>
        <v>419.75</v>
      </c>
      <c r="AD93" s="1000" cm="1">
        <f t="array" aca="1" ref="AD93" ca="1">IF(NPSwitch=1,_xll.TR(AD$7,AD$6,"Sdate=#1 Period=#2 Scale=6 NULL=BLANK",,$D93,$O$4),AD93)</f>
        <v>125.95</v>
      </c>
      <c r="AE93" s="1000" cm="1">
        <f t="array" aca="1" ref="AE93" ca="1">IF(NPSwitch=1,_xll.TR(AE$7,AE$6,"Sdate=#1 Period=#2 Scale=6 NULL=BLANK",,$D93,$O$4),AE93)</f>
        <v>994.5</v>
      </c>
      <c r="AF93" s="1000" cm="1">
        <f t="array" aca="1" ref="AF93" ca="1">IF(NPSwitch=1,_xll.TR(AF$7,AF$6,"Sdate=#1 Period=#2 Scale=6 NULL=BLANK",,$D93,$O$4),AF93)</f>
        <v>1200.25</v>
      </c>
      <c r="AG93" s="1000" cm="1">
        <f t="array" aca="1" ref="AG93" ca="1">IF(NPSwitch=1,_xll.TR(AG$7,AG$6,"Sdate=#1 Period=#2 Scale=6 NULL=BLANK",,$D93,$O$4),AG93)</f>
        <v>200</v>
      </c>
      <c r="AH93" s="998"/>
      <c r="AI93" s="1000" cm="1">
        <f t="array" aca="1" ref="AI93" ca="1">IF(NPSwitch=1,_xll.TR(AI$7,AI$6,"Sdate=#1 Period=#2 Scale=6 NULL=BLANK",,$D93,$O$4),AI93)</f>
        <v>104374.0659305</v>
      </c>
      <c r="AJ93" s="1000" cm="1">
        <f t="array" aca="1" ref="AJ93" ca="1">IF(NPSwitch=1,_xll.TR(AJ$7,AJ$6,"Sdate=#1 Period=#2 Scale=6 NULL=BLANK",,$D93,$O$4),AJ93)</f>
        <v>8478.3859125599993</v>
      </c>
      <c r="AK93" s="1000" cm="1">
        <f t="array" aca="1" ref="AK93" ca="1">IF(NPSwitch=1,_xll.TR(AK$7,AK$6,"Sdate=#1 Period=#2 Scale=6 NULL=BLANK",,$D93,$O$4),AK93)</f>
        <v>6820.5091098000003</v>
      </c>
      <c r="AL93" s="1000" cm="1">
        <f t="array" aca="1" ref="AL93" ca="1">IF(NPSwitch=1,_xll.TR(AL$7,AL$6,"Sdate=#1 Period=#2 Scale=6 NULL=BLANK",,$D93,$O$4),AL93)</f>
        <v>3568.6868670200001</v>
      </c>
      <c r="AM93" s="1000" cm="1">
        <f t="array" aca="1" ref="AM93" ca="1">IF(NPSwitch=1,_xll.TR(AM$7,AM$6,"Sdate=#1 Period=#2 Scale=6 NULL=BLANK",,$D93,$O$4),AM93)</f>
        <v>6654.0502441299996</v>
      </c>
      <c r="AN93" s="1000" cm="1">
        <f t="array" aca="1" ref="AN93" ca="1">IF(NPSwitch=1,_xll.TR(AN$7,AN$6,"Sdate=#1 Period=#2 Scale=6 NULL=BLANK",,$D93,$O$4),AN93)</f>
        <v>14120.56686992</v>
      </c>
      <c r="AO93" s="1000" cm="1">
        <f t="array" aca="1" ref="AO93" ca="1">IF(NPSwitch=1,_xll.TR(AO$7,AO$6,"Sdate=#1 Period=#2 Scale=6 NULL=BLANK",,$D93,$O$4),AO93)</f>
        <v>30635.20222558</v>
      </c>
      <c r="AP93" s="1000" cm="1">
        <f t="array" aca="1" ref="AP93" ca="1">IF(NPSwitch=1,_xll.TR(AP$7,AP$6,"Sdate=#1 Period=#2 Scale=6 NULL=BLANK",,$D93,$O$4),AP93)</f>
        <v>13531.423475199999</v>
      </c>
      <c r="AQ93" s="1000" cm="1">
        <f t="array" aca="1" ref="AQ93" ca="1">IF(NPSwitch=1,_xll.TR(AQ$7,AQ$6,"Sdate=#1 Period=#2 Scale=6 NULL=BLANK",,$D93,$O$4),AQ93)</f>
        <v>14968.787344640001</v>
      </c>
      <c r="AS93" s="765" cm="1">
        <f t="array" aca="1" ref="AS93" ca="1">IF(NPSwitch=1,_xll.TR(AS$7,AS$6,"Sdate=#1 Period=#2 NULL=BLANK Scale=6",,$D93,$AS$4),AS93)</f>
        <v>18.866666666666699</v>
      </c>
      <c r="AT93" s="765" cm="1">
        <f t="array" aca="1" ref="AT93" ca="1">IF(NPSwitch=1,_xll.TR(AT$7,AT$6,"Sdate=#1 Period=#2 NULL=BLANK Scale=6",,$D93,$AS$4),AT93)</f>
        <v>13.616666666666699</v>
      </c>
      <c r="AU93" s="765" t="str" cm="1">
        <f t="array" aca="1" ref="AU93" ca="1">IF(NPSwitch=1,_xll.TR(AU$7,AU$6,"Sdate=#1 Period=#2 NULL=BLANK Scale=6",,$D93,$AS$4),AU93)</f>
        <v/>
      </c>
      <c r="AV93" s="765" cm="1">
        <f t="array" aca="1" ref="AV93" ca="1">IF(NPSwitch=1,_xll.TR(AV$7,AV$6,"Sdate=#1 Period=#2 NULL=BLANK Scale=6",,$D93,$AS$4),AV93)</f>
        <v>10.3</v>
      </c>
      <c r="AW93" s="765" cm="1">
        <f t="array" aca="1" ref="AW93" ca="1">IF(NPSwitch=1,_xll.TR(AW$7,AW$6,"Sdate=#1 Period=#2 NULL=BLANK Scale=6",,$D93,$AS$4),AW93)</f>
        <v>9.43333333333333</v>
      </c>
      <c r="AX93" s="765" cm="1">
        <f t="array" aca="1" ref="AX93" ca="1">IF(NPSwitch=1,_xll.TR(AX$7,AX$6,"Sdate=#1 Period=#2 NULL=BLANK Scale=6",,$D93,$AS$4),AX93)</f>
        <v>19.7</v>
      </c>
      <c r="AY93" s="765" cm="1">
        <f t="array" aca="1" ref="AY93" ca="1">IF(NPSwitch=1,_xll.TR(AY$7,AY$6,"Sdate=#1 Period=#2 NULL=BLANK Scale=6",,$D93,$AS$4),AY93)</f>
        <v>14.6944466666667</v>
      </c>
      <c r="AZ93" s="765" cm="1">
        <f t="array" aca="1" ref="AZ93" ca="1">IF(NPSwitch=1,_xll.TR(AZ$7,AZ$6,"Sdate=#1 Period=#2 NULL=BLANK Scale=6",,$D93,$AS$4),AZ93)</f>
        <v>8.66</v>
      </c>
      <c r="BA93" s="765" cm="1">
        <f t="array" aca="1" ref="BA93" ca="1">IF(NPSwitch=1,_xll.TR(BA$7,BA$6,"Sdate=#1 Period=#2 NULL=BLANK Scale=6",,$D93,$AS$4),BA93)</f>
        <v>11.1</v>
      </c>
      <c r="BB93" s="1002"/>
      <c r="BO93" s="765" cm="1">
        <f t="array" aca="1" ref="BO93" ca="1">IF(NPSwitch=1,_xll.TR(BO$7,BO$6,"Sdate=#1 Period=#2 NULL=BLANK Scale=6",,$D93,$AS$4),BO93)</f>
        <v>32131</v>
      </c>
      <c r="BP93" s="765" cm="1">
        <f t="array" aca="1" ref="BP93" ca="1">IF(NPSwitch=1,_xll.TR(BP$7,BP$6,"Sdate=#1 Period=#2 NULL=BLANK Scale=6",,$D93,$AS$4),BP93)</f>
        <v>3416.5630000000001</v>
      </c>
      <c r="BQ93" s="765" cm="1">
        <f t="array" aca="1" ref="BQ93" ca="1">IF(NPSwitch=1,_xll.TR(BQ$7,BQ$6,"Sdate=#1 Period=#2 NULL=BLANK Scale=6",,$D93,$AS$4),BQ93)</f>
        <v>2551</v>
      </c>
      <c r="BR93" s="765" cm="1">
        <f t="array" aca="1" ref="BR93" ca="1">IF(NPSwitch=1,_xll.TR(BR$7,BR$6,"Sdate=#1 Period=#2 NULL=BLANK Scale=6",,$D93,$AS$4),BR93)</f>
        <v>2904.9</v>
      </c>
      <c r="BS93" s="765" cm="1">
        <f t="array" aca="1" ref="BS93" ca="1">IF(NPSwitch=1,_xll.TR(BS$7,BS$6,"Sdate=#1 Period=#2 NULL=BLANK Scale=6",,$D93,$AS$4),BS93)</f>
        <v>7652</v>
      </c>
      <c r="BT93" s="765" cm="1">
        <f t="array" aca="1" ref="BT93" ca="1">IF(NPSwitch=1,_xll.TR(BT$7,BT$6,"Sdate=#1 Period=#2 NULL=BLANK Scale=6",,$D93,$AS$4),BT93)</f>
        <v>4421.2</v>
      </c>
      <c r="BU93" s="765" cm="1">
        <f t="array" aca="1" ref="BU93" ca="1">IF(NPSwitch=1,_xll.TR(BU$7,BU$6,"Sdate=#1 Period=#2 NULL=BLANK Scale=6",,$D93,$AS$4),BU93)</f>
        <v>15110</v>
      </c>
      <c r="BV93" s="765" cm="1">
        <f t="array" aca="1" ref="BV93" ca="1">IF(NPSwitch=1,_xll.TR(BV$7,BV$6,"Sdate=#1 Period=#2 NULL=BLANK Scale=6",,$D93,$AS$4),BV93)</f>
        <v>11409</v>
      </c>
      <c r="BW93" s="765" cm="1">
        <f t="array" aca="1" ref="BW93" ca="1">IF(NPSwitch=1,_xll.TR(BW$7,BW$6,"Sdate=#1 Period=#2 NULL=BLANK Scale=6",,$D93,$AS$4),BW93)</f>
        <v>9666</v>
      </c>
      <c r="BY93" s="765" cm="1">
        <f t="array" aca="1" ref="BY93" ca="1">IF(NPSwitch=1,_xll.TR(BY$7,BY$6,"Sdate=#1 Period=#2 NULL=BLANK Scale=6",,$D93,$AS$4),BY93)</f>
        <v>25484.75</v>
      </c>
      <c r="BZ93" s="765" cm="1">
        <f t="array" aca="1" ref="BZ93" ca="1">IF(NPSwitch=1,_xll.TR(BZ$7,BZ$6,"Sdate=#1 Period=#2 NULL=BLANK Scale=6",,$D93,$AS$4),BZ93)</f>
        <v>5598.8819999999996</v>
      </c>
      <c r="CA93" s="765" cm="1">
        <f t="array" aca="1" ref="CA93" ca="1">IF(NPSwitch=1,_xll.TR(CA$7,CA$6,"Sdate=#1 Period=#2 NULL=BLANK Scale=6",,$D93,$AS$4),CA93)</f>
        <v>5866.5</v>
      </c>
      <c r="CB93" s="765" cm="1">
        <f t="array" aca="1" ref="CB93" ca="1">IF(NPSwitch=1,_xll.TR(CB$7,CB$6,"Sdate=#1 Period=#2 NULL=BLANK Scale=6",,$D93,$AS$4),CB93)</f>
        <v>1964.35</v>
      </c>
      <c r="CC93" s="765" cm="1">
        <f t="array" aca="1" ref="CC93" ca="1">IF(NPSwitch=1,_xll.TR(CC$7,CC$6,"Sdate=#1 Period=#2 NULL=BLANK Scale=6",,$D93,$AS$4),CC93)</f>
        <v>5574.25</v>
      </c>
      <c r="CD93" s="765" cm="1">
        <f t="array" aca="1" ref="CD93" ca="1">IF(NPSwitch=1,_xll.TR(CD$7,CD$6,"Sdate=#1 Period=#2 NULL=BLANK Scale=6",,$D93,$AS$4),CD93)</f>
        <v>5922.0249999999996</v>
      </c>
      <c r="CE93" s="765" cm="1">
        <f t="array" aca="1" ref="CE93" ca="1">IF(NPSwitch=1,_xll.TR(CE$7,CE$6,"Sdate=#1 Period=#2 NULL=BLANK Scale=6",,$D93,$AS$4),CE93)</f>
        <v>10209.75</v>
      </c>
      <c r="CF93" s="765" cm="1">
        <f t="array" aca="1" ref="CF93" ca="1">IF(NPSwitch=1,_xll.TR(CF$7,CF$6,"Sdate=#1 Period=#2 NULL=BLANK Scale=6",,$D93,$AS$4),CF93)</f>
        <v>15177.25</v>
      </c>
      <c r="CG93" s="765" cm="1">
        <f t="array" aca="1" ref="CG93" ca="1">IF(NPSwitch=1,_xll.TR(CG$7,CG$6,"Sdate=#1 Period=#2 NULL=BLANK Scale=6",,$D93,$AS$4),CG93)</f>
        <v>12336.75</v>
      </c>
      <c r="CI93" s="1000" cm="1">
        <f t="array" aca="1" ref="CI93" ca="1">IF(NPSwitch=1,_xll.TR(CI$7,CI$6,"Sdate=#1 Period=#2 NULL=BLANK Scale=6",,$D93,$AS$4),CI93)</f>
        <v>8789</v>
      </c>
      <c r="CJ93" s="1000" cm="1">
        <f t="array" aca="1" ref="CJ93" ca="1">IF(NPSwitch=1,_xll.TR(CJ$7,CJ$6,"Sdate=#1 Period=#2 NULL=BLANK Scale=6",,$D93,$AS$4),CJ93)</f>
        <v>910.65</v>
      </c>
      <c r="CK93" s="1000" cm="1">
        <f t="array" aca="1" ref="CK93" ca="1">IF(NPSwitch=1,_xll.TR(CK$7,CK$6,"Sdate=#1 Period=#2 NULL=BLANK Scale=6",,$D93,$AS$4),CK93)</f>
        <v>661</v>
      </c>
      <c r="CL93" s="1000" cm="1">
        <f t="array" aca="1" ref="CL93" ca="1">IF(NPSwitch=1,_xll.TR(CL$7,CL$6,"Sdate=#1 Period=#2 NULL=BLANK Scale=6",,$D93,$AS$4),CL93)</f>
        <v>286.60000000000002</v>
      </c>
      <c r="CM93" s="1000" cm="1">
        <f t="array" aca="1" ref="CM93" ca="1">IF(NPSwitch=1,_xll.TR(CM$7,CM$6,"Sdate=#1 Period=#2 NULL=BLANK Scale=6",,$D93,$AS$4),CM93)</f>
        <v>958</v>
      </c>
      <c r="CN93" s="1000" cm="1">
        <f t="array" aca="1" ref="CN93" ca="1">IF(NPSwitch=1,_xll.TR(CN$7,CN$6,"Sdate=#1 Period=#2 NULL=BLANK Scale=6",,$D93,$AS$4),CN93)</f>
        <v>1122</v>
      </c>
      <c r="CO93" s="1000" cm="1">
        <f t="array" aca="1" ref="CO93" ca="1">IF(NPSwitch=1,_xll.TR(CO$7,CO$6,"Sdate=#1 Period=#2 NULL=BLANK Scale=6",,$D93,$AS$4),CO93)</f>
        <v>2282</v>
      </c>
      <c r="CP93" s="1000" cm="1">
        <f t="array" aca="1" ref="CP93" ca="1">IF(NPSwitch=1,_xll.TR(CP$7,CP$6,"Sdate=#1 Period=#2 NULL=BLANK Scale=6",,$D93,$AS$4),CP93)</f>
        <v>2185</v>
      </c>
      <c r="CQ93" s="1000" cm="1">
        <f t="array" aca="1" ref="CQ93" ca="1">IF(NPSwitch=1,_xll.TR(CQ$7,CQ$6,"Sdate=#1 Period=#2 NULL=BLANK Scale=6",,$D93,$AS$4),CQ93)</f>
        <v>2143</v>
      </c>
      <c r="CS93" s="1000" cm="1">
        <f t="array" aca="1" ref="CS93" ca="1">IF(NPSwitch=1,_xll.TR(CS$7,CS$6,"Sdate=#1 Period=#2 NULL=BLANK Scale=6",,$D93,$AS$4),CS93)</f>
        <v>9217.75</v>
      </c>
      <c r="CT93" s="1000" cm="1">
        <f t="array" aca="1" ref="CT93" ca="1">IF(NPSwitch=1,_xll.TR(CT$7,CT$6,"Sdate=#1 Period=#2 NULL=BLANK Scale=6",,$D93,$AS$4),CT93)</f>
        <v>3165.6909999999998</v>
      </c>
      <c r="CU93" s="1000" cm="1">
        <f t="array" aca="1" ref="CU93" ca="1">IF(NPSwitch=1,_xll.TR(CU$7,CU$6,"Sdate=#1 Period=#2 NULL=BLANK Scale=6",,$D93,$AS$4),CU93)</f>
        <v>1610.75</v>
      </c>
      <c r="CV93" s="1000" cm="1">
        <f t="array" aca="1" ref="CV93" ca="1">IF(NPSwitch=1,_xll.TR(CV$7,CV$6,"Sdate=#1 Period=#2 NULL=BLANK Scale=6",,$D93,$AS$4),CV93)</f>
        <v>504.52499999999998</v>
      </c>
      <c r="CW93" s="1000" cm="1">
        <f t="array" aca="1" ref="CW93" ca="1">IF(NPSwitch=1,_xll.TR(CW$7,CW$6,"Sdate=#1 Period=#2 NULL=BLANK Scale=6",,$D93,$AS$4),CW93)</f>
        <v>891.25</v>
      </c>
      <c r="CX93" s="1000" cm="1">
        <f t="array" aca="1" ref="CX93" ca="1">IF(NPSwitch=1,_xll.TR(CX$7,CX$6,"Sdate=#1 Period=#2 NULL=BLANK Scale=6",,$D93,$AS$4),CX93)</f>
        <v>3198.75</v>
      </c>
      <c r="CY93" s="1000" cm="1">
        <f t="array" aca="1" ref="CY93" ca="1">IF(NPSwitch=1,_xll.TR(CY$7,CY$6,"Sdate=#1 Period=#2 NULL=BLANK Scale=6",,$D93,$AS$4),CY93)</f>
        <v>5664.25</v>
      </c>
      <c r="CZ93" s="1000" cm="1">
        <f t="array" aca="1" ref="CZ93" ca="1">IF(NPSwitch=1,_xll.TR(CZ$7,CZ$6,"Sdate=#1 Period=#2 NULL=BLANK Scale=6",,$D93,$AS$4),CZ93)</f>
        <v>5681.5</v>
      </c>
      <c r="DA93" s="1000" cm="1">
        <f t="array" aca="1" ref="DA93" ca="1">IF(NPSwitch=1,_xll.TR(DA$7,DA$6,"Sdate=#1 Period=#2 NULL=BLANK Scale=6",,$D93,$AS$4),DA93)</f>
        <v>3800</v>
      </c>
      <c r="DB93" s="1000" cm="1">
        <f t="array" aca="1" ref="DB93" ca="1">IF(NPSwitch=1,_xll.TR(DB$7,DB$6,"Sdate=#1 Period=#2 NULL=BLANK Scale=6",,$D93,$AS$4),DB93)</f>
        <v>21226.25</v>
      </c>
      <c r="DC93" s="1000" cm="1">
        <f t="array" aca="1" ref="DC93" ca="1">IF(NPSwitch=1,_xll.TR(DC$7,DC$6,"Sdate=#1 Period=#2 NULL=BLANK Scale=6",,$D93,$AS$4),DC93)</f>
        <v>23580.75</v>
      </c>
      <c r="DD93" s="1000" cm="1">
        <f t="array" aca="1" ref="DD93" ca="1">IF(NPSwitch=1,_xll.TR(DD$7,DD$6,"Sdate=#1 Period=#2 NULL=BLANK Scale=6",,$D93,$AS$4),DD93)</f>
        <v>13418.75</v>
      </c>
      <c r="DE93" s="1000" cm="1">
        <f t="array" aca="1" ref="DE93" ca="1">IF(NPSwitch=1,_xll.TR(DE$7,DE$6,"Sdate=#1 Period=#2 NULL=BLANK Scale=6",,$D93,$AS$4),DE93)</f>
        <v>23588</v>
      </c>
      <c r="DF93" s="1000" cm="1">
        <f t="array" aca="1" ref="DF93" ca="1">IF(NPSwitch=1,_xll.TR(DF$7,DF$6,"Sdate=#1 Period=#2 NULL=BLANK Scale=6",,$D93,$AS$4),DF93)</f>
        <v>504.52499999999998</v>
      </c>
      <c r="DG93" s="1000" cm="1">
        <f t="array" aca="1" ref="DG93" ca="1">IF(NPSwitch=1,_xll.TR(DG$7,DG$6,"Sdate=#1 Period=#2 NULL=BLANK Scale=6",,$D93,$AS$4),DG93)</f>
        <v>3089.25</v>
      </c>
      <c r="DH93" s="1000" cm="1">
        <f t="array" aca="1" ref="DH93" ca="1">IF(NPSwitch=1,_xll.TR(DH$7,DH$6,"Sdate=#1 Period=#2 NULL=BLANK Scale=6",,$D93,$AS$4),DH93)</f>
        <v>6861.75</v>
      </c>
    </row>
    <row r="94" spans="3:170">
      <c r="C94" s="969">
        <f t="shared" si="47"/>
        <v>43738</v>
      </c>
      <c r="D94" s="974">
        <f t="shared" si="46"/>
        <v>43783</v>
      </c>
      <c r="E94" s="765" cm="1">
        <f t="array" aca="1" ref="E94" ca="1">IF(NPSwitch=1,_xll.TR(E$7,E$6,"Sdate=#1 Period=#2 NULL=BLANK",,$D94,$E$4),E94)</f>
        <v>12.0228026157518</v>
      </c>
      <c r="F94" s="765" cm="1">
        <f t="array" aca="1" ref="F94" ca="1">IF(NPSwitch=1,_xll.TR(F$7,F$6,"Sdate=#1 Period=#2 NULL=BLANK",,$D94,$E$4),F94)</f>
        <v>9.1282394659817605</v>
      </c>
      <c r="G94" s="765" cm="1">
        <f t="array" aca="1" ref="G94" ca="1">IF(NPSwitch=1,_xll.TR(G$7,G$6,"Sdate=#1 Period=#2 NULL=BLANK",,$D94,$E$4),G94)</f>
        <v>12.3110992463288</v>
      </c>
      <c r="H94" s="765" cm="1">
        <f t="array" aca="1" ref="H94" ca="1">IF(NPSwitch=1,_xll.TR(H$7,H$6,"Sdate=#1 Period=#2 NULL=BLANK",,$D94,$E$4),H94)</f>
        <v>11.7238614448422</v>
      </c>
      <c r="I94" s="765" cm="1">
        <f t="array" aca="1" ref="I94" ca="1">IF(NPSwitch=1,_xll.TR(I$7,I$6,"Sdate=#1 Period=#2 NULL=BLANK",,$D94,$E$4),I94)</f>
        <v>8.1668153058829596</v>
      </c>
      <c r="J94" s="765" cm="1">
        <f t="array" aca="1" ref="J94" ca="1">IF(NPSwitch=1,_xll.TR(J$7,J$6,"Sdate=#1 Period=#2 NULL=BLANK",,$D94,$E$4),J94)</f>
        <v>12.0352203905518</v>
      </c>
      <c r="K94" s="765" cm="1">
        <f t="array" aca="1" ref="K94" ca="1">IF(NPSwitch=1,_xll.TR(K$7,K$6,"Sdate=#1 Period=#2 NULL=BLANK",,$D94,$E$4),K94)</f>
        <v>12.7337277142757</v>
      </c>
      <c r="L94" s="765" cm="1">
        <f t="array" aca="1" ref="L94" ca="1">IF(NPSwitch=1,_xll.TR(L$7,L$6,"Sdate=#1 Period=#2 NULL=BLANK",,$D94,$E$4),L94)</f>
        <v>6.4062423503781698</v>
      </c>
      <c r="M94" s="765" cm="1">
        <f t="array" aca="1" ref="M94" ca="1">IF(NPSwitch=1,_xll.TR(M$7,M$6,"Sdate=#1 Period=#2 NULL=BLANK",,$D94,$E$4),M94)</f>
        <v>8.0806416947550908</v>
      </c>
      <c r="N94" s="1002">
        <f t="shared" ca="1" si="48"/>
        <v>10.562827742043272</v>
      </c>
      <c r="O94" s="1000" cm="1">
        <f t="array" aca="1" ref="O94" ca="1">IF(NPSwitch=1,_xll.TR(O$7,O$6,"Sdate=#1 Period=#2 Scale=6 NULL=BLANK",,$D94,$O$4),O94)</f>
        <v>98293.40845915</v>
      </c>
      <c r="P94" s="1000" cm="1">
        <f t="array" aca="1" ref="P94" ca="1">IF(NPSwitch=1,_xll.TR(P$7,P$6,"Sdate=#1 Period=#2 Scale=6 NULL=BLANK",,$D94,$O$4),P94)</f>
        <v>6949.4049828200004</v>
      </c>
      <c r="Q94" s="1000" cm="1">
        <f t="array" aca="1" ref="Q94" ca="1">IF(NPSwitch=1,_xll.TR(Q$7,Q$6,"Sdate=#1 Period=#2 Scale=6 NULL=BLANK",,$D94,$O$4),Q94)</f>
        <v>4718.4063136000004</v>
      </c>
      <c r="R94" s="1000" cm="1">
        <f t="array" aca="1" ref="R94" ca="1">IF(NPSwitch=1,_xll.TR(R$7,R$6,"Sdate=#1 Period=#2 Scale=6 NULL=BLANK",,$D94,$O$4),R94)</f>
        <v>2528.1993041299902</v>
      </c>
      <c r="S94" s="1000" cm="1">
        <f t="array" aca="1" ref="S94" ca="1">IF(NPSwitch=1,_xll.TR(S$7,S$6,"Sdate=#1 Period=#2 Scale=6 NULL=BLANK",,$D94,$O$4),S94)</f>
        <v>5217.2093539799998</v>
      </c>
      <c r="T94" s="1000" cm="1">
        <f t="array" aca="1" ref="T94" ca="1">IF(NPSwitch=1,_xll.TR(T$7,T$6,"Sdate=#1 Period=#2 Scale=6 NULL=BLANK",,$D94,$O$4),T94)</f>
        <v>12577.870458720001</v>
      </c>
      <c r="U94" s="1000" cm="1">
        <f t="array" aca="1" ref="U94" ca="1">IF(NPSwitch=1,_xll.TR(U$7,U$6,"Sdate=#1 Period=#2 Scale=6 NULL=BLANK",,$D94,$O$4),U94)</f>
        <v>30681.101627249998</v>
      </c>
      <c r="V94" s="1000" cm="1">
        <f t="array" aca="1" ref="V94" ca="1">IF(NPSwitch=1,_xll.TR(V$7,V$6,"Sdate=#1 Period=#2 Scale=6 NULL=BLANK",,$D94,$O$4),V94)</f>
        <v>10926.4461312</v>
      </c>
      <c r="W94" s="1000" cm="1">
        <f t="array" aca="1" ref="W94" ca="1">IF(NPSwitch=1,_xll.TR(W$7,W$6,"Sdate=#1 Period=#2 Scale=6 NULL=BLANK",,$D94,$O$4),W94)</f>
        <v>10855.2207334499</v>
      </c>
      <c r="X94" s="998"/>
      <c r="Y94" s="1000" cm="1">
        <f t="array" aca="1" ref="Y94" ca="1">IF(NPSwitch=1,_xll.TR(Y$7,Y$6,"Sdate=#1 Period=#2 Scale=6 NULL=BLANK",,$D94,$O$4),Y94)</f>
        <v>4364.75</v>
      </c>
      <c r="Z94" s="1000" cm="1">
        <f t="array" aca="1" ref="Z94" ca="1">IF(NPSwitch=1,_xll.TR(Z$7,Z$6,"Sdate=#1 Period=#2 Scale=6 NULL=BLANK",,$D94,$O$4),Z94)</f>
        <v>434.15</v>
      </c>
      <c r="AA94" s="1000" cm="1">
        <f t="array" aca="1" ref="AA94" ca="1">IF(NPSwitch=1,_xll.TR(AA$7,AA$6,"Sdate=#1 Period=#2 Scale=6 NULL=BLANK",,$D94,$O$4),AA94)</f>
        <v>184.75</v>
      </c>
      <c r="AB94" s="1000" cm="1">
        <f t="array" aca="1" ref="AB94" ca="1">IF(NPSwitch=1,_xll.TR(AB$7,AB$6,"Sdate=#1 Period=#2 Scale=6 NULL=BLANK",,$D94,$O$4),AB94)</f>
        <v>151.07499999999999</v>
      </c>
      <c r="AC94" s="1000" cm="1">
        <f t="array" aca="1" ref="AC94" ca="1">IF(NPSwitch=1,_xll.TR(AC$7,AC$6,"Sdate=#1 Period=#2 Scale=6 NULL=BLANK",,$D94,$O$4),AC94)</f>
        <v>412.75</v>
      </c>
      <c r="AD94" s="1000" cm="1">
        <f t="array" aca="1" ref="AD94" ca="1">IF(NPSwitch=1,_xll.TR(AD$7,AD$6,"Sdate=#1 Period=#2 Scale=6 NULL=BLANK",,$D94,$O$4),AD94)</f>
        <v>186.75</v>
      </c>
      <c r="AE94" s="1000" cm="1">
        <f t="array" aca="1" ref="AE94" ca="1">IF(NPSwitch=1,_xll.TR(AE$7,AE$6,"Sdate=#1 Period=#2 Scale=6 NULL=BLANK",,$D94,$O$4),AE94)</f>
        <v>1077</v>
      </c>
      <c r="AF94" s="1000" cm="1">
        <f t="array" aca="1" ref="AF94" ca="1">IF(NPSwitch=1,_xll.TR(AF$7,AF$6,"Sdate=#1 Period=#2 Scale=6 NULL=BLANK",,$D94,$O$4),AF94)</f>
        <v>1091.75</v>
      </c>
      <c r="AG94" s="1000" cm="1">
        <f t="array" aca="1" ref="AG94" ca="1">IF(NPSwitch=1,_xll.TR(AG$7,AG$6,"Sdate=#1 Period=#2 Scale=6 NULL=BLANK",,$D94,$O$4),AG94)</f>
        <v>203.5</v>
      </c>
      <c r="AH94" s="998"/>
      <c r="AI94" s="1000" cm="1">
        <f t="array" aca="1" ref="AI94" ca="1">IF(NPSwitch=1,_xll.TR(AI$7,AI$6,"Sdate=#1 Period=#2 Scale=6 NULL=BLANK",,$D94,$O$4),AI94)</f>
        <v>110167.40845915</v>
      </c>
      <c r="AJ94" s="1000" cm="1">
        <f t="array" aca="1" ref="AJ94" ca="1">IF(NPSwitch=1,_xll.TR(AJ$7,AJ$6,"Sdate=#1 Period=#2 Scale=6 NULL=BLANK",,$D94,$O$4),AJ94)</f>
        <v>8725.3039828199999</v>
      </c>
      <c r="AK94" s="1000" cm="1">
        <f t="array" aca="1" ref="AK94" ca="1">IF(NPSwitch=1,_xll.TR(AK$7,AK$6,"Sdate=#1 Period=#2 Scale=6 NULL=BLANK",,$D94,$O$4),AK94)</f>
        <v>7193.4063136000004</v>
      </c>
      <c r="AL94" s="1000" cm="1">
        <f t="array" aca="1" ref="AL94" ca="1">IF(NPSwitch=1,_xll.TR(AL$7,AL$6,"Sdate=#1 Period=#2 Scale=6 NULL=BLANK",,$D94,$O$4),AL94)</f>
        <v>3754.2993041300001</v>
      </c>
      <c r="AM94" s="1000" cm="1">
        <f t="array" aca="1" ref="AM94" ca="1">IF(NPSwitch=1,_xll.TR(AM$7,AM$6,"Sdate=#1 Period=#2 Scale=6 NULL=BLANK",,$D94,$O$4),AM94)</f>
        <v>7318.2093539799998</v>
      </c>
      <c r="AN94" s="1000" cm="1">
        <f t="array" aca="1" ref="AN94" ca="1">IF(NPSwitch=1,_xll.TR(AN$7,AN$6,"Sdate=#1 Period=#2 Scale=6 NULL=BLANK",,$D94,$O$4),AN94)</f>
        <v>15774.270458720001</v>
      </c>
      <c r="AO94" s="1000" cm="1">
        <f t="array" aca="1" ref="AO94" ca="1">IF(NPSwitch=1,_xll.TR(AO$7,AO$6,"Sdate=#1 Period=#2 Scale=6 NULL=BLANK",,$D94,$O$4),AO94)</f>
        <v>34823.101627249998</v>
      </c>
      <c r="AP94" s="1000" cm="1">
        <f t="array" aca="1" ref="AP94" ca="1">IF(NPSwitch=1,_xll.TR(AP$7,AP$6,"Sdate=#1 Period=#2 Scale=6 NULL=BLANK",,$D94,$O$4),AP94)</f>
        <v>14984.4461312</v>
      </c>
      <c r="AQ94" s="1000" cm="1">
        <f t="array" aca="1" ref="AQ94" ca="1">IF(NPSwitch=1,_xll.TR(AQ$7,AQ$6,"Sdate=#1 Period=#2 Scale=6 NULL=BLANK",,$D94,$O$4),AQ94)</f>
        <v>16934.220733450002</v>
      </c>
      <c r="AS94" s="765" cm="1">
        <f t="array" aca="1" ref="AS94" ca="1">IF(NPSwitch=1,_xll.TR(AS$7,AS$6,"Sdate=#1 Period=#2 NULL=BLANK Scale=6",,$D94,$AS$4),AS94)</f>
        <v>18.144447499999998</v>
      </c>
      <c r="AT94" s="765" cm="1">
        <f t="array" aca="1" ref="AT94" ca="1">IF(NPSwitch=1,_xll.TR(AT$7,AT$6,"Sdate=#1 Period=#2 NULL=BLANK Scale=6",,$D94,$AS$4),AT94)</f>
        <v>13.6916666666667</v>
      </c>
      <c r="AU94" s="765" t="str" cm="1">
        <f t="array" aca="1" ref="AU94" ca="1">IF(NPSwitch=1,_xll.TR(AU$7,AU$6,"Sdate=#1 Period=#2 NULL=BLANK Scale=6",,$D94,$AS$4),AU94)</f>
        <v/>
      </c>
      <c r="AV94" s="765" cm="1">
        <f t="array" aca="1" ref="AV94" ca="1">IF(NPSwitch=1,_xll.TR(AV$7,AV$6,"Sdate=#1 Period=#2 NULL=BLANK Scale=6",,$D94,$AS$4),AV94)</f>
        <v>7.2166666666666703</v>
      </c>
      <c r="AW94" s="765" cm="1">
        <f t="array" aca="1" ref="AW94" ca="1">IF(NPSwitch=1,_xll.TR(AW$7,AW$6,"Sdate=#1 Period=#2 NULL=BLANK Scale=6",,$D94,$AS$4),AW94)</f>
        <v>6.5374999999999996</v>
      </c>
      <c r="AX94" s="765" cm="1">
        <f t="array" aca="1" ref="AX94" ca="1">IF(NPSwitch=1,_xll.TR(AX$7,AX$6,"Sdate=#1 Period=#2 NULL=BLANK Scale=6",,$D94,$AS$4),AX94)</f>
        <v>21.125</v>
      </c>
      <c r="AY94" s="765" cm="1">
        <f t="array" aca="1" ref="AY94" ca="1">IF(NPSwitch=1,_xll.TR(AY$7,AY$6,"Sdate=#1 Period=#2 NULL=BLANK Scale=6",,$D94,$AS$4),AY94)</f>
        <v>14.090280833333299</v>
      </c>
      <c r="AZ94" s="765" cm="1">
        <f t="array" aca="1" ref="AZ94" ca="1">IF(NPSwitch=1,_xll.TR(AZ$7,AZ$6,"Sdate=#1 Period=#2 NULL=BLANK Scale=6",,$D94,$AS$4),AZ94)</f>
        <v>9.15</v>
      </c>
      <c r="BA94" s="765" cm="1">
        <f t="array" aca="1" ref="BA94" ca="1">IF(NPSwitch=1,_xll.TR(BA$7,BA$6,"Sdate=#1 Period=#2 NULL=BLANK Scale=6",,$D94,$AS$4),BA94)</f>
        <v>10.029166666666701</v>
      </c>
      <c r="BB94" s="1002"/>
      <c r="BO94" s="765" cm="1">
        <f t="array" aca="1" ref="BO94" ca="1">IF(NPSwitch=1,_xll.TR(BO$7,BO$6,"Sdate=#1 Period=#2 NULL=BLANK Scale=6",,$D94,$AS$4),BO94)</f>
        <v>31970</v>
      </c>
      <c r="BP94" s="765" cm="1">
        <f t="array" aca="1" ref="BP94" ca="1">IF(NPSwitch=1,_xll.TR(BP$7,BP$6,"Sdate=#1 Period=#2 NULL=BLANK Scale=6",,$D94,$AS$4),BP94)</f>
        <v>3518.5619999999999</v>
      </c>
      <c r="BQ94" s="765" cm="1">
        <f t="array" aca="1" ref="BQ94" ca="1">IF(NPSwitch=1,_xll.TR(BQ$7,BQ$6,"Sdate=#1 Period=#2 NULL=BLANK Scale=6",,$D94,$AS$4),BQ94)</f>
        <v>2551</v>
      </c>
      <c r="BR94" s="765" cm="1">
        <f t="array" aca="1" ref="BR94" ca="1">IF(NPSwitch=1,_xll.TR(BR$7,BR$6,"Sdate=#1 Period=#2 NULL=BLANK Scale=6",,$D94,$AS$4),BR94)</f>
        <v>2881.2</v>
      </c>
      <c r="BS94" s="765" cm="1">
        <f t="array" aca="1" ref="BS94" ca="1">IF(NPSwitch=1,_xll.TR(BS$7,BS$6,"Sdate=#1 Period=#2 NULL=BLANK Scale=6",,$D94,$AS$4),BS94)</f>
        <v>7371</v>
      </c>
      <c r="BT94" s="765" cm="1">
        <f t="array" aca="1" ref="BT94" ca="1">IF(NPSwitch=1,_xll.TR(BT$7,BT$6,"Sdate=#1 Period=#2 NULL=BLANK Scale=6",,$D94,$AS$4),BT94)</f>
        <v>4511.8999999999996</v>
      </c>
      <c r="BU94" s="765" cm="1">
        <f t="array" aca="1" ref="BU94" ca="1">IF(NPSwitch=1,_xll.TR(BU$7,BU$6,"Sdate=#1 Period=#2 NULL=BLANK Scale=6",,$D94,$AS$4),BU94)</f>
        <v>15119</v>
      </c>
      <c r="BV94" s="765" cm="1">
        <f t="array" aca="1" ref="BV94" ca="1">IF(NPSwitch=1,_xll.TR(BV$7,BV$6,"Sdate=#1 Period=#2 NULL=BLANK Scale=6",,$D94,$AS$4),BV94)</f>
        <v>11346</v>
      </c>
      <c r="BW94" s="765" cm="1">
        <f t="array" aca="1" ref="BW94" ca="1">IF(NPSwitch=1,_xll.TR(BW$7,BW$6,"Sdate=#1 Period=#2 NULL=BLANK Scale=6",,$D94,$AS$4),BW94)</f>
        <v>9444</v>
      </c>
      <c r="BY94" s="765" cm="1">
        <f t="array" aca="1" ref="BY94" ca="1">IF(NPSwitch=1,_xll.TR(BY$7,BY$6,"Sdate=#1 Period=#2 NULL=BLANK Scale=6",,$D94,$AS$4),BY94)</f>
        <v>26779.75</v>
      </c>
      <c r="BZ94" s="765" cm="1">
        <f t="array" aca="1" ref="BZ94" ca="1">IF(NPSwitch=1,_xll.TR(BZ$7,BZ$6,"Sdate=#1 Period=#2 NULL=BLANK Scale=6",,$D94,$AS$4),BZ94)</f>
        <v>5735.4347500000003</v>
      </c>
      <c r="CA94" s="765" cm="1">
        <f t="array" aca="1" ref="CA94" ca="1">IF(NPSwitch=1,_xll.TR(CA$7,CA$6,"Sdate=#1 Period=#2 NULL=BLANK Scale=6",,$D94,$AS$4),CA94)</f>
        <v>5866.5</v>
      </c>
      <c r="CB94" s="765" cm="1">
        <f t="array" aca="1" ref="CB94" ca="1">IF(NPSwitch=1,_xll.TR(CB$7,CB$6,"Sdate=#1 Period=#2 NULL=BLANK Scale=6",,$D94,$AS$4),CB94)</f>
        <v>1981.05</v>
      </c>
      <c r="CC94" s="765" cm="1">
        <f t="array" aca="1" ref="CC94" ca="1">IF(NPSwitch=1,_xll.TR(CC$7,CC$6,"Sdate=#1 Period=#2 NULL=BLANK Scale=6",,$D94,$AS$4),CC94)</f>
        <v>5207.5</v>
      </c>
      <c r="CD94" s="765" cm="1">
        <f t="array" aca="1" ref="CD94" ca="1">IF(NPSwitch=1,_xll.TR(CD$7,CD$6,"Sdate=#1 Period=#2 NULL=BLANK Scale=6",,$D94,$AS$4),CD94)</f>
        <v>6033.1</v>
      </c>
      <c r="CE94" s="765" cm="1">
        <f t="array" aca="1" ref="CE94" ca="1">IF(NPSwitch=1,_xll.TR(CE$7,CE$6,"Sdate=#1 Period=#2 NULL=BLANK Scale=6",,$D94,$AS$4),CE94)</f>
        <v>10400.5</v>
      </c>
      <c r="CF94" s="765" cm="1">
        <f t="array" aca="1" ref="CF94" ca="1">IF(NPSwitch=1,_xll.TR(CF$7,CF$6,"Sdate=#1 Period=#2 NULL=BLANK Scale=6",,$D94,$AS$4),CF94)</f>
        <v>15039.75</v>
      </c>
      <c r="CG94" s="765" cm="1">
        <f t="array" aca="1" ref="CG94" ca="1">IF(NPSwitch=1,_xll.TR(CG$7,CG$6,"Sdate=#1 Period=#2 NULL=BLANK Scale=6",,$D94,$AS$4),CG94)</f>
        <v>12258</v>
      </c>
      <c r="CI94" s="1000" cm="1">
        <f t="array" aca="1" ref="CI94" ca="1">IF(NPSwitch=1,_xll.TR(CI$7,CI$6,"Sdate=#1 Period=#2 NULL=BLANK Scale=6",,$D94,$AS$4),CI94)</f>
        <v>8709</v>
      </c>
      <c r="CJ94" s="1000" cm="1">
        <f t="array" aca="1" ref="CJ94" ca="1">IF(NPSwitch=1,_xll.TR(CJ$7,CJ$6,"Sdate=#1 Period=#2 NULL=BLANK Scale=6",,$D94,$AS$4),CJ94)</f>
        <v>942.03099999999995</v>
      </c>
      <c r="CK94" s="1000" cm="1">
        <f t="array" aca="1" ref="CK94" ca="1">IF(NPSwitch=1,_xll.TR(CK$7,CK$6,"Sdate=#1 Period=#2 NULL=BLANK Scale=6",,$D94,$AS$4),CK94)</f>
        <v>661</v>
      </c>
      <c r="CL94" s="1000" cm="1">
        <f t="array" aca="1" ref="CL94" ca="1">IF(NPSwitch=1,_xll.TR(CL$7,CL$6,"Sdate=#1 Period=#2 NULL=BLANK Scale=6",,$D94,$AS$4),CL94)</f>
        <v>295.89999999999998</v>
      </c>
      <c r="CM94" s="1000" cm="1">
        <f t="array" aca="1" ref="CM94" ca="1">IF(NPSwitch=1,_xll.TR(CM$7,CM$6,"Sdate=#1 Period=#2 NULL=BLANK Scale=6",,$D94,$AS$4),CM94)</f>
        <v>843</v>
      </c>
      <c r="CN94" s="1000" cm="1">
        <f t="array" aca="1" ref="CN94" ca="1">IF(NPSwitch=1,_xll.TR(CN$7,CN$6,"Sdate=#1 Period=#2 NULL=BLANK Scale=6",,$D94,$AS$4),CN94)</f>
        <v>1151.2</v>
      </c>
      <c r="CO94" s="1000" cm="1">
        <f t="array" aca="1" ref="CO94" ca="1">IF(NPSwitch=1,_xll.TR(CO$7,CO$6,"Sdate=#1 Period=#2 NULL=BLANK Scale=6",,$D94,$AS$4),CO94)</f>
        <v>2316</v>
      </c>
      <c r="CP94" s="1000" cm="1">
        <f t="array" aca="1" ref="CP94" ca="1">IF(NPSwitch=1,_xll.TR(CP$7,CP$6,"Sdate=#1 Period=#2 NULL=BLANK Scale=6",,$D94,$AS$4),CP94)</f>
        <v>3024</v>
      </c>
      <c r="CQ94" s="1000" cm="1">
        <f t="array" aca="1" ref="CQ94" ca="1">IF(NPSwitch=1,_xll.TR(CQ$7,CQ$6,"Sdate=#1 Period=#2 NULL=BLANK Scale=6",,$D94,$AS$4),CQ94)</f>
        <v>1993</v>
      </c>
      <c r="CS94" s="1000" cm="1">
        <f t="array" aca="1" ref="CS94" ca="1">IF(NPSwitch=1,_xll.TR(CS$7,CS$6,"Sdate=#1 Period=#2 NULL=BLANK Scale=6",,$D94,$AS$4),CS94)</f>
        <v>9491.5</v>
      </c>
      <c r="CT94" s="1000" cm="1">
        <f t="array" aca="1" ref="CT94" ca="1">IF(NPSwitch=1,_xll.TR(CT$7,CT$6,"Sdate=#1 Period=#2 NULL=BLANK Scale=6",,$D94,$AS$4),CT94)</f>
        <v>3374.9144999999999</v>
      </c>
      <c r="CU94" s="1000" cm="1">
        <f t="array" aca="1" ref="CU94" ca="1">IF(NPSwitch=1,_xll.TR(CU$7,CU$6,"Sdate=#1 Period=#2 NULL=BLANK Scale=6",,$D94,$AS$4),CU94)</f>
        <v>1610.75</v>
      </c>
      <c r="CV94" s="1000" cm="1">
        <f t="array" aca="1" ref="CV94" ca="1">IF(NPSwitch=1,_xll.TR(CV$7,CV$6,"Sdate=#1 Period=#2 NULL=BLANK Scale=6",,$D94,$AS$4),CV94)</f>
        <v>495.35</v>
      </c>
      <c r="CW94" s="1000" cm="1">
        <f t="array" aca="1" ref="CW94" ca="1">IF(NPSwitch=1,_xll.TR(CW$7,CW$6,"Sdate=#1 Period=#2 NULL=BLANK Scale=6",,$D94,$AS$4),CW94)</f>
        <v>864.4</v>
      </c>
      <c r="CX94" s="1000" cm="1">
        <f t="array" aca="1" ref="CX94" ca="1">IF(NPSwitch=1,_xll.TR(CX$7,CX$6,"Sdate=#1 Period=#2 NULL=BLANK Scale=6",,$D94,$AS$4),CX94)</f>
        <v>3415.25</v>
      </c>
      <c r="CY94" s="1000" cm="1">
        <f t="array" aca="1" ref="CY94" ca="1">IF(NPSwitch=1,_xll.TR(CY$7,CY$6,"Sdate=#1 Period=#2 NULL=BLANK Scale=6",,$D94,$AS$4),CY94)</f>
        <v>5815.75</v>
      </c>
      <c r="CZ94" s="1000" cm="1">
        <f t="array" aca="1" ref="CZ94" ca="1">IF(NPSwitch=1,_xll.TR(CZ$7,CZ$6,"Sdate=#1 Period=#2 NULL=BLANK Scale=6",,$D94,$AS$4),CZ94)</f>
        <v>5723.75</v>
      </c>
      <c r="DA94" s="1000" cm="1">
        <f t="array" aca="1" ref="DA94" ca="1">IF(NPSwitch=1,_xll.TR(DA$7,DA$6,"Sdate=#1 Period=#2 NULL=BLANK Scale=6",,$D94,$AS$4),DA94)</f>
        <v>3823</v>
      </c>
      <c r="DB94" s="1000" cm="1">
        <f t="array" aca="1" ref="DB94" ca="1">IF(NPSwitch=1,_xll.TR(DB$7,DB$6,"Sdate=#1 Period=#2 NULL=BLANK Scale=6",,$D94,$AS$4),DB94)</f>
        <v>21807</v>
      </c>
      <c r="DC94" s="1000" cm="1">
        <f t="array" aca="1" ref="DC94" ca="1">IF(NPSwitch=1,_xll.TR(DC$7,DC$6,"Sdate=#1 Period=#2 NULL=BLANK Scale=6",,$D94,$AS$4),DC94)</f>
        <v>23515</v>
      </c>
      <c r="DD94" s="1000" cm="1">
        <f t="array" aca="1" ref="DD94" ca="1">IF(NPSwitch=1,_xll.TR(DD$7,DD$6,"Sdate=#1 Period=#2 NULL=BLANK Scale=6",,$D94,$AS$4),DD94)</f>
        <v>14208</v>
      </c>
      <c r="DE94" s="1000" cm="1">
        <f t="array" aca="1" ref="DE94" ca="1">IF(NPSwitch=1,_xll.TR(DE$7,DE$6,"Sdate=#1 Period=#2 NULL=BLANK Scale=6",,$D94,$AS$4),DE94)</f>
        <v>17356.75</v>
      </c>
      <c r="DF94" s="1000" cm="1">
        <f t="array" aca="1" ref="DF94" ca="1">IF(NPSwitch=1,_xll.TR(DF$7,DF$6,"Sdate=#1 Period=#2 NULL=BLANK Scale=6",,$D94,$AS$4),DF94)</f>
        <v>495.35</v>
      </c>
      <c r="DG94" s="1000" cm="1">
        <f t="array" aca="1" ref="DG94" ca="1">IF(NPSwitch=1,_xll.TR(DG$7,DG$6,"Sdate=#1 Period=#2 NULL=BLANK Scale=6",,$D94,$AS$4),DG94)</f>
        <v>3008.25</v>
      </c>
      <c r="DH94" s="1000" cm="1">
        <f t="array" aca="1" ref="DH94" ca="1">IF(NPSwitch=1,_xll.TR(DH$7,DH$6,"Sdate=#1 Period=#2 NULL=BLANK Scale=6",,$D94,$AS$4),DH94)</f>
        <v>7046.75</v>
      </c>
    </row>
    <row r="95" spans="3:170">
      <c r="C95" s="969">
        <f t="shared" si="47"/>
        <v>43830</v>
      </c>
      <c r="D95" s="974">
        <f t="shared" si="46"/>
        <v>43875</v>
      </c>
      <c r="E95" s="765" cm="1">
        <f t="array" aca="1" ref="E95" ca="1">IF(NPSwitch=1,_xll.TR(E$7,E$6,"Sdate=#1 Period=#2 NULL=BLANK",,$D95,$E$4),E95)</f>
        <v>12.124780360549501</v>
      </c>
      <c r="F95" s="765" cm="1">
        <f t="array" aca="1" ref="F95" ca="1">IF(NPSwitch=1,_xll.TR(F$7,F$6,"Sdate=#1 Period=#2 NULL=BLANK",,$D95,$E$4),F95)</f>
        <v>11.904154685016501</v>
      </c>
      <c r="G95" s="765" cm="1">
        <f t="array" aca="1" ref="G95" ca="1">IF(NPSwitch=1,_xll.TR(G$7,G$6,"Sdate=#1 Period=#2 NULL=BLANK",,$D95,$E$4),G95)</f>
        <v>11.7205681423389</v>
      </c>
      <c r="H95" s="765" cm="1">
        <f t="array" aca="1" ref="H95" ca="1">IF(NPSwitch=1,_xll.TR(H$7,H$6,"Sdate=#1 Period=#2 NULL=BLANK",,$D95,$E$4),H95)</f>
        <v>13.1195324277727</v>
      </c>
      <c r="I95" s="765" cm="1">
        <f t="array" aca="1" ref="I95" ca="1">IF(NPSwitch=1,_xll.TR(I$7,I$6,"Sdate=#1 Period=#2 NULL=BLANK",,$D95,$E$4),I95)</f>
        <v>7.8634431969832299</v>
      </c>
      <c r="J95" s="765" cm="1">
        <f t="array" aca="1" ref="J95" ca="1">IF(NPSwitch=1,_xll.TR(J$7,J$6,"Sdate=#1 Period=#2 NULL=BLANK",,$D95,$E$4),J95)</f>
        <v>12.551032228457499</v>
      </c>
      <c r="K95" s="765" cm="1">
        <f t="array" aca="1" ref="K95" ca="1">IF(NPSwitch=1,_xll.TR(K$7,K$6,"Sdate=#1 Period=#2 NULL=BLANK",,$D95,$E$4),K95)</f>
        <v>11.8636648984339</v>
      </c>
      <c r="L95" s="765" cm="1">
        <f t="array" aca="1" ref="L95" ca="1">IF(NPSwitch=1,_xll.TR(L$7,L$6,"Sdate=#1 Period=#2 NULL=BLANK",,$D95,$E$4),L95)</f>
        <v>6.20280088419445</v>
      </c>
      <c r="M95" s="765" cm="1">
        <f t="array" aca="1" ref="M95" ca="1">IF(NPSwitch=1,_xll.TR(M$7,M$6,"Sdate=#1 Period=#2 NULL=BLANK",,$D95,$E$4),M95)</f>
        <v>8.1025042109024508</v>
      </c>
      <c r="N95" s="1002">
        <f t="shared" ca="1" si="48"/>
        <v>10.553506963030113</v>
      </c>
      <c r="O95" s="1000" cm="1">
        <f t="array" aca="1" ref="O95" ca="1">IF(NPSwitch=1,_xll.TR(O$7,O$6,"Sdate=#1 Period=#2 Scale=6 NULL=BLANK",,$D95,$O$4),O95)</f>
        <v>92677.356</v>
      </c>
      <c r="P95" s="1000" cm="1">
        <f t="array" aca="1" ref="P95" ca="1">IF(NPSwitch=1,_xll.TR(P$7,P$6,"Sdate=#1 Period=#2 Scale=6 NULL=BLANK",,$D95,$O$4),P95)</f>
        <v>9504.8010781199991</v>
      </c>
      <c r="Q95" s="1000" cm="1">
        <f t="array" aca="1" ref="Q95" ca="1">IF(NPSwitch=1,_xll.TR(Q$7,Q$6,"Sdate=#1 Period=#2 Scale=6 NULL=BLANK",,$D95,$O$4),Q95)</f>
        <v>4865.5860810000004</v>
      </c>
      <c r="R95" s="1000" cm="1">
        <f t="array" aca="1" ref="R95" ca="1">IF(NPSwitch=1,_xll.TR(R$7,R$6,"Sdate=#1 Period=#2 Scale=6 NULL=BLANK",,$D95,$O$4),R95)</f>
        <v>2905.9582906000001</v>
      </c>
      <c r="S95" s="1000" cm="1">
        <f t="array" aca="1" ref="S95" ca="1">IF(NPSwitch=1,_xll.TR(S$7,S$6,"Sdate=#1 Period=#2 Scale=6 NULL=BLANK",,$D95,$O$4),S95)</f>
        <v>4740.5644486199999</v>
      </c>
      <c r="T95" s="1000" cm="1">
        <f t="array" aca="1" ref="T95" ca="1">IF(NPSwitch=1,_xll.TR(T$7,T$6,"Sdate=#1 Period=#2 Scale=6 NULL=BLANK",,$D95,$O$4),T95)</f>
        <v>13618.739288180001</v>
      </c>
      <c r="U95" s="1000" cm="1">
        <f t="array" aca="1" ref="U95" ca="1">IF(NPSwitch=1,_xll.TR(U$7,U$6,"Sdate=#1 Period=#2 Scale=6 NULL=BLANK",,$D95,$O$4),U95)</f>
        <v>28326.074749200001</v>
      </c>
      <c r="V95" s="1000" cm="1">
        <f t="array" aca="1" ref="V95" ca="1">IF(NPSwitch=1,_xll.TR(V$7,V$6,"Sdate=#1 Period=#2 Scale=6 NULL=BLANK",,$D95,$O$4),V95)</f>
        <v>10325.0680883199</v>
      </c>
      <c r="W95" s="1000" cm="1">
        <f t="array" aca="1" ref="W95" ca="1">IF(NPSwitch=1,_xll.TR(W$7,W$6,"Sdate=#1 Period=#2 Scale=6 NULL=BLANK",,$D95,$O$4),W95)</f>
        <v>10162.760327579999</v>
      </c>
      <c r="X95" s="998"/>
      <c r="Y95" s="1000" cm="1">
        <f t="array" aca="1" ref="Y95" ca="1">IF(NPSwitch=1,_xll.TR(Y$7,Y$6,"Sdate=#1 Period=#2 Scale=6 NULL=BLANK",,$D95,$O$4),Y95)</f>
        <v>4286.75</v>
      </c>
      <c r="Z95" s="1000" cm="1">
        <f t="array" aca="1" ref="Z95" ca="1">IF(NPSwitch=1,_xll.TR(Z$7,Z$6,"Sdate=#1 Period=#2 Scale=6 NULL=BLANK",,$D95,$O$4),Z95)</f>
        <v>434.15</v>
      </c>
      <c r="AA95" s="1000" cm="1">
        <f t="array" aca="1" ref="AA95" ca="1">IF(NPSwitch=1,_xll.TR(AA$7,AA$6,"Sdate=#1 Period=#2 Scale=6 NULL=BLANK",,$D95,$O$4),AA95)</f>
        <v>171.25</v>
      </c>
      <c r="AB95" s="1000" cm="1">
        <f t="array" aca="1" ref="AB95" ca="1">IF(NPSwitch=1,_xll.TR(AB$7,AB$6,"Sdate=#1 Period=#2 Scale=6 NULL=BLANK",,$D95,$O$4),AB95)</f>
        <v>324.52499999999998</v>
      </c>
      <c r="AC95" s="1000" cm="1">
        <f t="array" aca="1" ref="AC95" ca="1">IF(NPSwitch=1,_xll.TR(AC$7,AC$6,"Sdate=#1 Period=#2 Scale=6 NULL=BLANK",,$D95,$O$4),AC95)</f>
        <v>459</v>
      </c>
      <c r="AD95" s="1000" cm="1">
        <f t="array" aca="1" ref="AD95" ca="1">IF(NPSwitch=1,_xll.TR(AD$7,AD$6,"Sdate=#1 Period=#2 Scale=6 NULL=BLANK",,$D95,$O$4),AD95)</f>
        <v>237.92500000000001</v>
      </c>
      <c r="AE95" s="1000" cm="1">
        <f t="array" aca="1" ref="AE95" ca="1">IF(NPSwitch=1,_xll.TR(AE$7,AE$6,"Sdate=#1 Period=#2 Scale=6 NULL=BLANK",,$D95,$O$4),AE95)</f>
        <v>1154.5</v>
      </c>
      <c r="AF95" s="1000" cm="1">
        <f t="array" aca="1" ref="AF95" ca="1">IF(NPSwitch=1,_xll.TR(AF$7,AF$6,"Sdate=#1 Period=#2 Scale=6 NULL=BLANK",,$D95,$O$4),AF95)</f>
        <v>1091.75</v>
      </c>
      <c r="AG95" s="1000" cm="1">
        <f t="array" aca="1" ref="AG95" ca="1">IF(NPSwitch=1,_xll.TR(AG$7,AG$6,"Sdate=#1 Period=#2 Scale=6 NULL=BLANK",,$D95,$O$4),AG95)</f>
        <v>198</v>
      </c>
      <c r="AH95" s="998"/>
      <c r="AI95" s="1000" cm="1">
        <f t="array" aca="1" ref="AI95" ca="1">IF(NPSwitch=1,_xll.TR(AI$7,AI$6,"Sdate=#1 Period=#2 Scale=6 NULL=BLANK",,$D95,$O$4),AI95)</f>
        <v>110264.356</v>
      </c>
      <c r="AJ95" s="1000" cm="1">
        <f t="array" aca="1" ref="AJ95" ca="1">IF(NPSwitch=1,_xll.TR(AJ$7,AJ$6,"Sdate=#1 Period=#2 Scale=6 NULL=BLANK",,$D95,$O$4),AJ95)</f>
        <v>11280.70007812</v>
      </c>
      <c r="AK95" s="1000" cm="1">
        <f t="array" aca="1" ref="AK95" ca="1">IF(NPSwitch=1,_xll.TR(AK$7,AK$6,"Sdate=#1 Period=#2 Scale=6 NULL=BLANK",,$D95,$O$4),AK95)</f>
        <v>6389.5860810000004</v>
      </c>
      <c r="AL95" s="1000" cm="1">
        <f t="array" aca="1" ref="AL95" ca="1">IF(NPSwitch=1,_xll.TR(AL$7,AL$6,"Sdate=#1 Period=#2 Scale=6 NULL=BLANK",,$D95,$O$4),AL95)</f>
        <v>4132.0582906</v>
      </c>
      <c r="AM95" s="1000" cm="1">
        <f t="array" aca="1" ref="AM95" ca="1">IF(NPSwitch=1,_xll.TR(AM$7,AM$6,"Sdate=#1 Period=#2 Scale=6 NULL=BLANK",,$D95,$O$4),AM95)</f>
        <v>6767.5644486199999</v>
      </c>
      <c r="AN95" s="1000" cm="1">
        <f t="array" aca="1" ref="AN95" ca="1">IF(NPSwitch=1,_xll.TR(AN$7,AN$6,"Sdate=#1 Period=#2 Scale=6 NULL=BLANK",,$D95,$O$4),AN95)</f>
        <v>16815.139288179998</v>
      </c>
      <c r="AO95" s="1000" cm="1">
        <f t="array" aca="1" ref="AO95" ca="1">IF(NPSwitch=1,_xll.TR(AO$7,AO$6,"Sdate=#1 Period=#2 Scale=6 NULL=BLANK",,$D95,$O$4),AO95)</f>
        <v>32468.074749200001</v>
      </c>
      <c r="AP95" s="1000" cm="1">
        <f t="array" aca="1" ref="AP95" ca="1">IF(NPSwitch=1,_xll.TR(AP$7,AP$6,"Sdate=#1 Period=#2 Scale=6 NULL=BLANK",,$D95,$O$4),AP95)</f>
        <v>14383.06808832</v>
      </c>
      <c r="AQ95" s="1000" cm="1">
        <f t="array" aca="1" ref="AQ95" ca="1">IF(NPSwitch=1,_xll.TR(AQ$7,AQ$6,"Sdate=#1 Period=#2 Scale=6 NULL=BLANK",,$D95,$O$4),AQ95)</f>
        <v>16241.760327579999</v>
      </c>
      <c r="AS95" s="765" cm="1">
        <f t="array" aca="1" ref="AS95" ca="1">IF(NPSwitch=1,_xll.TR(AS$7,AS$6,"Sdate=#1 Period=#2 NULL=BLANK Scale=6",,$D95,$AS$4),AS95)</f>
        <v>17.255558333333301</v>
      </c>
      <c r="AT95" s="765" cm="1">
        <f t="array" aca="1" ref="AT95" ca="1">IF(NPSwitch=1,_xll.TR(AT$7,AT$6,"Sdate=#1 Period=#2 NULL=BLANK Scale=6",,$D95,$AS$4),AT95)</f>
        <v>13.3166666666667</v>
      </c>
      <c r="AU95" s="765" t="str" cm="1">
        <f t="array" aca="1" ref="AU95" ca="1">IF(NPSwitch=1,_xll.TR(AU$7,AU$6,"Sdate=#1 Period=#2 NULL=BLANK Scale=6",,$D95,$AS$4),AU95)</f>
        <v/>
      </c>
      <c r="AV95" s="765" cm="1">
        <f t="array" aca="1" ref="AV95" ca="1">IF(NPSwitch=1,_xll.TR(AV$7,AV$6,"Sdate=#1 Period=#2 NULL=BLANK Scale=6",,$D95,$AS$4),AV95)</f>
        <v>7.55</v>
      </c>
      <c r="AW95" s="765" cm="1">
        <f t="array" aca="1" ref="AW95" ca="1">IF(NPSwitch=1,_xll.TR(AW$7,AW$6,"Sdate=#1 Period=#2 NULL=BLANK Scale=6",,$D95,$AS$4),AW95)</f>
        <v>6.5166666666666702</v>
      </c>
      <c r="AX95" s="765" cm="1">
        <f t="array" aca="1" ref="AX95" ca="1">IF(NPSwitch=1,_xll.TR(AX$7,AX$6,"Sdate=#1 Period=#2 NULL=BLANK Scale=6",,$D95,$AS$4),AX95)</f>
        <v>21.8</v>
      </c>
      <c r="AY95" s="765" cm="1">
        <f t="array" aca="1" ref="AY95" ca="1">IF(NPSwitch=1,_xll.TR(AY$7,AY$6,"Sdate=#1 Period=#2 NULL=BLANK Scale=6",,$D95,$AS$4),AY95)</f>
        <v>13.9944466666667</v>
      </c>
      <c r="AZ95" s="765" cm="1">
        <f t="array" aca="1" ref="AZ95" ca="1">IF(NPSwitch=1,_xll.TR(AZ$7,AZ$6,"Sdate=#1 Period=#2 NULL=BLANK Scale=6",,$D95,$AS$4),AZ95)</f>
        <v>10</v>
      </c>
      <c r="BA95" s="765" cm="1">
        <f t="array" aca="1" ref="BA95" ca="1">IF(NPSwitch=1,_xll.TR(BA$7,BA$6,"Sdate=#1 Period=#2 NULL=BLANK Scale=6",,$D95,$AS$4),BA95)</f>
        <v>10.091666666666701</v>
      </c>
      <c r="BB95" s="1002"/>
      <c r="BO95" s="765" cm="1">
        <f t="array" aca="1" ref="BO95" ca="1">IF(NPSwitch=1,_xll.TR(BO$7,BO$6,"Sdate=#1 Period=#2 NULL=BLANK Scale=6",,$D95,$AS$4),BO95)</f>
        <v>32136</v>
      </c>
      <c r="BP95" s="765" cm="1">
        <f t="array" aca="1" ref="BP95" ca="1">IF(NPSwitch=1,_xll.TR(BP$7,BP$6,"Sdate=#1 Period=#2 NULL=BLANK Scale=6",,$D95,$AS$4),BP95)</f>
        <v>3518.5619999999999</v>
      </c>
      <c r="BQ95" s="765" cm="1">
        <f t="array" aca="1" ref="BQ95" ca="1">IF(NPSwitch=1,_xll.TR(BQ$7,BQ$6,"Sdate=#1 Period=#2 NULL=BLANK Scale=6",,$D95,$AS$4),BQ95)</f>
        <v>2450</v>
      </c>
      <c r="BR95" s="765" cm="1">
        <f t="array" aca="1" ref="BR95" ca="1">IF(NPSwitch=1,_xll.TR(BR$7,BR$6,"Sdate=#1 Period=#2 NULL=BLANK Scale=6",,$D95,$AS$4),BR95)</f>
        <v>2862.7</v>
      </c>
      <c r="BS95" s="765" cm="1">
        <f t="array" aca="1" ref="BS95" ca="1">IF(NPSwitch=1,_xll.TR(BS$7,BS$6,"Sdate=#1 Period=#2 NULL=BLANK Scale=6",,$D95,$AS$4),BS95)</f>
        <v>7207</v>
      </c>
      <c r="BT95" s="765" cm="1">
        <f t="array" aca="1" ref="BT95" ca="1">IF(NPSwitch=1,_xll.TR(BT$7,BT$6,"Sdate=#1 Period=#2 NULL=BLANK Scale=6",,$D95,$AS$4),BT95)</f>
        <v>4609.8</v>
      </c>
      <c r="BU95" s="765" cm="1">
        <f t="array" aca="1" ref="BU95" ca="1">IF(NPSwitch=1,_xll.TR(BU$7,BU$6,"Sdate=#1 Period=#2 NULL=BLANK Scale=6",,$D95,$AS$4),BU95)</f>
        <v>15146</v>
      </c>
      <c r="BV95" s="765" cm="1">
        <f t="array" aca="1" ref="BV95" ca="1">IF(NPSwitch=1,_xll.TR(BV$7,BV$6,"Sdate=#1 Period=#2 NULL=BLANK Scale=6",,$D95,$AS$4),BV95)</f>
        <v>11346</v>
      </c>
      <c r="BW95" s="765" cm="1">
        <f t="array" aca="1" ref="BW95" ca="1">IF(NPSwitch=1,_xll.TR(BW$7,BW$6,"Sdate=#1 Period=#2 NULL=BLANK Scale=6",,$D95,$AS$4),BW95)</f>
        <v>9273</v>
      </c>
      <c r="BY95" s="765" cm="1">
        <f t="array" aca="1" ref="BY95" ca="1">IF(NPSwitch=1,_xll.TR(BY$7,BY$6,"Sdate=#1 Period=#2 NULL=BLANK Scale=6",,$D95,$AS$4),BY95)</f>
        <v>28305</v>
      </c>
      <c r="BZ95" s="765" cm="1">
        <f t="array" aca="1" ref="BZ95" ca="1">IF(NPSwitch=1,_xll.TR(BZ$7,BZ$6,"Sdate=#1 Period=#2 NULL=BLANK Scale=6",,$D95,$AS$4),BZ95)</f>
        <v>5735.4347500000003</v>
      </c>
      <c r="CA95" s="765" cm="1">
        <f t="array" aca="1" ref="CA95" ca="1">IF(NPSwitch=1,_xll.TR(CA$7,CA$6,"Sdate=#1 Period=#2 NULL=BLANK Scale=6",,$D95,$AS$4),CA95)</f>
        <v>5566.5</v>
      </c>
      <c r="CB95" s="765" cm="1">
        <f t="array" aca="1" ref="CB95" ca="1">IF(NPSwitch=1,_xll.TR(CB$7,CB$6,"Sdate=#1 Period=#2 NULL=BLANK Scale=6",,$D95,$AS$4),CB95)</f>
        <v>2077.5</v>
      </c>
      <c r="CC95" s="765" cm="1">
        <f t="array" aca="1" ref="CC95" ca="1">IF(NPSwitch=1,_xll.TR(CC$7,CC$6,"Sdate=#1 Period=#2 NULL=BLANK Scale=6",,$D95,$AS$4),CC95)</f>
        <v>5243.5</v>
      </c>
      <c r="CD95" s="765" cm="1">
        <f t="array" aca="1" ref="CD95" ca="1">IF(NPSwitch=1,_xll.TR(CD$7,CD$6,"Sdate=#1 Period=#2 NULL=BLANK Scale=6",,$D95,$AS$4),CD95)</f>
        <v>6012.375</v>
      </c>
      <c r="CE95" s="765" cm="1">
        <f t="array" aca="1" ref="CE95" ca="1">IF(NPSwitch=1,_xll.TR(CE$7,CE$6,"Sdate=#1 Period=#2 NULL=BLANK Scale=6",,$D95,$AS$4),CE95)</f>
        <v>10577.25</v>
      </c>
      <c r="CF95" s="765" cm="1">
        <f t="array" aca="1" ref="CF95" ca="1">IF(NPSwitch=1,_xll.TR(CF$7,CF$6,"Sdate=#1 Period=#2 NULL=BLANK Scale=6",,$D95,$AS$4),CF95)</f>
        <v>15039.75</v>
      </c>
      <c r="CG95" s="765" cm="1">
        <f t="array" aca="1" ref="CG95" ca="1">IF(NPSwitch=1,_xll.TR(CG$7,CG$6,"Sdate=#1 Period=#2 NULL=BLANK Scale=6",,$D95,$AS$4),CG95)</f>
        <v>12199.75</v>
      </c>
      <c r="CI95" s="1000" cm="1">
        <f t="array" aca="1" ref="CI95" ca="1">IF(NPSwitch=1,_xll.TR(CI$7,CI$6,"Sdate=#1 Period=#2 NULL=BLANK Scale=6",,$D95,$AS$4),CI95)</f>
        <v>8641</v>
      </c>
      <c r="CJ95" s="1000" cm="1">
        <f t="array" aca="1" ref="CJ95" ca="1">IF(NPSwitch=1,_xll.TR(CJ$7,CJ$6,"Sdate=#1 Period=#2 NULL=BLANK Scale=6",,$D95,$AS$4),CJ95)</f>
        <v>942.03099999999995</v>
      </c>
      <c r="CK95" s="1000" cm="1">
        <f t="array" aca="1" ref="CK95" ca="1">IF(NPSwitch=1,_xll.TR(CK$7,CK$6,"Sdate=#1 Period=#2 NULL=BLANK Scale=6",,$D95,$AS$4),CK95)</f>
        <v>510</v>
      </c>
      <c r="CL95" s="1000" cm="1">
        <f t="array" aca="1" ref="CL95" ca="1">IF(NPSwitch=1,_xll.TR(CL$7,CL$6,"Sdate=#1 Period=#2 NULL=BLANK Scale=6",,$D95,$AS$4),CL95)</f>
        <v>291</v>
      </c>
      <c r="CM95" s="1000" cm="1">
        <f t="array" aca="1" ref="CM95" ca="1">IF(NPSwitch=1,_xll.TR(CM$7,CM$6,"Sdate=#1 Period=#2 NULL=BLANK Scale=6",,$D95,$AS$4),CM95)</f>
        <v>793</v>
      </c>
      <c r="CN95" s="1000" cm="1">
        <f t="array" aca="1" ref="CN95" ca="1">IF(NPSwitch=1,_xll.TR(CN$7,CN$6,"Sdate=#1 Period=#2 NULL=BLANK Scale=6",,$D95,$AS$4),CN95)</f>
        <v>1111.7</v>
      </c>
      <c r="CO95" s="1000" cm="1">
        <f t="array" aca="1" ref="CO95" ca="1">IF(NPSwitch=1,_xll.TR(CO$7,CO$6,"Sdate=#1 Period=#2 NULL=BLANK Scale=6",,$D95,$AS$4),CO95)</f>
        <v>2410</v>
      </c>
      <c r="CP95" s="1000" cm="1">
        <f t="array" aca="1" ref="CP95" ca="1">IF(NPSwitch=1,_xll.TR(CP$7,CP$6,"Sdate=#1 Period=#2 NULL=BLANK Scale=6",,$D95,$AS$4),CP95)</f>
        <v>3024</v>
      </c>
      <c r="CQ95" s="1000" cm="1">
        <f t="array" aca="1" ref="CQ95" ca="1">IF(NPSwitch=1,_xll.TR(CQ$7,CQ$6,"Sdate=#1 Period=#2 NULL=BLANK Scale=6",,$D95,$AS$4),CQ95)</f>
        <v>1999</v>
      </c>
      <c r="CS95" s="1000" cm="1">
        <f t="array" aca="1" ref="CS95" ca="1">IF(NPSwitch=1,_xll.TR(CS$7,CS$6,"Sdate=#1 Period=#2 NULL=BLANK Scale=6",,$D95,$AS$4),CS95)</f>
        <v>9854.75</v>
      </c>
      <c r="CT95" s="1000" cm="1">
        <f t="array" aca="1" ref="CT95" ca="1">IF(NPSwitch=1,_xll.TR(CT$7,CT$6,"Sdate=#1 Period=#2 NULL=BLANK Scale=6",,$D95,$AS$4),CT95)</f>
        <v>3374.9144999999999</v>
      </c>
      <c r="CU95" s="1000" cm="1">
        <f t="array" aca="1" ref="CU95" ca="1">IF(NPSwitch=1,_xll.TR(CU$7,CU$6,"Sdate=#1 Period=#2 NULL=BLANK Scale=6",,$D95,$AS$4),CU95)</f>
        <v>1619</v>
      </c>
      <c r="CV95" s="1000" cm="1">
        <f t="array" aca="1" ref="CV95" ca="1">IF(NPSwitch=1,_xll.TR(CV$7,CV$6,"Sdate=#1 Period=#2 NULL=BLANK Scale=6",,$D95,$AS$4),CV95)</f>
        <v>517.02499999999998</v>
      </c>
      <c r="CW95" s="1000" cm="1">
        <f t="array" aca="1" ref="CW95" ca="1">IF(NPSwitch=1,_xll.TR(CW$7,CW$6,"Sdate=#1 Period=#2 NULL=BLANK Scale=6",,$D95,$AS$4),CW95)</f>
        <v>905.85</v>
      </c>
      <c r="CX95" s="1000" cm="1">
        <f t="array" aca="1" ref="CX95" ca="1">IF(NPSwitch=1,_xll.TR(CX$7,CX$6,"Sdate=#1 Period=#2 NULL=BLANK Scale=6",,$D95,$AS$4),CX95)</f>
        <v>3655.25</v>
      </c>
      <c r="CY95" s="1000" cm="1">
        <f t="array" aca="1" ref="CY95" ca="1">IF(NPSwitch=1,_xll.TR(CY$7,CY$6,"Sdate=#1 Period=#2 NULL=BLANK Scale=6",,$D95,$AS$4),CY95)</f>
        <v>5815.75</v>
      </c>
      <c r="CZ95" s="1000" cm="1">
        <f t="array" aca="1" ref="CZ95" ca="1">IF(NPSwitch=1,_xll.TR(CZ$7,CZ$6,"Sdate=#1 Period=#2 NULL=BLANK Scale=6",,$D95,$AS$4),CZ95)</f>
        <v>5765.75</v>
      </c>
      <c r="DA95" s="1000" cm="1">
        <f t="array" aca="1" ref="DA95" ca="1">IF(NPSwitch=1,_xll.TR(DA$7,DA$6,"Sdate=#1 Period=#2 NULL=BLANK Scale=6",,$D95,$AS$4),DA95)</f>
        <v>3872.25</v>
      </c>
      <c r="DB95" s="1000" cm="1">
        <f t="array" aca="1" ref="DB95" ca="1">IF(NPSwitch=1,_xll.TR(DB$7,DB$6,"Sdate=#1 Period=#2 NULL=BLANK Scale=6",,$D95,$AS$4),DB95)</f>
        <v>21807</v>
      </c>
      <c r="DC95" s="1000" cm="1">
        <f t="array" aca="1" ref="DC95" ca="1">IF(NPSwitch=1,_xll.TR(DC$7,DC$6,"Sdate=#1 Period=#2 NULL=BLANK Scale=6",,$D95,$AS$4),DC95)</f>
        <v>23927.5</v>
      </c>
      <c r="DD95" s="1000" cm="1">
        <f t="array" aca="1" ref="DD95" ca="1">IF(NPSwitch=1,_xll.TR(DD$7,DD$6,"Sdate=#1 Period=#2 NULL=BLANK Scale=6",,$D95,$AS$4),DD95)</f>
        <v>14988.25</v>
      </c>
      <c r="DE95" s="1000" cm="1">
        <f t="array" aca="1" ref="DE95" ca="1">IF(NPSwitch=1,_xll.TR(DE$7,DE$6,"Sdate=#1 Period=#2 NULL=BLANK Scale=6",,$D95,$AS$4),DE95)</f>
        <v>17552.25</v>
      </c>
      <c r="DF95" s="1000" cm="1">
        <f t="array" aca="1" ref="DF95" ca="1">IF(NPSwitch=1,_xll.TR(DF$7,DF$6,"Sdate=#1 Period=#2 NULL=BLANK Scale=6",,$D95,$AS$4),DF95)</f>
        <v>517.02499999999998</v>
      </c>
      <c r="DG95" s="1000" cm="1">
        <f t="array" aca="1" ref="DG95" ca="1">IF(NPSwitch=1,_xll.TR(DG$7,DG$6,"Sdate=#1 Period=#2 NULL=BLANK Scale=6",,$D95,$AS$4),DG95)</f>
        <v>3114.75</v>
      </c>
      <c r="DH95" s="1000" cm="1">
        <f t="array" aca="1" ref="DH95" ca="1">IF(NPSwitch=1,_xll.TR(DH$7,DH$6,"Sdate=#1 Period=#2 NULL=BLANK Scale=6",,$D95,$AS$4),DH95)</f>
        <v>7236.75</v>
      </c>
    </row>
    <row r="96" spans="3:170">
      <c r="C96" s="969">
        <f t="shared" si="47"/>
        <v>43921</v>
      </c>
      <c r="D96" s="974">
        <f t="shared" si="46"/>
        <v>43966</v>
      </c>
      <c r="E96" s="765" cm="1">
        <f t="array" aca="1" ref="E96" ca="1">IF(NPSwitch=1,_xll.TR(E$7,E$6,"Sdate=#1 Period=#2 NULL=BLANK",,$D96,$E$4),E96)</f>
        <v>11.9470709881435</v>
      </c>
      <c r="F96" s="765" cm="1">
        <f t="array" aca="1" ref="F96" ca="1">IF(NPSwitch=1,_xll.TR(F$7,F$6,"Sdate=#1 Period=#2 NULL=BLANK",,$D96,$E$4),F96)</f>
        <v>11.721395397736501</v>
      </c>
      <c r="G96" s="765" cm="1">
        <f t="array" aca="1" ref="G96" ca="1">IF(NPSwitch=1,_xll.TR(G$7,G$6,"Sdate=#1 Period=#2 NULL=BLANK",,$D96,$E$4),G96)</f>
        <v>10.0962616688973</v>
      </c>
      <c r="H96" s="765" cm="1">
        <f t="array" aca="1" ref="H96" ca="1">IF(NPSwitch=1,_xll.TR(H$7,H$6,"Sdate=#1 Period=#2 NULL=BLANK",,$D96,$E$4),H96)</f>
        <v>6.3614658435631997</v>
      </c>
      <c r="I96" s="765" cm="1">
        <f t="array" aca="1" ref="I96" ca="1">IF(NPSwitch=1,_xll.TR(I$7,I$6,"Sdate=#1 Period=#2 NULL=BLANK",,$D96,$E$4),I96)</f>
        <v>6.7487223072337699</v>
      </c>
      <c r="J96" s="765" cm="1">
        <f t="array" aca="1" ref="J96" ca="1">IF(NPSwitch=1,_xll.TR(J$7,J$6,"Sdate=#1 Period=#2 NULL=BLANK",,$D96,$E$4),J96)</f>
        <v>11.126914219274701</v>
      </c>
      <c r="K96" s="765" cm="1">
        <f t="array" aca="1" ref="K96" ca="1">IF(NPSwitch=1,_xll.TR(K$7,K$6,"Sdate=#1 Period=#2 NULL=BLANK",,$D96,$E$4),K96)</f>
        <v>11.292209582988599</v>
      </c>
      <c r="L96" s="765" cm="1">
        <f t="array" aca="1" ref="L96" ca="1">IF(NPSwitch=1,_xll.TR(L$7,L$6,"Sdate=#1 Period=#2 NULL=BLANK",,$D96,$E$4),L96)</f>
        <v>5.3169568633144602</v>
      </c>
      <c r="M96" s="765" cm="1">
        <f t="array" aca="1" ref="M96" ca="1">IF(NPSwitch=1,_xll.TR(M$7,M$6,"Sdate=#1 Period=#2 NULL=BLANK",,$D96,$E$4),M96)</f>
        <v>7.7360333434325597</v>
      </c>
      <c r="N96" s="1002">
        <f t="shared" ca="1" si="48"/>
        <v>8.490421747545339</v>
      </c>
      <c r="O96" s="1000" cm="1">
        <f t="array" aca="1" ref="O96" ca="1">IF(NPSwitch=1,_xll.TR(O$7,O$6,"Sdate=#1 Period=#2 Scale=6 NULL=BLANK",,$D96,$O$4),O96)</f>
        <v>79773.984693990002</v>
      </c>
      <c r="P96" s="1000" cm="1">
        <f t="array" aca="1" ref="P96" ca="1">IF(NPSwitch=1,_xll.TR(P$7,P$6,"Sdate=#1 Period=#2 Scale=6 NULL=BLANK",,$D96,$O$4),P96)</f>
        <v>6522.6469688999996</v>
      </c>
      <c r="Q96" s="1000" cm="1">
        <f t="array" aca="1" ref="Q96" ca="1">IF(NPSwitch=1,_xll.TR(Q$7,Q$6,"Sdate=#1 Period=#2 Scale=6 NULL=BLANK",,$D96,$O$4),Q96)</f>
        <v>3571.1382237299999</v>
      </c>
      <c r="R96" s="1000" cm="1">
        <f t="array" aca="1" ref="R96" ca="1">IF(NPSwitch=1,_xll.TR(R$7,R$6,"Sdate=#1 Period=#2 Scale=6 NULL=BLANK",,$D96,$O$4),R96)</f>
        <v>1941.27788736</v>
      </c>
      <c r="S96" s="1000" cm="1">
        <f t="array" aca="1" ref="S96" ca="1">IF(NPSwitch=1,_xll.TR(S$7,S$6,"Sdate=#1 Period=#2 Scale=6 NULL=BLANK",,$D96,$O$4),S96)</f>
        <v>3270.5182560500002</v>
      </c>
      <c r="T96" s="1000" cm="1">
        <f t="array" aca="1" ref="T96" ca="1">IF(NPSwitch=1,_xll.TR(T$7,T$6,"Sdate=#1 Period=#2 Scale=6 NULL=BLANK",,$D96,$O$4),T96)</f>
        <v>11393.941135679999</v>
      </c>
      <c r="U96" s="1000" cm="1">
        <f t="array" aca="1" ref="U96" ca="1">IF(NPSwitch=1,_xll.TR(U$7,U$6,"Sdate=#1 Period=#2 Scale=6 NULL=BLANK",,$D96,$O$4),U96)</f>
        <v>20506.464361760001</v>
      </c>
      <c r="V96" s="1000" cm="1">
        <f t="array" aca="1" ref="V96" ca="1">IF(NPSwitch=1,_xll.TR(V$7,V$6,"Sdate=#1 Period=#2 Scale=6 NULL=BLANK",,$D96,$O$4),V96)</f>
        <v>7297.0025907199997</v>
      </c>
      <c r="W96" s="1000" cm="1">
        <f t="array" aca="1" ref="W96" ca="1">IF(NPSwitch=1,_xll.TR(W$7,W$6,"Sdate=#1 Period=#2 Scale=6 NULL=BLANK",,$D96,$O$4),W96)</f>
        <v>8149.5786522600001</v>
      </c>
      <c r="X96" s="998"/>
      <c r="Y96" s="1000" cm="1">
        <f t="array" aca="1" ref="Y96" ca="1">IF(NPSwitch=1,_xll.TR(Y$7,Y$6,"Sdate=#1 Period=#2 Scale=6 NULL=BLANK",,$D96,$O$4),Y96)</f>
        <v>4536.75</v>
      </c>
      <c r="Z96" s="1000" cm="1">
        <f t="array" aca="1" ref="Z96" ca="1">IF(NPSwitch=1,_xll.TR(Z$7,Z$6,"Sdate=#1 Period=#2 Scale=6 NULL=BLANK",,$D96,$O$4),Z96)</f>
        <v>470.58600000000001</v>
      </c>
      <c r="AA96" s="1000" cm="1">
        <f t="array" aca="1" ref="AA96" ca="1">IF(NPSwitch=1,_xll.TR(AA$7,AA$6,"Sdate=#1 Period=#2 Scale=6 NULL=BLANK",,$D96,$O$4),AA96)</f>
        <v>218.5</v>
      </c>
      <c r="AB96" s="1000" cm="1">
        <f t="array" aca="1" ref="AB96" ca="1">IF(NPSwitch=1,_xll.TR(AB$7,AB$6,"Sdate=#1 Period=#2 Scale=6 NULL=BLANK",,$D96,$O$4),AB96)</f>
        <v>617.5</v>
      </c>
      <c r="AC96" s="1000" cm="1">
        <f t="array" aca="1" ref="AC96" ca="1">IF(NPSwitch=1,_xll.TR(AC$7,AC$6,"Sdate=#1 Period=#2 Scale=6 NULL=BLANK",,$D96,$O$4),AC96)</f>
        <v>746.5</v>
      </c>
      <c r="AD96" s="1000" cm="1">
        <f t="array" aca="1" ref="AD96" ca="1">IF(NPSwitch=1,_xll.TR(AD$7,AD$6,"Sdate=#1 Period=#2 Scale=6 NULL=BLANK",,$D96,$O$4),AD96)</f>
        <v>319.60000000000002</v>
      </c>
      <c r="AE96" s="1000" cm="1">
        <f t="array" aca="1" ref="AE96" ca="1">IF(NPSwitch=1,_xll.TR(AE$7,AE$6,"Sdate=#1 Period=#2 Scale=6 NULL=BLANK",,$D96,$O$4),AE96)</f>
        <v>1428.75</v>
      </c>
      <c r="AF96" s="1000" cm="1">
        <f t="array" aca="1" ref="AF96" ca="1">IF(NPSwitch=1,_xll.TR(AF$7,AF$6,"Sdate=#1 Period=#2 Scale=6 NULL=BLANK",,$D96,$O$4),AF96)</f>
        <v>925.25</v>
      </c>
      <c r="AG96" s="1000" cm="1">
        <f t="array" aca="1" ref="AG96" ca="1">IF(NPSwitch=1,_xll.TR(AG$7,AG$6,"Sdate=#1 Period=#2 Scale=6 NULL=BLANK",,$D96,$O$4),AG96)</f>
        <v>319.25</v>
      </c>
      <c r="AH96" s="998"/>
      <c r="AI96" s="1000" cm="1">
        <f t="array" aca="1" ref="AI96" ca="1">IF(NPSwitch=1,_xll.TR(AI$7,AI$6,"Sdate=#1 Period=#2 Scale=6 NULL=BLANK",,$D96,$O$4),AI96)</f>
        <v>97853.984693990002</v>
      </c>
      <c r="AJ96" s="1000" cm="1">
        <f t="array" aca="1" ref="AJ96" ca="1">IF(NPSwitch=1,_xll.TR(AJ$7,AJ$6,"Sdate=#1 Period=#2 Scale=6 NULL=BLANK",,$D96,$O$4),AJ96)</f>
        <v>9273.7799689000003</v>
      </c>
      <c r="AK96" s="1000" cm="1">
        <f t="array" aca="1" ref="AK96" ca="1">IF(NPSwitch=1,_xll.TR(AK$7,AK$6,"Sdate=#1 Period=#2 Scale=6 NULL=BLANK",,$D96,$O$4),AK96)</f>
        <v>5224.1382237300004</v>
      </c>
      <c r="AL96" s="1000" cm="1">
        <f t="array" aca="1" ref="AL96" ca="1">IF(NPSwitch=1,_xll.TR(AL$7,AL$6,"Sdate=#1 Period=#2 Scale=6 NULL=BLANK",,$D96,$O$4),AL96)</f>
        <v>1888.9778873600001</v>
      </c>
      <c r="AM96" s="1000" cm="1">
        <f t="array" aca="1" ref="AM96" ca="1">IF(NPSwitch=1,_xll.TR(AM$7,AM$6,"Sdate=#1 Period=#2 Scale=6 NULL=BLANK",,$D96,$O$4),AM96)</f>
        <v>4025.5182560500002</v>
      </c>
      <c r="AN96" s="1000" cm="1">
        <f t="array" aca="1" ref="AN96" ca="1">IF(NPSwitch=1,_xll.TR(AN$7,AN$6,"Sdate=#1 Period=#2 Scale=6 NULL=BLANK",,$D96,$O$4),AN96)</f>
        <v>14767.04113568</v>
      </c>
      <c r="AO96" s="1000" cm="1">
        <f t="array" aca="1" ref="AO96" ca="1">IF(NPSwitch=1,_xll.TR(AO$7,AO$6,"Sdate=#1 Period=#2 Scale=6 NULL=BLANK",,$D96,$O$4),AO96)</f>
        <v>24891.464361760001</v>
      </c>
      <c r="AP96" s="1000" cm="1">
        <f t="array" aca="1" ref="AP96" ca="1">IF(NPSwitch=1,_xll.TR(AP$7,AP$6,"Sdate=#1 Period=#2 Scale=6 NULL=BLANK",,$D96,$O$4),AP96)</f>
        <v>10439.00259072</v>
      </c>
      <c r="AQ96" s="1000" cm="1">
        <f t="array" aca="1" ref="AQ96" ca="1">IF(NPSwitch=1,_xll.TR(AQ$7,AQ$6,"Sdate=#1 Period=#2 Scale=6 NULL=BLANK",,$D96,$O$4),AQ96)</f>
        <v>13838.578652259999</v>
      </c>
      <c r="AS96" s="765" cm="1">
        <f t="array" aca="1" ref="AS96" ca="1">IF(NPSwitch=1,_xll.TR(AS$7,AS$6,"Sdate=#1 Period=#2 NULL=BLANK Scale=6",,$D96,$AS$4),AS96)</f>
        <v>16.1347241666667</v>
      </c>
      <c r="AT96" s="765" cm="1">
        <f t="array" aca="1" ref="AT96" ca="1">IF(NPSwitch=1,_xll.TR(AT$7,AT$6,"Sdate=#1 Period=#2 NULL=BLANK Scale=6",,$D96,$AS$4),AT96)</f>
        <v>10.75</v>
      </c>
      <c r="AU96" s="765" t="str" cm="1">
        <f t="array" aca="1" ref="AU96" ca="1">IF(NPSwitch=1,_xll.TR(AU$7,AU$6,"Sdate=#1 Period=#2 NULL=BLANK Scale=6",,$D96,$AS$4),AU96)</f>
        <v/>
      </c>
      <c r="AV96" s="765" cm="1">
        <f t="array" aca="1" ref="AV96" ca="1">IF(NPSwitch=1,_xll.TR(AV$7,AV$6,"Sdate=#1 Period=#2 NULL=BLANK Scale=6",,$D96,$AS$4),AV96)</f>
        <v>8</v>
      </c>
      <c r="AW96" s="765" cm="1">
        <f t="array" aca="1" ref="AW96" ca="1">IF(NPSwitch=1,_xll.TR(AW$7,AW$6,"Sdate=#1 Period=#2 NULL=BLANK Scale=6",,$D96,$AS$4),AW96)</f>
        <v>7.3097208333333299</v>
      </c>
      <c r="AX96" s="765" cm="1">
        <f t="array" aca="1" ref="AX96" ca="1">IF(NPSwitch=1,_xll.TR(AX$7,AX$6,"Sdate=#1 Period=#2 NULL=BLANK Scale=6",,$D96,$AS$4),AX96)</f>
        <v>21.683333333333302</v>
      </c>
      <c r="AY96" s="765" cm="1">
        <f t="array" aca="1" ref="AY96" ca="1">IF(NPSwitch=1,_xll.TR(AY$7,AY$6,"Sdate=#1 Period=#2 NULL=BLANK Scale=6",,$D96,$AS$4),AY96)</f>
        <v>12.450003333333299</v>
      </c>
      <c r="AZ96" s="765" cm="1">
        <f t="array" aca="1" ref="AZ96" ca="1">IF(NPSwitch=1,_xll.TR(AZ$7,AZ$6,"Sdate=#1 Period=#2 NULL=BLANK Scale=6",,$D96,$AS$4),AZ96)</f>
        <v>9.1930541666666699</v>
      </c>
      <c r="BA96" s="765" cm="1">
        <f t="array" aca="1" ref="BA96" ca="1">IF(NPSwitch=1,_xll.TR(BA$7,BA$6,"Sdate=#1 Period=#2 NULL=BLANK Scale=6",,$D96,$AS$4),BA96)</f>
        <v>9.12083333333333</v>
      </c>
      <c r="BB96" s="1002"/>
      <c r="BO96" s="765" cm="1">
        <f t="array" aca="1" ref="BO96" ca="1">IF(NPSwitch=1,_xll.TR(BO$7,BO$6,"Sdate=#1 Period=#2 NULL=BLANK Scale=6",,$D96,$AS$4),BO96)</f>
        <v>32348</v>
      </c>
      <c r="BP96" s="765" cm="1">
        <f t="array" aca="1" ref="BP96" ca="1">IF(NPSwitch=1,_xll.TR(BP$7,BP$6,"Sdate=#1 Period=#2 NULL=BLANK Scale=6",,$D96,$AS$4),BP96)</f>
        <v>3496.2080000000001</v>
      </c>
      <c r="BQ96" s="765" cm="1">
        <f t="array" aca="1" ref="BQ96" ca="1">IF(NPSwitch=1,_xll.TR(BQ$7,BQ$6,"Sdate=#1 Period=#2 NULL=BLANK Scale=6",,$D96,$AS$4),BQ96)</f>
        <v>2393</v>
      </c>
      <c r="BR96" s="765" cm="1">
        <f t="array" aca="1" ref="BR96" ca="1">IF(NPSwitch=1,_xll.TR(BR$7,BR$6,"Sdate=#1 Period=#2 NULL=BLANK Scale=6",,$D96,$AS$4),BR96)</f>
        <v>2823.6</v>
      </c>
      <c r="BS96" s="765" cm="1">
        <f t="array" aca="1" ref="BS96" ca="1">IF(NPSwitch=1,_xll.TR(BS$7,BS$6,"Sdate=#1 Period=#2 NULL=BLANK Scale=6",,$D96,$AS$4),BS96)</f>
        <v>7131</v>
      </c>
      <c r="BT96" s="765" cm="1">
        <f t="array" aca="1" ref="BT96" ca="1">IF(NPSwitch=1,_xll.TR(BT$7,BT$6,"Sdate=#1 Period=#2 NULL=BLANK Scale=6",,$D96,$AS$4),BT96)</f>
        <v>4667.7</v>
      </c>
      <c r="BU96" s="765" cm="1">
        <f t="array" aca="1" ref="BU96" ca="1">IF(NPSwitch=1,_xll.TR(BU$7,BU$6,"Sdate=#1 Period=#2 NULL=BLANK Scale=6",,$D96,$AS$4),BU96)</f>
        <v>14899</v>
      </c>
      <c r="BV96" s="765" cm="1">
        <f t="array" aca="1" ref="BV96" ca="1">IF(NPSwitch=1,_xll.TR(BV$7,BV$6,"Sdate=#1 Period=#2 NULL=BLANK Scale=6",,$D96,$AS$4),BV96)</f>
        <v>11054</v>
      </c>
      <c r="BW96" s="765" cm="1">
        <f t="array" aca="1" ref="BW96" ca="1">IF(NPSwitch=1,_xll.TR(BW$7,BW$6,"Sdate=#1 Period=#2 NULL=BLANK Scale=6",,$D96,$AS$4),BW96)</f>
        <v>9134</v>
      </c>
      <c r="BY96" s="765" cm="1">
        <f t="array" aca="1" ref="BY96" ca="1">IF(NPSwitch=1,_xll.TR(BY$7,BY$6,"Sdate=#1 Period=#2 NULL=BLANK Scale=6",,$D96,$AS$4),BY96)</f>
        <v>29924.25</v>
      </c>
      <c r="BZ96" s="765" cm="1">
        <f t="array" aca="1" ref="BZ96" ca="1">IF(NPSwitch=1,_xll.TR(BZ$7,BZ$6,"Sdate=#1 Period=#2 NULL=BLANK Scale=6",,$D96,$AS$4),BZ96)</f>
        <v>6529.9989999999998</v>
      </c>
      <c r="CA96" s="765" cm="1">
        <f t="array" aca="1" ref="CA96" ca="1">IF(NPSwitch=1,_xll.TR(CA$7,CA$6,"Sdate=#1 Period=#2 NULL=BLANK Scale=6",,$D96,$AS$4),CA96)</f>
        <v>5339.25</v>
      </c>
      <c r="CB96" s="765" cm="1">
        <f t="array" aca="1" ref="CB96" ca="1">IF(NPSwitch=1,_xll.TR(CB$7,CB$6,"Sdate=#1 Period=#2 NULL=BLANK Scale=6",,$D96,$AS$4),CB96)</f>
        <v>2261.9749999999999</v>
      </c>
      <c r="CC96" s="765" cm="1">
        <f t="array" aca="1" ref="CC96" ca="1">IF(NPSwitch=1,_xll.TR(CC$7,CC$6,"Sdate=#1 Period=#2 NULL=BLANK Scale=6",,$D96,$AS$4),CC96)</f>
        <v>5269.5</v>
      </c>
      <c r="CD96" s="765" cm="1">
        <f t="array" aca="1" ref="CD96" ca="1">IF(NPSwitch=1,_xll.TR(CD$7,CD$6,"Sdate=#1 Period=#2 NULL=BLANK Scale=6",,$D96,$AS$4),CD96)</f>
        <v>6150.9</v>
      </c>
      <c r="CE96" s="765" cm="1">
        <f t="array" aca="1" ref="CE96" ca="1">IF(NPSwitch=1,_xll.TR(CE$7,CE$6,"Sdate=#1 Period=#2 NULL=BLANK Scale=6",,$D96,$AS$4),CE96)</f>
        <v>10766</v>
      </c>
      <c r="CF96" s="765" cm="1">
        <f t="array" aca="1" ref="CF96" ca="1">IF(NPSwitch=1,_xll.TR(CF$7,CF$6,"Sdate=#1 Period=#2 NULL=BLANK Scale=6",,$D96,$AS$4),CF96)</f>
        <v>14463.25</v>
      </c>
      <c r="CG96" s="765" cm="1">
        <f t="array" aca="1" ref="CG96" ca="1">IF(NPSwitch=1,_xll.TR(CG$7,CG$6,"Sdate=#1 Period=#2 NULL=BLANK Scale=6",,$D96,$AS$4),CG96)</f>
        <v>12226.25</v>
      </c>
      <c r="CI96" s="1000" cm="1">
        <f t="array" aca="1" ref="CI96" ca="1">IF(NPSwitch=1,_xll.TR(CI$7,CI$6,"Sdate=#1 Period=#2 NULL=BLANK Scale=6",,$D96,$AS$4),CI96)</f>
        <v>8703</v>
      </c>
      <c r="CJ96" s="1000" cm="1">
        <f t="array" aca="1" ref="CJ96" ca="1">IF(NPSwitch=1,_xll.TR(CJ$7,CJ$6,"Sdate=#1 Period=#2 NULL=BLANK Scale=6",,$D96,$AS$4),CJ96)</f>
        <v>879.851</v>
      </c>
      <c r="CK96" s="1000" cm="1">
        <f t="array" aca="1" ref="CK96" ca="1">IF(NPSwitch=1,_xll.TR(CK$7,CK$6,"Sdate=#1 Period=#2 NULL=BLANK Scale=6",,$D96,$AS$4),CK96)</f>
        <v>500</v>
      </c>
      <c r="CL96" s="1000" cm="1">
        <f t="array" aca="1" ref="CL96" ca="1">IF(NPSwitch=1,_xll.TR(CL$7,CL$6,"Sdate=#1 Period=#2 NULL=BLANK Scale=6",,$D96,$AS$4),CL96)</f>
        <v>296.10000000000002</v>
      </c>
      <c r="CM96" s="1000" cm="1">
        <f t="array" aca="1" ref="CM96" ca="1">IF(NPSwitch=1,_xll.TR(CM$7,CM$6,"Sdate=#1 Period=#2 NULL=BLANK Scale=6",,$D96,$AS$4),CM96)</f>
        <v>724</v>
      </c>
      <c r="CN96" s="1000" cm="1">
        <f t="array" aca="1" ref="CN96" ca="1">IF(NPSwitch=1,_xll.TR(CN$7,CN$6,"Sdate=#1 Period=#2 NULL=BLANK Scale=6",,$D96,$AS$4),CN96)</f>
        <v>1121</v>
      </c>
      <c r="CO96" s="1000" cm="1">
        <f t="array" aca="1" ref="CO96" ca="1">IF(NPSwitch=1,_xll.TR(CO$7,CO$6,"Sdate=#1 Period=#2 NULL=BLANK Scale=6",,$D96,$AS$4),CO96)</f>
        <v>2332</v>
      </c>
      <c r="CP96" s="1000" cm="1">
        <f t="array" aca="1" ref="CP96" ca="1">IF(NPSwitch=1,_xll.TR(CP$7,CP$6,"Sdate=#1 Period=#2 NULL=BLANK Scale=6",,$D96,$AS$4),CP96)</f>
        <v>3101</v>
      </c>
      <c r="CQ96" s="1000" cm="1">
        <f t="array" aca="1" ref="CQ96" ca="1">IF(NPSwitch=1,_xll.TR(CQ$7,CQ$6,"Sdate=#1 Period=#2 NULL=BLANK Scale=6",,$D96,$AS$4),CQ96)</f>
        <v>2018</v>
      </c>
      <c r="CS96" s="1000" cm="1">
        <f t="array" aca="1" ref="CS96" ca="1">IF(NPSwitch=1,_xll.TR(CS$7,CS$6,"Sdate=#1 Period=#2 NULL=BLANK Scale=6",,$D96,$AS$4),CS96)</f>
        <v>9951.75</v>
      </c>
      <c r="CT96" s="1000" cm="1">
        <f t="array" aca="1" ref="CT96" ca="1">IF(NPSwitch=1,_xll.TR(CT$7,CT$6,"Sdate=#1 Period=#2 NULL=BLANK Scale=6",,$D96,$AS$4),CT96)</f>
        <v>4347.2222499999998</v>
      </c>
      <c r="CU96" s="1000" cm="1">
        <f t="array" aca="1" ref="CU96" ca="1">IF(NPSwitch=1,_xll.TR(CU$7,CU$6,"Sdate=#1 Period=#2 NULL=BLANK Scale=6",,$D96,$AS$4),CU96)</f>
        <v>1649.25</v>
      </c>
      <c r="CV96" s="1000" cm="1">
        <f t="array" aca="1" ref="CV96" ca="1">IF(NPSwitch=1,_xll.TR(CV$7,CV$6,"Sdate=#1 Period=#2 NULL=BLANK Scale=6",,$D96,$AS$4),CV96)</f>
        <v>488.52499999999998</v>
      </c>
      <c r="CW96" s="1000" cm="1">
        <f t="array" aca="1" ref="CW96" ca="1">IF(NPSwitch=1,_xll.TR(CW$7,CW$6,"Sdate=#1 Period=#2 NULL=BLANK Scale=6",,$D96,$AS$4),CW96)</f>
        <v>901.4</v>
      </c>
      <c r="CX96" s="1000" cm="1">
        <f t="array" aca="1" ref="CX96" ca="1">IF(NPSwitch=1,_xll.TR(CX$7,CX$6,"Sdate=#1 Period=#2 NULL=BLANK Scale=6",,$D96,$AS$4),CX96)</f>
        <v>3669</v>
      </c>
      <c r="CY96" s="1000" cm="1">
        <f t="array" aca="1" ref="CY96" ca="1">IF(NPSwitch=1,_xll.TR(CY$7,CY$6,"Sdate=#1 Period=#2 NULL=BLANK Scale=6",,$D96,$AS$4),CY96)</f>
        <v>5906.5</v>
      </c>
      <c r="CZ96" s="1000" cm="1">
        <f t="array" aca="1" ref="CZ96" ca="1">IF(NPSwitch=1,_xll.TR(CZ$7,CZ$6,"Sdate=#1 Period=#2 NULL=BLANK Scale=6",,$D96,$AS$4),CZ96)</f>
        <v>5738.25</v>
      </c>
      <c r="DA96" s="1000" cm="1">
        <f t="array" aca="1" ref="DA96" ca="1">IF(NPSwitch=1,_xll.TR(DA$7,DA$6,"Sdate=#1 Period=#2 NULL=BLANK Scale=6",,$D96,$AS$4),DA96)</f>
        <v>3859.25</v>
      </c>
      <c r="DB96" s="1000" cm="1">
        <f t="array" aca="1" ref="DB96" ca="1">IF(NPSwitch=1,_xll.TR(DB$7,DB$6,"Sdate=#1 Period=#2 NULL=BLANK Scale=6",,$D96,$AS$4),DB96)</f>
        <v>22095.25</v>
      </c>
      <c r="DC96" s="1000" cm="1">
        <f t="array" aca="1" ref="DC96" ca="1">IF(NPSwitch=1,_xll.TR(DC$7,DC$6,"Sdate=#1 Period=#2 NULL=BLANK Scale=6",,$D96,$AS$4),DC96)</f>
        <v>23095.5</v>
      </c>
      <c r="DD96" s="1000" cm="1">
        <f t="array" aca="1" ref="DD96" ca="1">IF(NPSwitch=1,_xll.TR(DD$7,DD$6,"Sdate=#1 Period=#2 NULL=BLANK Scale=6",,$D96,$AS$4),DD96)</f>
        <v>15365.5</v>
      </c>
      <c r="DE96" s="1000" cm="1">
        <f t="array" aca="1" ref="DE96" ca="1">IF(NPSwitch=1,_xll.TR(DE$7,DE$6,"Sdate=#1 Period=#2 NULL=BLANK Scale=6",,$D96,$AS$4),DE96)</f>
        <v>10462</v>
      </c>
      <c r="DF96" s="1000" cm="1">
        <f t="array" aca="1" ref="DF96" ca="1">IF(NPSwitch=1,_xll.TR(DF$7,DF$6,"Sdate=#1 Period=#2 NULL=BLANK Scale=6",,$D96,$AS$4),DF96)</f>
        <v>488.52499999999998</v>
      </c>
      <c r="DG96" s="1000" cm="1">
        <f t="array" aca="1" ref="DG96" ca="1">IF(NPSwitch=1,_xll.TR(DG$7,DG$6,"Sdate=#1 Period=#2 NULL=BLANK Scale=6",,$D96,$AS$4),DG96)</f>
        <v>2922</v>
      </c>
      <c r="DH96" s="1000" cm="1">
        <f t="array" aca="1" ref="DH96" ca="1">IF(NPSwitch=1,_xll.TR(DH$7,DH$6,"Sdate=#1 Period=#2 NULL=BLANK Scale=6",,$D96,$AS$4),DH96)</f>
        <v>7285.5</v>
      </c>
    </row>
    <row r="97" spans="3:112">
      <c r="C97" s="969">
        <f t="shared" si="47"/>
        <v>44012</v>
      </c>
      <c r="D97" s="974">
        <f t="shared" si="46"/>
        <v>44057</v>
      </c>
      <c r="E97" s="765" cm="1">
        <f t="array" aca="1" ref="E97" ca="1">IF(NPSwitch=1,_xll.TR(E$7,E$6,"Sdate=#1 Period=#2 NULL=BLANK",,$D97,$E$4),E97)</f>
        <v>13.243799222919201</v>
      </c>
      <c r="F97" s="765" cm="1">
        <f t="array" aca="1" ref="F97" ca="1">IF(NPSwitch=1,_xll.TR(F$7,F$6,"Sdate=#1 Period=#2 NULL=BLANK",,$D97,$E$4),F97)</f>
        <v>15.6716350704814</v>
      </c>
      <c r="G97" s="765" cm="1">
        <f t="array" aca="1" ref="G97" ca="1">IF(NPSwitch=1,_xll.TR(G$7,G$6,"Sdate=#1 Period=#2 NULL=BLANK",,$D97,$E$4),G97)</f>
        <v>11.2413134340289</v>
      </c>
      <c r="H97" s="765" cm="1">
        <f t="array" aca="1" ref="H97" ca="1">IF(NPSwitch=1,_xll.TR(H$7,H$6,"Sdate=#1 Period=#2 NULL=BLANK",,$D97,$E$4),H97)</f>
        <v>5.5244673219029199</v>
      </c>
      <c r="I97" s="765" cm="1">
        <f t="array" aca="1" ref="I97" ca="1">IF(NPSwitch=1,_xll.TR(I$7,I$6,"Sdate=#1 Period=#2 NULL=BLANK",,$D97,$E$4),I97)</f>
        <v>8.8574234010890702</v>
      </c>
      <c r="J97" s="765" cm="1">
        <f t="array" aca="1" ref="J97" ca="1">IF(NPSwitch=1,_xll.TR(J$7,J$6,"Sdate=#1 Period=#2 NULL=BLANK",,$D97,$E$4),J97)</f>
        <v>12.6732891421586</v>
      </c>
      <c r="K97" s="765" cm="1">
        <f t="array" aca="1" ref="K97" ca="1">IF(NPSwitch=1,_xll.TR(K$7,K$6,"Sdate=#1 Period=#2 NULL=BLANK",,$D97,$E$4),K97)</f>
        <v>13.362748994825999</v>
      </c>
      <c r="L97" s="765" cm="1">
        <f t="array" aca="1" ref="L97" ca="1">IF(NPSwitch=1,_xll.TR(L$7,L$6,"Sdate=#1 Period=#2 NULL=BLANK",,$D97,$E$4),L97)</f>
        <v>5.5115238940717104</v>
      </c>
      <c r="M97" s="765" cm="1">
        <f t="array" aca="1" ref="M97" ca="1">IF(NPSwitch=1,_xll.TR(M$7,M$6,"Sdate=#1 Period=#2 NULL=BLANK",,$D97,$E$4),M97)</f>
        <v>8.5137936424066005</v>
      </c>
      <c r="N97" s="1002">
        <f t="shared" ca="1" si="48"/>
        <v>9.5284610313462004</v>
      </c>
      <c r="O97" s="1000" cm="1">
        <f t="array" aca="1" ref="O97" ca="1">IF(NPSwitch=1,_xll.TR(O$7,O$6,"Sdate=#1 Period=#2 Scale=6 NULL=BLANK",,$D97,$O$4),O97)</f>
        <v>95676.829316200005</v>
      </c>
      <c r="P97" s="1000" cm="1">
        <f t="array" aca="1" ref="P97" ca="1">IF(NPSwitch=1,_xll.TR(P$7,P$6,"Sdate=#1 Period=#2 Scale=6 NULL=BLANK",,$D97,$O$4),P97)</f>
        <v>9826.4146037099999</v>
      </c>
      <c r="Q97" s="1000" cm="1">
        <f t="array" aca="1" ref="Q97" ca="1">IF(NPSwitch=1,_xll.TR(Q$7,Q$6,"Sdate=#1 Period=#2 Scale=6 NULL=BLANK",,$D97,$O$4),Q97)</f>
        <v>4656.8331279900003</v>
      </c>
      <c r="R97" s="1000" cm="1">
        <f t="array" aca="1" ref="R97" ca="1">IF(NPSwitch=1,_xll.TR(R$7,R$6,"Sdate=#1 Period=#2 Scale=6 NULL=BLANK",,$D97,$O$4),R97)</f>
        <v>2399.2986668799899</v>
      </c>
      <c r="S97" s="1000" cm="1">
        <f t="array" aca="1" ref="S97" ca="1">IF(NPSwitch=1,_xll.TR(S$7,S$6,"Sdate=#1 Period=#2 Scale=6 NULL=BLANK",,$D97,$O$4),S97)</f>
        <v>4633.1336730000003</v>
      </c>
      <c r="T97" s="1000" cm="1">
        <f t="array" aca="1" ref="T97" ca="1">IF(NPSwitch=1,_xll.TR(T$7,T$6,"Sdate=#1 Period=#2 Scale=6 NULL=BLANK",,$D97,$O$4),T97)</f>
        <v>14201.768829209999</v>
      </c>
      <c r="U97" s="1000" cm="1">
        <f t="array" aca="1" ref="U97" ca="1">IF(NPSwitch=1,_xll.TR(U$7,U$6,"Sdate=#1 Period=#2 Scale=6 NULL=BLANK",,$D97,$O$4),U97)</f>
        <v>28076.586649739998</v>
      </c>
      <c r="V97" s="1000" cm="1">
        <f t="array" aca="1" ref="V97" ca="1">IF(NPSwitch=1,_xll.TR(V$7,V$6,"Sdate=#1 Period=#2 Scale=6 NULL=BLANK",,$D97,$O$4),V97)</f>
        <v>7781.9165759999996</v>
      </c>
      <c r="W97" s="1000" cm="1">
        <f t="array" aca="1" ref="W97" ca="1">IF(NPSwitch=1,_xll.TR(W$7,W$6,"Sdate=#1 Period=#2 Scale=6 NULL=BLANK",,$D97,$O$4),W97)</f>
        <v>9919.7836172400002</v>
      </c>
      <c r="X97" s="998"/>
      <c r="Y97" s="1000" cm="1">
        <f t="array" aca="1" ref="Y97" ca="1">IF(NPSwitch=1,_xll.TR(Y$7,Y$6,"Sdate=#1 Period=#2 Scale=6 NULL=BLANK",,$D97,$O$4),Y97)</f>
        <v>4906.25</v>
      </c>
      <c r="Z97" s="1000" cm="1">
        <f t="array" aca="1" ref="Z97" ca="1">IF(NPSwitch=1,_xll.TR(Z$7,Z$6,"Sdate=#1 Period=#2 Scale=6 NULL=BLANK",,$D97,$O$4),Z97)</f>
        <v>555.21424999999999</v>
      </c>
      <c r="AA97" s="1000" cm="1">
        <f t="array" aca="1" ref="AA97" ca="1">IF(NPSwitch=1,_xll.TR(AA$7,AA$6,"Sdate=#1 Period=#2 Scale=6 NULL=BLANK",,$D97,$O$4),AA97)</f>
        <v>289.5</v>
      </c>
      <c r="AB97" s="1000" cm="1">
        <f t="array" aca="1" ref="AB97" ca="1">IF(NPSwitch=1,_xll.TR(AB$7,AB$6,"Sdate=#1 Period=#2 Scale=6 NULL=BLANK",,$D97,$O$4),AB97)</f>
        <v>1080.375</v>
      </c>
      <c r="AC97" s="1000" cm="1">
        <f t="array" aca="1" ref="AC97" ca="1">IF(NPSwitch=1,_xll.TR(AC$7,AC$6,"Sdate=#1 Period=#2 Scale=6 NULL=BLANK",,$D97,$O$4),AC97)</f>
        <v>947.75</v>
      </c>
      <c r="AD97" s="1000" cm="1">
        <f t="array" aca="1" ref="AD97" ca="1">IF(NPSwitch=1,_xll.TR(AD$7,AD$6,"Sdate=#1 Period=#2 Scale=6 NULL=BLANK",,$D97,$O$4),AD97)</f>
        <v>384.42500000000001</v>
      </c>
      <c r="AE97" s="1000" cm="1">
        <f t="array" aca="1" ref="AE97" ca="1">IF(NPSwitch=1,_xll.TR(AE$7,AE$6,"Sdate=#1 Period=#2 Scale=6 NULL=BLANK",,$D97,$O$4),AE97)</f>
        <v>1749</v>
      </c>
      <c r="AF97" s="1000" cm="1">
        <f t="array" aca="1" ref="AF97" ca="1">IF(NPSwitch=1,_xll.TR(AF$7,AF$6,"Sdate=#1 Period=#2 Scale=6 NULL=BLANK",,$D97,$O$4),AF97)</f>
        <v>861.25</v>
      </c>
      <c r="AG97" s="1000" cm="1">
        <f t="array" aca="1" ref="AG97" ca="1">IF(NPSwitch=1,_xll.TR(AG$7,AG$6,"Sdate=#1 Period=#2 Scale=6 NULL=BLANK",,$D97,$O$4),AG97)</f>
        <v>448.75</v>
      </c>
      <c r="AH97" s="998"/>
      <c r="AI97" s="1000" cm="1">
        <f t="array" aca="1" ref="AI97" ca="1">IF(NPSwitch=1,_xll.TR(AI$7,AI$6,"Sdate=#1 Period=#2 Scale=6 NULL=BLANK",,$D97,$O$4),AI97)</f>
        <v>112030.8293162</v>
      </c>
      <c r="AJ97" s="1000" cm="1">
        <f t="array" aca="1" ref="AJ97" ca="1">IF(NPSwitch=1,_xll.TR(AJ$7,AJ$6,"Sdate=#1 Period=#2 Scale=6 NULL=BLANK",,$D97,$O$4),AJ97)</f>
        <v>12809.79960371</v>
      </c>
      <c r="AK97" s="1000" cm="1">
        <f t="array" aca="1" ref="AK97" ca="1">IF(NPSwitch=1,_xll.TR(AK$7,AK$6,"Sdate=#1 Period=#2 Scale=6 NULL=BLANK",,$D97,$O$4),AK97)</f>
        <v>6233.8331279900003</v>
      </c>
      <c r="AL97" s="1000" cm="1">
        <f t="array" aca="1" ref="AL97" ca="1">IF(NPSwitch=1,_xll.TR(AL$7,AL$6,"Sdate=#1 Period=#2 Scale=6 NULL=BLANK",,$D97,$O$4),AL97)</f>
        <v>2290.3986668799998</v>
      </c>
      <c r="AM97" s="1000" cm="1">
        <f t="array" aca="1" ref="AM97" ca="1">IF(NPSwitch=1,_xll.TR(AM$7,AM$6,"Sdate=#1 Period=#2 Scale=6 NULL=BLANK",,$D97,$O$4),AM97)</f>
        <v>5725.1336730000003</v>
      </c>
      <c r="AN97" s="1000" cm="1">
        <f t="array" aca="1" ref="AN97" ca="1">IF(NPSwitch=1,_xll.TR(AN$7,AN$6,"Sdate=#1 Period=#2 Scale=6 NULL=BLANK",,$D97,$O$4),AN97)</f>
        <v>17421.168829210001</v>
      </c>
      <c r="AO97" s="1000" cm="1">
        <f t="array" aca="1" ref="AO97" ca="1">IF(NPSwitch=1,_xll.TR(AO$7,AO$6,"Sdate=#1 Period=#2 Scale=6 NULL=BLANK",,$D97,$O$4),AO97)</f>
        <v>32186.586649739998</v>
      </c>
      <c r="AP97" s="1000" cm="1">
        <f t="array" aca="1" ref="AP97" ca="1">IF(NPSwitch=1,_xll.TR(AP$7,AP$6,"Sdate=#1 Period=#2 Scale=6 NULL=BLANK",,$D97,$O$4),AP97)</f>
        <v>10887.916576</v>
      </c>
      <c r="AQ97" s="1000" cm="1">
        <f t="array" aca="1" ref="AQ97" ca="1">IF(NPSwitch=1,_xll.TR(AQ$7,AQ$6,"Sdate=#1 Period=#2 Scale=6 NULL=BLANK",,$D97,$O$4),AQ97)</f>
        <v>15425.78361724</v>
      </c>
      <c r="AS97" s="765" cm="1">
        <f t="array" aca="1" ref="AS97" ca="1">IF(NPSwitch=1,_xll.TR(AS$7,AS$6,"Sdate=#1 Period=#2 NULL=BLANK Scale=6",,$D97,$AS$4),AS97)</f>
        <v>15.022223333333301</v>
      </c>
      <c r="AT97" s="765" cm="1">
        <f t="array" aca="1" ref="AT97" ca="1">IF(NPSwitch=1,_xll.TR(AT$7,AT$6,"Sdate=#1 Period=#2 NULL=BLANK Scale=6",,$D97,$AS$4),AT97)</f>
        <v>8.7666666666666693</v>
      </c>
      <c r="AU97" s="765" t="str" cm="1">
        <f t="array" aca="1" ref="AU97" ca="1">IF(NPSwitch=1,_xll.TR(AU$7,AU$6,"Sdate=#1 Period=#2 NULL=BLANK Scale=6",,$D97,$AS$4),AU97)</f>
        <v/>
      </c>
      <c r="AV97" s="765" cm="1">
        <f t="array" aca="1" ref="AV97" ca="1">IF(NPSwitch=1,_xll.TR(AV$7,AV$6,"Sdate=#1 Period=#2 NULL=BLANK Scale=6",,$D97,$AS$4),AV97)</f>
        <v>5.2</v>
      </c>
      <c r="AW97" s="765" cm="1">
        <f t="array" aca="1" ref="AW97" ca="1">IF(NPSwitch=1,_xll.TR(AW$7,AW$6,"Sdate=#1 Period=#2 NULL=BLANK Scale=6",,$D97,$AS$4),AW97)</f>
        <v>7.7833333333333297</v>
      </c>
      <c r="AX97" s="765" cm="1">
        <f t="array" aca="1" ref="AX97" ca="1">IF(NPSwitch=1,_xll.TR(AX$7,AX$6,"Sdate=#1 Period=#2 NULL=BLANK Scale=6",,$D97,$AS$4),AX97)</f>
        <v>21.466666666666701</v>
      </c>
      <c r="AY97" s="765" cm="1">
        <f t="array" aca="1" ref="AY97" ca="1">IF(NPSwitch=1,_xll.TR(AY$7,AY$6,"Sdate=#1 Period=#2 NULL=BLANK Scale=6",,$D97,$AS$4),AY97)</f>
        <v>11.755556666666701</v>
      </c>
      <c r="AZ97" s="765" cm="1">
        <f t="array" aca="1" ref="AZ97" ca="1">IF(NPSwitch=1,_xll.TR(AZ$7,AZ$6,"Sdate=#1 Period=#2 NULL=BLANK Scale=6",,$D97,$AS$4),AZ97)</f>
        <v>6.5166666666666702</v>
      </c>
      <c r="BA97" s="765" cm="1">
        <f t="array" aca="1" ref="BA97" ca="1">IF(NPSwitch=1,_xll.TR(BA$7,BA$6,"Sdate=#1 Period=#2 NULL=BLANK Scale=6",,$D97,$AS$4),BA97)</f>
        <v>8.0833333333333304</v>
      </c>
      <c r="BB97" s="1002"/>
      <c r="BO97" s="765" cm="1">
        <f t="array" aca="1" ref="BO97" ca="1">IF(NPSwitch=1,_xll.TR(BO$7,BO$6,"Sdate=#1 Period=#2 NULL=BLANK Scale=6",,$D97,$AS$4),BO97)</f>
        <v>31353</v>
      </c>
      <c r="BP97" s="765" cm="1">
        <f t="array" aca="1" ref="BP97" ca="1">IF(NPSwitch=1,_xll.TR(BP$7,BP$6,"Sdate=#1 Period=#2 NULL=BLANK Scale=6",,$D97,$AS$4),BP97)</f>
        <v>3375.2049999999999</v>
      </c>
      <c r="BQ97" s="765" cm="1">
        <f t="array" aca="1" ref="BQ97" ca="1">IF(NPSwitch=1,_xll.TR(BQ$7,BQ$6,"Sdate=#1 Period=#2 NULL=BLANK Scale=6",,$D97,$AS$4),BQ97)</f>
        <v>2326</v>
      </c>
      <c r="BR97" s="765" cm="1">
        <f t="array" aca="1" ref="BR97" ca="1">IF(NPSwitch=1,_xll.TR(BR$7,BR$6,"Sdate=#1 Period=#2 NULL=BLANK Scale=6",,$D97,$AS$4),BR97)</f>
        <v>2684.5</v>
      </c>
      <c r="BS97" s="765" cm="1">
        <f t="array" aca="1" ref="BS97" ca="1">IF(NPSwitch=1,_xll.TR(BS$7,BS$6,"Sdate=#1 Period=#2 NULL=BLANK Scale=6",,$D97,$AS$4),BS97)</f>
        <v>6184</v>
      </c>
      <c r="BT97" s="765" cm="1">
        <f t="array" aca="1" ref="BT97" ca="1">IF(NPSwitch=1,_xll.TR(BT$7,BT$6,"Sdate=#1 Period=#2 NULL=BLANK Scale=6",,$D97,$AS$4),BT97)</f>
        <v>4616.8999999999996</v>
      </c>
      <c r="BU97" s="765" cm="1">
        <f t="array" aca="1" ref="BU97" ca="1">IF(NPSwitch=1,_xll.TR(BU$7,BU$6,"Sdate=#1 Period=#2 NULL=BLANK Scale=6",,$D97,$AS$4),BU97)</f>
        <v>13890</v>
      </c>
      <c r="BV97" s="765" cm="1">
        <f t="array" aca="1" ref="BV97" ca="1">IF(NPSwitch=1,_xll.TR(BV$7,BV$6,"Sdate=#1 Period=#2 NULL=BLANK Scale=6",,$D97,$AS$4),BV97)</f>
        <v>10513</v>
      </c>
      <c r="BW97" s="765" cm="1">
        <f t="array" aca="1" ref="BW97" ca="1">IF(NPSwitch=1,_xll.TR(BW$7,BW$6,"Sdate=#1 Period=#2 NULL=BLANK Scale=6",,$D97,$AS$4),BW97)</f>
        <v>8695</v>
      </c>
      <c r="BY97" s="765" cm="1">
        <f t="array" aca="1" ref="BY97" ca="1">IF(NPSwitch=1,_xll.TR(BY$7,BY$6,"Sdate=#1 Period=#2 NULL=BLANK Scale=6",,$D97,$AS$4),BY97)</f>
        <v>31322.25</v>
      </c>
      <c r="BZ97" s="765" cm="1">
        <f t="array" aca="1" ref="BZ97" ca="1">IF(NPSwitch=1,_xll.TR(BZ$7,BZ$6,"Sdate=#1 Period=#2 NULL=BLANK Scale=6",,$D97,$AS$4),BZ97)</f>
        <v>7000.259</v>
      </c>
      <c r="CA97" s="765" cm="1">
        <f t="array" aca="1" ref="CA97" ca="1">IF(NPSwitch=1,_xll.TR(CA$7,CA$6,"Sdate=#1 Period=#2 NULL=BLANK Scale=6",,$D97,$AS$4),CA97)</f>
        <v>5134.75</v>
      </c>
      <c r="CB97" s="765" cm="1">
        <f t="array" aca="1" ref="CB97" ca="1">IF(NPSwitch=1,_xll.TR(CB$7,CB$6,"Sdate=#1 Period=#2 NULL=BLANK Scale=6",,$D97,$AS$4),CB97)</f>
        <v>2621.25</v>
      </c>
      <c r="CC97" s="765" cm="1">
        <f t="array" aca="1" ref="CC97" ca="1">IF(NPSwitch=1,_xll.TR(CC$7,CC$6,"Sdate=#1 Period=#2 NULL=BLANK Scale=6",,$D97,$AS$4),CC97)</f>
        <v>5313.5</v>
      </c>
      <c r="CD97" s="765" cm="1">
        <f t="array" aca="1" ref="CD97" ca="1">IF(NPSwitch=1,_xll.TR(CD$7,CD$6,"Sdate=#1 Period=#2 NULL=BLANK Scale=6",,$D97,$AS$4),CD97)</f>
        <v>6238.625</v>
      </c>
      <c r="CE97" s="765" cm="1">
        <f t="array" aca="1" ref="CE97" ca="1">IF(NPSwitch=1,_xll.TR(CE$7,CE$6,"Sdate=#1 Period=#2 NULL=BLANK Scale=6",,$D97,$AS$4),CE97)</f>
        <v>10904.25</v>
      </c>
      <c r="CF97" s="765" cm="1">
        <f t="array" aca="1" ref="CF97" ca="1">IF(NPSwitch=1,_xll.TR(CF$7,CF$6,"Sdate=#1 Period=#2 NULL=BLANK Scale=6",,$D97,$AS$4),CF97)</f>
        <v>13498.5</v>
      </c>
      <c r="CG97" s="765" cm="1">
        <f t="array" aca="1" ref="CG97" ca="1">IF(NPSwitch=1,_xll.TR(CG$7,CG$6,"Sdate=#1 Period=#2 NULL=BLANK Scale=6",,$D97,$AS$4),CG97)</f>
        <v>12209</v>
      </c>
      <c r="CI97" s="1000" cm="1">
        <f t="array" aca="1" ref="CI97" ca="1">IF(NPSwitch=1,_xll.TR(CI$7,CI$6,"Sdate=#1 Period=#2 NULL=BLANK Scale=6",,$D97,$AS$4),CI97)</f>
        <v>8397</v>
      </c>
      <c r="CJ97" s="1000" cm="1">
        <f t="array" aca="1" ref="CJ97" ca="1">IF(NPSwitch=1,_xll.TR(CJ$7,CJ$6,"Sdate=#1 Period=#2 NULL=BLANK Scale=6",,$D97,$AS$4),CJ97)</f>
        <v>809.59199999999998</v>
      </c>
      <c r="CK97" s="1000" cm="1">
        <f t="array" aca="1" ref="CK97" ca="1">IF(NPSwitch=1,_xll.TR(CK$7,CK$6,"Sdate=#1 Period=#2 NULL=BLANK Scale=6",,$D97,$AS$4),CK97)</f>
        <v>488</v>
      </c>
      <c r="CL97" s="1000" cm="1">
        <f t="array" aca="1" ref="CL97" ca="1">IF(NPSwitch=1,_xll.TR(CL$7,CL$6,"Sdate=#1 Period=#2 NULL=BLANK Scale=6",,$D97,$AS$4),CL97)</f>
        <v>277.2</v>
      </c>
      <c r="CM97" s="1000" cm="1">
        <f t="array" aca="1" ref="CM97" ca="1">IF(NPSwitch=1,_xll.TR(CM$7,CM$6,"Sdate=#1 Period=#2 NULL=BLANK Scale=6",,$D97,$AS$4),CM97)</f>
        <v>458</v>
      </c>
      <c r="CN97" s="1000" cm="1">
        <f t="array" aca="1" ref="CN97" ca="1">IF(NPSwitch=1,_xll.TR(CN$7,CN$6,"Sdate=#1 Period=#2 NULL=BLANK Scale=6",,$D97,$AS$4),CN97)</f>
        <v>1126</v>
      </c>
      <c r="CO97" s="1000" cm="1">
        <f t="array" aca="1" ref="CO97" ca="1">IF(NPSwitch=1,_xll.TR(CO$7,CO$6,"Sdate=#1 Period=#2 NULL=BLANK Scale=6",,$D97,$AS$4),CO97)</f>
        <v>2114</v>
      </c>
      <c r="CP97" s="1000" cm="1">
        <f t="array" aca="1" ref="CP97" ca="1">IF(NPSwitch=1,_xll.TR(CP$7,CP$6,"Sdate=#1 Period=#2 NULL=BLANK Scale=6",,$D97,$AS$4),CP97)</f>
        <v>4380</v>
      </c>
      <c r="CQ97" s="1000" cm="1">
        <f t="array" aca="1" ref="CQ97" ca="1">IF(NPSwitch=1,_xll.TR(CQ$7,CQ$6,"Sdate=#1 Period=#2 NULL=BLANK Scale=6",,$D97,$AS$4),CQ97)</f>
        <v>1810</v>
      </c>
      <c r="CS97" s="1000" cm="1">
        <f t="array" aca="1" ref="CS97" ca="1">IF(NPSwitch=1,_xll.TR(CS$7,CS$6,"Sdate=#1 Period=#2 NULL=BLANK Scale=6",,$D97,$AS$4),CS97)</f>
        <v>9964.75</v>
      </c>
      <c r="CT97" s="1000" cm="1">
        <f t="array" aca="1" ref="CT97" ca="1">IF(NPSwitch=1,_xll.TR(CT$7,CT$6,"Sdate=#1 Period=#2 NULL=BLANK Scale=6",,$D97,$AS$4),CT97)</f>
        <v>4786.4897499999997</v>
      </c>
      <c r="CU97" s="1000" cm="1">
        <f t="array" aca="1" ref="CU97" ca="1">IF(NPSwitch=1,_xll.TR(CU$7,CU$6,"Sdate=#1 Period=#2 NULL=BLANK Scale=6",,$D97,$AS$4),CU97)</f>
        <v>1677.75</v>
      </c>
      <c r="CV97" s="1000" cm="1">
        <f t="array" aca="1" ref="CV97" ca="1">IF(NPSwitch=1,_xll.TR(CV$7,CV$6,"Sdate=#1 Period=#2 NULL=BLANK Scale=6",,$D97,$AS$4),CV97)</f>
        <v>460.22500000000002</v>
      </c>
      <c r="CW97" s="1000" cm="1">
        <f t="array" aca="1" ref="CW97" ca="1">IF(NPSwitch=1,_xll.TR(CW$7,CW$6,"Sdate=#1 Period=#2 NULL=BLANK Scale=6",,$D97,$AS$4),CW97)</f>
        <v>898.45</v>
      </c>
      <c r="CX97" s="1000" cm="1">
        <f t="array" aca="1" ref="CX97" ca="1">IF(NPSwitch=1,_xll.TR(CX$7,CX$6,"Sdate=#1 Period=#2 NULL=BLANK Scale=6",,$D97,$AS$4),CX97)</f>
        <v>3676.75</v>
      </c>
      <c r="CY97" s="1000" cm="1">
        <f t="array" aca="1" ref="CY97" ca="1">IF(NPSwitch=1,_xll.TR(CY$7,CY$6,"Sdate=#1 Period=#2 NULL=BLANK Scale=6",,$D97,$AS$4),CY97)</f>
        <v>5808.5</v>
      </c>
      <c r="CZ97" s="1000" cm="1">
        <f t="array" aca="1" ref="CZ97" ca="1">IF(NPSwitch=1,_xll.TR(CZ$7,CZ$6,"Sdate=#1 Period=#2 NULL=BLANK Scale=6",,$D97,$AS$4),CZ97)</f>
        <v>5712.5</v>
      </c>
      <c r="DA97" s="1000" cm="1">
        <f t="array" aca="1" ref="DA97" ca="1">IF(NPSwitch=1,_xll.TR(DA$7,DA$6,"Sdate=#1 Period=#2 NULL=BLANK Scale=6",,$D97,$AS$4),DA97)</f>
        <v>3878</v>
      </c>
      <c r="DB97" s="1000" cm="1">
        <f t="array" aca="1" ref="DB97" ca="1">IF(NPSwitch=1,_xll.TR(DB$7,DB$6,"Sdate=#1 Period=#2 NULL=BLANK Scale=6",,$D97,$AS$4),DB97)</f>
        <v>22036.5</v>
      </c>
      <c r="DC97" s="1000" cm="1">
        <f t="array" aca="1" ref="DC97" ca="1">IF(NPSwitch=1,_xll.TR(DC$7,DC$6,"Sdate=#1 Period=#2 NULL=BLANK Scale=6",,$D97,$AS$4),DC97)</f>
        <v>22862</v>
      </c>
      <c r="DD97" s="1000" cm="1">
        <f t="array" aca="1" ref="DD97" ca="1">IF(NPSwitch=1,_xll.TR(DD$7,DD$6,"Sdate=#1 Period=#2 NULL=BLANK Scale=6",,$D97,$AS$4),DD97)</f>
        <v>15642</v>
      </c>
      <c r="DE97" s="1000" cm="1">
        <f t="array" aca="1" ref="DE97" ca="1">IF(NPSwitch=1,_xll.TR(DE$7,DE$6,"Sdate=#1 Period=#2 NULL=BLANK Scale=6",,$D97,$AS$4),DE97)</f>
        <v>10497</v>
      </c>
      <c r="DF97" s="1000" cm="1">
        <f t="array" aca="1" ref="DF97" ca="1">IF(NPSwitch=1,_xll.TR(DF$7,DF$6,"Sdate=#1 Period=#2 NULL=BLANK Scale=6",,$D97,$AS$4),DF97)</f>
        <v>460.22500000000002</v>
      </c>
      <c r="DG97" s="1000" cm="1">
        <f t="array" aca="1" ref="DG97" ca="1">IF(NPSwitch=1,_xll.TR(DG$7,DG$6,"Sdate=#1 Period=#2 NULL=BLANK Scale=6",,$D97,$AS$4),DG97)</f>
        <v>2768</v>
      </c>
      <c r="DH97" s="1000" cm="1">
        <f t="array" aca="1" ref="DH97" ca="1">IF(NPSwitch=1,_xll.TR(DH$7,DH$6,"Sdate=#1 Period=#2 NULL=BLANK Scale=6",,$D97,$AS$4),DH97)</f>
        <v>7319.5</v>
      </c>
    </row>
    <row r="98" spans="3:112">
      <c r="C98" s="969">
        <f t="shared" si="47"/>
        <v>44104</v>
      </c>
      <c r="D98" s="974">
        <f t="shared" si="46"/>
        <v>44149</v>
      </c>
      <c r="E98" s="765" cm="1">
        <f t="array" aca="1" ref="E98" ca="1">IF(NPSwitch=1,_xll.TR(E$7,E$6,"Sdate=#1 Period=#2 NULL=BLANK",,$D98,$E$4),E98)</f>
        <v>12.568222399208199</v>
      </c>
      <c r="F98" s="765" cm="1">
        <f t="array" aca="1" ref="F98" ca="1">IF(NPSwitch=1,_xll.TR(F$7,F$6,"Sdate=#1 Period=#2 NULL=BLANK",,$D98,$E$4),F98)</f>
        <v>19.2354359014697</v>
      </c>
      <c r="G98" s="765" cm="1">
        <f t="array" aca="1" ref="G98" ca="1">IF(NPSwitch=1,_xll.TR(G$7,G$6,"Sdate=#1 Period=#2 NULL=BLANK",,$D98,$E$4),G98)</f>
        <v>11.0722521399426</v>
      </c>
      <c r="H98" s="765" cm="1">
        <f t="array" aca="1" ref="H98" ca="1">IF(NPSwitch=1,_xll.TR(H$7,H$6,"Sdate=#1 Period=#2 NULL=BLANK",,$D98,$E$4),H98)</f>
        <v>9.7336204654455205</v>
      </c>
      <c r="I98" s="765" cm="1">
        <f t="array" aca="1" ref="I98" ca="1">IF(NPSwitch=1,_xll.TR(I$7,I$6,"Sdate=#1 Period=#2 NULL=BLANK",,$D98,$E$4),I98)</f>
        <v>7.9031256698938703</v>
      </c>
      <c r="J98" s="765" cm="1">
        <f t="array" aca="1" ref="J98" ca="1">IF(NPSwitch=1,_xll.TR(J$7,J$6,"Sdate=#1 Period=#2 NULL=BLANK",,$D98,$E$4),J98)</f>
        <v>12.0470325770694</v>
      </c>
      <c r="K98" s="765" cm="1">
        <f t="array" aca="1" ref="K98" ca="1">IF(NPSwitch=1,_xll.TR(K$7,K$6,"Sdate=#1 Period=#2 NULL=BLANK",,$D98,$E$4),K98)</f>
        <v>13.969063055604799</v>
      </c>
      <c r="L98" s="765" cm="1">
        <f t="array" aca="1" ref="L98" ca="1">IF(NPSwitch=1,_xll.TR(L$7,L$6,"Sdate=#1 Period=#2 NULL=BLANK",,$D98,$E$4),L98)</f>
        <v>5.7731671959729596</v>
      </c>
      <c r="M98" s="765" cm="1">
        <f t="array" aca="1" ref="M98" ca="1">IF(NPSwitch=1,_xll.TR(M$7,M$6,"Sdate=#1 Period=#2 NULL=BLANK",,$D98,$E$4),M98)</f>
        <v>9.4849104948247795</v>
      </c>
      <c r="N98" s="1002">
        <f t="shared" ca="1" si="48"/>
        <v>10.083043517321526</v>
      </c>
      <c r="O98" s="1000" cm="1">
        <f t="array" aca="1" ref="O98" ca="1">IF(NPSwitch=1,_xll.TR(O$7,O$6,"Sdate=#1 Period=#2 Scale=6 NULL=BLANK",,$D98,$O$4),O98)</f>
        <v>97938.586665619994</v>
      </c>
      <c r="P98" s="1000" cm="1">
        <f t="array" aca="1" ref="P98" ca="1">IF(NPSwitch=1,_xll.TR(P$7,P$6,"Sdate=#1 Period=#2 Scale=6 NULL=BLANK",,$D98,$O$4),P98)</f>
        <v>13038.87699864</v>
      </c>
      <c r="Q98" s="1000" cm="1">
        <f t="array" aca="1" ref="Q98" ca="1">IF(NPSwitch=1,_xll.TR(Q$7,Q$6,"Sdate=#1 Period=#2 Scale=6 NULL=BLANK",,$D98,$O$4),Q98)</f>
        <v>4942.6035681399999</v>
      </c>
      <c r="R98" s="1000" cm="1">
        <f t="array" aca="1" ref="R98" ca="1">IF(NPSwitch=1,_xll.TR(R$7,R$6,"Sdate=#1 Period=#2 Scale=6 NULL=BLANK",,$D98,$O$4),R98)</f>
        <v>3220.8557351600002</v>
      </c>
      <c r="S98" s="1000" cm="1">
        <f t="array" aca="1" ref="S98" ca="1">IF(NPSwitch=1,_xll.TR(S$7,S$6,"Sdate=#1 Period=#2 Scale=6 NULL=BLANK",,$D98,$O$4),S98)</f>
        <v>5376.2726110499998</v>
      </c>
      <c r="T98" s="1000" cm="1">
        <f t="array" aca="1" ref="T98" ca="1">IF(NPSwitch=1,_xll.TR(T$7,T$6,"Sdate=#1 Period=#2 Scale=6 NULL=BLANK",,$D98,$O$4),T98)</f>
        <v>14091.627250199899</v>
      </c>
      <c r="U98" s="1000" cm="1">
        <f t="array" aca="1" ref="U98" ca="1">IF(NPSwitch=1,_xll.TR(U$7,U$6,"Sdate=#1 Period=#2 Scale=6 NULL=BLANK",,$D98,$O$4),U98)</f>
        <v>33734.714835940002</v>
      </c>
      <c r="V98" s="1000" cm="1">
        <f t="array" aca="1" ref="V98" ca="1">IF(NPSwitch=1,_xll.TR(V$7,V$6,"Sdate=#1 Period=#2 Scale=6 NULL=BLANK",,$D98,$O$4),V98)</f>
        <v>8893.6189439999507</v>
      </c>
      <c r="W98" s="1000" cm="1">
        <f t="array" aca="1" ref="W98" ca="1">IF(NPSwitch=1,_xll.TR(W$7,W$6,"Sdate=#1 Period=#2 Scale=6 NULL=BLANK",,$D98,$O$4),W98)</f>
        <v>12733.982035999999</v>
      </c>
      <c r="X98" s="998"/>
      <c r="Y98" s="1000" cm="1">
        <f t="array" aca="1" ref="Y98" ca="1">IF(NPSwitch=1,_xll.TR(Y$7,Y$6,"Sdate=#1 Period=#2 Scale=6 NULL=BLANK",,$D98,$O$4),Y98)</f>
        <v>4106.25</v>
      </c>
      <c r="Z98" s="1000" cm="1">
        <f t="array" aca="1" ref="Z98" ca="1">IF(NPSwitch=1,_xll.TR(Z$7,Z$6,"Sdate=#1 Period=#2 Scale=6 NULL=BLANK",,$D98,$O$4),Z98)</f>
        <v>651.27674999999999</v>
      </c>
      <c r="AA98" s="1000" cm="1">
        <f t="array" aca="1" ref="AA98" ca="1">IF(NPSwitch=1,_xll.TR(AA$7,AA$6,"Sdate=#1 Period=#2 Scale=6 NULL=BLANK",,$D98,$O$4),AA98)</f>
        <v>345</v>
      </c>
      <c r="AB98" s="1000" cm="1">
        <f t="array" aca="1" ref="AB98" ca="1">IF(NPSwitch=1,_xll.TR(AB$7,AB$6,"Sdate=#1 Period=#2 Scale=6 NULL=BLANK",,$D98,$O$4),AB98)</f>
        <v>1174.8</v>
      </c>
      <c r="AC98" s="1000" cm="1">
        <f t="array" aca="1" ref="AC98" ca="1">IF(NPSwitch=1,_xll.TR(AC$7,AC$6,"Sdate=#1 Period=#2 Scale=6 NULL=BLANK",,$D98,$O$4),AC98)</f>
        <v>1135.25</v>
      </c>
      <c r="AD98" s="1000" cm="1">
        <f t="array" aca="1" ref="AD98" ca="1">IF(NPSwitch=1,_xll.TR(AD$7,AD$6,"Sdate=#1 Period=#2 Scale=6 NULL=BLANK",,$D98,$O$4),AD98)</f>
        <v>353.77499999999998</v>
      </c>
      <c r="AE98" s="1000" cm="1">
        <f t="array" aca="1" ref="AE98" ca="1">IF(NPSwitch=1,_xll.TR(AE$7,AE$6,"Sdate=#1 Period=#2 Scale=6 NULL=BLANK",,$D98,$O$4),AE98)</f>
        <v>1900.25</v>
      </c>
      <c r="AF98" s="1000" cm="1">
        <f t="array" aca="1" ref="AF98" ca="1">IF(NPSwitch=1,_xll.TR(AF$7,AF$6,"Sdate=#1 Period=#2 Scale=6 NULL=BLANK",,$D98,$O$4),AF98)</f>
        <v>941.25</v>
      </c>
      <c r="AG98" s="1000" cm="1">
        <f t="array" aca="1" ref="AG98" ca="1">IF(NPSwitch=1,_xll.TR(AG$7,AG$6,"Sdate=#1 Period=#2 Scale=6 NULL=BLANK",,$D98,$O$4),AG98)</f>
        <v>559.5</v>
      </c>
      <c r="AH98" s="998"/>
      <c r="AI98" s="1000" cm="1">
        <f t="array" aca="1" ref="AI98" ca="1">IF(NPSwitch=1,_xll.TR(AI$7,AI$6,"Sdate=#1 Period=#2 Scale=6 NULL=BLANK",,$D98,$O$4),AI98)</f>
        <v>113038.58666561999</v>
      </c>
      <c r="AJ98" s="1000" cm="1">
        <f t="array" aca="1" ref="AJ98" ca="1">IF(NPSwitch=1,_xll.TR(AJ$7,AJ$6,"Sdate=#1 Period=#2 Scale=6 NULL=BLANK",,$D98,$O$4),AJ98)</f>
        <v>16081.62399864</v>
      </c>
      <c r="AK98" s="1000" cm="1">
        <f t="array" aca="1" ref="AK98" ca="1">IF(NPSwitch=1,_xll.TR(AK$7,AK$6,"Sdate=#1 Period=#2 Scale=6 NULL=BLANK",,$D98,$O$4),AK98)</f>
        <v>6519.6035681399999</v>
      </c>
      <c r="AL98" s="1000" cm="1">
        <f t="array" aca="1" ref="AL98" ca="1">IF(NPSwitch=1,_xll.TR(AL$7,AL$6,"Sdate=#1 Period=#2 Scale=6 NULL=BLANK",,$D98,$O$4),AL98)</f>
        <v>4531.55573516</v>
      </c>
      <c r="AM98" s="1000" cm="1">
        <f t="array" aca="1" ref="AM98" ca="1">IF(NPSwitch=1,_xll.TR(AM$7,AM$6,"Sdate=#1 Period=#2 Scale=6 NULL=BLANK",,$D98,$O$4),AM98)</f>
        <v>6510.2726110499998</v>
      </c>
      <c r="AN98" s="1000" cm="1">
        <f t="array" aca="1" ref="AN98" ca="1">IF(NPSwitch=1,_xll.TR(AN$7,AN$6,"Sdate=#1 Period=#2 Scale=6 NULL=BLANK",,$D98,$O$4),AN98)</f>
        <v>17040.8272502</v>
      </c>
      <c r="AO98" s="1000" cm="1">
        <f t="array" aca="1" ref="AO98" ca="1">IF(NPSwitch=1,_xll.TR(AO$7,AO$6,"Sdate=#1 Period=#2 Scale=6 NULL=BLANK",,$D98,$O$4),AO98)</f>
        <v>37256.714835940002</v>
      </c>
      <c r="AP98" s="1000" cm="1">
        <f t="array" aca="1" ref="AP98" ca="1">IF(NPSwitch=1,_xll.TR(AP$7,AP$6,"Sdate=#1 Period=#2 Scale=6 NULL=BLANK",,$D98,$O$4),AP98)</f>
        <v>11663.618944</v>
      </c>
      <c r="AQ98" s="1000" cm="1">
        <f t="array" aca="1" ref="AQ98" ca="1">IF(NPSwitch=1,_xll.TR(AQ$7,AQ$6,"Sdate=#1 Period=#2 Scale=6 NULL=BLANK",,$D98,$O$4),AQ98)</f>
        <v>18029.982036000001</v>
      </c>
      <c r="AS98" s="765" cm="1">
        <f t="array" aca="1" ref="AS98" ca="1">IF(NPSwitch=1,_xll.TR(AS$7,AS$6,"Sdate=#1 Period=#2 NULL=BLANK Scale=6",,$D98,$AS$4),AS98)</f>
        <v>14.680555833333299</v>
      </c>
      <c r="AT98" s="765" cm="1">
        <f t="array" aca="1" ref="AT98" ca="1">IF(NPSwitch=1,_xll.TR(AT$7,AT$6,"Sdate=#1 Period=#2 NULL=BLANK Scale=6",,$D98,$AS$4),AT98)</f>
        <v>7.0333333333333297</v>
      </c>
      <c r="AU98" s="765" t="str" cm="1">
        <f t="array" aca="1" ref="AU98" ca="1">IF(NPSwitch=1,_xll.TR(AU$7,AU$6,"Sdate=#1 Period=#2 NULL=BLANK Scale=6",,$D98,$AS$4),AU98)</f>
        <v/>
      </c>
      <c r="AV98" s="765" cm="1">
        <f t="array" aca="1" ref="AV98" ca="1">IF(NPSwitch=1,_xll.TR(AV$7,AV$6,"Sdate=#1 Period=#2 NULL=BLANK Scale=6",,$D98,$AS$4),AV98)</f>
        <v>5.2583333333333302</v>
      </c>
      <c r="AW98" s="765" cm="1">
        <f t="array" aca="1" ref="AW98" ca="1">IF(NPSwitch=1,_xll.TR(AW$7,AW$6,"Sdate=#1 Period=#2 NULL=BLANK Scale=6",,$D98,$AS$4),AW98)</f>
        <v>9.1597191666666706</v>
      </c>
      <c r="AX98" s="765" cm="1">
        <f t="array" aca="1" ref="AX98" ca="1">IF(NPSwitch=1,_xll.TR(AX$7,AX$6,"Sdate=#1 Period=#2 NULL=BLANK Scale=6",,$D98,$AS$4),AX98)</f>
        <v>21.783333333333299</v>
      </c>
      <c r="AY98" s="765" cm="1">
        <f t="array" aca="1" ref="AY98" ca="1">IF(NPSwitch=1,_xll.TR(AY$7,AY$6,"Sdate=#1 Period=#2 NULL=BLANK Scale=6",,$D98,$AS$4),AY98)</f>
        <v>11.3611083333333</v>
      </c>
      <c r="AZ98" s="765" cm="1">
        <f t="array" aca="1" ref="AZ98" ca="1">IF(NPSwitch=1,_xll.TR(AZ$7,AZ$6,"Sdate=#1 Period=#2 NULL=BLANK Scale=6",,$D98,$AS$4),AZ98)</f>
        <v>5.2658333333333296</v>
      </c>
      <c r="BA98" s="765" cm="1">
        <f t="array" aca="1" ref="BA98" ca="1">IF(NPSwitch=1,_xll.TR(BA$7,BA$6,"Sdate=#1 Period=#2 NULL=BLANK Scale=6",,$D98,$AS$4),BA98)</f>
        <v>7.5430524999999999</v>
      </c>
      <c r="BB98" s="1002"/>
      <c r="BO98" s="765" cm="1">
        <f t="array" aca="1" ref="BO98" ca="1">IF(NPSwitch=1,_xll.TR(BO$7,BO$6,"Sdate=#1 Period=#2 NULL=BLANK Scale=6",,$D98,$AS$4),BO98)</f>
        <v>31712</v>
      </c>
      <c r="BP98" s="765" cm="1">
        <f t="array" aca="1" ref="BP98" ca="1">IF(NPSwitch=1,_xll.TR(BP$7,BP$6,"Sdate=#1 Period=#2 NULL=BLANK Scale=6",,$D98,$AS$4),BP98)</f>
        <v>3242.326</v>
      </c>
      <c r="BQ98" s="765" cm="1">
        <f t="array" aca="1" ref="BQ98" ca="1">IF(NPSwitch=1,_xll.TR(BQ$7,BQ$6,"Sdate=#1 Period=#2 NULL=BLANK Scale=6",,$D98,$AS$4),BQ98)</f>
        <v>2016</v>
      </c>
      <c r="BR98" s="765" cm="1">
        <f t="array" aca="1" ref="BR98" ca="1">IF(NPSwitch=1,_xll.TR(BR$7,BR$6,"Sdate=#1 Period=#2 NULL=BLANK Scale=6",,$D98,$AS$4),BR98)</f>
        <v>2903.7</v>
      </c>
      <c r="BS98" s="765" cm="1">
        <f t="array" aca="1" ref="BS98" ca="1">IF(NPSwitch=1,_xll.TR(BS$7,BS$6,"Sdate=#1 Period=#2 NULL=BLANK Scale=6",,$D98,$AS$4),BS98)</f>
        <v>6007</v>
      </c>
      <c r="BT98" s="765" cm="1">
        <f t="array" aca="1" ref="BT98" ca="1">IF(NPSwitch=1,_xll.TR(BT$7,BT$6,"Sdate=#1 Period=#2 NULL=BLANK Scale=6",,$D98,$AS$4),BT98)</f>
        <v>4687.2</v>
      </c>
      <c r="BU98" s="765" cm="1">
        <f t="array" aca="1" ref="BU98" ca="1">IF(NPSwitch=1,_xll.TR(BU$7,BU$6,"Sdate=#1 Period=#2 NULL=BLANK Scale=6",,$D98,$AS$4),BU98)</f>
        <v>13749</v>
      </c>
      <c r="BV98" s="765" cm="1">
        <f t="array" aca="1" ref="BV98" ca="1">IF(NPSwitch=1,_xll.TR(BV$7,BV$6,"Sdate=#1 Period=#2 NULL=BLANK Scale=6",,$D98,$AS$4),BV98)</f>
        <v>10006</v>
      </c>
      <c r="BW98" s="765" cm="1">
        <f t="array" aca="1" ref="BW98" ca="1">IF(NPSwitch=1,_xll.TR(BW$7,BW$6,"Sdate=#1 Period=#2 NULL=BLANK Scale=6",,$D98,$AS$4),BW98)</f>
        <v>8492</v>
      </c>
      <c r="BY98" s="765" cm="1">
        <f t="array" aca="1" ref="BY98" ca="1">IF(NPSwitch=1,_xll.TR(BY$7,BY$6,"Sdate=#1 Period=#2 NULL=BLANK Scale=6",,$D98,$AS$4),BY98)</f>
        <v>31623.25</v>
      </c>
      <c r="BZ98" s="765" cm="1">
        <f t="array" aca="1" ref="BZ98" ca="1">IF(NPSwitch=1,_xll.TR(BZ$7,BZ$6,"Sdate=#1 Period=#2 NULL=BLANK Scale=6",,$D98,$AS$4),BZ98)</f>
        <v>7485.1139999999996</v>
      </c>
      <c r="CA98" s="765" cm="1">
        <f t="array" aca="1" ref="CA98" ca="1">IF(NPSwitch=1,_xll.TR(CA$7,CA$6,"Sdate=#1 Period=#2 NULL=BLANK Scale=6",,$D98,$AS$4),CA98)</f>
        <v>5047.5</v>
      </c>
      <c r="CB98" s="765" cm="1">
        <f t="array" aca="1" ref="CB98" ca="1">IF(NPSwitch=1,_xll.TR(CB$7,CB$6,"Sdate=#1 Period=#2 NULL=BLANK Scale=6",,$D98,$AS$4),CB98)</f>
        <v>2988.2249999999999</v>
      </c>
      <c r="CC98" s="765" cm="1">
        <f t="array" aca="1" ref="CC98" ca="1">IF(NPSwitch=1,_xll.TR(CC$7,CC$6,"Sdate=#1 Period=#2 NULL=BLANK Scale=6",,$D98,$AS$4),CC98)</f>
        <v>5445.25</v>
      </c>
      <c r="CD98" s="765" cm="1">
        <f t="array" aca="1" ref="CD98" ca="1">IF(NPSwitch=1,_xll.TR(CD$7,CD$6,"Sdate=#1 Period=#2 NULL=BLANK Scale=6",,$D98,$AS$4),CD98)</f>
        <v>6220</v>
      </c>
      <c r="CE98" s="765" cm="1">
        <f t="array" aca="1" ref="CE98" ca="1">IF(NPSwitch=1,_xll.TR(CE$7,CE$6,"Sdate=#1 Period=#2 NULL=BLANK Scale=6",,$D98,$AS$4),CE98)</f>
        <v>10916.25</v>
      </c>
      <c r="CF98" s="765" cm="1">
        <f t="array" aca="1" ref="CF98" ca="1">IF(NPSwitch=1,_xll.TR(CF$7,CF$6,"Sdate=#1 Period=#2 NULL=BLANK Scale=6",,$D98,$AS$4),CF98)</f>
        <v>12680.5</v>
      </c>
      <c r="CG98" s="765" cm="1">
        <f t="array" aca="1" ref="CG98" ca="1">IF(NPSwitch=1,_xll.TR(CG$7,CG$6,"Sdate=#1 Period=#2 NULL=BLANK Scale=6",,$D98,$AS$4),CG98)</f>
        <v>12137.75</v>
      </c>
      <c r="CI98" s="1000" cm="1">
        <f t="array" aca="1" ref="CI98" ca="1">IF(NPSwitch=1,_xll.TR(CI$7,CI$6,"Sdate=#1 Period=#2 NULL=BLANK Scale=6",,$D98,$AS$4),CI98)</f>
        <v>8497</v>
      </c>
      <c r="CJ98" s="1000" cm="1">
        <f t="array" aca="1" ref="CJ98" ca="1">IF(NPSwitch=1,_xll.TR(CJ$7,CJ$6,"Sdate=#1 Period=#2 NULL=BLANK Scale=6",,$D98,$AS$4),CJ98)</f>
        <v>773.18200000000002</v>
      </c>
      <c r="CK98" s="1000" cm="1">
        <f t="array" aca="1" ref="CK98" ca="1">IF(NPSwitch=1,_xll.TR(CK$7,CK$6,"Sdate=#1 Period=#2 NULL=BLANK Scale=6",,$D98,$AS$4),CK98)</f>
        <v>402</v>
      </c>
      <c r="CL98" s="1000" cm="1">
        <f t="array" aca="1" ref="CL98" ca="1">IF(NPSwitch=1,_xll.TR(CL$7,CL$6,"Sdate=#1 Period=#2 NULL=BLANK Scale=6",,$D98,$AS$4),CL98)</f>
        <v>282.60000000000002</v>
      </c>
      <c r="CM98" s="1000" cm="1">
        <f t="array" aca="1" ref="CM98" ca="1">IF(NPSwitch=1,_xll.TR(CM$7,CM$6,"Sdate=#1 Period=#2 NULL=BLANK Scale=6",,$D98,$AS$4),CM98)</f>
        <v>470</v>
      </c>
      <c r="CN98" s="1000" cm="1">
        <f t="array" aca="1" ref="CN98" ca="1">IF(NPSwitch=1,_xll.TR(CN$7,CN$6,"Sdate=#1 Period=#2 NULL=BLANK Scale=6",,$D98,$AS$4),CN98)</f>
        <v>1169.7</v>
      </c>
      <c r="CO98" s="1000" cm="1">
        <f t="array" aca="1" ref="CO98" ca="1">IF(NPSwitch=1,_xll.TR(CO$7,CO$6,"Sdate=#1 Period=#2 NULL=BLANK Scale=6",,$D98,$AS$4),CO98)</f>
        <v>2220</v>
      </c>
      <c r="CP98" s="1000" cm="1">
        <f t="array" aca="1" ref="CP98" ca="1">IF(NPSwitch=1,_xll.TR(CP$7,CP$6,"Sdate=#1 Period=#2 NULL=BLANK Scale=6",,$D98,$AS$4),CP98)</f>
        <v>3389</v>
      </c>
      <c r="CQ98" s="1000" cm="1">
        <f t="array" aca="1" ref="CQ98" ca="1">IF(NPSwitch=1,_xll.TR(CQ$7,CQ$6,"Sdate=#1 Period=#2 NULL=BLANK Scale=6",,$D98,$AS$4),CQ98)</f>
        <v>1738</v>
      </c>
      <c r="CS98" s="1000" cm="1">
        <f t="array" aca="1" ref="CS98" ca="1">IF(NPSwitch=1,_xll.TR(CS$7,CS$6,"Sdate=#1 Period=#2 NULL=BLANK Scale=6",,$D98,$AS$4),CS98)</f>
        <v>10048.5</v>
      </c>
      <c r="CT98" s="1000" cm="1">
        <f t="array" aca="1" ref="CT98" ca="1">IF(NPSwitch=1,_xll.TR(CT$7,CT$6,"Sdate=#1 Period=#2 NULL=BLANK Scale=6",,$D98,$AS$4),CT98)</f>
        <v>5214.8002500000002</v>
      </c>
      <c r="CU98" s="1000" cm="1">
        <f t="array" aca="1" ref="CU98" ca="1">IF(NPSwitch=1,_xll.TR(CU$7,CU$6,"Sdate=#1 Period=#2 NULL=BLANK Scale=6",,$D98,$AS$4),CU98)</f>
        <v>1709</v>
      </c>
      <c r="CV98" s="1000" cm="1">
        <f t="array" aca="1" ref="CV98" ca="1">IF(NPSwitch=1,_xll.TR(CV$7,CV$6,"Sdate=#1 Period=#2 NULL=BLANK Scale=6",,$D98,$AS$4),CV98)</f>
        <v>538.17499999999995</v>
      </c>
      <c r="CW98" s="1000" cm="1">
        <f t="array" aca="1" ref="CW98" ca="1">IF(NPSwitch=1,_xll.TR(CW$7,CW$6,"Sdate=#1 Period=#2 NULL=BLANK Scale=6",,$D98,$AS$4),CW98)</f>
        <v>897.02499999999998</v>
      </c>
      <c r="CX98" s="1000" cm="1">
        <f t="array" aca="1" ref="CX98" ca="1">IF(NPSwitch=1,_xll.TR(CX$7,CX$6,"Sdate=#1 Period=#2 NULL=BLANK Scale=6",,$D98,$AS$4),CX98)</f>
        <v>3707.25</v>
      </c>
      <c r="CY98" s="1000" cm="1">
        <f t="array" aca="1" ref="CY98" ca="1">IF(NPSwitch=1,_xll.TR(CY$7,CY$6,"Sdate=#1 Period=#2 NULL=BLANK Scale=6",,$D98,$AS$4),CY98)</f>
        <v>5618.5</v>
      </c>
      <c r="CZ98" s="1000" cm="1">
        <f t="array" aca="1" ref="CZ98" ca="1">IF(NPSwitch=1,_xll.TR(CZ$7,CZ$6,"Sdate=#1 Period=#2 NULL=BLANK Scale=6",,$D98,$AS$4),CZ98)</f>
        <v>5693.5</v>
      </c>
      <c r="DA98" s="1000" cm="1">
        <f t="array" aca="1" ref="DA98" ca="1">IF(NPSwitch=1,_xll.TR(DA$7,DA$6,"Sdate=#1 Period=#2 NULL=BLANK Scale=6",,$D98,$AS$4),DA98)</f>
        <v>3945.5</v>
      </c>
      <c r="DB98" s="1000" cm="1">
        <f t="array" aca="1" ref="DB98" ca="1">IF(NPSwitch=1,_xll.TR(DB$7,DB$6,"Sdate=#1 Period=#2 NULL=BLANK Scale=6",,$D98,$AS$4),DB98)</f>
        <v>21343.5</v>
      </c>
      <c r="DC98" s="1000" cm="1">
        <f t="array" aca="1" ref="DC98" ca="1">IF(NPSwitch=1,_xll.TR(DC$7,DC$6,"Sdate=#1 Period=#2 NULL=BLANK Scale=6",,$D98,$AS$4),DC98)</f>
        <v>22634.25</v>
      </c>
      <c r="DD98" s="1000" cm="1">
        <f t="array" aca="1" ref="DD98" ca="1">IF(NPSwitch=1,_xll.TR(DD$7,DD$6,"Sdate=#1 Period=#2 NULL=BLANK Scale=6",,$D98,$AS$4),DD98)</f>
        <v>15727</v>
      </c>
      <c r="DE98" s="1000" cm="1">
        <f t="array" aca="1" ref="DE98" ca="1">IF(NPSwitch=1,_xll.TR(DE$7,DE$6,"Sdate=#1 Period=#2 NULL=BLANK Scale=6",,$D98,$AS$4),DE98)</f>
        <v>10498</v>
      </c>
      <c r="DF98" s="1000" cm="1">
        <f t="array" aca="1" ref="DF98" ca="1">IF(NPSwitch=1,_xll.TR(DF$7,DF$6,"Sdate=#1 Period=#2 NULL=BLANK Scale=6",,$D98,$AS$4),DF98)</f>
        <v>538.17499999999995</v>
      </c>
      <c r="DG98" s="1000" cm="1">
        <f t="array" aca="1" ref="DG98" ca="1">IF(NPSwitch=1,_xll.TR(DG$7,DG$6,"Sdate=#1 Period=#2 NULL=BLANK Scale=6",,$D98,$AS$4),DG98)</f>
        <v>2824.75</v>
      </c>
      <c r="DH98" s="1000" cm="1">
        <f t="array" aca="1" ref="DH98" ca="1">IF(NPSwitch=1,_xll.TR(DH$7,DH$6,"Sdate=#1 Period=#2 NULL=BLANK Scale=6",,$D98,$AS$4),DH98)</f>
        <v>7333</v>
      </c>
    </row>
    <row r="99" spans="3:112">
      <c r="C99" s="969">
        <f t="shared" si="47"/>
        <v>44196</v>
      </c>
      <c r="D99" s="974">
        <f t="shared" si="46"/>
        <v>44241</v>
      </c>
      <c r="E99" s="765" cm="1">
        <f t="array" aca="1" ref="E99" ca="1">IF(NPSwitch=1,_xll.TR(E$7,E$6,"Sdate=#1 Period=#2 NULL=BLANK",,$D99,$E$4),E99)</f>
        <v>12.3292021893394</v>
      </c>
      <c r="F99" s="765" cm="1">
        <f t="array" aca="1" ref="F99" ca="1">IF(NPSwitch=1,_xll.TR(F$7,F$6,"Sdate=#1 Period=#2 NULL=BLANK",,$D99,$E$4),F99)</f>
        <v>25.3564235770361</v>
      </c>
      <c r="G99" s="765" cm="1">
        <f t="array" aca="1" ref="G99" ca="1">IF(NPSwitch=1,_xll.TR(G$7,G$6,"Sdate=#1 Period=#2 NULL=BLANK",,$D99,$E$4),G99)</f>
        <v>10.554325660159501</v>
      </c>
      <c r="H99" s="765" cm="1">
        <f t="array" aca="1" ref="H99" ca="1">IF(NPSwitch=1,_xll.TR(H$7,H$6,"Sdate=#1 Period=#2 NULL=BLANK",,$D99,$E$4),H99)</f>
        <v>10.3904782137223</v>
      </c>
      <c r="I99" s="765" cm="1">
        <f t="array" aca="1" ref="I99" ca="1">IF(NPSwitch=1,_xll.TR(I$7,I$6,"Sdate=#1 Period=#2 NULL=BLANK",,$D99,$E$4),I99)</f>
        <v>7.8854594778868004</v>
      </c>
      <c r="J99" s="765" cm="1">
        <f t="array" aca="1" ref="J99" ca="1">IF(NPSwitch=1,_xll.TR(J$7,J$6,"Sdate=#1 Period=#2 NULL=BLANK",,$D99,$E$4),J99)</f>
        <v>12.1292066819732</v>
      </c>
      <c r="K99" s="765" cm="1">
        <f t="array" aca="1" ref="K99" ca="1">IF(NPSwitch=1,_xll.TR(K$7,K$6,"Sdate=#1 Period=#2 NULL=BLANK",,$D99,$E$4),K99)</f>
        <v>12.5454715328768</v>
      </c>
      <c r="L99" s="765" cm="1">
        <f t="array" aca="1" ref="L99" ca="1">IF(NPSwitch=1,_xll.TR(L$7,L$6,"Sdate=#1 Period=#2 NULL=BLANK",,$D99,$E$4),L99)</f>
        <v>6.2284241590031302</v>
      </c>
      <c r="M99" s="765" cm="1">
        <f t="array" aca="1" ref="M99" ca="1">IF(NPSwitch=1,_xll.TR(M$7,M$6,"Sdate=#1 Period=#2 NULL=BLANK",,$D99,$E$4),M99)</f>
        <v>9.8442805486113105</v>
      </c>
      <c r="N99" s="1002">
        <f t="shared" ca="1" si="48"/>
        <v>9.9555609542702879</v>
      </c>
      <c r="O99" s="1000" cm="1">
        <f t="array" aca="1" ref="O99" ca="1">IF(NPSwitch=1,_xll.TR(O$7,O$6,"Sdate=#1 Period=#2 Scale=6 NULL=BLANK",,$D99,$O$4),O99)</f>
        <v>103485.17</v>
      </c>
      <c r="P99" s="1000" cm="1">
        <f t="array" aca="1" ref="P99" ca="1">IF(NPSwitch=1,_xll.TR(P$7,P$6,"Sdate=#1 Period=#2 Scale=6 NULL=BLANK",,$D99,$O$4),P99)</f>
        <v>19202.36475696</v>
      </c>
      <c r="Q99" s="1000" cm="1">
        <f t="array" aca="1" ref="Q99" ca="1">IF(NPSwitch=1,_xll.TR(Q$7,Q$6,"Sdate=#1 Period=#2 Scale=6 NULL=BLANK",,$D99,$O$4),Q99)</f>
        <v>5236.80893216</v>
      </c>
      <c r="R99" s="1000" cm="1">
        <f t="array" aca="1" ref="R99" ca="1">IF(NPSwitch=1,_xll.TR(R$7,R$6,"Sdate=#1 Period=#2 Scale=6 NULL=BLANK",,$D99,$O$4),R99)</f>
        <v>4032.4289479600002</v>
      </c>
      <c r="S99" s="1000" cm="1">
        <f t="array" aca="1" ref="S99" ca="1">IF(NPSwitch=1,_xll.TR(S$7,S$6,"Sdate=#1 Period=#2 Scale=6 NULL=BLANK",,$D99,$O$4),S99)</f>
        <v>6302.9330051200004</v>
      </c>
      <c r="T99" s="1000" cm="1">
        <f t="array" aca="1" ref="T99" ca="1">IF(NPSwitch=1,_xll.TR(T$7,T$6,"Sdate=#1 Period=#2 Scale=6 NULL=BLANK",,$D99,$O$4),T99)</f>
        <v>13928.793817440001</v>
      </c>
      <c r="U99" s="1000" cm="1">
        <f t="array" aca="1" ref="U99" ca="1">IF(NPSwitch=1,_xll.TR(U$7,U$6,"Sdate=#1 Period=#2 Scale=6 NULL=BLANK",,$D99,$O$4),U99)</f>
        <v>32807.095860250003</v>
      </c>
      <c r="V99" s="1000" cm="1">
        <f t="array" aca="1" ref="V99" ca="1">IF(NPSwitch=1,_xll.TR(V$7,V$6,"Sdate=#1 Period=#2 Scale=6 NULL=BLANK",,$D99,$O$4),V99)</f>
        <v>10134.49053952</v>
      </c>
      <c r="W99" s="1000" cm="1">
        <f t="array" aca="1" ref="W99" ca="1">IF(NPSwitch=1,_xll.TR(W$7,W$6,"Sdate=#1 Period=#2 Scale=6 NULL=BLANK",,$D99,$O$4),W99)</f>
        <v>14840.19031242</v>
      </c>
      <c r="X99" s="998"/>
      <c r="Y99" s="1000" cm="1">
        <f t="array" aca="1" ref="Y99" ca="1">IF(NPSwitch=1,_xll.TR(Y$7,Y$6,"Sdate=#1 Period=#2 Scale=6 NULL=BLANK",,$D99,$O$4),Y99)</f>
        <v>4635.5</v>
      </c>
      <c r="Z99" s="1000" cm="1">
        <f t="array" aca="1" ref="Z99" ca="1">IF(NPSwitch=1,_xll.TR(Z$7,Z$6,"Sdate=#1 Period=#2 Scale=6 NULL=BLANK",,$D99,$O$4),Z99)</f>
        <v>651.27674999999999</v>
      </c>
      <c r="AA99" s="1000" cm="1">
        <f t="array" aca="1" ref="AA99" ca="1">IF(NPSwitch=1,_xll.TR(AA$7,AA$6,"Sdate=#1 Period=#2 Scale=6 NULL=BLANK",,$D99,$O$4),AA99)</f>
        <v>389.5</v>
      </c>
      <c r="AB99" s="1000" cm="1">
        <f t="array" aca="1" ref="AB99" ca="1">IF(NPSwitch=1,_xll.TR(AB$7,AB$6,"Sdate=#1 Period=#2 Scale=6 NULL=BLANK",,$D99,$O$4),AB99)</f>
        <v>1121</v>
      </c>
      <c r="AC99" s="1000" cm="1">
        <f t="array" aca="1" ref="AC99" ca="1">IF(NPSwitch=1,_xll.TR(AC$7,AC$6,"Sdate=#1 Period=#2 Scale=6 NULL=BLANK",,$D99,$O$4),AC99)</f>
        <v>1402.25</v>
      </c>
      <c r="AD99" s="1000" cm="1">
        <f t="array" aca="1" ref="AD99" ca="1">IF(NPSwitch=1,_xll.TR(AD$7,AD$6,"Sdate=#1 Period=#2 Scale=6 NULL=BLANK",,$D99,$O$4),AD99)</f>
        <v>411.22500000000002</v>
      </c>
      <c r="AE99" s="1000" cm="1">
        <f t="array" aca="1" ref="AE99" ca="1">IF(NPSwitch=1,_xll.TR(AE$7,AE$6,"Sdate=#1 Period=#2 Scale=6 NULL=BLANK",,$D99,$O$4),AE99)</f>
        <v>2062.5</v>
      </c>
      <c r="AF99" s="1000" cm="1">
        <f t="array" aca="1" ref="AF99" ca="1">IF(NPSwitch=1,_xll.TR(AF$7,AF$6,"Sdate=#1 Period=#2 Scale=6 NULL=BLANK",,$D99,$O$4),AF99)</f>
        <v>941.25</v>
      </c>
      <c r="AG99" s="1000" cm="1">
        <f t="array" aca="1" ref="AG99" ca="1">IF(NPSwitch=1,_xll.TR(AG$7,AG$6,"Sdate=#1 Period=#2 Scale=6 NULL=BLANK",,$D99,$O$4),AG99)</f>
        <v>649.5</v>
      </c>
      <c r="AH99" s="998"/>
      <c r="AI99" s="1000" cm="1">
        <f t="array" aca="1" ref="AI99" ca="1">IF(NPSwitch=1,_xll.TR(AI$7,AI$6,"Sdate=#1 Period=#2 Scale=6 NULL=BLANK",,$D99,$O$4),AI99)</f>
        <v>117421.17</v>
      </c>
      <c r="AJ99" s="1000" cm="1">
        <f t="array" aca="1" ref="AJ99" ca="1">IF(NPSwitch=1,_xll.TR(AJ$7,AJ$6,"Sdate=#1 Period=#2 Scale=6 NULL=BLANK",,$D99,$O$4),AJ99)</f>
        <v>22245.111756959999</v>
      </c>
      <c r="AK99" s="1000" cm="1">
        <f t="array" aca="1" ref="AK99" ca="1">IF(NPSwitch=1,_xll.TR(AK$7,AK$6,"Sdate=#1 Period=#2 Scale=6 NULL=BLANK",,$D99,$O$4),AK99)</f>
        <v>6595.80893216</v>
      </c>
      <c r="AL99" s="1000" cm="1">
        <f t="array" aca="1" ref="AL99" ca="1">IF(NPSwitch=1,_xll.TR(AL$7,AL$6,"Sdate=#1 Period=#2 Scale=6 NULL=BLANK",,$D99,$O$4),AL99)</f>
        <v>5343.12894796</v>
      </c>
      <c r="AM99" s="1000" cm="1">
        <f t="array" aca="1" ref="AM99" ca="1">IF(NPSwitch=1,_xll.TR(AM$7,AM$6,"Sdate=#1 Period=#2 Scale=6 NULL=BLANK",,$D99,$O$4),AM99)</f>
        <v>7436.9330051200004</v>
      </c>
      <c r="AN99" s="1000" cm="1">
        <f t="array" aca="1" ref="AN99" ca="1">IF(NPSwitch=1,_xll.TR(AN$7,AN$6,"Sdate=#1 Period=#2 Scale=6 NULL=BLANK",,$D99,$O$4),AN99)</f>
        <v>16877.993817440001</v>
      </c>
      <c r="AO99" s="1000" cm="1">
        <f t="array" aca="1" ref="AO99" ca="1">IF(NPSwitch=1,_xll.TR(AO$7,AO$6,"Sdate=#1 Period=#2 Scale=6 NULL=BLANK",,$D99,$O$4),AO99)</f>
        <v>36329.095860250003</v>
      </c>
      <c r="AP99" s="1000" cm="1">
        <f t="array" aca="1" ref="AP99" ca="1">IF(NPSwitch=1,_xll.TR(AP$7,AP$6,"Sdate=#1 Period=#2 Scale=6 NULL=BLANK",,$D99,$O$4),AP99)</f>
        <v>12904.49053952</v>
      </c>
      <c r="AQ99" s="1000" cm="1">
        <f t="array" aca="1" ref="AQ99" ca="1">IF(NPSwitch=1,_xll.TR(AQ$7,AQ$6,"Sdate=#1 Period=#2 Scale=6 NULL=BLANK",,$D99,$O$4),AQ99)</f>
        <v>20136.19031242</v>
      </c>
      <c r="AS99" s="765" cm="1">
        <f t="array" aca="1" ref="AS99" ca="1">IF(NPSwitch=1,_xll.TR(AS$7,AS$6,"Sdate=#1 Period=#2 NULL=BLANK Scale=6",,$D99,$AS$4),AS99)</f>
        <v>14.55</v>
      </c>
      <c r="AT99" s="765" cm="1">
        <f t="array" aca="1" ref="AT99" ca="1">IF(NPSwitch=1,_xll.TR(AT$7,AT$6,"Sdate=#1 Period=#2 NULL=BLANK Scale=6",,$D99,$AS$4),AT99)</f>
        <v>6.2611083333333299</v>
      </c>
      <c r="AU99" s="765" t="str" cm="1">
        <f t="array" aca="1" ref="AU99" ca="1">IF(NPSwitch=1,_xll.TR(AU$7,AU$6,"Sdate=#1 Period=#2 NULL=BLANK Scale=6",,$D99,$AS$4),AU99)</f>
        <v/>
      </c>
      <c r="AV99" s="765" cm="1">
        <f t="array" aca="1" ref="AV99" ca="1">IF(NPSwitch=1,_xll.TR(AV$7,AV$6,"Sdate=#1 Period=#2 NULL=BLANK Scale=6",,$D99,$AS$4),AV99)</f>
        <v>5.5166666666666702</v>
      </c>
      <c r="AW99" s="765" cm="1">
        <f t="array" aca="1" ref="AW99" ca="1">IF(NPSwitch=1,_xll.TR(AW$7,AW$6,"Sdate=#1 Period=#2 NULL=BLANK Scale=6",,$D99,$AS$4),AW99)</f>
        <v>9.4499999999999993</v>
      </c>
      <c r="AX99" s="765" cm="1">
        <f t="array" aca="1" ref="AX99" ca="1">IF(NPSwitch=1,_xll.TR(AX$7,AX$6,"Sdate=#1 Period=#2 NULL=BLANK Scale=6",,$D99,$AS$4),AX99)</f>
        <v>20.716666666666701</v>
      </c>
      <c r="AY99" s="765" cm="1">
        <f t="array" aca="1" ref="AY99" ca="1">IF(NPSwitch=1,_xll.TR(AY$7,AY$6,"Sdate=#1 Period=#2 NULL=BLANK Scale=6",,$D99,$AS$4),AY99)</f>
        <v>11.577775000000001</v>
      </c>
      <c r="AZ99" s="765" cm="1">
        <f t="array" aca="1" ref="AZ99" ca="1">IF(NPSwitch=1,_xll.TR(AZ$7,AZ$6,"Sdate=#1 Period=#2 NULL=BLANK Scale=6",,$D99,$AS$4),AZ99)</f>
        <v>8.7333333333333307</v>
      </c>
      <c r="BA99" s="765" cm="1">
        <f t="array" aca="1" ref="BA99" ca="1">IF(NPSwitch=1,_xll.TR(BA$7,BA$6,"Sdate=#1 Period=#2 NULL=BLANK Scale=6",,$D99,$AS$4),BA99)</f>
        <v>7.8388866666666699</v>
      </c>
      <c r="BB99" s="1002"/>
      <c r="BO99" s="765" cm="1">
        <f t="array" aca="1" ref="BO99" ca="1">IF(NPSwitch=1,_xll.TR(BO$7,BO$6,"Sdate=#1 Period=#2 NULL=BLANK Scale=6",,$D99,$AS$4),BO99)</f>
        <v>32184</v>
      </c>
      <c r="BP99" s="765" cm="1">
        <f t="array" aca="1" ref="BP99" ca="1">IF(NPSwitch=1,_xll.TR(BP$7,BP$6,"Sdate=#1 Period=#2 NULL=BLANK Scale=6",,$D99,$AS$4),BP99)</f>
        <v>3242.326</v>
      </c>
      <c r="BQ99" s="765" cm="1">
        <f t="array" aca="1" ref="BQ99" ca="1">IF(NPSwitch=1,_xll.TR(BQ$7,BQ$6,"Sdate=#1 Period=#2 NULL=BLANK Scale=6",,$D99,$AS$4),BQ99)</f>
        <v>1951</v>
      </c>
      <c r="BR99" s="765" cm="1">
        <f t="array" aca="1" ref="BR99" ca="1">IF(NPSwitch=1,_xll.TR(BR$7,BR$6,"Sdate=#1 Period=#2 NULL=BLANK Scale=6",,$D99,$AS$4),BR99)</f>
        <v>3242.1</v>
      </c>
      <c r="BS99" s="765" cm="1">
        <f t="array" aca="1" ref="BS99" ca="1">IF(NPSwitch=1,_xll.TR(BS$7,BS$6,"Sdate=#1 Period=#2 NULL=BLANK Scale=6",,$D99,$AS$4),BS99)</f>
        <v>6018</v>
      </c>
      <c r="BT99" s="765" cm="1">
        <f t="array" aca="1" ref="BT99" ca="1">IF(NPSwitch=1,_xll.TR(BT$7,BT$6,"Sdate=#1 Period=#2 NULL=BLANK Scale=6",,$D99,$AS$4),BT99)</f>
        <v>4642.1000000000004</v>
      </c>
      <c r="BU99" s="765" cm="1">
        <f t="array" aca="1" ref="BU99" ca="1">IF(NPSwitch=1,_xll.TR(BU$7,BU$6,"Sdate=#1 Period=#2 NULL=BLANK Scale=6",,$D99,$AS$4),BU99)</f>
        <v>13834</v>
      </c>
      <c r="BV99" s="765" cm="1">
        <f t="array" aca="1" ref="BV99" ca="1">IF(NPSwitch=1,_xll.TR(BV$7,BV$6,"Sdate=#1 Period=#2 NULL=BLANK Scale=6",,$D99,$AS$4),BV99)</f>
        <v>10006</v>
      </c>
      <c r="BW99" s="765" cm="1">
        <f t="array" aca="1" ref="BW99" ca="1">IF(NPSwitch=1,_xll.TR(BW$7,BW$6,"Sdate=#1 Period=#2 NULL=BLANK Scale=6",,$D99,$AS$4),BW99)</f>
        <v>8473</v>
      </c>
      <c r="BY99" s="765" cm="1">
        <f t="array" aca="1" ref="BY99" ca="1">IF(NPSwitch=1,_xll.TR(BY$7,BY$6,"Sdate=#1 Period=#2 NULL=BLANK Scale=6",,$D99,$AS$4),BY99)</f>
        <v>31912</v>
      </c>
      <c r="BZ99" s="765" cm="1">
        <f t="array" aca="1" ref="BZ99" ca="1">IF(NPSwitch=1,_xll.TR(BZ$7,BZ$6,"Sdate=#1 Period=#2 NULL=BLANK Scale=6",,$D99,$AS$4),BZ99)</f>
        <v>7485.1139999999996</v>
      </c>
      <c r="CA99" s="765" cm="1">
        <f t="array" aca="1" ref="CA99" ca="1">IF(NPSwitch=1,_xll.TR(CA$7,CA$6,"Sdate=#1 Period=#2 NULL=BLANK Scale=6",,$D99,$AS$4),CA99)</f>
        <v>4925</v>
      </c>
      <c r="CB99" s="765" cm="1">
        <f t="array" aca="1" ref="CB99" ca="1">IF(NPSwitch=1,_xll.TR(CB$7,CB$6,"Sdate=#1 Period=#2 NULL=BLANK Scale=6",,$D99,$AS$4),CB99)</f>
        <v>3313.8</v>
      </c>
      <c r="CC99" s="765" cm="1">
        <f t="array" aca="1" ref="CC99" ca="1">IF(NPSwitch=1,_xll.TR(CC$7,CC$6,"Sdate=#1 Period=#2 NULL=BLANK Scale=6",,$D99,$AS$4),CC99)</f>
        <v>5590.5</v>
      </c>
      <c r="CD99" s="765" cm="1">
        <f t="array" aca="1" ref="CD99" ca="1">IF(NPSwitch=1,_xll.TR(CD$7,CD$6,"Sdate=#1 Period=#2 NULL=BLANK Scale=6",,$D99,$AS$4),CD99)</f>
        <v>6327.95</v>
      </c>
      <c r="CE99" s="765" cm="1">
        <f t="array" aca="1" ref="CE99" ca="1">IF(NPSwitch=1,_xll.TR(CE$7,CE$6,"Sdate=#1 Period=#2 NULL=BLANK Scale=6",,$D99,$AS$4),CE99)</f>
        <v>11193.5</v>
      </c>
      <c r="CF99" s="765" cm="1">
        <f t="array" aca="1" ref="CF99" ca="1">IF(NPSwitch=1,_xll.TR(CF$7,CF$6,"Sdate=#1 Period=#2 NULL=BLANK Scale=6",,$D99,$AS$4),CF99)</f>
        <v>12680.5</v>
      </c>
      <c r="CG99" s="765" cm="1">
        <f t="array" aca="1" ref="CG99" ca="1">IF(NPSwitch=1,_xll.TR(CG$7,CG$6,"Sdate=#1 Period=#2 NULL=BLANK Scale=6",,$D99,$AS$4),CG99)</f>
        <v>12116</v>
      </c>
      <c r="CI99" s="1000" cm="1">
        <f t="array" aca="1" ref="CI99" ca="1">IF(NPSwitch=1,_xll.TR(CI$7,CI$6,"Sdate=#1 Period=#2 NULL=BLANK Scale=6",,$D99,$AS$4),CI99)</f>
        <v>8941</v>
      </c>
      <c r="CJ99" s="1000" cm="1">
        <f t="array" aca="1" ref="CJ99" ca="1">IF(NPSwitch=1,_xll.TR(CJ$7,CJ$6,"Sdate=#1 Period=#2 NULL=BLANK Scale=6",,$D99,$AS$4),CJ99)</f>
        <v>773.18200000000002</v>
      </c>
      <c r="CK99" s="1000" cm="1">
        <f t="array" aca="1" ref="CK99" ca="1">IF(NPSwitch=1,_xll.TR(CK$7,CK$6,"Sdate=#1 Period=#2 NULL=BLANK Scale=6",,$D99,$AS$4),CK99)</f>
        <v>420</v>
      </c>
      <c r="CL99" s="1000" cm="1">
        <f t="array" aca="1" ref="CL99" ca="1">IF(NPSwitch=1,_xll.TR(CL$7,CL$6,"Sdate=#1 Period=#2 NULL=BLANK Scale=6",,$D99,$AS$4),CL99)</f>
        <v>352.5</v>
      </c>
      <c r="CM99" s="1000" cm="1">
        <f t="array" aca="1" ref="CM99" ca="1">IF(NPSwitch=1,_xll.TR(CM$7,CM$6,"Sdate=#1 Period=#2 NULL=BLANK Scale=6",,$D99,$AS$4),CM99)</f>
        <v>521</v>
      </c>
      <c r="CN99" s="1000" cm="1">
        <f t="array" aca="1" ref="CN99" ca="1">IF(NPSwitch=1,_xll.TR(CN$7,CN$6,"Sdate=#1 Period=#2 NULL=BLANK Scale=6",,$D99,$AS$4),CN99)</f>
        <v>1226.4000000000001</v>
      </c>
      <c r="CO99" s="1000" cm="1">
        <f t="array" aca="1" ref="CO99" ca="1">IF(NPSwitch=1,_xll.TR(CO$7,CO$6,"Sdate=#1 Period=#2 NULL=BLANK Scale=6",,$D99,$AS$4),CO99)</f>
        <v>2285</v>
      </c>
      <c r="CP99" s="1000" cm="1">
        <f t="array" aca="1" ref="CP99" ca="1">IF(NPSwitch=1,_xll.TR(CP$7,CP$6,"Sdate=#1 Period=#2 NULL=BLANK Scale=6",,$D99,$AS$4),CP99)</f>
        <v>3389</v>
      </c>
      <c r="CQ99" s="1000" cm="1">
        <f t="array" aca="1" ref="CQ99" ca="1">IF(NPSwitch=1,_xll.TR(CQ$7,CQ$6,"Sdate=#1 Period=#2 NULL=BLANK Scale=6",,$D99,$AS$4),CQ99)</f>
        <v>1538</v>
      </c>
      <c r="CS99" s="1000" cm="1">
        <f t="array" aca="1" ref="CS99" ca="1">IF(NPSwitch=1,_xll.TR(CS$7,CS$6,"Sdate=#1 Period=#2 NULL=BLANK Scale=6",,$D99,$AS$4),CS99)</f>
        <v>10072</v>
      </c>
      <c r="CT99" s="1000" cm="1">
        <f t="array" aca="1" ref="CT99" ca="1">IF(NPSwitch=1,_xll.TR(CT$7,CT$6,"Sdate=#1 Period=#2 NULL=BLANK Scale=6",,$D99,$AS$4),CT99)</f>
        <v>5214.8002500000002</v>
      </c>
      <c r="CU99" s="1000" cm="1">
        <f t="array" aca="1" ref="CU99" ca="1">IF(NPSwitch=1,_xll.TR(CU$7,CU$6,"Sdate=#1 Period=#2 NULL=BLANK Scale=6",,$D99,$AS$4),CU99)</f>
        <v>1700.75</v>
      </c>
      <c r="CV99" s="1000" cm="1">
        <f t="array" aca="1" ref="CV99" ca="1">IF(NPSwitch=1,_xll.TR(CV$7,CV$6,"Sdate=#1 Period=#2 NULL=BLANK Scale=6",,$D99,$AS$4),CV99)</f>
        <v>614.32500000000005</v>
      </c>
      <c r="CW99" s="1000" cm="1">
        <f t="array" aca="1" ref="CW99" ca="1">IF(NPSwitch=1,_xll.TR(CW$7,CW$6,"Sdate=#1 Period=#2 NULL=BLANK Scale=6",,$D99,$AS$4),CW99)</f>
        <v>896.1</v>
      </c>
      <c r="CX99" s="1000" cm="1">
        <f t="array" aca="1" ref="CX99" ca="1">IF(NPSwitch=1,_xll.TR(CX$7,CX$6,"Sdate=#1 Period=#2 NULL=BLANK Scale=6",,$D99,$AS$4),CX99)</f>
        <v>3759.5</v>
      </c>
      <c r="CY99" s="1000" cm="1">
        <f t="array" aca="1" ref="CY99" ca="1">IF(NPSwitch=1,_xll.TR(CY$7,CY$6,"Sdate=#1 Period=#2 NULL=BLANK Scale=6",,$D99,$AS$4),CY99)</f>
        <v>5618.5</v>
      </c>
      <c r="CZ99" s="1000" cm="1">
        <f t="array" aca="1" ref="CZ99" ca="1">IF(NPSwitch=1,_xll.TR(CZ$7,CZ$6,"Sdate=#1 Period=#2 NULL=BLANK Scale=6",,$D99,$AS$4),CZ99)</f>
        <v>5682.75</v>
      </c>
      <c r="DA99" s="1000" cm="1">
        <f t="array" aca="1" ref="DA99" ca="1">IF(NPSwitch=1,_xll.TR(DA$7,DA$6,"Sdate=#1 Period=#2 NULL=BLANK Scale=6",,$D99,$AS$4),DA99)</f>
        <v>4009.25</v>
      </c>
      <c r="DB99" s="1000" cm="1">
        <f t="array" aca="1" ref="DB99" ca="1">IF(NPSwitch=1,_xll.TR(DB$7,DB$6,"Sdate=#1 Period=#2 NULL=BLANK Scale=6",,$D99,$AS$4),DB99)</f>
        <v>20807.25</v>
      </c>
      <c r="DC99" s="1000" cm="1">
        <f t="array" aca="1" ref="DC99" ca="1">IF(NPSwitch=1,_xll.TR(DC$7,DC$6,"Sdate=#1 Period=#2 NULL=BLANK Scale=6",,$D99,$AS$4),DC99)</f>
        <v>22391</v>
      </c>
      <c r="DD99" s="1000" cm="1">
        <f t="array" aca="1" ref="DD99" ca="1">IF(NPSwitch=1,_xll.TR(DD$7,DD$6,"Sdate=#1 Period=#2 NULL=BLANK Scale=6",,$D99,$AS$4),DD99)</f>
        <v>15797</v>
      </c>
      <c r="DE99" s="1000" cm="1">
        <f t="array" aca="1" ref="DE99" ca="1">IF(NPSwitch=1,_xll.TR(DE$7,DE$6,"Sdate=#1 Period=#2 NULL=BLANK Scale=6",,$D99,$AS$4),DE99)</f>
        <v>9645.75</v>
      </c>
      <c r="DF99" s="1000" cm="1">
        <f t="array" aca="1" ref="DF99" ca="1">IF(NPSwitch=1,_xll.TR(DF$7,DF$6,"Sdate=#1 Period=#2 NULL=BLANK Scale=6",,$D99,$AS$4),DF99)</f>
        <v>614.32500000000005</v>
      </c>
      <c r="DG99" s="1000" cm="1">
        <f t="array" aca="1" ref="DG99" ca="1">IF(NPSwitch=1,_xll.TR(DG$7,DG$6,"Sdate=#1 Period=#2 NULL=BLANK Scale=6",,$D99,$AS$4),DG99)</f>
        <v>2867.5</v>
      </c>
      <c r="DH99" s="1000" cm="1">
        <f t="array" aca="1" ref="DH99" ca="1">IF(NPSwitch=1,_xll.TR(DH$7,DH$6,"Sdate=#1 Period=#2 NULL=BLANK Scale=6",,$D99,$AS$4),DH99)</f>
        <v>7333</v>
      </c>
    </row>
    <row r="100" spans="3:112">
      <c r="C100" s="969">
        <f t="shared" si="47"/>
        <v>44286</v>
      </c>
      <c r="D100" s="974">
        <f t="shared" si="46"/>
        <v>44331</v>
      </c>
      <c r="E100" s="765" cm="1">
        <f t="array" aca="1" ref="E100" ca="1">IF(NPSwitch=1,_xll.TR(E$7,E$6,"Sdate=#1 Period=#2 NULL=BLANK",,$D100,$E$4),E100)</f>
        <v>13.526199080783901</v>
      </c>
      <c r="F100" s="765" cm="1">
        <f t="array" aca="1" ref="F100" ca="1">IF(NPSwitch=1,_xll.TR(F$7,F$6,"Sdate=#1 Period=#2 NULL=BLANK",,$D100,$E$4),F100)</f>
        <v>22.432749478160598</v>
      </c>
      <c r="G100" s="765" cm="1">
        <f t="array" aca="1" ref="G100" ca="1">IF(NPSwitch=1,_xll.TR(G$7,G$6,"Sdate=#1 Period=#2 NULL=BLANK",,$D100,$E$4),G100)</f>
        <v>10.472445187584</v>
      </c>
      <c r="H100" s="765" cm="1">
        <f t="array" aca="1" ref="H100" ca="1">IF(NPSwitch=1,_xll.TR(H$7,H$6,"Sdate=#1 Period=#2 NULL=BLANK",,$D100,$E$4),H100)</f>
        <v>10.663492570231901</v>
      </c>
      <c r="I100" s="765" cm="1">
        <f t="array" aca="1" ref="I100" ca="1">IF(NPSwitch=1,_xll.TR(I$7,I$6,"Sdate=#1 Period=#2 NULL=BLANK",,$D100,$E$4),I100)</f>
        <v>6.8020072407491901</v>
      </c>
      <c r="J100" s="765" cm="1">
        <f t="array" aca="1" ref="J100" ca="1">IF(NPSwitch=1,_xll.TR(J$7,J$6,"Sdate=#1 Period=#2 NULL=BLANK",,$D100,$E$4),J100)</f>
        <v>12.934630151637</v>
      </c>
      <c r="K100" s="765" cm="1">
        <f t="array" aca="1" ref="K100" ca="1">IF(NPSwitch=1,_xll.TR(K$7,K$6,"Sdate=#1 Period=#2 NULL=BLANK",,$D100,$E$4),K100)</f>
        <v>14.7857386020194</v>
      </c>
      <c r="L100" s="765" cm="1">
        <f t="array" aca="1" ref="L100" ca="1">IF(NPSwitch=1,_xll.TR(L$7,L$6,"Sdate=#1 Period=#2 NULL=BLANK",,$D100,$E$4),L100)</f>
        <v>6.7741887179279301</v>
      </c>
      <c r="M100" s="765" cm="1">
        <f t="array" aca="1" ref="M100" ca="1">IF(NPSwitch=1,_xll.TR(M$7,M$6,"Sdate=#1 Period=#2 NULL=BLANK",,$D100,$E$4),M100)</f>
        <v>10.271528513511701</v>
      </c>
      <c r="N100" s="1002">
        <f t="shared" ca="1" si="48"/>
        <v>10.405417078358237</v>
      </c>
      <c r="O100" s="1000" cm="1">
        <f t="array" aca="1" ref="O100" ca="1">IF(NPSwitch=1,_xll.TR(O$7,O$6,"Sdate=#1 Period=#2 Scale=6 NULL=BLANK",,$D100,$O$4),O100)</f>
        <v>118473.97690876</v>
      </c>
      <c r="P100" s="1000" cm="1">
        <f t="array" aca="1" ref="P100" ca="1">IF(NPSwitch=1,_xll.TR(P$7,P$6,"Sdate=#1 Period=#2 Scale=6 NULL=BLANK",,$D100,$O$4),P100)</f>
        <v>19120.20231706</v>
      </c>
      <c r="Q100" s="1000" cm="1">
        <f t="array" aca="1" ref="Q100" ca="1">IF(NPSwitch=1,_xll.TR(Q$7,Q$6,"Sdate=#1 Period=#2 Scale=6 NULL=BLANK",,$D100,$O$4),Q100)</f>
        <v>5406.7346340000004</v>
      </c>
      <c r="R100" s="1000" cm="1">
        <f t="array" aca="1" ref="R100" ca="1">IF(NPSwitch=1,_xll.TR(R$7,R$6,"Sdate=#1 Period=#2 Scale=6 NULL=BLANK",,$D100,$O$4),R100)</f>
        <v>4899.0162302799999</v>
      </c>
      <c r="S100" s="1000" cm="1">
        <f t="array" aca="1" ref="S100" ca="1">IF(NPSwitch=1,_xll.TR(S$7,S$6,"Sdate=#1 Period=#2 Scale=6 NULL=BLANK",,$D100,$O$4),S100)</f>
        <v>6670.5557518200003</v>
      </c>
      <c r="T100" s="1000" cm="1">
        <f t="array" aca="1" ref="T100" ca="1">IF(NPSwitch=1,_xll.TR(T$7,T$6,"Sdate=#1 Period=#2 Scale=6 NULL=BLANK",,$D100,$O$4),T100)</f>
        <v>15231.922635630001</v>
      </c>
      <c r="U100" s="1000" cm="1">
        <f t="array" aca="1" ref="U100" ca="1">IF(NPSwitch=1,_xll.TR(U$7,U$6,"Sdate=#1 Period=#2 Scale=6 NULL=BLANK",,$D100,$O$4),U100)</f>
        <v>42437.092717799896</v>
      </c>
      <c r="V100" s="1000" cm="1">
        <f t="array" aca="1" ref="V100" ca="1">IF(NPSwitch=1,_xll.TR(V$7,V$6,"Sdate=#1 Period=#2 Scale=6 NULL=BLANK",,$D100,$O$4),V100)</f>
        <v>11979.916470399899</v>
      </c>
      <c r="W100" s="1000" cm="1">
        <f t="array" aca="1" ref="W100" ca="1">IF(NPSwitch=1,_xll.TR(W$7,W$6,"Sdate=#1 Period=#2 Scale=6 NULL=BLANK",,$D100,$O$4),W100)</f>
        <v>17609.220897290001</v>
      </c>
      <c r="X100" s="998"/>
      <c r="Y100" s="1000" cm="1">
        <f t="array" aca="1" ref="Y100" ca="1">IF(NPSwitch=1,_xll.TR(Y$7,Y$6,"Sdate=#1 Period=#2 Scale=6 NULL=BLANK",,$D100,$O$4),Y100)</f>
        <v>4800.5</v>
      </c>
      <c r="Z100" s="1000" cm="1">
        <f t="array" aca="1" ref="Z100" ca="1">IF(NPSwitch=1,_xll.TR(Z$7,Z$6,"Sdate=#1 Period=#2 Scale=6 NULL=BLANK",,$D100,$O$4),Z100)</f>
        <v>688.83799999999997</v>
      </c>
      <c r="AA100" s="1000" cm="1">
        <f t="array" aca="1" ref="AA100" ca="1">IF(NPSwitch=1,_xll.TR(AA$7,AA$6,"Sdate=#1 Period=#2 Scale=6 NULL=BLANK",,$D100,$O$4),AA100)</f>
        <v>394.5</v>
      </c>
      <c r="AB100" s="1000" cm="1">
        <f t="array" aca="1" ref="AB100" ca="1">IF(NPSwitch=1,_xll.TR(AB$7,AB$6,"Sdate=#1 Period=#2 Scale=6 NULL=BLANK",,$D100,$O$4),AB100)</f>
        <v>949.57500000000005</v>
      </c>
      <c r="AC100" s="1000" cm="1">
        <f t="array" aca="1" ref="AC100" ca="1">IF(NPSwitch=1,_xll.TR(AC$7,AC$6,"Sdate=#1 Period=#2 Scale=6 NULL=BLANK",,$D100,$O$4),AC100)</f>
        <v>1172</v>
      </c>
      <c r="AD100" s="1000" cm="1">
        <f t="array" aca="1" ref="AD100" ca="1">IF(NPSwitch=1,_xll.TR(AD$7,AD$6,"Sdate=#1 Period=#2 Scale=6 NULL=BLANK",,$D100,$O$4),AD100)</f>
        <v>406.35</v>
      </c>
      <c r="AE100" s="1000" cm="1">
        <f t="array" aca="1" ref="AE100" ca="1">IF(NPSwitch=1,_xll.TR(AE$7,AE$6,"Sdate=#1 Period=#2 Scale=6 NULL=BLANK",,$D100,$O$4),AE100)</f>
        <v>2060.5</v>
      </c>
      <c r="AF100" s="1000" cm="1">
        <f t="array" aca="1" ref="AF100" ca="1">IF(NPSwitch=1,_xll.TR(AF$7,AF$6,"Sdate=#1 Period=#2 Scale=6 NULL=BLANK",,$D100,$O$4),AF100)</f>
        <v>1089</v>
      </c>
      <c r="AG100" s="1000" cm="1">
        <f t="array" aca="1" ref="AG100" ca="1">IF(NPSwitch=1,_xll.TR(AG$7,AG$6,"Sdate=#1 Period=#2 Scale=6 NULL=BLANK",,$D100,$O$4),AG100)</f>
        <v>614.5</v>
      </c>
      <c r="AH100" s="998"/>
      <c r="AI100" s="1000" cm="1">
        <f t="array" aca="1" ref="AI100" ca="1">IF(NPSwitch=1,_xll.TR(AI$7,AI$6,"Sdate=#1 Period=#2 Scale=6 NULL=BLANK",,$D100,$O$4),AI100)</f>
        <v>131591.97690876</v>
      </c>
      <c r="AJ100" s="1000" cm="1">
        <f t="array" aca="1" ref="AJ100" ca="1">IF(NPSwitch=1,_xll.TR(AJ$7,AJ$6,"Sdate=#1 Period=#2 Scale=6 NULL=BLANK",,$D100,$O$4),AJ100)</f>
        <v>20777.160317059999</v>
      </c>
      <c r="AK100" s="1000" cm="1">
        <f t="array" aca="1" ref="AK100" ca="1">IF(NPSwitch=1,_xll.TR(AK$7,AK$6,"Sdate=#1 Period=#2 Scale=6 NULL=BLANK",,$D100,$O$4),AK100)</f>
        <v>6692.7346340000004</v>
      </c>
      <c r="AL100" s="1000" cm="1">
        <f t="array" aca="1" ref="AL100" ca="1">IF(NPSwitch=1,_xll.TR(AL$7,AL$6,"Sdate=#1 Period=#2 Scale=6 NULL=BLANK",,$D100,$O$4),AL100)</f>
        <v>6191.0162302799999</v>
      </c>
      <c r="AM100" s="1000" cm="1">
        <f t="array" aca="1" ref="AM100" ca="1">IF(NPSwitch=1,_xll.TR(AM$7,AM$6,"Sdate=#1 Period=#2 Scale=6 NULL=BLANK",,$D100,$O$4),AM100)</f>
        <v>7755.5557518200003</v>
      </c>
      <c r="AN100" s="1000" cm="1">
        <f t="array" aca="1" ref="AN100" ca="1">IF(NPSwitch=1,_xll.TR(AN$7,AN$6,"Sdate=#1 Period=#2 Scale=6 NULL=BLANK",,$D100,$O$4),AN100)</f>
        <v>18443.722635630002</v>
      </c>
      <c r="AO100" s="1000" cm="1">
        <f t="array" aca="1" ref="AO100" ca="1">IF(NPSwitch=1,_xll.TR(AO$7,AO$6,"Sdate=#1 Period=#2 Scale=6 NULL=BLANK",,$D100,$O$4),AO100)</f>
        <v>46856.092717799998</v>
      </c>
      <c r="AP100" s="1000" cm="1">
        <f t="array" aca="1" ref="AP100" ca="1">IF(NPSwitch=1,_xll.TR(AP$7,AP$6,"Sdate=#1 Period=#2 Scale=6 NULL=BLANK",,$D100,$O$4),AP100)</f>
        <v>14587.9164704</v>
      </c>
      <c r="AQ100" s="1000" cm="1">
        <f t="array" aca="1" ref="AQ100" ca="1">IF(NPSwitch=1,_xll.TR(AQ$7,AQ$6,"Sdate=#1 Period=#2 Scale=6 NULL=BLANK",,$D100,$O$4),AQ100)</f>
        <v>22679.220897290001</v>
      </c>
      <c r="AS100" s="765" cm="1">
        <f t="array" aca="1" ref="AS100" ca="1">IF(NPSwitch=1,_xll.TR(AS$7,AS$6,"Sdate=#1 Period=#2 NULL=BLANK Scale=6",,$D100,$AS$4),AS100)</f>
        <v>14.966666666666701</v>
      </c>
      <c r="AT100" s="765" cm="1">
        <f t="array" aca="1" ref="AT100" ca="1">IF(NPSwitch=1,_xll.TR(AT$7,AT$6,"Sdate=#1 Period=#2 NULL=BLANK Scale=6",,$D100,$AS$4),AT100)</f>
        <v>6.0902758333333296</v>
      </c>
      <c r="AU100" s="765" t="str" cm="1">
        <f t="array" aca="1" ref="AU100" ca="1">IF(NPSwitch=1,_xll.TR(AU$7,AU$6,"Sdate=#1 Period=#2 NULL=BLANK Scale=6",,$D100,$AS$4),AU100)</f>
        <v/>
      </c>
      <c r="AV100" s="765" cm="1">
        <f t="array" aca="1" ref="AV100" ca="1">IF(NPSwitch=1,_xll.TR(AV$7,AV$6,"Sdate=#1 Period=#2 NULL=BLANK Scale=6",,$D100,$AS$4),AV100)</f>
        <v>6.6416666666666702</v>
      </c>
      <c r="AW100" s="765" cm="1">
        <f t="array" aca="1" ref="AW100" ca="1">IF(NPSwitch=1,_xll.TR(AW$7,AW$6,"Sdate=#1 Period=#2 NULL=BLANK Scale=6",,$D100,$AS$4),AW100)</f>
        <v>9.4666666666666703</v>
      </c>
      <c r="AX100" s="765" cm="1">
        <f t="array" aca="1" ref="AX100" ca="1">IF(NPSwitch=1,_xll.TR(AX$7,AX$6,"Sdate=#1 Period=#2 NULL=BLANK Scale=6",,$D100,$AS$4),AX100)</f>
        <v>20.7</v>
      </c>
      <c r="AY100" s="765" cm="1">
        <f t="array" aca="1" ref="AY100" ca="1">IF(NPSwitch=1,_xll.TR(AY$7,AY$6,"Sdate=#1 Period=#2 NULL=BLANK Scale=6",,$D100,$AS$4),AY100)</f>
        <v>11.9944425</v>
      </c>
      <c r="AZ100" s="765" cm="1">
        <f t="array" aca="1" ref="AZ100" ca="1">IF(NPSwitch=1,_xll.TR(AZ$7,AZ$6,"Sdate=#1 Period=#2 NULL=BLANK Scale=6",,$D100,$AS$4),AZ100)</f>
        <v>9.5541666666666707</v>
      </c>
      <c r="BA100" s="765" cm="1">
        <f t="array" aca="1" ref="BA100" ca="1">IF(NPSwitch=1,_xll.TR(BA$7,BA$6,"Sdate=#1 Period=#2 NULL=BLANK Scale=6",,$D100,$AS$4),BA100)</f>
        <v>9.1527758333333296</v>
      </c>
      <c r="BB100" s="1002"/>
      <c r="BO100" s="765" cm="1">
        <f t="array" aca="1" ref="BO100" ca="1">IF(NPSwitch=1,_xll.TR(BO$7,BO$6,"Sdate=#1 Period=#2 NULL=BLANK Scale=6",,$D100,$AS$4),BO100)</f>
        <v>32960</v>
      </c>
      <c r="BP100" s="765" cm="1">
        <f t="array" aca="1" ref="BP100" ca="1">IF(NPSwitch=1,_xll.TR(BP$7,BP$6,"Sdate=#1 Period=#2 NULL=BLANK Scale=6",,$D100,$AS$4),BP100)</f>
        <v>3219.355</v>
      </c>
      <c r="BQ100" s="765" cm="1">
        <f t="array" aca="1" ref="BQ100" ca="1">IF(NPSwitch=1,_xll.TR(BQ$7,BQ$6,"Sdate=#1 Period=#2 NULL=BLANK Scale=6",,$D100,$AS$4),BQ100)</f>
        <v>1850</v>
      </c>
      <c r="BR100" s="765" cm="1">
        <f t="array" aca="1" ref="BR100" ca="1">IF(NPSwitch=1,_xll.TR(BR$7,BR$6,"Sdate=#1 Period=#2 NULL=BLANK Scale=6",,$D100,$AS$4),BR100)</f>
        <v>3692.9</v>
      </c>
      <c r="BS100" s="765" cm="1">
        <f t="array" aca="1" ref="BS100" ca="1">IF(NPSwitch=1,_xll.TR(BS$7,BS$6,"Sdate=#1 Period=#2 NULL=BLANK Scale=6",,$D100,$AS$4),BS100)</f>
        <v>6262</v>
      </c>
      <c r="BT100" s="765" cm="1">
        <f t="array" aca="1" ref="BT100" ca="1">IF(NPSwitch=1,_xll.TR(BT$7,BT$6,"Sdate=#1 Period=#2 NULL=BLANK Scale=6",,$D100,$AS$4),BT100)</f>
        <v>4587.7</v>
      </c>
      <c r="BU100" s="765" cm="1">
        <f t="array" aca="1" ref="BU100" ca="1">IF(NPSwitch=1,_xll.TR(BU$7,BU$6,"Sdate=#1 Period=#2 NULL=BLANK Scale=6",,$D100,$AS$4),BU100)</f>
        <v>14338</v>
      </c>
      <c r="BV100" s="765" cm="1">
        <f t="array" aca="1" ref="BV100" ca="1">IF(NPSwitch=1,_xll.TR(BV$7,BV$6,"Sdate=#1 Period=#2 NULL=BLANK Scale=6",,$D100,$AS$4),BV100)</f>
        <v>9631</v>
      </c>
      <c r="BW100" s="765" cm="1">
        <f t="array" aca="1" ref="BW100" ca="1">IF(NPSwitch=1,_xll.TR(BW$7,BW$6,"Sdate=#1 Period=#2 NULL=BLANK Scale=6",,$D100,$AS$4),BW100)</f>
        <v>8641</v>
      </c>
      <c r="BY100" s="765" cm="1">
        <f t="array" aca="1" ref="BY100" ca="1">IF(NPSwitch=1,_xll.TR(BY$7,BY$6,"Sdate=#1 Period=#2 NULL=BLANK Scale=6",,$D100,$AS$4),BY100)</f>
        <v>31739.75</v>
      </c>
      <c r="BZ100" s="765" cm="1">
        <f t="array" aca="1" ref="BZ100" ca="1">IF(NPSwitch=1,_xll.TR(BZ$7,BZ$6,"Sdate=#1 Period=#2 NULL=BLANK Scale=6",,$D100,$AS$4),BZ100)</f>
        <v>7907.02675</v>
      </c>
      <c r="CA100" s="765" cm="1">
        <f t="array" aca="1" ref="CA100" ca="1">IF(NPSwitch=1,_xll.TR(CA$7,CA$6,"Sdate=#1 Period=#2 NULL=BLANK Scale=6",,$D100,$AS$4),CA100)</f>
        <v>4871</v>
      </c>
      <c r="CB100" s="765" cm="1">
        <f t="array" aca="1" ref="CB100" ca="1">IF(NPSwitch=1,_xll.TR(CB$7,CB$6,"Sdate=#1 Period=#2 NULL=BLANK Scale=6",,$D100,$AS$4),CB100)</f>
        <v>3520.55</v>
      </c>
      <c r="CC100" s="765" cm="1">
        <f t="array" aca="1" ref="CC100" ca="1">IF(NPSwitch=1,_xll.TR(CC$7,CC$6,"Sdate=#1 Period=#2 NULL=BLANK Scale=6",,$D100,$AS$4),CC100)</f>
        <v>5524.25</v>
      </c>
      <c r="CD100" s="765" cm="1">
        <f t="array" aca="1" ref="CD100" ca="1">IF(NPSwitch=1,_xll.TR(CD$7,CD$6,"Sdate=#1 Period=#2 NULL=BLANK Scale=6",,$D100,$AS$4),CD100)</f>
        <v>6366.05</v>
      </c>
      <c r="CE100" s="765" cm="1">
        <f t="array" aca="1" ref="CE100" ca="1">IF(NPSwitch=1,_xll.TR(CE$7,CE$6,"Sdate=#1 Period=#2 NULL=BLANK Scale=6",,$D100,$AS$4),CE100)</f>
        <v>11479</v>
      </c>
      <c r="CF100" s="765" cm="1">
        <f t="array" aca="1" ref="CF100" ca="1">IF(NPSwitch=1,_xll.TR(CF$7,CF$6,"Sdate=#1 Period=#2 NULL=BLANK Scale=6",,$D100,$AS$4),CF100)</f>
        <v>11354.75</v>
      </c>
      <c r="CG100" s="765" cm="1">
        <f t="array" aca="1" ref="CG100" ca="1">IF(NPSwitch=1,_xll.TR(CG$7,CG$6,"Sdate=#1 Period=#2 NULL=BLANK Scale=6",,$D100,$AS$4),CG100)</f>
        <v>11955.25</v>
      </c>
      <c r="CI100" s="1000" cm="1">
        <f t="array" aca="1" ref="CI100" ca="1">IF(NPSwitch=1,_xll.TR(CI$7,CI$6,"Sdate=#1 Period=#2 NULL=BLANK Scale=6",,$D100,$AS$4),CI100)</f>
        <v>9291</v>
      </c>
      <c r="CJ100" s="1000" cm="1">
        <f t="array" aca="1" ref="CJ100" ca="1">IF(NPSwitch=1,_xll.TR(CJ$7,CJ$6,"Sdate=#1 Period=#2 NULL=BLANK Scale=6",,$D100,$AS$4),CJ100)</f>
        <v>856.06700000000001</v>
      </c>
      <c r="CK100" s="1000" cm="1">
        <f t="array" aca="1" ref="CK100" ca="1">IF(NPSwitch=1,_xll.TR(CK$7,CK$6,"Sdate=#1 Period=#2 NULL=BLANK Scale=6",,$D100,$AS$4),CK100)</f>
        <v>396</v>
      </c>
      <c r="CL100" s="1000" cm="1">
        <f t="array" aca="1" ref="CL100" ca="1">IF(NPSwitch=1,_xll.TR(CL$7,CL$6,"Sdate=#1 Period=#2 NULL=BLANK Scale=6",,$D100,$AS$4),CL100)</f>
        <v>431.7</v>
      </c>
      <c r="CM100" s="1000" cm="1">
        <f t="array" aca="1" ref="CM100" ca="1">IF(NPSwitch=1,_xll.TR(CM$7,CM$6,"Sdate=#1 Period=#2 NULL=BLANK Scale=6",,$D100,$AS$4),CM100)</f>
        <v>622</v>
      </c>
      <c r="CN100" s="1000" cm="1">
        <f t="array" aca="1" ref="CN100" ca="1">IF(NPSwitch=1,_xll.TR(CN$7,CN$6,"Sdate=#1 Period=#2 NULL=BLANK Scale=6",,$D100,$AS$4),CN100)</f>
        <v>1186.3</v>
      </c>
      <c r="CO100" s="1000" cm="1">
        <f t="array" aca="1" ref="CO100" ca="1">IF(NPSwitch=1,_xll.TR(CO$7,CO$6,"Sdate=#1 Period=#2 NULL=BLANK Scale=6",,$D100,$AS$4),CO100)</f>
        <v>2496</v>
      </c>
      <c r="CP100" s="1000" cm="1">
        <f t="array" aca="1" ref="CP100" ca="1">IF(NPSwitch=1,_xll.TR(CP$7,CP$6,"Sdate=#1 Period=#2 NULL=BLANK Scale=6",,$D100,$AS$4),CP100)</f>
        <v>3271</v>
      </c>
      <c r="CQ100" s="1000" cm="1">
        <f t="array" aca="1" ref="CQ100" ca="1">IF(NPSwitch=1,_xll.TR(CQ$7,CQ$6,"Sdate=#1 Period=#2 NULL=BLANK Scale=6",,$D100,$AS$4),CQ100)</f>
        <v>1558</v>
      </c>
      <c r="CS100" s="1000" cm="1">
        <f t="array" aca="1" ref="CS100" ca="1">IF(NPSwitch=1,_xll.TR(CS$7,CS$6,"Sdate=#1 Period=#2 NULL=BLANK Scale=6",,$D100,$AS$4),CS100)</f>
        <v>10096.25</v>
      </c>
      <c r="CT100" s="1000" cm="1">
        <f t="array" aca="1" ref="CT100" ca="1">IF(NPSwitch=1,_xll.TR(CT$7,CT$6,"Sdate=#1 Period=#2 NULL=BLANK Scale=6",,$D100,$AS$4),CT100)</f>
        <v>5414.3812500000004</v>
      </c>
      <c r="CU100" s="1000" cm="1">
        <f t="array" aca="1" ref="CU100" ca="1">IF(NPSwitch=1,_xll.TR(CU$7,CU$6,"Sdate=#1 Period=#2 NULL=BLANK Scale=6",,$D100,$AS$4),CU100)</f>
        <v>1689.75</v>
      </c>
      <c r="CV100" s="1000" cm="1">
        <f t="array" aca="1" ref="CV100" ca="1">IF(NPSwitch=1,_xll.TR(CV$7,CV$6,"Sdate=#1 Period=#2 NULL=BLANK Scale=6",,$D100,$AS$4),CV100)</f>
        <v>688.5</v>
      </c>
      <c r="CW100" s="1000" cm="1">
        <f t="array" aca="1" ref="CW100" ca="1">IF(NPSwitch=1,_xll.TR(CW$7,CW$6,"Sdate=#1 Period=#2 NULL=BLANK Scale=6",,$D100,$AS$4),CW100)</f>
        <v>899.65</v>
      </c>
      <c r="CX100" s="1000" cm="1">
        <f t="array" aca="1" ref="CX100" ca="1">IF(NPSwitch=1,_xll.TR(CX$7,CX$6,"Sdate=#1 Period=#2 NULL=BLANK Scale=6",,$D100,$AS$4),CX100)</f>
        <v>3823.5</v>
      </c>
      <c r="CY100" s="1000" cm="1">
        <f t="array" aca="1" ref="CY100" ca="1">IF(NPSwitch=1,_xll.TR(CY$7,CY$6,"Sdate=#1 Period=#2 NULL=BLANK Scale=6",,$D100,$AS$4),CY100)</f>
        <v>5247.5</v>
      </c>
      <c r="CZ100" s="1000" cm="1">
        <f t="array" aca="1" ref="CZ100" ca="1">IF(NPSwitch=1,_xll.TR(CZ$7,CZ$6,"Sdate=#1 Period=#2 NULL=BLANK Scale=6",,$D100,$AS$4),CZ100)</f>
        <v>5672.25</v>
      </c>
      <c r="DA100" s="1000" cm="1">
        <f t="array" aca="1" ref="DA100" ca="1">IF(NPSwitch=1,_xll.TR(DA$7,DA$6,"Sdate=#1 Period=#2 NULL=BLANK Scale=6",,$D100,$AS$4),DA100)</f>
        <v>4063.75</v>
      </c>
      <c r="DB100" s="1000" cm="1">
        <f t="array" aca="1" ref="DB100" ca="1">IF(NPSwitch=1,_xll.TR(DB$7,DB$6,"Sdate=#1 Period=#2 NULL=BLANK Scale=6",,$D100,$AS$4),DB100)</f>
        <v>20210</v>
      </c>
      <c r="DC100" s="1000" cm="1">
        <f t="array" aca="1" ref="DC100" ca="1">IF(NPSwitch=1,_xll.TR(DC$7,DC$6,"Sdate=#1 Period=#2 NULL=BLANK Scale=6",,$D100,$AS$4),DC100)</f>
        <v>22130.75</v>
      </c>
      <c r="DD100" s="1000" cm="1">
        <f t="array" aca="1" ref="DD100" ca="1">IF(NPSwitch=1,_xll.TR(DD$7,DD$6,"Sdate=#1 Period=#2 NULL=BLANK Scale=6",,$D100,$AS$4),DD100)</f>
        <v>15801</v>
      </c>
      <c r="DE100" s="1000" cm="1">
        <f t="array" aca="1" ref="DE100" ca="1">IF(NPSwitch=1,_xll.TR(DE$7,DE$6,"Sdate=#1 Period=#2 NULL=BLANK Scale=6",,$D100,$AS$4),DE100)</f>
        <v>8810.5</v>
      </c>
      <c r="DF100" s="1000" cm="1">
        <f t="array" aca="1" ref="DF100" ca="1">IF(NPSwitch=1,_xll.TR(DF$7,DF$6,"Sdate=#1 Period=#2 NULL=BLANK Scale=6",,$D100,$AS$4),DF100)</f>
        <v>688.5</v>
      </c>
      <c r="DG100" s="1000" cm="1">
        <f t="array" aca="1" ref="DG100" ca="1">IF(NPSwitch=1,_xll.TR(DG$7,DG$6,"Sdate=#1 Period=#2 NULL=BLANK Scale=6",,$D100,$AS$4),DG100)</f>
        <v>2919.75</v>
      </c>
      <c r="DH100" s="1000" cm="1">
        <f t="array" aca="1" ref="DH100" ca="1">IF(NPSwitch=1,_xll.TR(DH$7,DH$6,"Sdate=#1 Period=#2 NULL=BLANK Scale=6",,$D100,$AS$4),DH100)</f>
        <v>7357.75</v>
      </c>
    </row>
    <row r="101" spans="3:112">
      <c r="C101" s="969">
        <f t="shared" si="47"/>
        <v>44377</v>
      </c>
      <c r="D101" s="974">
        <f t="shared" si="46"/>
        <v>44422</v>
      </c>
      <c r="E101" s="765" cm="1">
        <f t="array" aca="1" ref="E101" ca="1">IF(NPSwitch=1,_xll.TR(E$7,E$6,"Sdate=#1 Period=#2 NULL=BLANK",,$D101,$E$4),E101)</f>
        <v>12.939887954265799</v>
      </c>
      <c r="F101" s="765" cm="1">
        <f t="array" aca="1" ref="F101" ca="1">IF(NPSwitch=1,_xll.TR(F$7,F$6,"Sdate=#1 Period=#2 NULL=BLANK",,$D101,$E$4),F101)</f>
        <v>29.305398505884</v>
      </c>
      <c r="G101" s="765" cm="1">
        <f t="array" aca="1" ref="G101" ca="1">IF(NPSwitch=1,_xll.TR(G$7,G$6,"Sdate=#1 Period=#2 NULL=BLANK",,$D101,$E$4),G101)</f>
        <v>10.2143131252746</v>
      </c>
      <c r="H101" s="765" cm="1">
        <f t="array" aca="1" ref="H101" ca="1">IF(NPSwitch=1,_xll.TR(H$7,H$6,"Sdate=#1 Period=#2 NULL=BLANK",,$D101,$E$4),H101)</f>
        <v>9.4572590663950091</v>
      </c>
      <c r="I101" s="765" cm="1">
        <f t="array" aca="1" ref="I101" ca="1">IF(NPSwitch=1,_xll.TR(I$7,I$6,"Sdate=#1 Period=#2 NULL=BLANK",,$D101,$E$4),I101)</f>
        <v>5.5722583913685897</v>
      </c>
      <c r="J101" s="765" cm="1">
        <f t="array" aca="1" ref="J101" ca="1">IF(NPSwitch=1,_xll.TR(J$7,J$6,"Sdate=#1 Period=#2 NULL=BLANK",,$D101,$E$4),J101)</f>
        <v>10.8824265110937</v>
      </c>
      <c r="K101" s="765" cm="1">
        <f t="array" aca="1" ref="K101" ca="1">IF(NPSwitch=1,_xll.TR(K$7,K$6,"Sdate=#1 Period=#2 NULL=BLANK",,$D101,$E$4),K101)</f>
        <v>14.5871650658419</v>
      </c>
      <c r="L101" s="765" cm="1">
        <f t="array" aca="1" ref="L101" ca="1">IF(NPSwitch=1,_xll.TR(L$7,L$6,"Sdate=#1 Period=#2 NULL=BLANK",,$D101,$E$4),L101)</f>
        <v>6.7511223823811601</v>
      </c>
      <c r="M101" s="765" cm="1">
        <f t="array" aca="1" ref="M101" ca="1">IF(NPSwitch=1,_xll.TR(M$7,M$6,"Sdate=#1 Period=#2 NULL=BLANK",,$D101,$E$4),M101)</f>
        <v>9.1276133775656394</v>
      </c>
      <c r="N101" s="1002">
        <f t="shared" ca="1" si="48"/>
        <v>9.5774240903924941</v>
      </c>
      <c r="O101" s="1000" cm="1">
        <f t="array" aca="1" ref="O101" ca="1">IF(NPSwitch=1,_xll.TR(O$7,O$6,"Sdate=#1 Period=#2 Scale=6 NULL=BLANK",,$D101,$O$4),O101)</f>
        <v>116063.26078673999</v>
      </c>
      <c r="P101" s="1000" cm="1">
        <f t="array" aca="1" ref="P101" ca="1">IF(NPSwitch=1,_xll.TR(P$7,P$6,"Sdate=#1 Period=#2 Scale=6 NULL=BLANK",,$D101,$O$4),P101)</f>
        <v>27508.94771574</v>
      </c>
      <c r="Q101" s="1000" cm="1">
        <f t="array" aca="1" ref="Q101" ca="1">IF(NPSwitch=1,_xll.TR(Q$7,Q$6,"Sdate=#1 Period=#2 Scale=6 NULL=BLANK",,$D101,$O$4),Q101)</f>
        <v>5270.4402865599995</v>
      </c>
      <c r="R101" s="1000" cm="1">
        <f t="array" aca="1" ref="R101" ca="1">IF(NPSwitch=1,_xll.TR(R$7,R$6,"Sdate=#1 Period=#2 Scale=6 NULL=BLANK",,$D101,$O$4),R101)</f>
        <v>4555.7381642</v>
      </c>
      <c r="S101" s="1000" cm="1">
        <f t="array" aca="1" ref="S101" ca="1">IF(NPSwitch=1,_xll.TR(S$7,S$6,"Sdate=#1 Period=#2 Scale=6 NULL=BLANK",,$D101,$O$4),S101)</f>
        <v>5670.3089194499998</v>
      </c>
      <c r="T101" s="1000" cm="1">
        <f t="array" aca="1" ref="T101" ca="1">IF(NPSwitch=1,_xll.TR(T$7,T$6,"Sdate=#1 Period=#2 Scale=6 NULL=BLANK",,$D101,$O$4),T101)</f>
        <v>12138.926181839901</v>
      </c>
      <c r="U101" s="1000" cm="1">
        <f t="array" aca="1" ref="U101" ca="1">IF(NPSwitch=1,_xll.TR(U$7,U$6,"Sdate=#1 Period=#2 Scale=6 NULL=BLANK",,$D101,$O$4),U101)</f>
        <v>40298.400152399998</v>
      </c>
      <c r="V101" s="1000" cm="1">
        <f t="array" aca="1" ref="V101" ca="1">IF(NPSwitch=1,_xll.TR(V$7,V$6,"Sdate=#1 Period=#2 Scale=6 NULL=BLANK",,$D101,$O$4),V101)</f>
        <v>12493.417088</v>
      </c>
      <c r="W101" s="1000" cm="1">
        <f t="array" aca="1" ref="W101" ca="1">IF(NPSwitch=1,_xll.TR(W$7,W$6,"Sdate=#1 Period=#2 Scale=6 NULL=BLANK",,$D101,$O$4),W101)</f>
        <v>15710.060588300001</v>
      </c>
      <c r="X101" s="998"/>
      <c r="Y101" s="1000" cm="1">
        <f t="array" aca="1" ref="Y101" ca="1">IF(NPSwitch=1,_xll.TR(Y$7,Y$6,"Sdate=#1 Period=#2 Scale=6 NULL=BLANK",,$D101,$O$4),Y101)</f>
        <v>5059</v>
      </c>
      <c r="Z101" s="1000" cm="1">
        <f t="array" aca="1" ref="Z101" ca="1">IF(NPSwitch=1,_xll.TR(Z$7,Z$6,"Sdate=#1 Period=#2 Scale=6 NULL=BLANK",,$D101,$O$4),Z101)</f>
        <v>710.55700000000002</v>
      </c>
      <c r="AA101" s="1000" cm="1">
        <f t="array" aca="1" ref="AA101" ca="1">IF(NPSwitch=1,_xll.TR(AA$7,AA$6,"Sdate=#1 Period=#2 Scale=6 NULL=BLANK",,$D101,$O$4),AA101)</f>
        <v>356</v>
      </c>
      <c r="AB101" s="1000" cm="1">
        <f t="array" aca="1" ref="AB101" ca="1">IF(NPSwitch=1,_xll.TR(AB$7,AB$6,"Sdate=#1 Period=#2 Scale=6 NULL=BLANK",,$D101,$O$4),AB101)</f>
        <v>609.375</v>
      </c>
      <c r="AC101" s="1000" cm="1">
        <f t="array" aca="1" ref="AC101" ca="1">IF(NPSwitch=1,_xll.TR(AC$7,AC$6,"Sdate=#1 Period=#2 Scale=6 NULL=BLANK",,$D101,$O$4),AC101)</f>
        <v>986</v>
      </c>
      <c r="AD101" s="1000" cm="1">
        <f t="array" aca="1" ref="AD101" ca="1">IF(NPSwitch=1,_xll.TR(AD$7,AD$6,"Sdate=#1 Period=#2 Scale=6 NULL=BLANK",,$D101,$O$4),AD101)</f>
        <v>502.8</v>
      </c>
      <c r="AE101" s="1000" cm="1">
        <f t="array" aca="1" ref="AE101" ca="1">IF(NPSwitch=1,_xll.TR(AE$7,AE$6,"Sdate=#1 Period=#2 Scale=6 NULL=BLANK",,$D101,$O$4),AE101)</f>
        <v>1812.5</v>
      </c>
      <c r="AF101" s="1000" cm="1">
        <f t="array" aca="1" ref="AF101" ca="1">IF(NPSwitch=1,_xll.TR(AF$7,AF$6,"Sdate=#1 Period=#2 Scale=6 NULL=BLANK",,$D101,$O$4),AF101)</f>
        <v>1152.25</v>
      </c>
      <c r="AG101" s="1000" cm="1">
        <f t="array" aca="1" ref="AG101" ca="1">IF(NPSwitch=1,_xll.TR(AG$7,AG$6,"Sdate=#1 Period=#2 Scale=6 NULL=BLANK",,$D101,$O$4),AG101)</f>
        <v>590.75</v>
      </c>
      <c r="AH101" s="998"/>
      <c r="AI101" s="1000" cm="1">
        <f t="array" aca="1" ref="AI101" ca="1">IF(NPSwitch=1,_xll.TR(AI$7,AI$6,"Sdate=#1 Period=#2 Scale=6 NULL=BLANK",,$D101,$O$4),AI101)</f>
        <v>128879.26078673999</v>
      </c>
      <c r="AJ101" s="1000" cm="1">
        <f t="array" aca="1" ref="AJ101" ca="1">IF(NPSwitch=1,_xll.TR(AJ$7,AJ$6,"Sdate=#1 Period=#2 Scale=6 NULL=BLANK",,$D101,$O$4),AJ101)</f>
        <v>28930.014715739999</v>
      </c>
      <c r="AK101" s="1000" cm="1">
        <f t="array" aca="1" ref="AK101" ca="1">IF(NPSwitch=1,_xll.TR(AK$7,AK$6,"Sdate=#1 Period=#2 Scale=6 NULL=BLANK",,$D101,$O$4),AK101)</f>
        <v>6687.4402865599995</v>
      </c>
      <c r="AL101" s="1000" cm="1">
        <f t="array" aca="1" ref="AL101" ca="1">IF(NPSwitch=1,_xll.TR(AL$7,AL$6,"Sdate=#1 Period=#2 Scale=6 NULL=BLANK",,$D101,$O$4),AL101)</f>
        <v>5828.7381642</v>
      </c>
      <c r="AM101" s="1000" cm="1">
        <f t="array" aca="1" ref="AM101" ca="1">IF(NPSwitch=1,_xll.TR(AM$7,AM$6,"Sdate=#1 Period=#2 Scale=6 NULL=BLANK",,$D101,$O$4),AM101)</f>
        <v>6902.3089194499998</v>
      </c>
      <c r="AN101" s="1000" cm="1">
        <f t="array" aca="1" ref="AN101" ca="1">IF(NPSwitch=1,_xll.TR(AN$7,AN$6,"Sdate=#1 Period=#2 Scale=6 NULL=BLANK",,$D101,$O$4),AN101)</f>
        <v>15250.426181839999</v>
      </c>
      <c r="AO101" s="1000" cm="1">
        <f t="array" aca="1" ref="AO101" ca="1">IF(NPSwitch=1,_xll.TR(AO$7,AO$6,"Sdate=#1 Period=#2 Scale=6 NULL=BLANK",,$D101,$O$4),AO101)</f>
        <v>46319.400152399998</v>
      </c>
      <c r="AP101" s="1000" cm="1">
        <f t="array" aca="1" ref="AP101" ca="1">IF(NPSwitch=1,_xll.TR(AP$7,AP$6,"Sdate=#1 Period=#2 Scale=6 NULL=BLANK",,$D101,$O$4),AP101)</f>
        <v>15204.417088</v>
      </c>
      <c r="AQ101" s="1000" cm="1">
        <f t="array" aca="1" ref="AQ101" ca="1">IF(NPSwitch=1,_xll.TR(AQ$7,AQ$6,"Sdate=#1 Period=#2 Scale=6 NULL=BLANK",,$D101,$O$4),AQ101)</f>
        <v>20733.060588299999</v>
      </c>
      <c r="AS101" s="765" cm="1">
        <f t="array" aca="1" ref="AS101" ca="1">IF(NPSwitch=1,_xll.TR(AS$7,AS$6,"Sdate=#1 Period=#2 NULL=BLANK Scale=6",,$D101,$AS$4),AS101)</f>
        <v>15.3</v>
      </c>
      <c r="AT101" s="765" cm="1">
        <f t="array" aca="1" ref="AT101" ca="1">IF(NPSwitch=1,_xll.TR(AT$7,AT$6,"Sdate=#1 Period=#2 NULL=BLANK Scale=6",,$D101,$AS$4),AT101)</f>
        <v>6.4111099999999999</v>
      </c>
      <c r="AU101" s="765" t="str" cm="1">
        <f t="array" aca="1" ref="AU101" ca="1">IF(NPSwitch=1,_xll.TR(AU$7,AU$6,"Sdate=#1 Period=#2 NULL=BLANK Scale=6",,$D101,$AS$4),AU101)</f>
        <v/>
      </c>
      <c r="AV101" s="765" cm="1">
        <f t="array" aca="1" ref="AV101" ca="1">IF(NPSwitch=1,_xll.TR(AV$7,AV$6,"Sdate=#1 Period=#2 NULL=BLANK Scale=6",,$D101,$AS$4),AV101)</f>
        <v>7.9666666666666703</v>
      </c>
      <c r="AW101" s="765" cm="1">
        <f t="array" aca="1" ref="AW101" ca="1">IF(NPSwitch=1,_xll.TR(AW$7,AW$6,"Sdate=#1 Period=#2 NULL=BLANK Scale=6",,$D101,$AS$4),AW101)</f>
        <v>10.133333333333301</v>
      </c>
      <c r="AX101" s="765" cm="1">
        <f t="array" aca="1" ref="AX101" ca="1">IF(NPSwitch=1,_xll.TR(AX$7,AX$6,"Sdate=#1 Period=#2 NULL=BLANK Scale=6",,$D101,$AS$4),AX101)</f>
        <v>19.8333333333333</v>
      </c>
      <c r="AY101" s="765" cm="1">
        <f t="array" aca="1" ref="AY101" ca="1">IF(NPSwitch=1,_xll.TR(AY$7,AY$6,"Sdate=#1 Period=#2 NULL=BLANK Scale=6",,$D101,$AS$4),AY101)</f>
        <v>11.88889</v>
      </c>
      <c r="AZ101" s="765" cm="1">
        <f t="array" aca="1" ref="AZ101" ca="1">IF(NPSwitch=1,_xll.TR(AZ$7,AZ$6,"Sdate=#1 Period=#2 NULL=BLANK Scale=6",,$D101,$AS$4),AZ101)</f>
        <v>12.4166666666667</v>
      </c>
      <c r="BA101" s="765" cm="1">
        <f t="array" aca="1" ref="BA101" ca="1">IF(NPSwitch=1,_xll.TR(BA$7,BA$6,"Sdate=#1 Period=#2 NULL=BLANK Scale=6",,$D101,$AS$4),BA101)</f>
        <v>8.7111099999999997</v>
      </c>
      <c r="BB101" s="1002"/>
      <c r="BO101" s="765" cm="1">
        <f t="array" aca="1" ref="BO101" ca="1">IF(NPSwitch=1,_xll.TR(BO$7,BO$6,"Sdate=#1 Period=#2 NULL=BLANK Scale=6",,$D101,$AS$4),BO101)</f>
        <v>34734</v>
      </c>
      <c r="BP101" s="765" cm="1">
        <f t="array" aca="1" ref="BP101" ca="1">IF(NPSwitch=1,_xll.TR(BP$7,BP$6,"Sdate=#1 Period=#2 NULL=BLANK Scale=6",,$D101,$AS$4),BP101)</f>
        <v>3229.2020000000002</v>
      </c>
      <c r="BQ101" s="765" cm="1">
        <f t="array" aca="1" ref="BQ101" ca="1">IF(NPSwitch=1,_xll.TR(BQ$7,BQ$6,"Sdate=#1 Period=#2 NULL=BLANK Scale=6",,$D101,$AS$4),BQ101)</f>
        <v>1819</v>
      </c>
      <c r="BR101" s="765" cm="1">
        <f t="array" aca="1" ref="BR101" ca="1">IF(NPSwitch=1,_xll.TR(BR$7,BR$6,"Sdate=#1 Period=#2 NULL=BLANK Scale=6",,$D101,$AS$4),BR101)</f>
        <v>4319</v>
      </c>
      <c r="BS101" s="765" cm="1">
        <f t="array" aca="1" ref="BS101" ca="1">IF(NPSwitch=1,_xll.TR(BS$7,BS$6,"Sdate=#1 Period=#2 NULL=BLANK Scale=6",,$D101,$AS$4),BS101)</f>
        <v>7039</v>
      </c>
      <c r="BT101" s="765" cm="1">
        <f t="array" aca="1" ref="BT101" ca="1">IF(NPSwitch=1,_xll.TR(BT$7,BT$6,"Sdate=#1 Period=#2 NULL=BLANK Scale=6",,$D101,$AS$4),BT101)</f>
        <v>4674.3999999999996</v>
      </c>
      <c r="BU101" s="765" cm="1">
        <f t="array" aca="1" ref="BU101" ca="1">IF(NPSwitch=1,_xll.TR(BU$7,BU$6,"Sdate=#1 Period=#2 NULL=BLANK Scale=6",,$D101,$AS$4),BU101)</f>
        <v>15682</v>
      </c>
      <c r="BV101" s="765" cm="1">
        <f t="array" aca="1" ref="BV101" ca="1">IF(NPSwitch=1,_xll.TR(BV$7,BV$6,"Sdate=#1 Period=#2 NULL=BLANK Scale=6",,$D101,$AS$4),BV101)</f>
        <v>9982</v>
      </c>
      <c r="BW101" s="765" cm="1">
        <f t="array" aca="1" ref="BW101" ca="1">IF(NPSwitch=1,_xll.TR(BW$7,BW$6,"Sdate=#1 Period=#2 NULL=BLANK Scale=6",,$D101,$AS$4),BW101)</f>
        <v>9370</v>
      </c>
      <c r="BY101" s="765" cm="1">
        <f t="array" aca="1" ref="BY101" ca="1">IF(NPSwitch=1,_xll.TR(BY$7,BY$6,"Sdate=#1 Period=#2 NULL=BLANK Scale=6",,$D101,$AS$4),BY101)</f>
        <v>32011.5</v>
      </c>
      <c r="BZ101" s="765" cm="1">
        <f t="array" aca="1" ref="BZ101" ca="1">IF(NPSwitch=1,_xll.TR(BZ$7,BZ$6,"Sdate=#1 Period=#2 NULL=BLANK Scale=6",,$D101,$AS$4),BZ101)</f>
        <v>8073.4354999999996</v>
      </c>
      <c r="CA101" s="765" cm="1">
        <f t="array" aca="1" ref="CA101" ca="1">IF(NPSwitch=1,_xll.TR(CA$7,CA$6,"Sdate=#1 Period=#2 NULL=BLANK Scale=6",,$D101,$AS$4),CA101)</f>
        <v>4839.75</v>
      </c>
      <c r="CB101" s="765" cm="1">
        <f t="array" aca="1" ref="CB101" ca="1">IF(NPSwitch=1,_xll.TR(CB$7,CB$6,"Sdate=#1 Period=#2 NULL=BLANK Scale=6",,$D101,$AS$4),CB101)</f>
        <v>3580.05</v>
      </c>
      <c r="CC101" s="765" cm="1">
        <f t="array" aca="1" ref="CC101" ca="1">IF(NPSwitch=1,_xll.TR(CC$7,CC$6,"Sdate=#1 Period=#2 NULL=BLANK Scale=6",,$D101,$AS$4),CC101)</f>
        <v>5511.5</v>
      </c>
      <c r="CD101" s="765" cm="1">
        <f t="array" aca="1" ref="CD101" ca="1">IF(NPSwitch=1,_xll.TR(CD$7,CD$6,"Sdate=#1 Period=#2 NULL=BLANK Scale=6",,$D101,$AS$4),CD101)</f>
        <v>6507.65</v>
      </c>
      <c r="CE101" s="765" cm="1">
        <f t="array" aca="1" ref="CE101" ca="1">IF(NPSwitch=1,_xll.TR(CE$7,CE$6,"Sdate=#1 Period=#2 NULL=BLANK Scale=6",,$D101,$AS$4),CE101)</f>
        <v>12061.25</v>
      </c>
      <c r="CF101" s="765" cm="1">
        <f t="array" aca="1" ref="CF101" ca="1">IF(NPSwitch=1,_xll.TR(CF$7,CF$6,"Sdate=#1 Period=#2 NULL=BLANK Scale=6",,$D101,$AS$4),CF101)</f>
        <v>11416</v>
      </c>
      <c r="CG101" s="765" cm="1">
        <f t="array" aca="1" ref="CG101" ca="1">IF(NPSwitch=1,_xll.TR(CG$7,CG$6,"Sdate=#1 Period=#2 NULL=BLANK Scale=6",,$D101,$AS$4),CG101)</f>
        <v>11791.5</v>
      </c>
      <c r="CI101" s="1000" cm="1">
        <f t="array" aca="1" ref="CI101" ca="1">IF(NPSwitch=1,_xll.TR(CI$7,CI$6,"Sdate=#1 Period=#2 NULL=BLANK Scale=6",,$D101,$AS$4),CI101)</f>
        <v>9886</v>
      </c>
      <c r="CJ101" s="1000" cm="1">
        <f t="array" aca="1" ref="CJ101" ca="1">IF(NPSwitch=1,_xll.TR(CJ$7,CJ$6,"Sdate=#1 Period=#2 NULL=BLANK Scale=6",,$D101,$AS$4),CJ101)</f>
        <v>855.30899999999997</v>
      </c>
      <c r="CK101" s="1000" cm="1">
        <f t="array" aca="1" ref="CK101" ca="1">IF(NPSwitch=1,_xll.TR(CK$7,CK$6,"Sdate=#1 Period=#2 NULL=BLANK Scale=6",,$D101,$AS$4),CK101)</f>
        <v>397</v>
      </c>
      <c r="CL101" s="1000" cm="1">
        <f t="array" aca="1" ref="CL101" ca="1">IF(NPSwitch=1,_xll.TR(CL$7,CL$6,"Sdate=#1 Period=#2 NULL=BLANK Scale=6",,$D101,$AS$4),CL101)</f>
        <v>531.70000000000005</v>
      </c>
      <c r="CM101" s="1000" cm="1">
        <f t="array" aca="1" ref="CM101" ca="1">IF(NPSwitch=1,_xll.TR(CM$7,CM$6,"Sdate=#1 Period=#2 NULL=BLANK Scale=6",,$D101,$AS$4),CM101)</f>
        <v>868</v>
      </c>
      <c r="CN101" s="1000" cm="1">
        <f t="array" aca="1" ref="CN101" ca="1">IF(NPSwitch=1,_xll.TR(CN$7,CN$6,"Sdate=#1 Period=#2 NULL=BLANK Scale=6",,$D101,$AS$4),CN101)</f>
        <v>1190.7</v>
      </c>
      <c r="CO101" s="1000" cm="1">
        <f t="array" aca="1" ref="CO101" ca="1">IF(NPSwitch=1,_xll.TR(CO$7,CO$6,"Sdate=#1 Period=#2 NULL=BLANK Scale=6",,$D101,$AS$4),CO101)</f>
        <v>2725</v>
      </c>
      <c r="CP101" s="1000" cm="1">
        <f t="array" aca="1" ref="CP101" ca="1">IF(NPSwitch=1,_xll.TR(CP$7,CP$6,"Sdate=#1 Period=#2 NULL=BLANK Scale=6",,$D101,$AS$4),CP101)</f>
        <v>1958</v>
      </c>
      <c r="CQ101" s="1000" cm="1">
        <f t="array" aca="1" ref="CQ101" ca="1">IF(NPSwitch=1,_xll.TR(CQ$7,CQ$6,"Sdate=#1 Period=#2 NULL=BLANK Scale=6",,$D101,$AS$4),CQ101)</f>
        <v>1814</v>
      </c>
      <c r="CS101" s="1000" cm="1">
        <f t="array" aca="1" ref="CS101" ca="1">IF(NPSwitch=1,_xll.TR(CS$7,CS$6,"Sdate=#1 Period=#2 NULL=BLANK Scale=6",,$D101,$AS$4),CS101)</f>
        <v>10171.5</v>
      </c>
      <c r="CT101" s="1000" cm="1">
        <f t="array" aca="1" ref="CT101" ca="1">IF(NPSwitch=1,_xll.TR(CT$7,CT$6,"Sdate=#1 Period=#2 NULL=BLANK Scale=6",,$D101,$AS$4),CT101)</f>
        <v>5516.9037500000004</v>
      </c>
      <c r="CU101" s="1000" cm="1">
        <f t="array" aca="1" ref="CU101" ca="1">IF(NPSwitch=1,_xll.TR(CU$7,CU$6,"Sdate=#1 Period=#2 NULL=BLANK Scale=6",,$D101,$AS$4),CU101)</f>
        <v>1680.75</v>
      </c>
      <c r="CV101" s="1000" cm="1">
        <f t="array" aca="1" ref="CV101" ca="1">IF(NPSwitch=1,_xll.TR(CV$7,CV$6,"Sdate=#1 Period=#2 NULL=BLANK Scale=6",,$D101,$AS$4),CV101)</f>
        <v>765.6</v>
      </c>
      <c r="CW101" s="1000" cm="1">
        <f t="array" aca="1" ref="CW101" ca="1">IF(NPSwitch=1,_xll.TR(CW$7,CW$6,"Sdate=#1 Period=#2 NULL=BLANK Scale=6",,$D101,$AS$4),CW101)</f>
        <v>909.85</v>
      </c>
      <c r="CX101" s="1000" cm="1">
        <f t="array" aca="1" ref="CX101" ca="1">IF(NPSwitch=1,_xll.TR(CX$7,CX$6,"Sdate=#1 Period=#2 NULL=BLANK Scale=6",,$D101,$AS$4),CX101)</f>
        <v>3990.25</v>
      </c>
      <c r="CY101" s="1000" cm="1">
        <f t="array" aca="1" ref="CY101" ca="1">IF(NPSwitch=1,_xll.TR(CY$7,CY$6,"Sdate=#1 Period=#2 NULL=BLANK Scale=6",,$D101,$AS$4),CY101)</f>
        <v>5151</v>
      </c>
      <c r="CZ101" s="1000" cm="1">
        <f t="array" aca="1" ref="CZ101" ca="1">IF(NPSwitch=1,_xll.TR(CZ$7,CZ$6,"Sdate=#1 Period=#2 NULL=BLANK Scale=6",,$D101,$AS$4),CZ101)</f>
        <v>5592.75</v>
      </c>
      <c r="DA101" s="1000" cm="1">
        <f t="array" aca="1" ref="DA101" ca="1">IF(NPSwitch=1,_xll.TR(DA$7,DA$6,"Sdate=#1 Period=#2 NULL=BLANK Scale=6",,$D101,$AS$4),DA101)</f>
        <v>4116.5</v>
      </c>
      <c r="DB101" s="1000" cm="1">
        <f t="array" aca="1" ref="DB101" ca="1">IF(NPSwitch=1,_xll.TR(DB$7,DB$6,"Sdate=#1 Period=#2 NULL=BLANK Scale=6",,$D101,$AS$4),DB101)</f>
        <v>19691.75</v>
      </c>
      <c r="DC101" s="1000" cm="1">
        <f t="array" aca="1" ref="DC101" ca="1">IF(NPSwitch=1,_xll.TR(DC$7,DC$6,"Sdate=#1 Period=#2 NULL=BLANK Scale=6",,$D101,$AS$4),DC101)</f>
        <v>21908.25</v>
      </c>
      <c r="DD101" s="1000" cm="1">
        <f t="array" aca="1" ref="DD101" ca="1">IF(NPSwitch=1,_xll.TR(DD$7,DD$6,"Sdate=#1 Period=#2 NULL=BLANK Scale=6",,$D101,$AS$4),DD101)</f>
        <v>15883</v>
      </c>
      <c r="DE101" s="1000" cm="1">
        <f t="array" aca="1" ref="DE101" ca="1">IF(NPSwitch=1,_xll.TR(DE$7,DE$6,"Sdate=#1 Period=#2 NULL=BLANK Scale=6",,$D101,$AS$4),DE101)</f>
        <v>8006.5</v>
      </c>
      <c r="DF101" s="1000" cm="1">
        <f t="array" aca="1" ref="DF101" ca="1">IF(NPSwitch=1,_xll.TR(DF$7,DF$6,"Sdate=#1 Period=#2 NULL=BLANK Scale=6",,$D101,$AS$4),DF101)</f>
        <v>765.6</v>
      </c>
      <c r="DG101" s="1000" cm="1">
        <f t="array" aca="1" ref="DG101" ca="1">IF(NPSwitch=1,_xll.TR(DG$7,DG$6,"Sdate=#1 Period=#2 NULL=BLANK Scale=6",,$D101,$AS$4),DG101)</f>
        <v>2945</v>
      </c>
      <c r="DH101" s="1000" cm="1">
        <f t="array" aca="1" ref="DH101" ca="1">IF(NPSwitch=1,_xll.TR(DH$7,DH$6,"Sdate=#1 Period=#2 NULL=BLANK Scale=6",,$D101,$AS$4),DH101)</f>
        <v>7363.25</v>
      </c>
    </row>
    <row r="102" spans="3:112">
      <c r="C102" s="969">
        <f t="shared" si="47"/>
        <v>44469</v>
      </c>
      <c r="D102" s="974">
        <f t="shared" si="46"/>
        <v>44514</v>
      </c>
      <c r="E102" s="765" cm="1">
        <f t="array" aca="1" ref="E102" ca="1">IF(NPSwitch=1,_xll.TR(E$7,E$6,"Sdate=#1 Period=#2 NULL=BLANK",,$D102,$E$4),E102)</f>
        <v>12.1266856408665</v>
      </c>
      <c r="F102" s="765" cm="1">
        <f t="array" aca="1" ref="F102" ca="1">IF(NPSwitch=1,_xll.TR(F$7,F$6,"Sdate=#1 Period=#2 NULL=BLANK",,$D102,$E$4),F102)</f>
        <v>29.962342115454899</v>
      </c>
      <c r="G102" s="765" cm="1">
        <f t="array" aca="1" ref="G102" ca="1">IF(NPSwitch=1,_xll.TR(G$7,G$6,"Sdate=#1 Period=#2 NULL=BLANK",,$D102,$E$4),G102)</f>
        <v>12.827992578700799</v>
      </c>
      <c r="H102" s="765" cm="1">
        <f t="array" aca="1" ref="H102" ca="1">IF(NPSwitch=1,_xll.TR(H$7,H$6,"Sdate=#1 Period=#2 NULL=BLANK",,$D102,$E$4),H102)</f>
        <v>10.7563839283254</v>
      </c>
      <c r="I102" s="765" cm="1">
        <f t="array" aca="1" ref="I102" ca="1">IF(NPSwitch=1,_xll.TR(I$7,I$6,"Sdate=#1 Period=#2 NULL=BLANK",,$D102,$E$4),I102)</f>
        <v>6.2063029061506496</v>
      </c>
      <c r="J102" s="765" cm="1">
        <f t="array" aca="1" ref="J102" ca="1">IF(NPSwitch=1,_xll.TR(J$7,J$6,"Sdate=#1 Period=#2 NULL=BLANK",,$D102,$E$4),J102)</f>
        <v>11.5992855313447</v>
      </c>
      <c r="K102" s="765" cm="1">
        <f t="array" aca="1" ref="K102" ca="1">IF(NPSwitch=1,_xll.TR(K$7,K$6,"Sdate=#1 Period=#2 NULL=BLANK",,$D102,$E$4),K102)</f>
        <v>14.213114296492</v>
      </c>
      <c r="L102" s="765" cm="1">
        <f t="array" aca="1" ref="L102" ca="1">IF(NPSwitch=1,_xll.TR(L$7,L$6,"Sdate=#1 Period=#2 NULL=BLANK",,$D102,$E$4),L102)</f>
        <v>5.96125452641735</v>
      </c>
      <c r="M102" s="765" cm="1">
        <f t="array" aca="1" ref="M102" ca="1">IF(NPSwitch=1,_xll.TR(M$7,M$6,"Sdate=#1 Period=#2 NULL=BLANK",,$D102,$E$4),M102)</f>
        <v>9.2449286711192098</v>
      </c>
      <c r="N102" s="1002">
        <f t="shared" ca="1" si="48"/>
        <v>10.260722294571817</v>
      </c>
      <c r="O102" s="1000" cm="1">
        <f t="array" aca="1" ref="O102" ca="1">IF(NPSwitch=1,_xll.TR(O$7,O$6,"Sdate=#1 Period=#2 Scale=6 NULL=BLANK",,$D102,$O$4),O102)</f>
        <v>105834.58979898</v>
      </c>
      <c r="P102" s="1000" cm="1">
        <f t="array" aca="1" ref="P102" ca="1">IF(NPSwitch=1,_xll.TR(P$7,P$6,"Sdate=#1 Period=#2 Scale=6 NULL=BLANK",,$D102,$O$4),P102)</f>
        <v>32332.254295199898</v>
      </c>
      <c r="Q102" s="1000" cm="1">
        <f t="array" aca="1" ref="Q102" ca="1">IF(NPSwitch=1,_xll.TR(Q$7,Q$6,"Sdate=#1 Period=#2 Scale=6 NULL=BLANK",,$D102,$O$4),Q102)</f>
        <v>6041.3964771600004</v>
      </c>
      <c r="R102" s="1000" cm="1">
        <f t="array" aca="1" ref="R102" ca="1">IF(NPSwitch=1,_xll.TR(R$7,R$6,"Sdate=#1 Period=#2 Scale=6 NULL=BLANK",,$D102,$O$4),R102)</f>
        <v>5413.5449546</v>
      </c>
      <c r="S102" s="1000" cm="1">
        <f t="array" aca="1" ref="S102" ca="1">IF(NPSwitch=1,_xll.TR(S$7,S$6,"Sdate=#1 Period=#2 Scale=6 NULL=BLANK",,$D102,$O$4),S102)</f>
        <v>7367.2591776600002</v>
      </c>
      <c r="T102" s="1000" cm="1">
        <f t="array" aca="1" ref="T102" ca="1">IF(NPSwitch=1,_xll.TR(T$7,T$6,"Sdate=#1 Period=#2 Scale=6 NULL=BLANK",,$D102,$O$4),T102)</f>
        <v>13447.06610455</v>
      </c>
      <c r="U102" s="1000" cm="1">
        <f t="array" aca="1" ref="U102" ca="1">IF(NPSwitch=1,_xll.TR(U$7,U$6,"Sdate=#1 Period=#2 Scale=6 NULL=BLANK",,$D102,$O$4),U102)</f>
        <v>38373.473878919998</v>
      </c>
      <c r="V102" s="1000" cm="1">
        <f t="array" aca="1" ref="V102" ca="1">IF(NPSwitch=1,_xll.TR(V$7,V$6,"Sdate=#1 Period=#2 Scale=6 NULL=BLANK",,$D102,$O$4),V102)</f>
        <v>11196.4309919999</v>
      </c>
      <c r="W102" s="1000" cm="1">
        <f t="array" aca="1" ref="W102" ca="1">IF(NPSwitch=1,_xll.TR(W$7,W$6,"Sdate=#1 Period=#2 Scale=6 NULL=BLANK",,$D102,$O$4),W102)</f>
        <v>15576.250724940001</v>
      </c>
      <c r="X102" s="998"/>
      <c r="Y102" s="1000" cm="1">
        <f t="array" aca="1" ref="Y102" ca="1">IF(NPSwitch=1,_xll.TR(Y$7,Y$6,"Sdate=#1 Period=#2 Scale=6 NULL=BLANK",,$D102,$O$4),Y102)</f>
        <v>5352</v>
      </c>
      <c r="Z102" s="1000" cm="1">
        <f t="array" aca="1" ref="Z102" ca="1">IF(NPSwitch=1,_xll.TR(Z$7,Z$6,"Sdate=#1 Period=#2 Scale=6 NULL=BLANK",,$D102,$O$4),Z102)</f>
        <v>683.80100000000004</v>
      </c>
      <c r="AA102" s="1000" cm="1">
        <f t="array" aca="1" ref="AA102" ca="1">IF(NPSwitch=1,_xll.TR(AA$7,AA$6,"Sdate=#1 Period=#2 Scale=6 NULL=BLANK",,$D102,$O$4),AA102)</f>
        <v>295</v>
      </c>
      <c r="AB102" s="1000" cm="1">
        <f t="array" aca="1" ref="AB102" ca="1">IF(NPSwitch=1,_xll.TR(AB$7,AB$6,"Sdate=#1 Period=#2 Scale=6 NULL=BLANK",,$D102,$O$4),AB102)</f>
        <v>601.35</v>
      </c>
      <c r="AC102" s="1000" cm="1">
        <f t="array" aca="1" ref="AC102" ca="1">IF(NPSwitch=1,_xll.TR(AC$7,AC$6,"Sdate=#1 Period=#2 Scale=6 NULL=BLANK",,$D102,$O$4),AC102)</f>
        <v>820.25</v>
      </c>
      <c r="AD102" s="1000" cm="1">
        <f t="array" aca="1" ref="AD102" ca="1">IF(NPSwitch=1,_xll.TR(AD$7,AD$6,"Sdate=#1 Period=#2 Scale=6 NULL=BLANK",,$D102,$O$4),AD102)</f>
        <v>513.77499999999998</v>
      </c>
      <c r="AE102" s="1000" cm="1">
        <f t="array" aca="1" ref="AE102" ca="1">IF(NPSwitch=1,_xll.TR(AE$7,AE$6,"Sdate=#1 Period=#2 Scale=6 NULL=BLANK",,$D102,$O$4),AE102)</f>
        <v>1614.75</v>
      </c>
      <c r="AF102" s="1000" cm="1">
        <f t="array" aca="1" ref="AF102" ca="1">IF(NPSwitch=1,_xll.TR(AF$7,AF$6,"Sdate=#1 Period=#2 Scale=6 NULL=BLANK",,$D102,$O$4),AF102)</f>
        <v>1227.25</v>
      </c>
      <c r="AG102" s="1000" cm="1">
        <f t="array" aca="1" ref="AG102" ca="1">IF(NPSwitch=1,_xll.TR(AG$7,AG$6,"Sdate=#1 Period=#2 Scale=6 NULL=BLANK",,$D102,$O$4),AG102)</f>
        <v>607.5</v>
      </c>
      <c r="AH102" s="998"/>
      <c r="AI102" s="1000" cm="1">
        <f t="array" aca="1" ref="AI102" ca="1">IF(NPSwitch=1,_xll.TR(AI$7,AI$6,"Sdate=#1 Period=#2 Scale=6 NULL=BLANK",,$D102,$O$4),AI102)</f>
        <v>118336.58979898</v>
      </c>
      <c r="AJ102" s="1000" cm="1">
        <f t="array" aca="1" ref="AJ102" ca="1">IF(NPSwitch=1,_xll.TR(AJ$7,AJ$6,"Sdate=#1 Period=#2 Scale=6 NULL=BLANK",,$D102,$O$4),AJ102)</f>
        <v>33960.419295200001</v>
      </c>
      <c r="AK102" s="1000" cm="1">
        <f t="array" aca="1" ref="AK102" ca="1">IF(NPSwitch=1,_xll.TR(AK$7,AK$6,"Sdate=#1 Period=#2 Scale=6 NULL=BLANK",,$D102,$O$4),AK102)</f>
        <v>7458.3964771600004</v>
      </c>
      <c r="AL102" s="1000" cm="1">
        <f t="array" aca="1" ref="AL102" ca="1">IF(NPSwitch=1,_xll.TR(AL$7,AL$6,"Sdate=#1 Period=#2 Scale=6 NULL=BLANK",,$D102,$O$4),AL102)</f>
        <v>6744.6449546000003</v>
      </c>
      <c r="AM102" s="1000" cm="1">
        <f t="array" aca="1" ref="AM102" ca="1">IF(NPSwitch=1,_xll.TR(AM$7,AM$6,"Sdate=#1 Period=#2 Scale=6 NULL=BLANK",,$D102,$O$4),AM102)</f>
        <v>8638.2591776600002</v>
      </c>
      <c r="AN102" s="1000" cm="1">
        <f t="array" aca="1" ref="AN102" ca="1">IF(NPSwitch=1,_xll.TR(AN$7,AN$6,"Sdate=#1 Period=#2 Scale=6 NULL=BLANK",,$D102,$O$4),AN102)</f>
        <v>16525.366104550001</v>
      </c>
      <c r="AO102" s="1000" cm="1">
        <f t="array" aca="1" ref="AO102" ca="1">IF(NPSwitch=1,_xll.TR(AO$7,AO$6,"Sdate=#1 Period=#2 Scale=6 NULL=BLANK",,$D102,$O$4),AO102)</f>
        <v>44022.473878919998</v>
      </c>
      <c r="AP102" s="1000" cm="1">
        <f t="array" aca="1" ref="AP102" ca="1">IF(NPSwitch=1,_xll.TR(AP$7,AP$6,"Sdate=#1 Period=#2 Scale=6 NULL=BLANK",,$D102,$O$4),AP102)</f>
        <v>13805.430992</v>
      </c>
      <c r="AQ102" s="1000" cm="1">
        <f t="array" aca="1" ref="AQ102" ca="1">IF(NPSwitch=1,_xll.TR(AQ$7,AQ$6,"Sdate=#1 Period=#2 Scale=6 NULL=BLANK",,$D102,$O$4),AQ102)</f>
        <v>20434.250724940001</v>
      </c>
      <c r="AS102" s="765" cm="1">
        <f t="array" aca="1" ref="AS102" ca="1">IF(NPSwitch=1,_xll.TR(AS$7,AS$6,"Sdate=#1 Period=#2 NULL=BLANK Scale=6",,$D102,$AS$4),AS102)</f>
        <v>15.3083333333333</v>
      </c>
      <c r="AT102" s="765" cm="1">
        <f t="array" aca="1" ref="AT102" ca="1">IF(NPSwitch=1,_xll.TR(AT$7,AT$6,"Sdate=#1 Period=#2 NULL=BLANK Scale=6",,$D102,$AS$4),AT102)</f>
        <v>5.7069441666666698</v>
      </c>
      <c r="AU102" s="765" t="str" cm="1">
        <f t="array" aca="1" ref="AU102" ca="1">IF(NPSwitch=1,_xll.TR(AU$7,AU$6,"Sdate=#1 Period=#2 NULL=BLANK Scale=6",,$D102,$AS$4),AU102)</f>
        <v/>
      </c>
      <c r="AV102" s="765" cm="1">
        <f t="array" aca="1" ref="AV102" ca="1">IF(NPSwitch=1,_xll.TR(AV$7,AV$6,"Sdate=#1 Period=#2 NULL=BLANK Scale=6",,$D102,$AS$4),AV102)</f>
        <v>9.0416666666666696</v>
      </c>
      <c r="AW102" s="765" cm="1">
        <f t="array" aca="1" ref="AW102" ca="1">IF(NPSwitch=1,_xll.TR(AW$7,AW$6,"Sdate=#1 Period=#2 NULL=BLANK Scale=6",,$D102,$AS$4),AW102)</f>
        <v>10.8388858333333</v>
      </c>
      <c r="AX102" s="765" cm="1">
        <f t="array" aca="1" ref="AX102" ca="1">IF(NPSwitch=1,_xll.TR(AX$7,AX$6,"Sdate=#1 Period=#2 NULL=BLANK Scale=6",,$D102,$AS$4),AX102)</f>
        <v>19.783333333333299</v>
      </c>
      <c r="AY102" s="765" cm="1">
        <f t="array" aca="1" ref="AY102" ca="1">IF(NPSwitch=1,_xll.TR(AY$7,AY$6,"Sdate=#1 Period=#2 NULL=BLANK Scale=6",,$D102,$AS$4),AY102)</f>
        <v>10.949996666666699</v>
      </c>
      <c r="AZ102" s="765" cm="1">
        <f t="array" aca="1" ref="AZ102" ca="1">IF(NPSwitch=1,_xll.TR(AZ$7,AZ$6,"Sdate=#1 Period=#2 NULL=BLANK Scale=6",,$D102,$AS$4),AZ102)</f>
        <v>11.658333333333299</v>
      </c>
      <c r="BA102" s="765" cm="1">
        <f t="array" aca="1" ref="BA102" ca="1">IF(NPSwitch=1,_xll.TR(BA$7,BA$6,"Sdate=#1 Period=#2 NULL=BLANK Scale=6",,$D102,$AS$4),BA102)</f>
        <v>9.2888916666666699</v>
      </c>
      <c r="BB102" s="1002"/>
      <c r="BO102" s="765" cm="1">
        <f t="array" aca="1" ref="BO102" ca="1">IF(NPSwitch=1,_xll.TR(BO$7,BO$6,"Sdate=#1 Period=#2 NULL=BLANK Scale=6",,$D102,$AS$4),BO102)</f>
        <v>35326</v>
      </c>
      <c r="BP102" s="765" cm="1">
        <f t="array" aca="1" ref="BP102" ca="1">IF(NPSwitch=1,_xll.TR(BP$7,BP$6,"Sdate=#1 Period=#2 NULL=BLANK Scale=6",,$D102,$AS$4),BP102)</f>
        <v>3312.9</v>
      </c>
      <c r="BQ102" s="765" cm="1">
        <f t="array" aca="1" ref="BQ102" ca="1">IF(NPSwitch=1,_xll.TR(BQ$7,BQ$6,"Sdate=#1 Period=#2 NULL=BLANK Scale=6",,$D102,$AS$4),BQ102)</f>
        <v>1845</v>
      </c>
      <c r="BR102" s="765" cm="1">
        <f t="array" aca="1" ref="BR102" ca="1">IF(NPSwitch=1,_xll.TR(BR$7,BR$6,"Sdate=#1 Period=#2 NULL=BLANK Scale=6",,$D102,$AS$4),BR102)</f>
        <v>4212.5</v>
      </c>
      <c r="BS102" s="765" cm="1">
        <f t="array" aca="1" ref="BS102" ca="1">IF(NPSwitch=1,_xll.TR(BS$7,BS$6,"Sdate=#1 Period=#2 NULL=BLANK Scale=6",,$D102,$AS$4),BS102)</f>
        <v>7626</v>
      </c>
      <c r="BT102" s="765" cm="1">
        <f t="array" aca="1" ref="BT102" ca="1">IF(NPSwitch=1,_xll.TR(BT$7,BT$6,"Sdate=#1 Period=#2 NULL=BLANK Scale=6",,$D102,$AS$4),BT102)</f>
        <v>4783.8</v>
      </c>
      <c r="BU102" s="765" cm="1">
        <f t="array" aca="1" ref="BU102" ca="1">IF(NPSwitch=1,_xll.TR(BU$7,BU$6,"Sdate=#1 Period=#2 NULL=BLANK Scale=6",,$D102,$AS$4),BU102)</f>
        <v>16369</v>
      </c>
      <c r="BV102" s="765" cm="1">
        <f t="array" aca="1" ref="BV102" ca="1">IF(NPSwitch=1,_xll.TR(BV$7,BV$6,"Sdate=#1 Period=#2 NULL=BLANK Scale=6",,$D102,$AS$4),BV102)</f>
        <v>10576</v>
      </c>
      <c r="BW102" s="765" cm="1">
        <f t="array" aca="1" ref="BW102" ca="1">IF(NPSwitch=1,_xll.TR(BW$7,BW$6,"Sdate=#1 Period=#2 NULL=BLANK Scale=6",,$D102,$AS$4),BW102)</f>
        <v>9968</v>
      </c>
      <c r="BY102" s="765" cm="1">
        <f t="array" aca="1" ref="BY102" ca="1">IF(NPSwitch=1,_xll.TR(BY$7,BY$6,"Sdate=#1 Period=#2 NULL=BLANK Scale=6",,$D102,$AS$4),BY102)</f>
        <v>32300</v>
      </c>
      <c r="BZ102" s="765" cm="1">
        <f t="array" aca="1" ref="BZ102" ca="1">IF(NPSwitch=1,_xll.TR(BZ$7,BZ$6,"Sdate=#1 Period=#2 NULL=BLANK Scale=6",,$D102,$AS$4),BZ102)</f>
        <v>8085.3427499999998</v>
      </c>
      <c r="CA102" s="765" cm="1">
        <f t="array" aca="1" ref="CA102" ca="1">IF(NPSwitch=1,_xll.TR(CA$7,CA$6,"Sdate=#1 Period=#2 NULL=BLANK Scale=6",,$D102,$AS$4),CA102)</f>
        <v>4798</v>
      </c>
      <c r="CB102" s="765" cm="1">
        <f t="array" aca="1" ref="CB102" ca="1">IF(NPSwitch=1,_xll.TR(CB$7,CB$6,"Sdate=#1 Period=#2 NULL=BLANK Scale=6",,$D102,$AS$4),CB102)</f>
        <v>3620.0749999999998</v>
      </c>
      <c r="CC102" s="765" cm="1">
        <f t="array" aca="1" ref="CC102" ca="1">IF(NPSwitch=1,_xll.TR(CC$7,CC$6,"Sdate=#1 Period=#2 NULL=BLANK Scale=6",,$D102,$AS$4),CC102)</f>
        <v>5520.5</v>
      </c>
      <c r="CD102" s="765" cm="1">
        <f t="array" aca="1" ref="CD102" ca="1">IF(NPSwitch=1,_xll.TR(CD$7,CD$6,"Sdate=#1 Period=#2 NULL=BLANK Scale=6",,$D102,$AS$4),CD102)</f>
        <v>6572.625</v>
      </c>
      <c r="CE102" s="765" cm="1">
        <f t="array" aca="1" ref="CE102" ca="1">IF(NPSwitch=1,_xll.TR(CE$7,CE$6,"Sdate=#1 Period=#2 NULL=BLANK Scale=6",,$D102,$AS$4),CE102)</f>
        <v>12631</v>
      </c>
      <c r="CF102" s="765" cm="1">
        <f t="array" aca="1" ref="CF102" ca="1">IF(NPSwitch=1,_xll.TR(CF$7,CF$6,"Sdate=#1 Period=#2 NULL=BLANK Scale=6",,$D102,$AS$4),CF102)</f>
        <v>11678.75</v>
      </c>
      <c r="CG102" s="765" cm="1">
        <f t="array" aca="1" ref="CG102" ca="1">IF(NPSwitch=1,_xll.TR(CG$7,CG$6,"Sdate=#1 Period=#2 NULL=BLANK Scale=6",,$D102,$AS$4),CG102)</f>
        <v>11710</v>
      </c>
      <c r="CI102" s="1000" cm="1">
        <f t="array" aca="1" ref="CI102" ca="1">IF(NPSwitch=1,_xll.TR(CI$7,CI$6,"Sdate=#1 Period=#2 NULL=BLANK Scale=6",,$D102,$AS$4),CI102)</f>
        <v>9810</v>
      </c>
      <c r="CJ102" s="1000" cm="1">
        <f t="array" aca="1" ref="CJ102" ca="1">IF(NPSwitch=1,_xll.TR(CJ$7,CJ$6,"Sdate=#1 Period=#2 NULL=BLANK Scale=6",,$D102,$AS$4),CJ102)</f>
        <v>840.79600000000005</v>
      </c>
      <c r="CK102" s="1000" cm="1">
        <f t="array" aca="1" ref="CK102" ca="1">IF(NPSwitch=1,_xll.TR(CK$7,CK$6,"Sdate=#1 Period=#2 NULL=BLANK Scale=6",,$D102,$AS$4),CK102)</f>
        <v>436</v>
      </c>
      <c r="CL102" s="1000" cm="1">
        <f t="array" aca="1" ref="CL102" ca="1">IF(NPSwitch=1,_xll.TR(CL$7,CL$6,"Sdate=#1 Period=#2 NULL=BLANK Scale=6",,$D102,$AS$4),CL102)</f>
        <v>545.4</v>
      </c>
      <c r="CM102" s="1000" cm="1">
        <f t="array" aca="1" ref="CM102" ca="1">IF(NPSwitch=1,_xll.TR(CM$7,CM$6,"Sdate=#1 Period=#2 NULL=BLANK Scale=6",,$D102,$AS$4),CM102)</f>
        <v>1030</v>
      </c>
      <c r="CN102" s="1000" cm="1">
        <f t="array" aca="1" ref="CN102" ca="1">IF(NPSwitch=1,_xll.TR(CN$7,CN$6,"Sdate=#1 Period=#2 NULL=BLANK Scale=6",,$D102,$AS$4),CN102)</f>
        <v>1194.4000000000001</v>
      </c>
      <c r="CO102" s="1000" cm="1">
        <f t="array" aca="1" ref="CO102" ca="1">IF(NPSwitch=1,_xll.TR(CO$7,CO$6,"Sdate=#1 Period=#2 NULL=BLANK Scale=6",,$D102,$AS$4),CO102)</f>
        <v>2605</v>
      </c>
      <c r="CP102" s="1000" cm="1">
        <f t="array" aca="1" ref="CP102" ca="1">IF(NPSwitch=1,_xll.TR(CP$7,CP$6,"Sdate=#1 Period=#2 NULL=BLANK Scale=6",,$D102,$AS$4),CP102)</f>
        <v>2098</v>
      </c>
      <c r="CQ102" s="1000" cm="1">
        <f t="array" aca="1" ref="CQ102" ca="1">IF(NPSwitch=1,_xll.TR(CQ$7,CQ$6,"Sdate=#1 Period=#2 NULL=BLANK Scale=6",,$D102,$AS$4),CQ102)</f>
        <v>1927</v>
      </c>
      <c r="CS102" s="1000" cm="1">
        <f t="array" aca="1" ref="CS102" ca="1">IF(NPSwitch=1,_xll.TR(CS$7,CS$6,"Sdate=#1 Period=#2 NULL=BLANK Scale=6",,$D102,$AS$4),CS102)</f>
        <v>10197.25</v>
      </c>
      <c r="CT102" s="1000" cm="1">
        <f t="array" aca="1" ref="CT102" ca="1">IF(NPSwitch=1,_xll.TR(CT$7,CT$6,"Sdate=#1 Period=#2 NULL=BLANK Scale=6",,$D102,$AS$4),CT102)</f>
        <v>5628.3902500000004</v>
      </c>
      <c r="CU102" s="1000" cm="1">
        <f t="array" aca="1" ref="CU102" ca="1">IF(NPSwitch=1,_xll.TR(CU$7,CU$6,"Sdate=#1 Period=#2 NULL=BLANK Scale=6",,$D102,$AS$4),CU102)</f>
        <v>1643</v>
      </c>
      <c r="CV102" s="1000" cm="1">
        <f t="array" aca="1" ref="CV102" ca="1">IF(NPSwitch=1,_xll.TR(CV$7,CV$6,"Sdate=#1 Period=#2 NULL=BLANK Scale=6",,$D102,$AS$4),CV102)</f>
        <v>762.7</v>
      </c>
      <c r="CW102" s="1000" cm="1">
        <f t="array" aca="1" ref="CW102" ca="1">IF(NPSwitch=1,_xll.TR(CW$7,CW$6,"Sdate=#1 Period=#2 NULL=BLANK Scale=6",,$D102,$AS$4),CW102)</f>
        <v>918.07500000000005</v>
      </c>
      <c r="CX102" s="1000" cm="1">
        <f t="array" aca="1" ref="CX102" ca="1">IF(NPSwitch=1,_xll.TR(CX$7,CX$6,"Sdate=#1 Period=#2 NULL=BLANK Scale=6",,$D102,$AS$4),CX102)</f>
        <v>4122.75</v>
      </c>
      <c r="CY102" s="1000" cm="1">
        <f t="array" aca="1" ref="CY102" ca="1">IF(NPSwitch=1,_xll.TR(CY$7,CY$6,"Sdate=#1 Period=#2 NULL=BLANK Scale=6",,$D102,$AS$4),CY102)</f>
        <v>5164</v>
      </c>
      <c r="CZ102" s="1000" cm="1">
        <f t="array" aca="1" ref="CZ102" ca="1">IF(NPSwitch=1,_xll.TR(CZ$7,CZ$6,"Sdate=#1 Period=#2 NULL=BLANK Scale=6",,$D102,$AS$4),CZ102)</f>
        <v>5516</v>
      </c>
      <c r="DA102" s="1000" cm="1">
        <f t="array" aca="1" ref="DA102" ca="1">IF(NPSwitch=1,_xll.TR(DA$7,DA$6,"Sdate=#1 Period=#2 NULL=BLANK Scale=6",,$D102,$AS$4),DA102)</f>
        <v>4140</v>
      </c>
      <c r="DB102" s="1000" cm="1">
        <f t="array" aca="1" ref="DB102" ca="1">IF(NPSwitch=1,_xll.TR(DB$7,DB$6,"Sdate=#1 Period=#2 NULL=BLANK Scale=6",,$D102,$AS$4),DB102)</f>
        <v>19958.75</v>
      </c>
      <c r="DC102" s="1000" cm="1">
        <f t="array" aca="1" ref="DC102" ca="1">IF(NPSwitch=1,_xll.TR(DC$7,DC$6,"Sdate=#1 Period=#2 NULL=BLANK Scale=6",,$D102,$AS$4),DC102)</f>
        <v>21696.5</v>
      </c>
      <c r="DD102" s="1000" cm="1">
        <f t="array" aca="1" ref="DD102" ca="1">IF(NPSwitch=1,_xll.TR(DD$7,DD$6,"Sdate=#1 Period=#2 NULL=BLANK Scale=6",,$D102,$AS$4),DD102)</f>
        <v>16159.5</v>
      </c>
      <c r="DE102" s="1000" cm="1">
        <f t="array" aca="1" ref="DE102" ca="1">IF(NPSwitch=1,_xll.TR(DE$7,DE$6,"Sdate=#1 Period=#2 NULL=BLANK Scale=6",,$D102,$AS$4),DE102)</f>
        <v>7265.75</v>
      </c>
      <c r="DF102" s="1000" cm="1">
        <f t="array" aca="1" ref="DF102" ca="1">IF(NPSwitch=1,_xll.TR(DF$7,DF$6,"Sdate=#1 Period=#2 NULL=BLANK Scale=6",,$D102,$AS$4),DF102)</f>
        <v>762.7</v>
      </c>
      <c r="DG102" s="1000" cm="1">
        <f t="array" aca="1" ref="DG102" ca="1">IF(NPSwitch=1,_xll.TR(DG$7,DG$6,"Sdate=#1 Period=#2 NULL=BLANK Scale=6",,$D102,$AS$4),DG102)</f>
        <v>2957.75</v>
      </c>
      <c r="DH102" s="1000" cm="1">
        <f t="array" aca="1" ref="DH102" ca="1">IF(NPSwitch=1,_xll.TR(DH$7,DH$6,"Sdate=#1 Period=#2 NULL=BLANK Scale=6",,$D102,$AS$4),DH102)</f>
        <v>7402.75</v>
      </c>
    </row>
    <row r="103" spans="3:112">
      <c r="C103" s="969">
        <f t="shared" si="47"/>
        <v>44561</v>
      </c>
      <c r="D103" s="974">
        <f t="shared" si="46"/>
        <v>44606</v>
      </c>
      <c r="E103" s="765" cm="1">
        <f t="array" aca="1" ref="E103" ca="1">IF(NPSwitch=1,_xll.TR(E$7,E$6,"Sdate=#1 Period=#2 NULL=BLANK",,$D103,$E$4),E103)</f>
        <v>10.6299038685351</v>
      </c>
      <c r="F103" s="765" cm="1">
        <f t="array" aca="1" ref="F103" ca="1">IF(NPSwitch=1,_xll.TR(F$7,F$6,"Sdate=#1 Period=#2 NULL=BLANK",,$D103,$E$4),F103)</f>
        <v>22.380236582450401</v>
      </c>
      <c r="G103" s="765" cm="1">
        <f t="array" aca="1" ref="G103" ca="1">IF(NPSwitch=1,_xll.TR(G$7,G$6,"Sdate=#1 Period=#2 NULL=BLANK",,$D103,$E$4),G103)</f>
        <v>12.5426124880846</v>
      </c>
      <c r="H103" s="765" cm="1">
        <f t="array" aca="1" ref="H103" ca="1">IF(NPSwitch=1,_xll.TR(H$7,H$6,"Sdate=#1 Period=#2 NULL=BLANK",,$D103,$E$4),H103)</f>
        <v>9.5114507653931106</v>
      </c>
      <c r="I103" s="765" cm="1">
        <f t="array" aca="1" ref="I103" ca="1">IF(NPSwitch=1,_xll.TR(I$7,I$6,"Sdate=#1 Period=#2 NULL=BLANK",,$D103,$E$4),I103)</f>
        <v>6.4527309413302696</v>
      </c>
      <c r="J103" s="765" cm="1">
        <f t="array" aca="1" ref="J103" ca="1">IF(NPSwitch=1,_xll.TR(J$7,J$6,"Sdate=#1 Period=#2 NULL=BLANK",,$D103,$E$4),J103)</f>
        <v>12.198223537436</v>
      </c>
      <c r="K103" s="765" cm="1">
        <f t="array" aca="1" ref="K103" ca="1">IF(NPSwitch=1,_xll.TR(K$7,K$6,"Sdate=#1 Period=#2 NULL=BLANK",,$D103,$E$4),K103)</f>
        <v>13.8516709715772</v>
      </c>
      <c r="L103" s="765" cm="1">
        <f t="array" aca="1" ref="L103" ca="1">IF(NPSwitch=1,_xll.TR(L$7,L$6,"Sdate=#1 Period=#2 NULL=BLANK",,$D103,$E$4),L103)</f>
        <v>5.8649269173169696</v>
      </c>
      <c r="M103" s="765" cm="1">
        <f t="array" aca="1" ref="M103" ca="1">IF(NPSwitch=1,_xll.TR(M$7,M$6,"Sdate=#1 Period=#2 NULL=BLANK",,$D103,$E$4),M103)</f>
        <v>9.3087136255806993</v>
      </c>
      <c r="N103" s="1002">
        <f t="shared" ca="1" si="48"/>
        <v>10.070269270189693</v>
      </c>
      <c r="O103" s="1000" cm="1">
        <f t="array" aca="1" ref="O103" ca="1">IF(NPSwitch=1,_xll.TR(O$7,O$6,"Sdate=#1 Period=#2 Scale=6 NULL=BLANK",,$D103,$O$4),O103)</f>
        <v>90239.510999999999</v>
      </c>
      <c r="P103" s="1000" cm="1">
        <f t="array" aca="1" ref="P103" ca="1">IF(NPSwitch=1,_xll.TR(P$7,P$6,"Sdate=#1 Period=#2 Scale=6 NULL=BLANK",,$D103,$O$4),P103)</f>
        <v>26646.896503200001</v>
      </c>
      <c r="Q103" s="1000" cm="1">
        <f t="array" aca="1" ref="Q103" ca="1">IF(NPSwitch=1,_xll.TR(Q$7,Q$6,"Sdate=#1 Period=#2 Scale=6 NULL=BLANK",,$D103,$O$4),Q103)</f>
        <v>5404.9116766500001</v>
      </c>
      <c r="R103" s="1000" cm="1">
        <f t="array" aca="1" ref="R103" ca="1">IF(NPSwitch=1,_xll.TR(R$7,R$6,"Sdate=#1 Period=#2 Scale=6 NULL=BLANK",,$D103,$O$4),R103)</f>
        <v>4822.0826203200004</v>
      </c>
      <c r="S103" s="1000" cm="1">
        <f t="array" aca="1" ref="S103" ca="1">IF(NPSwitch=1,_xll.TR(S$7,S$6,"Sdate=#1 Period=#2 Scale=6 NULL=BLANK",,$D103,$O$4),S103)</f>
        <v>7866.6745805600003</v>
      </c>
      <c r="T103" s="1000" cm="1">
        <f t="array" aca="1" ref="T103" ca="1">IF(NPSwitch=1,_xll.TR(T$7,T$6,"Sdate=#1 Period=#2 Scale=6 NULL=BLANK",,$D103,$O$4),T103)</f>
        <v>14549.71469425</v>
      </c>
      <c r="U103" s="1000" cm="1">
        <f t="array" aca="1" ref="U103" ca="1">IF(NPSwitch=1,_xll.TR(U$7,U$6,"Sdate=#1 Period=#2 Scale=6 NULL=BLANK",,$D103,$O$4),U103)</f>
        <v>35227.56356504</v>
      </c>
      <c r="V103" s="1000" cm="1">
        <f t="array" aca="1" ref="V103" ca="1">IF(NPSwitch=1,_xll.TR(V$7,V$6,"Sdate=#1 Period=#2 Scale=6 NULL=BLANK",,$D103,$O$4),V103)</f>
        <v>11254.663020799901</v>
      </c>
      <c r="W103" s="1000" cm="1">
        <f t="array" aca="1" ref="W103" ca="1">IF(NPSwitch=1,_xll.TR(W$7,W$6,"Sdate=#1 Period=#2 Scale=6 NULL=BLANK",,$D103,$O$4),W103)</f>
        <v>15565.133195820001</v>
      </c>
      <c r="X103" s="998"/>
      <c r="Y103" s="1000" cm="1">
        <f t="array" aca="1" ref="Y103" ca="1">IF(NPSwitch=1,_xll.TR(Y$7,Y$6,"Sdate=#1 Period=#2 Scale=6 NULL=BLANK",,$D103,$O$4),Y103)</f>
        <v>5283.75</v>
      </c>
      <c r="Z103" s="1000" cm="1">
        <f t="array" aca="1" ref="Z103" ca="1">IF(NPSwitch=1,_xll.TR(Z$7,Z$6,"Sdate=#1 Period=#2 Scale=6 NULL=BLANK",,$D103,$O$4),Z103)</f>
        <v>683.80100000000004</v>
      </c>
      <c r="AA103" s="1000" cm="1">
        <f t="array" aca="1" ref="AA103" ca="1">IF(NPSwitch=1,_xll.TR(AA$7,AA$6,"Sdate=#1 Period=#2 Scale=6 NULL=BLANK",,$D103,$O$4),AA103)</f>
        <v>259.75</v>
      </c>
      <c r="AB103" s="1000" cm="1">
        <f t="array" aca="1" ref="AB103" ca="1">IF(NPSwitch=1,_xll.TR(AB$7,AB$6,"Sdate=#1 Period=#2 Scale=6 NULL=BLANK",,$D103,$O$4),AB103)</f>
        <v>589.27499999999998</v>
      </c>
      <c r="AC103" s="1000" t="str" cm="1">
        <f t="array" aca="1" ref="AC103" ca="1">IF(NPSwitch=1,_xll.TR(AC$7,AC$6,"Sdate=#1 Period=#2 Scale=6 NULL=BLANK",,$D103,$O$4),AC103)</f>
        <v/>
      </c>
      <c r="AD103" s="1000" cm="1">
        <f t="array" aca="1" ref="AD103" ca="1">IF(NPSwitch=1,_xll.TR(AD$7,AD$6,"Sdate=#1 Period=#2 Scale=6 NULL=BLANK",,$D103,$O$4),AD103)</f>
        <v>500.75</v>
      </c>
      <c r="AE103" s="1000" cm="1">
        <f t="array" aca="1" ref="AE103" ca="1">IF(NPSwitch=1,_xll.TR(AE$7,AE$6,"Sdate=#1 Period=#2 Scale=6 NULL=BLANK",,$D103,$O$4),AE103)</f>
        <v>1402.25</v>
      </c>
      <c r="AF103" s="1000" cm="1">
        <f t="array" aca="1" ref="AF103" ca="1">IF(NPSwitch=1,_xll.TR(AF$7,AF$6,"Sdate=#1 Period=#2 Scale=6 NULL=BLANK",,$D103,$O$4),AF103)</f>
        <v>1227.25</v>
      </c>
      <c r="AG103" s="1000" cm="1">
        <f t="array" aca="1" ref="AG103" ca="1">IF(NPSwitch=1,_xll.TR(AG$7,AG$6,"Sdate=#1 Period=#2 Scale=6 NULL=BLANK",,$D103,$O$4),AG103)</f>
        <v>581.25</v>
      </c>
      <c r="AH103" s="998"/>
      <c r="AI103" s="1000" cm="1">
        <f t="array" aca="1" ref="AI103" ca="1">IF(NPSwitch=1,_xll.TR(AI$7,AI$6,"Sdate=#1 Period=#2 Scale=6 NULL=BLANK",,$D103,$O$4),AI103)</f>
        <v>103008.511</v>
      </c>
      <c r="AJ103" s="1000" cm="1">
        <f t="array" aca="1" ref="AJ103" ca="1">IF(NPSwitch=1,_xll.TR(AJ$7,AJ$6,"Sdate=#1 Period=#2 Scale=6 NULL=BLANK",,$D103,$O$4),AJ103)</f>
        <v>28275.061503199999</v>
      </c>
      <c r="AK103" s="1000" cm="1">
        <f t="array" aca="1" ref="AK103" ca="1">IF(NPSwitch=1,_xll.TR(AK$7,AK$6,"Sdate=#1 Period=#2 Scale=6 NULL=BLANK",,$D103,$O$4),AK103)</f>
        <v>7179.9116766500001</v>
      </c>
      <c r="AL103" s="1000" cm="1">
        <f t="array" aca="1" ref="AL103" ca="1">IF(NPSwitch=1,_xll.TR(AL$7,AL$6,"Sdate=#1 Period=#2 Scale=6 NULL=BLANK",,$D103,$O$4),AL103)</f>
        <v>6153.1826203199998</v>
      </c>
      <c r="AM103" s="1000" cm="1">
        <f t="array" aca="1" ref="AM103" ca="1">IF(NPSwitch=1,_xll.TR(AM$7,AM$6,"Sdate=#1 Period=#2 Scale=6 NULL=BLANK",,$D103,$O$4),AM103)</f>
        <v>9137.6745805600003</v>
      </c>
      <c r="AN103" s="1000" cm="1">
        <f t="array" aca="1" ref="AN103" ca="1">IF(NPSwitch=1,_xll.TR(AN$7,AN$6,"Sdate=#1 Period=#2 Scale=6 NULL=BLANK",,$D103,$O$4),AN103)</f>
        <v>17628.01469425</v>
      </c>
      <c r="AO103" s="1000" cm="1">
        <f t="array" aca="1" ref="AO103" ca="1">IF(NPSwitch=1,_xll.TR(AO$7,AO$6,"Sdate=#1 Period=#2 Scale=6 NULL=BLANK",,$D103,$O$4),AO103)</f>
        <v>40876.56356504</v>
      </c>
      <c r="AP103" s="1000" cm="1">
        <f t="array" aca="1" ref="AP103" ca="1">IF(NPSwitch=1,_xll.TR(AP$7,AP$6,"Sdate=#1 Period=#2 Scale=6 NULL=BLANK",,$D103,$O$4),AP103)</f>
        <v>13863.663020800001</v>
      </c>
      <c r="AQ103" s="1000" cm="1">
        <f t="array" aca="1" ref="AQ103" ca="1">IF(NPSwitch=1,_xll.TR(AQ$7,AQ$6,"Sdate=#1 Period=#2 Scale=6 NULL=BLANK",,$D103,$O$4),AQ103)</f>
        <v>20423.133195819999</v>
      </c>
      <c r="AS103" s="765" cm="1">
        <f t="array" aca="1" ref="AS103" ca="1">IF(NPSwitch=1,_xll.TR(AS$7,AS$6,"Sdate=#1 Period=#2 NULL=BLANK Scale=6",,$D103,$AS$4),AS103)</f>
        <v>15.516666666666699</v>
      </c>
      <c r="AT103" s="765" cm="1">
        <f t="array" aca="1" ref="AT103" ca="1">IF(NPSwitch=1,_xll.TR(AT$7,AT$6,"Sdate=#1 Period=#2 NULL=BLANK Scale=6",,$D103,$AS$4),AT103)</f>
        <v>6.05</v>
      </c>
      <c r="AU103" s="765" t="str" cm="1">
        <f t="array" aca="1" ref="AU103" ca="1">IF(NPSwitch=1,_xll.TR(AU$7,AU$6,"Sdate=#1 Period=#2 NULL=BLANK Scale=6",,$D103,$AS$4),AU103)</f>
        <v/>
      </c>
      <c r="AV103" s="765" cm="1">
        <f t="array" aca="1" ref="AV103" ca="1">IF(NPSwitch=1,_xll.TR(AV$7,AV$6,"Sdate=#1 Period=#2 NULL=BLANK Scale=6",,$D103,$AS$4),AV103)</f>
        <v>9.5833333333333304</v>
      </c>
      <c r="AW103" s="765" cm="1">
        <f t="array" aca="1" ref="AW103" ca="1">IF(NPSwitch=1,_xll.TR(AW$7,AW$6,"Sdate=#1 Period=#2 NULL=BLANK Scale=6",,$D103,$AS$4),AW103)</f>
        <v>10.8888866666667</v>
      </c>
      <c r="AX103" s="765" cm="1">
        <f t="array" aca="1" ref="AX103" ca="1">IF(NPSwitch=1,_xll.TR(AX$7,AX$6,"Sdate=#1 Period=#2 NULL=BLANK Scale=6",,$D103,$AS$4),AX103)</f>
        <v>20.116666666666699</v>
      </c>
      <c r="AY103" s="765" cm="1">
        <f t="array" aca="1" ref="AY103" ca="1">IF(NPSwitch=1,_xll.TR(AY$7,AY$6,"Sdate=#1 Period=#2 NULL=BLANK Scale=6",,$D103,$AS$4),AY103)</f>
        <v>10.994441666666701</v>
      </c>
      <c r="AZ103" s="765" cm="1">
        <f t="array" aca="1" ref="AZ103" ca="1">IF(NPSwitch=1,_xll.TR(AZ$7,AZ$6,"Sdate=#1 Period=#2 NULL=BLANK Scale=6",,$D103,$AS$4),AZ103)</f>
        <v>10.75</v>
      </c>
      <c r="BA103" s="765" cm="1">
        <f t="array" aca="1" ref="BA103" ca="1">IF(NPSwitch=1,_xll.TR(BA$7,BA$6,"Sdate=#1 Period=#2 NULL=BLANK Scale=6",,$D103,$AS$4),BA103)</f>
        <v>10.17778</v>
      </c>
      <c r="BB103" s="1002"/>
      <c r="BO103" s="765" cm="1">
        <f t="array" aca="1" ref="BO103" ca="1">IF(NPSwitch=1,_xll.TR(BO$7,BO$6,"Sdate=#1 Period=#2 NULL=BLANK Scale=6",,$D103,$AS$4),BO103)</f>
        <v>35355</v>
      </c>
      <c r="BP103" s="765" cm="1">
        <f t="array" aca="1" ref="BP103" ca="1">IF(NPSwitch=1,_xll.TR(BP$7,BP$6,"Sdate=#1 Period=#2 NULL=BLANK Scale=6",,$D103,$AS$4),BP103)</f>
        <v>3312.9</v>
      </c>
      <c r="BQ103" s="765" cm="1">
        <f t="array" aca="1" ref="BQ103" ca="1">IF(NPSwitch=1,_xll.TR(BQ$7,BQ$6,"Sdate=#1 Period=#2 NULL=BLANK Scale=6",,$D103,$AS$4),BQ103)</f>
        <v>1889</v>
      </c>
      <c r="BR103" s="765" cm="1">
        <f t="array" aca="1" ref="BR103" ca="1">IF(NPSwitch=1,_xll.TR(BR$7,BR$6,"Sdate=#1 Period=#2 NULL=BLANK Scale=6",,$D103,$AS$4),BR103)</f>
        <v>4022.5</v>
      </c>
      <c r="BS103" s="765" t="str" cm="1">
        <f t="array" aca="1" ref="BS103" ca="1">IF(NPSwitch=1,_xll.TR(BS$7,BS$6,"Sdate=#1 Period=#2 NULL=BLANK Scale=6",,$D103,$AS$4),BS103)</f>
        <v/>
      </c>
      <c r="BT103" s="765" cm="1">
        <f t="array" aca="1" ref="BT103" ca="1">IF(NPSwitch=1,_xll.TR(BT$7,BT$6,"Sdate=#1 Period=#2 NULL=BLANK Scale=6",,$D103,$AS$4),BT103)</f>
        <v>5045.2</v>
      </c>
      <c r="BU103" s="765" cm="1">
        <f t="array" aca="1" ref="BU103" ca="1">IF(NPSwitch=1,_xll.TR(BU$7,BU$6,"Sdate=#1 Period=#2 NULL=BLANK Scale=6",,$D103,$AS$4),BU103)</f>
        <v>16802</v>
      </c>
      <c r="BV103" s="765" cm="1">
        <f t="array" aca="1" ref="BV103" ca="1">IF(NPSwitch=1,_xll.TR(BV$7,BV$6,"Sdate=#1 Period=#2 NULL=BLANK Scale=6",,$D103,$AS$4),BV103)</f>
        <v>10576</v>
      </c>
      <c r="BW103" s="765" cm="1">
        <f t="array" aca="1" ref="BW103" ca="1">IF(NPSwitch=1,_xll.TR(BW$7,BW$6,"Sdate=#1 Period=#2 NULL=BLANK Scale=6",,$D103,$AS$4),BW103)</f>
        <v>10476</v>
      </c>
      <c r="BY103" s="765" cm="1">
        <f t="array" aca="1" ref="BY103" ca="1">IF(NPSwitch=1,_xll.TR(BY$7,BY$6,"Sdate=#1 Period=#2 NULL=BLANK Scale=6",,$D103,$AS$4),BY103)</f>
        <v>32488.5</v>
      </c>
      <c r="BZ103" s="765" cm="1">
        <f t="array" aca="1" ref="BZ103" ca="1">IF(NPSwitch=1,_xll.TR(BZ$7,BZ$6,"Sdate=#1 Period=#2 NULL=BLANK Scale=6",,$D103,$AS$4),BZ103)</f>
        <v>8085.3427499999998</v>
      </c>
      <c r="CA103" s="765" cm="1">
        <f t="array" aca="1" ref="CA103" ca="1">IF(NPSwitch=1,_xll.TR(CA$7,CA$6,"Sdate=#1 Period=#2 NULL=BLANK Scale=6",,$D103,$AS$4),CA103)</f>
        <v>4777</v>
      </c>
      <c r="CB103" s="765" cm="1">
        <f t="array" aca="1" ref="CB103" ca="1">IF(NPSwitch=1,_xll.TR(CB$7,CB$6,"Sdate=#1 Period=#2 NULL=BLANK Scale=6",,$D103,$AS$4),CB103)</f>
        <v>3636.35</v>
      </c>
      <c r="CC103" s="765" t="str" cm="1">
        <f t="array" aca="1" ref="CC103" ca="1">IF(NPSwitch=1,_xll.TR(CC$7,CC$6,"Sdate=#1 Period=#2 NULL=BLANK Scale=6",,$D103,$AS$4),CC103)</f>
        <v/>
      </c>
      <c r="CD103" s="765" cm="1">
        <f t="array" aca="1" ref="CD103" ca="1">IF(NPSwitch=1,_xll.TR(CD$7,CD$6,"Sdate=#1 Period=#2 NULL=BLANK Scale=6",,$D103,$AS$4),CD103)</f>
        <v>6588.6750000000002</v>
      </c>
      <c r="CE103" s="765" cm="1">
        <f t="array" aca="1" ref="CE103" ca="1">IF(NPSwitch=1,_xll.TR(CE$7,CE$6,"Sdate=#1 Period=#2 NULL=BLANK Scale=6",,$D103,$AS$4),CE103)</f>
        <v>12988</v>
      </c>
      <c r="CF103" s="765" cm="1">
        <f t="array" aca="1" ref="CF103" ca="1">IF(NPSwitch=1,_xll.TR(CF$7,CF$6,"Sdate=#1 Period=#2 NULL=BLANK Scale=6",,$D103,$AS$4),CF103)</f>
        <v>11678.75</v>
      </c>
      <c r="CG103" s="765" cm="1">
        <f t="array" aca="1" ref="CG103" ca="1">IF(NPSwitch=1,_xll.TR(CG$7,CG$6,"Sdate=#1 Period=#2 NULL=BLANK Scale=6",,$D103,$AS$4),CG103)</f>
        <v>11515.25</v>
      </c>
      <c r="CI103" s="1000" cm="1">
        <f t="array" aca="1" ref="CI103" ca="1">IF(NPSwitch=1,_xll.TR(CI$7,CI$6,"Sdate=#1 Period=#2 NULL=BLANK Scale=6",,$D103,$AS$4),CI103)</f>
        <v>9408</v>
      </c>
      <c r="CJ103" s="1000" cm="1">
        <f t="array" aca="1" ref="CJ103" ca="1">IF(NPSwitch=1,_xll.TR(CJ$7,CJ$6,"Sdate=#1 Period=#2 NULL=BLANK Scale=6",,$D103,$AS$4),CJ103)</f>
        <v>840.79600000000005</v>
      </c>
      <c r="CK103" s="1000" cm="1">
        <f t="array" aca="1" ref="CK103" ca="1">IF(NPSwitch=1,_xll.TR(CK$7,CK$6,"Sdate=#1 Period=#2 NULL=BLANK Scale=6",,$D103,$AS$4),CK103)</f>
        <v>440</v>
      </c>
      <c r="CL103" s="1000" cm="1">
        <f t="array" aca="1" ref="CL103" ca="1">IF(NPSwitch=1,_xll.TR(CL$7,CL$6,"Sdate=#1 Period=#2 NULL=BLANK Scale=6",,$D103,$AS$4),CL103)</f>
        <v>508.8</v>
      </c>
      <c r="CM103" s="1000" t="str" cm="1">
        <f t="array" aca="1" ref="CM103" ca="1">IF(NPSwitch=1,_xll.TR(CM$7,CM$6,"Sdate=#1 Period=#2 NULL=BLANK Scale=6",,$D103,$AS$4),CM103)</f>
        <v/>
      </c>
      <c r="CN103" s="1000" cm="1">
        <f t="array" aca="1" ref="CN103" ca="1">IF(NPSwitch=1,_xll.TR(CN$7,CN$6,"Sdate=#1 Period=#2 NULL=BLANK Scale=6",,$D103,$AS$4),CN103)</f>
        <v>1257.3</v>
      </c>
      <c r="CO103" s="1000" cm="1">
        <f t="array" aca="1" ref="CO103" ca="1">IF(NPSwitch=1,_xll.TR(CO$7,CO$6,"Sdate=#1 Period=#2 NULL=BLANK Scale=6",,$D103,$AS$4),CO103)</f>
        <v>2370</v>
      </c>
      <c r="CP103" s="1000" cm="1">
        <f t="array" aca="1" ref="CP103" ca="1">IF(NPSwitch=1,_xll.TR(CP$7,CP$6,"Sdate=#1 Period=#2 NULL=BLANK Scale=6",,$D103,$AS$4),CP103)</f>
        <v>2098</v>
      </c>
      <c r="CQ103" s="1000" cm="1">
        <f t="array" aca="1" ref="CQ103" ca="1">IF(NPSwitch=1,_xll.TR(CQ$7,CQ$6,"Sdate=#1 Period=#2 NULL=BLANK Scale=6",,$D103,$AS$4),CQ103)</f>
        <v>2412</v>
      </c>
      <c r="CS103" s="1000" cm="1">
        <f t="array" aca="1" ref="CS103" ca="1">IF(NPSwitch=1,_xll.TR(CS$7,CS$6,"Sdate=#1 Period=#2 NULL=BLANK Scale=6",,$D103,$AS$4),CS103)</f>
        <v>10197.75</v>
      </c>
      <c r="CT103" s="1000" cm="1">
        <f t="array" aca="1" ref="CT103" ca="1">IF(NPSwitch=1,_xll.TR(CT$7,CT$6,"Sdate=#1 Period=#2 NULL=BLANK Scale=6",,$D103,$AS$4),CT103)</f>
        <v>5628.3902500000004</v>
      </c>
      <c r="CU103" s="1000" cm="1">
        <f t="array" aca="1" ref="CU103" ca="1">IF(NPSwitch=1,_xll.TR(CU$7,CU$6,"Sdate=#1 Period=#2 NULL=BLANK Scale=6",,$D103,$AS$4),CU103)</f>
        <v>1597.75</v>
      </c>
      <c r="CV103" s="1000" cm="1">
        <f t="array" aca="1" ref="CV103" ca="1">IF(NPSwitch=1,_xll.TR(CV$7,CV$6,"Sdate=#1 Period=#2 NULL=BLANK Scale=6",,$D103,$AS$4),CV103)</f>
        <v>756.3</v>
      </c>
      <c r="CW103" s="1000" cm="1">
        <f t="array" aca="1" ref="CW103" ca="1">IF(NPSwitch=1,_xll.TR(CW$7,CW$6,"Sdate=#1 Period=#2 NULL=BLANK Scale=6",,$D103,$AS$4),CW103)</f>
        <v>926.375</v>
      </c>
      <c r="CX103" s="1000" cm="1">
        <f t="array" aca="1" ref="CX103" ca="1">IF(NPSwitch=1,_xll.TR(CX$7,CX$6,"Sdate=#1 Period=#2 NULL=BLANK Scale=6",,$D103,$AS$4),CX103)</f>
        <v>4212.5</v>
      </c>
      <c r="CY103" s="1000" cm="1">
        <f t="array" aca="1" ref="CY103" ca="1">IF(NPSwitch=1,_xll.TR(CY$7,CY$6,"Sdate=#1 Period=#2 NULL=BLANK Scale=6",,$D103,$AS$4),CY103)</f>
        <v>5164</v>
      </c>
      <c r="CZ103" s="1000" cm="1">
        <f t="array" aca="1" ref="CZ103" ca="1">IF(NPSwitch=1,_xll.TR(CZ$7,CZ$6,"Sdate=#1 Period=#2 NULL=BLANK Scale=6",,$D103,$AS$4),CZ103)</f>
        <v>5387.75</v>
      </c>
      <c r="DA103" s="1000" cm="1">
        <f t="array" aca="1" ref="DA103" ca="1">IF(NPSwitch=1,_xll.TR(DA$7,DA$6,"Sdate=#1 Period=#2 NULL=BLANK Scale=6",,$D103,$AS$4),DA103)</f>
        <v>4204.5</v>
      </c>
      <c r="DB103" s="1000" cm="1">
        <f t="array" aca="1" ref="DB103" ca="1">IF(NPSwitch=1,_xll.TR(DB$7,DB$6,"Sdate=#1 Period=#2 NULL=BLANK Scale=6",,$D103,$AS$4),DB103)</f>
        <v>19958.75</v>
      </c>
      <c r="DC103" s="1000" cm="1">
        <f t="array" aca="1" ref="DC103" ca="1">IF(NPSwitch=1,_xll.TR(DC$7,DC$6,"Sdate=#1 Period=#2 NULL=BLANK Scale=6",,$D103,$AS$4),DC103)</f>
        <v>21664.5</v>
      </c>
      <c r="DD103" s="1000" cm="1">
        <f t="array" aca="1" ref="DD103" ca="1">IF(NPSwitch=1,_xll.TR(DD$7,DD$6,"Sdate=#1 Period=#2 NULL=BLANK Scale=6",,$D103,$AS$4),DD103)</f>
        <v>16315.5</v>
      </c>
      <c r="DE103" s="1000" cm="1">
        <f t="array" aca="1" ref="DE103" ca="1">IF(NPSwitch=1,_xll.TR(DE$7,DE$6,"Sdate=#1 Period=#2 NULL=BLANK Scale=6",,$D103,$AS$4),DE103)</f>
        <v>6987</v>
      </c>
      <c r="DF103" s="1000" cm="1">
        <f t="array" aca="1" ref="DF103" ca="1">IF(NPSwitch=1,_xll.TR(DF$7,DF$6,"Sdate=#1 Period=#2 NULL=BLANK Scale=6",,$D103,$AS$4),DF103)</f>
        <v>756.3</v>
      </c>
      <c r="DG103" s="1000" t="str" cm="1">
        <f t="array" aca="1" ref="DG103" ca="1">IF(NPSwitch=1,_xll.TR(DG$7,DG$6,"Sdate=#1 Period=#2 NULL=BLANK Scale=6",,$D103,$AS$4),DG103)</f>
        <v/>
      </c>
      <c r="DH103" s="1000" cm="1">
        <f t="array" aca="1" ref="DH103" ca="1">IF(NPSwitch=1,_xll.TR(DH$7,DH$6,"Sdate=#1 Period=#2 NULL=BLANK Scale=6",,$D103,$AS$4),DH103)</f>
        <v>7402.75</v>
      </c>
    </row>
    <row r="104" spans="3:112">
      <c r="C104" s="969">
        <f t="shared" si="47"/>
        <v>44651</v>
      </c>
      <c r="D104" s="974">
        <f t="shared" si="46"/>
        <v>44696</v>
      </c>
      <c r="E104" s="765" cm="1">
        <f t="array" aca="1" ref="E104" ca="1">IF(NPSwitch=1,_xll.TR(E$7,E$6,"Sdate=#1 Period=#2 NULL=BLANK",,$D104,$E$4),E104)</f>
        <v>9.9595260067763007</v>
      </c>
      <c r="F104" s="765" cm="1">
        <f t="array" aca="1" ref="F104" ca="1">IF(NPSwitch=1,_xll.TR(F$7,F$6,"Sdate=#1 Period=#2 NULL=BLANK",,$D104,$E$4),F104)</f>
        <v>13.753035378437399</v>
      </c>
      <c r="G104" s="765" cm="1">
        <f t="array" aca="1" ref="G104" ca="1">IF(NPSwitch=1,_xll.TR(G$7,G$6,"Sdate=#1 Period=#2 NULL=BLANK",,$D104,$E$4),G104)</f>
        <v>9.5482232232107105</v>
      </c>
      <c r="H104" s="765" cm="1">
        <f t="array" aca="1" ref="H104" ca="1">IF(NPSwitch=1,_xll.TR(H$7,H$6,"Sdate=#1 Period=#2 NULL=BLANK",,$D104,$E$4),H104)</f>
        <v>8.4221422880121892</v>
      </c>
      <c r="I104" s="765" cm="1">
        <f t="array" aca="1" ref="I104" ca="1">IF(NPSwitch=1,_xll.TR(I$7,I$6,"Sdate=#1 Period=#2 NULL=BLANK",,$D104,$E$4),I104)</f>
        <v>5.3549706056366801</v>
      </c>
      <c r="J104" s="765" cm="1">
        <f t="array" aca="1" ref="J104" ca="1">IF(NPSwitch=1,_xll.TR(J$7,J$6,"Sdate=#1 Period=#2 NULL=BLANK",,$D104,$E$4),J104)</f>
        <v>12.290389132167</v>
      </c>
      <c r="K104" s="765" cm="1">
        <f t="array" aca="1" ref="K104" ca="1">IF(NPSwitch=1,_xll.TR(K$7,K$6,"Sdate=#1 Period=#2 NULL=BLANK",,$D104,$E$4),K104)</f>
        <v>11.844646106652601</v>
      </c>
      <c r="L104" s="765" cm="1">
        <f t="array" aca="1" ref="L104" ca="1">IF(NPSwitch=1,_xll.TR(L$7,L$6,"Sdate=#1 Period=#2 NULL=BLANK",,$D104,$E$4),L104)</f>
        <v>5.0280306426519701</v>
      </c>
      <c r="M104" s="765" cm="1">
        <f t="array" aca="1" ref="M104" ca="1">IF(NPSwitch=1,_xll.TR(M$7,M$6,"Sdate=#1 Period=#2 NULL=BLANK",,$D104,$E$4),M104)</f>
        <v>8.3097007763091906</v>
      </c>
      <c r="N104" s="1002">
        <f t="shared" ca="1" si="48"/>
        <v>8.7480669997218587</v>
      </c>
      <c r="O104" s="1000" cm="1">
        <f t="array" aca="1" ref="O104" ca="1">IF(NPSwitch=1,_xll.TR(O$7,O$6,"Sdate=#1 Period=#2 Scale=6 NULL=BLANK",,$D104,$O$4),O104)</f>
        <v>84960.486155699997</v>
      </c>
      <c r="P104" s="1000" cm="1">
        <f t="array" aca="1" ref="P104" ca="1">IF(NPSwitch=1,_xll.TR(P$7,P$6,"Sdate=#1 Period=#2 Scale=6 NULL=BLANK",,$D104,$O$4),P104)</f>
        <v>26797.726183440001</v>
      </c>
      <c r="Q104" s="1000" cm="1">
        <f t="array" aca="1" ref="Q104" ca="1">IF(NPSwitch=1,_xll.TR(Q$7,Q$6,"Sdate=#1 Period=#2 Scale=6 NULL=BLANK",,$D104,$O$4),Q104)</f>
        <v>5345.3766053999998</v>
      </c>
      <c r="R104" s="1000" cm="1">
        <f t="array" aca="1" ref="R104" ca="1">IF(NPSwitch=1,_xll.TR(R$7,R$6,"Sdate=#1 Period=#2 Scale=6 NULL=BLANK",,$D104,$O$4),R104)</f>
        <v>4290.62410413</v>
      </c>
      <c r="S104" s="1000" cm="1">
        <f t="array" aca="1" ref="S104" ca="1">IF(NPSwitch=1,_xll.TR(S$7,S$6,"Sdate=#1 Period=#2 Scale=6 NULL=BLANK",,$D104,$O$4),S104)</f>
        <v>7317.7569606400002</v>
      </c>
      <c r="T104" s="1000" cm="1">
        <f t="array" aca="1" ref="T104" ca="1">IF(NPSwitch=1,_xll.TR(T$7,T$6,"Sdate=#1 Period=#2 Scale=6 NULL=BLANK",,$D104,$O$4),T104)</f>
        <v>14705.929141750001</v>
      </c>
      <c r="U104" s="1000" cm="1">
        <f t="array" aca="1" ref="U104" ca="1">IF(NPSwitch=1,_xll.TR(U$7,U$6,"Sdate=#1 Period=#2 Scale=6 NULL=BLANK",,$D104,$O$4),U104)</f>
        <v>28895.08408556</v>
      </c>
      <c r="V104" s="1000" cm="1">
        <f t="array" aca="1" ref="V104" ca="1">IF(NPSwitch=1,_xll.TR(V$7,V$6,"Sdate=#1 Period=#2 Scale=6 NULL=BLANK",,$D104,$O$4),V104)</f>
        <v>9785.0983667199998</v>
      </c>
      <c r="W104" s="1000" cm="1">
        <f t="array" aca="1" ref="W104" ca="1">IF(NPSwitch=1,_xll.TR(W$7,W$6,"Sdate=#1 Period=#2 Scale=6 NULL=BLANK",,$D104,$O$4),W104)</f>
        <v>13281.327507149999</v>
      </c>
      <c r="X104" s="998"/>
      <c r="Y104" s="1000" cm="1">
        <f t="array" aca="1" ref="Y104" ca="1">IF(NPSwitch=1,_xll.TR(Y$7,Y$6,"Sdate=#1 Period=#2 Scale=6 NULL=BLANK",,$D104,$O$4),Y104)</f>
        <v>4839.25</v>
      </c>
      <c r="Z104" s="1000" cm="1">
        <f t="array" aca="1" ref="Z104" ca="1">IF(NPSwitch=1,_xll.TR(Z$7,Z$6,"Sdate=#1 Period=#2 Scale=6 NULL=BLANK",,$D104,$O$4),Z104)</f>
        <v>580.30449999999996</v>
      </c>
      <c r="AA104" s="1000" cm="1">
        <f t="array" aca="1" ref="AA104" ca="1">IF(NPSwitch=1,_xll.TR(AA$7,AA$6,"Sdate=#1 Period=#2 Scale=6 NULL=BLANK",,$D104,$O$4),AA104)</f>
        <v>407.5</v>
      </c>
      <c r="AB104" s="1000" cm="1">
        <f t="array" aca="1" ref="AB104" ca="1">IF(NPSwitch=1,_xll.TR(AB$7,AB$6,"Sdate=#1 Period=#2 Scale=6 NULL=BLANK",,$D104,$O$4),AB104)</f>
        <v>581.29999999999995</v>
      </c>
      <c r="AC104" s="1000" cm="1">
        <f t="array" aca="1" ref="AC104" ca="1">IF(NPSwitch=1,_xll.TR(AC$7,AC$6,"Sdate=#1 Period=#2 Scale=6 NULL=BLANK",,$D104,$O$4),AC104)</f>
        <v>715.75</v>
      </c>
      <c r="AD104" s="1000" cm="1">
        <f t="array" aca="1" ref="AD104" ca="1">IF(NPSwitch=1,_xll.TR(AD$7,AD$6,"Sdate=#1 Period=#2 Scale=6 NULL=BLANK",,$D104,$O$4),AD104)</f>
        <v>487.85</v>
      </c>
      <c r="AE104" s="1000" cm="1">
        <f t="array" aca="1" ref="AE104" ca="1">IF(NPSwitch=1,_xll.TR(AE$7,AE$6,"Sdate=#1 Period=#2 Scale=6 NULL=BLANK",,$D104,$O$4),AE104)</f>
        <v>1178.5</v>
      </c>
      <c r="AF104" s="1000" cm="1">
        <f t="array" aca="1" ref="AF104" ca="1">IF(NPSwitch=1,_xll.TR(AF$7,AF$6,"Sdate=#1 Period=#2 Scale=6 NULL=BLANK",,$D104,$O$4),AF104)</f>
        <v>1148.75</v>
      </c>
      <c r="AG104" s="1000" cm="1">
        <f t="array" aca="1" ref="AG104" ca="1">IF(NPSwitch=1,_xll.TR(AG$7,AG$6,"Sdate=#1 Period=#2 Scale=6 NULL=BLANK",,$D104,$O$4),AG104)</f>
        <v>568</v>
      </c>
      <c r="AH104" s="998"/>
      <c r="AI104" s="1000" cm="1">
        <f t="array" aca="1" ref="AI104" ca="1">IF(NPSwitch=1,_xll.TR(AI$7,AI$6,"Sdate=#1 Period=#2 Scale=6 NULL=BLANK",,$D104,$O$4),AI104)</f>
        <v>98353.486155699997</v>
      </c>
      <c r="AJ104" s="1000" cm="1">
        <f t="array" aca="1" ref="AJ104" ca="1">IF(NPSwitch=1,_xll.TR(AJ$7,AJ$6,"Sdate=#1 Period=#2 Scale=6 NULL=BLANK",,$D104,$O$4),AJ104)</f>
        <v>29032.34418344</v>
      </c>
      <c r="AK104" s="1000" cm="1">
        <f t="array" aca="1" ref="AK104" ca="1">IF(NPSwitch=1,_xll.TR(AK$7,AK$6,"Sdate=#1 Period=#2 Scale=6 NULL=BLANK",,$D104,$O$4),AK104)</f>
        <v>5717.3766053999998</v>
      </c>
      <c r="AL104" s="1000" cm="1">
        <f t="array" aca="1" ref="AL104" ca="1">IF(NPSwitch=1,_xll.TR(AL$7,AL$6,"Sdate=#1 Period=#2 Scale=6 NULL=BLANK",,$D104,$O$4),AL104)</f>
        <v>5601.8241041299998</v>
      </c>
      <c r="AM104" s="1000" cm="1">
        <f t="array" aca="1" ref="AM104" ca="1">IF(NPSwitch=1,_xll.TR(AM$7,AM$6,"Sdate=#1 Period=#2 Scale=6 NULL=BLANK",,$D104,$O$4),AM104)</f>
        <v>8271.7569606399993</v>
      </c>
      <c r="AN104" s="1000" cm="1">
        <f t="array" aca="1" ref="AN104" ca="1">IF(NPSwitch=1,_xll.TR(AN$7,AN$6,"Sdate=#1 Period=#2 Scale=6 NULL=BLANK",,$D104,$O$4),AN104)</f>
        <v>18136.729141749998</v>
      </c>
      <c r="AO104" s="1000" cm="1">
        <f t="array" aca="1" ref="AO104" ca="1">IF(NPSwitch=1,_xll.TR(AO$7,AO$6,"Sdate=#1 Period=#2 Scale=6 NULL=BLANK",,$D104,$O$4),AO104)</f>
        <v>35130.084085560004</v>
      </c>
      <c r="AP104" s="1000" cm="1">
        <f t="array" aca="1" ref="AP104" ca="1">IF(NPSwitch=1,_xll.TR(AP$7,AP$6,"Sdate=#1 Period=#2 Scale=6 NULL=BLANK",,$D104,$O$4),AP104)</f>
        <v>12393.09836672</v>
      </c>
      <c r="AQ104" s="1000" cm="1">
        <f t="array" aca="1" ref="AQ104" ca="1">IF(NPSwitch=1,_xll.TR(AQ$7,AQ$6,"Sdate=#1 Period=#2 Scale=6 NULL=BLANK",,$D104,$O$4),AQ104)</f>
        <v>18241.327507149999</v>
      </c>
      <c r="AS104" s="765" cm="1">
        <f t="array" aca="1" ref="AS104" ca="1">IF(NPSwitch=1,_xll.TR(AS$7,AS$6,"Sdate=#1 Period=#2 NULL=BLANK Scale=6",,$D104,$AS$4),AS104)</f>
        <v>15.641666666666699</v>
      </c>
      <c r="AT104" s="765" cm="1">
        <f t="array" aca="1" ref="AT104" ca="1">IF(NPSwitch=1,_xll.TR(AT$7,AT$6,"Sdate=#1 Period=#2 NULL=BLANK Scale=6",,$D104,$AS$4),AT104)</f>
        <v>9.06666666666667</v>
      </c>
      <c r="AU104" s="765" t="str" cm="1">
        <f t="array" aca="1" ref="AU104" ca="1">IF(NPSwitch=1,_xll.TR(AU$7,AU$6,"Sdate=#1 Period=#2 NULL=BLANK Scale=6",,$D104,$AS$4),AU104)</f>
        <v/>
      </c>
      <c r="AV104" s="765" cm="1">
        <f t="array" aca="1" ref="AV104" ca="1">IF(NPSwitch=1,_xll.TR(AV$7,AV$6,"Sdate=#1 Period=#2 NULL=BLANK Scale=6",,$D104,$AS$4),AV104)</f>
        <v>9.8583333333333307</v>
      </c>
      <c r="AW104" s="765" cm="1">
        <f t="array" aca="1" ref="AW104" ca="1">IF(NPSwitch=1,_xll.TR(AW$7,AW$6,"Sdate=#1 Period=#2 NULL=BLANK Scale=6",,$D104,$AS$4),AW104)</f>
        <v>13.127775833333301</v>
      </c>
      <c r="AX104" s="765" cm="1">
        <f t="array" aca="1" ref="AX104" ca="1">IF(NPSwitch=1,_xll.TR(AX$7,AX$6,"Sdate=#1 Period=#2 NULL=BLANK Scale=6",,$D104,$AS$4),AX104)</f>
        <v>20.658333333333299</v>
      </c>
      <c r="AY104" s="765" cm="1">
        <f t="array" aca="1" ref="AY104" ca="1">IF(NPSwitch=1,_xll.TR(AY$7,AY$6,"Sdate=#1 Period=#2 NULL=BLANK Scale=6",,$D104,$AS$4),AY104)</f>
        <v>11.0861091666667</v>
      </c>
      <c r="AZ104" s="765" cm="1">
        <f t="array" aca="1" ref="AZ104" ca="1">IF(NPSwitch=1,_xll.TR(AZ$7,AZ$6,"Sdate=#1 Period=#2 NULL=BLANK Scale=6",,$D104,$AS$4),AZ104)</f>
        <v>10.9104166666667</v>
      </c>
      <c r="BA104" s="765" cm="1">
        <f t="array" aca="1" ref="BA104" ca="1">IF(NPSwitch=1,_xll.TR(BA$7,BA$6,"Sdate=#1 Period=#2 NULL=BLANK Scale=6",,$D104,$AS$4),BA104)</f>
        <v>11.6680575</v>
      </c>
      <c r="BB104" s="1002"/>
      <c r="BO104" s="765" cm="1">
        <f t="array" aca="1" ref="BO104" ca="1">IF(NPSwitch=1,_xll.TR(BO$7,BO$6,"Sdate=#1 Period=#2 NULL=BLANK Scale=6",,$D104,$AS$4),BO104)</f>
        <v>35333</v>
      </c>
      <c r="BP104" s="765" cm="1">
        <f t="array" aca="1" ref="BP104" ca="1">IF(NPSwitch=1,_xll.TR(BP$7,BP$6,"Sdate=#1 Period=#2 NULL=BLANK Scale=6",,$D104,$AS$4),BP104)</f>
        <v>3626.3939999999998</v>
      </c>
      <c r="BQ104" s="765" cm="1">
        <f t="array" aca="1" ref="BQ104" ca="1">IF(NPSwitch=1,_xll.TR(BQ$7,BQ$6,"Sdate=#1 Period=#2 NULL=BLANK Scale=6",,$D104,$AS$4),BQ104)</f>
        <v>1984</v>
      </c>
      <c r="BR104" s="765" cm="1">
        <f t="array" aca="1" ref="BR104" ca="1">IF(NPSwitch=1,_xll.TR(BR$7,BR$6,"Sdate=#1 Period=#2 NULL=BLANK Scale=6",,$D104,$AS$4),BR104)</f>
        <v>4154</v>
      </c>
      <c r="BS104" s="765" cm="1">
        <f t="array" aca="1" ref="BS104" ca="1">IF(NPSwitch=1,_xll.TR(BS$7,BS$6,"Sdate=#1 Period=#2 NULL=BLANK Scale=6",,$D104,$AS$4),BS104)</f>
        <v>8622</v>
      </c>
      <c r="BT104" s="765" cm="1">
        <f t="array" aca="1" ref="BT104" ca="1">IF(NPSwitch=1,_xll.TR(BT$7,BT$6,"Sdate=#1 Period=#2 NULL=BLANK Scale=6",,$D104,$AS$4),BT104)</f>
        <v>5200.3999999999996</v>
      </c>
      <c r="BU104" s="765" cm="1">
        <f t="array" aca="1" ref="BU104" ca="1">IF(NPSwitch=1,_xll.TR(BU$7,BU$6,"Sdate=#1 Period=#2 NULL=BLANK Scale=6",,$D104,$AS$4),BU104)</f>
        <v>17229</v>
      </c>
      <c r="BV104" s="765" cm="1">
        <f t="array" aca="1" ref="BV104" ca="1">IF(NPSwitch=1,_xll.TR(BV$7,BV$6,"Sdate=#1 Period=#2 NULL=BLANK Scale=6",,$D104,$AS$4),BV104)</f>
        <v>12524</v>
      </c>
      <c r="BW104" s="765" cm="1">
        <f t="array" aca="1" ref="BW104" ca="1">IF(NPSwitch=1,_xll.TR(BW$7,BW$6,"Sdate=#1 Period=#2 NULL=BLANK Scale=6",,$D104,$AS$4),BW104)</f>
        <v>10781</v>
      </c>
      <c r="BY104" s="765" cm="1">
        <f t="array" aca="1" ref="BY104" ca="1">IF(NPSwitch=1,_xll.TR(BY$7,BY$6,"Sdate=#1 Period=#2 NULL=BLANK Scale=6",,$D104,$AS$4),BY104)</f>
        <v>32405.25</v>
      </c>
      <c r="BZ104" s="765" cm="1">
        <f t="array" aca="1" ref="BZ104" ca="1">IF(NPSwitch=1,_xll.TR(BZ$7,BZ$6,"Sdate=#1 Period=#2 NULL=BLANK Scale=6",,$D104,$AS$4),BZ104)</f>
        <v>8262.9767499999998</v>
      </c>
      <c r="CA104" s="765" cm="1">
        <f t="array" aca="1" ref="CA104" ca="1">IF(NPSwitch=1,_xll.TR(CA$7,CA$6,"Sdate=#1 Period=#2 NULL=BLANK Scale=6",,$D104,$AS$4),CA104)</f>
        <v>4763.1338500000002</v>
      </c>
      <c r="CB104" s="765" cm="1">
        <f t="array" aca="1" ref="CB104" ca="1">IF(NPSwitch=1,_xll.TR(CB$7,CB$6,"Sdate=#1 Period=#2 NULL=BLANK Scale=6",,$D104,$AS$4),CB104)</f>
        <v>3659.7249999999999</v>
      </c>
      <c r="CC104" s="765" cm="1">
        <f t="array" aca="1" ref="CC104" ca="1">IF(NPSwitch=1,_xll.TR(CC$7,CC$6,"Sdate=#1 Period=#2 NULL=BLANK Scale=6",,$D104,$AS$4),CC104)</f>
        <v>5796.5</v>
      </c>
      <c r="CD104" s="765" cm="1">
        <f t="array" aca="1" ref="CD104" ca="1">IF(NPSwitch=1,_xll.TR(CD$7,CD$6,"Sdate=#1 Period=#2 NULL=BLANK Scale=6",,$D104,$AS$4),CD104)</f>
        <v>6643.15</v>
      </c>
      <c r="CE104" s="765" cm="1">
        <f t="array" aca="1" ref="CE104" ca="1">IF(NPSwitch=1,_xll.TR(CE$7,CE$6,"Sdate=#1 Period=#2 NULL=BLANK Scale=6",,$D104,$AS$4),CE104)</f>
        <v>13313</v>
      </c>
      <c r="CF104" s="765" cm="1">
        <f t="array" aca="1" ref="CF104" ca="1">IF(NPSwitch=1,_xll.TR(CF$7,CF$6,"Sdate=#1 Period=#2 NULL=BLANK Scale=6",,$D104,$AS$4),CF104)</f>
        <v>12384.75</v>
      </c>
      <c r="CG104" s="765" cm="1">
        <f t="array" aca="1" ref="CG104" ca="1">IF(NPSwitch=1,_xll.TR(CG$7,CG$6,"Sdate=#1 Period=#2 NULL=BLANK Scale=6",,$D104,$AS$4),CG104)</f>
        <v>11389.5</v>
      </c>
      <c r="CI104" s="1000" cm="1">
        <f t="array" aca="1" ref="CI104" ca="1">IF(NPSwitch=1,_xll.TR(CI$7,CI$6,"Sdate=#1 Period=#2 NULL=BLANK Scale=6",,$D104,$AS$4),CI104)</f>
        <v>9308</v>
      </c>
      <c r="CJ104" s="1000" cm="1">
        <f t="array" aca="1" ref="CJ104" ca="1">IF(NPSwitch=1,_xll.TR(CJ$7,CJ$6,"Sdate=#1 Period=#2 NULL=BLANK Scale=6",,$D104,$AS$4),CJ104)</f>
        <v>871.34900000000005</v>
      </c>
      <c r="CK104" s="1000" cm="1">
        <f t="array" aca="1" ref="CK104" ca="1">IF(NPSwitch=1,_xll.TR(CK$7,CK$6,"Sdate=#1 Period=#2 NULL=BLANK Scale=6",,$D104,$AS$4),CK104)</f>
        <v>490</v>
      </c>
      <c r="CL104" s="1000" cm="1">
        <f t="array" aca="1" ref="CL104" ca="1">IF(NPSwitch=1,_xll.TR(CL$7,CL$6,"Sdate=#1 Period=#2 NULL=BLANK Scale=6",,$D104,$AS$4),CL104)</f>
        <v>521.5</v>
      </c>
      <c r="CM104" s="1000" cm="1">
        <f t="array" aca="1" ref="CM104" ca="1">IF(NPSwitch=1,_xll.TR(CM$7,CM$6,"Sdate=#1 Period=#2 NULL=BLANK Scale=6",,$D104,$AS$4),CM104)</f>
        <v>1242</v>
      </c>
      <c r="CN104" s="1000" cm="1">
        <f t="array" aca="1" ref="CN104" ca="1">IF(NPSwitch=1,_xll.TR(CN$7,CN$6,"Sdate=#1 Period=#2 NULL=BLANK Scale=6",,$D104,$AS$4),CN104)</f>
        <v>1304.2</v>
      </c>
      <c r="CO104" s="1000" cm="1">
        <f t="array" aca="1" ref="CO104" ca="1">IF(NPSwitch=1,_xll.TR(CO$7,CO$6,"Sdate=#1 Period=#2 NULL=BLANK Scale=6",,$D104,$AS$4),CO104)</f>
        <v>2210</v>
      </c>
      <c r="CP104" s="1000" cm="1">
        <f t="array" aca="1" ref="CP104" ca="1">IF(NPSwitch=1,_xll.TR(CP$7,CP$6,"Sdate=#1 Period=#2 NULL=BLANK Scale=6",,$D104,$AS$4),CP104)</f>
        <v>2244</v>
      </c>
      <c r="CQ104" s="1000" cm="1">
        <f t="array" aca="1" ref="CQ104" ca="1">IF(NPSwitch=1,_xll.TR(CQ$7,CQ$6,"Sdate=#1 Period=#2 NULL=BLANK Scale=6",,$D104,$AS$4),CQ104)</f>
        <v>2345</v>
      </c>
      <c r="CS104" s="1000" cm="1">
        <f t="array" aca="1" ref="CS104" ca="1">IF(NPSwitch=1,_xll.TR(CS$7,CS$6,"Sdate=#1 Period=#2 NULL=BLANK Scale=6",,$D104,$AS$4),CS104)</f>
        <v>10233.5</v>
      </c>
      <c r="CT104" s="1000" cm="1">
        <f t="array" aca="1" ref="CT104" ca="1">IF(NPSwitch=1,_xll.TR(CT$7,CT$6,"Sdate=#1 Period=#2 NULL=BLANK Scale=6",,$D104,$AS$4),CT104)</f>
        <v>5935.4269999999997</v>
      </c>
      <c r="CU104" s="1000" cm="1">
        <f t="array" aca="1" ref="CU104" ca="1">IF(NPSwitch=1,_xll.TR(CU$7,CU$6,"Sdate=#1 Period=#2 NULL=BLANK Scale=6",,$D104,$AS$4),CU104)</f>
        <v>1555.5</v>
      </c>
      <c r="CV104" s="1000" cm="1">
        <f t="array" aca="1" ref="CV104" ca="1">IF(NPSwitch=1,_xll.TR(CV$7,CV$6,"Sdate=#1 Period=#2 NULL=BLANK Scale=6",,$D104,$AS$4),CV104)</f>
        <v>749.45</v>
      </c>
      <c r="CW104" s="1000" cm="1">
        <f t="array" aca="1" ref="CW104" ca="1">IF(NPSwitch=1,_xll.TR(CW$7,CW$6,"Sdate=#1 Period=#2 NULL=BLANK Scale=6",,$D104,$AS$4),CW104)</f>
        <v>934.65</v>
      </c>
      <c r="CX104" s="1000" cm="1">
        <f t="array" aca="1" ref="CX104" ca="1">IF(NPSwitch=1,_xll.TR(CX$7,CX$6,"Sdate=#1 Period=#2 NULL=BLANK Scale=6",,$D104,$AS$4),CX104)</f>
        <v>4287</v>
      </c>
      <c r="CY104" s="1000" cm="1">
        <f t="array" aca="1" ref="CY104" ca="1">IF(NPSwitch=1,_xll.TR(CY$7,CY$6,"Sdate=#1 Period=#2 NULL=BLANK Scale=6",,$D104,$AS$4),CY104)</f>
        <v>5312.25</v>
      </c>
      <c r="CZ104" s="1000" cm="1">
        <f t="array" aca="1" ref="CZ104" ca="1">IF(NPSwitch=1,_xll.TR(CZ$7,CZ$6,"Sdate=#1 Period=#2 NULL=BLANK Scale=6",,$D104,$AS$4),CZ104)</f>
        <v>5277.5</v>
      </c>
      <c r="DA104" s="1000" cm="1">
        <f t="array" aca="1" ref="DA104" ca="1">IF(NPSwitch=1,_xll.TR(DA$7,DA$6,"Sdate=#1 Period=#2 NULL=BLANK Scale=6",,$D104,$AS$4),DA104)</f>
        <v>4294</v>
      </c>
      <c r="DB104" s="1000" cm="1">
        <f t="array" aca="1" ref="DB104" ca="1">IF(NPSwitch=1,_xll.TR(DB$7,DB$6,"Sdate=#1 Period=#2 NULL=BLANK Scale=6",,$D104,$AS$4),DB104)</f>
        <v>20926.5</v>
      </c>
      <c r="DC104" s="1000" cm="1">
        <f t="array" aca="1" ref="DC104" ca="1">IF(NPSwitch=1,_xll.TR(DC$7,DC$6,"Sdate=#1 Period=#2 NULL=BLANK Scale=6",,$D104,$AS$4),DC104)</f>
        <v>21659.25</v>
      </c>
      <c r="DD104" s="1000" cm="1">
        <f t="array" aca="1" ref="DD104" ca="1">IF(NPSwitch=1,_xll.TR(DD$7,DD$6,"Sdate=#1 Period=#2 NULL=BLANK Scale=6",,$D104,$AS$4),DD104)</f>
        <v>16510</v>
      </c>
      <c r="DE104" s="1000" cm="1">
        <f t="array" aca="1" ref="DE104" ca="1">IF(NPSwitch=1,_xll.TR(DE$7,DE$6,"Sdate=#1 Period=#2 NULL=BLANK Scale=6",,$D104,$AS$4),DE104)</f>
        <v>6718.75</v>
      </c>
      <c r="DF104" s="1000" cm="1">
        <f t="array" aca="1" ref="DF104" ca="1">IF(NPSwitch=1,_xll.TR(DF$7,DF$6,"Sdate=#1 Period=#2 NULL=BLANK Scale=6",,$D104,$AS$4),DF104)</f>
        <v>749.45</v>
      </c>
      <c r="DG104" s="1000" cm="1">
        <f t="array" aca="1" ref="DG104" ca="1">IF(NPSwitch=1,_xll.TR(DG$7,DG$6,"Sdate=#1 Period=#2 NULL=BLANK Scale=6",,$D104,$AS$4),DG104)</f>
        <v>2963.75</v>
      </c>
      <c r="DH104" s="1000" cm="1">
        <f t="array" aca="1" ref="DH104" ca="1">IF(NPSwitch=1,_xll.TR(DH$7,DH$6,"Sdate=#1 Period=#2 NULL=BLANK Scale=6",,$D104,$AS$4),DH104)</f>
        <v>7979.25</v>
      </c>
    </row>
    <row r="105" spans="3:112">
      <c r="C105" s="969">
        <f t="shared" si="47"/>
        <v>44742</v>
      </c>
      <c r="D105" s="974">
        <f t="shared" si="46"/>
        <v>44787</v>
      </c>
      <c r="E105" s="765" cm="1">
        <f t="array" aca="1" ref="E105" ca="1">IF(NPSwitch=1,_xll.TR(E$7,E$6,"Sdate=#1 Period=#2 NULL=BLANK",,$D105,$E$4),E105)</f>
        <v>10.445803476182499</v>
      </c>
      <c r="F105" s="765" cm="1">
        <f t="array" aca="1" ref="F105" ca="1">IF(NPSwitch=1,_xll.TR(F$7,F$6,"Sdate=#1 Period=#2 NULL=BLANK",,$D105,$E$4),F105)</f>
        <v>9.3732307684388108</v>
      </c>
      <c r="G105" s="765" cm="1">
        <f t="array" aca="1" ref="G105" ca="1">IF(NPSwitch=1,_xll.TR(G$7,G$6,"Sdate=#1 Period=#2 NULL=BLANK",,$D105,$E$4),G105)</f>
        <v>10.4310857968074</v>
      </c>
      <c r="H105" s="765" cm="1">
        <f t="array" aca="1" ref="H105" ca="1">IF(NPSwitch=1,_xll.TR(H$7,H$6,"Sdate=#1 Period=#2 NULL=BLANK",,$D105,$E$4),H105)</f>
        <v>8.5025787891329596</v>
      </c>
      <c r="I105" s="765" cm="1">
        <f t="array" aca="1" ref="I105" ca="1">IF(NPSwitch=1,_xll.TR(I$7,I$6,"Sdate=#1 Period=#2 NULL=BLANK",,$D105,$E$4),I105)</f>
        <v>5.0210555542059003</v>
      </c>
      <c r="J105" s="765" cm="1">
        <f t="array" aca="1" ref="J105" ca="1">IF(NPSwitch=1,_xll.TR(J$7,J$6,"Sdate=#1 Period=#2 NULL=BLANK",,$D105,$E$4),J105)</f>
        <v>11.700568994228099</v>
      </c>
      <c r="K105" s="765" cm="1">
        <f t="array" aca="1" ref="K105" ca="1">IF(NPSwitch=1,_xll.TR(K$7,K$6,"Sdate=#1 Period=#2 NULL=BLANK",,$D105,$E$4),K105)</f>
        <v>13.0234122103123</v>
      </c>
      <c r="L105" s="765" cm="1">
        <f t="array" aca="1" ref="L105" ca="1">IF(NPSwitch=1,_xll.TR(L$7,L$6,"Sdate=#1 Period=#2 NULL=BLANK",,$D105,$E$4),L105)</f>
        <v>4.7441565791149403</v>
      </c>
      <c r="M105" s="765" cm="1">
        <f t="array" aca="1" ref="M105" ca="1">IF(NPSwitch=1,_xll.TR(M$7,M$6,"Sdate=#1 Period=#2 NULL=BLANK",,$D105,$E$4),M105)</f>
        <v>7.8880948363602297</v>
      </c>
      <c r="N105" s="1002">
        <f t="shared" ca="1" si="48"/>
        <v>8.9038096539669329</v>
      </c>
      <c r="O105" s="1000" cm="1">
        <f t="array" aca="1" ref="O105" ca="1">IF(NPSwitch=1,_xll.TR(O$7,O$6,"Sdate=#1 Period=#2 Scale=6 NULL=BLANK",,$D105,$O$4),O105)</f>
        <v>86716.501998720007</v>
      </c>
      <c r="P105" s="1000" cm="1">
        <f t="array" aca="1" ref="P105" ca="1">IF(NPSwitch=1,_xll.TR(P$7,P$6,"Sdate=#1 Period=#2 Scale=6 NULL=BLANK",,$D105,$O$4),P105)</f>
        <v>32979.945797909997</v>
      </c>
      <c r="Q105" s="1000" cm="1">
        <f t="array" aca="1" ref="Q105" ca="1">IF(NPSwitch=1,_xll.TR(Q$7,Q$6,"Sdate=#1 Period=#2 Scale=6 NULL=BLANK",,$D105,$O$4),Q105)</f>
        <v>5762.05591628</v>
      </c>
      <c r="R105" s="1000" cm="1">
        <f t="array" aca="1" ref="R105" ca="1">IF(NPSwitch=1,_xll.TR(R$7,R$6,"Sdate=#1 Period=#2 Scale=6 NULL=BLANK",,$D105,$O$4),R105)</f>
        <v>4451.3633598500001</v>
      </c>
      <c r="S105" s="1000" cm="1">
        <f t="array" aca="1" ref="S105" ca="1">IF(NPSwitch=1,_xll.TR(S$7,S$6,"Sdate=#1 Period=#2 Scale=6 NULL=BLANK",,$D105,$O$4),S105)</f>
        <v>6048.2766544200003</v>
      </c>
      <c r="T105" s="1000" cm="1">
        <f t="array" aca="1" ref="T105" ca="1">IF(NPSwitch=1,_xll.TR(T$7,T$6,"Sdate=#1 Period=#2 Scale=6 NULL=BLANK",,$D105,$O$4),T105)</f>
        <v>14141.44713063</v>
      </c>
      <c r="U105" s="1000" cm="1">
        <f t="array" aca="1" ref="U105" ca="1">IF(NPSwitch=1,_xll.TR(U$7,U$6,"Sdate=#1 Period=#2 Scale=6 NULL=BLANK",,$D105,$O$4),U105)</f>
        <v>31853.893774600001</v>
      </c>
      <c r="V105" s="1000" cm="1">
        <f t="array" aca="1" ref="V105" ca="1">IF(NPSwitch=1,_xll.TR(V$7,V$6,"Sdate=#1 Period=#2 Scale=6 NULL=BLANK",,$D105,$O$4),V105)</f>
        <v>9230.3059468800002</v>
      </c>
      <c r="W105" s="1000" cm="1">
        <f t="array" aca="1" ref="W105" ca="1">IF(NPSwitch=1,_xll.TR(W$7,W$6,"Sdate=#1 Period=#2 Scale=6 NULL=BLANK",,$D105,$O$4),W105)</f>
        <v>12424.536450850001</v>
      </c>
      <c r="X105" s="998"/>
      <c r="Y105" s="1000" cm="1">
        <f t="array" aca="1" ref="Y105" ca="1">IF(NPSwitch=1,_xll.TR(Y$7,Y$6,"Sdate=#1 Period=#2 Scale=6 NULL=BLANK",,$D105,$O$4),Y105)</f>
        <v>4210.25</v>
      </c>
      <c r="Z105" s="1000" cm="1">
        <f t="array" aca="1" ref="Z105" ca="1">IF(NPSwitch=1,_xll.TR(Z$7,Z$6,"Sdate=#1 Period=#2 Scale=6 NULL=BLANK",,$D105,$O$4),Z105)</f>
        <v>607.06050000000005</v>
      </c>
      <c r="AA105" s="1000" cm="1">
        <f t="array" aca="1" ref="AA105" ca="1">IF(NPSwitch=1,_xll.TR(AA$7,AA$6,"Sdate=#1 Period=#2 Scale=6 NULL=BLANK",,$D105,$O$4),AA105)</f>
        <v>499.25</v>
      </c>
      <c r="AB105" s="1000" cm="1">
        <f t="array" aca="1" ref="AB105" ca="1">IF(NPSwitch=1,_xll.TR(AB$7,AB$6,"Sdate=#1 Period=#2 Scale=6 NULL=BLANK",,$D105,$O$4),AB105)</f>
        <v>588.52499999999998</v>
      </c>
      <c r="AC105" s="1000" cm="1">
        <f t="array" aca="1" ref="AC105" ca="1">IF(NPSwitch=1,_xll.TR(AC$7,AC$6,"Sdate=#1 Period=#2 Scale=6 NULL=BLANK",,$D105,$O$4),AC105)</f>
        <v>740.25</v>
      </c>
      <c r="AD105" s="1000" cm="1">
        <f t="array" aca="1" ref="AD105" ca="1">IF(NPSwitch=1,_xll.TR(AD$7,AD$6,"Sdate=#1 Period=#2 Scale=6 NULL=BLANK",,$D105,$O$4),AD105)</f>
        <v>453.6</v>
      </c>
      <c r="AE105" s="1000" cm="1">
        <f t="array" aca="1" ref="AE105" ca="1">IF(NPSwitch=1,_xll.TR(AE$7,AE$6,"Sdate=#1 Period=#2 Scale=6 NULL=BLANK",,$D105,$O$4),AE105)</f>
        <v>1100.25</v>
      </c>
      <c r="AF105" s="1000" cm="1">
        <f t="array" aca="1" ref="AF105" ca="1">IF(NPSwitch=1,_xll.TR(AF$7,AF$6,"Sdate=#1 Period=#2 Scale=6 NULL=BLANK",,$D105,$O$4),AF105)</f>
        <v>1125.75</v>
      </c>
      <c r="AG105" s="1000" cm="1">
        <f t="array" aca="1" ref="AG105" ca="1">IF(NPSwitch=1,_xll.TR(AG$7,AG$6,"Sdate=#1 Period=#2 Scale=6 NULL=BLANK",,$D105,$O$4),AG105)</f>
        <v>529.75</v>
      </c>
      <c r="AH105" s="998"/>
      <c r="AI105" s="1000" cm="1">
        <f t="array" aca="1" ref="AI105" ca="1">IF(NPSwitch=1,_xll.TR(AI$7,AI$6,"Sdate=#1 Period=#2 Scale=6 NULL=BLANK",,$D105,$O$4),AI105)</f>
        <v>100082.50199872001</v>
      </c>
      <c r="AJ105" s="1000" cm="1">
        <f t="array" aca="1" ref="AJ105" ca="1">IF(NPSwitch=1,_xll.TR(AJ$7,AJ$6,"Sdate=#1 Period=#2 Scale=6 NULL=BLANK",,$D105,$O$4),AJ105)</f>
        <v>35722.06779791</v>
      </c>
      <c r="AK105" s="1000" cm="1">
        <f t="array" aca="1" ref="AK105" ca="1">IF(NPSwitch=1,_xll.TR(AK$7,AK$6,"Sdate=#1 Period=#2 Scale=6 NULL=BLANK",,$D105,$O$4),AK105)</f>
        <v>6435.05591628</v>
      </c>
      <c r="AL105" s="1000" cm="1">
        <f t="array" aca="1" ref="AL105" ca="1">IF(NPSwitch=1,_xll.TR(AL$7,AL$6,"Sdate=#1 Period=#2 Scale=6 NULL=BLANK",,$D105,$O$4),AL105)</f>
        <v>5679.1633598500002</v>
      </c>
      <c r="AM105" s="1000" cm="1">
        <f t="array" aca="1" ref="AM105" ca="1">IF(NPSwitch=1,_xll.TR(AM$7,AM$6,"Sdate=#1 Period=#2 Scale=6 NULL=BLANK",,$D105,$O$4),AM105)</f>
        <v>7186.2766544200003</v>
      </c>
      <c r="AN105" s="1000" cm="1">
        <f t="array" aca="1" ref="AN105" ca="1">IF(NPSwitch=1,_xll.TR(AN$7,AN$6,"Sdate=#1 Period=#2 Scale=6 NULL=BLANK",,$D105,$O$4),AN105)</f>
        <v>17455.547130629999</v>
      </c>
      <c r="AO105" s="1000" cm="1">
        <f t="array" aca="1" ref="AO105" ca="1">IF(NPSwitch=1,_xll.TR(AO$7,AO$6,"Sdate=#1 Period=#2 Scale=6 NULL=BLANK",,$D105,$O$4),AO105)</f>
        <v>38061.893774600001</v>
      </c>
      <c r="AP105" s="1000" cm="1">
        <f t="array" aca="1" ref="AP105" ca="1">IF(NPSwitch=1,_xll.TR(AP$7,AP$6,"Sdate=#1 Period=#2 Scale=6 NULL=BLANK",,$D105,$O$4),AP105)</f>
        <v>11928.30594688</v>
      </c>
      <c r="AQ105" s="1000" cm="1">
        <f t="array" aca="1" ref="AQ105" ca="1">IF(NPSwitch=1,_xll.TR(AQ$7,AQ$6,"Sdate=#1 Period=#2 Scale=6 NULL=BLANK",,$D105,$O$4),AQ105)</f>
        <v>17043.536450849999</v>
      </c>
      <c r="AS105" s="765" cm="1">
        <f t="array" aca="1" ref="AS105" ca="1">IF(NPSwitch=1,_xll.TR(AS$7,AS$6,"Sdate=#1 Period=#2 NULL=BLANK Scale=6",,$D105,$AS$4),AS105)</f>
        <v>16.716666666666701</v>
      </c>
      <c r="AT105" s="765" cm="1">
        <f t="array" aca="1" ref="AT105" ca="1">IF(NPSwitch=1,_xll.TR(AT$7,AT$6,"Sdate=#1 Period=#2 NULL=BLANK Scale=6",,$D105,$AS$4),AT105)</f>
        <v>17.883333333333301</v>
      </c>
      <c r="AU105" s="765" t="str" cm="1">
        <f t="array" aca="1" ref="AU105" ca="1">IF(NPSwitch=1,_xll.TR(AU$7,AU$6,"Sdate=#1 Period=#2 NULL=BLANK Scale=6",,$D105,$AS$4),AU105)</f>
        <v/>
      </c>
      <c r="AV105" s="765" cm="1">
        <f t="array" aca="1" ref="AV105" ca="1">IF(NPSwitch=1,_xll.TR(AV$7,AV$6,"Sdate=#1 Period=#2 NULL=BLANK Scale=6",,$D105,$AS$4),AV105)</f>
        <v>10.4</v>
      </c>
      <c r="AW105" s="765" cm="1">
        <f t="array" aca="1" ref="AW105" ca="1">IF(NPSwitch=1,_xll.TR(AW$7,AW$6,"Sdate=#1 Period=#2 NULL=BLANK Scale=6",,$D105,$AS$4),AW105)</f>
        <v>13.844443333333301</v>
      </c>
      <c r="AX105" s="765" cm="1">
        <f t="array" aca="1" ref="AX105" ca="1">IF(NPSwitch=1,_xll.TR(AX$7,AX$6,"Sdate=#1 Period=#2 NULL=BLANK Scale=6",,$D105,$AS$4),AX105)</f>
        <v>20.8333333333333</v>
      </c>
      <c r="AY105" s="765" cm="1">
        <f t="array" aca="1" ref="AY105" ca="1">IF(NPSwitch=1,_xll.TR(AY$7,AY$6,"Sdate=#1 Period=#2 NULL=BLANK Scale=6",,$D105,$AS$4),AY105)</f>
        <v>10.244443333333299</v>
      </c>
      <c r="AZ105" s="765" cm="1">
        <f t="array" aca="1" ref="AZ105" ca="1">IF(NPSwitch=1,_xll.TR(AZ$7,AZ$6,"Sdate=#1 Period=#2 NULL=BLANK Scale=6",,$D105,$AS$4),AZ105)</f>
        <v>10.116666666666699</v>
      </c>
      <c r="BA105" s="765" cm="1">
        <f t="array" aca="1" ref="BA105" ca="1">IF(NPSwitch=1,_xll.TR(BA$7,BA$6,"Sdate=#1 Period=#2 NULL=BLANK Scale=6",,$D105,$AS$4),BA105)</f>
        <v>14.022223333333301</v>
      </c>
      <c r="BB105" s="1002"/>
      <c r="BO105" s="765" cm="1">
        <f t="array" aca="1" ref="BO105" ca="1">IF(NPSwitch=1,_xll.TR(BO$7,BO$6,"Sdate=#1 Period=#2 NULL=BLANK Scale=6",,$D105,$AS$4),BO105)</f>
        <v>35085</v>
      </c>
      <c r="BP105" s="765" cm="1">
        <f t="array" aca="1" ref="BP105" ca="1">IF(NPSwitch=1,_xll.TR(BP$7,BP$6,"Sdate=#1 Period=#2 NULL=BLANK Scale=6",,$D105,$AS$4),BP105)</f>
        <v>4332.0910000000003</v>
      </c>
      <c r="BQ105" s="765" cm="1">
        <f t="array" aca="1" ref="BQ105" ca="1">IF(NPSwitch=1,_xll.TR(BQ$7,BQ$6,"Sdate=#1 Period=#2 NULL=BLANK Scale=6",,$D105,$AS$4),BQ105)</f>
        <v>2085</v>
      </c>
      <c r="BR105" s="765" cm="1">
        <f t="array" aca="1" ref="BR105" ca="1">IF(NPSwitch=1,_xll.TR(BR$7,BR$6,"Sdate=#1 Period=#2 NULL=BLANK Scale=6",,$D105,$AS$4),BR105)</f>
        <v>4221.2</v>
      </c>
      <c r="BS105" s="765" cm="1">
        <f t="array" aca="1" ref="BS105" ca="1">IF(NPSwitch=1,_xll.TR(BS$7,BS$6,"Sdate=#1 Period=#2 NULL=BLANK Scale=6",,$D105,$AS$4),BS105)</f>
        <v>8960</v>
      </c>
      <c r="BT105" s="765" cm="1">
        <f t="array" aca="1" ref="BT105" ca="1">IF(NPSwitch=1,_xll.TR(BT$7,BT$6,"Sdate=#1 Period=#2 NULL=BLANK Scale=6",,$D105,$AS$4),BT105)</f>
        <v>5410.7</v>
      </c>
      <c r="BU105" s="765" cm="1">
        <f t="array" aca="1" ref="BU105" ca="1">IF(NPSwitch=1,_xll.TR(BU$7,BU$6,"Sdate=#1 Period=#2 NULL=BLANK Scale=6",,$D105,$AS$4),BU105)</f>
        <v>17561</v>
      </c>
      <c r="BV105" s="765" cm="1">
        <f t="array" aca="1" ref="BV105" ca="1">IF(NPSwitch=1,_xll.TR(BV$7,BV$6,"Sdate=#1 Period=#2 NULL=BLANK Scale=6",,$D105,$AS$4),BV105)</f>
        <v>13896</v>
      </c>
      <c r="BW105" s="765" cm="1">
        <f t="array" aca="1" ref="BW105" ca="1">IF(NPSwitch=1,_xll.TR(BW$7,BW$6,"Sdate=#1 Period=#2 NULL=BLANK Scale=6",,$D105,$AS$4),BW105)</f>
        <v>10912</v>
      </c>
      <c r="BY105" s="765" cm="1">
        <f t="array" aca="1" ref="BY105" ca="1">IF(NPSwitch=1,_xll.TR(BY$7,BY$6,"Sdate=#1 Period=#2 NULL=BLANK Scale=6",,$D105,$AS$4),BY105)</f>
        <v>31737.25</v>
      </c>
      <c r="BZ105" s="765" cm="1">
        <f t="array" aca="1" ref="BZ105" ca="1">IF(NPSwitch=1,_xll.TR(BZ$7,BZ$6,"Sdate=#1 Period=#2 NULL=BLANK Scale=6",,$D105,$AS$4),BZ105)</f>
        <v>8599.9320000000007</v>
      </c>
      <c r="CA105" s="765" cm="1">
        <f t="array" aca="1" ref="CA105" ca="1">IF(NPSwitch=1,_xll.TR(CA$7,CA$6,"Sdate=#1 Period=#2 NULL=BLANK Scale=6",,$D105,$AS$4),CA105)</f>
        <v>4684.8838500000002</v>
      </c>
      <c r="CB105" s="765" cm="1">
        <f t="array" aca="1" ref="CB105" ca="1">IF(NPSwitch=1,_xll.TR(CB$7,CB$6,"Sdate=#1 Period=#2 NULL=BLANK Scale=6",,$D105,$AS$4),CB105)</f>
        <v>3666.0250000000001</v>
      </c>
      <c r="CC105" s="765" cm="1">
        <f t="array" aca="1" ref="CC105" ca="1">IF(NPSwitch=1,_xll.TR(CC$7,CC$6,"Sdate=#1 Period=#2 NULL=BLANK Scale=6",,$D105,$AS$4),CC105)</f>
        <v>5902</v>
      </c>
      <c r="CD105" s="765" cm="1">
        <f t="array" aca="1" ref="CD105" ca="1">IF(NPSwitch=1,_xll.TR(CD$7,CD$6,"Sdate=#1 Period=#2 NULL=BLANK Scale=6",,$D105,$AS$4),CD105)</f>
        <v>6659</v>
      </c>
      <c r="CE105" s="765" cm="1">
        <f t="array" aca="1" ref="CE105" ca="1">IF(NPSwitch=1,_xll.TR(CE$7,CE$6,"Sdate=#1 Period=#2 NULL=BLANK Scale=6",,$D105,$AS$4),CE105)</f>
        <v>13266.5</v>
      </c>
      <c r="CF105" s="765" cm="1">
        <f t="array" aca="1" ref="CF105" ca="1">IF(NPSwitch=1,_xll.TR(CF$7,CF$6,"Sdate=#1 Period=#2 NULL=BLANK Scale=6",,$D105,$AS$4),CF105)</f>
        <v>12993.5</v>
      </c>
      <c r="CG105" s="765" cm="1">
        <f t="array" aca="1" ref="CG105" ca="1">IF(NPSwitch=1,_xll.TR(CG$7,CG$6,"Sdate=#1 Period=#2 NULL=BLANK Scale=6",,$D105,$AS$4),CG105)</f>
        <v>11095</v>
      </c>
      <c r="CI105" s="1000" cm="1">
        <f t="array" aca="1" ref="CI105" ca="1">IF(NPSwitch=1,_xll.TR(CI$7,CI$6,"Sdate=#1 Period=#2 NULL=BLANK Scale=6",,$D105,$AS$4),CI105)</f>
        <v>9110</v>
      </c>
      <c r="CJ105" s="1000" cm="1">
        <f t="array" aca="1" ref="CJ105" ca="1">IF(NPSwitch=1,_xll.TR(CJ$7,CJ$6,"Sdate=#1 Period=#2 NULL=BLANK Scale=6",,$D105,$AS$4),CJ105)</f>
        <v>1199.817</v>
      </c>
      <c r="CK105" s="1000" cm="1">
        <f t="array" aca="1" ref="CK105" ca="1">IF(NPSwitch=1,_xll.TR(CK$7,CK$6,"Sdate=#1 Period=#2 NULL=BLANK Scale=6",,$D105,$AS$4),CK105)</f>
        <v>539</v>
      </c>
      <c r="CL105" s="1000" cm="1">
        <f t="array" aca="1" ref="CL105" ca="1">IF(NPSwitch=1,_xll.TR(CL$7,CL$6,"Sdate=#1 Period=#2 NULL=BLANK Scale=6",,$D105,$AS$4),CL105)</f>
        <v>528.29999999999995</v>
      </c>
      <c r="CM105" s="1000" cm="1">
        <f t="array" aca="1" ref="CM105" ca="1">IF(NPSwitch=1,_xll.TR(CM$7,CM$6,"Sdate=#1 Period=#2 NULL=BLANK Scale=6",,$D105,$AS$4),CM105)</f>
        <v>1402</v>
      </c>
      <c r="CN105" s="1000" cm="1">
        <f t="array" aca="1" ref="CN105" ca="1">IF(NPSwitch=1,_xll.TR(CN$7,CN$6,"Sdate=#1 Period=#2 NULL=BLANK Scale=6",,$D105,$AS$4),CN105)</f>
        <v>1320.8</v>
      </c>
      <c r="CO105" s="1000" cm="1">
        <f t="array" aca="1" ref="CO105" ca="1">IF(NPSwitch=1,_xll.TR(CO$7,CO$6,"Sdate=#1 Period=#2 NULL=BLANK Scale=6",,$D105,$AS$4),CO105)</f>
        <v>2177</v>
      </c>
      <c r="CP105" s="1000" cm="1">
        <f t="array" aca="1" ref="CP105" ca="1">IF(NPSwitch=1,_xll.TR(CP$7,CP$6,"Sdate=#1 Period=#2 NULL=BLANK Scale=6",,$D105,$AS$4),CP105)</f>
        <v>2835</v>
      </c>
      <c r="CQ105" s="1000" cm="1">
        <f t="array" aca="1" ref="CQ105" ca="1">IF(NPSwitch=1,_xll.TR(CQ$7,CQ$6,"Sdate=#1 Period=#2 NULL=BLANK Scale=6",,$D105,$AS$4),CQ105)</f>
        <v>2336</v>
      </c>
      <c r="CS105" s="1000" cm="1">
        <f t="array" aca="1" ref="CS105" ca="1">IF(NPSwitch=1,_xll.TR(CS$7,CS$6,"Sdate=#1 Period=#2 NULL=BLANK Scale=6",,$D105,$AS$4),CS105)</f>
        <v>10214.5</v>
      </c>
      <c r="CT105" s="1000" cm="1">
        <f t="array" aca="1" ref="CT105" ca="1">IF(NPSwitch=1,_xll.TR(CT$7,CT$6,"Sdate=#1 Period=#2 NULL=BLANK Scale=6",,$D105,$AS$4),CT105)</f>
        <v>6100.5545000000002</v>
      </c>
      <c r="CU105" s="1000" cm="1">
        <f t="array" aca="1" ref="CU105" ca="1">IF(NPSwitch=1,_xll.TR(CU$7,CU$6,"Sdate=#1 Period=#2 NULL=BLANK Scale=6",,$D105,$AS$4),CU105)</f>
        <v>1507</v>
      </c>
      <c r="CV105" s="1000" cm="1">
        <f t="array" aca="1" ref="CV105" ca="1">IF(NPSwitch=1,_xll.TR(CV$7,CV$6,"Sdate=#1 Period=#2 NULL=BLANK Scale=6",,$D105,$AS$4),CV105)</f>
        <v>733</v>
      </c>
      <c r="CW105" s="1000" cm="1">
        <f t="array" aca="1" ref="CW105" ca="1">IF(NPSwitch=1,_xll.TR(CW$7,CW$6,"Sdate=#1 Period=#2 NULL=BLANK Scale=6",,$D105,$AS$4),CW105)</f>
        <v>934.77499999999998</v>
      </c>
      <c r="CX105" s="1000" cm="1">
        <f t="array" aca="1" ref="CX105" ca="1">IF(NPSwitch=1,_xll.TR(CX$7,CX$6,"Sdate=#1 Period=#2 NULL=BLANK Scale=6",,$D105,$AS$4),CX105)</f>
        <v>4209.25</v>
      </c>
      <c r="CY105" s="1000" cm="1">
        <f t="array" aca="1" ref="CY105" ca="1">IF(NPSwitch=1,_xll.TR(CY$7,CY$6,"Sdate=#1 Period=#2 NULL=BLANK Scale=6",,$D105,$AS$4),CY105)</f>
        <v>5437</v>
      </c>
      <c r="CZ105" s="1000" cm="1">
        <f t="array" aca="1" ref="CZ105" ca="1">IF(NPSwitch=1,_xll.TR(CZ$7,CZ$6,"Sdate=#1 Period=#2 NULL=BLANK Scale=6",,$D105,$AS$4),CZ105)</f>
        <v>5234.5</v>
      </c>
      <c r="DA105" s="1000" cm="1">
        <f t="array" aca="1" ref="DA105" ca="1">IF(NPSwitch=1,_xll.TR(DA$7,DA$6,"Sdate=#1 Period=#2 NULL=BLANK Scale=6",,$D105,$AS$4),DA105)</f>
        <v>4365.25</v>
      </c>
      <c r="DB105" s="1000" cm="1">
        <f t="array" aca="1" ref="DB105" ca="1">IF(NPSwitch=1,_xll.TR(DB$7,DB$6,"Sdate=#1 Period=#2 NULL=BLANK Scale=6",,$D105,$AS$4),DB105)</f>
        <v>21537.5</v>
      </c>
      <c r="DC105" s="1000" cm="1">
        <f t="array" aca="1" ref="DC105" ca="1">IF(NPSwitch=1,_xll.TR(DC$7,DC$6,"Sdate=#1 Period=#2 NULL=BLANK Scale=6",,$D105,$AS$4),DC105)</f>
        <v>21615</v>
      </c>
      <c r="DD105" s="1000" cm="1">
        <f t="array" aca="1" ref="DD105" ca="1">IF(NPSwitch=1,_xll.TR(DD$7,DD$6,"Sdate=#1 Period=#2 NULL=BLANK Scale=6",,$D105,$AS$4),DD105)</f>
        <v>16591.25</v>
      </c>
      <c r="DE105" s="1000" cm="1">
        <f t="array" aca="1" ref="DE105" ca="1">IF(NPSwitch=1,_xll.TR(DE$7,DE$6,"Sdate=#1 Period=#2 NULL=BLANK Scale=6",,$D105,$AS$4),DE105)</f>
        <v>6400</v>
      </c>
      <c r="DF105" s="1000" cm="1">
        <f t="array" aca="1" ref="DF105" ca="1">IF(NPSwitch=1,_xll.TR(DF$7,DF$6,"Sdate=#1 Period=#2 NULL=BLANK Scale=6",,$D105,$AS$4),DF105)</f>
        <v>733</v>
      </c>
      <c r="DG105" s="1000" cm="1">
        <f t="array" aca="1" ref="DG105" ca="1">IF(NPSwitch=1,_xll.TR(DG$7,DG$6,"Sdate=#1 Period=#2 NULL=BLANK Scale=6",,$D105,$AS$4),DG105)</f>
        <v>2942.75</v>
      </c>
      <c r="DH105" s="1000" cm="1">
        <f t="array" aca="1" ref="DH105" ca="1">IF(NPSwitch=1,_xll.TR(DH$7,DH$6,"Sdate=#1 Period=#2 NULL=BLANK Scale=6",,$D105,$AS$4),DH105)</f>
        <v>8364</v>
      </c>
    </row>
    <row r="106" spans="3:112">
      <c r="C106" s="969">
        <f t="shared" si="47"/>
        <v>44834</v>
      </c>
      <c r="D106" s="974">
        <f t="shared" si="46"/>
        <v>44879</v>
      </c>
      <c r="E106" s="765" cm="1">
        <f t="array" aca="1" ref="E106" ca="1">IF(NPSwitch=1,_xll.TR(E$7,E$6,"Sdate=#1 Period=#2 NULL=BLANK",,$D106,$E$4),E106)</f>
        <v>9.2141301554230708</v>
      </c>
      <c r="F106" s="765" cm="1">
        <f t="array" aca="1" ref="F106" ca="1">IF(NPSwitch=1,_xll.TR(F$7,F$6,"Sdate=#1 Period=#2 NULL=BLANK",,$D106,$E$4),F106)</f>
        <v>8.8023072881432896</v>
      </c>
      <c r="G106" s="765" cm="1">
        <f t="array" aca="1" ref="G106" ca="1">IF(NPSwitch=1,_xll.TR(G$7,G$6,"Sdate=#1 Period=#2 NULL=BLANK",,$D106,$E$4),G106)</f>
        <v>10.3707731845734</v>
      </c>
      <c r="H106" s="765" cm="1">
        <f t="array" aca="1" ref="H106" ca="1">IF(NPSwitch=1,_xll.TR(H$7,H$6,"Sdate=#1 Period=#2 NULL=BLANK",,$D106,$E$4),H106)</f>
        <v>10.3206076882411</v>
      </c>
      <c r="I106" s="765" cm="1">
        <f t="array" aca="1" ref="I106" ca="1">IF(NPSwitch=1,_xll.TR(I$7,I$6,"Sdate=#1 Period=#2 NULL=BLANK",,$D106,$E$4),I106)</f>
        <v>6.6139054172892999</v>
      </c>
      <c r="J106" s="765" cm="1">
        <f t="array" aca="1" ref="J106" ca="1">IF(NPSwitch=1,_xll.TR(J$7,J$6,"Sdate=#1 Period=#2 NULL=BLANK",,$D106,$E$4),J106)</f>
        <v>12.5836414128632</v>
      </c>
      <c r="K106" s="765" cm="1">
        <f t="array" aca="1" ref="K106" ca="1">IF(NPSwitch=1,_xll.TR(K$7,K$6,"Sdate=#1 Period=#2 NULL=BLANK",,$D106,$E$4),K106)</f>
        <v>13.430133478706701</v>
      </c>
      <c r="L106" s="765" cm="1">
        <f t="array" aca="1" ref="L106" ca="1">IF(NPSwitch=1,_xll.TR(L$7,L$6,"Sdate=#1 Period=#2 NULL=BLANK",,$D106,$E$4),L106)</f>
        <v>4.9713585301510399</v>
      </c>
      <c r="M106" s="765" cm="1">
        <f t="array" aca="1" ref="M106" ca="1">IF(NPSwitch=1,_xll.TR(M$7,M$6,"Sdate=#1 Period=#2 NULL=BLANK",,$D106,$E$4),M106)</f>
        <v>8.0898627834786403</v>
      </c>
      <c r="N106" s="1002">
        <f t="shared" ca="1" si="48"/>
        <v>9.7150699519707899</v>
      </c>
      <c r="O106" s="1000" cm="1">
        <f t="array" aca="1" ref="O106" ca="1">IF(NPSwitch=1,_xll.TR(O$7,O$6,"Sdate=#1 Period=#2 Scale=6 NULL=BLANK",,$D106,$O$4),O106)</f>
        <v>72425.904152450006</v>
      </c>
      <c r="P106" s="1000" cm="1">
        <f t="array" aca="1" ref="P106" ca="1">IF(NPSwitch=1,_xll.TR(P$7,P$6,"Sdate=#1 Period=#2 Scale=6 NULL=BLANK",,$D106,$O$4),P106)</f>
        <v>37061.286381899998</v>
      </c>
      <c r="Q106" s="1000" cm="1">
        <f t="array" aca="1" ref="Q106" ca="1">IF(NPSwitch=1,_xll.TR(Q$7,Q$6,"Sdate=#1 Period=#2 Scale=6 NULL=BLANK",,$D106,$O$4),Q106)</f>
        <v>5898.2902250400002</v>
      </c>
      <c r="R106" s="1000" cm="1">
        <f t="array" aca="1" ref="R106" ca="1">IF(NPSwitch=1,_xll.TR(R$7,R$6,"Sdate=#1 Period=#2 Scale=6 NULL=BLANK",,$D106,$O$4),R106)</f>
        <v>3054.7932062899999</v>
      </c>
      <c r="S106" s="1000" cm="1">
        <f t="array" aca="1" ref="S106" ca="1">IF(NPSwitch=1,_xll.TR(S$7,S$6,"Sdate=#1 Period=#2 Scale=6 NULL=BLANK",,$D106,$O$4),S106)</f>
        <v>5540.1482821999998</v>
      </c>
      <c r="T106" s="1000" cm="1">
        <f t="array" aca="1" ref="T106" ca="1">IF(NPSwitch=1,_xll.TR(T$7,T$6,"Sdate=#1 Period=#2 Scale=6 NULL=BLANK",,$D106,$O$4),T106)</f>
        <v>16014.04779099</v>
      </c>
      <c r="U106" s="1000" cm="1">
        <f t="array" aca="1" ref="U106" ca="1">IF(NPSwitch=1,_xll.TR(U$7,U$6,"Sdate=#1 Period=#2 Scale=6 NULL=BLANK",,$D106,$O$4),U106)</f>
        <v>30074.105336240002</v>
      </c>
      <c r="V106" s="1000" cm="1">
        <f t="array" aca="1" ref="V106" ca="1">IF(NPSwitch=1,_xll.TR(V$7,V$6,"Sdate=#1 Period=#2 Scale=6 NULL=BLANK",,$D106,$O$4),V106)</f>
        <v>10689.568365351</v>
      </c>
      <c r="W106" s="1000" cm="1">
        <f t="array" aca="1" ref="W106" ca="1">IF(NPSwitch=1,_xll.TR(W$7,W$6,"Sdate=#1 Period=#2 Scale=6 NULL=BLANK",,$D106,$O$4),W106)</f>
        <v>10506.356271840001</v>
      </c>
      <c r="X106" s="998"/>
      <c r="Y106" s="1000" cm="1">
        <f t="array" aca="1" ref="Y106" ca="1">IF(NPSwitch=1,_xll.TR(Y$7,Y$6,"Sdate=#1 Period=#2 Scale=6 NULL=BLANK",,$D106,$O$4),Y106)</f>
        <v>3674.25</v>
      </c>
      <c r="Z106" s="1000" cm="1">
        <f t="array" aca="1" ref="Z106" ca="1">IF(NPSwitch=1,_xll.TR(Z$7,Z$6,"Sdate=#1 Period=#2 Scale=6 NULL=BLANK",,$D106,$O$4),Z106)</f>
        <v>803.99900000000002</v>
      </c>
      <c r="AA106" s="1000" cm="1">
        <f t="array" aca="1" ref="AA106" ca="1">IF(NPSwitch=1,_xll.TR(AA$7,AA$6,"Sdate=#1 Period=#2 Scale=6 NULL=BLANK",,$D106,$O$4),AA106)</f>
        <v>608.25</v>
      </c>
      <c r="AB106" s="1000" cm="1">
        <f t="array" aca="1" ref="AB106" ca="1">IF(NPSwitch=1,_xll.TR(AB$7,AB$6,"Sdate=#1 Period=#2 Scale=6 NULL=BLANK",,$D106,$O$4),AB106)</f>
        <v>588.32500000000005</v>
      </c>
      <c r="AC106" s="1000" cm="1">
        <f t="array" aca="1" ref="AC106" ca="1">IF(NPSwitch=1,_xll.TR(AC$7,AC$6,"Sdate=#1 Period=#2 Scale=6 NULL=BLANK",,$D106,$O$4),AC106)</f>
        <v>742.75</v>
      </c>
      <c r="AD106" s="1000" cm="1">
        <f t="array" aca="1" ref="AD106" ca="1">IF(NPSwitch=1,_xll.TR(AD$7,AD$6,"Sdate=#1 Period=#2 Scale=6 NULL=BLANK",,$D106,$O$4),AD106)</f>
        <v>459.3</v>
      </c>
      <c r="AE106" s="1000" cm="1">
        <f t="array" aca="1" ref="AE106" ca="1">IF(NPSwitch=1,_xll.TR(AE$7,AE$6,"Sdate=#1 Period=#2 Scale=6 NULL=BLANK",,$D106,$O$4),AE106)</f>
        <v>1046.5</v>
      </c>
      <c r="AF106" s="1000" cm="1">
        <f t="array" aca="1" ref="AF106" ca="1">IF(NPSwitch=1,_xll.TR(AF$7,AF$6,"Sdate=#1 Period=#2 Scale=6 NULL=BLANK",,$D106,$O$4),AF106)</f>
        <v>1010.75</v>
      </c>
      <c r="AG106" s="1000" cm="1">
        <f t="array" aca="1" ref="AG106" ca="1">IF(NPSwitch=1,_xll.TR(AG$7,AG$6,"Sdate=#1 Period=#2 Scale=6 NULL=BLANK",,$D106,$O$4),AG106)</f>
        <v>465.75</v>
      </c>
      <c r="AH106" s="998"/>
      <c r="AI106" s="1000" cm="1">
        <f t="array" aca="1" ref="AI106" ca="1">IF(NPSwitch=1,_xll.TR(AI$7,AI$6,"Sdate=#1 Period=#2 Scale=6 NULL=BLANK",,$D106,$O$4),AI106)</f>
        <v>84617.904152450006</v>
      </c>
      <c r="AJ106" s="1000" cm="1">
        <f t="array" aca="1" ref="AJ106" ca="1">IF(NPSwitch=1,_xll.TR(AJ$7,AJ$6,"Sdate=#1 Period=#2 Scale=6 NULL=BLANK",,$D106,$O$4),AJ106)</f>
        <v>39280.443381899997</v>
      </c>
      <c r="AK106" s="1000" cm="1">
        <f t="array" aca="1" ref="AK106" ca="1">IF(NPSwitch=1,_xll.TR(AK$7,AK$6,"Sdate=#1 Period=#2 Scale=6 NULL=BLANK",,$D106,$O$4),AK106)</f>
        <v>6571.2902250400002</v>
      </c>
      <c r="AL106" s="1000" cm="1">
        <f t="array" aca="1" ref="AL106" ca="1">IF(NPSwitch=1,_xll.TR(AL$7,AL$6,"Sdate=#1 Period=#2 Scale=6 NULL=BLANK",,$D106,$O$4),AL106)</f>
        <v>5642.8932062900003</v>
      </c>
      <c r="AM106" s="1000" cm="1">
        <f t="array" aca="1" ref="AM106" ca="1">IF(NPSwitch=1,_xll.TR(AM$7,AM$6,"Sdate=#1 Period=#2 Scale=6 NULL=BLANK",,$D106,$O$4),AM106)</f>
        <v>6753.1482821999998</v>
      </c>
      <c r="AN106" s="1000" cm="1">
        <f t="array" aca="1" ref="AN106" ca="1">IF(NPSwitch=1,_xll.TR(AN$7,AN$6,"Sdate=#1 Period=#2 Scale=6 NULL=BLANK",,$D106,$O$4),AN106)</f>
        <v>19224.447790990002</v>
      </c>
      <c r="AO106" s="1000" cm="1">
        <f t="array" aca="1" ref="AO106" ca="1">IF(NPSwitch=1,_xll.TR(AO$7,AO$6,"Sdate=#1 Period=#2 Scale=6 NULL=BLANK",,$D106,$O$4),AO106)</f>
        <v>35887.105336239998</v>
      </c>
      <c r="AP106" s="1000" cm="1">
        <f t="array" aca="1" ref="AP106" ca="1">IF(NPSwitch=1,_xll.TR(AP$7,AP$6,"Sdate=#1 Period=#2 Scale=6 NULL=BLANK",,$D106,$O$4),AP106)</f>
        <v>13212.568365351</v>
      </c>
      <c r="AQ106" s="1000" cm="1">
        <f t="array" aca="1" ref="AQ106" ca="1">IF(NPSwitch=1,_xll.TR(AQ$7,AQ$6,"Sdate=#1 Period=#2 Scale=6 NULL=BLANK",,$D106,$O$4),AQ106)</f>
        <v>15193.356271840001</v>
      </c>
      <c r="AS106" s="765" cm="1">
        <f t="array" aca="1" ref="AS106" ca="1">IF(NPSwitch=1,_xll.TR(AS$7,AS$6,"Sdate=#1 Period=#2 NULL=BLANK Scale=6",,$D106,$AS$4),AS106)</f>
        <v>19.337499999999999</v>
      </c>
      <c r="AT106" s="765" cm="1">
        <f t="array" aca="1" ref="AT106" ca="1">IF(NPSwitch=1,_xll.TR(AT$7,AT$6,"Sdate=#1 Period=#2 NULL=BLANK Scale=6",,$D106,$AS$4),AT106)</f>
        <v>-11.201385833333299</v>
      </c>
      <c r="AU106" s="765" t="str" cm="1">
        <f t="array" aca="1" ref="AU106" ca="1">IF(NPSwitch=1,_xll.TR(AU$7,AU$6,"Sdate=#1 Period=#2 NULL=BLANK Scale=6",,$D106,$AS$4),AU106)</f>
        <v/>
      </c>
      <c r="AV106" s="765" cm="1">
        <f t="array" aca="1" ref="AV106" ca="1">IF(NPSwitch=1,_xll.TR(AV$7,AV$6,"Sdate=#1 Period=#2 NULL=BLANK Scale=6",,$D106,$AS$4),AV106)</f>
        <v>7.3833333333333302</v>
      </c>
      <c r="AW106" s="765" cm="1">
        <f t="array" aca="1" ref="AW106" ca="1">IF(NPSwitch=1,_xll.TR(AW$7,AW$6,"Sdate=#1 Period=#2 NULL=BLANK Scale=6",,$D106,$AS$4),AW106)</f>
        <v>12.1861108333333</v>
      </c>
      <c r="AX106" s="765" cm="1">
        <f t="array" aca="1" ref="AX106" ca="1">IF(NPSwitch=1,_xll.TR(AX$7,AX$6,"Sdate=#1 Period=#2 NULL=BLANK Scale=6",,$D106,$AS$4),AX106)</f>
        <v>21.625</v>
      </c>
      <c r="AY106" s="765" cm="1">
        <f t="array" aca="1" ref="AY106" ca="1">IF(NPSwitch=1,_xll.TR(AY$7,AY$6,"Sdate=#1 Period=#2 NULL=BLANK Scale=6",,$D106,$AS$4),AY106)</f>
        <v>9.2527775000000005</v>
      </c>
      <c r="AZ106" s="765" cm="1">
        <f t="array" aca="1" ref="AZ106" ca="1">IF(NPSwitch=1,_xll.TR(AZ$7,AZ$6,"Sdate=#1 Period=#2 NULL=BLANK Scale=6",,$D106,$AS$4),AZ106)</f>
        <v>15.3708333333333</v>
      </c>
      <c r="BA106" s="765" cm="1">
        <f t="array" aca="1" ref="BA106" ca="1">IF(NPSwitch=1,_xll.TR(BA$7,BA$6,"Sdate=#1 Period=#2 NULL=BLANK Scale=6",,$D106,$AS$4),BA106)</f>
        <v>14.0805558333333</v>
      </c>
      <c r="BB106" s="1002"/>
      <c r="BO106" s="765" cm="1">
        <f t="array" aca="1" ref="BO106" ca="1">IF(NPSwitch=1,_xll.TR(BO$7,BO$6,"Sdate=#1 Period=#2 NULL=BLANK Scale=6",,$D106,$AS$4),BO106)</f>
        <v>34762</v>
      </c>
      <c r="BP106" s="765" cm="1">
        <f t="array" aca="1" ref="BP106" ca="1">IF(NPSwitch=1,_xll.TR(BP$7,BP$6,"Sdate=#1 Period=#2 NULL=BLANK Scale=6",,$D106,$AS$4),BP106)</f>
        <v>5593.33</v>
      </c>
      <c r="BQ106" s="765" cm="1">
        <f t="array" aca="1" ref="BQ106" ca="1">IF(NPSwitch=1,_xll.TR(BQ$7,BQ$6,"Sdate=#1 Period=#2 NULL=BLANK Scale=6",,$D106,$AS$4),BQ106)</f>
        <v>2392</v>
      </c>
      <c r="BR106" s="765" cm="1">
        <f t="array" aca="1" ref="BR106" ca="1">IF(NPSwitch=1,_xll.TR(BR$7,BR$6,"Sdate=#1 Period=#2 NULL=BLANK Scale=6",,$D106,$AS$4),BR106)</f>
        <v>4226.5</v>
      </c>
      <c r="BS106" s="765" cm="1">
        <f t="array" aca="1" ref="BS106" ca="1">IF(NPSwitch=1,_xll.TR(BS$7,BS$6,"Sdate=#1 Period=#2 NULL=BLANK Scale=6",,$D106,$AS$4),BS106)</f>
        <v>8874</v>
      </c>
      <c r="BT106" s="765" cm="1">
        <f t="array" aca="1" ref="BT106" ca="1">IF(NPSwitch=1,_xll.TR(BT$7,BT$6,"Sdate=#1 Period=#2 NULL=BLANK Scale=6",,$D106,$AS$4),BT106)</f>
        <v>5593.9</v>
      </c>
      <c r="BU106" s="765" cm="1">
        <f t="array" aca="1" ref="BU106" ca="1">IF(NPSwitch=1,_xll.TR(BU$7,BU$6,"Sdate=#1 Period=#2 NULL=BLANK Scale=6",,$D106,$AS$4),BU106)</f>
        <v>17657</v>
      </c>
      <c r="BV106" s="765" cm="1">
        <f t="array" aca="1" ref="BV106" ca="1">IF(NPSwitch=1,_xll.TR(BV$7,BV$6,"Sdate=#1 Period=#2 NULL=BLANK Scale=6",,$D106,$AS$4),BV106)</f>
        <v>15442</v>
      </c>
      <c r="BW106" s="765" cm="1">
        <f t="array" aca="1" ref="BW106" ca="1">IF(NPSwitch=1,_xll.TR(BW$7,BW$6,"Sdate=#1 Period=#2 NULL=BLANK Scale=6",,$D106,$AS$4),BW106)</f>
        <v>10901</v>
      </c>
      <c r="BY106" s="765" cm="1">
        <f t="array" aca="1" ref="BY106" ca="1">IF(NPSwitch=1,_xll.TR(BY$7,BY$6,"Sdate=#1 Period=#2 NULL=BLANK Scale=6",,$D106,$AS$4),BY106)</f>
        <v>31028.75</v>
      </c>
      <c r="BZ106" s="765" cm="1">
        <f t="array" aca="1" ref="BZ106" ca="1">IF(NPSwitch=1,_xll.TR(BZ$7,BZ$6,"Sdate=#1 Period=#2 NULL=BLANK Scale=6",,$D106,$AS$4),BZ106)</f>
        <v>9204.2484999999997</v>
      </c>
      <c r="CA106" s="765" cm="1">
        <f t="array" aca="1" ref="CA106" ca="1">IF(NPSwitch=1,_xll.TR(CA$7,CA$6,"Sdate=#1 Period=#2 NULL=BLANK Scale=6",,$D106,$AS$4),CA106)</f>
        <v>4626.8838500000002</v>
      </c>
      <c r="CB106" s="765" cm="1">
        <f t="array" aca="1" ref="CB106" ca="1">IF(NPSwitch=1,_xll.TR(CB$7,CB$6,"Sdate=#1 Period=#2 NULL=BLANK Scale=6",,$D106,$AS$4),CB106)</f>
        <v>3967.9749999999999</v>
      </c>
      <c r="CC106" s="765" cm="1">
        <f t="array" aca="1" ref="CC106" ca="1">IF(NPSwitch=1,_xll.TR(CC$7,CC$6,"Sdate=#1 Period=#2 NULL=BLANK Scale=6",,$D106,$AS$4),CC106)</f>
        <v>5885.75</v>
      </c>
      <c r="CD106" s="765" cm="1">
        <f t="array" aca="1" ref="CD106" ca="1">IF(NPSwitch=1,_xll.TR(CD$7,CD$6,"Sdate=#1 Period=#2 NULL=BLANK Scale=6",,$D106,$AS$4),CD106)</f>
        <v>6736.9250000000002</v>
      </c>
      <c r="CE106" s="765" cm="1">
        <f t="array" aca="1" ref="CE106" ca="1">IF(NPSwitch=1,_xll.TR(CE$7,CE$6,"Sdate=#1 Period=#2 NULL=BLANK Scale=6",,$D106,$AS$4),CE106)</f>
        <v>13199</v>
      </c>
      <c r="CF106" s="765" cm="1">
        <f t="array" aca="1" ref="CF106" ca="1">IF(NPSwitch=1,_xll.TR(CF$7,CF$6,"Sdate=#1 Period=#2 NULL=BLANK Scale=6",,$D106,$AS$4),CF106)</f>
        <v>13583.5</v>
      </c>
      <c r="CG106" s="765" cm="1">
        <f t="array" aca="1" ref="CG106" ca="1">IF(NPSwitch=1,_xll.TR(CG$7,CG$6,"Sdate=#1 Period=#2 NULL=BLANK Scale=6",,$D106,$AS$4),CG106)</f>
        <v>10804.25</v>
      </c>
      <c r="CI106" s="1000" cm="1">
        <f t="array" aca="1" ref="CI106" ca="1">IF(NPSwitch=1,_xll.TR(CI$7,CI$6,"Sdate=#1 Period=#2 NULL=BLANK Scale=6",,$D106,$AS$4),CI106)</f>
        <v>9101</v>
      </c>
      <c r="CJ106" s="1000" cm="1">
        <f t="array" aca="1" ref="CJ106" ca="1">IF(NPSwitch=1,_xll.TR(CJ$7,CJ$6,"Sdate=#1 Period=#2 NULL=BLANK Scale=6",,$D106,$AS$4),CJ106)</f>
        <v>1977.6</v>
      </c>
      <c r="CK106" s="1000" cm="1">
        <f t="array" aca="1" ref="CK106" ca="1">IF(NPSwitch=1,_xll.TR(CK$7,CK$6,"Sdate=#1 Period=#2 NULL=BLANK Scale=6",,$D106,$AS$4),CK106)</f>
        <v>553</v>
      </c>
      <c r="CL106" s="1000" cm="1">
        <f t="array" aca="1" ref="CL106" ca="1">IF(NPSwitch=1,_xll.TR(CL$7,CL$6,"Sdate=#1 Period=#2 NULL=BLANK Scale=6",,$D106,$AS$4),CL106)</f>
        <v>528.29999999999995</v>
      </c>
      <c r="CM106" s="1000" cm="1">
        <f t="array" aca="1" ref="CM106" ca="1">IF(NPSwitch=1,_xll.TR(CM$7,CM$6,"Sdate=#1 Period=#2 NULL=BLANK Scale=6",,$D106,$AS$4),CM106)</f>
        <v>1351</v>
      </c>
      <c r="CN106" s="1000" cm="1">
        <f t="array" aca="1" ref="CN106" ca="1">IF(NPSwitch=1,_xll.TR(CN$7,CN$6,"Sdate=#1 Period=#2 NULL=BLANK Scale=6",,$D106,$AS$4),CN106)</f>
        <v>1312.3</v>
      </c>
      <c r="CO106" s="1000" cm="1">
        <f t="array" aca="1" ref="CO106" ca="1">IF(NPSwitch=1,_xll.TR(CO$7,CO$6,"Sdate=#1 Period=#2 NULL=BLANK Scale=6",,$D106,$AS$4),CO106)</f>
        <v>2181</v>
      </c>
      <c r="CP106" s="1000" cm="1">
        <f t="array" aca="1" ref="CP106" ca="1">IF(NPSwitch=1,_xll.TR(CP$7,CP$6,"Sdate=#1 Period=#2 NULL=BLANK Scale=6",,$D106,$AS$4),CP106)</f>
        <v>3170</v>
      </c>
      <c r="CQ106" s="1000" cm="1">
        <f t="array" aca="1" ref="CQ106" ca="1">IF(NPSwitch=1,_xll.TR(CQ$7,CQ$6,"Sdate=#1 Period=#2 NULL=BLANK Scale=6",,$D106,$AS$4),CQ106)</f>
        <v>2228</v>
      </c>
      <c r="CS106" s="1000" cm="1">
        <f t="array" aca="1" ref="CS106" ca="1">IF(NPSwitch=1,_xll.TR(CS$7,CS$6,"Sdate=#1 Period=#2 NULL=BLANK Scale=6",,$D106,$AS$4),CS106)</f>
        <v>10173</v>
      </c>
      <c r="CT106" s="1000" cm="1">
        <f t="array" aca="1" ref="CT106" ca="1">IF(NPSwitch=1,_xll.TR(CT$7,CT$6,"Sdate=#1 Period=#2 NULL=BLANK Scale=6",,$D106,$AS$4),CT106)</f>
        <v>6284.0337499999996</v>
      </c>
      <c r="CU106" s="1000" cm="1">
        <f t="array" aca="1" ref="CU106" ca="1">IF(NPSwitch=1,_xll.TR(CU$7,CU$6,"Sdate=#1 Period=#2 NULL=BLANK Scale=6",,$D106,$AS$4),CU106)</f>
        <v>1480.5</v>
      </c>
      <c r="CV106" s="1000" cm="1">
        <f t="array" aca="1" ref="CV106" ca="1">IF(NPSwitch=1,_xll.TR(CV$7,CV$6,"Sdate=#1 Period=#2 NULL=BLANK Scale=6",,$D106,$AS$4),CV106)</f>
        <v>800.55</v>
      </c>
      <c r="CW106" s="1000" cm="1">
        <f t="array" aca="1" ref="CW106" ca="1">IF(NPSwitch=1,_xll.TR(CW$7,CW$6,"Sdate=#1 Period=#2 NULL=BLANK Scale=6",,$D106,$AS$4),CW106)</f>
        <v>932.52499999999998</v>
      </c>
      <c r="CX106" s="1000" cm="1">
        <f t="array" aca="1" ref="CX106" ca="1">IF(NPSwitch=1,_xll.TR(CX$7,CX$6,"Sdate=#1 Period=#2 NULL=BLANK Scale=6",,$D106,$AS$4),CX106)</f>
        <v>4134</v>
      </c>
      <c r="CY106" s="1000" cm="1">
        <f t="array" aca="1" ref="CY106" ca="1">IF(NPSwitch=1,_xll.TR(CY$7,CY$6,"Sdate=#1 Period=#2 NULL=BLANK Scale=6",,$D106,$AS$4),CY106)</f>
        <v>5566.75</v>
      </c>
      <c r="CZ106" s="1000" cm="1">
        <f t="array" aca="1" ref="CZ106" ca="1">IF(NPSwitch=1,_xll.TR(CZ$7,CZ$6,"Sdate=#1 Period=#2 NULL=BLANK Scale=6",,$D106,$AS$4),CZ106)</f>
        <v>5192.25</v>
      </c>
      <c r="DA106" s="1000" cm="1">
        <f t="array" aca="1" ref="DA106" ca="1">IF(NPSwitch=1,_xll.TR(DA$7,DA$6,"Sdate=#1 Period=#2 NULL=BLANK Scale=6",,$D106,$AS$4),DA106)</f>
        <v>4410.25</v>
      </c>
      <c r="DB106" s="1000" cm="1">
        <f t="array" aca="1" ref="DB106" ca="1">IF(NPSwitch=1,_xll.TR(DB$7,DB$6,"Sdate=#1 Period=#2 NULL=BLANK Scale=6",,$D106,$AS$4),DB106)</f>
        <v>22138.75</v>
      </c>
      <c r="DC106" s="1000" cm="1">
        <f t="array" aca="1" ref="DC106" ca="1">IF(NPSwitch=1,_xll.TR(DC$7,DC$6,"Sdate=#1 Period=#2 NULL=BLANK Scale=6",,$D106,$AS$4),DC106)</f>
        <v>21587</v>
      </c>
      <c r="DD106" s="1000" cm="1">
        <f t="array" aca="1" ref="DD106" ca="1">IF(NPSwitch=1,_xll.TR(DD$7,DD$6,"Sdate=#1 Period=#2 NULL=BLANK Scale=6",,$D106,$AS$4),DD106)</f>
        <v>16583</v>
      </c>
      <c r="DE106" s="1000" cm="1">
        <f t="array" aca="1" ref="DE106" ca="1">IF(NPSwitch=1,_xll.TR(DE$7,DE$6,"Sdate=#1 Period=#2 NULL=BLANK Scale=6",,$D106,$AS$4),DE106)</f>
        <v>6029.75</v>
      </c>
      <c r="DF106" s="1000" cm="1">
        <f t="array" aca="1" ref="DF106" ca="1">IF(NPSwitch=1,_xll.TR(DF$7,DF$6,"Sdate=#1 Period=#2 NULL=BLANK Scale=6",,$D106,$AS$4),DF106)</f>
        <v>800.55</v>
      </c>
      <c r="DG106" s="1000" cm="1">
        <f t="array" aca="1" ref="DG106" ca="1">IF(NPSwitch=1,_xll.TR(DG$7,DG$6,"Sdate=#1 Period=#2 NULL=BLANK Scale=6",,$D106,$AS$4),DG106)</f>
        <v>2865</v>
      </c>
      <c r="DH106" s="1000" cm="1">
        <f t="array" aca="1" ref="DH106" ca="1">IF(NPSwitch=1,_xll.TR(DH$7,DH$6,"Sdate=#1 Period=#2 NULL=BLANK Scale=6",,$D106,$AS$4),DH106)</f>
        <v>8717.25</v>
      </c>
    </row>
    <row r="107" spans="3:112">
      <c r="C107" s="969">
        <f t="shared" si="47"/>
        <v>44926</v>
      </c>
      <c r="D107" s="974">
        <f t="shared" ref="D107" si="49">+C107+90</f>
        <v>45016</v>
      </c>
      <c r="E107" s="765" cm="1">
        <f t="array" aca="1" ref="E107" ca="1">IF(NPSwitch=1,_xll.TR(E$7,E$6,"Sdate=#1 Period=#2 NULL=BLANK",,$D107,$E$4),E107)</f>
        <v>8.7541836177175902</v>
      </c>
      <c r="F107" s="765" cm="1">
        <f t="array" aca="1" ref="F107" ca="1">IF(NPSwitch=1,_xll.TR(F$7,F$6,"Sdate=#1 Period=#2 NULL=BLANK",,$D107,$E$4),F107)</f>
        <v>6.0711552661029398</v>
      </c>
      <c r="G107" s="765" cm="1">
        <f t="array" aca="1" ref="G107" ca="1">IF(NPSwitch=1,_xll.TR(G$7,G$6,"Sdate=#1 Period=#2 NULL=BLANK",,$D107,$E$4),G107)</f>
        <v>9.9822489584454193</v>
      </c>
      <c r="H107" s="765" cm="1">
        <f t="array" aca="1" ref="H107" ca="1">IF(NPSwitch=1,_xll.TR(H$7,H$6,"Sdate=#1 Period=#2 NULL=BLANK",,$D107,$E$4),H107)</f>
        <v>9.6792831540272992</v>
      </c>
      <c r="I107" s="765" cm="1">
        <f t="array" aca="1" ref="I107" ca="1">IF(NPSwitch=1,_xll.TR(I$7,I$6,"Sdate=#1 Period=#2 NULL=BLANK",,$D107,$E$4),I107)</f>
        <v>7.2455058981452698</v>
      </c>
      <c r="J107" s="765" cm="1">
        <f t="array" aca="1" ref="J107" ca="1">IF(NPSwitch=1,_xll.TR(J$7,J$6,"Sdate=#1 Period=#2 NULL=BLANK",,$D107,$E$4),J107)</f>
        <v>11.466641936446701</v>
      </c>
      <c r="K107" s="765" cm="1">
        <f t="array" aca="1" ref="K107" ca="1">IF(NPSwitch=1,_xll.TR(K$7,K$6,"Sdate=#1 Period=#2 NULL=BLANK",,$D107,$E$4),K107)</f>
        <v>13.836081970050399</v>
      </c>
      <c r="L107" s="765" cm="1">
        <f t="array" aca="1" ref="L107" ca="1">IF(NPSwitch=1,_xll.TR(L$7,L$6,"Sdate=#1 Period=#2 NULL=BLANK",,$D107,$E$4),L107)</f>
        <v>4.91566933494257</v>
      </c>
      <c r="M107" s="765" cm="1">
        <f t="array" aca="1" ref="M107" ca="1">IF(NPSwitch=1,_xll.TR(M$7,M$6,"Sdate=#1 Period=#2 NULL=BLANK",,$D107,$E$4),M107)</f>
        <v>7.99841751965862</v>
      </c>
      <c r="N107" s="1002">
        <f t="shared" ca="1" si="48"/>
        <v>9.5209052086762771</v>
      </c>
      <c r="O107" s="1000" cm="1">
        <f t="array" aca="1" ref="O107" ca="1">IF(NPSwitch=1,_xll.TR(O$7,O$6,"Sdate=#1 Period=#2 Scale=6 NULL=BLANK",,$D107,$O$4),O107)</f>
        <v>57964.893766579997</v>
      </c>
      <c r="P107" s="1000" cm="1">
        <f t="array" aca="1" ref="P107" ca="1">IF(NPSwitch=1,_xll.TR(P$7,P$6,"Sdate=#1 Period=#2 Scale=6 NULL=BLANK",,$D107,$O$4),P107)</f>
        <v>25927.857607679998</v>
      </c>
      <c r="Q107" s="1000" cm="1">
        <f t="array" aca="1" ref="Q107" ca="1">IF(NPSwitch=1,_xll.TR(Q$7,Q$6,"Sdate=#1 Period=#2 Scale=6 NULL=BLANK",,$D107,$O$4),Q107)</f>
        <v>5574.23470077</v>
      </c>
      <c r="R107" s="1000" cm="1">
        <f t="array" aca="1" ref="R107" ca="1">IF(NPSwitch=1,_xll.TR(R$7,R$6,"Sdate=#1 Period=#2 Scale=6 NULL=BLANK",,$D107,$O$4),R107)</f>
        <v>3748.52047416</v>
      </c>
      <c r="S107" s="1000" cm="1">
        <f t="array" aca="1" ref="S107" ca="1">IF(NPSwitch=1,_xll.TR(S$7,S$6,"Sdate=#1 Period=#2 Scale=6 NULL=BLANK",,$D107,$O$4),S107)</f>
        <v>5025.29708304</v>
      </c>
      <c r="T107" s="1000" cm="1">
        <f t="array" aca="1" ref="T107" ca="1">IF(NPSwitch=1,_xll.TR(T$7,T$6,"Sdate=#1 Period=#2 Scale=6 NULL=BLANK",,$D107,$O$4),T107)</f>
        <v>15283.564980749999</v>
      </c>
      <c r="U107" s="1000" cm="1">
        <f t="array" aca="1" ref="U107" ca="1">IF(NPSwitch=1,_xll.TR(U$7,U$6,"Sdate=#1 Period=#2 Scale=6 NULL=BLANK",,$D107,$O$4),U107)</f>
        <v>31439.11936914</v>
      </c>
      <c r="V107" s="1000" cm="1">
        <f t="array" aca="1" ref="V107" ca="1">IF(NPSwitch=1,_xll.TR(V$7,V$6,"Sdate=#1 Period=#2 Scale=6 NULL=BLANK",,$D107,$O$4),V107)</f>
        <v>11154.080425599999</v>
      </c>
      <c r="W107" s="1000" cm="1">
        <f t="array" aca="1" ref="W107" ca="1">IF(NPSwitch=1,_xll.TR(W$7,W$6,"Sdate=#1 Period=#2 Scale=6 NULL=BLANK",,$D107,$O$4),W107)</f>
        <v>10048.101028499999</v>
      </c>
      <c r="X107" s="998"/>
      <c r="Y107" s="1000" cm="1">
        <f t="array" aca="1" ref="Y107" ca="1">IF(NPSwitch=1,_xll.TR(Y$7,Y$6,"Sdate=#1 Period=#2 Scale=6 NULL=BLANK",,$D107,$O$4),Y107)</f>
        <v>3456.25</v>
      </c>
      <c r="Z107" s="1000" cm="1">
        <f t="array" aca="1" ref="Z107" ca="1">IF(NPSwitch=1,_xll.TR(Z$7,Z$6,"Sdate=#1 Period=#2 Scale=6 NULL=BLANK",,$D107,$O$4),Z107)</f>
        <v>1068.9665</v>
      </c>
      <c r="AA107" s="1000" cm="1">
        <f t="array" aca="1" ref="AA107" ca="1">IF(NPSwitch=1,_xll.TR(AA$7,AA$6,"Sdate=#1 Period=#2 Scale=6 NULL=BLANK",,$D107,$O$4),AA107)</f>
        <v>692.75</v>
      </c>
      <c r="AB107" s="1000" cm="1">
        <f t="array" aca="1" ref="AB107" ca="1">IF(NPSwitch=1,_xll.TR(AB$7,AB$6,"Sdate=#1 Period=#2 Scale=6 NULL=BLANK",,$D107,$O$4),AB107)</f>
        <v>598.29999999999995</v>
      </c>
      <c r="AC107" s="1000" cm="1">
        <f t="array" aca="1" ref="AC107" ca="1">IF(NPSwitch=1,_xll.TR(AC$7,AC$6,"Sdate=#1 Period=#2 Scale=6 NULL=BLANK",,$D107,$O$4),AC107)</f>
        <v>646</v>
      </c>
      <c r="AD107" s="1000" cm="1">
        <f t="array" aca="1" ref="AD107" ca="1">IF(NPSwitch=1,_xll.TR(AD$7,AD$6,"Sdate=#1 Period=#2 Scale=6 NULL=BLANK",,$D107,$O$4),AD107)</f>
        <v>473.1</v>
      </c>
      <c r="AE107" s="1000" cm="1">
        <f t="array" aca="1" ref="AE107" ca="1">IF(NPSwitch=1,_xll.TR(AE$7,AE$6,"Sdate=#1 Period=#2 Scale=6 NULL=BLANK",,$D107,$O$4),AE107)</f>
        <v>1067</v>
      </c>
      <c r="AF107" s="1000" cm="1">
        <f t="array" aca="1" ref="AF107" ca="1">IF(NPSwitch=1,_xll.TR(AF$7,AF$6,"Sdate=#1 Period=#2 Scale=6 NULL=BLANK",,$D107,$O$4),AF107)</f>
        <v>1008.5</v>
      </c>
      <c r="AG107" s="1000" cm="1">
        <f t="array" aca="1" ref="AG107" ca="1">IF(NPSwitch=1,_xll.TR(AG$7,AG$6,"Sdate=#1 Period=#2 Scale=6 NULL=BLANK",,$D107,$O$4),AG107)</f>
        <v>474.25</v>
      </c>
      <c r="AH107" s="998"/>
      <c r="AI107" s="1000" cm="1">
        <f t="array" aca="1" ref="AI107" ca="1">IF(NPSwitch=1,_xll.TR(AI$7,AI$6,"Sdate=#1 Period=#2 Scale=6 NULL=BLANK",,$D107,$O$4),AI107)</f>
        <v>70144.893766580106</v>
      </c>
      <c r="AJ107" s="1000" cm="1">
        <f t="array" aca="1" ref="AJ107" ca="1">IF(NPSwitch=1,_xll.TR(AJ$7,AJ$6,"Sdate=#1 Period=#2 Scale=6 NULL=BLANK",,$D107,$O$4),AJ107)</f>
        <v>27854.035607680002</v>
      </c>
      <c r="AK107" s="1000" cm="1">
        <f t="array" aca="1" ref="AK107" ca="1">IF(NPSwitch=1,_xll.TR(AK$7,AK$6,"Sdate=#1 Period=#2 Scale=6 NULL=BLANK",,$D107,$O$4),AK107)</f>
        <v>6358.23470077001</v>
      </c>
      <c r="AL107" s="1000" cm="1">
        <f t="array" aca="1" ref="AL107" ca="1">IF(NPSwitch=1,_xll.TR(AL$7,AL$6,"Sdate=#1 Period=#2 Scale=6 NULL=BLANK",,$D107,$O$4),AL107)</f>
        <v>5304.6204741600004</v>
      </c>
      <c r="AM107" s="1000" cm="1">
        <f t="array" aca="1" ref="AM107" ca="1">IF(NPSwitch=1,_xll.TR(AM$7,AM$6,"Sdate=#1 Period=#2 Scale=6 NULL=BLANK",,$D107,$O$4),AM107)</f>
        <v>6349.29708304001</v>
      </c>
      <c r="AN107" s="1000" cm="1">
        <f t="array" aca="1" ref="AN107" ca="1">IF(NPSwitch=1,_xll.TR(AN$7,AN$6,"Sdate=#1 Period=#2 Scale=6 NULL=BLANK",,$D107,$O$4),AN107)</f>
        <v>18008.564980750001</v>
      </c>
      <c r="AO107" s="1000" cm="1">
        <f t="array" aca="1" ref="AO107" ca="1">IF(NPSwitch=1,_xll.TR(AO$7,AO$6,"Sdate=#1 Period=#2 Scale=6 NULL=BLANK",,$D107,$O$4),AO107)</f>
        <v>37218.119369139997</v>
      </c>
      <c r="AP107" s="1000" cm="1">
        <f t="array" aca="1" ref="AP107" ca="1">IF(NPSwitch=1,_xll.TR(AP$7,AP$6,"Sdate=#1 Period=#2 Scale=6 NULL=BLANK",,$D107,$O$4),AP107)</f>
        <v>13677.080425599999</v>
      </c>
      <c r="AQ107" s="1000" cm="1">
        <f t="array" aca="1" ref="AQ107" ca="1">IF(NPSwitch=1,_xll.TR(AQ$7,AQ$6,"Sdate=#1 Period=#2 Scale=6 NULL=BLANK",,$D107,$O$4),AQ107)</f>
        <v>14789.101028499999</v>
      </c>
      <c r="AS107" s="765" cm="1">
        <f t="array" aca="1" ref="AS107" ca="1">IF(NPSwitch=1,_xll.TR(AS$7,AS$6,"Sdate=#1 Period=#2 NULL=BLANK Scale=6",,$D107,$AS$4),AS107)</f>
        <v>18.899999999999999</v>
      </c>
      <c r="AT107" s="765" cm="1">
        <f t="array" aca="1" ref="AT107" ca="1">IF(NPSwitch=1,_xll.TR(AT$7,AT$6,"Sdate=#1 Period=#2 NULL=BLANK Scale=6",,$D107,$AS$4),AT107)</f>
        <v>1.3374999999999999</v>
      </c>
      <c r="AU107" s="765" t="str" cm="1">
        <f t="array" aca="1" ref="AU107" ca="1">IF(NPSwitch=1,_xll.TR(AU$7,AU$6,"Sdate=#1 Period=#2 NULL=BLANK Scale=6",,$D107,$AS$4),AU107)</f>
        <v/>
      </c>
      <c r="AV107" s="765" cm="1">
        <f t="array" aca="1" ref="AV107" ca="1">IF(NPSwitch=1,_xll.TR(AV$7,AV$6,"Sdate=#1 Period=#2 NULL=BLANK Scale=6",,$D107,$AS$4),AV107)</f>
        <v>6.8250000000000002</v>
      </c>
      <c r="AW107" s="765" cm="1">
        <f t="array" aca="1" ref="AW107" ca="1">IF(NPSwitch=1,_xll.TR(AW$7,AW$6,"Sdate=#1 Period=#2 NULL=BLANK Scale=6",,$D107,$AS$4),AW107)</f>
        <v>10.7</v>
      </c>
      <c r="AX107" s="765" cm="1">
        <f t="array" aca="1" ref="AX107" ca="1">IF(NPSwitch=1,_xll.TR(AX$7,AX$6,"Sdate=#1 Period=#2 NULL=BLANK Scale=6",,$D107,$AS$4),AX107)</f>
        <v>21.725000000000001</v>
      </c>
      <c r="AY107" s="765" cm="1">
        <f t="array" aca="1" ref="AY107" ca="1">IF(NPSwitch=1,_xll.TR(AY$7,AY$6,"Sdate=#1 Period=#2 NULL=BLANK Scale=6",,$D107,$AS$4),AY107)</f>
        <v>9.15</v>
      </c>
      <c r="AZ107" s="765" cm="1">
        <f t="array" aca="1" ref="AZ107" ca="1">IF(NPSwitch=1,_xll.TR(AZ$7,AZ$6,"Sdate=#1 Period=#2 NULL=BLANK Scale=6",,$D107,$AS$4),AZ107)</f>
        <v>14.525</v>
      </c>
      <c r="BA107" s="765" cm="1">
        <f t="array" aca="1" ref="BA107" ca="1">IF(NPSwitch=1,_xll.TR(BA$7,BA$6,"Sdate=#1 Period=#2 NULL=BLANK Scale=6",,$D107,$AS$4),BA107)</f>
        <v>14.025</v>
      </c>
      <c r="BB107" s="1002"/>
      <c r="BO107" s="765" cm="1">
        <f t="array" aca="1" ref="BO107" ca="1">IF(NPSwitch=1,_xll.TR(BO$7,BO$6,"Sdate=#1 Period=#2 NULL=BLANK Scale=6",,$D107,$AS$4),BO107)</f>
        <v>34229</v>
      </c>
      <c r="BP107" s="765" cm="1">
        <f t="array" aca="1" ref="BP107" ca="1">IF(NPSwitch=1,_xll.TR(BP$7,BP$6,"Sdate=#1 Period=#2 NULL=BLANK Scale=6",,$D107,$AS$4),BP107)</f>
        <v>7320.1040000000003</v>
      </c>
      <c r="BQ107" s="765" cm="1">
        <f t="array" aca="1" ref="BQ107" ca="1">IF(NPSwitch=1,_xll.TR(BQ$7,BQ$6,"Sdate=#1 Period=#2 NULL=BLANK Scale=6",,$D107,$AS$4),BQ107)</f>
        <v>2405</v>
      </c>
      <c r="BR107" s="765" cm="1">
        <f t="array" aca="1" ref="BR107" ca="1">IF(NPSwitch=1,_xll.TR(BR$7,BR$6,"Sdate=#1 Period=#2 NULL=BLANK Scale=6",,$D107,$AS$4),BR107)</f>
        <v>4209.8999999999996</v>
      </c>
      <c r="BS107" s="765" cm="1">
        <f t="array" aca="1" ref="BS107" ca="1">IF(NPSwitch=1,_xll.TR(BS$7,BS$6,"Sdate=#1 Period=#2 NULL=BLANK Scale=6",,$D107,$AS$4),BS107)</f>
        <v>8412</v>
      </c>
      <c r="BT107" s="765" cm="1">
        <f t="array" aca="1" ref="BT107" ca="1">IF(NPSwitch=1,_xll.TR(BT$7,BT$6,"Sdate=#1 Period=#2 NULL=BLANK Scale=6",,$D107,$AS$4),BT107)</f>
        <v>5802.3</v>
      </c>
      <c r="BU107" s="765" cm="1">
        <f t="array" aca="1" ref="BU107" ca="1">IF(NPSwitch=1,_xll.TR(BU$7,BU$6,"Sdate=#1 Period=#2 NULL=BLANK Scale=6",,$D107,$AS$4),BU107)</f>
        <v>17652</v>
      </c>
      <c r="BV107" s="765" cm="1">
        <f t="array" aca="1" ref="BV107" ca="1">IF(NPSwitch=1,_xll.TR(BV$7,BV$6,"Sdate=#1 Period=#2 NULL=BLANK Scale=6",,$D107,$AS$4),BV107)</f>
        <v>16072</v>
      </c>
      <c r="BW107" s="765" cm="1">
        <f t="array" aca="1" ref="BW107" ca="1">IF(NPSwitch=1,_xll.TR(BW$7,BW$6,"Sdate=#1 Period=#2 NULL=BLANK Scale=6",,$D107,$AS$4),BW107)</f>
        <v>10580</v>
      </c>
      <c r="BY107" s="765" cm="1">
        <f t="array" aca="1" ref="BY107" ca="1">IF(NPSwitch=1,_xll.TR(BY$7,BY$6,"Sdate=#1 Period=#2 NULL=BLANK Scale=6",,$D107,$AS$4),BY107)</f>
        <v>30586</v>
      </c>
      <c r="BZ107" s="765" cm="1">
        <f t="array" aca="1" ref="BZ107" ca="1">IF(NPSwitch=1,_xll.TR(BZ$7,BZ$6,"Sdate=#1 Period=#2 NULL=BLANK Scale=6",,$D107,$AS$4),BZ107)</f>
        <v>10006.27375</v>
      </c>
      <c r="CA107" s="765" cm="1">
        <f t="array" aca="1" ref="CA107" ca="1">IF(NPSwitch=1,_xll.TR(CA$7,CA$6,"Sdate=#1 Period=#2 NULL=BLANK Scale=6",,$D107,$AS$4),CA107)</f>
        <v>4602.3838500000002</v>
      </c>
      <c r="CB107" s="765" cm="1">
        <f t="array" aca="1" ref="CB107" ca="1">IF(NPSwitch=1,_xll.TR(CB$7,CB$6,"Sdate=#1 Period=#2 NULL=BLANK Scale=6",,$D107,$AS$4),CB107)</f>
        <v>4188.55</v>
      </c>
      <c r="CC107" s="765" cm="1">
        <f t="array" aca="1" ref="CC107" ca="1">IF(NPSwitch=1,_xll.TR(CC$7,CC$6,"Sdate=#1 Period=#2 NULL=BLANK Scale=6",,$D107,$AS$4),CC107)</f>
        <v>5752.75</v>
      </c>
      <c r="CD107" s="765" cm="1">
        <f t="array" aca="1" ref="CD107" ca="1">IF(NPSwitch=1,_xll.TR(CD$7,CD$6,"Sdate=#1 Period=#2 NULL=BLANK Scale=6",,$D107,$AS$4),CD107)</f>
        <v>6826.6</v>
      </c>
      <c r="CE107" s="765" cm="1">
        <f t="array" aca="1" ref="CE107" ca="1">IF(NPSwitch=1,_xll.TR(CE$7,CE$6,"Sdate=#1 Period=#2 NULL=BLANK Scale=6",,$D107,$AS$4),CE107)</f>
        <v>13332.25</v>
      </c>
      <c r="CF107" s="765" cm="1">
        <f t="array" aca="1" ref="CF107" ca="1">IF(NPSwitch=1,_xll.TR(CF$7,CF$6,"Sdate=#1 Period=#2 NULL=BLANK Scale=6",,$D107,$AS$4),CF107)</f>
        <v>13939.75</v>
      </c>
      <c r="CG107" s="765" cm="1">
        <f t="array" aca="1" ref="CG107" ca="1">IF(NPSwitch=1,_xll.TR(CG$7,CG$6,"Sdate=#1 Period=#2 NULL=BLANK Scale=6",,$D107,$AS$4),CG107)</f>
        <v>10664.25</v>
      </c>
      <c r="CI107" s="1000" cm="1">
        <f t="array" aca="1" ref="CI107" ca="1">IF(NPSwitch=1,_xll.TR(CI$7,CI$6,"Sdate=#1 Period=#2 NULL=BLANK Scale=6",,$D107,$AS$4),CI107)</f>
        <v>9236</v>
      </c>
      <c r="CJ107" s="1000" cm="1">
        <f t="array" aca="1" ref="CJ107" ca="1">IF(NPSwitch=1,_xll.TR(CJ$7,CJ$6,"Sdate=#1 Period=#2 NULL=BLANK Scale=6",,$D107,$AS$4),CJ107)</f>
        <v>2745.6289999999999</v>
      </c>
      <c r="CK107" s="1000" cm="1">
        <f t="array" aca="1" ref="CK107" ca="1">IF(NPSwitch=1,_xll.TR(CK$7,CK$6,"Sdate=#1 Period=#2 NULL=BLANK Scale=6",,$D107,$AS$4),CK107)</f>
        <v>553</v>
      </c>
      <c r="CL107" s="1000" cm="1">
        <f t="array" aca="1" ref="CL107" ca="1">IF(NPSwitch=1,_xll.TR(CL$7,CL$6,"Sdate=#1 Period=#2 NULL=BLANK Scale=6",,$D107,$AS$4),CL107)</f>
        <v>510.6</v>
      </c>
      <c r="CM107" s="1000" cm="1">
        <f t="array" aca="1" ref="CM107" ca="1">IF(NPSwitch=1,_xll.TR(CM$7,CM$6,"Sdate=#1 Period=#2 NULL=BLANK Scale=6",,$D107,$AS$4),CM107)</f>
        <v>1210</v>
      </c>
      <c r="CN107" s="1000" cm="1">
        <f t="array" aca="1" ref="CN107" ca="1">IF(NPSwitch=1,_xll.TR(CN$7,CN$6,"Sdate=#1 Period=#2 NULL=BLANK Scale=6",,$D107,$AS$4),CN107)</f>
        <v>1364.4</v>
      </c>
      <c r="CO107" s="1000" cm="1">
        <f t="array" aca="1" ref="CO107" ca="1">IF(NPSwitch=1,_xll.TR(CO$7,CO$6,"Sdate=#1 Period=#2 NULL=BLANK Scale=6",,$D107,$AS$4),CO107)</f>
        <v>2338</v>
      </c>
      <c r="CP107" s="1000" cm="1">
        <f t="array" aca="1" ref="CP107" ca="1">IF(NPSwitch=1,_xll.TR(CP$7,CP$6,"Sdate=#1 Period=#2 NULL=BLANK Scale=6",,$D107,$AS$4),CP107)</f>
        <v>3388</v>
      </c>
      <c r="CQ107" s="1000" cm="1">
        <f t="array" aca="1" ref="CQ107" ca="1">IF(NPSwitch=1,_xll.TR(CQ$7,CQ$6,"Sdate=#1 Period=#2 NULL=BLANK Scale=6",,$D107,$AS$4),CQ107)</f>
        <v>1788</v>
      </c>
      <c r="CS107" s="1000" cm="1">
        <f t="array" aca="1" ref="CS107" ca="1">IF(NPSwitch=1,_xll.TR(CS$7,CS$6,"Sdate=#1 Period=#2 NULL=BLANK Scale=6",,$D107,$AS$4),CS107)</f>
        <v>10103</v>
      </c>
      <c r="CT107" s="1000" cm="1">
        <f t="array" aca="1" ref="CT107" ca="1">IF(NPSwitch=1,_xll.TR(CT$7,CT$6,"Sdate=#1 Period=#2 NULL=BLANK Scale=6",,$D107,$AS$4),CT107)</f>
        <v>6540.7370000000001</v>
      </c>
      <c r="CU107" s="1000" cm="1">
        <f t="array" aca="1" ref="CU107" ca="1">IF(NPSwitch=1,_xll.TR(CU$7,CU$6,"Sdate=#1 Period=#2 NULL=BLANK Scale=6",,$D107,$AS$4),CU107)</f>
        <v>1464.25</v>
      </c>
      <c r="CV107" s="1000" cm="1">
        <f t="array" aca="1" ref="CV107" ca="1">IF(NPSwitch=1,_xll.TR(CV$7,CV$6,"Sdate=#1 Period=#2 NULL=BLANK Scale=6",,$D107,$AS$4),CV107)</f>
        <v>890.4</v>
      </c>
      <c r="CW107" s="1000" cm="1">
        <f t="array" aca="1" ref="CW107" ca="1">IF(NPSwitch=1,_xll.TR(CW$7,CW$6,"Sdate=#1 Period=#2 NULL=BLANK Scale=6",,$D107,$AS$4),CW107)</f>
        <v>937.82500000000005</v>
      </c>
      <c r="CX107" s="1000" cm="1">
        <f t="array" aca="1" ref="CX107" ca="1">IF(NPSwitch=1,_xll.TR(CX$7,CX$6,"Sdate=#1 Period=#2 NULL=BLANK Scale=6",,$D107,$AS$4),CX107)</f>
        <v>4090</v>
      </c>
      <c r="CY107" s="1000" cm="1">
        <f t="array" aca="1" ref="CY107" ca="1">IF(NPSwitch=1,_xll.TR(CY$7,CY$6,"Sdate=#1 Period=#2 NULL=BLANK Scale=6",,$D107,$AS$4),CY107)</f>
        <v>5660.75</v>
      </c>
      <c r="CZ107" s="1000" cm="1">
        <f t="array" aca="1" ref="CZ107" ca="1">IF(NPSwitch=1,_xll.TR(CZ$7,CZ$6,"Sdate=#1 Period=#2 NULL=BLANK Scale=6",,$D107,$AS$4),CZ107)</f>
        <v>5232</v>
      </c>
      <c r="DA107" s="1000" cm="1">
        <f t="array" aca="1" ref="DA107" ca="1">IF(NPSwitch=1,_xll.TR(DA$7,DA$6,"Sdate=#1 Period=#2 NULL=BLANK Scale=6",,$D107,$AS$4),DA107)</f>
        <v>4802.25</v>
      </c>
      <c r="DB107" s="1000" cm="1">
        <f t="array" aca="1" ref="DB107" ca="1">IF(NPSwitch=1,_xll.TR(DB$7,DB$6,"Sdate=#1 Period=#2 NULL=BLANK Scale=6",,$D107,$AS$4),DB107)</f>
        <v>22492.25</v>
      </c>
      <c r="DC107" s="1000" cm="1">
        <f t="array" aca="1" ref="DC107" ca="1">IF(NPSwitch=1,_xll.TR(DC$7,DC$6,"Sdate=#1 Period=#2 NULL=BLANK Scale=6",,$D107,$AS$4),DC107)</f>
        <v>21512.5</v>
      </c>
      <c r="DD107" s="1000" cm="1">
        <f t="array" aca="1" ref="DD107" ca="1">IF(NPSwitch=1,_xll.TR(DD$7,DD$6,"Sdate=#1 Period=#2 NULL=BLANK Scale=6",,$D107,$AS$4),DD107)</f>
        <v>16735.5</v>
      </c>
      <c r="DE107" s="1000" cm="1">
        <f t="array" aca="1" ref="DE107" ca="1">IF(NPSwitch=1,_xll.TR(DE$7,DE$6,"Sdate=#1 Period=#2 NULL=BLANK Scale=6",,$D107,$AS$4),DE107)</f>
        <v>6025.25</v>
      </c>
      <c r="DF107" s="1000" cm="1">
        <f t="array" aca="1" ref="DF107" ca="1">IF(NPSwitch=1,_xll.TR(DF$7,DF$6,"Sdate=#1 Period=#2 NULL=BLANK Scale=6",,$D107,$AS$4),DF107)</f>
        <v>890.4</v>
      </c>
      <c r="DG107" s="1000" cm="1">
        <f t="array" aca="1" ref="DG107" ca="1">IF(NPSwitch=1,_xll.TR(DG$7,DG$6,"Sdate=#1 Period=#2 NULL=BLANK Scale=6",,$D107,$AS$4),DG107)</f>
        <v>2808</v>
      </c>
      <c r="DH107" s="1000" cm="1">
        <f t="array" aca="1" ref="DH107" ca="1">IF(NPSwitch=1,_xll.TR(DH$7,DH$6,"Sdate=#1 Period=#2 NULL=BLANK Scale=6",,$D107,$AS$4),DH107)</f>
        <v>8960.25</v>
      </c>
    </row>
    <row r="108" spans="3:112">
      <c r="C108" s="969"/>
      <c r="D108" s="974"/>
      <c r="BB108" s="1002"/>
      <c r="CI108" s="1000"/>
      <c r="CJ108" s="1000"/>
      <c r="CK108" s="1000"/>
      <c r="CL108" s="1000"/>
      <c r="CM108" s="1000"/>
      <c r="CN108" s="1000"/>
      <c r="CO108" s="1000"/>
      <c r="CP108" s="1000"/>
      <c r="CQ108" s="1000"/>
      <c r="CS108" s="1244"/>
      <c r="CT108" s="1033"/>
      <c r="CU108" s="1033"/>
      <c r="CV108" s="1033"/>
      <c r="CW108" s="1033"/>
      <c r="CX108" s="1033"/>
      <c r="CY108" s="1033"/>
      <c r="CZ108" s="1033"/>
    </row>
    <row r="109" spans="3:112">
      <c r="C109" s="969"/>
      <c r="D109" s="974"/>
      <c r="L109" s="1249">
        <f ca="1">AVERAGE(L111:L147)</f>
        <v>5.9784504228820436</v>
      </c>
      <c r="M109" s="1249">
        <f>AVERAGE(M111:M147)</f>
        <v>5.9897416670579942</v>
      </c>
      <c r="BB109" s="1002"/>
      <c r="CI109" s="1000"/>
      <c r="CJ109" s="1000"/>
      <c r="CK109" s="1000"/>
      <c r="CL109" s="1000"/>
      <c r="CM109" s="1000"/>
      <c r="CN109" s="1000"/>
      <c r="CO109" s="1000"/>
      <c r="CP109" s="1000"/>
      <c r="CQ109" s="1000"/>
      <c r="CS109" s="1000">
        <f ca="1">CS107/CS20</f>
        <v>1.7630224238722625</v>
      </c>
      <c r="CT109" s="1000">
        <f t="shared" ref="CT109:DH109" ca="1" si="50">CT107/CT20</f>
        <v>13.508735025762324</v>
      </c>
      <c r="CU109" s="1000">
        <f t="shared" ca="1" si="50"/>
        <v>1.0273636204174705</v>
      </c>
      <c r="CV109" s="1000">
        <f t="shared" ca="1" si="50"/>
        <v>1.4330664306119985</v>
      </c>
      <c r="CW109" s="1000">
        <f t="shared" ca="1" si="50"/>
        <v>0.61302763387969217</v>
      </c>
      <c r="CX109" s="1000">
        <f t="shared" ca="1" si="50"/>
        <v>1.4091300602928509</v>
      </c>
      <c r="CY109" s="1000" t="e">
        <f t="shared" ca="1" si="50"/>
        <v>#VALUE!</v>
      </c>
      <c r="CZ109" s="1000">
        <f t="shared" ca="1" si="50"/>
        <v>1.3485404987434757</v>
      </c>
      <c r="DA109" s="1000" t="e">
        <f t="shared" ca="1" si="50"/>
        <v>#VALUE!</v>
      </c>
      <c r="DB109" s="1000" t="e">
        <f t="shared" ca="1" si="50"/>
        <v>#VALUE!</v>
      </c>
      <c r="DC109" s="1000" t="e">
        <f t="shared" ca="1" si="50"/>
        <v>#VALUE!</v>
      </c>
      <c r="DD109" s="1000" t="e">
        <f t="shared" ca="1" si="50"/>
        <v>#VALUE!</v>
      </c>
      <c r="DE109" s="1000" t="e">
        <f t="shared" ca="1" si="50"/>
        <v>#VALUE!</v>
      </c>
      <c r="DF109" s="1000">
        <f t="shared" ca="1" si="50"/>
        <v>1.4330664306119985</v>
      </c>
      <c r="DG109" s="1000" t="e">
        <f t="shared" ca="1" si="50"/>
        <v>#VALUE!</v>
      </c>
      <c r="DH109" s="1000" t="e">
        <f t="shared" ca="1" si="50"/>
        <v>#VALUE!</v>
      </c>
    </row>
    <row r="110" spans="3:112">
      <c r="C110" s="969"/>
      <c r="D110" s="974"/>
      <c r="H110" s="765" t="s">
        <v>1666</v>
      </c>
      <c r="I110" s="765" t="s">
        <v>1667</v>
      </c>
      <c r="J110" s="765" t="s">
        <v>1664</v>
      </c>
      <c r="L110" s="1249">
        <f ca="1">AVERAGE(L152:L190)</f>
        <v>6.0133284962508347</v>
      </c>
      <c r="M110" s="1249">
        <f>AVERAGE(M152:M190)</f>
        <v>8.1658896434309884</v>
      </c>
      <c r="BB110" s="1002"/>
    </row>
    <row r="111" spans="3:112">
      <c r="C111" s="969"/>
      <c r="D111" s="974"/>
      <c r="G111" s="1250">
        <v>37711</v>
      </c>
      <c r="H111" s="765">
        <f ca="1">_xlfn.XLOOKUP($G111,$K$111:$K$190,L$111:L$190)</f>
        <v>5.3431890401648099</v>
      </c>
      <c r="I111" s="765">
        <f>_xlfn.XLOOKUP($G111,$K$111:$K$190,M$111:M$190)</f>
        <v>6.4170304622231198</v>
      </c>
      <c r="J111" s="1203">
        <f ca="1">_xlfn.XLOOKUP($G111,'Historical Consolidated'!$D$4:$AB$4,'Historical Consolidated'!$D$38:$AB$38)</f>
        <v>19.765000000000001</v>
      </c>
      <c r="K111" s="969">
        <v>37711</v>
      </c>
      <c r="L111" s="765">
        <f ca="1">AVERAGE(L28)</f>
        <v>5.3431890401648099</v>
      </c>
      <c r="M111" s="765">
        <v>6.4170304622231198</v>
      </c>
      <c r="N111" s="1244">
        <f>C20</f>
        <v>36981</v>
      </c>
      <c r="O111" s="1005"/>
      <c r="P111" s="1005"/>
      <c r="Q111" s="1005"/>
      <c r="R111" s="1005"/>
      <c r="S111" s="1005"/>
      <c r="T111" s="1005"/>
      <c r="U111" s="1005"/>
      <c r="V111" s="1005"/>
      <c r="W111" s="1005"/>
      <c r="AI111" s="1005">
        <f ca="1">IFERROR(AI20/SUM($AI20:$AQ20),0)</f>
        <v>0.57970881530775586</v>
      </c>
      <c r="AJ111" s="1005">
        <f t="shared" ref="AJ111:AQ111" ca="1" si="51">IFERROR(AJ20/SUM($AI20:$AQ20),0)</f>
        <v>1.2755679405089242E-2</v>
      </c>
      <c r="AK111" s="1005">
        <f t="shared" ca="1" si="51"/>
        <v>5.8822860512183946E-2</v>
      </c>
      <c r="AL111" s="1005">
        <f t="shared" ca="1" si="51"/>
        <v>1.6670285703739168E-2</v>
      </c>
      <c r="AM111" s="1005">
        <f t="shared" ca="1" si="51"/>
        <v>0</v>
      </c>
      <c r="AN111" s="1005">
        <f t="shared" ca="1" si="51"/>
        <v>4.3067118543578628E-2</v>
      </c>
      <c r="AO111" s="1005">
        <f t="shared" ca="1" si="51"/>
        <v>0.14665325209442537</v>
      </c>
      <c r="AP111" s="1005">
        <f t="shared" ca="1" si="51"/>
        <v>7.0497079847113855E-2</v>
      </c>
      <c r="AQ111" s="1005">
        <f t="shared" ca="1" si="51"/>
        <v>7.1824908586113789E-2</v>
      </c>
      <c r="BB111" s="1002"/>
    </row>
    <row r="112" spans="3:112">
      <c r="E112" s="1005"/>
      <c r="F112" s="1005"/>
      <c r="G112" s="1250">
        <f>+EOMONTH(G111,12)</f>
        <v>38077</v>
      </c>
      <c r="H112" s="765">
        <f t="shared" ref="H112:H130" ca="1" si="52">_xlfn.XLOOKUP($G112,$K$111:$K$190,L$111:L$190)</f>
        <v>6.2884751692341396</v>
      </c>
      <c r="I112" s="765">
        <f t="shared" ref="I112:I130" si="53">_xlfn.XLOOKUP($G112,$K$111:$K$190,M$111:M$190)</f>
        <v>7.5569167040128704</v>
      </c>
      <c r="J112" s="1203">
        <f ca="1">_xlfn.XLOOKUP($G112,'Historical Consolidated'!$D$4:$AB$4,'Historical Consolidated'!$D$38:$AB$38)</f>
        <v>28.864999999999998</v>
      </c>
      <c r="K112" s="971">
        <v>37802</v>
      </c>
      <c r="L112" s="765">
        <f t="shared" ref="L112:L175" ca="1" si="54">AVERAGE(L29)</f>
        <v>5.4337842366830698</v>
      </c>
      <c r="M112" s="765">
        <v>6.7750575682194203</v>
      </c>
      <c r="N112" s="1244">
        <f t="shared" ref="N112:N175" si="55">C21</f>
        <v>37072</v>
      </c>
      <c r="O112" s="1005"/>
      <c r="P112" s="1005"/>
      <c r="Q112" s="1005"/>
      <c r="R112" s="1005"/>
      <c r="S112" s="1005"/>
      <c r="T112" s="1005"/>
      <c r="U112" s="1005"/>
      <c r="V112" s="1005"/>
      <c r="W112" s="1005"/>
      <c r="AI112" s="1005">
        <f t="shared" ref="AI112:AQ112" ca="1" si="56">IFERROR(AI21/SUM($AI21:$AQ21),0)</f>
        <v>0.57034332329513715</v>
      </c>
      <c r="AJ112" s="1005">
        <f t="shared" ca="1" si="56"/>
        <v>1.2846418787151277E-2</v>
      </c>
      <c r="AK112" s="1005">
        <f t="shared" ca="1" si="56"/>
        <v>5.9113639320429311E-2</v>
      </c>
      <c r="AL112" s="1005">
        <f t="shared" ca="1" si="56"/>
        <v>1.7261568226943757E-2</v>
      </c>
      <c r="AM112" s="1005">
        <f t="shared" ca="1" si="56"/>
        <v>0</v>
      </c>
      <c r="AN112" s="1005">
        <f t="shared" ca="1" si="56"/>
        <v>3.963434804049288E-2</v>
      </c>
      <c r="AO112" s="1005">
        <f t="shared" ca="1" si="56"/>
        <v>0.14933233575813976</v>
      </c>
      <c r="AP112" s="1005">
        <f t="shared" ca="1" si="56"/>
        <v>8.2799275116951163E-2</v>
      </c>
      <c r="AQ112" s="1005">
        <f t="shared" ca="1" si="56"/>
        <v>6.8669091454754694E-2</v>
      </c>
    </row>
    <row r="113" spans="5:43">
      <c r="E113" s="1005"/>
      <c r="F113" s="1005"/>
      <c r="G113" s="1250">
        <f t="shared" ref="G113:G130" si="57">+EOMONTH(G112,12)</f>
        <v>38442</v>
      </c>
      <c r="H113" s="765">
        <f t="shared" ca="1" si="52"/>
        <v>6.1692973583051796</v>
      </c>
      <c r="I113" s="765">
        <f t="shared" si="53"/>
        <v>6.1408772534009701</v>
      </c>
      <c r="J113" s="1203">
        <f ca="1">_xlfn.XLOOKUP($G113,'Historical Consolidated'!$D$4:$AB$4,'Historical Consolidated'!$D$38:$AB$38)</f>
        <v>25.795000000000002</v>
      </c>
      <c r="K113" s="972">
        <v>37894</v>
      </c>
      <c r="L113" s="765">
        <f t="shared" ca="1" si="54"/>
        <v>5.9834191608168803</v>
      </c>
      <c r="M113" s="765">
        <v>6.8654685030770901</v>
      </c>
      <c r="N113" s="1244">
        <f t="shared" si="55"/>
        <v>37164</v>
      </c>
      <c r="O113" s="1005"/>
      <c r="P113" s="1005"/>
      <c r="Q113" s="1005"/>
      <c r="R113" s="1005"/>
      <c r="S113" s="1005"/>
      <c r="T113" s="1005"/>
      <c r="U113" s="1005"/>
      <c r="V113" s="1005"/>
      <c r="W113" s="1005"/>
      <c r="AI113" s="1005">
        <f t="shared" ref="AI113:AQ113" ca="1" si="58">IFERROR(AI22/SUM($AI22:$AQ22),0)</f>
        <v>0.5887212405839457</v>
      </c>
      <c r="AJ113" s="1005">
        <f t="shared" ca="1" si="58"/>
        <v>1.3893917019965672E-2</v>
      </c>
      <c r="AK113" s="1005">
        <f t="shared" ca="1" si="58"/>
        <v>5.9057023222977206E-2</v>
      </c>
      <c r="AL113" s="1005">
        <f t="shared" ca="1" si="58"/>
        <v>1.6077384878202945E-2</v>
      </c>
      <c r="AM113" s="1005">
        <f t="shared" ca="1" si="58"/>
        <v>0</v>
      </c>
      <c r="AN113" s="1005">
        <f t="shared" ca="1" si="58"/>
        <v>3.4761549170997309E-2</v>
      </c>
      <c r="AO113" s="1005">
        <f t="shared" ca="1" si="58"/>
        <v>0.14345708393354392</v>
      </c>
      <c r="AP113" s="1005">
        <f t="shared" ca="1" si="58"/>
        <v>8.1187088405488966E-2</v>
      </c>
      <c r="AQ113" s="1005">
        <f t="shared" ca="1" si="58"/>
        <v>6.2844712784878382E-2</v>
      </c>
    </row>
    <row r="114" spans="5:43">
      <c r="E114" s="1005"/>
      <c r="F114" s="1005"/>
      <c r="G114" s="1250">
        <f t="shared" si="57"/>
        <v>38807</v>
      </c>
      <c r="H114" s="765">
        <f t="shared" ca="1" si="52"/>
        <v>6.3848722838046497</v>
      </c>
      <c r="I114" s="765">
        <f t="shared" si="53"/>
        <v>5.6476763149678</v>
      </c>
      <c r="J114" s="1203">
        <f ca="1">_xlfn.XLOOKUP($G114,'Historical Consolidated'!$D$4:$AB$4,'Historical Consolidated'!$D$38:$AB$38)</f>
        <v>29.655000000000001</v>
      </c>
      <c r="K114" s="973">
        <v>37986</v>
      </c>
      <c r="L114" s="765">
        <f t="shared" ca="1" si="54"/>
        <v>6.1276091901463499</v>
      </c>
      <c r="M114" s="765">
        <v>7.8432490350863402</v>
      </c>
      <c r="N114" s="1244">
        <f t="shared" si="55"/>
        <v>37256</v>
      </c>
      <c r="O114" s="1005"/>
      <c r="P114" s="1005"/>
      <c r="Q114" s="1005"/>
      <c r="R114" s="1005"/>
      <c r="S114" s="1005"/>
      <c r="T114" s="1005"/>
      <c r="U114" s="1005"/>
      <c r="V114" s="1005"/>
      <c r="W114" s="1005"/>
      <c r="AI114" s="1005">
        <f t="shared" ref="AI114:AQ114" ca="1" si="59">IFERROR(AI23/SUM($AI23:$AQ23),0)</f>
        <v>0.59211705000027126</v>
      </c>
      <c r="AJ114" s="1005">
        <f t="shared" ca="1" si="59"/>
        <v>1.5288795914979435E-2</v>
      </c>
      <c r="AK114" s="1005">
        <f t="shared" ca="1" si="59"/>
        <v>5.6671870553795835E-2</v>
      </c>
      <c r="AL114" s="1005">
        <f t="shared" ca="1" si="59"/>
        <v>1.7009609940319501E-2</v>
      </c>
      <c r="AM114" s="1005">
        <f t="shared" ca="1" si="59"/>
        <v>0</v>
      </c>
      <c r="AN114" s="1005">
        <f t="shared" ca="1" si="59"/>
        <v>2.7885836635207217E-2</v>
      </c>
      <c r="AO114" s="1005">
        <f t="shared" ca="1" si="59"/>
        <v>0.13145238797937431</v>
      </c>
      <c r="AP114" s="1005">
        <f t="shared" ca="1" si="59"/>
        <v>9.5172739866129327E-2</v>
      </c>
      <c r="AQ114" s="1005">
        <f t="shared" ca="1" si="59"/>
        <v>6.4401709109923183E-2</v>
      </c>
    </row>
    <row r="115" spans="5:43">
      <c r="E115" s="1005"/>
      <c r="F115" s="1005"/>
      <c r="G115" s="1250">
        <f t="shared" si="57"/>
        <v>39172</v>
      </c>
      <c r="H115" s="765">
        <f t="shared" ca="1" si="52"/>
        <v>7.2575435426744903</v>
      </c>
      <c r="I115" s="765">
        <f t="shared" si="53"/>
        <v>6.3013393976710699</v>
      </c>
      <c r="J115" s="1203">
        <f ca="1">_xlfn.XLOOKUP($G115,'Historical Consolidated'!$D$4:$AB$4,'Historical Consolidated'!$D$38:$AB$38)</f>
        <v>30.545000000000002</v>
      </c>
      <c r="K115" s="969">
        <v>38077</v>
      </c>
      <c r="L115" s="765">
        <f t="shared" ca="1" si="54"/>
        <v>6.2884751692341396</v>
      </c>
      <c r="M115" s="765">
        <v>7.5569167040128704</v>
      </c>
      <c r="N115" s="1244">
        <f t="shared" si="55"/>
        <v>37346</v>
      </c>
      <c r="O115" s="1005"/>
      <c r="P115" s="1005"/>
      <c r="Q115" s="1005"/>
      <c r="R115" s="1005"/>
      <c r="S115" s="1005"/>
      <c r="T115" s="1005"/>
      <c r="U115" s="1005"/>
      <c r="V115" s="1005"/>
      <c r="W115" s="1005"/>
      <c r="AI115" s="1005">
        <f t="shared" ref="AI115:AQ115" ca="1" si="60">IFERROR(AI24/SUM($AI24:$AQ24),0)</f>
        <v>0.59421900965874586</v>
      </c>
      <c r="AJ115" s="1005">
        <f t="shared" ca="1" si="60"/>
        <v>1.6906187538269783E-2</v>
      </c>
      <c r="AK115" s="1005">
        <f t="shared" ca="1" si="60"/>
        <v>4.963575000019893E-2</v>
      </c>
      <c r="AL115" s="1005">
        <f t="shared" ca="1" si="60"/>
        <v>1.896249671341424E-2</v>
      </c>
      <c r="AM115" s="1005">
        <f t="shared" ca="1" si="60"/>
        <v>0</v>
      </c>
      <c r="AN115" s="1005">
        <f t="shared" ca="1" si="60"/>
        <v>2.6006600685567649E-2</v>
      </c>
      <c r="AO115" s="1005">
        <f t="shared" ca="1" si="60"/>
        <v>0.13676793233478601</v>
      </c>
      <c r="AP115" s="1005">
        <f t="shared" ca="1" si="60"/>
        <v>9.3453376958246043E-2</v>
      </c>
      <c r="AQ115" s="1005">
        <f t="shared" ca="1" si="60"/>
        <v>6.4048646110771573E-2</v>
      </c>
    </row>
    <row r="116" spans="5:43">
      <c r="E116" s="1005"/>
      <c r="F116" s="1005"/>
      <c r="G116" s="1250">
        <f t="shared" si="57"/>
        <v>39538</v>
      </c>
      <c r="H116" s="765">
        <f t="shared" ca="1" si="52"/>
        <v>5.7990494049450003</v>
      </c>
      <c r="I116" s="765">
        <f t="shared" si="53"/>
        <v>6.87129923344866</v>
      </c>
      <c r="J116" s="1203">
        <f ca="1">_xlfn.XLOOKUP($G116,'Historical Consolidated'!$D$4:$AB$4,'Historical Consolidated'!$D$38:$AB$38)</f>
        <v>15.855</v>
      </c>
      <c r="K116" s="971">
        <v>38168</v>
      </c>
      <c r="L116" s="765">
        <f t="shared" ca="1" si="54"/>
        <v>6.1008894224089198</v>
      </c>
      <c r="M116" s="765">
        <v>6.8471384363263397</v>
      </c>
      <c r="N116" s="1244">
        <f t="shared" si="55"/>
        <v>37437</v>
      </c>
      <c r="O116" s="1005"/>
      <c r="P116" s="1005"/>
      <c r="Q116" s="1005"/>
      <c r="R116" s="1005"/>
      <c r="S116" s="1005"/>
      <c r="T116" s="1005"/>
      <c r="U116" s="1005"/>
      <c r="V116" s="1005"/>
      <c r="W116" s="1005"/>
      <c r="AI116" s="1005">
        <f t="shared" ref="AI116:AQ116" ca="1" si="61">IFERROR(AI25/SUM($AI25:$AQ25),0)</f>
        <v>0.60255662278499367</v>
      </c>
      <c r="AJ116" s="1005">
        <f t="shared" ca="1" si="61"/>
        <v>1.7123791817775631E-2</v>
      </c>
      <c r="AK116" s="1005">
        <f t="shared" ca="1" si="61"/>
        <v>4.5208997983283837E-2</v>
      </c>
      <c r="AL116" s="1005">
        <f t="shared" ca="1" si="61"/>
        <v>1.745683097467967E-2</v>
      </c>
      <c r="AM116" s="1005">
        <f t="shared" ca="1" si="61"/>
        <v>0</v>
      </c>
      <c r="AN116" s="1005">
        <f t="shared" ca="1" si="61"/>
        <v>2.1981369441866017E-2</v>
      </c>
      <c r="AO116" s="1005">
        <f t="shared" ca="1" si="61"/>
        <v>0.13958440039512829</v>
      </c>
      <c r="AP116" s="1005">
        <f t="shared" ca="1" si="61"/>
        <v>9.1643335037791054E-2</v>
      </c>
      <c r="AQ116" s="1005">
        <f t="shared" ca="1" si="61"/>
        <v>6.4444651564481856E-2</v>
      </c>
    </row>
    <row r="117" spans="5:43">
      <c r="E117" s="1005"/>
      <c r="F117" s="1005"/>
      <c r="G117" s="1250">
        <f t="shared" si="57"/>
        <v>39903</v>
      </c>
      <c r="H117" s="765">
        <f t="shared" ca="1" si="52"/>
        <v>5.8009733630415603</v>
      </c>
      <c r="I117" s="765">
        <f t="shared" si="53"/>
        <v>5.8701955247192297</v>
      </c>
      <c r="J117" s="1203">
        <f ca="1">_xlfn.XLOOKUP($G117,'Historical Consolidated'!$D$4:$AB$4,'Historical Consolidated'!$D$38:$AB$38)</f>
        <v>30.12</v>
      </c>
      <c r="K117" s="972">
        <v>38260</v>
      </c>
      <c r="L117" s="765">
        <f t="shared" ca="1" si="54"/>
        <v>6.8905219958083697</v>
      </c>
      <c r="M117" s="765">
        <v>7.1984570420328797</v>
      </c>
      <c r="N117" s="1244">
        <f t="shared" si="55"/>
        <v>37529</v>
      </c>
      <c r="O117" s="1005"/>
      <c r="P117" s="1005"/>
      <c r="Q117" s="1005"/>
      <c r="R117" s="1005"/>
      <c r="S117" s="1005"/>
      <c r="T117" s="1005"/>
      <c r="U117" s="1005"/>
      <c r="V117" s="1005"/>
      <c r="W117" s="1005"/>
      <c r="AI117" s="1005">
        <f t="shared" ref="AI117:AQ117" ca="1" si="62">IFERROR(AI26/SUM($AI26:$AQ26),0)</f>
        <v>0.63534655558684505</v>
      </c>
      <c r="AJ117" s="1005">
        <f t="shared" ca="1" si="62"/>
        <v>1.6258574092602694E-2</v>
      </c>
      <c r="AK117" s="1005">
        <f t="shared" ca="1" si="62"/>
        <v>4.1858534883044599E-2</v>
      </c>
      <c r="AL117" s="1005">
        <f t="shared" ca="1" si="62"/>
        <v>1.5528531268319488E-2</v>
      </c>
      <c r="AM117" s="1005">
        <f t="shared" ca="1" si="62"/>
        <v>0</v>
      </c>
      <c r="AN117" s="1005">
        <f t="shared" ca="1" si="62"/>
        <v>2.2224860377378832E-2</v>
      </c>
      <c r="AO117" s="1005">
        <f t="shared" ca="1" si="62"/>
        <v>0.12463206496299899</v>
      </c>
      <c r="AP117" s="1005">
        <f t="shared" ca="1" si="62"/>
        <v>8.6172155833274033E-2</v>
      </c>
      <c r="AQ117" s="1005">
        <f t="shared" ca="1" si="62"/>
        <v>5.7978722995536497E-2</v>
      </c>
    </row>
    <row r="118" spans="5:43">
      <c r="E118" s="1005"/>
      <c r="F118" s="1005"/>
      <c r="G118" s="1250">
        <f t="shared" si="57"/>
        <v>40268</v>
      </c>
      <c r="H118" s="765">
        <f t="shared" ca="1" si="52"/>
        <v>4.2169345768157998</v>
      </c>
      <c r="I118" s="765">
        <f t="shared" si="53"/>
        <v>5.7560726798505204</v>
      </c>
      <c r="J118" s="1203">
        <f ca="1">_xlfn.XLOOKUP($G118,'Historical Consolidated'!$D$4:$AB$4,'Historical Consolidated'!$D$38:$AB$38)</f>
        <v>42.04</v>
      </c>
      <c r="K118" s="973">
        <v>38352</v>
      </c>
      <c r="L118" s="765">
        <f t="shared" ca="1" si="54"/>
        <v>7.1357045111673898</v>
      </c>
      <c r="M118" s="765">
        <v>7.1596350422116304</v>
      </c>
      <c r="N118" s="1244">
        <f t="shared" si="55"/>
        <v>37621</v>
      </c>
      <c r="O118" s="1005"/>
      <c r="P118" s="1005"/>
      <c r="Q118" s="1005"/>
      <c r="R118" s="1005"/>
      <c r="S118" s="1005"/>
      <c r="T118" s="1005"/>
      <c r="U118" s="1005"/>
      <c r="V118" s="1005"/>
      <c r="W118" s="1005"/>
      <c r="AI118" s="1005">
        <f t="shared" ref="AI118:AQ118" ca="1" si="63">IFERROR(AI27/SUM($AI27:$AQ27),0)</f>
        <v>0.64253695671058431</v>
      </c>
      <c r="AJ118" s="1005">
        <f t="shared" ca="1" si="63"/>
        <v>1.4821004181682711E-2</v>
      </c>
      <c r="AK118" s="1005">
        <f t="shared" ca="1" si="63"/>
        <v>4.4522353128379072E-2</v>
      </c>
      <c r="AL118" s="1005">
        <f t="shared" ca="1" si="63"/>
        <v>1.1150068446205594E-2</v>
      </c>
      <c r="AM118" s="1005">
        <f t="shared" ca="1" si="63"/>
        <v>0</v>
      </c>
      <c r="AN118" s="1005">
        <f t="shared" ca="1" si="63"/>
        <v>1.8920626071566034E-2</v>
      </c>
      <c r="AO118" s="1005">
        <f t="shared" ca="1" si="63"/>
        <v>0.12748322019237177</v>
      </c>
      <c r="AP118" s="1005">
        <f t="shared" ca="1" si="63"/>
        <v>8.55117855343792E-2</v>
      </c>
      <c r="AQ118" s="1005">
        <f t="shared" ca="1" si="63"/>
        <v>5.5053985734831189E-2</v>
      </c>
    </row>
    <row r="119" spans="5:43">
      <c r="E119" s="1005"/>
      <c r="F119" s="1005"/>
      <c r="G119" s="1250">
        <f t="shared" si="57"/>
        <v>40633</v>
      </c>
      <c r="H119" s="765">
        <f t="shared" ca="1" si="52"/>
        <v>8.4207634356412608</v>
      </c>
      <c r="I119" s="765">
        <f t="shared" si="53"/>
        <v>5.9462120607608604</v>
      </c>
      <c r="J119" s="1203">
        <f ca="1">_xlfn.XLOOKUP($G119,'Historical Consolidated'!$D$4:$AB$4,'Historical Consolidated'!$D$38:$AB$38)</f>
        <v>39.06</v>
      </c>
      <c r="K119" s="969">
        <v>38442</v>
      </c>
      <c r="L119" s="765">
        <f t="shared" ca="1" si="54"/>
        <v>6.1692973583051796</v>
      </c>
      <c r="M119" s="765">
        <v>6.1408772534009701</v>
      </c>
      <c r="N119" s="1244">
        <f t="shared" si="55"/>
        <v>37711</v>
      </c>
      <c r="O119" s="1005"/>
      <c r="P119" s="1005"/>
      <c r="Q119" s="1005"/>
      <c r="R119" s="1005"/>
      <c r="S119" s="1005"/>
      <c r="T119" s="1005"/>
      <c r="U119" s="1005"/>
      <c r="V119" s="1005"/>
      <c r="W119" s="1005"/>
      <c r="AI119" s="1005">
        <f t="shared" ref="AI119:AQ119" ca="1" si="64">IFERROR(AI28/SUM($AI28:$AQ28),0)</f>
        <v>0.62956843565131915</v>
      </c>
      <c r="AJ119" s="1005">
        <f t="shared" ca="1" si="64"/>
        <v>1.4679380351057817E-2</v>
      </c>
      <c r="AK119" s="1005">
        <f t="shared" ca="1" si="64"/>
        <v>4.6858467940464894E-2</v>
      </c>
      <c r="AL119" s="1005">
        <f t="shared" ca="1" si="64"/>
        <v>1.2404802427952348E-2</v>
      </c>
      <c r="AM119" s="1005">
        <f t="shared" ca="1" si="64"/>
        <v>0</v>
      </c>
      <c r="AN119" s="1005">
        <f t="shared" ca="1" si="64"/>
        <v>2.5976825428400796E-2</v>
      </c>
      <c r="AO119" s="1005">
        <f t="shared" ca="1" si="64"/>
        <v>0.12357980462366526</v>
      </c>
      <c r="AP119" s="1005">
        <f t="shared" ca="1" si="64"/>
        <v>9.1605148130211339E-2</v>
      </c>
      <c r="AQ119" s="1005">
        <f t="shared" ca="1" si="64"/>
        <v>5.5327135446928168E-2</v>
      </c>
    </row>
    <row r="120" spans="5:43">
      <c r="E120" s="1005"/>
      <c r="F120" s="1005"/>
      <c r="G120" s="1250">
        <f t="shared" si="57"/>
        <v>40999</v>
      </c>
      <c r="H120" s="765">
        <f t="shared" ca="1" si="52"/>
        <v>5.02173786536079</v>
      </c>
      <c r="I120" s="765">
        <f t="shared" si="53"/>
        <v>4.5802052792951899</v>
      </c>
      <c r="J120" s="1203">
        <f ca="1">_xlfn.XLOOKUP($G120,'Historical Consolidated'!$D$4:$AB$4,'Historical Consolidated'!$D$38:$AB$38)</f>
        <v>68.05</v>
      </c>
      <c r="K120" s="971">
        <v>38533</v>
      </c>
      <c r="L120" s="765">
        <f t="shared" ca="1" si="54"/>
        <v>5.87062605914688</v>
      </c>
      <c r="M120" s="765">
        <v>4.9706892077254903</v>
      </c>
      <c r="N120" s="1244">
        <f t="shared" si="55"/>
        <v>37802</v>
      </c>
      <c r="O120" s="1005"/>
      <c r="P120" s="1005"/>
      <c r="Q120" s="1005"/>
      <c r="R120" s="1005"/>
      <c r="S120" s="1005"/>
      <c r="T120" s="1005"/>
      <c r="U120" s="1005"/>
      <c r="V120" s="1005"/>
      <c r="W120" s="1005"/>
      <c r="AI120" s="1005">
        <f t="shared" ref="AI120:AQ120" ca="1" si="65">IFERROR(AI29/SUM($AI29:$AQ29),0)</f>
        <v>0.64435134813585304</v>
      </c>
      <c r="AJ120" s="1005">
        <f t="shared" ca="1" si="65"/>
        <v>1.3843126812155175E-2</v>
      </c>
      <c r="AK120" s="1005">
        <f t="shared" ca="1" si="65"/>
        <v>4.4608906241218334E-2</v>
      </c>
      <c r="AL120" s="1005">
        <f t="shared" ca="1" si="65"/>
        <v>1.3482189902658145E-2</v>
      </c>
      <c r="AM120" s="1005">
        <f t="shared" ca="1" si="65"/>
        <v>0</v>
      </c>
      <c r="AN120" s="1005">
        <f t="shared" ca="1" si="65"/>
        <v>2.3182985594654142E-2</v>
      </c>
      <c r="AO120" s="1005">
        <f t="shared" ca="1" si="65"/>
        <v>0.12479939336417993</v>
      </c>
      <c r="AP120" s="1005">
        <f t="shared" ca="1" si="65"/>
        <v>8.0900942935533904E-2</v>
      </c>
      <c r="AQ120" s="1005">
        <f t="shared" ca="1" si="65"/>
        <v>5.4831107013747361E-2</v>
      </c>
    </row>
    <row r="121" spans="5:43">
      <c r="E121" s="1005"/>
      <c r="F121" s="1005"/>
      <c r="G121" s="1250">
        <f t="shared" si="57"/>
        <v>41364</v>
      </c>
      <c r="H121" s="765">
        <f t="shared" ca="1" si="52"/>
        <v>5.9738516326459399</v>
      </c>
      <c r="I121" s="765">
        <f t="shared" si="53"/>
        <v>7.3925278844614404</v>
      </c>
      <c r="J121" s="1203">
        <f ca="1">_xlfn.XLOOKUP($G121,'Historical Consolidated'!$D$4:$AB$4,'Historical Consolidated'!$D$38:$AB$38)</f>
        <v>80.7</v>
      </c>
      <c r="K121" s="972">
        <v>38625</v>
      </c>
      <c r="L121" s="765">
        <f t="shared" ca="1" si="54"/>
        <v>7.0350846079607603</v>
      </c>
      <c r="M121" s="765">
        <v>5.1884370354057499</v>
      </c>
      <c r="N121" s="1244">
        <f t="shared" si="55"/>
        <v>37894</v>
      </c>
      <c r="O121" s="1005"/>
      <c r="P121" s="1005"/>
      <c r="Q121" s="1005"/>
      <c r="R121" s="1005"/>
      <c r="S121" s="1005"/>
      <c r="T121" s="1005"/>
      <c r="U121" s="1005"/>
      <c r="V121" s="1005"/>
      <c r="W121" s="1005"/>
      <c r="AI121" s="1005">
        <f t="shared" ref="AI121:AQ121" ca="1" si="66">IFERROR(AI30/SUM($AI30:$AQ30),0)</f>
        <v>0.65833663895133043</v>
      </c>
      <c r="AJ121" s="1005">
        <f t="shared" ca="1" si="66"/>
        <v>1.3779204347929282E-2</v>
      </c>
      <c r="AK121" s="1005">
        <f t="shared" ca="1" si="66"/>
        <v>4.5827609165118584E-2</v>
      </c>
      <c r="AL121" s="1005">
        <f t="shared" ca="1" si="66"/>
        <v>1.2658834773661587E-2</v>
      </c>
      <c r="AM121" s="1005">
        <f t="shared" ca="1" si="66"/>
        <v>0</v>
      </c>
      <c r="AN121" s="1005">
        <f t="shared" ca="1" si="66"/>
        <v>2.0654556768802641E-2</v>
      </c>
      <c r="AO121" s="1005">
        <f t="shared" ca="1" si="66"/>
        <v>0.11861057991353027</v>
      </c>
      <c r="AP121" s="1005">
        <f t="shared" ca="1" si="66"/>
        <v>7.9797493445087908E-2</v>
      </c>
      <c r="AQ121" s="1005">
        <f t="shared" ca="1" si="66"/>
        <v>5.0335082634539279E-2</v>
      </c>
    </row>
    <row r="122" spans="5:43">
      <c r="E122" s="1005"/>
      <c r="F122" s="1005"/>
      <c r="G122" s="1250">
        <f t="shared" si="57"/>
        <v>41729</v>
      </c>
      <c r="H122" s="765">
        <f t="shared" ca="1" si="52"/>
        <v>6.3913600830519002</v>
      </c>
      <c r="I122" s="765">
        <f t="shared" si="53"/>
        <v>8.0386374338896704</v>
      </c>
      <c r="J122" s="1203">
        <f ca="1">_xlfn.XLOOKUP($G122,'Historical Consolidated'!$D$4:$AB$4,'Historical Consolidated'!$D$38:$AB$38)</f>
        <v>75.86</v>
      </c>
      <c r="K122" s="973">
        <v>38717</v>
      </c>
      <c r="L122" s="765">
        <f t="shared" ca="1" si="54"/>
        <v>6.4909001478257702</v>
      </c>
      <c r="M122" s="765">
        <v>5.1637922224389996</v>
      </c>
      <c r="N122" s="1244">
        <f t="shared" si="55"/>
        <v>37986</v>
      </c>
      <c r="O122" s="1005"/>
      <c r="P122" s="1005"/>
      <c r="Q122" s="1005"/>
      <c r="R122" s="1005"/>
      <c r="S122" s="1005"/>
      <c r="T122" s="1005"/>
      <c r="U122" s="1005"/>
      <c r="V122" s="1005"/>
      <c r="W122" s="1005"/>
      <c r="AI122" s="1005">
        <f t="shared" ref="AI122:AQ122" ca="1" si="67">IFERROR(AI31/SUM($AI31:$AQ31),0)</f>
        <v>0.65037104982438132</v>
      </c>
      <c r="AJ122" s="1005">
        <f t="shared" ca="1" si="67"/>
        <v>1.410572892399131E-2</v>
      </c>
      <c r="AK122" s="1005">
        <f t="shared" ca="1" si="67"/>
        <v>4.640101165343314E-2</v>
      </c>
      <c r="AL122" s="1005">
        <f t="shared" ca="1" si="67"/>
        <v>1.3211071826236853E-2</v>
      </c>
      <c r="AM122" s="1005">
        <f t="shared" ca="1" si="67"/>
        <v>0</v>
      </c>
      <c r="AN122" s="1005">
        <f t="shared" ca="1" si="67"/>
        <v>2.3295212962843828E-2</v>
      </c>
      <c r="AO122" s="1005">
        <f t="shared" ca="1" si="67"/>
        <v>0.11803718261357432</v>
      </c>
      <c r="AP122" s="1005">
        <f t="shared" ca="1" si="67"/>
        <v>7.9809731423314406E-2</v>
      </c>
      <c r="AQ122" s="1005">
        <f t="shared" ca="1" si="67"/>
        <v>5.4769010772224853E-2</v>
      </c>
    </row>
    <row r="123" spans="5:43">
      <c r="E123" s="1005"/>
      <c r="F123" s="1005"/>
      <c r="G123" s="1250">
        <f t="shared" si="57"/>
        <v>42094</v>
      </c>
      <c r="H123" s="765">
        <f t="shared" ca="1" si="52"/>
        <v>6.1299111483528899</v>
      </c>
      <c r="I123" s="765">
        <f t="shared" si="53"/>
        <v>8.2565020886253606</v>
      </c>
      <c r="J123" s="1203">
        <f ca="1">_xlfn.XLOOKUP($G123,'Historical Consolidated'!$D$4:$AB$4,'Historical Consolidated'!$D$38:$AB$38)</f>
        <v>67.510000000000005</v>
      </c>
      <c r="K123" s="969">
        <v>38807</v>
      </c>
      <c r="L123" s="765">
        <f t="shared" ca="1" si="54"/>
        <v>6.3848722838046497</v>
      </c>
      <c r="M123" s="765">
        <v>5.6476763149678</v>
      </c>
      <c r="N123" s="1244">
        <f t="shared" si="55"/>
        <v>38077</v>
      </c>
      <c r="O123" s="1005"/>
      <c r="P123" s="1005"/>
      <c r="Q123" s="1005"/>
      <c r="R123" s="1005"/>
      <c r="S123" s="1005"/>
      <c r="T123" s="1005"/>
      <c r="U123" s="1005"/>
      <c r="V123" s="1005"/>
      <c r="W123" s="1005"/>
      <c r="AI123" s="1005">
        <f t="shared" ref="AI123:AQ123" ca="1" si="68">IFERROR(AI32/SUM($AI32:$AQ32),0)</f>
        <v>0.65859859193405035</v>
      </c>
      <c r="AJ123" s="1005">
        <f t="shared" ca="1" si="68"/>
        <v>1.2951511574333947E-2</v>
      </c>
      <c r="AK123" s="1005">
        <f t="shared" ca="1" si="68"/>
        <v>4.5283732918167507E-2</v>
      </c>
      <c r="AL123" s="1005">
        <f t="shared" ca="1" si="68"/>
        <v>1.3257368414531392E-2</v>
      </c>
      <c r="AM123" s="1005">
        <f t="shared" ca="1" si="68"/>
        <v>0</v>
      </c>
      <c r="AN123" s="1005">
        <f t="shared" ca="1" si="68"/>
        <v>2.4757815550630221E-2</v>
      </c>
      <c r="AO123" s="1005">
        <f t="shared" ca="1" si="68"/>
        <v>0.11118767554007235</v>
      </c>
      <c r="AP123" s="1005">
        <f t="shared" ca="1" si="68"/>
        <v>7.8588956534212023E-2</v>
      </c>
      <c r="AQ123" s="1005">
        <f t="shared" ca="1" si="68"/>
        <v>5.5374347534002326E-2</v>
      </c>
    </row>
    <row r="124" spans="5:43">
      <c r="E124" s="1005"/>
      <c r="F124" s="1005"/>
      <c r="G124" s="1250">
        <f t="shared" si="57"/>
        <v>42460</v>
      </c>
      <c r="H124" s="765">
        <f t="shared" ca="1" si="52"/>
        <v>5.7490231654047799</v>
      </c>
      <c r="I124" s="765">
        <f t="shared" si="53"/>
        <v>7.8611620646486102</v>
      </c>
      <c r="J124" s="1203">
        <f ca="1">_xlfn.XLOOKUP($G124,'Historical Consolidated'!$D$4:$AB$4,'Historical Consolidated'!$D$38:$AB$38)</f>
        <v>75.209999999999994</v>
      </c>
      <c r="K124" s="971">
        <v>38898</v>
      </c>
      <c r="L124" s="765">
        <f t="shared" ca="1" si="54"/>
        <v>6.3165662409349297</v>
      </c>
      <c r="M124" s="765">
        <v>5.2823194489265299</v>
      </c>
      <c r="N124" s="1244">
        <f t="shared" si="55"/>
        <v>38168</v>
      </c>
      <c r="O124" s="1005"/>
      <c r="P124" s="1005"/>
      <c r="Q124" s="1005"/>
      <c r="R124" s="1005"/>
      <c r="S124" s="1005"/>
      <c r="T124" s="1005"/>
      <c r="U124" s="1005"/>
      <c r="V124" s="1005"/>
      <c r="W124" s="1005"/>
      <c r="AI124" s="1005">
        <f t="shared" ref="AI124:AQ124" ca="1" si="69">IFERROR(AI33/SUM($AI33:$AQ33),0)</f>
        <v>0.64224070108920539</v>
      </c>
      <c r="AJ124" s="1005">
        <f t="shared" ca="1" si="69"/>
        <v>1.4970011198412783E-2</v>
      </c>
      <c r="AK124" s="1005">
        <f t="shared" ca="1" si="69"/>
        <v>5.0723036497927379E-2</v>
      </c>
      <c r="AL124" s="1005">
        <f t="shared" ca="1" si="69"/>
        <v>1.4117160017782415E-2</v>
      </c>
      <c r="AM124" s="1005">
        <f t="shared" ca="1" si="69"/>
        <v>0</v>
      </c>
      <c r="AN124" s="1005">
        <f t="shared" ca="1" si="69"/>
        <v>2.6756303901256811E-2</v>
      </c>
      <c r="AO124" s="1005">
        <f t="shared" ca="1" si="69"/>
        <v>0.11416987347288664</v>
      </c>
      <c r="AP124" s="1005">
        <f t="shared" ca="1" si="69"/>
        <v>8.1024271409919954E-2</v>
      </c>
      <c r="AQ124" s="1005">
        <f t="shared" ca="1" si="69"/>
        <v>5.5998642412608643E-2</v>
      </c>
    </row>
    <row r="125" spans="5:43">
      <c r="E125" s="1005"/>
      <c r="F125" s="1005"/>
      <c r="G125" s="1250">
        <f t="shared" si="57"/>
        <v>42825</v>
      </c>
      <c r="H125" s="765">
        <f t="shared" ca="1" si="52"/>
        <v>6.9702365393921504</v>
      </c>
      <c r="I125" s="765">
        <f t="shared" si="53"/>
        <v>8.1286033293183397</v>
      </c>
      <c r="J125" s="1203">
        <f ca="1">_xlfn.XLOOKUP($G125,'Historical Consolidated'!$D$4:$AB$4,'Historical Consolidated'!$D$38:$AB$38)</f>
        <v>92.64</v>
      </c>
      <c r="K125" s="972">
        <v>38990</v>
      </c>
      <c r="L125" s="765">
        <f t="shared" ca="1" si="54"/>
        <v>6.7898254889148904</v>
      </c>
      <c r="M125" s="765">
        <v>6.28923035184381</v>
      </c>
      <c r="N125" s="1244">
        <f t="shared" si="55"/>
        <v>38260</v>
      </c>
      <c r="O125" s="1005"/>
      <c r="P125" s="1005"/>
      <c r="Q125" s="1005"/>
      <c r="R125" s="1005"/>
      <c r="S125" s="1005"/>
      <c r="T125" s="1005"/>
      <c r="U125" s="1005"/>
      <c r="V125" s="1005"/>
      <c r="W125" s="1005"/>
      <c r="AI125" s="1005">
        <f t="shared" ref="AI125:AQ125" ca="1" si="70">IFERROR(AI34/SUM($AI34:$AQ34),0)</f>
        <v>0.62325454429597971</v>
      </c>
      <c r="AJ125" s="1005">
        <f t="shared" ca="1" si="70"/>
        <v>2.4210292840006208E-2</v>
      </c>
      <c r="AK125" s="1005">
        <f t="shared" ca="1" si="70"/>
        <v>5.2389126346855948E-2</v>
      </c>
      <c r="AL125" s="1005">
        <f t="shared" ca="1" si="70"/>
        <v>1.370657986713885E-2</v>
      </c>
      <c r="AM125" s="1005">
        <f t="shared" ca="1" si="70"/>
        <v>0</v>
      </c>
      <c r="AN125" s="1005">
        <f t="shared" ca="1" si="70"/>
        <v>2.5939575202918567E-2</v>
      </c>
      <c r="AO125" s="1005">
        <f t="shared" ca="1" si="70"/>
        <v>0.11910530110538531</v>
      </c>
      <c r="AP125" s="1005">
        <f t="shared" ca="1" si="70"/>
        <v>8.5205127431462885E-2</v>
      </c>
      <c r="AQ125" s="1005">
        <f t="shared" ca="1" si="70"/>
        <v>5.6189452910252541E-2</v>
      </c>
    </row>
    <row r="126" spans="5:43">
      <c r="E126" s="1005"/>
      <c r="F126" s="24">
        <v>97.8</v>
      </c>
      <c r="G126" s="1250">
        <f t="shared" si="57"/>
        <v>43190</v>
      </c>
      <c r="H126" s="765">
        <f t="shared" ca="1" si="52"/>
        <v>6.8744490549253499</v>
      </c>
      <c r="I126" s="765">
        <f t="shared" si="53"/>
        <v>9.2461479850569592</v>
      </c>
      <c r="J126" s="1203">
        <f ca="1">_xlfn.XLOOKUP($G126,'Historical Consolidated'!$D$4:$AB$4,'Historical Consolidated'!$D$38:$AB$38)</f>
        <v>73.11</v>
      </c>
      <c r="K126" s="973">
        <v>39082</v>
      </c>
      <c r="L126" s="765">
        <f t="shared" ca="1" si="54"/>
        <v>7.5572706697475196</v>
      </c>
      <c r="M126" s="765">
        <v>6.4594073510234598</v>
      </c>
      <c r="N126" s="1244">
        <f t="shared" si="55"/>
        <v>38352</v>
      </c>
      <c r="O126" s="1005"/>
      <c r="P126" s="1005"/>
      <c r="Q126" s="1005"/>
      <c r="R126" s="1005"/>
      <c r="S126" s="1005"/>
      <c r="T126" s="1005"/>
      <c r="U126" s="1005"/>
      <c r="V126" s="1005"/>
      <c r="W126" s="1005"/>
      <c r="AI126" s="1005">
        <f t="shared" ref="AI126:AQ126" ca="1" si="71">IFERROR(AI35/SUM($AI35:$AQ35),0)</f>
        <v>0.55352645386939225</v>
      </c>
      <c r="AJ126" s="1005">
        <f t="shared" ca="1" si="71"/>
        <v>2.0063571374313076E-2</v>
      </c>
      <c r="AK126" s="1005">
        <f t="shared" ca="1" si="71"/>
        <v>5.1122673245200867E-2</v>
      </c>
      <c r="AL126" s="1005">
        <f t="shared" ca="1" si="71"/>
        <v>1.2075941895581477E-2</v>
      </c>
      <c r="AM126" s="1005">
        <f t="shared" ca="1" si="71"/>
        <v>0.10025453173274995</v>
      </c>
      <c r="AN126" s="1005">
        <f t="shared" ca="1" si="71"/>
        <v>2.2547190373664729E-2</v>
      </c>
      <c r="AO126" s="1005">
        <f t="shared" ca="1" si="71"/>
        <v>0.11066650392934479</v>
      </c>
      <c r="AP126" s="1005">
        <f t="shared" ca="1" si="71"/>
        <v>7.7090062769886405E-2</v>
      </c>
      <c r="AQ126" s="1005">
        <f t="shared" ca="1" si="71"/>
        <v>5.265307080986658E-2</v>
      </c>
    </row>
    <row r="127" spans="5:43">
      <c r="E127" s="1005"/>
      <c r="F127" s="24">
        <v>70.599999999999994</v>
      </c>
      <c r="G127" s="1250">
        <f t="shared" si="57"/>
        <v>43555</v>
      </c>
      <c r="H127" s="765">
        <f t="shared" ca="1" si="52"/>
        <v>5.5007126555727899</v>
      </c>
      <c r="I127" s="765">
        <f t="shared" si="53"/>
        <v>7.1041326552310702</v>
      </c>
      <c r="J127" s="1203">
        <v>63.3</v>
      </c>
      <c r="K127" s="969">
        <v>39172</v>
      </c>
      <c r="L127" s="765">
        <f t="shared" ca="1" si="54"/>
        <v>7.2575435426744903</v>
      </c>
      <c r="M127" s="765">
        <v>6.3013393976710699</v>
      </c>
      <c r="N127" s="1244">
        <f t="shared" si="55"/>
        <v>38442</v>
      </c>
      <c r="O127" s="1005"/>
      <c r="P127" s="1005"/>
      <c r="Q127" s="1005"/>
      <c r="R127" s="1005"/>
      <c r="S127" s="1005"/>
      <c r="T127" s="1005"/>
      <c r="U127" s="1005"/>
      <c r="V127" s="1005"/>
      <c r="W127" s="1005"/>
      <c r="AI127" s="1005">
        <f t="shared" ref="AI127:AQ127" ca="1" si="72">IFERROR(AI36/SUM($AI36:$AQ36),0)</f>
        <v>0.54667843754499545</v>
      </c>
      <c r="AJ127" s="1005">
        <f t="shared" ca="1" si="72"/>
        <v>2.3120448872876943E-2</v>
      </c>
      <c r="AK127" s="1005">
        <f t="shared" ca="1" si="72"/>
        <v>6.0523266630442357E-2</v>
      </c>
      <c r="AL127" s="1005">
        <f t="shared" ca="1" si="72"/>
        <v>1.1673443899692382E-2</v>
      </c>
      <c r="AM127" s="1005">
        <f t="shared" ca="1" si="72"/>
        <v>8.8010984400752612E-2</v>
      </c>
      <c r="AN127" s="1005">
        <f t="shared" ca="1" si="72"/>
        <v>2.4738004967395179E-2</v>
      </c>
      <c r="AO127" s="1005">
        <f t="shared" ca="1" si="72"/>
        <v>0.11000951969560366</v>
      </c>
      <c r="AP127" s="1005">
        <f t="shared" ca="1" si="72"/>
        <v>7.7419955370092178E-2</v>
      </c>
      <c r="AQ127" s="1005">
        <f t="shared" ca="1" si="72"/>
        <v>5.7825938618149234E-2</v>
      </c>
    </row>
    <row r="128" spans="5:43">
      <c r="E128" s="1005"/>
      <c r="F128" s="24">
        <v>42.3</v>
      </c>
      <c r="G128" s="1250">
        <f t="shared" si="57"/>
        <v>43921</v>
      </c>
      <c r="H128" s="765">
        <f t="shared" ca="1" si="52"/>
        <v>5.3169568633144602</v>
      </c>
      <c r="I128" s="765">
        <f t="shared" si="53"/>
        <v>7.7360333434325597</v>
      </c>
      <c r="J128" s="1203">
        <v>42.3</v>
      </c>
      <c r="K128" s="971">
        <v>39263</v>
      </c>
      <c r="L128" s="765">
        <f t="shared" ca="1" si="54"/>
        <v>6.6308053145779002</v>
      </c>
      <c r="M128" s="765">
        <v>6.2204451120573099</v>
      </c>
      <c r="N128" s="1244">
        <f t="shared" si="55"/>
        <v>38533</v>
      </c>
      <c r="O128" s="1005"/>
      <c r="P128" s="1005"/>
      <c r="Q128" s="1005"/>
      <c r="R128" s="1005"/>
      <c r="S128" s="1005"/>
      <c r="T128" s="1005"/>
      <c r="U128" s="1005"/>
      <c r="V128" s="1005"/>
      <c r="W128" s="1005"/>
      <c r="AI128" s="1005">
        <f t="shared" ref="AI128:AQ128" ca="1" si="73">IFERROR(AI37/SUM($AI37:$AQ37),0)</f>
        <v>0.54361308206272163</v>
      </c>
      <c r="AJ128" s="1005">
        <f t="shared" ca="1" si="73"/>
        <v>2.4819314120768675E-2</v>
      </c>
      <c r="AK128" s="1005">
        <f t="shared" ca="1" si="73"/>
        <v>4.0415971839906244E-2</v>
      </c>
      <c r="AL128" s="1005">
        <f t="shared" ca="1" si="73"/>
        <v>1.3286012608728118E-2</v>
      </c>
      <c r="AM128" s="1005">
        <f t="shared" ca="1" si="73"/>
        <v>9.4571870685976306E-2</v>
      </c>
      <c r="AN128" s="1005">
        <f t="shared" ca="1" si="73"/>
        <v>2.8950007541746699E-2</v>
      </c>
      <c r="AO128" s="1005">
        <f t="shared" ca="1" si="73"/>
        <v>0.11765545885783214</v>
      </c>
      <c r="AP128" s="1005">
        <f t="shared" ca="1" si="73"/>
        <v>8.2878065170143636E-2</v>
      </c>
      <c r="AQ128" s="1005">
        <f t="shared" ca="1" si="73"/>
        <v>5.381021711217672E-2</v>
      </c>
    </row>
    <row r="129" spans="5:43">
      <c r="E129" s="1005"/>
      <c r="F129" s="24">
        <v>63.3</v>
      </c>
      <c r="G129" s="1250">
        <f t="shared" si="57"/>
        <v>44286</v>
      </c>
      <c r="H129" s="765">
        <f t="shared" ca="1" si="52"/>
        <v>6.7741887179279301</v>
      </c>
      <c r="I129" s="765">
        <f t="shared" si="53"/>
        <v>10.271528513511701</v>
      </c>
      <c r="J129" s="1203">
        <v>70.599999999999994</v>
      </c>
      <c r="K129" s="972">
        <v>39355</v>
      </c>
      <c r="L129" s="765">
        <f t="shared" ca="1" si="54"/>
        <v>6.0402358978111304</v>
      </c>
      <c r="M129" s="765">
        <v>6.1587363369563999</v>
      </c>
      <c r="N129" s="1244">
        <f t="shared" si="55"/>
        <v>38625</v>
      </c>
      <c r="O129" s="1005"/>
      <c r="P129" s="1005"/>
      <c r="Q129" s="1005"/>
      <c r="R129" s="1005"/>
      <c r="S129" s="1005"/>
      <c r="T129" s="1005"/>
      <c r="U129" s="1005"/>
      <c r="V129" s="1005"/>
      <c r="W129" s="1005"/>
      <c r="AI129" s="1005">
        <f t="shared" ref="AI129:AQ129" ca="1" si="74">IFERROR(AI38/SUM($AI38:$AQ38),0)</f>
        <v>0.56883891312586576</v>
      </c>
      <c r="AJ129" s="1005">
        <f t="shared" ca="1" si="74"/>
        <v>2.4062391950788634E-2</v>
      </c>
      <c r="AK129" s="1005">
        <f t="shared" ca="1" si="74"/>
        <v>3.3121103636507852E-2</v>
      </c>
      <c r="AL129" s="1005">
        <f t="shared" ca="1" si="74"/>
        <v>1.0710226218851355E-2</v>
      </c>
      <c r="AM129" s="1005">
        <f t="shared" ca="1" si="74"/>
        <v>8.4434721792528714E-2</v>
      </c>
      <c r="AN129" s="1005">
        <f t="shared" ca="1" si="74"/>
        <v>2.3882623240397728E-2</v>
      </c>
      <c r="AO129" s="1005">
        <f t="shared" ca="1" si="74"/>
        <v>0.10309423379375168</v>
      </c>
      <c r="AP129" s="1005">
        <f t="shared" ca="1" si="74"/>
        <v>9.854131120732959E-2</v>
      </c>
      <c r="AQ129" s="1005">
        <f t="shared" ca="1" si="74"/>
        <v>5.3314475033978799E-2</v>
      </c>
    </row>
    <row r="130" spans="5:43">
      <c r="E130" s="1005"/>
      <c r="F130" s="1005"/>
      <c r="G130" s="1250">
        <f t="shared" si="57"/>
        <v>44651</v>
      </c>
      <c r="H130" s="765">
        <f t="shared" ca="1" si="52"/>
        <v>5.0280306426519701</v>
      </c>
      <c r="I130" s="765">
        <f t="shared" si="53"/>
        <v>8.3097007763091906</v>
      </c>
      <c r="J130" s="1203">
        <v>97.8</v>
      </c>
      <c r="K130" s="973">
        <v>39447</v>
      </c>
      <c r="L130" s="765">
        <f t="shared" ca="1" si="54"/>
        <v>5.4655337189159399</v>
      </c>
      <c r="M130" s="765">
        <v>6.5182680604198504</v>
      </c>
      <c r="N130" s="1244">
        <f t="shared" si="55"/>
        <v>38717</v>
      </c>
      <c r="O130" s="1005"/>
      <c r="P130" s="1005"/>
      <c r="Q130" s="1005"/>
      <c r="R130" s="1005"/>
      <c r="S130" s="1005"/>
      <c r="T130" s="1005"/>
      <c r="U130" s="1005"/>
      <c r="V130" s="1005"/>
      <c r="W130" s="1005"/>
      <c r="AI130" s="1005">
        <f t="shared" ref="AI130:AQ130" ca="1" si="75">IFERROR(AI39/SUM($AI39:$AQ39),0)</f>
        <v>0.55466295688615541</v>
      </c>
      <c r="AJ130" s="1005">
        <f t="shared" ca="1" si="75"/>
        <v>2.7538572355138596E-2</v>
      </c>
      <c r="AK130" s="1005">
        <f t="shared" ca="1" si="75"/>
        <v>3.532746348759927E-2</v>
      </c>
      <c r="AL130" s="1005">
        <f t="shared" ca="1" si="75"/>
        <v>1.3973514516212877E-2</v>
      </c>
      <c r="AM130" s="1005">
        <f t="shared" ca="1" si="75"/>
        <v>8.7876655266835552E-2</v>
      </c>
      <c r="AN130" s="1005">
        <f t="shared" ca="1" si="75"/>
        <v>2.8925455845736837E-2</v>
      </c>
      <c r="AO130" s="1005">
        <f t="shared" ca="1" si="75"/>
        <v>0.10493260042135373</v>
      </c>
      <c r="AP130" s="1005">
        <f t="shared" ca="1" si="75"/>
        <v>9.5740202540830793E-2</v>
      </c>
      <c r="AQ130" s="1005">
        <f t="shared" ca="1" si="75"/>
        <v>5.1022578680136974E-2</v>
      </c>
    </row>
    <row r="131" spans="5:43">
      <c r="E131" s="1005"/>
      <c r="F131" s="1005"/>
      <c r="G131" s="1005"/>
      <c r="H131" s="1005"/>
      <c r="I131" s="1005"/>
      <c r="K131" s="969">
        <v>39538</v>
      </c>
      <c r="L131" s="765">
        <f t="shared" ca="1" si="54"/>
        <v>5.7990494049450003</v>
      </c>
      <c r="M131" s="765">
        <v>6.87129923344866</v>
      </c>
      <c r="N131" s="1244">
        <f t="shared" si="55"/>
        <v>38807</v>
      </c>
      <c r="O131" s="1005"/>
      <c r="P131" s="1005"/>
      <c r="Q131" s="1005"/>
      <c r="R131" s="1005"/>
      <c r="S131" s="1005"/>
      <c r="T131" s="1005"/>
      <c r="U131" s="1005"/>
      <c r="V131" s="1005"/>
      <c r="W131" s="1005"/>
      <c r="AI131" s="1005">
        <f t="shared" ref="AI131:AQ131" ca="1" si="76">IFERROR(AI40/SUM($AI40:$AQ40),0)</f>
        <v>0.5863176982387911</v>
      </c>
      <c r="AJ131" s="1005">
        <f t="shared" ca="1" si="76"/>
        <v>2.6245119614047907E-2</v>
      </c>
      <c r="AK131" s="1005">
        <f t="shared" ca="1" si="76"/>
        <v>3.0863959024649789E-2</v>
      </c>
      <c r="AL131" s="1005">
        <f t="shared" ca="1" si="76"/>
        <v>1.2661588974090313E-2</v>
      </c>
      <c r="AM131" s="1005">
        <f t="shared" ca="1" si="76"/>
        <v>7.7440291966900374E-2</v>
      </c>
      <c r="AN131" s="1005">
        <f t="shared" ca="1" si="76"/>
        <v>2.711100534674251E-2</v>
      </c>
      <c r="AO131" s="1005">
        <f t="shared" ca="1" si="76"/>
        <v>0.10461404078318205</v>
      </c>
      <c r="AP131" s="1005">
        <f t="shared" ca="1" si="76"/>
        <v>8.4370834064460845E-2</v>
      </c>
      <c r="AQ131" s="1005">
        <f t="shared" ca="1" si="76"/>
        <v>5.0375461987135002E-2</v>
      </c>
    </row>
    <row r="132" spans="5:43">
      <c r="E132" s="1005"/>
      <c r="F132" s="1005"/>
      <c r="G132" s="1005"/>
      <c r="H132" s="1005"/>
      <c r="I132" s="1005"/>
      <c r="J132" s="1252">
        <f ca="1">CORREL(J111:J130,H111:H130)</f>
        <v>-2.5801308295455048E-2</v>
      </c>
      <c r="K132" s="971">
        <v>39629</v>
      </c>
      <c r="L132" s="765">
        <f t="shared" ca="1" si="54"/>
        <v>5.7004522971725002</v>
      </c>
      <c r="M132" s="765">
        <v>5.8946740294686801</v>
      </c>
      <c r="N132" s="1244">
        <f t="shared" si="55"/>
        <v>38898</v>
      </c>
      <c r="O132" s="1005"/>
      <c r="P132" s="1005"/>
      <c r="Q132" s="1005"/>
      <c r="R132" s="1005"/>
      <c r="S132" s="1005"/>
      <c r="T132" s="1005"/>
      <c r="U132" s="1005"/>
      <c r="V132" s="1005"/>
      <c r="W132" s="1005"/>
      <c r="AI132" s="1005">
        <f t="shared" ref="AI132:AQ132" ca="1" si="77">IFERROR(AI41/SUM($AI41:$AQ41),0)</f>
        <v>0.53944881461945404</v>
      </c>
      <c r="AJ132" s="1005">
        <f t="shared" ca="1" si="77"/>
        <v>3.1687549116920108E-2</v>
      </c>
      <c r="AK132" s="1005">
        <f t="shared" ca="1" si="77"/>
        <v>3.6710208696163787E-2</v>
      </c>
      <c r="AL132" s="1005">
        <f t="shared" ca="1" si="77"/>
        <v>1.3909024746231282E-2</v>
      </c>
      <c r="AM132" s="1005">
        <f t="shared" ca="1" si="77"/>
        <v>8.3799253578431571E-2</v>
      </c>
      <c r="AN132" s="1005">
        <f t="shared" ca="1" si="77"/>
        <v>2.8800010906149989E-2</v>
      </c>
      <c r="AO132" s="1005">
        <f t="shared" ca="1" si="77"/>
        <v>0.11375844790466122</v>
      </c>
      <c r="AP132" s="1005">
        <f t="shared" ca="1" si="77"/>
        <v>9.8379276258221904E-2</v>
      </c>
      <c r="AQ132" s="1005">
        <f t="shared" ca="1" si="77"/>
        <v>5.3507414173766046E-2</v>
      </c>
    </row>
    <row r="133" spans="5:43">
      <c r="E133" s="1005"/>
      <c r="F133" s="1005"/>
      <c r="G133" s="1005"/>
      <c r="H133" s="1005">
        <f ca="1">H122/H117-1</f>
        <v>0.10177373400328604</v>
      </c>
      <c r="I133" s="1005">
        <f t="shared" ref="I133:J133" si="78">I122/I117-1</f>
        <v>0.3693985830691997</v>
      </c>
      <c r="J133" s="1005">
        <f t="shared" ca="1" si="78"/>
        <v>1.5185922974767596</v>
      </c>
      <c r="K133" s="972">
        <v>39721</v>
      </c>
      <c r="L133" s="765">
        <f t="shared" ca="1" si="54"/>
        <v>5.3741729941457903</v>
      </c>
      <c r="M133" s="765">
        <v>4.2557566656646602</v>
      </c>
      <c r="N133" s="1244">
        <f t="shared" si="55"/>
        <v>38990</v>
      </c>
      <c r="O133" s="1005"/>
      <c r="P133" s="1005"/>
      <c r="Q133" s="1005"/>
      <c r="R133" s="1005"/>
      <c r="S133" s="1005"/>
      <c r="T133" s="1005"/>
      <c r="U133" s="1005"/>
      <c r="V133" s="1005"/>
      <c r="W133" s="1005"/>
      <c r="AI133" s="1005">
        <f t="shared" ref="AI133:AQ133" ca="1" si="79">IFERROR(AI42/SUM($AI42:$AQ42),0)</f>
        <v>0.55642454143592668</v>
      </c>
      <c r="AJ133" s="1005">
        <f t="shared" ca="1" si="79"/>
        <v>3.4968703761124945E-2</v>
      </c>
      <c r="AK133" s="1005">
        <f t="shared" ca="1" si="79"/>
        <v>3.0063831879711667E-2</v>
      </c>
      <c r="AL133" s="1005">
        <f t="shared" ca="1" si="79"/>
        <v>1.2704318468783476E-2</v>
      </c>
      <c r="AM133" s="1005">
        <f t="shared" ca="1" si="79"/>
        <v>7.5659292444906462E-2</v>
      </c>
      <c r="AN133" s="1005">
        <f t="shared" ca="1" si="79"/>
        <v>2.8389588958715628E-2</v>
      </c>
      <c r="AO133" s="1005">
        <f t="shared" ca="1" si="79"/>
        <v>0.1113568766171243</v>
      </c>
      <c r="AP133" s="1005">
        <f t="shared" ca="1" si="79"/>
        <v>9.4922963590634055E-2</v>
      </c>
      <c r="AQ133" s="1005">
        <f t="shared" ca="1" si="79"/>
        <v>5.550988284307274E-2</v>
      </c>
    </row>
    <row r="134" spans="5:43">
      <c r="E134" s="1005"/>
      <c r="F134" s="1005"/>
      <c r="G134" s="1005"/>
      <c r="H134" s="1005">
        <f ca="1">H127/H122-1</f>
        <v>-0.13935178364318079</v>
      </c>
      <c r="I134" s="1005">
        <f t="shared" ref="I134:J134" si="80">I127/I122-1</f>
        <v>-0.11625163920428483</v>
      </c>
      <c r="J134" s="1005">
        <f t="shared" ca="1" si="80"/>
        <v>-0.16556815185868712</v>
      </c>
      <c r="K134" s="973">
        <v>39813</v>
      </c>
      <c r="L134" s="765">
        <f t="shared" ca="1" si="54"/>
        <v>4.9918680820272003</v>
      </c>
      <c r="M134" s="765">
        <v>4.7369274153280196</v>
      </c>
      <c r="N134" s="1244">
        <f t="shared" si="55"/>
        <v>39082</v>
      </c>
      <c r="O134" s="1005"/>
      <c r="P134" s="1005"/>
      <c r="Q134" s="1005"/>
      <c r="R134" s="1005"/>
      <c r="S134" s="1005"/>
      <c r="T134" s="1005"/>
      <c r="U134" s="1005"/>
      <c r="V134" s="1005"/>
      <c r="W134" s="1005"/>
      <c r="AI134" s="1005">
        <f t="shared" ref="AI134:AQ134" ca="1" si="81">IFERROR(AI43/SUM($AI43:$AQ43),0)</f>
        <v>0.53129580143712185</v>
      </c>
      <c r="AJ134" s="1005">
        <f t="shared" ca="1" si="81"/>
        <v>4.1713151018590591E-2</v>
      </c>
      <c r="AK134" s="1005">
        <f t="shared" ca="1" si="81"/>
        <v>3.0452399648037472E-2</v>
      </c>
      <c r="AL134" s="1005">
        <f t="shared" ca="1" si="81"/>
        <v>1.0574840775171356E-2</v>
      </c>
      <c r="AM134" s="1005">
        <f t="shared" ca="1" si="81"/>
        <v>8.2444491807261377E-2</v>
      </c>
      <c r="AN134" s="1005">
        <f t="shared" ca="1" si="81"/>
        <v>2.9562719334322023E-2</v>
      </c>
      <c r="AO134" s="1005">
        <f t="shared" ca="1" si="81"/>
        <v>0.11075750305605427</v>
      </c>
      <c r="AP134" s="1005">
        <f t="shared" ca="1" si="81"/>
        <v>0.10731368094440398</v>
      </c>
      <c r="AQ134" s="1005">
        <f t="shared" ca="1" si="81"/>
        <v>5.5885411979037021E-2</v>
      </c>
    </row>
    <row r="135" spans="5:43">
      <c r="E135" s="1005"/>
      <c r="F135" s="1005"/>
      <c r="G135" s="1005"/>
      <c r="H135" s="1005"/>
      <c r="I135" s="1005"/>
      <c r="J135" s="1005"/>
      <c r="K135" s="969">
        <v>39903</v>
      </c>
      <c r="L135" s="765">
        <f t="shared" ca="1" si="54"/>
        <v>5.8009733630415603</v>
      </c>
      <c r="M135" s="765">
        <v>5.8701955247192297</v>
      </c>
      <c r="N135" s="1244">
        <f t="shared" si="55"/>
        <v>39172</v>
      </c>
      <c r="O135" s="1005"/>
      <c r="P135" s="1005"/>
      <c r="Q135" s="1005"/>
      <c r="R135" s="1005"/>
      <c r="S135" s="1005"/>
      <c r="T135" s="1005"/>
      <c r="U135" s="1005"/>
      <c r="V135" s="1005"/>
      <c r="W135" s="1005"/>
      <c r="AI135" s="1005">
        <f t="shared" ref="AI135:AQ135" ca="1" si="82">IFERROR(AI44/SUM($AI44:$AQ44),0)</f>
        <v>0.55287363555474733</v>
      </c>
      <c r="AJ135" s="1005">
        <f t="shared" ca="1" si="82"/>
        <v>3.9513293033961255E-2</v>
      </c>
      <c r="AK135" s="1005">
        <f t="shared" ca="1" si="82"/>
        <v>2.4163283908999543E-2</v>
      </c>
      <c r="AL135" s="1005">
        <f t="shared" ca="1" si="82"/>
        <v>1.0264085768934301E-2</v>
      </c>
      <c r="AM135" s="1005">
        <f t="shared" ca="1" si="82"/>
        <v>7.084670433936141E-2</v>
      </c>
      <c r="AN135" s="1005">
        <f t="shared" ca="1" si="82"/>
        <v>3.2649578751686677E-2</v>
      </c>
      <c r="AO135" s="1005">
        <f t="shared" ca="1" si="82"/>
        <v>0.11721584710392755</v>
      </c>
      <c r="AP135" s="1005">
        <f t="shared" ca="1" si="82"/>
        <v>9.916027324637372E-2</v>
      </c>
      <c r="AQ135" s="1005">
        <f t="shared" ca="1" si="82"/>
        <v>5.3313298292008114E-2</v>
      </c>
    </row>
    <row r="136" spans="5:43">
      <c r="E136" s="1005"/>
      <c r="F136" s="1005"/>
      <c r="G136" s="1005"/>
      <c r="H136" s="1005">
        <f ca="1">H127/H117-1</f>
        <v>-5.176040100127921E-2</v>
      </c>
      <c r="I136" s="1005">
        <f t="shared" ref="I136:J136" si="83">I127/I117-1</f>
        <v>0.21020375306338024</v>
      </c>
      <c r="J136" s="1005">
        <f t="shared" ca="1" si="83"/>
        <v>1.1015936254980079</v>
      </c>
      <c r="K136" s="971">
        <v>39994</v>
      </c>
      <c r="L136" s="765">
        <f t="shared" ca="1" si="54"/>
        <v>6.2795219311594401</v>
      </c>
      <c r="M136" s="765">
        <v>6.7166062671253997</v>
      </c>
      <c r="N136" s="1244">
        <f t="shared" si="55"/>
        <v>39263</v>
      </c>
      <c r="O136" s="1005"/>
      <c r="P136" s="1005"/>
      <c r="Q136" s="1005"/>
      <c r="R136" s="1005"/>
      <c r="S136" s="1005"/>
      <c r="T136" s="1005"/>
      <c r="U136" s="1005"/>
      <c r="V136" s="1005"/>
      <c r="W136" s="1005"/>
      <c r="AI136" s="1005">
        <f t="shared" ref="AI136:AQ136" ca="1" si="84">IFERROR(AI45/SUM($AI45:$AQ45),0)</f>
        <v>0.5553898121129619</v>
      </c>
      <c r="AJ136" s="1005">
        <f t="shared" ca="1" si="84"/>
        <v>3.5977809246159814E-2</v>
      </c>
      <c r="AK136" s="1005">
        <f t="shared" ca="1" si="84"/>
        <v>2.2597641514820632E-2</v>
      </c>
      <c r="AL136" s="1005">
        <f t="shared" ca="1" si="84"/>
        <v>1.0102151410040863E-2</v>
      </c>
      <c r="AM136" s="1005">
        <f t="shared" ca="1" si="84"/>
        <v>8.0520551404301838E-2</v>
      </c>
      <c r="AN136" s="1005">
        <f t="shared" ca="1" si="84"/>
        <v>3.4201606465974921E-2</v>
      </c>
      <c r="AO136" s="1005">
        <f t="shared" ca="1" si="84"/>
        <v>0.11425415584764965</v>
      </c>
      <c r="AP136" s="1005">
        <f t="shared" ca="1" si="84"/>
        <v>9.3523138252131224E-2</v>
      </c>
      <c r="AQ136" s="1005">
        <f t="shared" ca="1" si="84"/>
        <v>5.343313374595908E-2</v>
      </c>
    </row>
    <row r="137" spans="5:43">
      <c r="E137" s="1005"/>
      <c r="F137" s="1005"/>
      <c r="G137" s="1005"/>
      <c r="H137" s="1005"/>
      <c r="I137" s="1005"/>
      <c r="J137" s="1005"/>
      <c r="K137" s="972">
        <v>40086</v>
      </c>
      <c r="L137" s="765">
        <f t="shared" ca="1" si="54"/>
        <v>8.11322897159876</v>
      </c>
      <c r="M137" s="765">
        <v>6.4572382014794396</v>
      </c>
      <c r="N137" s="1244">
        <f t="shared" si="55"/>
        <v>39355</v>
      </c>
      <c r="O137" s="1005"/>
      <c r="P137" s="1005"/>
      <c r="Q137" s="1005"/>
      <c r="R137" s="1005"/>
      <c r="S137" s="1005"/>
      <c r="T137" s="1005"/>
      <c r="U137" s="1005"/>
      <c r="V137" s="1005"/>
      <c r="W137" s="1005"/>
      <c r="AI137" s="1005">
        <f t="shared" ref="AI137:AQ137" ca="1" si="85">IFERROR(AI46/SUM($AI46:$AQ46),0)</f>
        <v>0.54238193358402464</v>
      </c>
      <c r="AJ137" s="1005">
        <f t="shared" ca="1" si="85"/>
        <v>4.3080813472440284E-2</v>
      </c>
      <c r="AK137" s="1005">
        <f t="shared" ca="1" si="85"/>
        <v>2.2028940428226298E-2</v>
      </c>
      <c r="AL137" s="1005">
        <f t="shared" ca="1" si="85"/>
        <v>8.101325029881928E-3</v>
      </c>
      <c r="AM137" s="1005">
        <f t="shared" ca="1" si="85"/>
        <v>8.6161897969489559E-2</v>
      </c>
      <c r="AN137" s="1005">
        <f t="shared" ca="1" si="85"/>
        <v>4.0935116606378386E-2</v>
      </c>
      <c r="AO137" s="1005">
        <f t="shared" ca="1" si="85"/>
        <v>0.11223993757934753</v>
      </c>
      <c r="AP137" s="1005">
        <f t="shared" ca="1" si="85"/>
        <v>9.0579337015704961E-2</v>
      </c>
      <c r="AQ137" s="1005">
        <f t="shared" ca="1" si="85"/>
        <v>5.4490698314506369E-2</v>
      </c>
    </row>
    <row r="138" spans="5:43">
      <c r="E138" s="1005"/>
      <c r="F138" s="1005"/>
      <c r="G138" s="1250">
        <v>38077</v>
      </c>
      <c r="H138" s="1005">
        <f ca="1">H112/H111-1</f>
        <v>0.17691422144408575</v>
      </c>
      <c r="I138" s="1005">
        <f t="shared" ref="I138" si="86">I112/I111-1</f>
        <v>0.17763453804687845</v>
      </c>
      <c r="K138" s="973">
        <v>40178</v>
      </c>
      <c r="L138" s="765">
        <f t="shared" ca="1" si="54"/>
        <v>8.8720618346742608</v>
      </c>
      <c r="M138" s="765">
        <v>5.7097225011042596</v>
      </c>
      <c r="N138" s="1244">
        <f t="shared" si="55"/>
        <v>39447</v>
      </c>
      <c r="O138" s="1005"/>
      <c r="P138" s="1005"/>
      <c r="Q138" s="1005"/>
      <c r="R138" s="1005"/>
      <c r="S138" s="1005"/>
      <c r="T138" s="1005"/>
      <c r="U138" s="1005"/>
      <c r="V138" s="1005"/>
      <c r="W138" s="1005"/>
      <c r="AI138" s="1005">
        <f t="shared" ref="AI138:AQ138" ca="1" si="87">IFERROR(AI47/SUM($AI47:$AQ47),0)</f>
        <v>0.55572370139313132</v>
      </c>
      <c r="AJ138" s="1005">
        <f t="shared" ca="1" si="87"/>
        <v>4.109771717522822E-2</v>
      </c>
      <c r="AK138" s="1005">
        <f t="shared" ca="1" si="87"/>
        <v>1.7105343525621469E-2</v>
      </c>
      <c r="AL138" s="1005">
        <f t="shared" ca="1" si="87"/>
        <v>8.519710342925587E-3</v>
      </c>
      <c r="AM138" s="1005">
        <f t="shared" ca="1" si="87"/>
        <v>8.4037273939883195E-2</v>
      </c>
      <c r="AN138" s="1005">
        <f t="shared" ca="1" si="87"/>
        <v>4.3202980996860076E-2</v>
      </c>
      <c r="AO138" s="1005">
        <f t="shared" ca="1" si="87"/>
        <v>0.10986308088658957</v>
      </c>
      <c r="AP138" s="1005">
        <f t="shared" ca="1" si="87"/>
        <v>8.3270165913909594E-2</v>
      </c>
      <c r="AQ138" s="1005">
        <f t="shared" ca="1" si="87"/>
        <v>5.7180025825850939E-2</v>
      </c>
    </row>
    <row r="139" spans="5:43">
      <c r="E139" s="1005"/>
      <c r="F139" s="1005"/>
      <c r="G139" s="1250">
        <f>+EOMONTH(G138,12)</f>
        <v>38442</v>
      </c>
      <c r="H139" s="1005">
        <f t="shared" ref="H139:I139" ca="1" si="88">H113/H112-1</f>
        <v>-1.8951782065074863E-2</v>
      </c>
      <c r="I139" s="1005">
        <f t="shared" si="88"/>
        <v>-0.18738322864667223</v>
      </c>
      <c r="J139" s="1005">
        <f t="shared" ref="J139:J157" ca="1" si="89">J112/J111-1</f>
        <v>0.46040981533012881</v>
      </c>
      <c r="K139" s="969">
        <v>40268</v>
      </c>
      <c r="L139" s="765">
        <f t="shared" ca="1" si="54"/>
        <v>4.2169345768157998</v>
      </c>
      <c r="M139" s="765">
        <v>5.7560726798505204</v>
      </c>
      <c r="N139" s="1244">
        <f t="shared" si="55"/>
        <v>39538</v>
      </c>
      <c r="O139" s="1005"/>
      <c r="P139" s="1005"/>
      <c r="Q139" s="1005"/>
      <c r="R139" s="1005"/>
      <c r="S139" s="1005"/>
      <c r="T139" s="1005"/>
      <c r="U139" s="1005"/>
      <c r="V139" s="1005"/>
      <c r="W139" s="1005"/>
      <c r="AI139" s="1005">
        <f t="shared" ref="AI139:AQ139" ca="1" si="90">IFERROR(AI48/SUM($AI48:$AQ48),0)</f>
        <v>0.51394839719587093</v>
      </c>
      <c r="AJ139" s="1005">
        <f t="shared" ca="1" si="90"/>
        <v>4.2953104677554657E-2</v>
      </c>
      <c r="AK139" s="1005">
        <f t="shared" ca="1" si="90"/>
        <v>2.4616713847320018E-2</v>
      </c>
      <c r="AL139" s="1005">
        <f t="shared" ca="1" si="90"/>
        <v>9.5847516355365252E-3</v>
      </c>
      <c r="AM139" s="1005">
        <f t="shared" ca="1" si="90"/>
        <v>8.1219021662807603E-2</v>
      </c>
      <c r="AN139" s="1005">
        <f t="shared" ca="1" si="90"/>
        <v>5.1550131172186646E-2</v>
      </c>
      <c r="AO139" s="1005">
        <f t="shared" ca="1" si="90"/>
        <v>0.13362936278807275</v>
      </c>
      <c r="AP139" s="1005">
        <f t="shared" ca="1" si="90"/>
        <v>8.3063590750404426E-2</v>
      </c>
      <c r="AQ139" s="1005">
        <f t="shared" ca="1" si="90"/>
        <v>5.9434926270246449E-2</v>
      </c>
    </row>
    <row r="140" spans="5:43">
      <c r="E140" s="1005"/>
      <c r="F140" s="1005"/>
      <c r="G140" s="1250">
        <f t="shared" ref="G140:G157" si="91">+EOMONTH(G139,12)</f>
        <v>38807</v>
      </c>
      <c r="H140" s="1005">
        <f t="shared" ref="H140:I140" ca="1" si="92">H114/H113-1</f>
        <v>3.4943189309761591E-2</v>
      </c>
      <c r="I140" s="1005">
        <f t="shared" si="92"/>
        <v>-8.03144108050724E-2</v>
      </c>
      <c r="J140" s="1005">
        <f t="shared" ca="1" si="89"/>
        <v>-0.10635717997574912</v>
      </c>
      <c r="K140" s="971">
        <v>40359</v>
      </c>
      <c r="L140" s="765">
        <f t="shared" ca="1" si="54"/>
        <v>4.0483413504105297</v>
      </c>
      <c r="M140" s="765">
        <v>4.8535986256227197</v>
      </c>
      <c r="N140" s="1244">
        <f t="shared" si="55"/>
        <v>39629</v>
      </c>
      <c r="O140" s="1005"/>
      <c r="P140" s="1005"/>
      <c r="Q140" s="1005"/>
      <c r="R140" s="1005"/>
      <c r="S140" s="1005"/>
      <c r="T140" s="1005"/>
      <c r="U140" s="1005"/>
      <c r="V140" s="1005"/>
      <c r="W140" s="1005"/>
      <c r="AI140" s="1005">
        <f t="shared" ref="AI140:AQ140" ca="1" si="93">IFERROR(AI49/SUM($AI49:$AQ49),0)</f>
        <v>0.52804210554933029</v>
      </c>
      <c r="AJ140" s="1005">
        <f t="shared" ca="1" si="93"/>
        <v>4.3080454321795303E-2</v>
      </c>
      <c r="AK140" s="1005">
        <f t="shared" ca="1" si="93"/>
        <v>1.6376780265722771E-2</v>
      </c>
      <c r="AL140" s="1005">
        <f t="shared" ca="1" si="93"/>
        <v>1.1516076353606255E-2</v>
      </c>
      <c r="AM140" s="1005">
        <f t="shared" ca="1" si="93"/>
        <v>6.8899069293922477E-2</v>
      </c>
      <c r="AN140" s="1005">
        <f t="shared" ca="1" si="93"/>
        <v>5.8156227858456935E-2</v>
      </c>
      <c r="AO140" s="1005">
        <f t="shared" ca="1" si="93"/>
        <v>0.13875072601418731</v>
      </c>
      <c r="AP140" s="1005">
        <f t="shared" ca="1" si="93"/>
        <v>8.1938691574504549E-2</v>
      </c>
      <c r="AQ140" s="1005">
        <f t="shared" ca="1" si="93"/>
        <v>5.3239868768474079E-2</v>
      </c>
    </row>
    <row r="141" spans="5:43">
      <c r="E141" s="1005"/>
      <c r="F141" s="1005"/>
      <c r="G141" s="1250">
        <f t="shared" si="91"/>
        <v>39172</v>
      </c>
      <c r="H141" s="1005">
        <f t="shared" ref="H141:I141" ca="1" si="94">H115/H114-1</f>
        <v>0.13667795064333355</v>
      </c>
      <c r="I141" s="1005">
        <f t="shared" si="94"/>
        <v>0.1157401816692103</v>
      </c>
      <c r="J141" s="1005">
        <f t="shared" ca="1" si="89"/>
        <v>0.14964140337274667</v>
      </c>
      <c r="K141" s="972">
        <v>40451</v>
      </c>
      <c r="L141" s="765">
        <f t="shared" ca="1" si="54"/>
        <v>3.9688625554038701</v>
      </c>
      <c r="M141" s="765">
        <v>5.5657451420982502</v>
      </c>
      <c r="N141" s="1244">
        <f t="shared" si="55"/>
        <v>39721</v>
      </c>
      <c r="O141" s="1005"/>
      <c r="P141" s="1005"/>
      <c r="Q141" s="1005"/>
      <c r="R141" s="1005"/>
      <c r="S141" s="1005"/>
      <c r="T141" s="1005"/>
      <c r="U141" s="1005"/>
      <c r="V141" s="1005"/>
      <c r="W141" s="1005"/>
      <c r="AI141" s="1005">
        <f t="shared" ref="AI141:AQ141" ca="1" si="95">IFERROR(AI50/SUM($AI50:$AQ50),0)</f>
        <v>0.5474641672067958</v>
      </c>
      <c r="AJ141" s="1005">
        <f t="shared" ca="1" si="95"/>
        <v>3.636722402450928E-2</v>
      </c>
      <c r="AK141" s="1005">
        <f t="shared" ca="1" si="95"/>
        <v>3.8049784778832712E-3</v>
      </c>
      <c r="AL141" s="1005">
        <f t="shared" ca="1" si="95"/>
        <v>9.208132063387834E-3</v>
      </c>
      <c r="AM141" s="1005">
        <f t="shared" ca="1" si="95"/>
        <v>7.6591198816245015E-2</v>
      </c>
      <c r="AN141" s="1005">
        <f t="shared" ca="1" si="95"/>
        <v>4.1430407627123175E-2</v>
      </c>
      <c r="AO141" s="1005">
        <f t="shared" ca="1" si="95"/>
        <v>0.13965571877898886</v>
      </c>
      <c r="AP141" s="1005">
        <f t="shared" ca="1" si="95"/>
        <v>9.8892157257852928E-2</v>
      </c>
      <c r="AQ141" s="1005">
        <f t="shared" ca="1" si="95"/>
        <v>4.6586015747213855E-2</v>
      </c>
    </row>
    <row r="142" spans="5:43">
      <c r="E142" s="1005"/>
      <c r="F142" s="1005"/>
      <c r="G142" s="1250">
        <f t="shared" si="91"/>
        <v>39538</v>
      </c>
      <c r="H142" s="1005">
        <f t="shared" ref="H142:I142" ca="1" si="96">H116/H115-1</f>
        <v>-0.20096250599855414</v>
      </c>
      <c r="I142" s="1005">
        <f t="shared" si="96"/>
        <v>9.0450585154680407E-2</v>
      </c>
      <c r="J142" s="1005">
        <f t="shared" ca="1" si="89"/>
        <v>3.0011802394199982E-2</v>
      </c>
      <c r="K142" s="973">
        <v>40543</v>
      </c>
      <c r="L142" s="765">
        <f t="shared" ca="1" si="54"/>
        <v>4.0957282789535201</v>
      </c>
      <c r="M142" s="765">
        <v>6.2917095413208504</v>
      </c>
      <c r="N142" s="1244">
        <f t="shared" si="55"/>
        <v>39813</v>
      </c>
      <c r="O142" s="1005"/>
      <c r="P142" s="1005"/>
      <c r="Q142" s="1005"/>
      <c r="R142" s="1005"/>
      <c r="S142" s="1005"/>
      <c r="T142" s="1005"/>
      <c r="U142" s="1005"/>
      <c r="V142" s="1005"/>
      <c r="W142" s="1005"/>
      <c r="AI142" s="1005">
        <f t="shared" ref="AI142:AQ142" ca="1" si="97">IFERROR(AI51/SUM($AI51:$AQ51),0)</f>
        <v>0.49788235367717798</v>
      </c>
      <c r="AJ142" s="1005">
        <f t="shared" ca="1" si="97"/>
        <v>4.2722980064291732E-2</v>
      </c>
      <c r="AK142" s="1005">
        <f t="shared" ca="1" si="97"/>
        <v>4.1337494846477078E-2</v>
      </c>
      <c r="AL142" s="1005">
        <f t="shared" ca="1" si="97"/>
        <v>9.6524159269952663E-3</v>
      </c>
      <c r="AM142" s="1005">
        <f t="shared" ca="1" si="97"/>
        <v>6.7127444022492461E-2</v>
      </c>
      <c r="AN142" s="1005">
        <f t="shared" ca="1" si="97"/>
        <v>5.8560913505191381E-2</v>
      </c>
      <c r="AO142" s="1005">
        <f t="shared" ca="1" si="97"/>
        <v>0.14016016494345382</v>
      </c>
      <c r="AP142" s="1005">
        <f t="shared" ca="1" si="97"/>
        <v>9.9388714823804944E-2</v>
      </c>
      <c r="AQ142" s="1005">
        <f t="shared" ca="1" si="97"/>
        <v>4.3167518190115273E-2</v>
      </c>
    </row>
    <row r="143" spans="5:43">
      <c r="E143" s="1005"/>
      <c r="F143" s="1005"/>
      <c r="G143" s="1250">
        <f t="shared" si="91"/>
        <v>39903</v>
      </c>
      <c r="H143" s="1005">
        <f t="shared" ref="H143:I143" ca="1" si="98">H117/H116-1</f>
        <v>3.3177128908734588E-4</v>
      </c>
      <c r="I143" s="1005">
        <f t="shared" si="98"/>
        <v>-0.14569351074920123</v>
      </c>
      <c r="J143" s="1005">
        <f t="shared" ca="1" si="89"/>
        <v>-0.4809297757407105</v>
      </c>
      <c r="K143" s="969">
        <v>40633</v>
      </c>
      <c r="L143" s="765">
        <f t="shared" ca="1" si="54"/>
        <v>8.4207634356412608</v>
      </c>
      <c r="M143" s="765">
        <v>5.9462120607608604</v>
      </c>
      <c r="N143" s="1244">
        <f t="shared" si="55"/>
        <v>39903</v>
      </c>
      <c r="O143" s="1005"/>
      <c r="P143" s="1005"/>
      <c r="Q143" s="1005"/>
      <c r="R143" s="1005"/>
      <c r="S143" s="1005"/>
      <c r="T143" s="1005"/>
      <c r="U143" s="1005"/>
      <c r="V143" s="1005"/>
      <c r="W143" s="1005"/>
      <c r="AI143" s="1005">
        <f t="shared" ref="AI143:AQ143" ca="1" si="99">IFERROR(AI52/SUM($AI52:$AQ52),0)</f>
        <v>0.5395174950653886</v>
      </c>
      <c r="AJ143" s="1005">
        <f t="shared" ca="1" si="99"/>
        <v>3.8850745218701507E-2</v>
      </c>
      <c r="AK143" s="1005">
        <f t="shared" ca="1" si="99"/>
        <v>4.6413983311634377E-2</v>
      </c>
      <c r="AL143" s="1005">
        <f t="shared" ca="1" si="99"/>
        <v>7.1494659734186458E-3</v>
      </c>
      <c r="AM143" s="1005">
        <f t="shared" ca="1" si="99"/>
        <v>5.6751496542087124E-2</v>
      </c>
      <c r="AN143" s="1005">
        <f t="shared" ca="1" si="99"/>
        <v>5.0514226985580959E-2</v>
      </c>
      <c r="AO143" s="1005">
        <f t="shared" ca="1" si="99"/>
        <v>0.12577789275969692</v>
      </c>
      <c r="AP143" s="1005">
        <f t="shared" ca="1" si="99"/>
        <v>8.8264129746507686E-2</v>
      </c>
      <c r="AQ143" s="1005">
        <f t="shared" ca="1" si="99"/>
        <v>4.67605643969842E-2</v>
      </c>
    </row>
    <row r="144" spans="5:43">
      <c r="E144" s="1005"/>
      <c r="F144" s="1005"/>
      <c r="G144" s="1250">
        <f t="shared" si="91"/>
        <v>40268</v>
      </c>
      <c r="H144" s="1005">
        <f t="shared" ref="H144:I144" ca="1" si="100">H118/H117-1</f>
        <v>-0.27306430957221617</v>
      </c>
      <c r="I144" s="1005">
        <f t="shared" si="100"/>
        <v>-1.9441063655910806E-2</v>
      </c>
      <c r="J144" s="1005">
        <f t="shared" ca="1" si="89"/>
        <v>0.89971617786187319</v>
      </c>
      <c r="K144" s="971">
        <v>40724</v>
      </c>
      <c r="L144" s="765">
        <f t="shared" ca="1" si="54"/>
        <v>3.5471069695851201</v>
      </c>
      <c r="M144" s="765">
        <v>4.8606812980485499</v>
      </c>
      <c r="N144" s="1244">
        <f t="shared" si="55"/>
        <v>39994</v>
      </c>
      <c r="O144" s="1005"/>
      <c r="P144" s="1005"/>
      <c r="Q144" s="1005"/>
      <c r="R144" s="1005"/>
      <c r="S144" s="1005"/>
      <c r="T144" s="1005"/>
      <c r="U144" s="1005"/>
      <c r="V144" s="1005"/>
      <c r="W144" s="1005"/>
      <c r="AI144" s="1005">
        <f t="shared" ref="AI144:AQ144" ca="1" si="101">IFERROR(AI53/SUM($AI53:$AQ53),0)</f>
        <v>0.55650381096777679</v>
      </c>
      <c r="AJ144" s="1005">
        <f t="shared" ca="1" si="101"/>
        <v>3.7662754200737406E-2</v>
      </c>
      <c r="AK144" s="1005">
        <f t="shared" ca="1" si="101"/>
        <v>4.4542733394568712E-2</v>
      </c>
      <c r="AL144" s="1005">
        <f t="shared" ca="1" si="101"/>
        <v>8.0917133423636222E-3</v>
      </c>
      <c r="AM144" s="1005">
        <f t="shared" ca="1" si="101"/>
        <v>4.2757186692464248E-2</v>
      </c>
      <c r="AN144" s="1005">
        <f t="shared" ca="1" si="101"/>
        <v>4.5090980645868674E-2</v>
      </c>
      <c r="AO144" s="1005">
        <f t="shared" ca="1" si="101"/>
        <v>0.12883630554734576</v>
      </c>
      <c r="AP144" s="1005">
        <f t="shared" ca="1" si="101"/>
        <v>8.4895011223782332E-2</v>
      </c>
      <c r="AQ144" s="1005">
        <f t="shared" ca="1" si="101"/>
        <v>5.1619503985092484E-2</v>
      </c>
    </row>
    <row r="145" spans="5:43">
      <c r="E145" s="1005"/>
      <c r="F145" s="1005"/>
      <c r="G145" s="1250">
        <f t="shared" si="91"/>
        <v>40633</v>
      </c>
      <c r="H145" s="1005">
        <f t="shared" ref="H145:I145" ca="1" si="102">H119/H118-1</f>
        <v>0.99689212204941668</v>
      </c>
      <c r="I145" s="1005">
        <f t="shared" si="102"/>
        <v>3.303283184313055E-2</v>
      </c>
      <c r="J145" s="1005">
        <f t="shared" ca="1" si="89"/>
        <v>0.39575033200531196</v>
      </c>
      <c r="K145" s="972">
        <v>40816</v>
      </c>
      <c r="L145" s="765">
        <f t="shared" ca="1" si="54"/>
        <v>4.5244304938698399</v>
      </c>
      <c r="M145" s="765">
        <v>4.8776071327803603</v>
      </c>
      <c r="N145" s="1244">
        <f t="shared" si="55"/>
        <v>40086</v>
      </c>
      <c r="O145" s="1005"/>
      <c r="P145" s="1005"/>
      <c r="Q145" s="1005"/>
      <c r="R145" s="1005"/>
      <c r="S145" s="1005"/>
      <c r="T145" s="1005"/>
      <c r="U145" s="1005"/>
      <c r="V145" s="1005"/>
      <c r="W145" s="1005"/>
      <c r="AI145" s="1005">
        <f t="shared" ref="AI145:AQ145" ca="1" si="103">IFERROR(AI54/SUM($AI54:$AQ54),0)</f>
        <v>0.56412192208607104</v>
      </c>
      <c r="AJ145" s="1005">
        <f t="shared" ca="1" si="103"/>
        <v>3.6973374902065745E-2</v>
      </c>
      <c r="AK145" s="1005">
        <f t="shared" ca="1" si="103"/>
        <v>4.457638902521141E-2</v>
      </c>
      <c r="AL145" s="1005">
        <f t="shared" ca="1" si="103"/>
        <v>7.7689980401757994E-3</v>
      </c>
      <c r="AM145" s="1005">
        <f t="shared" ca="1" si="103"/>
        <v>4.5146199297616749E-2</v>
      </c>
      <c r="AN145" s="1005">
        <f t="shared" ca="1" si="103"/>
        <v>4.4960938866412607E-2</v>
      </c>
      <c r="AO145" s="1005">
        <f t="shared" ca="1" si="103"/>
        <v>0.1267270817051043</v>
      </c>
      <c r="AP145" s="1005">
        <f t="shared" ca="1" si="103"/>
        <v>7.9970578302589038E-2</v>
      </c>
      <c r="AQ145" s="1005">
        <f t="shared" ca="1" si="103"/>
        <v>4.9754517774753142E-2</v>
      </c>
    </row>
    <row r="146" spans="5:43">
      <c r="E146" s="1005"/>
      <c r="F146" s="1005"/>
      <c r="G146" s="1250">
        <f t="shared" si="91"/>
        <v>40999</v>
      </c>
      <c r="H146" s="1005">
        <f t="shared" ref="H146:I146" ca="1" si="104">H120/H119-1</f>
        <v>-0.40364814856262821</v>
      </c>
      <c r="I146" s="1005">
        <f t="shared" si="104"/>
        <v>-0.2297272225590421</v>
      </c>
      <c r="J146" s="1005">
        <f t="shared" ca="1" si="89"/>
        <v>-7.0884871550903839E-2</v>
      </c>
      <c r="K146" s="973">
        <v>40908</v>
      </c>
      <c r="L146" s="765">
        <f t="shared" ca="1" si="54"/>
        <v>5.1152771847804299</v>
      </c>
      <c r="M146" s="765">
        <v>5.3720191970030298</v>
      </c>
      <c r="N146" s="1244">
        <f t="shared" si="55"/>
        <v>40178</v>
      </c>
      <c r="O146" s="1005"/>
      <c r="P146" s="1005"/>
      <c r="Q146" s="1005"/>
      <c r="R146" s="1005"/>
      <c r="S146" s="1005"/>
      <c r="T146" s="1005"/>
      <c r="U146" s="1005"/>
      <c r="V146" s="1005"/>
      <c r="W146" s="1005"/>
      <c r="AI146" s="1005">
        <f t="shared" ref="AI146:AQ146" ca="1" si="105">IFERROR(AI55/SUM($AI55:$AQ55),0)</f>
        <v>0.56489853313271265</v>
      </c>
      <c r="AJ146" s="1005">
        <f t="shared" ca="1" si="105"/>
        <v>3.7878576119792069E-2</v>
      </c>
      <c r="AK146" s="1005">
        <f t="shared" ca="1" si="105"/>
        <v>4.4227525204088576E-2</v>
      </c>
      <c r="AL146" s="1005">
        <f t="shared" ca="1" si="105"/>
        <v>8.4333033401120961E-3</v>
      </c>
      <c r="AM146" s="1005">
        <f t="shared" ca="1" si="105"/>
        <v>5.2908448416875857E-2</v>
      </c>
      <c r="AN146" s="1005">
        <f t="shared" ca="1" si="105"/>
        <v>4.4385269564374358E-2</v>
      </c>
      <c r="AO146" s="1005">
        <f t="shared" ca="1" si="105"/>
        <v>0.12278169003290117</v>
      </c>
      <c r="AP146" s="1005">
        <f t="shared" ca="1" si="105"/>
        <v>7.6693334342521707E-2</v>
      </c>
      <c r="AQ146" s="1005">
        <f t="shared" ca="1" si="105"/>
        <v>4.7793319846621461E-2</v>
      </c>
    </row>
    <row r="147" spans="5:43">
      <c r="E147" s="1005"/>
      <c r="F147" s="1005"/>
      <c r="G147" s="1250">
        <f t="shared" si="91"/>
        <v>41364</v>
      </c>
      <c r="H147" s="1005">
        <f t="shared" ref="H147:I147" ca="1" si="106">H121/H120-1</f>
        <v>0.18959846029652216</v>
      </c>
      <c r="I147" s="1005">
        <f t="shared" si="106"/>
        <v>0.61401671621124709</v>
      </c>
      <c r="J147" s="1005">
        <f t="shared" ca="1" si="89"/>
        <v>0.74219150025601621</v>
      </c>
      <c r="K147" s="969">
        <v>40999</v>
      </c>
      <c r="L147" s="765">
        <f t="shared" ca="1" si="54"/>
        <v>5.02173786536079</v>
      </c>
      <c r="M147" s="765">
        <v>4.5802052792951899</v>
      </c>
      <c r="N147" s="1244">
        <f t="shared" si="55"/>
        <v>40268</v>
      </c>
      <c r="O147" s="1005"/>
      <c r="P147" s="1005"/>
      <c r="Q147" s="1005"/>
      <c r="R147" s="1005"/>
      <c r="S147" s="1005"/>
      <c r="T147" s="1005"/>
      <c r="U147" s="1005"/>
      <c r="V147" s="1005"/>
      <c r="W147" s="1005"/>
      <c r="AI147" s="1005">
        <f t="shared" ref="AI147:AQ147" ca="1" si="107">IFERROR(AI56/SUM($AI56:$AQ56),0)</f>
        <v>0.58143189808976392</v>
      </c>
      <c r="AJ147" s="1005">
        <f t="shared" ca="1" si="107"/>
        <v>4.1532055611559329E-2</v>
      </c>
      <c r="AK147" s="1005">
        <f t="shared" ca="1" si="107"/>
        <v>5.1092123186507674E-2</v>
      </c>
      <c r="AL147" s="1005">
        <f t="shared" ca="1" si="107"/>
        <v>1.1326769826056937E-2</v>
      </c>
      <c r="AM147" s="1005">
        <f t="shared" ca="1" si="107"/>
        <v>5.1135004068949767E-2</v>
      </c>
      <c r="AN147" s="1005">
        <f t="shared" ca="1" si="107"/>
        <v>4.8899459698680488E-2</v>
      </c>
      <c r="AO147" s="1005">
        <f t="shared" ca="1" si="107"/>
        <v>0.12690647665888022</v>
      </c>
      <c r="AP147" s="1005">
        <f t="shared" ca="1" si="107"/>
        <v>3.437533303978331E-2</v>
      </c>
      <c r="AQ147" s="1005">
        <f t="shared" ca="1" si="107"/>
        <v>5.3300879819818514E-2</v>
      </c>
    </row>
    <row r="148" spans="5:43">
      <c r="E148" s="1005"/>
      <c r="F148" s="1005"/>
      <c r="G148" s="1250">
        <f t="shared" si="91"/>
        <v>41729</v>
      </c>
      <c r="H148" s="1005">
        <f t="shared" ref="H148:I148" ca="1" si="108">H122/H121-1</f>
        <v>6.9889323685971227E-2</v>
      </c>
      <c r="I148" s="1005">
        <f t="shared" si="108"/>
        <v>8.7400353373885187E-2</v>
      </c>
      <c r="J148" s="1005">
        <f t="shared" ca="1" si="89"/>
        <v>0.18589272593681128</v>
      </c>
      <c r="K148" s="971">
        <v>41090</v>
      </c>
      <c r="L148" s="765">
        <f t="shared" ca="1" si="54"/>
        <v>4.9268715604037796</v>
      </c>
      <c r="M148" s="765">
        <v>4.2829373560378796</v>
      </c>
      <c r="N148" s="1244">
        <f t="shared" si="55"/>
        <v>40359</v>
      </c>
      <c r="O148" s="1005"/>
      <c r="P148" s="1005"/>
      <c r="Q148" s="1005"/>
      <c r="R148" s="1005"/>
      <c r="S148" s="1005"/>
      <c r="T148" s="1005"/>
      <c r="U148" s="1005"/>
      <c r="V148" s="1005"/>
      <c r="W148" s="1005"/>
      <c r="AI148" s="1005">
        <f t="shared" ref="AI148:AQ148" ca="1" si="109">IFERROR(AI57/SUM($AI57:$AQ57),0)</f>
        <v>0.58404303750897624</v>
      </c>
      <c r="AJ148" s="1005">
        <f t="shared" ca="1" si="109"/>
        <v>4.1504025665147895E-2</v>
      </c>
      <c r="AK148" s="1005">
        <f t="shared" ca="1" si="109"/>
        <v>4.6014373827043292E-2</v>
      </c>
      <c r="AL148" s="1005">
        <f t="shared" ca="1" si="109"/>
        <v>1.0105758177643122E-2</v>
      </c>
      <c r="AM148" s="1005">
        <f t="shared" ca="1" si="109"/>
        <v>5.1215886246659563E-2</v>
      </c>
      <c r="AN148" s="1005">
        <f t="shared" ca="1" si="109"/>
        <v>4.7285112762861452E-2</v>
      </c>
      <c r="AO148" s="1005">
        <f t="shared" ca="1" si="109"/>
        <v>0.12871401895691365</v>
      </c>
      <c r="AP148" s="1005">
        <f t="shared" ca="1" si="109"/>
        <v>3.8222666809976984E-2</v>
      </c>
      <c r="AQ148" s="1005">
        <f t="shared" ca="1" si="109"/>
        <v>5.28951200447779E-2</v>
      </c>
    </row>
    <row r="149" spans="5:43">
      <c r="E149" s="1005"/>
      <c r="F149" s="1005"/>
      <c r="G149" s="1250">
        <f t="shared" si="91"/>
        <v>42094</v>
      </c>
      <c r="H149" s="1005">
        <f t="shared" ref="H149:I149" ca="1" si="110">H123/H122-1</f>
        <v>-4.0906619452141357E-2</v>
      </c>
      <c r="I149" s="1005">
        <f t="shared" si="110"/>
        <v>2.7102186972285391E-2</v>
      </c>
      <c r="J149" s="1005">
        <f t="shared" ca="1" si="89"/>
        <v>-5.9975216852540258E-2</v>
      </c>
      <c r="K149" s="972">
        <v>41182</v>
      </c>
      <c r="L149" s="765">
        <f t="shared" ca="1" si="54"/>
        <v>5.1206514379128798</v>
      </c>
      <c r="M149" s="765">
        <v>6.5670487505641697</v>
      </c>
      <c r="N149" s="1244">
        <f t="shared" si="55"/>
        <v>40451</v>
      </c>
      <c r="O149" s="1005"/>
      <c r="P149" s="1005"/>
      <c r="Q149" s="1005"/>
      <c r="R149" s="1005"/>
      <c r="S149" s="1005"/>
      <c r="T149" s="1005"/>
      <c r="U149" s="1005"/>
      <c r="V149" s="1005"/>
      <c r="W149" s="1005"/>
      <c r="AI149" s="1005">
        <f t="shared" ref="AI149:AQ149" ca="1" si="111">IFERROR(AI58/SUM($AI58:$AQ58),0)</f>
        <v>0.55503058298186569</v>
      </c>
      <c r="AJ149" s="1005">
        <f t="shared" ca="1" si="111"/>
        <v>4.6229571559493698E-2</v>
      </c>
      <c r="AK149" s="1005">
        <f t="shared" ca="1" si="111"/>
        <v>4.5087672605285824E-2</v>
      </c>
      <c r="AL149" s="1005">
        <f t="shared" ca="1" si="111"/>
        <v>1.1740192216197874E-2</v>
      </c>
      <c r="AM149" s="1005">
        <f t="shared" ca="1" si="111"/>
        <v>5.8988415100367508E-2</v>
      </c>
      <c r="AN149" s="1005">
        <f t="shared" ca="1" si="111"/>
        <v>5.3017393453980377E-2</v>
      </c>
      <c r="AO149" s="1005">
        <f t="shared" ca="1" si="111"/>
        <v>0.13408263142299734</v>
      </c>
      <c r="AP149" s="1005">
        <f t="shared" ca="1" si="111"/>
        <v>3.5749593417173119E-2</v>
      </c>
      <c r="AQ149" s="1005">
        <f t="shared" ca="1" si="111"/>
        <v>6.0073947242638585E-2</v>
      </c>
    </row>
    <row r="150" spans="5:43">
      <c r="E150" s="1005"/>
      <c r="F150" s="1005"/>
      <c r="G150" s="1250">
        <f t="shared" si="91"/>
        <v>42460</v>
      </c>
      <c r="H150" s="1005">
        <f t="shared" ref="H150:I150" ca="1" si="112">H124/H123-1</f>
        <v>-6.2135971261256362E-2</v>
      </c>
      <c r="I150" s="1005">
        <f t="shared" si="112"/>
        <v>-4.7882265362882204E-2</v>
      </c>
      <c r="J150" s="1005">
        <f t="shared" ca="1" si="89"/>
        <v>-0.11007118375955705</v>
      </c>
      <c r="K150" s="973">
        <v>41274</v>
      </c>
      <c r="L150" s="765">
        <f t="shared" ca="1" si="54"/>
        <v>6.0223061912448097</v>
      </c>
      <c r="M150" s="765">
        <v>7.7034646244575802</v>
      </c>
      <c r="N150" s="1244">
        <f t="shared" si="55"/>
        <v>40543</v>
      </c>
      <c r="O150" s="1005"/>
      <c r="P150" s="1005"/>
      <c r="Q150" s="1005"/>
      <c r="R150" s="1005"/>
      <c r="S150" s="1005"/>
      <c r="T150" s="1005"/>
      <c r="U150" s="1005"/>
      <c r="V150" s="1005"/>
      <c r="W150" s="1005"/>
      <c r="AI150" s="1005">
        <f t="shared" ref="AI150:AQ150" ca="1" si="113">IFERROR(AI59/SUM($AI59:$AQ59),0)</f>
        <v>0.54200175374258608</v>
      </c>
      <c r="AJ150" s="1005">
        <f t="shared" ca="1" si="113"/>
        <v>4.6834008948578226E-2</v>
      </c>
      <c r="AK150" s="1005">
        <f t="shared" ca="1" si="113"/>
        <v>4.567917016492002E-2</v>
      </c>
      <c r="AL150" s="1005">
        <f t="shared" ca="1" si="113"/>
        <v>1.2676032064820004E-2</v>
      </c>
      <c r="AM150" s="1005">
        <f t="shared" ca="1" si="113"/>
        <v>6.4942569873350189E-2</v>
      </c>
      <c r="AN150" s="1005">
        <f t="shared" ca="1" si="113"/>
        <v>5.1916822562126076E-2</v>
      </c>
      <c r="AO150" s="1005">
        <f t="shared" ca="1" si="113"/>
        <v>0.13740998768381793</v>
      </c>
      <c r="AP150" s="1005">
        <f t="shared" ca="1" si="113"/>
        <v>3.460729185548294E-2</v>
      </c>
      <c r="AQ150" s="1005">
        <f t="shared" ca="1" si="113"/>
        <v>6.393236310431856E-2</v>
      </c>
    </row>
    <row r="151" spans="5:43">
      <c r="E151" s="1005"/>
      <c r="F151" s="1005"/>
      <c r="G151" s="1250">
        <f t="shared" si="91"/>
        <v>42825</v>
      </c>
      <c r="H151" s="1005">
        <f t="shared" ref="H151:I151" ca="1" si="114">H125/H124-1</f>
        <v>0.21242102159826426</v>
      </c>
      <c r="I151" s="1005">
        <f t="shared" si="114"/>
        <v>3.4020576407196135E-2</v>
      </c>
      <c r="J151" s="1005">
        <f t="shared" ca="1" si="89"/>
        <v>0.11405717671456062</v>
      </c>
      <c r="K151" s="969">
        <v>41364</v>
      </c>
      <c r="L151" s="765">
        <f t="shared" ca="1" si="54"/>
        <v>5.9738516326459399</v>
      </c>
      <c r="M151" s="765">
        <v>7.3925278844614404</v>
      </c>
      <c r="N151" s="1244">
        <f t="shared" si="55"/>
        <v>40633</v>
      </c>
      <c r="O151" s="1005"/>
      <c r="P151" s="1005"/>
      <c r="Q151" s="1005"/>
      <c r="R151" s="1005"/>
      <c r="S151" s="1005"/>
      <c r="T151" s="1005"/>
      <c r="U151" s="1005"/>
      <c r="V151" s="1005"/>
      <c r="W151" s="1005"/>
      <c r="AI151" s="1005">
        <f t="shared" ref="AI151:AQ151" ca="1" si="115">IFERROR(AI60/SUM($AI60:$AQ60),0)</f>
        <v>0.53120883519306528</v>
      </c>
      <c r="AJ151" s="1005">
        <f t="shared" ca="1" si="115"/>
        <v>5.0335431932420016E-2</v>
      </c>
      <c r="AK151" s="1005">
        <f t="shared" ca="1" si="115"/>
        <v>3.4967459366950254E-2</v>
      </c>
      <c r="AL151" s="1005">
        <f t="shared" ca="1" si="115"/>
        <v>1.0346506526931989E-2</v>
      </c>
      <c r="AM151" s="1005">
        <f t="shared" ca="1" si="115"/>
        <v>6.1305299202523519E-2</v>
      </c>
      <c r="AN151" s="1005">
        <f t="shared" ca="1" si="115"/>
        <v>5.0229106045191339E-2</v>
      </c>
      <c r="AO151" s="1005">
        <f t="shared" ca="1" si="115"/>
        <v>0.1280811751575916</v>
      </c>
      <c r="AP151" s="1005">
        <f t="shared" ca="1" si="115"/>
        <v>7.1521174717537078E-2</v>
      </c>
      <c r="AQ151" s="1005">
        <f t="shared" ca="1" si="115"/>
        <v>6.2005011857788915E-2</v>
      </c>
    </row>
    <row r="152" spans="5:43">
      <c r="E152" s="1005"/>
      <c r="F152" s="1005"/>
      <c r="G152" s="1250">
        <f t="shared" si="91"/>
        <v>43190</v>
      </c>
      <c r="H152" s="1005">
        <f t="shared" ref="H152:I152" ca="1" si="116">H126/H125-1</f>
        <v>-1.3742357798829263E-2</v>
      </c>
      <c r="I152" s="1005">
        <f t="shared" si="116"/>
        <v>0.13748298575572582</v>
      </c>
      <c r="J152" s="1005">
        <f t="shared" ca="1" si="89"/>
        <v>0.23175109692860008</v>
      </c>
      <c r="K152" s="971">
        <v>41455</v>
      </c>
      <c r="L152" s="765">
        <f t="shared" ca="1" si="54"/>
        <v>6.1192740025621299</v>
      </c>
      <c r="M152" s="765">
        <v>7.7920271393888303</v>
      </c>
      <c r="N152" s="1244">
        <f t="shared" si="55"/>
        <v>40724</v>
      </c>
      <c r="O152" s="1005"/>
      <c r="P152" s="1005"/>
      <c r="Q152" s="1005"/>
      <c r="R152" s="1005"/>
      <c r="S152" s="1005"/>
      <c r="T152" s="1005"/>
      <c r="U152" s="1005"/>
      <c r="V152" s="1005"/>
      <c r="W152" s="1005"/>
      <c r="AI152" s="1005">
        <f t="shared" ref="AI152:AQ152" ca="1" si="117">IFERROR(AI61/SUM($AI61:$AQ61),0)</f>
        <v>0.5354775122181139</v>
      </c>
      <c r="AJ152" s="1005">
        <f t="shared" ca="1" si="117"/>
        <v>5.0729089713703039E-2</v>
      </c>
      <c r="AK152" s="1005">
        <f t="shared" ca="1" si="117"/>
        <v>3.5550188808449582E-2</v>
      </c>
      <c r="AL152" s="1005">
        <f t="shared" ca="1" si="117"/>
        <v>1.110546808950736E-2</v>
      </c>
      <c r="AM152" s="1005">
        <f t="shared" ca="1" si="117"/>
        <v>6.2291085328477186E-2</v>
      </c>
      <c r="AN152" s="1005">
        <f t="shared" ca="1" si="117"/>
        <v>5.2416120118809729E-2</v>
      </c>
      <c r="AO152" s="1005">
        <f t="shared" ca="1" si="117"/>
        <v>0.12961664240478243</v>
      </c>
      <c r="AP152" s="1005">
        <f t="shared" ca="1" si="117"/>
        <v>6.2799517642475156E-2</v>
      </c>
      <c r="AQ152" s="1005">
        <f t="shared" ca="1" si="117"/>
        <v>6.001437567568163E-2</v>
      </c>
    </row>
    <row r="153" spans="5:43">
      <c r="E153" s="1005"/>
      <c r="F153" s="1005"/>
      <c r="G153" s="1250">
        <f t="shared" si="91"/>
        <v>43555</v>
      </c>
      <c r="H153" s="1005">
        <f t="shared" ref="H153:I153" ca="1" si="118">H127/H126-1</f>
        <v>-0.19983221758961411</v>
      </c>
      <c r="I153" s="1005">
        <f t="shared" si="118"/>
        <v>-0.23166569833055661</v>
      </c>
      <c r="J153" s="1005">
        <f t="shared" ca="1" si="89"/>
        <v>-0.21081606217616577</v>
      </c>
      <c r="K153" s="972">
        <v>41547</v>
      </c>
      <c r="L153" s="765">
        <f t="shared" ca="1" si="54"/>
        <v>6.4180361813421403</v>
      </c>
      <c r="M153" s="765">
        <v>7.7148548871086602</v>
      </c>
      <c r="N153" s="1244">
        <f t="shared" si="55"/>
        <v>40816</v>
      </c>
      <c r="O153" s="1005"/>
      <c r="P153" s="1005"/>
      <c r="Q153" s="1005"/>
      <c r="R153" s="1005"/>
      <c r="S153" s="1005"/>
      <c r="T153" s="1005"/>
      <c r="U153" s="1005"/>
      <c r="V153" s="1005"/>
      <c r="W153" s="1005"/>
      <c r="AI153" s="1005">
        <f t="shared" ref="AI153:AQ153" ca="1" si="119">IFERROR(AI62/SUM($AI62:$AQ62),0)</f>
        <v>0.5228919035028311</v>
      </c>
      <c r="AJ153" s="1005">
        <f t="shared" ca="1" si="119"/>
        <v>4.6196367925911731E-2</v>
      </c>
      <c r="AK153" s="1005">
        <f t="shared" ca="1" si="119"/>
        <v>3.4840650092924044E-2</v>
      </c>
      <c r="AL153" s="1005">
        <f t="shared" ca="1" si="119"/>
        <v>9.1331866872028256E-3</v>
      </c>
      <c r="AM153" s="1005">
        <f t="shared" ca="1" si="119"/>
        <v>5.7963994318374963E-2</v>
      </c>
      <c r="AN153" s="1005">
        <f t="shared" ca="1" si="119"/>
        <v>5.5866786021115673E-2</v>
      </c>
      <c r="AO153" s="1005">
        <f t="shared" ca="1" si="119"/>
        <v>0.14220109566347411</v>
      </c>
      <c r="AP153" s="1005">
        <f t="shared" ca="1" si="119"/>
        <v>7.3282919624540394E-2</v>
      </c>
      <c r="AQ153" s="1005">
        <f t="shared" ca="1" si="119"/>
        <v>5.7623096163625154E-2</v>
      </c>
    </row>
    <row r="154" spans="5:43">
      <c r="E154" s="1005"/>
      <c r="F154" s="1005"/>
      <c r="G154" s="1250">
        <f t="shared" si="91"/>
        <v>43921</v>
      </c>
      <c r="H154" s="1005">
        <f t="shared" ref="H154:I154" ca="1" si="120">H128/H127-1</f>
        <v>-3.3405815530496041E-2</v>
      </c>
      <c r="I154" s="1005">
        <f t="shared" si="120"/>
        <v>8.8948323302521004E-2</v>
      </c>
      <c r="J154" s="1005">
        <f t="shared" ca="1" si="89"/>
        <v>-0.1341813705375462</v>
      </c>
      <c r="K154" s="973">
        <v>41639</v>
      </c>
      <c r="L154" s="765">
        <f t="shared" ca="1" si="54"/>
        <v>6.3607678130032097</v>
      </c>
      <c r="M154" s="765">
        <v>7.9226599951817596</v>
      </c>
      <c r="N154" s="1244">
        <f t="shared" si="55"/>
        <v>40908</v>
      </c>
      <c r="O154" s="1005"/>
      <c r="P154" s="1005"/>
      <c r="Q154" s="1005"/>
      <c r="R154" s="1005"/>
      <c r="S154" s="1005"/>
      <c r="T154" s="1005"/>
      <c r="U154" s="1005"/>
      <c r="V154" s="1005"/>
      <c r="W154" s="1005"/>
      <c r="AI154" s="1005">
        <f t="shared" ref="AI154:AQ154" ca="1" si="121">IFERROR(AI63/SUM($AI63:$AQ63),0)</f>
        <v>0.49605456066358272</v>
      </c>
      <c r="AJ154" s="1005">
        <f t="shared" ca="1" si="121"/>
        <v>4.9690469020956432E-2</v>
      </c>
      <c r="AK154" s="1005">
        <f t="shared" ca="1" si="121"/>
        <v>6.5735631782951304E-2</v>
      </c>
      <c r="AL154" s="1005">
        <f t="shared" ca="1" si="121"/>
        <v>1.043904562609247E-2</v>
      </c>
      <c r="AM154" s="1005">
        <f t="shared" ca="1" si="121"/>
        <v>5.4489959448793916E-2</v>
      </c>
      <c r="AN154" s="1005">
        <f t="shared" ca="1" si="121"/>
        <v>5.5102729245528538E-2</v>
      </c>
      <c r="AO154" s="1005">
        <f t="shared" ca="1" si="121"/>
        <v>0.12909829647358986</v>
      </c>
      <c r="AP154" s="1005">
        <f t="shared" ca="1" si="121"/>
        <v>7.3352297907085529E-2</v>
      </c>
      <c r="AQ154" s="1005">
        <f t="shared" ca="1" si="121"/>
        <v>6.6037009831419233E-2</v>
      </c>
    </row>
    <row r="155" spans="5:43">
      <c r="E155" s="1005"/>
      <c r="F155" s="1005"/>
      <c r="G155" s="1250">
        <f t="shared" si="91"/>
        <v>44286</v>
      </c>
      <c r="H155" s="1005">
        <f t="shared" ref="H155:I156" ca="1" si="122">H129/H128-1</f>
        <v>0.27407253661732134</v>
      </c>
      <c r="I155" s="1005">
        <f t="shared" si="122"/>
        <v>0.32775132390446959</v>
      </c>
      <c r="J155" s="1005">
        <f t="shared" si="89"/>
        <v>-0.33175355450236965</v>
      </c>
      <c r="K155" s="969">
        <v>41729</v>
      </c>
      <c r="L155" s="765">
        <f t="shared" ca="1" si="54"/>
        <v>6.3913600830519002</v>
      </c>
      <c r="M155" s="765">
        <v>8.0386374338896704</v>
      </c>
      <c r="N155" s="1244">
        <f t="shared" si="55"/>
        <v>40999</v>
      </c>
      <c r="O155" s="1005"/>
      <c r="P155" s="1005"/>
      <c r="Q155" s="1005"/>
      <c r="R155" s="1005"/>
      <c r="S155" s="1005"/>
      <c r="T155" s="1005"/>
      <c r="U155" s="1005"/>
      <c r="V155" s="1005"/>
      <c r="W155" s="1005"/>
      <c r="AI155" s="1005">
        <f t="shared" ref="AI155:AQ155" ca="1" si="123">IFERROR(AI64/SUM($AI64:$AQ64),0)</f>
        <v>0.47815209055685692</v>
      </c>
      <c r="AJ155" s="1005">
        <f t="shared" ca="1" si="123"/>
        <v>4.5462976360599393E-2</v>
      </c>
      <c r="AK155" s="1005">
        <f t="shared" ca="1" si="123"/>
        <v>6.46638318156188E-2</v>
      </c>
      <c r="AL155" s="1005">
        <f t="shared" ca="1" si="123"/>
        <v>1.3550900244163515E-2</v>
      </c>
      <c r="AM155" s="1005">
        <f t="shared" ca="1" si="123"/>
        <v>5.4593885047615358E-2</v>
      </c>
      <c r="AN155" s="1005">
        <f t="shared" ca="1" si="123"/>
        <v>6.248271373275581E-2</v>
      </c>
      <c r="AO155" s="1005">
        <f t="shared" ca="1" si="123"/>
        <v>0.14334074103641403</v>
      </c>
      <c r="AP155" s="1005">
        <f t="shared" ca="1" si="123"/>
        <v>7.9387615595776076E-2</v>
      </c>
      <c r="AQ155" s="1005">
        <f t="shared" ca="1" si="123"/>
        <v>5.8365245610200109E-2</v>
      </c>
    </row>
    <row r="156" spans="5:43">
      <c r="E156" s="1005"/>
      <c r="F156" s="1005"/>
      <c r="G156" s="1250">
        <f t="shared" si="91"/>
        <v>44651</v>
      </c>
      <c r="H156" s="1005">
        <f t="shared" ca="1" si="122"/>
        <v>-0.25776637586944429</v>
      </c>
      <c r="I156" s="1005">
        <f t="shared" si="122"/>
        <v>-0.19099666954356598</v>
      </c>
      <c r="J156" s="1005">
        <f t="shared" si="89"/>
        <v>0.66903073286052006</v>
      </c>
      <c r="K156" s="971">
        <v>41820</v>
      </c>
      <c r="L156" s="765">
        <f t="shared" ca="1" si="54"/>
        <v>6.1024295365989802</v>
      </c>
      <c r="M156" s="765">
        <v>7.7710426848552601</v>
      </c>
      <c r="N156" s="1244">
        <f t="shared" si="55"/>
        <v>41090</v>
      </c>
      <c r="O156" s="1005"/>
      <c r="P156" s="1005"/>
      <c r="Q156" s="1005"/>
      <c r="R156" s="1005"/>
      <c r="S156" s="1005"/>
      <c r="T156" s="1005"/>
      <c r="U156" s="1005"/>
      <c r="V156" s="1005"/>
      <c r="W156" s="1005"/>
      <c r="AI156" s="1005">
        <f t="shared" ref="AI156:AQ156" ca="1" si="124">IFERROR(AI65/SUM($AI65:$AQ65),0)</f>
        <v>0.48650666196458603</v>
      </c>
      <c r="AJ156" s="1005">
        <f t="shared" ca="1" si="124"/>
        <v>4.2889357532051711E-2</v>
      </c>
      <c r="AK156" s="1005">
        <f t="shared" ca="1" si="124"/>
        <v>6.6005907934813104E-2</v>
      </c>
      <c r="AL156" s="1005">
        <f t="shared" ca="1" si="124"/>
        <v>1.4020419688326947E-2</v>
      </c>
      <c r="AM156" s="1005">
        <f t="shared" ca="1" si="124"/>
        <v>4.9362570987659317E-2</v>
      </c>
      <c r="AN156" s="1005">
        <f t="shared" ca="1" si="124"/>
        <v>6.0984322545957002E-2</v>
      </c>
      <c r="AO156" s="1005">
        <f t="shared" ca="1" si="124"/>
        <v>0.14178666648113397</v>
      </c>
      <c r="AP156" s="1005">
        <f t="shared" ca="1" si="124"/>
        <v>7.7239349001062552E-2</v>
      </c>
      <c r="AQ156" s="1005">
        <f t="shared" ca="1" si="124"/>
        <v>6.1204743864409342E-2</v>
      </c>
    </row>
    <row r="157" spans="5:43">
      <c r="E157" s="1005"/>
      <c r="F157" s="1005"/>
      <c r="G157" s="1250">
        <f t="shared" si="91"/>
        <v>45016</v>
      </c>
      <c r="H157" s="1005"/>
      <c r="I157" s="1005"/>
      <c r="J157" s="1005">
        <f t="shared" si="89"/>
        <v>0.3852691218130313</v>
      </c>
      <c r="K157" s="972">
        <v>41912</v>
      </c>
      <c r="L157" s="765">
        <f t="shared" ca="1" si="54"/>
        <v>5.9395532223140801</v>
      </c>
      <c r="M157" s="765">
        <v>7.4467288782765904</v>
      </c>
      <c r="N157" s="1244">
        <f t="shared" si="55"/>
        <v>41182</v>
      </c>
      <c r="O157" s="1005"/>
      <c r="P157" s="1005"/>
      <c r="Q157" s="1005"/>
      <c r="R157" s="1005"/>
      <c r="S157" s="1005"/>
      <c r="T157" s="1005"/>
      <c r="U157" s="1005"/>
      <c r="V157" s="1005"/>
      <c r="W157" s="1005"/>
      <c r="AI157" s="1005">
        <f t="shared" ref="AI157:AQ157" ca="1" si="125">IFERROR(AI66/SUM($AI66:$AQ66),0)</f>
        <v>0.45502233195323355</v>
      </c>
      <c r="AJ157" s="1005">
        <f t="shared" ca="1" si="125"/>
        <v>3.7933617520818232E-2</v>
      </c>
      <c r="AK157" s="1005">
        <f t="shared" ca="1" si="125"/>
        <v>6.2597278355509239E-2</v>
      </c>
      <c r="AL157" s="1005">
        <f t="shared" ca="1" si="125"/>
        <v>1.5479880555538703E-2</v>
      </c>
      <c r="AM157" s="1005">
        <f t="shared" ca="1" si="125"/>
        <v>5.2230676026876408E-2</v>
      </c>
      <c r="AN157" s="1005">
        <f t="shared" ca="1" si="125"/>
        <v>5.7109449725592329E-2</v>
      </c>
      <c r="AO157" s="1005">
        <f t="shared" ca="1" si="125"/>
        <v>0.14508953031496047</v>
      </c>
      <c r="AP157" s="1005">
        <f t="shared" ca="1" si="125"/>
        <v>7.8585135170640572E-2</v>
      </c>
      <c r="AQ157" s="1005">
        <f t="shared" ca="1" si="125"/>
        <v>9.5952100376830662E-2</v>
      </c>
    </row>
    <row r="158" spans="5:43">
      <c r="E158" s="1005"/>
      <c r="F158" s="1005"/>
      <c r="G158" s="1005"/>
      <c r="H158" s="1005"/>
      <c r="I158" s="1005"/>
      <c r="J158" s="1252"/>
      <c r="K158" s="973">
        <v>42004</v>
      </c>
      <c r="L158" s="765">
        <f t="shared" ca="1" si="54"/>
        <v>6.46518706700473</v>
      </c>
      <c r="M158" s="765">
        <v>6.9296338430472204</v>
      </c>
      <c r="N158" s="1244">
        <f t="shared" si="55"/>
        <v>41274</v>
      </c>
      <c r="O158" s="1005"/>
      <c r="P158" s="1005"/>
      <c r="Q158" s="1005"/>
      <c r="R158" s="1005"/>
      <c r="S158" s="1005"/>
      <c r="T158" s="1005"/>
      <c r="U158" s="1005"/>
      <c r="V158" s="1005"/>
      <c r="W158" s="1005"/>
      <c r="AI158" s="1005">
        <f t="shared" ref="AI158:AQ158" ca="1" si="126">IFERROR(AI67/SUM($AI67:$AQ67),0)</f>
        <v>0.45839177391672692</v>
      </c>
      <c r="AJ158" s="1005">
        <f t="shared" ca="1" si="126"/>
        <v>3.915676479442317E-2</v>
      </c>
      <c r="AK158" s="1005">
        <f t="shared" ca="1" si="126"/>
        <v>5.8528319037837166E-2</v>
      </c>
      <c r="AL158" s="1005">
        <f t="shared" ca="1" si="126"/>
        <v>1.6366076435627597E-2</v>
      </c>
      <c r="AM158" s="1005">
        <f t="shared" ca="1" si="126"/>
        <v>4.8201995678150727E-2</v>
      </c>
      <c r="AN158" s="1005">
        <f t="shared" ca="1" si="126"/>
        <v>5.6531275696087672E-2</v>
      </c>
      <c r="AO158" s="1005">
        <f t="shared" ca="1" si="126"/>
        <v>0.13934693079056562</v>
      </c>
      <c r="AP158" s="1005">
        <f t="shared" ca="1" si="126"/>
        <v>8.1508617878747691E-2</v>
      </c>
      <c r="AQ158" s="1005">
        <f t="shared" ca="1" si="126"/>
        <v>0.10196824577183342</v>
      </c>
    </row>
    <row r="159" spans="5:43">
      <c r="E159" s="1005"/>
      <c r="F159" s="1005"/>
      <c r="G159" s="1005"/>
      <c r="H159" s="1005"/>
      <c r="I159" s="1005"/>
      <c r="J159" s="1005">
        <f ca="1">CORREL(H140:H154,J140:J154)</f>
        <v>0.23519291546566462</v>
      </c>
      <c r="K159" s="969">
        <v>42094</v>
      </c>
      <c r="L159" s="765">
        <f t="shared" ca="1" si="54"/>
        <v>6.1299111483528899</v>
      </c>
      <c r="M159" s="765">
        <v>8.2565020886253606</v>
      </c>
      <c r="N159" s="1244">
        <f t="shared" si="55"/>
        <v>41364</v>
      </c>
      <c r="O159" s="1005"/>
      <c r="P159" s="1005"/>
      <c r="Q159" s="1005"/>
      <c r="R159" s="1005"/>
      <c r="S159" s="1005"/>
      <c r="T159" s="1005"/>
      <c r="U159" s="1005"/>
      <c r="V159" s="1005"/>
      <c r="W159" s="1005"/>
      <c r="AI159" s="1005">
        <f t="shared" ref="AI159:AQ159" ca="1" si="127">IFERROR(AI68/SUM($AI68:$AQ68),0)</f>
        <v>0.46903004348315513</v>
      </c>
      <c r="AJ159" s="1005">
        <f t="shared" ca="1" si="127"/>
        <v>3.6518251425985748E-2</v>
      </c>
      <c r="AK159" s="1005">
        <f t="shared" ca="1" si="127"/>
        <v>6.0317749956261275E-2</v>
      </c>
      <c r="AL159" s="1005">
        <f t="shared" ca="1" si="127"/>
        <v>2.0022634332665885E-2</v>
      </c>
      <c r="AM159" s="1005">
        <f t="shared" ca="1" si="127"/>
        <v>4.9453670226570365E-2</v>
      </c>
      <c r="AN159" s="1005">
        <f t="shared" ca="1" si="127"/>
        <v>5.8308598173215147E-2</v>
      </c>
      <c r="AO159" s="1005">
        <f t="shared" ca="1" si="127"/>
        <v>0.1401511363271114</v>
      </c>
      <c r="AP159" s="1005">
        <f t="shared" ca="1" si="127"/>
        <v>7.3204911273807557E-2</v>
      </c>
      <c r="AQ159" s="1005">
        <f t="shared" ca="1" si="127"/>
        <v>9.2993004801227477E-2</v>
      </c>
    </row>
    <row r="160" spans="5:43">
      <c r="E160" s="1005"/>
      <c r="F160" s="1005"/>
      <c r="G160" s="1005"/>
      <c r="H160" s="1005"/>
      <c r="I160" s="1005"/>
      <c r="J160" s="1005"/>
      <c r="K160" s="971">
        <v>42185</v>
      </c>
      <c r="L160" s="765">
        <f t="shared" ca="1" si="54"/>
        <v>5.6230122148470096</v>
      </c>
      <c r="M160" s="765">
        <v>7.7631885983009097</v>
      </c>
      <c r="N160" s="1244">
        <f t="shared" si="55"/>
        <v>41455</v>
      </c>
      <c r="O160" s="1005"/>
      <c r="P160" s="1005"/>
      <c r="Q160" s="1005"/>
      <c r="R160" s="1005"/>
      <c r="S160" s="1005"/>
      <c r="T160" s="1005"/>
      <c r="U160" s="1005"/>
      <c r="V160" s="1005"/>
      <c r="W160" s="1005"/>
      <c r="AI160" s="1005">
        <f t="shared" ref="AI160:AQ160" ca="1" si="128">IFERROR(AI69/SUM($AI69:$AQ69),0)</f>
        <v>0.4738573198037806</v>
      </c>
      <c r="AJ160" s="1005">
        <f t="shared" ca="1" si="128"/>
        <v>3.4422686746953979E-2</v>
      </c>
      <c r="AK160" s="1005">
        <f t="shared" ca="1" si="128"/>
        <v>5.7473284005950247E-2</v>
      </c>
      <c r="AL160" s="1005">
        <f t="shared" ca="1" si="128"/>
        <v>1.9649752929100543E-2</v>
      </c>
      <c r="AM160" s="1005">
        <f t="shared" ca="1" si="128"/>
        <v>4.7248743798452474E-2</v>
      </c>
      <c r="AN160" s="1005">
        <f t="shared" ca="1" si="128"/>
        <v>5.7280123772539104E-2</v>
      </c>
      <c r="AO160" s="1005">
        <f t="shared" ca="1" si="128"/>
        <v>0.1438969040070005</v>
      </c>
      <c r="AP160" s="1005">
        <f t="shared" ca="1" si="128"/>
        <v>6.9286997647534571E-2</v>
      </c>
      <c r="AQ160" s="1005">
        <f t="shared" ca="1" si="128"/>
        <v>9.6884187288687987E-2</v>
      </c>
    </row>
    <row r="161" spans="5:43">
      <c r="E161" s="1005"/>
      <c r="F161" s="1005"/>
      <c r="G161" s="1005"/>
      <c r="H161" s="1005"/>
      <c r="I161" s="1005"/>
      <c r="J161" s="1005"/>
      <c r="K161" s="972">
        <v>42277</v>
      </c>
      <c r="L161" s="765">
        <f t="shared" ca="1" si="54"/>
        <v>4.8495529813120104</v>
      </c>
      <c r="M161" s="765">
        <v>7.2711183570638598</v>
      </c>
      <c r="N161" s="1244">
        <f t="shared" si="55"/>
        <v>41547</v>
      </c>
      <c r="O161" s="1005"/>
      <c r="P161" s="1005"/>
      <c r="Q161" s="1005"/>
      <c r="R161" s="1005"/>
      <c r="S161" s="1005"/>
      <c r="T161" s="1005"/>
      <c r="U161" s="1005"/>
      <c r="V161" s="1005"/>
      <c r="W161" s="1005"/>
      <c r="AI161" s="1005">
        <f t="shared" ref="AI161:AQ161" ca="1" si="129">IFERROR(AI70/SUM($AI70:$AQ70),0)</f>
        <v>0.48079542962706484</v>
      </c>
      <c r="AJ161" s="1005">
        <f t="shared" ca="1" si="129"/>
        <v>3.3472723572895394E-2</v>
      </c>
      <c r="AK161" s="1005">
        <f t="shared" ca="1" si="129"/>
        <v>5.372835697459221E-2</v>
      </c>
      <c r="AL161" s="1005">
        <f t="shared" ca="1" si="129"/>
        <v>1.9322145541293103E-2</v>
      </c>
      <c r="AM161" s="1005">
        <f t="shared" ca="1" si="129"/>
        <v>4.9267510576418455E-2</v>
      </c>
      <c r="AN161" s="1005">
        <f t="shared" ca="1" si="129"/>
        <v>6.1200620967100924E-2</v>
      </c>
      <c r="AO161" s="1005">
        <f t="shared" ca="1" si="129"/>
        <v>0.14786358238378602</v>
      </c>
      <c r="AP161" s="1005">
        <f t="shared" ca="1" si="129"/>
        <v>6.6583909388194376E-2</v>
      </c>
      <c r="AQ161" s="1005">
        <f t="shared" ca="1" si="129"/>
        <v>8.7765720968654676E-2</v>
      </c>
    </row>
    <row r="162" spans="5:43">
      <c r="E162" s="1005"/>
      <c r="F162" s="1005"/>
      <c r="G162" s="1005"/>
      <c r="H162" s="1005"/>
      <c r="I162" s="1005"/>
      <c r="J162" s="1005"/>
      <c r="K162" s="973">
        <v>42369</v>
      </c>
      <c r="L162" s="765">
        <f t="shared" ca="1" si="54"/>
        <v>4.2105512875408202</v>
      </c>
      <c r="M162" s="765">
        <v>7.1603280818444901</v>
      </c>
      <c r="N162" s="1244">
        <f t="shared" si="55"/>
        <v>41639</v>
      </c>
      <c r="O162" s="1005"/>
      <c r="P162" s="1005"/>
      <c r="Q162" s="1005"/>
      <c r="R162" s="1005"/>
      <c r="S162" s="1005"/>
      <c r="T162" s="1005"/>
      <c r="U162" s="1005"/>
      <c r="V162" s="1005"/>
      <c r="W162" s="1005"/>
      <c r="AI162" s="1005">
        <f t="shared" ref="AI162:AQ162" ca="1" si="130">IFERROR(AI71/SUM($AI71:$AQ71),0)</f>
        <v>0.48141334418310294</v>
      </c>
      <c r="AJ162" s="1005">
        <f t="shared" ca="1" si="130"/>
        <v>3.1711233285742789E-2</v>
      </c>
      <c r="AK162" s="1005">
        <f t="shared" ca="1" si="130"/>
        <v>5.5448924657697823E-2</v>
      </c>
      <c r="AL162" s="1005">
        <f t="shared" ca="1" si="130"/>
        <v>2.1439994374862544E-2</v>
      </c>
      <c r="AM162" s="1005">
        <f t="shared" ca="1" si="130"/>
        <v>4.8691580861363049E-2</v>
      </c>
      <c r="AN162" s="1005">
        <f t="shared" ca="1" si="130"/>
        <v>6.0198374940342761E-2</v>
      </c>
      <c r="AO162" s="1005">
        <f t="shared" ca="1" si="130"/>
        <v>0.14634222077474712</v>
      </c>
      <c r="AP162" s="1005">
        <f t="shared" ca="1" si="130"/>
        <v>6.4986294073165599E-2</v>
      </c>
      <c r="AQ162" s="1005">
        <f t="shared" ca="1" si="130"/>
        <v>8.9768032848975263E-2</v>
      </c>
    </row>
    <row r="163" spans="5:43">
      <c r="E163" s="1005"/>
      <c r="F163" s="1005"/>
      <c r="G163" s="1005"/>
      <c r="H163" s="1005"/>
      <c r="I163" s="1005"/>
      <c r="J163" s="1005"/>
      <c r="K163" s="969">
        <v>42460</v>
      </c>
      <c r="L163" s="765">
        <f t="shared" ca="1" si="54"/>
        <v>5.7490231654047799</v>
      </c>
      <c r="M163" s="765">
        <v>7.8611620646486102</v>
      </c>
      <c r="N163" s="1244">
        <f t="shared" si="55"/>
        <v>41729</v>
      </c>
      <c r="O163" s="1005"/>
      <c r="P163" s="1005"/>
      <c r="Q163" s="1005"/>
      <c r="R163" s="1005"/>
      <c r="S163" s="1005"/>
      <c r="T163" s="1005"/>
      <c r="U163" s="1005"/>
      <c r="V163" s="1005"/>
      <c r="W163" s="1005"/>
      <c r="AI163" s="1005">
        <f t="shared" ref="AI163:AQ163" ca="1" si="131">IFERROR(AI72/SUM($AI72:$AQ72),0)</f>
        <v>0.4926214131735786</v>
      </c>
      <c r="AJ163" s="1005">
        <f t="shared" ca="1" si="131"/>
        <v>3.0904229025159553E-2</v>
      </c>
      <c r="AK163" s="1005">
        <f t="shared" ca="1" si="131"/>
        <v>5.5304982192421796E-2</v>
      </c>
      <c r="AL163" s="1005">
        <f t="shared" ca="1" si="131"/>
        <v>2.1841103195074475E-2</v>
      </c>
      <c r="AM163" s="1005">
        <f t="shared" ca="1" si="131"/>
        <v>5.032895067109449E-2</v>
      </c>
      <c r="AN163" s="1005">
        <f t="shared" ca="1" si="131"/>
        <v>5.8211920888510994E-2</v>
      </c>
      <c r="AO163" s="1005">
        <f t="shared" ca="1" si="131"/>
        <v>0.13969762233671121</v>
      </c>
      <c r="AP163" s="1005">
        <f t="shared" ca="1" si="131"/>
        <v>6.3198431209288364E-2</v>
      </c>
      <c r="AQ163" s="1005">
        <f t="shared" ca="1" si="131"/>
        <v>8.7891347308160658E-2</v>
      </c>
    </row>
    <row r="164" spans="5:43">
      <c r="E164" s="1005"/>
      <c r="F164" s="1005"/>
      <c r="G164" s="1005"/>
      <c r="H164" s="1005"/>
      <c r="I164" s="1005"/>
      <c r="J164" s="1005"/>
      <c r="K164" s="969">
        <v>42551</v>
      </c>
      <c r="L164" s="765">
        <f t="shared" ca="1" si="54"/>
        <v>6.0853859452360402</v>
      </c>
      <c r="M164" s="765">
        <v>7.4409689632156102</v>
      </c>
      <c r="N164" s="1244">
        <f t="shared" si="55"/>
        <v>41820</v>
      </c>
      <c r="O164" s="1005"/>
      <c r="P164" s="1005"/>
      <c r="Q164" s="1005"/>
      <c r="R164" s="1005"/>
      <c r="S164" s="1005"/>
      <c r="T164" s="1005"/>
      <c r="U164" s="1005"/>
      <c r="V164" s="1005"/>
      <c r="W164" s="1005"/>
      <c r="AI164" s="1005">
        <f t="shared" ref="AI164:AQ164" ca="1" si="132">IFERROR(AI73/SUM($AI73:$AQ73),0)</f>
        <v>0.4950746623696034</v>
      </c>
      <c r="AJ164" s="1005">
        <f t="shared" ca="1" si="132"/>
        <v>2.7738123485585225E-2</v>
      </c>
      <c r="AK164" s="1005">
        <f t="shared" ca="1" si="132"/>
        <v>5.5999164652437594E-2</v>
      </c>
      <c r="AL164" s="1005">
        <f t="shared" ca="1" si="132"/>
        <v>2.2305841458469134E-2</v>
      </c>
      <c r="AM164" s="1005">
        <f t="shared" ca="1" si="132"/>
        <v>5.3302293971763663E-2</v>
      </c>
      <c r="AN164" s="1005">
        <f t="shared" ca="1" si="132"/>
        <v>5.3431797183174201E-2</v>
      </c>
      <c r="AO164" s="1005">
        <f t="shared" ca="1" si="132"/>
        <v>0.14512215957456348</v>
      </c>
      <c r="AP164" s="1005">
        <f t="shared" ca="1" si="132"/>
        <v>6.1175511206042171E-2</v>
      </c>
      <c r="AQ164" s="1005">
        <f t="shared" ca="1" si="132"/>
        <v>8.5850446098361136E-2</v>
      </c>
    </row>
    <row r="165" spans="5:43">
      <c r="E165" s="1005"/>
      <c r="F165" s="1005"/>
      <c r="G165" s="1005"/>
      <c r="H165" s="1005"/>
      <c r="I165" s="1005"/>
      <c r="J165" s="1005"/>
      <c r="K165" s="969">
        <v>42643</v>
      </c>
      <c r="L165" s="765">
        <f t="shared" ca="1" si="54"/>
        <v>6.0318811415648197</v>
      </c>
      <c r="M165" s="765">
        <v>7.8806669581190301</v>
      </c>
      <c r="N165" s="1244">
        <f t="shared" si="55"/>
        <v>41912</v>
      </c>
      <c r="O165" s="1005"/>
      <c r="P165" s="1005"/>
      <c r="Q165" s="1005"/>
      <c r="R165" s="1005"/>
      <c r="S165" s="1005"/>
      <c r="T165" s="1005"/>
      <c r="U165" s="1005"/>
      <c r="V165" s="1005"/>
      <c r="W165" s="1005"/>
      <c r="AI165" s="1005">
        <f t="shared" ref="AI165:AQ165" ca="1" si="133">IFERROR(AI74/SUM($AI74:$AQ74),0)</f>
        <v>0.52650430644016211</v>
      </c>
      <c r="AJ165" s="1005">
        <f t="shared" ca="1" si="133"/>
        <v>2.6510228937292026E-2</v>
      </c>
      <c r="AK165" s="1005">
        <f t="shared" ca="1" si="133"/>
        <v>5.1126963841384342E-2</v>
      </c>
      <c r="AL165" s="1005">
        <f t="shared" ca="1" si="133"/>
        <v>2.0032611960682553E-2</v>
      </c>
      <c r="AM165" s="1005">
        <f t="shared" ca="1" si="133"/>
        <v>4.9016645766205506E-2</v>
      </c>
      <c r="AN165" s="1005">
        <f t="shared" ca="1" si="133"/>
        <v>4.5565294244370828E-2</v>
      </c>
      <c r="AO165" s="1005">
        <f t="shared" ca="1" si="133"/>
        <v>0.14031646313630283</v>
      </c>
      <c r="AP165" s="1005">
        <f t="shared" ca="1" si="133"/>
        <v>5.7200940876706741E-2</v>
      </c>
      <c r="AQ165" s="1005">
        <f t="shared" ca="1" si="133"/>
        <v>8.3726544796893024E-2</v>
      </c>
    </row>
    <row r="166" spans="5:43">
      <c r="E166" s="1005"/>
      <c r="F166" s="1005"/>
      <c r="G166" s="1005"/>
      <c r="H166" s="1005"/>
      <c r="I166" s="1005"/>
      <c r="J166" s="1005"/>
      <c r="K166" s="969">
        <v>42735</v>
      </c>
      <c r="L166" s="765">
        <f t="shared" ca="1" si="54"/>
        <v>6.5684517590041196</v>
      </c>
      <c r="M166" s="765">
        <v>8.2584597768041892</v>
      </c>
      <c r="N166" s="1244">
        <f t="shared" si="55"/>
        <v>42004</v>
      </c>
      <c r="O166" s="1005"/>
      <c r="P166" s="1005"/>
      <c r="Q166" s="1005"/>
      <c r="R166" s="1005"/>
      <c r="S166" s="1005"/>
      <c r="T166" s="1005"/>
      <c r="U166" s="1005"/>
      <c r="V166" s="1005"/>
      <c r="W166" s="1005"/>
      <c r="AI166" s="1005">
        <f t="shared" ref="AI166:AQ166" ca="1" si="134">IFERROR(AI75/SUM($AI75:$AQ75),0)</f>
        <v>0.51549731880519878</v>
      </c>
      <c r="AJ166" s="1005">
        <f t="shared" ca="1" si="134"/>
        <v>3.1490912343170634E-2</v>
      </c>
      <c r="AK166" s="1005">
        <f t="shared" ca="1" si="134"/>
        <v>5.1389005090439116E-2</v>
      </c>
      <c r="AL166" s="1005">
        <f t="shared" ca="1" si="134"/>
        <v>2.0284635925420694E-2</v>
      </c>
      <c r="AM166" s="1005">
        <f t="shared" ca="1" si="134"/>
        <v>4.5473480558484651E-2</v>
      </c>
      <c r="AN166" s="1005">
        <f t="shared" ca="1" si="134"/>
        <v>4.8089485660384082E-2</v>
      </c>
      <c r="AO166" s="1005">
        <f t="shared" ca="1" si="134"/>
        <v>0.15435283352692716</v>
      </c>
      <c r="AP166" s="1005">
        <f t="shared" ca="1" si="134"/>
        <v>5.9209970007459693E-2</v>
      </c>
      <c r="AQ166" s="1005">
        <f t="shared" ca="1" si="134"/>
        <v>7.4212358082515265E-2</v>
      </c>
    </row>
    <row r="167" spans="5:43">
      <c r="E167" s="1005"/>
      <c r="F167" s="1005"/>
      <c r="G167" s="1005"/>
      <c r="H167" s="1005"/>
      <c r="I167" s="1005"/>
      <c r="J167" s="1005"/>
      <c r="K167" s="969">
        <v>42825</v>
      </c>
      <c r="L167" s="765">
        <f t="shared" ca="1" si="54"/>
        <v>6.9702365393921504</v>
      </c>
      <c r="M167" s="765">
        <v>8.1286033293183397</v>
      </c>
      <c r="N167" s="1244">
        <f t="shared" si="55"/>
        <v>42094</v>
      </c>
      <c r="O167" s="1005"/>
      <c r="P167" s="1005"/>
      <c r="Q167" s="1005"/>
      <c r="R167" s="1005"/>
      <c r="S167" s="1005"/>
      <c r="T167" s="1005"/>
      <c r="U167" s="1005"/>
      <c r="V167" s="1005"/>
      <c r="W167" s="1005"/>
      <c r="AI167" s="1005">
        <f t="shared" ref="AI167:AQ167" ca="1" si="135">IFERROR(AI76/SUM($AI76:$AQ76),0)</f>
        <v>0.48771158626164163</v>
      </c>
      <c r="AJ167" s="1005">
        <f t="shared" ca="1" si="135"/>
        <v>5.0458999345616047E-2</v>
      </c>
      <c r="AK167" s="1005">
        <f t="shared" ca="1" si="135"/>
        <v>4.9413149484377784E-2</v>
      </c>
      <c r="AL167" s="1005">
        <f t="shared" ca="1" si="135"/>
        <v>2.0298412762223387E-2</v>
      </c>
      <c r="AM167" s="1005">
        <f t="shared" ca="1" si="135"/>
        <v>4.5570990038117341E-2</v>
      </c>
      <c r="AN167" s="1005">
        <f t="shared" ca="1" si="135"/>
        <v>4.4412222127063784E-2</v>
      </c>
      <c r="AO167" s="1005">
        <f t="shared" ca="1" si="135"/>
        <v>0.15964469627462202</v>
      </c>
      <c r="AP167" s="1005">
        <f t="shared" ca="1" si="135"/>
        <v>5.5489159280454795E-2</v>
      </c>
      <c r="AQ167" s="1005">
        <f t="shared" ca="1" si="135"/>
        <v>8.7000784425883271E-2</v>
      </c>
    </row>
    <row r="168" spans="5:43">
      <c r="E168" s="1005"/>
      <c r="F168" s="1005"/>
      <c r="G168" s="1005"/>
      <c r="H168" s="1005"/>
      <c r="I168" s="1005"/>
      <c r="J168" s="1005"/>
      <c r="K168" s="969">
        <v>42916</v>
      </c>
      <c r="L168" s="765">
        <f t="shared" ca="1" si="54"/>
        <v>6.8798223790928201</v>
      </c>
      <c r="M168" s="765">
        <v>8.3615309094421608</v>
      </c>
      <c r="N168" s="1244">
        <f t="shared" si="55"/>
        <v>42185</v>
      </c>
      <c r="O168" s="1005"/>
      <c r="P168" s="1005"/>
      <c r="Q168" s="1005"/>
      <c r="R168" s="1005"/>
      <c r="S168" s="1005"/>
      <c r="T168" s="1005"/>
      <c r="U168" s="1005"/>
      <c r="V168" s="1005"/>
      <c r="W168" s="1005"/>
      <c r="AI168" s="1005">
        <f t="shared" ref="AI168:AQ168" ca="1" si="136">IFERROR(AI77/SUM($AI77:$AQ77),0)</f>
        <v>0.48743582429009152</v>
      </c>
      <c r="AJ168" s="1005">
        <f t="shared" ca="1" si="136"/>
        <v>4.8164456540567557E-2</v>
      </c>
      <c r="AK168" s="1005">
        <f t="shared" ca="1" si="136"/>
        <v>5.17603711226284E-2</v>
      </c>
      <c r="AL168" s="1005">
        <f t="shared" ca="1" si="136"/>
        <v>1.8946211258640058E-2</v>
      </c>
      <c r="AM168" s="1005">
        <f t="shared" ca="1" si="136"/>
        <v>4.3792504029549095E-2</v>
      </c>
      <c r="AN168" s="1005">
        <f t="shared" ca="1" si="136"/>
        <v>4.0375775747490586E-2</v>
      </c>
      <c r="AO168" s="1005">
        <f t="shared" ca="1" si="136"/>
        <v>0.15845653854657846</v>
      </c>
      <c r="AP168" s="1005">
        <f t="shared" ca="1" si="136"/>
        <v>5.873172015141203E-2</v>
      </c>
      <c r="AQ168" s="1005">
        <f t="shared" ca="1" si="136"/>
        <v>9.2336598313042167E-2</v>
      </c>
    </row>
    <row r="169" spans="5:43">
      <c r="E169" s="1005"/>
      <c r="F169" s="1005"/>
      <c r="G169" s="1005"/>
      <c r="H169" s="1005"/>
      <c r="I169" s="1005"/>
      <c r="J169" s="1005"/>
      <c r="K169" s="969">
        <v>43008</v>
      </c>
      <c r="L169" s="765">
        <f t="shared" ca="1" si="54"/>
        <v>7.1261167879991296</v>
      </c>
      <c r="M169" s="765">
        <v>8.5433213500236693</v>
      </c>
      <c r="N169" s="1244">
        <f t="shared" si="55"/>
        <v>42277</v>
      </c>
      <c r="O169" s="1005"/>
      <c r="P169" s="1005"/>
      <c r="Q169" s="1005"/>
      <c r="R169" s="1005"/>
      <c r="S169" s="1005"/>
      <c r="T169" s="1005"/>
      <c r="U169" s="1005"/>
      <c r="V169" s="1005"/>
      <c r="W169" s="1005"/>
      <c r="AI169" s="1005">
        <f t="shared" ref="AI169:AQ169" ca="1" si="137">IFERROR(AI78/SUM($AI78:$AQ78),0)</f>
        <v>0.52352750871336295</v>
      </c>
      <c r="AJ169" s="1005">
        <f t="shared" ca="1" si="137"/>
        <v>4.5124084733972301E-2</v>
      </c>
      <c r="AK169" s="1005">
        <f t="shared" ca="1" si="137"/>
        <v>4.908969170394261E-2</v>
      </c>
      <c r="AL169" s="1005">
        <f t="shared" ca="1" si="137"/>
        <v>1.8768116100001897E-2</v>
      </c>
      <c r="AM169" s="1005">
        <f t="shared" ca="1" si="137"/>
        <v>3.8282224154065791E-2</v>
      </c>
      <c r="AN169" s="1005">
        <f t="shared" ca="1" si="137"/>
        <v>3.7068491080642037E-2</v>
      </c>
      <c r="AO169" s="1005">
        <f t="shared" ca="1" si="137"/>
        <v>0.1509111781171687</v>
      </c>
      <c r="AP169" s="1005">
        <f t="shared" ca="1" si="137"/>
        <v>5.154902873463213E-2</v>
      </c>
      <c r="AQ169" s="1005">
        <f t="shared" ca="1" si="137"/>
        <v>8.567967666221174E-2</v>
      </c>
    </row>
    <row r="170" spans="5:43">
      <c r="E170" s="1005"/>
      <c r="F170" s="1005"/>
      <c r="G170" s="1005"/>
      <c r="H170" s="1005"/>
      <c r="I170" s="1005"/>
      <c r="J170" s="1005"/>
      <c r="K170" s="969">
        <v>43100</v>
      </c>
      <c r="L170" s="765">
        <f t="shared" ca="1" si="54"/>
        <v>6.8130576744040798</v>
      </c>
      <c r="M170" s="765">
        <v>8.9477286757746892</v>
      </c>
      <c r="N170" s="1244">
        <f t="shared" si="55"/>
        <v>42369</v>
      </c>
      <c r="O170" s="1005"/>
      <c r="P170" s="1005"/>
      <c r="Q170" s="1005"/>
      <c r="R170" s="1005"/>
      <c r="S170" s="1005"/>
      <c r="T170" s="1005"/>
      <c r="U170" s="1005"/>
      <c r="V170" s="1005"/>
      <c r="W170" s="1005"/>
      <c r="AI170" s="1005">
        <f t="shared" ref="AI170:AQ170" ca="1" si="138">IFERROR(AI79/SUM($AI79:$AQ79),0)</f>
        <v>0.53629761479653415</v>
      </c>
      <c r="AJ170" s="1005">
        <f t="shared" ca="1" si="138"/>
        <v>4.9912025058823237E-2</v>
      </c>
      <c r="AK170" s="1005">
        <f t="shared" ca="1" si="138"/>
        <v>4.6269462273264055E-2</v>
      </c>
      <c r="AL170" s="1005">
        <f t="shared" ca="1" si="138"/>
        <v>1.6138316516600363E-2</v>
      </c>
      <c r="AM170" s="1005">
        <f t="shared" ca="1" si="138"/>
        <v>3.5415309247742256E-2</v>
      </c>
      <c r="AN170" s="1005">
        <f t="shared" ca="1" si="138"/>
        <v>3.5292874045368669E-2</v>
      </c>
      <c r="AO170" s="1005">
        <f t="shared" ca="1" si="138"/>
        <v>0.14550921945233466</v>
      </c>
      <c r="AP170" s="1005">
        <f t="shared" ca="1" si="138"/>
        <v>5.1051278687894268E-2</v>
      </c>
      <c r="AQ170" s="1005">
        <f t="shared" ca="1" si="138"/>
        <v>8.4113899921438223E-2</v>
      </c>
    </row>
    <row r="171" spans="5:43">
      <c r="E171" s="1005"/>
      <c r="F171" s="1005"/>
      <c r="G171" s="1005"/>
      <c r="H171" s="1005"/>
      <c r="I171" s="1005"/>
      <c r="J171" s="1005"/>
      <c r="K171" s="969">
        <v>43190</v>
      </c>
      <c r="L171" s="765">
        <f t="shared" ca="1" si="54"/>
        <v>6.8744490549253499</v>
      </c>
      <c r="M171" s="765">
        <v>9.2461479850569592</v>
      </c>
      <c r="N171" s="1244">
        <f t="shared" si="55"/>
        <v>42460</v>
      </c>
      <c r="O171" s="1005"/>
      <c r="P171" s="1005"/>
      <c r="Q171" s="1005"/>
      <c r="R171" s="1005"/>
      <c r="S171" s="1005"/>
      <c r="T171" s="1005"/>
      <c r="U171" s="1005"/>
      <c r="V171" s="1005"/>
      <c r="W171" s="1005"/>
      <c r="AI171" s="1005">
        <f t="shared" ref="AI171:AQ171" ca="1" si="139">IFERROR(AI80/SUM($AI80:$AQ80),0)</f>
        <v>0.5129537023711479</v>
      </c>
      <c r="AJ171" s="1005">
        <f t="shared" ca="1" si="139"/>
        <v>5.5285429499177044E-2</v>
      </c>
      <c r="AK171" s="1005">
        <f t="shared" ca="1" si="139"/>
        <v>4.5351723551479532E-2</v>
      </c>
      <c r="AL171" s="1005">
        <f t="shared" ca="1" si="139"/>
        <v>1.8896444961878801E-2</v>
      </c>
      <c r="AM171" s="1005">
        <f t="shared" ca="1" si="139"/>
        <v>3.734085447175526E-2</v>
      </c>
      <c r="AN171" s="1005">
        <f t="shared" ca="1" si="139"/>
        <v>3.7783523384282779E-2</v>
      </c>
      <c r="AO171" s="1005">
        <f t="shared" ca="1" si="139"/>
        <v>0.14588621534522811</v>
      </c>
      <c r="AP171" s="1005">
        <f t="shared" ca="1" si="139"/>
        <v>6.5170235158358972E-2</v>
      </c>
      <c r="AQ171" s="1005">
        <f t="shared" ca="1" si="139"/>
        <v>8.1331871256691696E-2</v>
      </c>
    </row>
    <row r="172" spans="5:43">
      <c r="E172" s="1005"/>
      <c r="F172" s="1005"/>
      <c r="G172" s="1005"/>
      <c r="H172" s="1005"/>
      <c r="I172" s="1005"/>
      <c r="J172" s="1005"/>
      <c r="K172" s="969">
        <v>43281</v>
      </c>
      <c r="L172" s="765">
        <f t="shared" ca="1" si="54"/>
        <v>6.8942844322837598</v>
      </c>
      <c r="M172" s="765">
        <v>8.5354105219265808</v>
      </c>
      <c r="N172" s="1244">
        <f t="shared" si="55"/>
        <v>42551</v>
      </c>
      <c r="O172" s="1005"/>
      <c r="P172" s="1005"/>
      <c r="Q172" s="1005"/>
      <c r="R172" s="1005"/>
      <c r="S172" s="1005"/>
      <c r="T172" s="1005"/>
      <c r="U172" s="1005"/>
      <c r="V172" s="1005"/>
      <c r="W172" s="1005"/>
      <c r="AI172" s="1005">
        <f t="shared" ref="AI172:AQ172" ca="1" si="140">IFERROR(AI81/SUM($AI81:$AQ81),0)</f>
        <v>0.52812415799572665</v>
      </c>
      <c r="AJ172" s="1005">
        <f t="shared" ca="1" si="140"/>
        <v>5.6862172950151661E-2</v>
      </c>
      <c r="AK172" s="1005">
        <f t="shared" ca="1" si="140"/>
        <v>4.3863818910988138E-2</v>
      </c>
      <c r="AL172" s="1005">
        <f t="shared" ca="1" si="140"/>
        <v>1.6942862081985713E-2</v>
      </c>
      <c r="AM172" s="1005">
        <f t="shared" ca="1" si="140"/>
        <v>3.7725813372633511E-2</v>
      </c>
      <c r="AN172" s="1005">
        <f t="shared" ca="1" si="140"/>
        <v>3.7179931134688447E-2</v>
      </c>
      <c r="AO172" s="1005">
        <f t="shared" ca="1" si="140"/>
        <v>0.13869526665599086</v>
      </c>
      <c r="AP172" s="1005">
        <f t="shared" ca="1" si="140"/>
        <v>6.8584404382688799E-2</v>
      </c>
      <c r="AQ172" s="1005">
        <f t="shared" ca="1" si="140"/>
        <v>7.2021572515146084E-2</v>
      </c>
    </row>
    <row r="173" spans="5:43">
      <c r="E173" s="1005"/>
      <c r="F173" s="1005"/>
      <c r="G173" s="1005"/>
      <c r="H173" s="1005"/>
      <c r="I173" s="1005"/>
      <c r="J173" s="1005"/>
      <c r="K173" s="969">
        <v>43373</v>
      </c>
      <c r="L173" s="765">
        <f t="shared" ca="1" si="54"/>
        <v>6.2124315728994404</v>
      </c>
      <c r="M173" s="765">
        <v>7.5448281157362196</v>
      </c>
      <c r="N173" s="1244">
        <f t="shared" si="55"/>
        <v>42643</v>
      </c>
      <c r="O173" s="1005"/>
      <c r="P173" s="1005"/>
      <c r="Q173" s="1005"/>
      <c r="R173" s="1005"/>
      <c r="S173" s="1005"/>
      <c r="T173" s="1005"/>
      <c r="U173" s="1005"/>
      <c r="V173" s="1005"/>
      <c r="W173" s="1005"/>
      <c r="AI173" s="1005">
        <f t="shared" ref="AI173:AQ173" ca="1" si="141">IFERROR(AI82/SUM($AI82:$AQ82),0)</f>
        <v>0.52048931515000441</v>
      </c>
      <c r="AJ173" s="1005">
        <f t="shared" ca="1" si="141"/>
        <v>5.5086250699879137E-2</v>
      </c>
      <c r="AK173" s="1005">
        <f t="shared" ca="1" si="141"/>
        <v>4.3932958989440475E-2</v>
      </c>
      <c r="AL173" s="1005">
        <f t="shared" ca="1" si="141"/>
        <v>1.7341078646101449E-2</v>
      </c>
      <c r="AM173" s="1005">
        <f t="shared" ca="1" si="141"/>
        <v>4.0124443259410322E-2</v>
      </c>
      <c r="AN173" s="1005">
        <f t="shared" ca="1" si="141"/>
        <v>4.0926600889400401E-2</v>
      </c>
      <c r="AO173" s="1005">
        <f t="shared" ca="1" si="141"/>
        <v>0.13213858278593346</v>
      </c>
      <c r="AP173" s="1005">
        <f t="shared" ca="1" si="141"/>
        <v>7.0463428285223256E-2</v>
      </c>
      <c r="AQ173" s="1005">
        <f t="shared" ca="1" si="141"/>
        <v>7.9497341294607171E-2</v>
      </c>
    </row>
    <row r="174" spans="5:43">
      <c r="E174" s="1005"/>
      <c r="F174" s="1005"/>
      <c r="G174" s="1005"/>
      <c r="H174" s="1005"/>
      <c r="I174" s="1005"/>
      <c r="J174" s="1005"/>
      <c r="K174" s="969">
        <v>43465</v>
      </c>
      <c r="L174" s="765">
        <f t="shared" ca="1" si="54"/>
        <v>5.9414654646435103</v>
      </c>
      <c r="M174" s="765">
        <v>7.7196499070828004</v>
      </c>
      <c r="N174" s="1244">
        <f t="shared" si="55"/>
        <v>42735</v>
      </c>
      <c r="O174" s="1005"/>
      <c r="P174" s="1005"/>
      <c r="Q174" s="1005"/>
      <c r="R174" s="1005"/>
      <c r="S174" s="1005"/>
      <c r="T174" s="1005"/>
      <c r="U174" s="1005"/>
      <c r="V174" s="1005"/>
      <c r="W174" s="1005"/>
      <c r="AI174" s="1005">
        <f t="shared" ref="AI174:AQ174" ca="1" si="142">IFERROR(AI83/SUM($AI83:$AQ83),0)</f>
        <v>0.51459158922881265</v>
      </c>
      <c r="AJ174" s="1005">
        <f t="shared" ca="1" si="142"/>
        <v>5.975543813337985E-2</v>
      </c>
      <c r="AK174" s="1005">
        <f t="shared" ca="1" si="142"/>
        <v>4.1883673811457092E-2</v>
      </c>
      <c r="AL174" s="1005">
        <f t="shared" ca="1" si="142"/>
        <v>1.6773995695287224E-2</v>
      </c>
      <c r="AM174" s="1005">
        <f t="shared" ca="1" si="142"/>
        <v>4.1716269455075269E-2</v>
      </c>
      <c r="AN174" s="1005">
        <f t="shared" ca="1" si="142"/>
        <v>4.2297515253429771E-2</v>
      </c>
      <c r="AO174" s="1005">
        <f t="shared" ca="1" si="142"/>
        <v>0.12995971977543672</v>
      </c>
      <c r="AP174" s="1005">
        <f t="shared" ca="1" si="142"/>
        <v>7.2849462510021459E-2</v>
      </c>
      <c r="AQ174" s="1005">
        <f t="shared" ca="1" si="142"/>
        <v>8.0172336137099995E-2</v>
      </c>
    </row>
    <row r="175" spans="5:43">
      <c r="E175" s="1005"/>
      <c r="F175" s="1005"/>
      <c r="G175" s="1005"/>
      <c r="H175" s="1005"/>
      <c r="I175" s="1005"/>
      <c r="J175" s="1005"/>
      <c r="K175" s="969">
        <v>43555</v>
      </c>
      <c r="L175" s="765">
        <f t="shared" ca="1" si="54"/>
        <v>5.5007126555727899</v>
      </c>
      <c r="M175" s="765">
        <v>7.1041326552310702</v>
      </c>
      <c r="N175" s="1244">
        <f t="shared" si="55"/>
        <v>42825</v>
      </c>
      <c r="O175" s="1005"/>
      <c r="P175" s="1005"/>
      <c r="Q175" s="1005"/>
      <c r="R175" s="1005"/>
      <c r="S175" s="1005"/>
      <c r="T175" s="1005"/>
      <c r="U175" s="1005"/>
      <c r="V175" s="1005"/>
      <c r="W175" s="1005"/>
      <c r="AI175" s="1005">
        <f t="shared" ref="AI175:AQ175" ca="1" si="143">IFERROR(AI84/SUM($AI84:$AQ84),0)</f>
        <v>0.53254053717568994</v>
      </c>
      <c r="AJ175" s="1005">
        <f t="shared" ca="1" si="143"/>
        <v>5.4366925476233674E-2</v>
      </c>
      <c r="AK175" s="1005">
        <f t="shared" ca="1" si="143"/>
        <v>2.5386790899642787E-2</v>
      </c>
      <c r="AL175" s="1005">
        <f t="shared" ca="1" si="143"/>
        <v>1.8058853923775729E-2</v>
      </c>
      <c r="AM175" s="1005">
        <f t="shared" ca="1" si="143"/>
        <v>4.3063379153601034E-2</v>
      </c>
      <c r="AN175" s="1005">
        <f t="shared" ca="1" si="143"/>
        <v>4.9944145503517473E-2</v>
      </c>
      <c r="AO175" s="1005">
        <f t="shared" ca="1" si="143"/>
        <v>0.12862361185453564</v>
      </c>
      <c r="AP175" s="1005">
        <f t="shared" ca="1" si="143"/>
        <v>7.1874083886382389E-2</v>
      </c>
      <c r="AQ175" s="1005">
        <f t="shared" ca="1" si="143"/>
        <v>7.6141672126621429E-2</v>
      </c>
    </row>
    <row r="176" spans="5:43">
      <c r="E176" s="1005"/>
      <c r="F176" s="1005"/>
      <c r="G176" s="1005"/>
      <c r="H176" s="1005"/>
      <c r="I176" s="1005"/>
      <c r="J176" s="1005"/>
      <c r="K176" s="969">
        <v>43646</v>
      </c>
      <c r="L176" s="765">
        <f t="shared" ref="L176:L190" ca="1" si="144">AVERAGE(L93)</f>
        <v>5.8130342655910496</v>
      </c>
      <c r="M176" s="765">
        <v>6.8293388553292402</v>
      </c>
      <c r="N176" s="1244">
        <f t="shared" ref="N176:N198" si="145">C85</f>
        <v>42916</v>
      </c>
      <c r="O176" s="1005"/>
      <c r="P176" s="1005"/>
      <c r="Q176" s="1005"/>
      <c r="R176" s="1005"/>
      <c r="S176" s="1005"/>
      <c r="T176" s="1005"/>
      <c r="U176" s="1005"/>
      <c r="V176" s="1005"/>
      <c r="W176" s="1005"/>
      <c r="AI176" s="1005">
        <f t="shared" ref="AI176:AQ176" ca="1" si="146">IFERROR(AI85/SUM($AI85:$AQ85),0)</f>
        <v>0.5418392586957903</v>
      </c>
      <c r="AJ176" s="1005">
        <f t="shared" ca="1" si="146"/>
        <v>5.3664354112148829E-2</v>
      </c>
      <c r="AK176" s="1005">
        <f t="shared" ca="1" si="146"/>
        <v>2.5144467644836251E-2</v>
      </c>
      <c r="AL176" s="1005">
        <f t="shared" ca="1" si="146"/>
        <v>1.7200141422341067E-2</v>
      </c>
      <c r="AM176" s="1005">
        <f t="shared" ca="1" si="146"/>
        <v>4.0907397957327674E-2</v>
      </c>
      <c r="AN176" s="1005">
        <f t="shared" ca="1" si="146"/>
        <v>5.2688536214115053E-2</v>
      </c>
      <c r="AO176" s="1005">
        <f t="shared" ca="1" si="146"/>
        <v>0.12043734014307188</v>
      </c>
      <c r="AP176" s="1005">
        <f t="shared" ca="1" si="146"/>
        <v>7.0537395906101599E-2</v>
      </c>
      <c r="AQ176" s="1005">
        <f t="shared" ca="1" si="146"/>
        <v>7.7581107904267296E-2</v>
      </c>
    </row>
    <row r="177" spans="5:43">
      <c r="E177" s="1005"/>
      <c r="F177" s="1005"/>
      <c r="G177" s="1005"/>
      <c r="H177" s="1005"/>
      <c r="I177" s="1005"/>
      <c r="J177" s="1005"/>
      <c r="K177" s="969">
        <v>43738</v>
      </c>
      <c r="L177" s="765">
        <f t="shared" ca="1" si="144"/>
        <v>6.4062423503781698</v>
      </c>
      <c r="M177" s="765">
        <v>8.0806416947550908</v>
      </c>
      <c r="N177" s="1244">
        <f t="shared" si="145"/>
        <v>43008</v>
      </c>
      <c r="O177" s="1005"/>
      <c r="P177" s="1005"/>
      <c r="Q177" s="1005"/>
      <c r="R177" s="1005"/>
      <c r="S177" s="1005"/>
      <c r="T177" s="1005"/>
      <c r="U177" s="1005"/>
      <c r="V177" s="1005"/>
      <c r="W177" s="1005"/>
      <c r="AI177" s="1005">
        <f t="shared" ref="AI177:AQ177" ca="1" si="147">IFERROR(AI86/SUM($AI86:$AQ86),0)</f>
        <v>0.54819467677325218</v>
      </c>
      <c r="AJ177" s="1005">
        <f t="shared" ca="1" si="147"/>
        <v>6.0893375078565626E-2</v>
      </c>
      <c r="AK177" s="1005">
        <f t="shared" ca="1" si="147"/>
        <v>2.4456404021114771E-2</v>
      </c>
      <c r="AL177" s="1005">
        <f t="shared" ca="1" si="147"/>
        <v>1.8038014709803523E-2</v>
      </c>
      <c r="AM177" s="1005">
        <f t="shared" ca="1" si="147"/>
        <v>3.8729829582225081E-2</v>
      </c>
      <c r="AN177" s="1005">
        <f t="shared" ca="1" si="147"/>
        <v>5.3406756252827599E-2</v>
      </c>
      <c r="AO177" s="1005">
        <f t="shared" ca="1" si="147"/>
        <v>0.11949770066620369</v>
      </c>
      <c r="AP177" s="1005">
        <f t="shared" ca="1" si="147"/>
        <v>6.2833474315653462E-2</v>
      </c>
      <c r="AQ177" s="1005">
        <f t="shared" ca="1" si="147"/>
        <v>7.3949768600353849E-2</v>
      </c>
    </row>
    <row r="178" spans="5:43">
      <c r="E178" s="1005"/>
      <c r="F178" s="1005"/>
      <c r="G178" s="1005"/>
      <c r="H178" s="1005"/>
      <c r="I178" s="1005"/>
      <c r="J178" s="1005"/>
      <c r="K178" s="969">
        <v>43830</v>
      </c>
      <c r="L178" s="765">
        <f t="shared" ca="1" si="144"/>
        <v>6.20280088419445</v>
      </c>
      <c r="M178" s="765">
        <v>8.1025042109024508</v>
      </c>
      <c r="N178" s="1244">
        <f t="shared" si="145"/>
        <v>43100</v>
      </c>
      <c r="O178" s="1005"/>
      <c r="P178" s="1005"/>
      <c r="Q178" s="1005"/>
      <c r="R178" s="1005"/>
      <c r="S178" s="1005"/>
      <c r="T178" s="1005"/>
      <c r="U178" s="1005"/>
      <c r="V178" s="1005"/>
      <c r="W178" s="1005"/>
      <c r="AI178" s="1005">
        <f t="shared" ref="AI178:AQ178" ca="1" si="148">IFERROR(AI87/SUM($AI87:$AQ87),0)</f>
        <v>0.55936961390511075</v>
      </c>
      <c r="AJ178" s="1005">
        <f t="shared" ca="1" si="148"/>
        <v>5.0029465762107359E-2</v>
      </c>
      <c r="AK178" s="1005">
        <f t="shared" ca="1" si="148"/>
        <v>2.570234963307505E-2</v>
      </c>
      <c r="AL178" s="1005">
        <f t="shared" ca="1" si="148"/>
        <v>1.7026051526506977E-2</v>
      </c>
      <c r="AM178" s="1005">
        <f t="shared" ca="1" si="148"/>
        <v>4.1333585926126626E-2</v>
      </c>
      <c r="AN178" s="1005">
        <f t="shared" ca="1" si="148"/>
        <v>4.9409087230097584E-2</v>
      </c>
      <c r="AO178" s="1005">
        <f t="shared" ca="1" si="148"/>
        <v>0.11917170629309926</v>
      </c>
      <c r="AP178" s="1005">
        <f t="shared" ca="1" si="148"/>
        <v>5.9285764221877056E-2</v>
      </c>
      <c r="AQ178" s="1005">
        <f t="shared" ca="1" si="148"/>
        <v>7.8672375501999625E-2</v>
      </c>
    </row>
    <row r="179" spans="5:43">
      <c r="E179" s="1005"/>
      <c r="F179" s="1005"/>
      <c r="G179" s="1005"/>
      <c r="H179" s="1005"/>
      <c r="I179" s="1005"/>
      <c r="J179" s="1005"/>
      <c r="K179" s="969">
        <v>43921</v>
      </c>
      <c r="L179" s="765">
        <f t="shared" ca="1" si="144"/>
        <v>5.3169568633144602</v>
      </c>
      <c r="M179" s="765">
        <v>7.7360333434325597</v>
      </c>
      <c r="N179" s="1244">
        <f t="shared" si="145"/>
        <v>43190</v>
      </c>
      <c r="O179" s="1005"/>
      <c r="P179" s="1005"/>
      <c r="Q179" s="1005"/>
      <c r="R179" s="1005"/>
      <c r="S179" s="1005"/>
      <c r="T179" s="1005"/>
      <c r="U179" s="1005"/>
      <c r="V179" s="1005"/>
      <c r="W179" s="1005"/>
      <c r="AI179" s="1005">
        <f t="shared" ref="AI179:AQ179" ca="1" si="149">IFERROR(AI88/SUM($AI88:$AQ88),0)</f>
        <v>0.53247491920421175</v>
      </c>
      <c r="AJ179" s="1005">
        <f t="shared" ca="1" si="149"/>
        <v>4.8857549608766683E-2</v>
      </c>
      <c r="AK179" s="1005">
        <f t="shared" ca="1" si="149"/>
        <v>2.8776057153697045E-2</v>
      </c>
      <c r="AL179" s="1005">
        <f t="shared" ca="1" si="149"/>
        <v>1.8581656417306962E-2</v>
      </c>
      <c r="AM179" s="1005">
        <f t="shared" ca="1" si="149"/>
        <v>4.2803294550953434E-2</v>
      </c>
      <c r="AN179" s="1005">
        <f t="shared" ca="1" si="149"/>
        <v>6.0993071385921013E-2</v>
      </c>
      <c r="AO179" s="1005">
        <f t="shared" ca="1" si="149"/>
        <v>0.11497311215350835</v>
      </c>
      <c r="AP179" s="1005">
        <f t="shared" ca="1" si="149"/>
        <v>6.3141943977359116E-2</v>
      </c>
      <c r="AQ179" s="1005">
        <f t="shared" ca="1" si="149"/>
        <v>8.9398395548275778E-2</v>
      </c>
    </row>
    <row r="180" spans="5:43">
      <c r="E180" s="1005"/>
      <c r="F180" s="1005"/>
      <c r="G180" s="1005"/>
      <c r="H180" s="1005"/>
      <c r="I180" s="1005"/>
      <c r="J180" s="1005"/>
      <c r="K180" s="969">
        <v>44012</v>
      </c>
      <c r="L180" s="765">
        <f t="shared" ca="1" si="144"/>
        <v>5.5115238940717104</v>
      </c>
      <c r="M180" s="765">
        <v>8.5137936424066005</v>
      </c>
      <c r="N180" s="1244">
        <f t="shared" si="145"/>
        <v>43281</v>
      </c>
      <c r="O180" s="1005"/>
      <c r="P180" s="1005"/>
      <c r="Q180" s="1005"/>
      <c r="R180" s="1005"/>
      <c r="S180" s="1005"/>
      <c r="T180" s="1005"/>
      <c r="U180" s="1005"/>
      <c r="V180" s="1005"/>
      <c r="W180" s="1005"/>
      <c r="AI180" s="1005">
        <f t="shared" ref="AI180:AQ180" ca="1" si="150">IFERROR(AI89/SUM($AI89:$AQ89),0)</f>
        <v>0.52806586822397594</v>
      </c>
      <c r="AJ180" s="1005">
        <f t="shared" ca="1" si="150"/>
        <v>4.6683815373428861E-2</v>
      </c>
      <c r="AK180" s="1005">
        <f t="shared" ca="1" si="150"/>
        <v>3.1286711721343272E-2</v>
      </c>
      <c r="AL180" s="1005">
        <f t="shared" ca="1" si="150"/>
        <v>1.9113452177525376E-2</v>
      </c>
      <c r="AM180" s="1005">
        <f t="shared" ca="1" si="150"/>
        <v>4.4788597135815213E-2</v>
      </c>
      <c r="AN180" s="1005">
        <f t="shared" ca="1" si="150"/>
        <v>5.8522005925088022E-2</v>
      </c>
      <c r="AO180" s="1005">
        <f t="shared" ca="1" si="150"/>
        <v>0.1225609189861761</v>
      </c>
      <c r="AP180" s="1005">
        <f t="shared" ca="1" si="150"/>
        <v>6.4784497758570717E-2</v>
      </c>
      <c r="AQ180" s="1005">
        <f t="shared" ca="1" si="150"/>
        <v>8.419413269807656E-2</v>
      </c>
    </row>
    <row r="181" spans="5:43">
      <c r="E181" s="1005"/>
      <c r="F181" s="1005"/>
      <c r="G181" s="1005"/>
      <c r="H181" s="1005"/>
      <c r="I181" s="1005"/>
      <c r="J181" s="1005"/>
      <c r="K181" s="969">
        <v>44104</v>
      </c>
      <c r="L181" s="765">
        <f t="shared" ca="1" si="144"/>
        <v>5.7731671959729596</v>
      </c>
      <c r="M181" s="765">
        <v>9.4849104948247795</v>
      </c>
      <c r="N181" s="1244">
        <f t="shared" si="145"/>
        <v>43373</v>
      </c>
      <c r="O181" s="1005"/>
      <c r="P181" s="1005"/>
      <c r="Q181" s="1005"/>
      <c r="R181" s="1005"/>
      <c r="S181" s="1005"/>
      <c r="T181" s="1005"/>
      <c r="U181" s="1005"/>
      <c r="V181" s="1005"/>
      <c r="W181" s="1005"/>
      <c r="AI181" s="1005">
        <f t="shared" ref="AI181:AQ181" ca="1" si="151">IFERROR(AI90/SUM($AI90:$AQ90),0)</f>
        <v>0.54301793939443876</v>
      </c>
      <c r="AJ181" s="1005">
        <f t="shared" ca="1" si="151"/>
        <v>5.0688512757179116E-2</v>
      </c>
      <c r="AK181" s="1005">
        <f t="shared" ca="1" si="151"/>
        <v>3.172351261301716E-2</v>
      </c>
      <c r="AL181" s="1005">
        <f t="shared" ca="1" si="151"/>
        <v>1.6273588154979066E-2</v>
      </c>
      <c r="AM181" s="1005">
        <f t="shared" ca="1" si="151"/>
        <v>3.5885033877063613E-2</v>
      </c>
      <c r="AN181" s="1005">
        <f t="shared" ca="1" si="151"/>
        <v>5.7864318754810053E-2</v>
      </c>
      <c r="AO181" s="1005">
        <f t="shared" ca="1" si="151"/>
        <v>0.12533849971227276</v>
      </c>
      <c r="AP181" s="1005">
        <f t="shared" ca="1" si="151"/>
        <v>6.2096210727114368E-2</v>
      </c>
      <c r="AQ181" s="1005">
        <f t="shared" ca="1" si="151"/>
        <v>7.7112384009124971E-2</v>
      </c>
    </row>
    <row r="182" spans="5:43">
      <c r="E182" s="1005"/>
      <c r="F182" s="1005"/>
      <c r="G182" s="1005"/>
      <c r="H182" s="1005"/>
      <c r="I182" s="1005"/>
      <c r="J182" s="1005"/>
      <c r="K182" s="969">
        <v>44196</v>
      </c>
      <c r="L182" s="765">
        <f t="shared" ca="1" si="144"/>
        <v>6.2284241590031302</v>
      </c>
      <c r="M182" s="765">
        <v>9.8442805486113105</v>
      </c>
      <c r="N182" s="1244">
        <f t="shared" si="145"/>
        <v>43465</v>
      </c>
      <c r="O182" s="1005"/>
      <c r="P182" s="1005"/>
      <c r="Q182" s="1005"/>
      <c r="R182" s="1005"/>
      <c r="S182" s="1005"/>
      <c r="T182" s="1005"/>
      <c r="U182" s="1005"/>
      <c r="V182" s="1005"/>
      <c r="W182" s="1005"/>
      <c r="AI182" s="1005">
        <f t="shared" ref="AI182:AQ182" ca="1" si="152">IFERROR(AI91/SUM($AI91:$AQ91),0)</f>
        <v>0.5568791248656435</v>
      </c>
      <c r="AJ182" s="1005">
        <f t="shared" ca="1" si="152"/>
        <v>4.1944266911220322E-2</v>
      </c>
      <c r="AK182" s="1005">
        <f t="shared" ca="1" si="152"/>
        <v>3.1366465456916619E-2</v>
      </c>
      <c r="AL182" s="1005">
        <f t="shared" ca="1" si="152"/>
        <v>1.5661961999016313E-2</v>
      </c>
      <c r="AM182" s="1005">
        <f t="shared" ca="1" si="152"/>
        <v>3.2692550298224099E-2</v>
      </c>
      <c r="AN182" s="1005">
        <f t="shared" ca="1" si="152"/>
        <v>5.893128034724425E-2</v>
      </c>
      <c r="AO182" s="1005">
        <f t="shared" ca="1" si="152"/>
        <v>0.12588994558331568</v>
      </c>
      <c r="AP182" s="1005">
        <f t="shared" ca="1" si="152"/>
        <v>5.9513484281398944E-2</v>
      </c>
      <c r="AQ182" s="1005">
        <f t="shared" ca="1" si="152"/>
        <v>7.7120920257019998E-2</v>
      </c>
    </row>
    <row r="183" spans="5:43">
      <c r="E183" s="1005"/>
      <c r="F183" s="1005"/>
      <c r="G183" s="1005"/>
      <c r="H183" s="1005"/>
      <c r="I183" s="1005"/>
      <c r="J183" s="1005"/>
      <c r="K183" s="969">
        <v>44286</v>
      </c>
      <c r="L183" s="765">
        <f t="shared" ca="1" si="144"/>
        <v>6.7741887179279301</v>
      </c>
      <c r="M183" s="765">
        <v>10.271528513511701</v>
      </c>
      <c r="N183" s="1244">
        <f t="shared" si="145"/>
        <v>43555</v>
      </c>
      <c r="O183" s="1005"/>
      <c r="P183" s="1005"/>
      <c r="Q183" s="1005"/>
      <c r="R183" s="1005"/>
      <c r="S183" s="1005"/>
      <c r="T183" s="1005"/>
      <c r="U183" s="1005"/>
      <c r="V183" s="1005"/>
      <c r="W183" s="1005"/>
      <c r="AI183" s="1005">
        <f t="shared" ref="AI183:AQ183" ca="1" si="153">IFERROR(AI92/SUM($AI92:$AQ92),0)</f>
        <v>0.53163967012980706</v>
      </c>
      <c r="AJ183" s="1005">
        <f t="shared" ca="1" si="153"/>
        <v>4.1806446523667808E-2</v>
      </c>
      <c r="AK183" s="1005">
        <f t="shared" ca="1" si="153"/>
        <v>3.2804346085398985E-2</v>
      </c>
      <c r="AL183" s="1005">
        <f t="shared" ca="1" si="153"/>
        <v>1.6051777935870013E-2</v>
      </c>
      <c r="AM183" s="1005">
        <f t="shared" ca="1" si="153"/>
        <v>3.3644518188645604E-2</v>
      </c>
      <c r="AN183" s="1005">
        <f t="shared" ca="1" si="153"/>
        <v>6.1050906317596146E-2</v>
      </c>
      <c r="AO183" s="1005">
        <f t="shared" ca="1" si="153"/>
        <v>0.14519898500014236</v>
      </c>
      <c r="AP183" s="1005">
        <f t="shared" ca="1" si="153"/>
        <v>6.0986391594111448E-2</v>
      </c>
      <c r="AQ183" s="1005">
        <f t="shared" ca="1" si="153"/>
        <v>7.6816958224760645E-2</v>
      </c>
    </row>
    <row r="184" spans="5:43">
      <c r="E184" s="1005"/>
      <c r="F184" s="1005"/>
      <c r="G184" s="1005"/>
      <c r="H184" s="1005"/>
      <c r="I184" s="1005"/>
      <c r="J184" s="1005"/>
      <c r="K184" s="969">
        <v>44377</v>
      </c>
      <c r="L184" s="765">
        <f t="shared" ca="1" si="144"/>
        <v>6.7511223823811601</v>
      </c>
      <c r="M184" s="765">
        <v>9.1276133775656394</v>
      </c>
      <c r="N184" s="1244">
        <f t="shared" si="145"/>
        <v>43646</v>
      </c>
      <c r="O184" s="1005"/>
      <c r="P184" s="1005"/>
      <c r="Q184" s="1005"/>
      <c r="R184" s="1005"/>
      <c r="S184" s="1005"/>
      <c r="T184" s="1005"/>
      <c r="U184" s="1005"/>
      <c r="V184" s="1005"/>
      <c r="W184" s="1005"/>
      <c r="AI184" s="1005">
        <f t="shared" ref="AI184:AQ184" ca="1" si="154">IFERROR(AI93/SUM($AI93:$AQ93),0)</f>
        <v>0.51377407742164671</v>
      </c>
      <c r="AJ184" s="1005">
        <f t="shared" ca="1" si="154"/>
        <v>4.1734264746864716E-2</v>
      </c>
      <c r="AK184" s="1005">
        <f t="shared" ca="1" si="154"/>
        <v>3.357348153675252E-2</v>
      </c>
      <c r="AL184" s="1005">
        <f t="shared" ca="1" si="154"/>
        <v>1.7566612801410138E-2</v>
      </c>
      <c r="AM184" s="1005">
        <f t="shared" ca="1" si="154"/>
        <v>3.2754099352338951E-2</v>
      </c>
      <c r="AN184" s="1005">
        <f t="shared" ca="1" si="154"/>
        <v>6.9507507938749727E-2</v>
      </c>
      <c r="AO184" s="1005">
        <f t="shared" ca="1" si="154"/>
        <v>0.15079965142445936</v>
      </c>
      <c r="AP184" s="1005">
        <f t="shared" ca="1" si="154"/>
        <v>6.6607490569560765E-2</v>
      </c>
      <c r="AQ184" s="1005">
        <f t="shared" ca="1" si="154"/>
        <v>7.3682814208217123E-2</v>
      </c>
    </row>
    <row r="185" spans="5:43">
      <c r="E185" s="1005"/>
      <c r="F185" s="1005"/>
      <c r="G185" s="1005"/>
      <c r="H185" s="1005"/>
      <c r="I185" s="1005"/>
      <c r="J185" s="1005"/>
      <c r="K185" s="969">
        <v>44469</v>
      </c>
      <c r="L185" s="765">
        <f t="shared" ca="1" si="144"/>
        <v>5.96125452641735</v>
      </c>
      <c r="M185" s="765">
        <v>9.2449286711192098</v>
      </c>
      <c r="N185" s="1244">
        <f t="shared" si="145"/>
        <v>43738</v>
      </c>
      <c r="O185" s="1005"/>
      <c r="P185" s="1005"/>
      <c r="Q185" s="1005"/>
      <c r="R185" s="1005"/>
      <c r="S185" s="1005"/>
      <c r="T185" s="1005"/>
      <c r="U185" s="1005"/>
      <c r="V185" s="1005"/>
      <c r="W185" s="1005"/>
      <c r="AI185" s="1005">
        <f t="shared" ref="AI185:AQ185" ca="1" si="155">IFERROR(AI94/SUM($AI94:$AQ94),0)</f>
        <v>0.50150256414388994</v>
      </c>
      <c r="AJ185" s="1005">
        <f t="shared" ca="1" si="155"/>
        <v>3.9719208988579002E-2</v>
      </c>
      <c r="AK185" s="1005">
        <f t="shared" ca="1" si="155"/>
        <v>3.2745725452341105E-2</v>
      </c>
      <c r="AL185" s="1005">
        <f t="shared" ca="1" si="155"/>
        <v>1.7090269744186225E-2</v>
      </c>
      <c r="AM185" s="1005">
        <f t="shared" ca="1" si="155"/>
        <v>3.331385213916184E-2</v>
      </c>
      <c r="AN185" s="1005">
        <f t="shared" ca="1" si="155"/>
        <v>7.1807417394960577E-2</v>
      </c>
      <c r="AO185" s="1005">
        <f t="shared" ca="1" si="155"/>
        <v>0.15852124509205218</v>
      </c>
      <c r="AP185" s="1005">
        <f t="shared" ca="1" si="155"/>
        <v>6.8211989935837075E-2</v>
      </c>
      <c r="AQ185" s="1005">
        <f t="shared" ca="1" si="155"/>
        <v>7.7087727108991894E-2</v>
      </c>
    </row>
    <row r="186" spans="5:43">
      <c r="E186" s="1005"/>
      <c r="F186" s="1005"/>
      <c r="G186" s="1005"/>
      <c r="H186" s="1005"/>
      <c r="I186" s="1005"/>
      <c r="J186" s="1005"/>
      <c r="K186" s="969">
        <v>44561</v>
      </c>
      <c r="L186" s="765">
        <f t="shared" ca="1" si="144"/>
        <v>5.8649269173169696</v>
      </c>
      <c r="M186" s="765">
        <v>9.3087136255806993</v>
      </c>
      <c r="N186" s="1244">
        <f t="shared" si="145"/>
        <v>43830</v>
      </c>
      <c r="O186" s="1005"/>
      <c r="P186" s="1005"/>
      <c r="Q186" s="1005"/>
      <c r="R186" s="1005"/>
      <c r="S186" s="1005"/>
      <c r="T186" s="1005"/>
      <c r="U186" s="1005"/>
      <c r="V186" s="1005"/>
      <c r="W186" s="1005"/>
      <c r="AI186" s="1005">
        <f t="shared" ref="AI186:AQ186" ca="1" si="156">IFERROR(AI95/SUM($AI95:$AQ95),0)</f>
        <v>0.50408335422170636</v>
      </c>
      <c r="AJ186" s="1005">
        <f t="shared" ca="1" si="156"/>
        <v>5.1570728199308524E-2</v>
      </c>
      <c r="AK186" s="1005">
        <f t="shared" ca="1" si="156"/>
        <v>2.9210563600433195E-2</v>
      </c>
      <c r="AL186" s="1005">
        <f t="shared" ca="1" si="156"/>
        <v>1.889007362420235E-2</v>
      </c>
      <c r="AM186" s="1005">
        <f t="shared" ca="1" si="156"/>
        <v>3.0938525475738887E-2</v>
      </c>
      <c r="AN186" s="1005">
        <f t="shared" ca="1" si="156"/>
        <v>7.6871911482355809E-2</v>
      </c>
      <c r="AO186" s="1005">
        <f t="shared" ca="1" si="156"/>
        <v>0.14843070434019334</v>
      </c>
      <c r="AP186" s="1005">
        <f t="shared" ca="1" si="156"/>
        <v>6.5753480716465904E-2</v>
      </c>
      <c r="AQ186" s="1005">
        <f t="shared" ca="1" si="156"/>
        <v>7.4250658339595849E-2</v>
      </c>
    </row>
    <row r="187" spans="5:43">
      <c r="E187" s="1005"/>
      <c r="F187" s="1005"/>
      <c r="G187" s="1005"/>
      <c r="H187" s="1005"/>
      <c r="I187" s="1005"/>
      <c r="J187" s="1005"/>
      <c r="K187" s="969">
        <v>44651</v>
      </c>
      <c r="L187" s="765">
        <f t="shared" ca="1" si="144"/>
        <v>5.0280306426519701</v>
      </c>
      <c r="M187" s="765">
        <v>8.3097007763091906</v>
      </c>
      <c r="N187" s="1244">
        <f t="shared" si="145"/>
        <v>43921</v>
      </c>
      <c r="O187" s="1005"/>
      <c r="P187" s="1005"/>
      <c r="Q187" s="1005"/>
      <c r="R187" s="1005"/>
      <c r="S187" s="1005"/>
      <c r="T187" s="1005"/>
      <c r="U187" s="1005"/>
      <c r="V187" s="1005"/>
      <c r="W187" s="1005"/>
      <c r="AI187" s="1005">
        <f t="shared" ref="AI187:AQ187" ca="1" si="157">IFERROR(AI96/SUM($AI96:$AQ96),0)</f>
        <v>0.53706174358824343</v>
      </c>
      <c r="AJ187" s="1005">
        <f t="shared" ca="1" si="157"/>
        <v>5.0898207725791865E-2</v>
      </c>
      <c r="AK187" s="1005">
        <f t="shared" ca="1" si="157"/>
        <v>2.8672156703238912E-2</v>
      </c>
      <c r="AL187" s="1005">
        <f t="shared" ca="1" si="157"/>
        <v>1.036746496279887E-2</v>
      </c>
      <c r="AM187" s="1005">
        <f t="shared" ca="1" si="157"/>
        <v>2.209365168113896E-2</v>
      </c>
      <c r="AN187" s="1005">
        <f t="shared" ca="1" si="157"/>
        <v>8.1047418608132679E-2</v>
      </c>
      <c r="AO187" s="1005">
        <f t="shared" ca="1" si="157"/>
        <v>0.13661429621283988</v>
      </c>
      <c r="AP187" s="1005">
        <f t="shared" ca="1" si="157"/>
        <v>5.7293414777401575E-2</v>
      </c>
      <c r="AQ187" s="1005">
        <f t="shared" ca="1" si="157"/>
        <v>7.595164574041377E-2</v>
      </c>
    </row>
    <row r="188" spans="5:43">
      <c r="K188" s="969">
        <v>44742</v>
      </c>
      <c r="L188" s="765">
        <f t="shared" ca="1" si="144"/>
        <v>4.7441565791149403</v>
      </c>
      <c r="M188" s="765">
        <v>7.8880948363602297</v>
      </c>
      <c r="N188" s="1244">
        <f t="shared" si="145"/>
        <v>44012</v>
      </c>
      <c r="O188" s="1005"/>
      <c r="P188" s="1005"/>
      <c r="Q188" s="1005"/>
      <c r="R188" s="1005"/>
      <c r="S188" s="1005"/>
      <c r="T188" s="1005"/>
      <c r="U188" s="1005"/>
      <c r="V188" s="1005"/>
      <c r="W188" s="1005"/>
      <c r="AI188" s="1005">
        <f t="shared" ref="AI188:AQ188" ca="1" si="158">IFERROR(AI97/SUM($AI97:$AQ97),0)</f>
        <v>0.52104587585895024</v>
      </c>
      <c r="AJ188" s="1005">
        <f t="shared" ca="1" si="158"/>
        <v>5.9577290419357436E-2</v>
      </c>
      <c r="AK188" s="1005">
        <f t="shared" ca="1" si="158"/>
        <v>2.899302863289973E-2</v>
      </c>
      <c r="AL188" s="1005">
        <f t="shared" ca="1" si="158"/>
        <v>1.0652449747402627E-2</v>
      </c>
      <c r="AM188" s="1005">
        <f t="shared" ca="1" si="158"/>
        <v>2.6627110655749599E-2</v>
      </c>
      <c r="AN188" s="1005">
        <f t="shared" ca="1" si="158"/>
        <v>8.1024377187126406E-2</v>
      </c>
      <c r="AO188" s="1005">
        <f t="shared" ca="1" si="158"/>
        <v>0.14969708190313896</v>
      </c>
      <c r="AP188" s="1005">
        <f t="shared" ca="1" si="158"/>
        <v>5.0638775623173524E-2</v>
      </c>
      <c r="AQ188" s="1005">
        <f t="shared" ca="1" si="158"/>
        <v>7.1744009972201539E-2</v>
      </c>
    </row>
    <row r="189" spans="5:43">
      <c r="K189" s="969">
        <v>44834</v>
      </c>
      <c r="L189" s="765">
        <f t="shared" ca="1" si="144"/>
        <v>4.9713585301510399</v>
      </c>
      <c r="M189" s="765">
        <v>8.0898627834786403</v>
      </c>
      <c r="N189" s="1244">
        <f t="shared" si="145"/>
        <v>44104</v>
      </c>
      <c r="O189" s="1005"/>
      <c r="P189" s="1005"/>
      <c r="Q189" s="1005"/>
      <c r="R189" s="1005"/>
      <c r="S189" s="1005"/>
      <c r="T189" s="1005"/>
      <c r="U189" s="1005"/>
      <c r="V189" s="1005"/>
      <c r="W189" s="1005"/>
      <c r="AI189" s="1005">
        <f t="shared" ref="AI189:AQ189" ca="1" si="159">IFERROR(AI98/SUM($AI98:$AQ98),0)</f>
        <v>0.49003867686284519</v>
      </c>
      <c r="AJ189" s="1005">
        <f t="shared" ca="1" si="159"/>
        <v>6.9716173729339151E-2</v>
      </c>
      <c r="AK189" s="1005">
        <f t="shared" ca="1" si="159"/>
        <v>2.8263427564362027E-2</v>
      </c>
      <c r="AL189" s="1005">
        <f t="shared" ca="1" si="159"/>
        <v>1.9644951711550705E-2</v>
      </c>
      <c r="AM189" s="1005">
        <f t="shared" ca="1" si="159"/>
        <v>2.822297651130902E-2</v>
      </c>
      <c r="AN189" s="1005">
        <f t="shared" ca="1" si="159"/>
        <v>7.3874459020250013E-2</v>
      </c>
      <c r="AO189" s="1005">
        <f t="shared" ca="1" si="159"/>
        <v>0.16151326534599356</v>
      </c>
      <c r="AP189" s="1005">
        <f t="shared" ca="1" si="159"/>
        <v>5.0563480695822859E-2</v>
      </c>
      <c r="AQ189" s="1005">
        <f t="shared" ca="1" si="159"/>
        <v>7.8162588558527493E-2</v>
      </c>
    </row>
    <row r="190" spans="5:43">
      <c r="K190" s="969">
        <v>44926</v>
      </c>
      <c r="L190" s="765">
        <f t="shared" ca="1" si="144"/>
        <v>4.91566933494257</v>
      </c>
      <c r="M190" s="765">
        <v>7.99841751965862</v>
      </c>
      <c r="N190" s="1244">
        <f t="shared" si="145"/>
        <v>44196</v>
      </c>
      <c r="O190" s="1005"/>
      <c r="P190" s="1005"/>
      <c r="Q190" s="1005"/>
      <c r="R190" s="1005"/>
      <c r="S190" s="1005"/>
      <c r="T190" s="1005"/>
      <c r="U190" s="1005"/>
      <c r="V190" s="1005"/>
      <c r="W190" s="1005"/>
      <c r="AI190" s="1005">
        <f t="shared" ref="AI190:AQ190" ca="1" si="160">IFERROR(AI99/SUM($AI99:$AQ99),0)</f>
        <v>0.47870360299205755</v>
      </c>
      <c r="AJ190" s="1005">
        <f t="shared" ca="1" si="160"/>
        <v>9.0689056726463643E-2</v>
      </c>
      <c r="AK190" s="1005">
        <f t="shared" ca="1" si="160"/>
        <v>2.6889848742540957E-2</v>
      </c>
      <c r="AL190" s="1005">
        <f t="shared" ca="1" si="160"/>
        <v>2.1782912558609441E-2</v>
      </c>
      <c r="AM190" s="1005">
        <f t="shared" ca="1" si="160"/>
        <v>3.0318950362711376E-2</v>
      </c>
      <c r="AN190" s="1005">
        <f t="shared" ca="1" si="160"/>
        <v>6.8808345647434793E-2</v>
      </c>
      <c r="AO190" s="1005">
        <f t="shared" ca="1" si="160"/>
        <v>0.14810676032052414</v>
      </c>
      <c r="AP190" s="1005">
        <f t="shared" ca="1" si="160"/>
        <v>5.2609134417968627E-2</v>
      </c>
      <c r="AQ190" s="1005">
        <f t="shared" ca="1" si="160"/>
        <v>8.2091388231689558E-2</v>
      </c>
    </row>
    <row r="191" spans="5:43">
      <c r="N191" s="1244">
        <f t="shared" si="145"/>
        <v>44286</v>
      </c>
      <c r="O191" s="1005"/>
      <c r="P191" s="1005"/>
      <c r="Q191" s="1005"/>
      <c r="R191" s="1005"/>
      <c r="S191" s="1005"/>
      <c r="T191" s="1005"/>
      <c r="U191" s="1005"/>
      <c r="V191" s="1005"/>
      <c r="W191" s="1005"/>
      <c r="AI191" s="1005">
        <f t="shared" ref="AI191:AQ191" ca="1" si="161">IFERROR(AI100/SUM($AI100:$AQ100),0)</f>
        <v>0.47751714612395496</v>
      </c>
      <c r="AJ191" s="1005">
        <f t="shared" ca="1" si="161"/>
        <v>7.5395556265876823E-2</v>
      </c>
      <c r="AK191" s="1005">
        <f t="shared" ca="1" si="161"/>
        <v>2.4286401171771464E-2</v>
      </c>
      <c r="AL191" s="1005">
        <f t="shared" ca="1" si="161"/>
        <v>2.2465779991588466E-2</v>
      </c>
      <c r="AM191" s="1005">
        <f t="shared" ca="1" si="161"/>
        <v>2.8143135593913071E-2</v>
      </c>
      <c r="AN191" s="1005">
        <f t="shared" ca="1" si="161"/>
        <v>6.6928045339529646E-2</v>
      </c>
      <c r="AO191" s="1005">
        <f t="shared" ca="1" si="161"/>
        <v>0.17003002917599472</v>
      </c>
      <c r="AP191" s="1005">
        <f t="shared" ca="1" si="161"/>
        <v>5.2936207848522147E-2</v>
      </c>
      <c r="AQ191" s="1005">
        <f t="shared" ca="1" si="161"/>
        <v>8.2297698488848783E-2</v>
      </c>
    </row>
    <row r="192" spans="5:43">
      <c r="N192" s="1244">
        <f t="shared" si="145"/>
        <v>44377</v>
      </c>
      <c r="O192" s="1005"/>
      <c r="P192" s="1005"/>
      <c r="Q192" s="1005"/>
      <c r="R192" s="1005"/>
      <c r="S192" s="1005"/>
      <c r="T192" s="1005"/>
      <c r="U192" s="1005"/>
      <c r="V192" s="1005"/>
      <c r="W192" s="1005"/>
      <c r="AI192" s="1005">
        <f t="shared" ref="AI192:AQ192" ca="1" si="162">IFERROR(AI101/SUM($AI101:$AQ101),0)</f>
        <v>0.4691037887839678</v>
      </c>
      <c r="AJ192" s="1005">
        <f t="shared" ca="1" si="162"/>
        <v>0.1053015002560123</v>
      </c>
      <c r="AK192" s="1005">
        <f t="shared" ca="1" si="162"/>
        <v>2.4341415030948148E-2</v>
      </c>
      <c r="AL192" s="1005">
        <f t="shared" ca="1" si="162"/>
        <v>2.1215850711468788E-2</v>
      </c>
      <c r="AM192" s="1005">
        <f t="shared" ca="1" si="162"/>
        <v>2.5123508978137369E-2</v>
      </c>
      <c r="AN192" s="1005">
        <f t="shared" ca="1" si="162"/>
        <v>5.5509572748941624E-2</v>
      </c>
      <c r="AO192" s="1005">
        <f t="shared" ca="1" si="162"/>
        <v>0.1685966071891617</v>
      </c>
      <c r="AP192" s="1005">
        <f t="shared" ca="1" si="162"/>
        <v>5.5342105616471224E-2</v>
      </c>
      <c r="AQ192" s="1005">
        <f t="shared" ca="1" si="162"/>
        <v>7.5465650684891E-2</v>
      </c>
    </row>
    <row r="193" spans="14:43">
      <c r="N193" s="1244">
        <f t="shared" si="145"/>
        <v>44469</v>
      </c>
      <c r="O193" s="1005"/>
      <c r="P193" s="1005"/>
      <c r="Q193" s="1005"/>
      <c r="R193" s="1005"/>
      <c r="S193" s="1005"/>
      <c r="T193" s="1005"/>
      <c r="U193" s="1005"/>
      <c r="V193" s="1005"/>
      <c r="W193" s="1005"/>
      <c r="AI193" s="1005">
        <f t="shared" ref="AI193:AQ193" ca="1" si="163">IFERROR(AI102/SUM($AI102:$AQ102),0)</f>
        <v>0.43840409487101062</v>
      </c>
      <c r="AJ193" s="1005">
        <f t="shared" ca="1" si="163"/>
        <v>0.12581389161072895</v>
      </c>
      <c r="AK193" s="1005">
        <f t="shared" ca="1" si="163"/>
        <v>2.763128092767338E-2</v>
      </c>
      <c r="AL193" s="1005">
        <f t="shared" ca="1" si="163"/>
        <v>2.4987030398380034E-2</v>
      </c>
      <c r="AM193" s="1005">
        <f t="shared" ca="1" si="163"/>
        <v>3.2002343505726706E-2</v>
      </c>
      <c r="AN193" s="1005">
        <f t="shared" ca="1" si="163"/>
        <v>6.1221877204541246E-2</v>
      </c>
      <c r="AO193" s="1005">
        <f t="shared" ca="1" si="163"/>
        <v>0.16309100040532842</v>
      </c>
      <c r="AP193" s="1005">
        <f t="shared" ca="1" si="163"/>
        <v>5.11452754269257E-2</v>
      </c>
      <c r="AQ193" s="1005">
        <f t="shared" ca="1" si="163"/>
        <v>7.5703205649685121E-2</v>
      </c>
    </row>
    <row r="194" spans="14:43">
      <c r="N194" s="1244">
        <f t="shared" si="145"/>
        <v>44561</v>
      </c>
      <c r="O194" s="1005"/>
      <c r="P194" s="1005"/>
      <c r="Q194" s="1005"/>
      <c r="R194" s="1005"/>
      <c r="S194" s="1005"/>
      <c r="T194" s="1005"/>
      <c r="U194" s="1005"/>
      <c r="V194" s="1005"/>
      <c r="W194" s="1005"/>
      <c r="AI194" s="1005">
        <f t="shared" ref="AI194:AQ194" ca="1" si="164">IFERROR(AI103/SUM($AI103:$AQ103),0)</f>
        <v>0.41780693954502457</v>
      </c>
      <c r="AJ194" s="1005">
        <f t="shared" ca="1" si="164"/>
        <v>0.11468486241975999</v>
      </c>
      <c r="AK194" s="1005">
        <f t="shared" ca="1" si="164"/>
        <v>2.9122029769217055E-2</v>
      </c>
      <c r="AL194" s="1005">
        <f t="shared" ca="1" si="164"/>
        <v>2.4957572671422599E-2</v>
      </c>
      <c r="AM194" s="1005">
        <f t="shared" ca="1" si="164"/>
        <v>3.7062800092917951E-2</v>
      </c>
      <c r="AN194" s="1005">
        <f t="shared" ca="1" si="164"/>
        <v>7.1499983818417823E-2</v>
      </c>
      <c r="AO194" s="1005">
        <f t="shared" ca="1" si="164"/>
        <v>0.16579709537037207</v>
      </c>
      <c r="AP194" s="1005">
        <f t="shared" ca="1" si="164"/>
        <v>5.6231611945191391E-2</v>
      </c>
      <c r="AQ194" s="1005">
        <f t="shared" ca="1" si="164"/>
        <v>8.2837104367676481E-2</v>
      </c>
    </row>
    <row r="195" spans="14:43">
      <c r="N195" s="1244">
        <f t="shared" si="145"/>
        <v>44651</v>
      </c>
      <c r="O195" s="1005"/>
      <c r="P195" s="1005"/>
      <c r="Q195" s="1005"/>
      <c r="R195" s="1005"/>
      <c r="S195" s="1005"/>
      <c r="T195" s="1005"/>
      <c r="U195" s="1005"/>
      <c r="V195" s="1005"/>
      <c r="W195" s="1005"/>
      <c r="AI195" s="1005">
        <f t="shared" ref="AI195:AQ195" ca="1" si="165">IFERROR(AI104/SUM($AI104:$AQ104),0)</f>
        <v>0.425997603092093</v>
      </c>
      <c r="AJ195" s="1005">
        <f t="shared" ca="1" si="165"/>
        <v>0.12574754101457283</v>
      </c>
      <c r="AK195" s="1005">
        <f t="shared" ca="1" si="165"/>
        <v>2.4763623792851745E-2</v>
      </c>
      <c r="AL195" s="1005">
        <f t="shared" ca="1" si="165"/>
        <v>2.4263132244495344E-2</v>
      </c>
      <c r="AM195" s="1005">
        <f t="shared" ca="1" si="165"/>
        <v>3.5827389310986411E-2</v>
      </c>
      <c r="AN195" s="1005">
        <f t="shared" ca="1" si="165"/>
        <v>7.8555457913153451E-2</v>
      </c>
      <c r="AO195" s="1005">
        <f t="shared" ca="1" si="165"/>
        <v>0.15215862906151739</v>
      </c>
      <c r="AP195" s="1005">
        <f t="shared" ca="1" si="165"/>
        <v>5.3678119662678443E-2</v>
      </c>
      <c r="AQ195" s="1005">
        <f t="shared" ca="1" si="165"/>
        <v>7.900850390765142E-2</v>
      </c>
    </row>
    <row r="196" spans="14:43">
      <c r="N196" s="1244">
        <f t="shared" si="145"/>
        <v>44742</v>
      </c>
      <c r="O196" s="1005"/>
      <c r="P196" s="1005"/>
      <c r="Q196" s="1005"/>
      <c r="R196" s="1005"/>
      <c r="S196" s="1005"/>
      <c r="T196" s="1005"/>
      <c r="U196" s="1005"/>
      <c r="V196" s="1005"/>
      <c r="W196" s="1005"/>
      <c r="X196" s="762">
        <v>3.3533389882937102E-2</v>
      </c>
      <c r="Y196" s="765">
        <v>2.2550288118800561E-2</v>
      </c>
      <c r="Z196" s="765">
        <v>3.0231099946309927E-2</v>
      </c>
      <c r="AA196" s="765">
        <v>9.1942620074805609E-2</v>
      </c>
      <c r="AB196" s="765">
        <v>0.18913093975679574</v>
      </c>
      <c r="AC196" s="765">
        <v>6.7483819806027759E-2</v>
      </c>
      <c r="AD196" s="765">
        <v>6.0447201716369678E-2</v>
      </c>
      <c r="AI196" s="1005">
        <f t="shared" ref="AI196:AQ196" ca="1" si="166">IFERROR(AI105/SUM($AI105:$AQ105),0)</f>
        <v>0.41771645451508554</v>
      </c>
      <c r="AJ196" s="1005">
        <f t="shared" ca="1" si="166"/>
        <v>0.14909394959651703</v>
      </c>
      <c r="AK196" s="1005">
        <f t="shared" ca="1" si="166"/>
        <v>2.6858128926365021E-2</v>
      </c>
      <c r="AL196" s="1005">
        <f t="shared" ca="1" si="166"/>
        <v>2.3703244182673042E-2</v>
      </c>
      <c r="AM196" s="1005">
        <f t="shared" ca="1" si="166"/>
        <v>2.9993514803289437E-2</v>
      </c>
      <c r="AN196" s="1005">
        <f t="shared" ca="1" si="166"/>
        <v>7.2854586100585206E-2</v>
      </c>
      <c r="AO196" s="1005">
        <f t="shared" ca="1" si="166"/>
        <v>0.15885973074353255</v>
      </c>
      <c r="AP196" s="1005">
        <f t="shared" ca="1" si="166"/>
        <v>4.9785422716207166E-2</v>
      </c>
      <c r="AQ196" s="1005">
        <f t="shared" ca="1" si="166"/>
        <v>7.1134968415745028E-2</v>
      </c>
    </row>
    <row r="197" spans="14:43">
      <c r="N197" s="1244">
        <f t="shared" si="145"/>
        <v>44834</v>
      </c>
      <c r="O197" s="1005"/>
      <c r="P197" s="1005"/>
      <c r="Q197" s="1005"/>
      <c r="R197" s="1005"/>
      <c r="S197" s="1005"/>
      <c r="T197" s="1005"/>
      <c r="U197" s="1005"/>
      <c r="V197" s="1005"/>
      <c r="W197" s="1005"/>
      <c r="AI197" s="1005">
        <f t="shared" ref="AI197:AQ197" ca="1" si="167">IFERROR(AI106/SUM($AI106:$AQ106),0)</f>
        <v>0.37378180103677994</v>
      </c>
      <c r="AJ197" s="1005">
        <f t="shared" ca="1" si="167"/>
        <v>0.17351310009236073</v>
      </c>
      <c r="AK197" s="1005">
        <f t="shared" ca="1" si="167"/>
        <v>2.9027292983121247E-2</v>
      </c>
      <c r="AL197" s="1005">
        <f t="shared" ca="1" si="167"/>
        <v>2.4926294344341977E-2</v>
      </c>
      <c r="AM197" s="1005">
        <f t="shared" ca="1" si="167"/>
        <v>2.9830612715737739E-2</v>
      </c>
      <c r="AN197" s="1005">
        <f t="shared" ca="1" si="167"/>
        <v>8.4919956257812068E-2</v>
      </c>
      <c r="AO197" s="1005">
        <f t="shared" ca="1" si="167"/>
        <v>0.15852374271063813</v>
      </c>
      <c r="AP197" s="1005">
        <f t="shared" ca="1" si="167"/>
        <v>5.8363742867288786E-2</v>
      </c>
      <c r="AQ197" s="1005">
        <f t="shared" ca="1" si="167"/>
        <v>6.711345699191941E-2</v>
      </c>
    </row>
    <row r="198" spans="14:43">
      <c r="N198" s="1244">
        <f t="shared" si="145"/>
        <v>44926</v>
      </c>
      <c r="O198" s="1005"/>
      <c r="P198" s="1005"/>
      <c r="Q198" s="1005"/>
      <c r="R198" s="1005"/>
      <c r="S198" s="1005"/>
      <c r="T198" s="1005"/>
      <c r="U198" s="1005"/>
      <c r="V198" s="1005"/>
      <c r="W198" s="1005"/>
      <c r="AI198" s="1005">
        <f t="shared" ref="AI198:AQ198" ca="1" si="168">IFERROR(AI107/SUM($AI107:$AQ107),0)</f>
        <v>0.35124440286280484</v>
      </c>
      <c r="AJ198" s="1005">
        <f t="shared" ca="1" si="168"/>
        <v>0.13947664012287891</v>
      </c>
      <c r="AK198" s="1005">
        <f t="shared" ca="1" si="168"/>
        <v>3.183830255934552E-2</v>
      </c>
      <c r="AL198" s="1005">
        <f t="shared" ca="1" si="168"/>
        <v>2.6562421736075838E-2</v>
      </c>
      <c r="AM198" s="1005">
        <f t="shared" ca="1" si="168"/>
        <v>3.179354822251472E-2</v>
      </c>
      <c r="AN198" s="1005">
        <f t="shared" ca="1" si="168"/>
        <v>9.0176309541910457E-2</v>
      </c>
      <c r="AO198" s="1005">
        <f t="shared" ca="1" si="168"/>
        <v>0.18636646819926495</v>
      </c>
      <c r="AP198" s="1005">
        <f t="shared" ca="1" si="168"/>
        <v>6.8486780562853303E-2</v>
      </c>
      <c r="AQ198" s="1005">
        <f t="shared" ca="1" si="168"/>
        <v>7.4055126192351439E-2</v>
      </c>
    </row>
    <row r="199" spans="14:43">
      <c r="AI199" s="1005"/>
      <c r="AJ199" s="1005"/>
      <c r="AK199" s="1005"/>
      <c r="AL199" s="1005"/>
      <c r="AM199" s="1005"/>
      <c r="AN199" s="1005"/>
      <c r="AO199" s="1005"/>
      <c r="AP199" s="1005"/>
      <c r="AQ199" s="1005"/>
    </row>
    <row r="200" spans="14:43">
      <c r="O200" s="1005">
        <f>O198-O111</f>
        <v>0</v>
      </c>
      <c r="P200" s="1005">
        <f>P198-P111</f>
        <v>0</v>
      </c>
      <c r="Q200" s="1005">
        <f t="shared" ref="Q200:W200" si="169">Q198-Q111</f>
        <v>0</v>
      </c>
      <c r="R200" s="1005">
        <f t="shared" si="169"/>
        <v>0</v>
      </c>
      <c r="S200" s="1005">
        <f t="shared" si="169"/>
        <v>0</v>
      </c>
      <c r="T200" s="1005">
        <f t="shared" si="169"/>
        <v>0</v>
      </c>
      <c r="U200" s="1005">
        <f t="shared" si="169"/>
        <v>0</v>
      </c>
      <c r="V200" s="1005">
        <f t="shared" si="169"/>
        <v>0</v>
      </c>
      <c r="W200" s="1005">
        <f t="shared" si="169"/>
        <v>0</v>
      </c>
      <c r="AI200" s="1005"/>
      <c r="AJ200" s="1005"/>
      <c r="AK200" s="1005"/>
      <c r="AL200" s="1005"/>
      <c r="AM200" s="1005"/>
      <c r="AN200" s="1005"/>
      <c r="AO200" s="1005"/>
      <c r="AP200" s="1005"/>
      <c r="AQ200" s="1005"/>
    </row>
    <row r="201" spans="14:43">
      <c r="O201" s="765" t="s">
        <v>1515</v>
      </c>
      <c r="P201" s="765" t="s">
        <v>1516</v>
      </c>
      <c r="Q201" s="765" t="s">
        <v>1517</v>
      </c>
      <c r="R201" s="765" t="s">
        <v>1376</v>
      </c>
      <c r="S201" s="765" t="s">
        <v>1378</v>
      </c>
      <c r="T201" s="765" t="s">
        <v>1518</v>
      </c>
      <c r="U201" s="765" t="s">
        <v>1519</v>
      </c>
      <c r="V201" s="765" t="s">
        <v>1520</v>
      </c>
      <c r="W201" s="765" t="s">
        <v>1359</v>
      </c>
      <c r="AI201" s="1005"/>
      <c r="AJ201" s="1005"/>
      <c r="AK201" s="1005"/>
      <c r="AL201" s="1005"/>
      <c r="AM201" s="1005"/>
      <c r="AN201" s="1005"/>
      <c r="AO201" s="1005"/>
      <c r="AP201" s="1005"/>
      <c r="AQ201" s="1005"/>
    </row>
    <row r="202" spans="14:43">
      <c r="O202" s="1005">
        <v>0.64865656864204013</v>
      </c>
      <c r="P202" s="1005">
        <v>1.4182891153575588E-2</v>
      </c>
      <c r="Q202" s="1005">
        <v>4.1264119099734139E-2</v>
      </c>
      <c r="R202" s="1005">
        <v>1.1523625758112407E-2</v>
      </c>
      <c r="S202" s="1005">
        <v>0</v>
      </c>
      <c r="T202" s="1005">
        <v>3.2340157636644336E-2</v>
      </c>
      <c r="U202" s="1005">
        <v>0.1325900528915791</v>
      </c>
      <c r="V202" s="1005">
        <v>6.3603479275063296E-2</v>
      </c>
      <c r="W202" s="1005">
        <v>5.5839105543251034E-2</v>
      </c>
      <c r="AI202" s="1005"/>
      <c r="AJ202" s="1005"/>
      <c r="AK202" s="1005"/>
      <c r="AL202" s="1005"/>
      <c r="AM202" s="1005"/>
      <c r="AN202" s="1005"/>
      <c r="AO202" s="1005"/>
      <c r="AP202" s="1005"/>
      <c r="AQ202" s="1005"/>
    </row>
    <row r="203" spans="14:43">
      <c r="O203" s="1005">
        <v>0.34870425924643167</v>
      </c>
      <c r="P203" s="1005">
        <v>0.15597638145152168</v>
      </c>
      <c r="Q203" s="1005">
        <v>3.3533389882937102E-2</v>
      </c>
      <c r="R203" s="1005">
        <v>2.2550288118800561E-2</v>
      </c>
      <c r="S203" s="1005">
        <v>3.0231099946309927E-2</v>
      </c>
      <c r="T203" s="1005">
        <v>9.1942620074805609E-2</v>
      </c>
      <c r="U203" s="1005">
        <v>0.18913093975679574</v>
      </c>
      <c r="V203" s="1005">
        <v>6.7483819806027759E-2</v>
      </c>
      <c r="W203" s="1005">
        <v>6.0447201716369678E-2</v>
      </c>
      <c r="AI203" s="1005"/>
      <c r="AJ203" s="1005"/>
      <c r="AK203" s="1005"/>
      <c r="AL203" s="1005"/>
      <c r="AM203" s="1005"/>
      <c r="AN203" s="1005"/>
      <c r="AO203" s="1005"/>
      <c r="AP203" s="1005"/>
      <c r="AQ203" s="1005"/>
    </row>
    <row r="204" spans="14:43">
      <c r="AI204" s="1005"/>
      <c r="AJ204" s="1005"/>
      <c r="AK204" s="1005"/>
      <c r="AL204" s="1005"/>
      <c r="AM204" s="1005"/>
      <c r="AN204" s="1005"/>
      <c r="AO204" s="1005"/>
      <c r="AP204" s="1005"/>
      <c r="AQ204" s="1005"/>
    </row>
    <row r="205" spans="14:43">
      <c r="AI205" s="1005"/>
      <c r="AJ205" s="1005"/>
      <c r="AK205" s="1005"/>
      <c r="AL205" s="1005"/>
      <c r="AM205" s="1005"/>
      <c r="AN205" s="1005"/>
      <c r="AO205" s="1005"/>
      <c r="AP205" s="1005"/>
      <c r="AQ205" s="1005"/>
    </row>
    <row r="206" spans="14:43">
      <c r="O206" s="1005">
        <v>0.64865656864204013</v>
      </c>
      <c r="P206" s="1005">
        <v>1.4182891153575588E-2</v>
      </c>
      <c r="Q206" s="1005">
        <v>4.1264119099734139E-2</v>
      </c>
      <c r="R206" s="1005">
        <v>1.1523625758112407E-2</v>
      </c>
      <c r="S206" s="1005">
        <v>0</v>
      </c>
      <c r="T206" s="1005">
        <v>3.2340157636644336E-2</v>
      </c>
      <c r="U206" s="1005">
        <v>0.1325900528915791</v>
      </c>
      <c r="V206" s="1005">
        <v>6.3603479275063296E-2</v>
      </c>
      <c r="W206" s="1005">
        <v>5.5839105543251034E-2</v>
      </c>
      <c r="AI206" s="1005"/>
      <c r="AJ206" s="1005"/>
      <c r="AK206" s="1005"/>
      <c r="AL206" s="1005"/>
      <c r="AM206" s="1005"/>
      <c r="AN206" s="1005"/>
      <c r="AO206" s="1005"/>
      <c r="AP206" s="1005"/>
      <c r="AQ206" s="1005"/>
    </row>
    <row r="207" spans="14:43">
      <c r="O207" s="1005">
        <v>0.34870425924643167</v>
      </c>
      <c r="P207" s="1005">
        <v>0.15597638145152168</v>
      </c>
      <c r="Q207" s="1005">
        <v>3.3533389882937102E-2</v>
      </c>
      <c r="R207" s="1005">
        <v>2.2550288118800561E-2</v>
      </c>
      <c r="S207" s="1005">
        <v>3.0231099946309927E-2</v>
      </c>
      <c r="T207" s="1005">
        <v>9.1942620074805609E-2</v>
      </c>
      <c r="U207" s="1005">
        <v>0.18913093975679574</v>
      </c>
      <c r="V207" s="1005">
        <v>6.7483819806027759E-2</v>
      </c>
      <c r="W207" s="1005">
        <v>6.0447201716369678E-2</v>
      </c>
      <c r="AI207" s="1005"/>
      <c r="AJ207" s="1005"/>
      <c r="AK207" s="1005"/>
      <c r="AL207" s="1005"/>
      <c r="AM207" s="1005"/>
      <c r="AN207" s="1005"/>
      <c r="AO207" s="1005"/>
      <c r="AP207" s="1005"/>
      <c r="AQ207" s="1005"/>
    </row>
    <row r="208" spans="14:43">
      <c r="O208" s="761">
        <v>2001</v>
      </c>
      <c r="P208" s="761">
        <v>2023</v>
      </c>
      <c r="Q208" s="765" t="s">
        <v>1661</v>
      </c>
      <c r="AI208" s="1005"/>
      <c r="AJ208" s="1005"/>
      <c r="AK208" s="1005"/>
      <c r="AL208" s="1005"/>
      <c r="AM208" s="1005"/>
      <c r="AN208" s="1005"/>
      <c r="AO208" s="1005"/>
      <c r="AP208" s="1005"/>
      <c r="AQ208" s="1005"/>
    </row>
    <row r="209" spans="14:43">
      <c r="N209" s="762" t="str">
        <f>_xlfn.XLOOKUP(O209,$O$202:$W$202,$O$201:$W$201)</f>
        <v>3M Co</v>
      </c>
      <c r="O209" s="1005">
        <v>0.64865656864204013</v>
      </c>
      <c r="P209" s="1005">
        <v>0.34870425924643167</v>
      </c>
      <c r="Q209" s="1005">
        <f>P209-O209</f>
        <v>-0.29995230939560846</v>
      </c>
      <c r="AI209" s="1005"/>
      <c r="AJ209" s="1005"/>
      <c r="AK209" s="1005"/>
      <c r="AL209" s="1005"/>
      <c r="AM209" s="1005"/>
      <c r="AN209" s="1005"/>
      <c r="AO209" s="1005"/>
      <c r="AP209" s="1005"/>
      <c r="AQ209" s="1005"/>
    </row>
    <row r="210" spans="14:43">
      <c r="N210" s="762" t="str">
        <f t="shared" ref="N210:N217" si="170">_xlfn.XLOOKUP(O210,$O$202:$W$202,$O$201:$W$201)</f>
        <v>PPG Industries Inc</v>
      </c>
      <c r="O210" s="1005">
        <v>0.1325900528915791</v>
      </c>
      <c r="P210" s="1005">
        <v>0.18913093975679574</v>
      </c>
      <c r="Q210" s="1005">
        <f t="shared" ref="Q210:Q217" si="171">P210-O210</f>
        <v>5.6540886865216633E-2</v>
      </c>
      <c r="AI210" s="1005"/>
      <c r="AJ210" s="1005"/>
      <c r="AK210" s="1005"/>
      <c r="AL210" s="1005"/>
      <c r="AM210" s="1005"/>
      <c r="AN210" s="1005"/>
      <c r="AO210" s="1005"/>
      <c r="AP210" s="1005"/>
      <c r="AQ210" s="1005"/>
    </row>
    <row r="211" spans="14:43">
      <c r="N211" s="762" t="str">
        <f t="shared" si="170"/>
        <v>Solvay SA</v>
      </c>
      <c r="O211" s="1005">
        <v>6.3603479275063296E-2</v>
      </c>
      <c r="P211" s="1005">
        <v>6.7483819806027759E-2</v>
      </c>
      <c r="Q211" s="1005">
        <f t="shared" si="171"/>
        <v>3.8803405309644629E-3</v>
      </c>
      <c r="AI211" s="1005"/>
      <c r="AJ211" s="1005"/>
      <c r="AK211" s="1005"/>
      <c r="AL211" s="1005"/>
      <c r="AM211" s="1005"/>
      <c r="AN211" s="1005"/>
      <c r="AO211" s="1005"/>
      <c r="AP211" s="1005"/>
      <c r="AQ211" s="1005"/>
    </row>
    <row r="212" spans="14:43">
      <c r="N212" s="762" t="str">
        <f t="shared" si="170"/>
        <v>Eastman Chemical Co</v>
      </c>
      <c r="O212" s="1005">
        <v>5.5839105543251034E-2</v>
      </c>
      <c r="P212" s="1005">
        <v>6.0447201716369678E-2</v>
      </c>
      <c r="Q212" s="1005">
        <f t="shared" si="171"/>
        <v>4.6080961731186434E-3</v>
      </c>
      <c r="AI212" s="1005"/>
      <c r="AJ212" s="1005"/>
      <c r="AK212" s="1005"/>
      <c r="AL212" s="1005"/>
      <c r="AM212" s="1005"/>
      <c r="AN212" s="1005"/>
      <c r="AO212" s="1005"/>
      <c r="AP212" s="1005"/>
      <c r="AQ212" s="1005"/>
    </row>
    <row r="213" spans="14:43">
      <c r="N213" s="762" t="str">
        <f t="shared" si="170"/>
        <v>Ashland Inc</v>
      </c>
      <c r="O213" s="1005">
        <v>4.1264119099734139E-2</v>
      </c>
      <c r="P213" s="1005">
        <v>3.3533389882937102E-2</v>
      </c>
      <c r="Q213" s="1005">
        <f t="shared" si="171"/>
        <v>-7.7307292167970373E-3</v>
      </c>
      <c r="AI213" s="1005"/>
      <c r="AJ213" s="1005"/>
      <c r="AK213" s="1005"/>
      <c r="AL213" s="1005"/>
      <c r="AM213" s="1005"/>
      <c r="AN213" s="1005"/>
      <c r="AO213" s="1005"/>
      <c r="AP213" s="1005"/>
      <c r="AQ213" s="1005"/>
    </row>
    <row r="214" spans="14:43">
      <c r="N214" s="762" t="str">
        <f t="shared" si="170"/>
        <v>FMC Corp</v>
      </c>
      <c r="O214" s="1005">
        <v>3.2340157636644336E-2</v>
      </c>
      <c r="P214" s="1005">
        <v>9.1942620074805609E-2</v>
      </c>
      <c r="Q214" s="1005">
        <f t="shared" si="171"/>
        <v>5.9602462438161273E-2</v>
      </c>
      <c r="AI214" s="1005"/>
      <c r="AJ214" s="1005"/>
      <c r="AK214" s="1005"/>
      <c r="AL214" s="1005"/>
      <c r="AM214" s="1005"/>
      <c r="AN214" s="1005"/>
      <c r="AO214" s="1005"/>
      <c r="AP214" s="1005"/>
      <c r="AQ214" s="1005"/>
    </row>
    <row r="215" spans="14:43">
      <c r="N215" s="762" t="str">
        <f t="shared" si="170"/>
        <v>Albemarle Corp</v>
      </c>
      <c r="O215" s="1005">
        <v>1.4182891153575588E-2</v>
      </c>
      <c r="P215" s="1005">
        <v>0.15597638145152168</v>
      </c>
      <c r="Q215" s="1005">
        <f t="shared" si="171"/>
        <v>0.14179349029794608</v>
      </c>
      <c r="AI215" s="1005"/>
      <c r="AJ215" s="1005"/>
      <c r="AK215" s="1005"/>
      <c r="AL215" s="1005"/>
      <c r="AM215" s="1005"/>
      <c r="AN215" s="1005"/>
      <c r="AO215" s="1005"/>
      <c r="AP215" s="1005"/>
      <c r="AQ215" s="1005"/>
    </row>
    <row r="216" spans="14:43">
      <c r="N216" s="762" t="str">
        <f t="shared" si="170"/>
        <v>Avient Corp</v>
      </c>
      <c r="O216" s="1005">
        <v>1.1523625758112407E-2</v>
      </c>
      <c r="P216" s="1005">
        <v>2.2550288118800561E-2</v>
      </c>
      <c r="Q216" s="1005">
        <f t="shared" si="171"/>
        <v>1.1026662360688154E-2</v>
      </c>
      <c r="AI216" s="1005"/>
      <c r="AJ216" s="1005"/>
      <c r="AK216" s="1005"/>
      <c r="AL216" s="1005"/>
      <c r="AM216" s="1005"/>
      <c r="AN216" s="1005"/>
      <c r="AO216" s="1005"/>
      <c r="AP216" s="1005"/>
      <c r="AQ216" s="1005"/>
    </row>
    <row r="217" spans="14:43">
      <c r="N217" s="762" t="str">
        <f t="shared" si="170"/>
        <v>Huntsman Corp</v>
      </c>
      <c r="O217" s="1005">
        <v>0</v>
      </c>
      <c r="P217" s="1005">
        <v>3.0231099946309927E-2</v>
      </c>
      <c r="Q217" s="1005">
        <f t="shared" si="171"/>
        <v>3.0231099946309927E-2</v>
      </c>
      <c r="AI217" s="1005"/>
      <c r="AJ217" s="1005"/>
      <c r="AK217" s="1005"/>
      <c r="AL217" s="1005"/>
      <c r="AM217" s="1005"/>
      <c r="AN217" s="1005"/>
      <c r="AO217" s="1005"/>
      <c r="AP217" s="1005"/>
      <c r="AQ217" s="1005"/>
    </row>
    <row r="218" spans="14:43">
      <c r="AI218" s="1005"/>
      <c r="AJ218" s="1005"/>
      <c r="AK218" s="1005"/>
      <c r="AL218" s="1005"/>
      <c r="AM218" s="1005"/>
      <c r="AN218" s="1005"/>
      <c r="AO218" s="1005"/>
      <c r="AP218" s="1005"/>
      <c r="AQ218" s="1005"/>
    </row>
    <row r="219" spans="14:43">
      <c r="AI219" s="1005"/>
      <c r="AJ219" s="1005"/>
      <c r="AK219" s="1005"/>
      <c r="AL219" s="1005"/>
      <c r="AM219" s="1005"/>
      <c r="AN219" s="1005"/>
      <c r="AO219" s="1005"/>
      <c r="AP219" s="1005"/>
      <c r="AQ219" s="1005"/>
    </row>
    <row r="220" spans="14:43">
      <c r="AI220" s="1005"/>
      <c r="AJ220" s="1005"/>
      <c r="AK220" s="1005"/>
      <c r="AL220" s="1005"/>
      <c r="AM220" s="1005"/>
      <c r="AN220" s="1005"/>
      <c r="AO220" s="1005"/>
      <c r="AP220" s="1005"/>
      <c r="AQ220" s="1005"/>
    </row>
    <row r="221" spans="14:43">
      <c r="AI221" s="1005"/>
      <c r="AJ221" s="1005"/>
      <c r="AK221" s="1005"/>
      <c r="AL221" s="1005"/>
      <c r="AM221" s="1005"/>
      <c r="AN221" s="1005"/>
      <c r="AO221" s="1005"/>
      <c r="AP221" s="1005"/>
      <c r="AQ221" s="1005"/>
    </row>
    <row r="222" spans="14:43">
      <c r="AI222" s="1005"/>
      <c r="AJ222" s="1005"/>
      <c r="AK222" s="1005"/>
      <c r="AL222" s="1005"/>
      <c r="AM222" s="1005"/>
      <c r="AN222" s="1005"/>
      <c r="AO222" s="1005"/>
      <c r="AP222" s="1005"/>
      <c r="AQ222" s="1005"/>
    </row>
    <row r="223" spans="14:43">
      <c r="AI223" s="1005"/>
      <c r="AJ223" s="1005"/>
      <c r="AK223" s="1005"/>
      <c r="AL223" s="1005"/>
      <c r="AM223" s="1005"/>
      <c r="AN223" s="1005"/>
      <c r="AO223" s="1005"/>
      <c r="AP223" s="1005"/>
      <c r="AQ223" s="1005"/>
    </row>
    <row r="224" spans="14:43">
      <c r="AI224" s="1005"/>
      <c r="AJ224" s="1005"/>
      <c r="AK224" s="1005"/>
      <c r="AL224" s="1005"/>
      <c r="AM224" s="1005"/>
      <c r="AN224" s="1005"/>
      <c r="AO224" s="1005"/>
      <c r="AP224" s="1005"/>
      <c r="AQ224" s="1005"/>
    </row>
    <row r="225" spans="35:43">
      <c r="AI225" s="1005"/>
      <c r="AJ225" s="1005"/>
      <c r="AK225" s="1005"/>
      <c r="AL225" s="1005"/>
      <c r="AM225" s="1005"/>
      <c r="AN225" s="1005"/>
      <c r="AO225" s="1005"/>
      <c r="AP225" s="1005"/>
      <c r="AQ225" s="1005"/>
    </row>
    <row r="226" spans="35:43">
      <c r="AI226" s="1005"/>
      <c r="AJ226" s="1005"/>
      <c r="AK226" s="1005"/>
      <c r="AL226" s="1005"/>
      <c r="AM226" s="1005"/>
      <c r="AN226" s="1005"/>
      <c r="AO226" s="1005"/>
      <c r="AP226" s="1005"/>
      <c r="AQ226" s="1005"/>
    </row>
    <row r="227" spans="35:43">
      <c r="AI227" s="1005"/>
      <c r="AJ227" s="1005"/>
      <c r="AK227" s="1005"/>
      <c r="AL227" s="1005"/>
      <c r="AM227" s="1005"/>
      <c r="AN227" s="1005"/>
      <c r="AO227" s="1005"/>
      <c r="AP227" s="1005"/>
      <c r="AQ227" s="1005"/>
    </row>
    <row r="228" spans="35:43">
      <c r="AI228" s="1005"/>
      <c r="AJ228" s="1005"/>
      <c r="AK228" s="1005"/>
      <c r="AL228" s="1005"/>
      <c r="AM228" s="1005"/>
      <c r="AN228" s="1005"/>
      <c r="AO228" s="1005"/>
      <c r="AP228" s="1005"/>
      <c r="AQ228" s="1005"/>
    </row>
    <row r="229" spans="35:43">
      <c r="AI229" s="1005"/>
      <c r="AJ229" s="1005"/>
      <c r="AK229" s="1005"/>
      <c r="AL229" s="1005"/>
      <c r="AM229" s="1005"/>
      <c r="AN229" s="1005"/>
      <c r="AO229" s="1005"/>
      <c r="AP229" s="1005"/>
      <c r="AQ229" s="1005"/>
    </row>
    <row r="230" spans="35:43">
      <c r="AI230" s="1005"/>
      <c r="AJ230" s="1005"/>
      <c r="AK230" s="1005"/>
      <c r="AL230" s="1005"/>
      <c r="AM230" s="1005"/>
      <c r="AN230" s="1005"/>
      <c r="AO230" s="1005"/>
      <c r="AP230" s="1005"/>
      <c r="AQ230" s="1005"/>
    </row>
    <row r="231" spans="35:43">
      <c r="AI231" s="1005"/>
      <c r="AJ231" s="1005"/>
      <c r="AK231" s="1005"/>
      <c r="AL231" s="1005"/>
      <c r="AM231" s="1005"/>
      <c r="AN231" s="1005"/>
      <c r="AO231" s="1005"/>
      <c r="AP231" s="1005"/>
      <c r="AQ231" s="1005"/>
    </row>
    <row r="232" spans="35:43">
      <c r="AI232" s="1005"/>
      <c r="AJ232" s="1005"/>
      <c r="AK232" s="1005"/>
      <c r="AL232" s="1005"/>
      <c r="AM232" s="1005"/>
      <c r="AN232" s="1005"/>
      <c r="AO232" s="1005"/>
      <c r="AP232" s="1005"/>
      <c r="AQ232" s="1005"/>
    </row>
    <row r="233" spans="35:43">
      <c r="AI233" s="1005"/>
      <c r="AJ233" s="1005"/>
      <c r="AK233" s="1005"/>
      <c r="AL233" s="1005"/>
      <c r="AM233" s="1005"/>
      <c r="AN233" s="1005"/>
      <c r="AO233" s="1005"/>
      <c r="AP233" s="1005"/>
      <c r="AQ233" s="1005"/>
    </row>
    <row r="234" spans="35:43">
      <c r="AI234" s="1005"/>
      <c r="AJ234" s="1005"/>
      <c r="AK234" s="1005"/>
      <c r="AL234" s="1005"/>
      <c r="AM234" s="1005"/>
      <c r="AN234" s="1005"/>
      <c r="AO234" s="1005"/>
      <c r="AP234" s="1005"/>
      <c r="AQ234" s="1005"/>
    </row>
    <row r="235" spans="35:43">
      <c r="AI235" s="1005"/>
      <c r="AJ235" s="1005"/>
      <c r="AK235" s="1005"/>
      <c r="AL235" s="1005"/>
      <c r="AM235" s="1005"/>
      <c r="AN235" s="1005"/>
      <c r="AO235" s="1005"/>
      <c r="AP235" s="1005"/>
      <c r="AQ235" s="1005"/>
    </row>
    <row r="236" spans="35:43">
      <c r="AI236" s="1005"/>
      <c r="AJ236" s="1005"/>
      <c r="AK236" s="1005"/>
      <c r="AL236" s="1005"/>
      <c r="AM236" s="1005"/>
      <c r="AN236" s="1005"/>
      <c r="AO236" s="1005"/>
      <c r="AP236" s="1005"/>
      <c r="AQ236" s="1005"/>
    </row>
    <row r="237" spans="35:43">
      <c r="AI237" s="1005"/>
      <c r="AJ237" s="1005"/>
      <c r="AK237" s="1005"/>
      <c r="AL237" s="1005"/>
      <c r="AM237" s="1005"/>
      <c r="AN237" s="1005"/>
      <c r="AO237" s="1005"/>
      <c r="AP237" s="1005"/>
      <c r="AQ237" s="1005"/>
    </row>
    <row r="238" spans="35:43">
      <c r="AI238" s="1005"/>
      <c r="AJ238" s="1005"/>
      <c r="AK238" s="1005"/>
      <c r="AL238" s="1005"/>
      <c r="AM238" s="1005"/>
      <c r="AN238" s="1005"/>
      <c r="AO238" s="1005"/>
      <c r="AP238" s="1005"/>
      <c r="AQ238" s="1005"/>
    </row>
    <row r="239" spans="35:43">
      <c r="AI239" s="1005"/>
      <c r="AJ239" s="1005"/>
      <c r="AK239" s="1005"/>
      <c r="AL239" s="1005"/>
      <c r="AM239" s="1005"/>
      <c r="AN239" s="1005"/>
      <c r="AO239" s="1005"/>
      <c r="AP239" s="1005"/>
      <c r="AQ239" s="1005"/>
    </row>
    <row r="240" spans="35:43">
      <c r="AI240" s="1005"/>
      <c r="AJ240" s="1005"/>
      <c r="AK240" s="1005"/>
      <c r="AL240" s="1005"/>
      <c r="AM240" s="1005"/>
      <c r="AN240" s="1005"/>
      <c r="AO240" s="1005"/>
      <c r="AP240" s="1005"/>
      <c r="AQ240" s="1005"/>
    </row>
    <row r="241" spans="14:43">
      <c r="AI241" s="1005"/>
      <c r="AJ241" s="1005"/>
      <c r="AK241" s="1005"/>
      <c r="AL241" s="1005"/>
      <c r="AM241" s="1005"/>
      <c r="AN241" s="1005"/>
      <c r="AO241" s="1005"/>
      <c r="AP241" s="1005"/>
      <c r="AQ241" s="1005"/>
    </row>
    <row r="242" spans="14:43">
      <c r="AI242" s="1005"/>
      <c r="AJ242" s="1005"/>
      <c r="AK242" s="1005"/>
      <c r="AL242" s="1005"/>
      <c r="AM242" s="1005"/>
      <c r="AN242" s="1005"/>
      <c r="AO242" s="1005"/>
      <c r="AP242" s="1005"/>
      <c r="AQ242" s="1005"/>
    </row>
    <row r="243" spans="14:43">
      <c r="N243" s="762" t="s">
        <v>1662</v>
      </c>
      <c r="O243" s="1005" t="e">
        <f>AVERAGE(O111:O158)</f>
        <v>#DIV/0!</v>
      </c>
      <c r="P243" s="1005" t="e">
        <f t="shared" ref="P243:W243" si="172">AVERAGE(P111:P158)</f>
        <v>#DIV/0!</v>
      </c>
      <c r="Q243" s="1005" t="e">
        <f t="shared" si="172"/>
        <v>#DIV/0!</v>
      </c>
      <c r="R243" s="1005" t="e">
        <f t="shared" si="172"/>
        <v>#DIV/0!</v>
      </c>
      <c r="S243" s="1005" t="e">
        <f t="shared" si="172"/>
        <v>#DIV/0!</v>
      </c>
      <c r="T243" s="1005" t="e">
        <f t="shared" si="172"/>
        <v>#DIV/0!</v>
      </c>
      <c r="U243" s="1005" t="e">
        <f t="shared" si="172"/>
        <v>#DIV/0!</v>
      </c>
      <c r="V243" s="1005" t="e">
        <f t="shared" si="172"/>
        <v>#DIV/0!</v>
      </c>
      <c r="W243" s="1005" t="e">
        <f t="shared" si="172"/>
        <v>#DIV/0!</v>
      </c>
      <c r="AI243" s="1005"/>
      <c r="AJ243" s="1005"/>
      <c r="AK243" s="1005"/>
      <c r="AL243" s="1005"/>
      <c r="AM243" s="1005"/>
      <c r="AN243" s="1005"/>
      <c r="AO243" s="1005"/>
      <c r="AP243" s="1005"/>
      <c r="AQ243" s="1005"/>
    </row>
    <row r="244" spans="14:43">
      <c r="N244" s="762" t="s">
        <v>1663</v>
      </c>
      <c r="O244" s="1005" t="e">
        <f>AVERAGE(O159:O198)</f>
        <v>#DIV/0!</v>
      </c>
      <c r="P244" s="1005" t="e">
        <f t="shared" ref="P244:W244" si="173">AVERAGE(P159:P198)</f>
        <v>#DIV/0!</v>
      </c>
      <c r="Q244" s="1005" t="e">
        <f t="shared" si="173"/>
        <v>#DIV/0!</v>
      </c>
      <c r="R244" s="1005" t="e">
        <f t="shared" si="173"/>
        <v>#DIV/0!</v>
      </c>
      <c r="S244" s="1005" t="e">
        <f t="shared" si="173"/>
        <v>#DIV/0!</v>
      </c>
      <c r="T244" s="1005" t="e">
        <f t="shared" si="173"/>
        <v>#DIV/0!</v>
      </c>
      <c r="U244" s="1005" t="e">
        <f t="shared" si="173"/>
        <v>#DIV/0!</v>
      </c>
      <c r="V244" s="1005" t="e">
        <f t="shared" si="173"/>
        <v>#DIV/0!</v>
      </c>
      <c r="W244" s="1005" t="e">
        <f t="shared" si="173"/>
        <v>#DIV/0!</v>
      </c>
      <c r="AI244" s="1005"/>
      <c r="AJ244" s="1005"/>
      <c r="AK244" s="1005"/>
      <c r="AL244" s="1005"/>
      <c r="AM244" s="1005"/>
      <c r="AN244" s="1005"/>
      <c r="AO244" s="1005"/>
      <c r="AP244" s="1005"/>
      <c r="AQ244" s="1005"/>
    </row>
    <row r="245" spans="14:43">
      <c r="AI245" s="1005"/>
      <c r="AJ245" s="1005"/>
      <c r="AK245" s="1005"/>
      <c r="AL245" s="1005"/>
      <c r="AM245" s="1005"/>
      <c r="AN245" s="1005"/>
      <c r="AO245" s="1005"/>
      <c r="AP245" s="1005"/>
      <c r="AQ245" s="1005"/>
    </row>
    <row r="246" spans="14:43">
      <c r="O246" s="1005" t="e">
        <f>O244-O243</f>
        <v>#DIV/0!</v>
      </c>
      <c r="P246" s="1005" t="e">
        <f>P244-P243</f>
        <v>#DIV/0!</v>
      </c>
      <c r="Q246" s="1005" t="e">
        <f t="shared" ref="Q246:W246" si="174">Q244-Q243</f>
        <v>#DIV/0!</v>
      </c>
      <c r="R246" s="1005" t="e">
        <f t="shared" si="174"/>
        <v>#DIV/0!</v>
      </c>
      <c r="S246" s="1005" t="e">
        <f t="shared" si="174"/>
        <v>#DIV/0!</v>
      </c>
      <c r="T246" s="1005" t="e">
        <f t="shared" si="174"/>
        <v>#DIV/0!</v>
      </c>
      <c r="U246" s="1005" t="e">
        <f t="shared" si="174"/>
        <v>#DIV/0!</v>
      </c>
      <c r="V246" s="1005" t="e">
        <f t="shared" si="174"/>
        <v>#DIV/0!</v>
      </c>
      <c r="W246" s="1005" t="e">
        <f t="shared" si="174"/>
        <v>#DIV/0!</v>
      </c>
      <c r="AI246" s="1005"/>
      <c r="AJ246" s="1005"/>
      <c r="AK246" s="1005"/>
      <c r="AL246" s="1005"/>
      <c r="AM246" s="1005"/>
      <c r="AN246" s="1005"/>
      <c r="AO246" s="1005"/>
      <c r="AP246" s="1005"/>
      <c r="AQ246" s="1005"/>
    </row>
    <row r="247" spans="14:43">
      <c r="AI247" s="1005"/>
      <c r="AJ247" s="1005"/>
      <c r="AK247" s="1005"/>
      <c r="AL247" s="1005"/>
      <c r="AM247" s="1005"/>
      <c r="AN247" s="1005"/>
      <c r="AO247" s="1005"/>
      <c r="AP247" s="1005"/>
      <c r="AQ247" s="1005"/>
    </row>
    <row r="248" spans="14:43">
      <c r="AI248" s="1005"/>
      <c r="AJ248" s="1005"/>
      <c r="AK248" s="1005"/>
      <c r="AL248" s="1005"/>
      <c r="AM248" s="1005"/>
      <c r="AN248" s="1005"/>
      <c r="AO248" s="1005"/>
      <c r="AP248" s="1005"/>
      <c r="AQ248" s="1005"/>
    </row>
    <row r="249" spans="14:43">
      <c r="AI249" s="1005"/>
      <c r="AJ249" s="1005"/>
      <c r="AK249" s="1005"/>
      <c r="AL249" s="1005"/>
      <c r="AM249" s="1005"/>
      <c r="AN249" s="1005"/>
      <c r="AO249" s="1005"/>
      <c r="AP249" s="1005"/>
      <c r="AQ249" s="1005"/>
    </row>
    <row r="250" spans="14:43">
      <c r="AI250" s="1005"/>
      <c r="AJ250" s="1005"/>
      <c r="AK250" s="1005"/>
      <c r="AL250" s="1005"/>
      <c r="AM250" s="1005"/>
      <c r="AN250" s="1005"/>
      <c r="AO250" s="1005"/>
      <c r="AP250" s="1005"/>
      <c r="AQ250" s="1005"/>
    </row>
    <row r="251" spans="14:43">
      <c r="AI251" s="1005"/>
      <c r="AJ251" s="1005"/>
      <c r="AK251" s="1005"/>
      <c r="AL251" s="1005"/>
      <c r="AM251" s="1005"/>
      <c r="AN251" s="1005"/>
      <c r="AO251" s="1005"/>
      <c r="AP251" s="1005"/>
      <c r="AQ251" s="1005"/>
    </row>
    <row r="252" spans="14:43">
      <c r="AI252" s="1005"/>
      <c r="AJ252" s="1005"/>
      <c r="AK252" s="1005"/>
      <c r="AL252" s="1005"/>
      <c r="AM252" s="1005"/>
      <c r="AN252" s="1005"/>
      <c r="AO252" s="1005"/>
      <c r="AP252" s="1005"/>
      <c r="AQ252" s="1005"/>
    </row>
    <row r="253" spans="14:43">
      <c r="AI253" s="1005"/>
      <c r="AJ253" s="1005"/>
      <c r="AK253" s="1005"/>
      <c r="AL253" s="1005"/>
      <c r="AM253" s="1005"/>
      <c r="AN253" s="1005"/>
      <c r="AO253" s="1005"/>
      <c r="AP253" s="1005"/>
      <c r="AQ253" s="1005"/>
    </row>
    <row r="254" spans="14:43">
      <c r="AI254" s="1005"/>
      <c r="AJ254" s="1005"/>
      <c r="AK254" s="1005"/>
      <c r="AL254" s="1005"/>
      <c r="AM254" s="1005"/>
      <c r="AN254" s="1005"/>
      <c r="AO254" s="1005"/>
      <c r="AP254" s="1005"/>
      <c r="AQ254" s="1005"/>
    </row>
    <row r="255" spans="14:43">
      <c r="AI255" s="1005"/>
      <c r="AJ255" s="1005"/>
      <c r="AK255" s="1005"/>
      <c r="AL255" s="1005"/>
      <c r="AM255" s="1005"/>
      <c r="AN255" s="1005"/>
      <c r="AO255" s="1005"/>
      <c r="AP255" s="1005"/>
      <c r="AQ255" s="1005"/>
    </row>
    <row r="256" spans="14:43">
      <c r="AI256" s="1005"/>
      <c r="AJ256" s="1005"/>
      <c r="AK256" s="1005"/>
      <c r="AL256" s="1005"/>
      <c r="AM256" s="1005"/>
      <c r="AN256" s="1005"/>
      <c r="AO256" s="1005"/>
      <c r="AP256" s="1005"/>
      <c r="AQ256" s="1005"/>
    </row>
    <row r="257" spans="35:43">
      <c r="AI257" s="1005"/>
      <c r="AJ257" s="1005"/>
      <c r="AK257" s="1005"/>
      <c r="AL257" s="1005"/>
      <c r="AM257" s="1005"/>
      <c r="AN257" s="1005"/>
      <c r="AO257" s="1005"/>
      <c r="AP257" s="1005"/>
      <c r="AQ257" s="1005"/>
    </row>
    <row r="258" spans="35:43">
      <c r="AI258" s="1005"/>
      <c r="AJ258" s="1005"/>
      <c r="AK258" s="1005"/>
      <c r="AL258" s="1005"/>
      <c r="AM258" s="1005"/>
      <c r="AN258" s="1005"/>
      <c r="AO258" s="1005"/>
      <c r="AP258" s="1005"/>
      <c r="AQ258" s="1005"/>
    </row>
    <row r="259" spans="35:43">
      <c r="AI259" s="1005"/>
      <c r="AJ259" s="1005"/>
      <c r="AK259" s="1005"/>
      <c r="AL259" s="1005"/>
      <c r="AM259" s="1005"/>
      <c r="AN259" s="1005"/>
      <c r="AO259" s="1005"/>
      <c r="AP259" s="1005"/>
      <c r="AQ259" s="1005"/>
    </row>
    <row r="260" spans="35:43">
      <c r="AI260" s="1005"/>
      <c r="AJ260" s="1005"/>
      <c r="AK260" s="1005"/>
      <c r="AL260" s="1005"/>
      <c r="AM260" s="1005"/>
      <c r="AN260" s="1005"/>
      <c r="AO260" s="1005"/>
      <c r="AP260" s="1005"/>
      <c r="AQ260" s="1005"/>
    </row>
    <row r="261" spans="35:43">
      <c r="AI261" s="1005"/>
      <c r="AJ261" s="1005"/>
      <c r="AK261" s="1005"/>
      <c r="AL261" s="1005"/>
      <c r="AM261" s="1005"/>
      <c r="AN261" s="1005"/>
      <c r="AO261" s="1005"/>
      <c r="AP261" s="1005"/>
      <c r="AQ261" s="1005"/>
    </row>
    <row r="262" spans="35:43">
      <c r="AI262" s="1005"/>
      <c r="AJ262" s="1005"/>
      <c r="AK262" s="1005"/>
      <c r="AL262" s="1005"/>
      <c r="AM262" s="1005"/>
      <c r="AN262" s="1005"/>
      <c r="AO262" s="1005"/>
      <c r="AP262" s="1005"/>
      <c r="AQ262" s="1005"/>
    </row>
    <row r="263" spans="35:43">
      <c r="AI263" s="1005"/>
      <c r="AJ263" s="1005"/>
      <c r="AK263" s="1005"/>
      <c r="AL263" s="1005"/>
      <c r="AM263" s="1005"/>
      <c r="AN263" s="1005"/>
      <c r="AO263" s="1005"/>
      <c r="AP263" s="1005"/>
      <c r="AQ263" s="1005"/>
    </row>
    <row r="264" spans="35:43">
      <c r="AI264" s="1005"/>
      <c r="AJ264" s="1005"/>
      <c r="AK264" s="1005"/>
      <c r="AL264" s="1005"/>
      <c r="AM264" s="1005"/>
      <c r="AN264" s="1005"/>
      <c r="AO264" s="1005"/>
      <c r="AP264" s="1005"/>
      <c r="AQ264" s="1005"/>
    </row>
  </sheetData>
  <sortState xmlns:xlrd2="http://schemas.microsoft.com/office/spreadsheetml/2017/richdata2" ref="O209:P217">
    <sortCondition descending="1" ref="O209:O217"/>
  </sortState>
  <conditionalFormatting sqref="H138:H156">
    <cfRule type="colorScale" priority="3">
      <colorScale>
        <cfvo type="min"/>
        <cfvo type="percentile" val="50"/>
        <cfvo type="max"/>
        <color rgb="FFF8696B"/>
        <color rgb="FFFCFCFF"/>
        <color rgb="FF63BE7B"/>
      </colorScale>
    </cfRule>
  </conditionalFormatting>
  <conditionalFormatting sqref="I138:I156">
    <cfRule type="colorScale" priority="2">
      <colorScale>
        <cfvo type="min"/>
        <cfvo type="percentile" val="50"/>
        <cfvo type="max"/>
        <color rgb="FFF8696B"/>
        <color rgb="FFFCFCFF"/>
        <color rgb="FF63BE7B"/>
      </colorScale>
    </cfRule>
  </conditionalFormatting>
  <conditionalFormatting sqref="J139:J157">
    <cfRule type="colorScale" priority="1">
      <colorScale>
        <cfvo type="min"/>
        <cfvo type="percentile" val="50"/>
        <cfvo type="max"/>
        <color rgb="FFF8696B"/>
        <color rgb="FFFCFCFF"/>
        <color rgb="FF63BE7B"/>
      </colorScale>
    </cfRule>
  </conditionalFormatting>
  <conditionalFormatting sqref="P246:W246">
    <cfRule type="colorScale" priority="4">
      <colorScale>
        <cfvo type="min"/>
        <cfvo type="percentile" val="50"/>
        <cfvo type="max"/>
        <color rgb="FFF8696B"/>
        <color rgb="FFFCFCFF"/>
        <color rgb="FF63BE7B"/>
      </colorScale>
    </cfRule>
  </conditionalFormatting>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9DA4B-4634-4192-8D67-1875F1D113D6}">
  <sheetPr>
    <tabColor theme="9" tint="0.79998168889431442"/>
  </sheetPr>
  <dimension ref="A1:BW72"/>
  <sheetViews>
    <sheetView showGridLines="0" zoomScaleNormal="100" workbookViewId="0">
      <pane xSplit="4" ySplit="11" topLeftCell="E12" activePane="bottomRight" state="frozen"/>
      <selection activeCell="B18" sqref="B18"/>
      <selection pane="topRight" activeCell="B18" sqref="B18"/>
      <selection pane="bottomLeft" activeCell="B18" sqref="B18"/>
      <selection pane="bottomRight" activeCell="F38" sqref="F38"/>
    </sheetView>
  </sheetViews>
  <sheetFormatPr defaultColWidth="11.53125" defaultRowHeight="14.25" outlineLevelRow="1" outlineLevelCol="1"/>
  <cols>
    <col min="1" max="2" width="1.46484375" style="761" customWidth="1"/>
    <col min="3" max="3" width="8.796875" style="761" bestFit="1" customWidth="1"/>
    <col min="4" max="4" width="9.46484375" style="761" customWidth="1" outlineLevel="1"/>
    <col min="5" max="13" width="11.53125" style="765" customWidth="1"/>
    <col min="14" max="14" width="11.53125" style="762"/>
    <col min="15" max="15" width="22.53125" style="762" bestFit="1" customWidth="1"/>
    <col min="16" max="16" width="11.53125" style="765" customWidth="1" collapsed="1"/>
    <col min="17" max="24" width="11.53125" style="765" customWidth="1"/>
    <col min="25" max="25" width="18.796875" style="762" bestFit="1" customWidth="1"/>
    <col min="26" max="26" width="11.53125" style="765" collapsed="1"/>
    <col min="27" max="34" width="11.53125" style="765"/>
    <col min="35" max="45" width="11.53125" style="762"/>
    <col min="46" max="46" width="11.53125" style="765" collapsed="1"/>
    <col min="47" max="54" width="11.53125" style="765"/>
    <col min="55" max="56" width="11.53125" style="762"/>
    <col min="57" max="57" width="11.53125" style="765" collapsed="1"/>
    <col min="58" max="65" width="11.53125" style="765"/>
    <col min="66" max="66" width="11.53125" style="762"/>
    <col min="76" max="16384" width="11.53125" style="762"/>
  </cols>
  <sheetData>
    <row r="1" spans="1:65" ht="11.25" customHeight="1">
      <c r="A1" s="760" t="s">
        <v>1385</v>
      </c>
      <c r="E1" s="761"/>
      <c r="F1" s="761"/>
      <c r="G1" s="761"/>
      <c r="H1" s="761"/>
      <c r="I1" s="761"/>
      <c r="J1" s="761"/>
      <c r="K1" s="761"/>
      <c r="L1" s="761"/>
      <c r="M1" s="761"/>
      <c r="P1" s="761"/>
      <c r="Q1" s="761"/>
      <c r="R1" s="761"/>
      <c r="S1" s="761"/>
      <c r="T1" s="761"/>
      <c r="U1" s="761"/>
      <c r="V1" s="761"/>
      <c r="W1" s="761"/>
      <c r="X1" s="761"/>
      <c r="Z1" s="761"/>
      <c r="AA1" s="761"/>
      <c r="AB1" s="761"/>
      <c r="AC1" s="761"/>
      <c r="AD1" s="761"/>
      <c r="AE1" s="761"/>
      <c r="AF1" s="761"/>
      <c r="AG1" s="761"/>
      <c r="AH1" s="761"/>
      <c r="AT1" s="761"/>
      <c r="AU1" s="761"/>
      <c r="AV1" s="761"/>
      <c r="AW1" s="761"/>
      <c r="AX1" s="761"/>
      <c r="AY1" s="761"/>
      <c r="AZ1" s="761"/>
      <c r="BA1" s="761"/>
      <c r="BB1" s="761"/>
      <c r="BE1" s="761"/>
      <c r="BF1" s="761"/>
      <c r="BG1" s="761"/>
      <c r="BH1" s="761"/>
      <c r="BI1" s="761"/>
      <c r="BJ1" s="761"/>
      <c r="BK1" s="761"/>
      <c r="BL1" s="761"/>
      <c r="BM1" s="761"/>
    </row>
    <row r="2" spans="1:65" ht="11.25" customHeight="1">
      <c r="A2" s="763"/>
      <c r="E2" s="761"/>
      <c r="F2" s="761"/>
      <c r="G2" s="761"/>
      <c r="H2" s="761"/>
      <c r="I2" s="761"/>
      <c r="J2" s="761"/>
      <c r="K2" s="761"/>
      <c r="L2" s="761"/>
      <c r="M2" s="761"/>
      <c r="P2" s="761"/>
      <c r="Q2" s="761"/>
      <c r="R2" s="761"/>
      <c r="S2" s="761"/>
      <c r="T2" s="761"/>
      <c r="U2" s="761"/>
      <c r="V2" s="761"/>
      <c r="W2" s="761"/>
      <c r="X2" s="761"/>
      <c r="Z2" s="761"/>
      <c r="AA2" s="761"/>
      <c r="AB2" s="761"/>
      <c r="AC2" s="761"/>
      <c r="AD2" s="761"/>
      <c r="AE2" s="761"/>
      <c r="AF2" s="761"/>
      <c r="AG2" s="761"/>
      <c r="AH2" s="761"/>
      <c r="AT2" s="761"/>
      <c r="AU2" s="761"/>
      <c r="AV2" s="761"/>
      <c r="AW2" s="761"/>
      <c r="AX2" s="761"/>
      <c r="AY2" s="761"/>
      <c r="AZ2" s="761"/>
      <c r="BA2" s="761"/>
      <c r="BB2" s="761"/>
      <c r="BE2" s="761"/>
      <c r="BF2" s="761"/>
      <c r="BG2" s="761"/>
      <c r="BH2" s="761"/>
      <c r="BI2" s="761"/>
      <c r="BJ2" s="761"/>
      <c r="BK2" s="761"/>
      <c r="BL2" s="761"/>
      <c r="BM2" s="761"/>
    </row>
    <row r="3" spans="1:65" ht="11.25" customHeight="1">
      <c r="E3" s="764" t="s">
        <v>925</v>
      </c>
      <c r="F3" s="761"/>
      <c r="H3" s="761"/>
      <c r="I3" s="761"/>
      <c r="J3" s="761"/>
      <c r="K3" s="761"/>
      <c r="L3" s="761"/>
      <c r="M3" s="761"/>
      <c r="P3" s="764" t="s">
        <v>925</v>
      </c>
      <c r="Q3" s="761"/>
      <c r="S3" s="761"/>
      <c r="T3" s="761"/>
      <c r="U3" s="761"/>
      <c r="V3" s="761"/>
      <c r="W3" s="761"/>
      <c r="X3" s="761"/>
      <c r="Z3" s="764" t="s">
        <v>925</v>
      </c>
      <c r="AA3" s="761"/>
      <c r="AC3" s="761"/>
      <c r="AD3" s="761"/>
      <c r="AE3" s="761"/>
      <c r="AF3" s="761"/>
      <c r="AG3" s="761"/>
      <c r="AH3" s="761"/>
      <c r="AT3" s="764" t="s">
        <v>925</v>
      </c>
      <c r="AU3" s="761"/>
      <c r="AW3" s="761"/>
      <c r="AX3" s="761"/>
      <c r="AY3" s="761"/>
      <c r="AZ3" s="761"/>
      <c r="BA3" s="761"/>
      <c r="BB3" s="761"/>
      <c r="BE3" s="764" t="s">
        <v>925</v>
      </c>
      <c r="BF3" s="1043">
        <v>0</v>
      </c>
      <c r="BH3" s="761"/>
      <c r="BI3" s="761"/>
      <c r="BJ3" s="761"/>
      <c r="BK3" s="761"/>
      <c r="BL3" s="761"/>
      <c r="BM3" s="761"/>
    </row>
    <row r="4" spans="1:65" ht="11.25" customHeight="1">
      <c r="E4" s="764" t="s">
        <v>1153</v>
      </c>
      <c r="F4" s="761"/>
      <c r="H4" s="761"/>
      <c r="I4" s="761"/>
      <c r="J4" s="761"/>
      <c r="K4" s="761"/>
      <c r="L4" s="761"/>
      <c r="M4" s="761"/>
      <c r="P4" s="764" t="s">
        <v>534</v>
      </c>
      <c r="Q4" s="761"/>
      <c r="S4" s="761"/>
      <c r="T4" s="761"/>
      <c r="U4" s="761"/>
      <c r="V4" s="761"/>
      <c r="W4" s="761"/>
      <c r="X4" s="761"/>
      <c r="Z4" s="764" t="s">
        <v>534</v>
      </c>
      <c r="AA4" s="761"/>
      <c r="AC4" s="761"/>
      <c r="AD4" s="761"/>
      <c r="AE4" s="761"/>
      <c r="AF4" s="761"/>
      <c r="AG4" s="761"/>
      <c r="AH4" s="761"/>
      <c r="AT4" s="764" t="s">
        <v>1153</v>
      </c>
      <c r="AU4" s="761"/>
      <c r="AW4" s="761"/>
      <c r="AX4" s="761"/>
      <c r="AY4" s="761"/>
      <c r="AZ4" s="761"/>
      <c r="BA4" s="761"/>
      <c r="BB4" s="761"/>
      <c r="BE4" s="764" t="s">
        <v>1153</v>
      </c>
      <c r="BF4" s="761"/>
      <c r="BH4" s="761"/>
      <c r="BI4" s="761"/>
      <c r="BJ4" s="761"/>
      <c r="BK4" s="761"/>
      <c r="BL4" s="761"/>
      <c r="BM4" s="761"/>
    </row>
    <row r="5" spans="1:65" ht="11.25" customHeight="1">
      <c r="E5" s="761"/>
      <c r="F5" s="761"/>
      <c r="G5" s="761"/>
      <c r="H5" s="761"/>
      <c r="I5" s="761"/>
      <c r="J5" s="761"/>
      <c r="K5" s="761"/>
      <c r="L5" s="761"/>
      <c r="M5" s="761"/>
      <c r="P5" s="761"/>
      <c r="Q5" s="761"/>
      <c r="R5" s="761"/>
      <c r="S5" s="761"/>
      <c r="T5" s="761"/>
      <c r="U5" s="761"/>
      <c r="V5" s="761"/>
      <c r="W5" s="761"/>
      <c r="X5" s="761"/>
      <c r="Z5" s="761"/>
      <c r="AA5" s="761"/>
      <c r="AB5" s="761"/>
      <c r="AC5" s="761"/>
      <c r="AD5" s="761"/>
      <c r="AE5" s="761"/>
      <c r="AF5" s="761"/>
      <c r="AG5" s="761"/>
      <c r="AH5" s="761"/>
      <c r="AT5" s="761"/>
      <c r="AU5" s="761"/>
      <c r="AV5" s="761"/>
      <c r="AW5" s="761"/>
      <c r="AX5" s="761"/>
      <c r="AY5" s="761"/>
      <c r="AZ5" s="761"/>
      <c r="BA5" s="761"/>
      <c r="BB5" s="761"/>
      <c r="BE5" s="761"/>
      <c r="BF5" s="761"/>
      <c r="BG5" s="761"/>
      <c r="BH5" s="761"/>
      <c r="BI5" s="761"/>
      <c r="BJ5" s="761"/>
      <c r="BK5" s="761"/>
      <c r="BL5" s="761"/>
      <c r="BM5" s="761"/>
    </row>
    <row r="6" spans="1:65" s="767" customFormat="1" ht="10.5" outlineLevel="1">
      <c r="A6" s="763"/>
      <c r="B6" s="763"/>
      <c r="C6" s="763"/>
      <c r="D6" s="766" t="s">
        <v>1154</v>
      </c>
      <c r="E6" s="763" t="s">
        <v>1386</v>
      </c>
      <c r="F6" s="763" t="str">
        <f t="shared" ref="F6:M6" si="0">+$E$6</f>
        <v>TR.PtoFCFSmartEst</v>
      </c>
      <c r="G6" s="763" t="str">
        <f t="shared" si="0"/>
        <v>TR.PtoFCFSmartEst</v>
      </c>
      <c r="H6" s="763" t="str">
        <f t="shared" si="0"/>
        <v>TR.PtoFCFSmartEst</v>
      </c>
      <c r="I6" s="763" t="str">
        <f t="shared" si="0"/>
        <v>TR.PtoFCFSmartEst</v>
      </c>
      <c r="J6" s="763" t="str">
        <f t="shared" si="0"/>
        <v>TR.PtoFCFSmartEst</v>
      </c>
      <c r="K6" s="763" t="str">
        <f t="shared" si="0"/>
        <v>TR.PtoFCFSmartEst</v>
      </c>
      <c r="L6" s="763" t="str">
        <f t="shared" si="0"/>
        <v>TR.PtoFCFSmartEst</v>
      </c>
      <c r="M6" s="763" t="str">
        <f t="shared" si="0"/>
        <v>TR.PtoFCFSmartEst</v>
      </c>
      <c r="P6" s="763" t="s">
        <v>1387</v>
      </c>
      <c r="Q6" s="763" t="s">
        <v>1387</v>
      </c>
      <c r="R6" s="763" t="s">
        <v>1387</v>
      </c>
      <c r="S6" s="763" t="s">
        <v>1387</v>
      </c>
      <c r="T6" s="763" t="s">
        <v>1387</v>
      </c>
      <c r="U6" s="763" t="s">
        <v>1387</v>
      </c>
      <c r="V6" s="763" t="s">
        <v>1387</v>
      </c>
      <c r="W6" s="763" t="s">
        <v>1387</v>
      </c>
      <c r="X6" s="763" t="s">
        <v>1387</v>
      </c>
      <c r="Z6" s="763" t="s">
        <v>1388</v>
      </c>
      <c r="AA6" s="763" t="s">
        <v>1388</v>
      </c>
      <c r="AB6" s="763" t="s">
        <v>1388</v>
      </c>
      <c r="AC6" s="763" t="s">
        <v>1388</v>
      </c>
      <c r="AD6" s="763" t="s">
        <v>1388</v>
      </c>
      <c r="AE6" s="763" t="s">
        <v>1388</v>
      </c>
      <c r="AF6" s="763" t="s">
        <v>1388</v>
      </c>
      <c r="AG6" s="763" t="s">
        <v>1388</v>
      </c>
      <c r="AH6" s="763" t="s">
        <v>1388</v>
      </c>
      <c r="AT6" s="763" t="s">
        <v>1394</v>
      </c>
      <c r="AU6" s="763" t="s">
        <v>1394</v>
      </c>
      <c r="AV6" s="763" t="s">
        <v>1394</v>
      </c>
      <c r="AW6" s="763" t="s">
        <v>1394</v>
      </c>
      <c r="AX6" s="763" t="s">
        <v>1394</v>
      </c>
      <c r="AY6" s="763" t="s">
        <v>1394</v>
      </c>
      <c r="AZ6" s="763" t="s">
        <v>1394</v>
      </c>
      <c r="BA6" s="763" t="s">
        <v>1394</v>
      </c>
      <c r="BB6" s="763" t="s">
        <v>1394</v>
      </c>
      <c r="BE6" s="763" t="s">
        <v>1418</v>
      </c>
      <c r="BF6" s="763" t="s">
        <v>1418</v>
      </c>
      <c r="BG6" s="763" t="s">
        <v>1418</v>
      </c>
      <c r="BH6" s="763" t="s">
        <v>1418</v>
      </c>
      <c r="BI6" s="763" t="s">
        <v>1418</v>
      </c>
      <c r="BJ6" s="763" t="s">
        <v>1418</v>
      </c>
      <c r="BK6" s="763" t="s">
        <v>1418</v>
      </c>
      <c r="BL6" s="763" t="s">
        <v>1418</v>
      </c>
      <c r="BM6" s="763" t="s">
        <v>1418</v>
      </c>
    </row>
    <row r="7" spans="1:65" s="767" customFormat="1" ht="10.5" outlineLevel="1">
      <c r="A7" s="763"/>
      <c r="B7" s="763"/>
      <c r="C7" s="763"/>
      <c r="D7" s="766" t="s">
        <v>623</v>
      </c>
      <c r="E7" s="768" t="s">
        <v>637</v>
      </c>
      <c r="F7" s="768" t="s">
        <v>1194</v>
      </c>
      <c r="G7" s="768" t="s">
        <v>1197</v>
      </c>
      <c r="H7" s="768" t="s">
        <v>1156</v>
      </c>
      <c r="I7" s="768" t="s">
        <v>1157</v>
      </c>
      <c r="J7" s="768" t="s">
        <v>1362</v>
      </c>
      <c r="K7" s="768" t="s">
        <v>1363</v>
      </c>
      <c r="L7" s="768" t="s">
        <v>1364</v>
      </c>
      <c r="M7" s="768" t="s">
        <v>1365</v>
      </c>
      <c r="P7" s="768" t="s">
        <v>637</v>
      </c>
      <c r="Q7" s="768" t="s">
        <v>1194</v>
      </c>
      <c r="R7" s="768" t="s">
        <v>1197</v>
      </c>
      <c r="S7" s="768" t="s">
        <v>1156</v>
      </c>
      <c r="T7" s="768" t="s">
        <v>1157</v>
      </c>
      <c r="U7" s="768" t="s">
        <v>1362</v>
      </c>
      <c r="V7" s="768" t="s">
        <v>1363</v>
      </c>
      <c r="W7" s="768" t="s">
        <v>1364</v>
      </c>
      <c r="X7" s="768" t="s">
        <v>1365</v>
      </c>
      <c r="Z7" s="768" t="s">
        <v>637</v>
      </c>
      <c r="AA7" s="768" t="s">
        <v>1194</v>
      </c>
      <c r="AB7" s="768" t="s">
        <v>1197</v>
      </c>
      <c r="AC7" s="768" t="s">
        <v>1156</v>
      </c>
      <c r="AD7" s="768" t="s">
        <v>1157</v>
      </c>
      <c r="AE7" s="768" t="s">
        <v>1362</v>
      </c>
      <c r="AF7" s="768" t="s">
        <v>1363</v>
      </c>
      <c r="AG7" s="768" t="s">
        <v>1364</v>
      </c>
      <c r="AH7" s="768" t="s">
        <v>1365</v>
      </c>
      <c r="AT7" s="768" t="s">
        <v>637</v>
      </c>
      <c r="AU7" s="768" t="s">
        <v>1194</v>
      </c>
      <c r="AV7" s="768" t="s">
        <v>1197</v>
      </c>
      <c r="AW7" s="768" t="s">
        <v>1156</v>
      </c>
      <c r="AX7" s="768" t="s">
        <v>1157</v>
      </c>
      <c r="AY7" s="768" t="s">
        <v>1362</v>
      </c>
      <c r="AZ7" s="768" t="s">
        <v>1363</v>
      </c>
      <c r="BA7" s="768" t="s">
        <v>1364</v>
      </c>
      <c r="BB7" s="768" t="s">
        <v>1365</v>
      </c>
      <c r="BE7" s="768" t="s">
        <v>637</v>
      </c>
      <c r="BF7" s="768" t="s">
        <v>1194</v>
      </c>
      <c r="BG7" s="768" t="s">
        <v>1197</v>
      </c>
      <c r="BH7" s="768" t="s">
        <v>1156</v>
      </c>
      <c r="BI7" s="768" t="s">
        <v>1157</v>
      </c>
      <c r="BJ7" s="768" t="s">
        <v>1362</v>
      </c>
      <c r="BK7" s="768" t="s">
        <v>1363</v>
      </c>
      <c r="BL7" s="768" t="s">
        <v>1364</v>
      </c>
      <c r="BM7" s="768" t="s">
        <v>1365</v>
      </c>
    </row>
    <row r="8" spans="1:65" ht="11.25" customHeight="1">
      <c r="E8" s="760"/>
      <c r="F8" s="760"/>
      <c r="G8" s="760"/>
      <c r="H8" s="760"/>
      <c r="I8" s="760"/>
      <c r="J8" s="760"/>
      <c r="K8" s="760"/>
      <c r="L8" s="760"/>
      <c r="M8" s="760"/>
      <c r="P8" s="760"/>
      <c r="Q8" s="760"/>
      <c r="R8" s="760"/>
      <c r="S8" s="760"/>
      <c r="T8" s="760"/>
      <c r="U8" s="760"/>
      <c r="V8" s="760"/>
      <c r="W8" s="760"/>
      <c r="X8" s="760"/>
      <c r="Z8" s="760"/>
      <c r="AA8" s="760"/>
      <c r="AB8" s="760"/>
      <c r="AC8" s="760"/>
      <c r="AD8" s="760"/>
      <c r="AE8" s="760"/>
      <c r="AF8" s="760"/>
      <c r="AG8" s="760"/>
      <c r="AH8" s="760"/>
      <c r="AT8" s="760"/>
      <c r="AU8" s="760"/>
      <c r="AV8" s="760"/>
      <c r="AW8" s="760"/>
      <c r="AX8" s="760"/>
      <c r="AY8" s="760"/>
      <c r="AZ8" s="760"/>
      <c r="BA8" s="760"/>
      <c r="BB8" s="760"/>
      <c r="BE8" s="760"/>
      <c r="BF8" s="760"/>
      <c r="BG8" s="760"/>
      <c r="BH8" s="760"/>
      <c r="BI8" s="760"/>
      <c r="BJ8" s="760"/>
      <c r="BK8" s="760"/>
      <c r="BL8" s="760"/>
      <c r="BM8" s="760"/>
    </row>
    <row r="9" spans="1:65" s="770" customFormat="1" ht="11.25" customHeight="1">
      <c r="A9" s="760"/>
      <c r="B9" s="760"/>
      <c r="C9" s="760"/>
      <c r="D9" s="760"/>
      <c r="E9" s="769" t="s">
        <v>1158</v>
      </c>
      <c r="F9" s="769"/>
      <c r="G9" s="769"/>
      <c r="H9" s="769"/>
      <c r="I9" s="769"/>
      <c r="J9" s="769"/>
      <c r="K9" s="769"/>
      <c r="L9" s="769"/>
      <c r="M9" s="769"/>
      <c r="N9" s="762"/>
      <c r="O9" s="762"/>
      <c r="P9" s="769" t="s">
        <v>1389</v>
      </c>
      <c r="Q9" s="769"/>
      <c r="R9" s="769"/>
      <c r="S9" s="769"/>
      <c r="T9" s="769"/>
      <c r="U9" s="769"/>
      <c r="V9" s="769"/>
      <c r="W9" s="769"/>
      <c r="X9" s="769"/>
      <c r="Y9" s="762"/>
      <c r="Z9" s="769" t="s">
        <v>814</v>
      </c>
      <c r="AA9" s="769"/>
      <c r="AB9" s="769"/>
      <c r="AC9" s="769"/>
      <c r="AD9" s="769"/>
      <c r="AE9" s="769"/>
      <c r="AF9" s="769"/>
      <c r="AG9" s="769"/>
      <c r="AH9" s="769"/>
      <c r="AT9" s="769" t="s">
        <v>1229</v>
      </c>
      <c r="AU9" s="769"/>
      <c r="AV9" s="769"/>
      <c r="AW9" s="769"/>
      <c r="AX9" s="769"/>
      <c r="AY9" s="769"/>
      <c r="AZ9" s="769"/>
      <c r="BA9" s="769"/>
      <c r="BB9" s="769"/>
      <c r="BE9" s="769" t="s">
        <v>1419</v>
      </c>
      <c r="BF9" s="769"/>
      <c r="BG9" s="769"/>
      <c r="BH9" s="769"/>
      <c r="BI9" s="769"/>
      <c r="BJ9" s="769"/>
      <c r="BK9" s="769"/>
      <c r="BL9" s="769"/>
      <c r="BM9" s="769"/>
    </row>
    <row r="10" spans="1:65" ht="5.2" customHeight="1">
      <c r="E10" s="771"/>
      <c r="F10" s="772"/>
      <c r="G10" s="761"/>
      <c r="H10" s="761"/>
      <c r="I10" s="761"/>
      <c r="J10" s="761"/>
      <c r="K10" s="761"/>
      <c r="L10" s="761"/>
      <c r="M10" s="761"/>
      <c r="P10" s="771"/>
      <c r="Q10" s="772"/>
      <c r="R10" s="761"/>
      <c r="S10" s="761"/>
      <c r="T10" s="761"/>
      <c r="U10" s="761"/>
      <c r="V10" s="761"/>
      <c r="W10" s="761"/>
      <c r="X10" s="761"/>
      <c r="Z10" s="771"/>
      <c r="AA10" s="772"/>
      <c r="AB10" s="761"/>
      <c r="AC10" s="761"/>
      <c r="AD10" s="761"/>
      <c r="AE10" s="761"/>
      <c r="AF10" s="761"/>
      <c r="AG10" s="761"/>
      <c r="AH10" s="761"/>
      <c r="AT10" s="771"/>
      <c r="AU10" s="772"/>
      <c r="AV10" s="761"/>
      <c r="AW10" s="761"/>
      <c r="AX10" s="761"/>
      <c r="AY10" s="761"/>
      <c r="AZ10" s="761"/>
      <c r="BA10" s="761"/>
      <c r="BB10" s="761"/>
      <c r="BE10" s="771"/>
      <c r="BF10" s="772"/>
      <c r="BG10" s="761"/>
      <c r="BH10" s="761"/>
      <c r="BI10" s="761"/>
      <c r="BJ10" s="761"/>
      <c r="BK10" s="761"/>
      <c r="BL10" s="761"/>
      <c r="BM10" s="761"/>
    </row>
    <row r="11" spans="1:65" ht="20.25">
      <c r="A11" s="773"/>
      <c r="B11" s="773"/>
      <c r="C11" s="774" t="s">
        <v>579</v>
      </c>
      <c r="D11" s="774" t="s">
        <v>1159</v>
      </c>
      <c r="E11" s="774" t="str" cm="1">
        <f t="array" aca="1" ref="E11" ca="1">IF(Reuters=1,_xll.TR(E7,"TR.CommonName"),E11)</f>
        <v>Eastman Chemical Co</v>
      </c>
      <c r="F11" s="774" t="str" cm="1">
        <f t="array" aca="1" ref="F11" ca="1">IF(Reuters=1,_xll.TR(F7,"TR.CommonName"),F11)</f>
        <v>Celanese Corp</v>
      </c>
      <c r="G11" s="774" t="str" cm="1">
        <f t="array" aca="1" ref="G11" ca="1">IF(Reuters=1,_xll.TR(G7,"TR.CommonName"),G11)</f>
        <v>BASF SE</v>
      </c>
      <c r="H11" s="774" t="str" cm="1">
        <f t="array" aca="1" ref="H11" ca="1">IF(Reuters=1,_xll.TR(H7,"TR.CommonName"),H11)</f>
        <v>Dow Inc</v>
      </c>
      <c r="I11" s="774" t="str" cm="1">
        <f t="array" aca="1" ref="I11" ca="1">IF(Reuters=1,_xll.TR(I7,"TR.CommonName"),I11)</f>
        <v>LyondellBasell Industries NV</v>
      </c>
      <c r="J11" s="774" t="str" cm="1">
        <f t="array" aca="1" ref="J11" ca="1">IF(Reuters=1,_xll.TR(J7,"TR.CommonName"),J11)</f>
        <v>Dupont De Nemours Inc</v>
      </c>
      <c r="K11" s="774" t="str" cm="1">
        <f t="array" aca="1" ref="K11" ca="1">IF(Reuters=1,_xll.TR(K7,"TR.CommonName"),K11)</f>
        <v>Avient Corp</v>
      </c>
      <c r="L11" s="774" t="str" cm="1">
        <f t="array" aca="1" ref="L11" ca="1">IF(Reuters=1,_xll.TR(L7,"TR.CommonName"),L11)</f>
        <v>Olin Corp</v>
      </c>
      <c r="M11" s="774" t="str" cm="1">
        <f t="array" aca="1" ref="M11" ca="1">IF(Reuters=1,_xll.TR(M7,"TR.CommonName"),M11)</f>
        <v>Westlake Corp</v>
      </c>
      <c r="P11" s="774" t="str" cm="1">
        <f t="array" aca="1" ref="P11" ca="1">IF(Reuters=1,_xll.TR(P7,"TR.CommonName"),P11)</f>
        <v>Eastman Chemical Co</v>
      </c>
      <c r="Q11" s="774" t="str" cm="1">
        <f t="array" aca="1" ref="Q11" ca="1">IF(Reuters=1,_xll.TR(Q7,"TR.CommonName"),Q11)</f>
        <v>Celanese Corp</v>
      </c>
      <c r="R11" s="774" t="str" cm="1">
        <f t="array" aca="1" ref="R11" ca="1">IF(Reuters=1,_xll.TR(R7,"TR.CommonName"),R11)</f>
        <v>BASF SE</v>
      </c>
      <c r="S11" s="774" t="str" cm="1">
        <f t="array" aca="1" ref="S11" ca="1">IF(Reuters=1,_xll.TR(S7,"TR.CommonName"),S11)</f>
        <v>Dow Inc</v>
      </c>
      <c r="T11" s="774" t="str" cm="1">
        <f t="array" aca="1" ref="T11" ca="1">IF(Reuters=1,_xll.TR(T7,"TR.CommonName"),T11)</f>
        <v>LyondellBasell Industries NV</v>
      </c>
      <c r="U11" s="774" t="str" cm="1">
        <f t="array" aca="1" ref="U11" ca="1">IF(Reuters=1,_xll.TR(U7,"TR.CommonName"),U11)</f>
        <v>Dupont De Nemours Inc</v>
      </c>
      <c r="V11" s="774" t="str" cm="1">
        <f t="array" aca="1" ref="V11" ca="1">IF(Reuters=1,_xll.TR(V7,"TR.CommonName"),V11)</f>
        <v>Avient Corp</v>
      </c>
      <c r="W11" s="774" t="str" cm="1">
        <f t="array" aca="1" ref="W11" ca="1">IF(Reuters=1,_xll.TR(W7,"TR.CommonName"),W11)</f>
        <v>Olin Corp</v>
      </c>
      <c r="X11" s="774" t="str" cm="1">
        <f t="array" aca="1" ref="X11" ca="1">IF(Reuters=1,_xll.TR(X7,"TR.CommonName"),X11)</f>
        <v>Westlake Corp</v>
      </c>
      <c r="Z11" s="774" t="str" cm="1">
        <f t="array" aca="1" ref="Z11" ca="1">IF(Reuters=1,_xll.TR(Z7,"TR.CommonName"),Z11)</f>
        <v>Eastman Chemical Co</v>
      </c>
      <c r="AA11" s="774" t="str" cm="1">
        <f t="array" aca="1" ref="AA11" ca="1">IF(Reuters=1,_xll.TR(AA7,"TR.CommonName"),AA11)</f>
        <v>Celanese Corp</v>
      </c>
      <c r="AB11" s="774" t="str" cm="1">
        <f t="array" aca="1" ref="AB11" ca="1">IF(Reuters=1,_xll.TR(AB7,"TR.CommonName"),AB11)</f>
        <v>BASF SE</v>
      </c>
      <c r="AC11" s="774" t="str" cm="1">
        <f t="array" aca="1" ref="AC11" ca="1">IF(Reuters=1,_xll.TR(AC7,"TR.CommonName"),AC11)</f>
        <v>Dow Inc</v>
      </c>
      <c r="AD11" s="774" t="str" cm="1">
        <f t="array" aca="1" ref="AD11" ca="1">IF(Reuters=1,_xll.TR(AD7,"TR.CommonName"),AD11)</f>
        <v>LyondellBasell Industries NV</v>
      </c>
      <c r="AE11" s="774" t="str" cm="1">
        <f t="array" aca="1" ref="AE11" ca="1">IF(Reuters=1,_xll.TR(AE7,"TR.CommonName"),AE11)</f>
        <v>Dupont De Nemours Inc</v>
      </c>
      <c r="AF11" s="774" t="str" cm="1">
        <f t="array" aca="1" ref="AF11" ca="1">IF(Reuters=1,_xll.TR(AF7,"TR.CommonName"),AF11)</f>
        <v>Avient Corp</v>
      </c>
      <c r="AG11" s="774" t="str" cm="1">
        <f t="array" aca="1" ref="AG11" ca="1">IF(Reuters=1,_xll.TR(AG7,"TR.CommonName"),AG11)</f>
        <v>Olin Corp</v>
      </c>
      <c r="AH11" s="774" t="str" cm="1">
        <f t="array" aca="1" ref="AH11" ca="1">IF(Reuters=1,_xll.TR(AH7,"TR.CommonName"),AH11)</f>
        <v>Westlake Corp</v>
      </c>
      <c r="AJ11" s="774"/>
      <c r="AK11" s="774"/>
      <c r="AL11" s="774"/>
      <c r="AM11" s="774"/>
      <c r="AN11" s="774"/>
      <c r="AO11" s="774"/>
      <c r="AP11" s="774"/>
      <c r="AQ11" s="774"/>
      <c r="AR11" s="774"/>
      <c r="AT11" s="774" t="str" cm="1">
        <f t="array" aca="1" ref="AT11" ca="1">IF(Reuters=1,_xll.TR(AT7,"TR.CommonName"),AT11)</f>
        <v>Eastman Chemical Co</v>
      </c>
      <c r="AU11" s="774" t="str" cm="1">
        <f t="array" aca="1" ref="AU11" ca="1">IF(Reuters=1,_xll.TR(AU7,"TR.CommonName"),AU11)</f>
        <v>Celanese Corp</v>
      </c>
      <c r="AV11" s="774" t="str" cm="1">
        <f t="array" aca="1" ref="AV11" ca="1">IF(Reuters=1,_xll.TR(AV7,"TR.CommonName"),AV11)</f>
        <v>BASF SE</v>
      </c>
      <c r="AW11" s="774" t="str" cm="1">
        <f t="array" aca="1" ref="AW11" ca="1">IF(Reuters=1,_xll.TR(AW7,"TR.CommonName"),AW11)</f>
        <v>Dow Inc</v>
      </c>
      <c r="AX11" s="774" t="str" cm="1">
        <f t="array" aca="1" ref="AX11" ca="1">IF(Reuters=1,_xll.TR(AX7,"TR.CommonName"),AX11)</f>
        <v>LyondellBasell Industries NV</v>
      </c>
      <c r="AY11" s="774" t="str" cm="1">
        <f t="array" aca="1" ref="AY11" ca="1">IF(Reuters=1,_xll.TR(AY7,"TR.CommonName"),AY11)</f>
        <v>Dupont De Nemours Inc</v>
      </c>
      <c r="AZ11" s="774" t="str" cm="1">
        <f t="array" aca="1" ref="AZ11" ca="1">IF(Reuters=1,_xll.TR(AZ7,"TR.CommonName"),AZ11)</f>
        <v>Avient Corp</v>
      </c>
      <c r="BA11" s="774" t="str" cm="1">
        <f t="array" aca="1" ref="BA11" ca="1">IF(Reuters=1,_xll.TR(BA7,"TR.CommonName"),BA11)</f>
        <v>Olin Corp</v>
      </c>
      <c r="BB11" s="774" t="str" cm="1">
        <f t="array" aca="1" ref="BB11" ca="1">IF(Reuters=1,_xll.TR(BB7,"TR.CommonName"),BB11)</f>
        <v>Westlake Corp</v>
      </c>
      <c r="BE11" s="774" t="str" cm="1">
        <f t="array" aca="1" ref="BE11" ca="1">IF(Reuters=1,_xll.TR(BE7,"TR.CommonName"),BE11)</f>
        <v>Eastman Chemical Co</v>
      </c>
      <c r="BF11" s="774" t="str" cm="1">
        <f t="array" aca="1" ref="BF11" ca="1">IF(Reuters=1,_xll.TR(BF7,"TR.CommonName"),BF11)</f>
        <v>Celanese Corp</v>
      </c>
      <c r="BG11" s="774" t="str" cm="1">
        <f t="array" aca="1" ref="BG11" ca="1">IF(Reuters=1,_xll.TR(BG7,"TR.CommonName"),BG11)</f>
        <v>BASF SE</v>
      </c>
      <c r="BH11" s="774" t="str" cm="1">
        <f t="array" aca="1" ref="BH11" ca="1">IF(Reuters=1,_xll.TR(BH7,"TR.CommonName"),BH11)</f>
        <v>Dow Inc</v>
      </c>
      <c r="BI11" s="774" t="str" cm="1">
        <f t="array" aca="1" ref="BI11" ca="1">IF(Reuters=1,_xll.TR(BI7,"TR.CommonName"),BI11)</f>
        <v>LyondellBasell Industries NV</v>
      </c>
      <c r="BJ11" s="774" t="str" cm="1">
        <f t="array" aca="1" ref="BJ11" ca="1">IF(Reuters=1,_xll.TR(BJ7,"TR.CommonName"),BJ11)</f>
        <v>Dupont De Nemours Inc</v>
      </c>
      <c r="BK11" s="774" t="str" cm="1">
        <f t="array" aca="1" ref="BK11" ca="1">IF(Reuters=1,_xll.TR(BK7,"TR.CommonName"),BK11)</f>
        <v>Avient Corp</v>
      </c>
      <c r="BL11" s="774" t="str" cm="1">
        <f t="array" aca="1" ref="BL11" ca="1">IF(Reuters=1,_xll.TR(BL7,"TR.CommonName"),BL11)</f>
        <v>Olin Corp</v>
      </c>
      <c r="BM11" s="774" t="str" cm="1">
        <f t="array" aca="1" ref="BM11" ca="1">IF(Reuters=1,_xll.TR(BM7,"TR.CommonName"),BM11)</f>
        <v>Westlake Corp</v>
      </c>
    </row>
    <row r="12" spans="1:65" ht="5.2" customHeight="1">
      <c r="A12" s="762"/>
      <c r="B12" s="762"/>
      <c r="C12" s="762"/>
      <c r="D12" s="762"/>
      <c r="E12" s="762"/>
      <c r="F12" s="762"/>
      <c r="G12" s="762"/>
      <c r="H12" s="762"/>
      <c r="I12" s="762"/>
      <c r="J12" s="762"/>
      <c r="K12" s="762"/>
      <c r="L12" s="762"/>
      <c r="M12" s="762"/>
      <c r="P12" s="762"/>
      <c r="Q12" s="762"/>
      <c r="R12" s="762"/>
      <c r="S12" s="762"/>
      <c r="T12" s="762"/>
      <c r="U12" s="762"/>
      <c r="V12" s="762"/>
      <c r="W12" s="762"/>
      <c r="X12" s="762"/>
      <c r="Z12" s="762"/>
      <c r="AA12" s="762"/>
      <c r="AB12" s="762"/>
      <c r="AC12" s="762"/>
      <c r="AD12" s="762"/>
      <c r="AE12" s="762"/>
      <c r="AF12" s="762"/>
      <c r="AG12" s="762"/>
      <c r="AH12" s="762"/>
      <c r="AT12" s="762"/>
      <c r="AU12" s="762"/>
      <c r="AV12" s="762"/>
      <c r="AW12" s="762"/>
      <c r="AX12" s="762"/>
      <c r="AY12" s="762"/>
      <c r="AZ12" s="762"/>
      <c r="BA12" s="762"/>
      <c r="BB12" s="762"/>
      <c r="BE12" s="762"/>
      <c r="BF12" s="762"/>
      <c r="BG12" s="762"/>
      <c r="BH12" s="762"/>
      <c r="BI12" s="762"/>
      <c r="BJ12" s="762"/>
      <c r="BK12" s="762"/>
      <c r="BL12" s="762"/>
      <c r="BM12" s="762"/>
    </row>
    <row r="13" spans="1:65" ht="11.25" customHeight="1" outlineLevel="1">
      <c r="A13" s="762"/>
      <c r="B13" s="762"/>
      <c r="C13" s="762" t="s">
        <v>1160</v>
      </c>
      <c r="D13" s="762"/>
      <c r="E13" s="775">
        <v>1</v>
      </c>
      <c r="F13" s="775">
        <v>1</v>
      </c>
      <c r="G13" s="775">
        <v>1</v>
      </c>
      <c r="H13" s="775">
        <v>1</v>
      </c>
      <c r="I13" s="775">
        <v>1</v>
      </c>
      <c r="J13" s="775">
        <v>1</v>
      </c>
      <c r="K13" s="775">
        <v>1</v>
      </c>
      <c r="L13" s="775">
        <v>1</v>
      </c>
      <c r="M13" s="775">
        <v>1</v>
      </c>
      <c r="P13" s="997">
        <v>1</v>
      </c>
      <c r="Q13" s="997">
        <v>1</v>
      </c>
      <c r="R13" s="997">
        <v>1</v>
      </c>
      <c r="S13" s="997">
        <v>1</v>
      </c>
      <c r="T13" s="997">
        <v>1</v>
      </c>
      <c r="U13" s="997">
        <v>1</v>
      </c>
      <c r="V13" s="997">
        <v>1</v>
      </c>
      <c r="W13" s="997">
        <v>1</v>
      </c>
      <c r="X13" s="997">
        <v>1</v>
      </c>
      <c r="Y13" s="998"/>
      <c r="Z13" s="997">
        <v>1</v>
      </c>
      <c r="AA13" s="997">
        <v>1</v>
      </c>
      <c r="AB13" s="997">
        <v>1</v>
      </c>
      <c r="AC13" s="997">
        <v>1</v>
      </c>
      <c r="AD13" s="997">
        <v>1</v>
      </c>
      <c r="AE13" s="997">
        <v>1</v>
      </c>
      <c r="AF13" s="997">
        <v>1</v>
      </c>
      <c r="AG13" s="997">
        <v>1</v>
      </c>
      <c r="AH13" s="997">
        <v>1</v>
      </c>
      <c r="AT13" s="775">
        <f t="shared" ref="AT13:BB13" ca="1" si="1">MIN(AT22:AT60)</f>
        <v>8.80833333333333</v>
      </c>
      <c r="AU13" s="775">
        <f t="shared" ca="1" si="1"/>
        <v>11.7</v>
      </c>
      <c r="AV13" s="775">
        <f t="shared" ca="1" si="1"/>
        <v>5.6791666666666698</v>
      </c>
      <c r="AW13" s="775">
        <f t="shared" ca="1" si="1"/>
        <v>4.2766633333333299</v>
      </c>
      <c r="AX13" s="775">
        <f t="shared" ca="1" si="1"/>
        <v>9.0812500000000007</v>
      </c>
      <c r="AY13" s="775">
        <f t="shared" ca="1" si="1"/>
        <v>6.7208333333333297</v>
      </c>
      <c r="AZ13" s="775">
        <f t="shared" ca="1" si="1"/>
        <v>5.56666666666667</v>
      </c>
      <c r="BA13" s="775">
        <f t="shared" ca="1" si="1"/>
        <v>-1.86666666666667</v>
      </c>
      <c r="BB13" s="775">
        <f t="shared" ca="1" si="1"/>
        <v>2.4866633333333299</v>
      </c>
      <c r="BE13" s="775">
        <f t="shared" ref="BE13:BM13" ca="1" si="2">MIN(BE22:BE60)</f>
        <v>14015.93225946</v>
      </c>
      <c r="BF13" s="775">
        <f t="shared" ca="1" si="2"/>
        <v>10344.324282080001</v>
      </c>
      <c r="BG13" s="775">
        <f t="shared" ca="1" si="2"/>
        <v>62434.617683274999</v>
      </c>
      <c r="BH13" s="775">
        <f t="shared" ca="1" si="2"/>
        <v>45172.69172825</v>
      </c>
      <c r="BI13" s="775">
        <f t="shared" ca="1" si="2"/>
        <v>37801.762911099999</v>
      </c>
      <c r="BJ13" s="775">
        <f t="shared" ca="1" si="2"/>
        <v>37030.427937560002</v>
      </c>
      <c r="BK13" s="775">
        <f t="shared" ca="1" si="2"/>
        <v>2650.3008344</v>
      </c>
      <c r="BL13" s="775">
        <f t="shared" ca="1" si="2"/>
        <v>2522.25262208</v>
      </c>
      <c r="BM13" s="775">
        <f t="shared" ca="1" si="2"/>
        <v>5486.5470795199999</v>
      </c>
    </row>
    <row r="14" spans="1:65" ht="11.25" customHeight="1" outlineLevel="1">
      <c r="A14" s="762"/>
      <c r="B14" s="762"/>
      <c r="C14" s="762" t="s">
        <v>1161</v>
      </c>
      <c r="D14" s="762"/>
      <c r="E14" s="775">
        <v>30</v>
      </c>
      <c r="F14" s="775">
        <v>30</v>
      </c>
      <c r="G14" s="775">
        <v>30</v>
      </c>
      <c r="H14" s="775">
        <v>30</v>
      </c>
      <c r="I14" s="775">
        <v>30</v>
      </c>
      <c r="J14" s="775">
        <v>30</v>
      </c>
      <c r="K14" s="775">
        <v>30</v>
      </c>
      <c r="L14" s="775">
        <v>30</v>
      </c>
      <c r="M14" s="775">
        <v>30</v>
      </c>
      <c r="P14" s="997">
        <f t="shared" ref="P14:X14" ca="1" si="3">MAX(P22:P60)</f>
        <v>1325</v>
      </c>
      <c r="Q14" s="997">
        <f t="shared" ca="1" si="3"/>
        <v>1499</v>
      </c>
      <c r="R14" s="997">
        <f t="shared" ca="1" si="3"/>
        <v>5644</v>
      </c>
      <c r="S14" s="997">
        <f t="shared" ca="1" si="3"/>
        <v>6692</v>
      </c>
      <c r="T14" s="997">
        <f t="shared" ca="1" si="3"/>
        <v>6561</v>
      </c>
      <c r="U14" s="997">
        <f t="shared" ca="1" si="3"/>
        <v>2901</v>
      </c>
      <c r="V14" s="997">
        <f t="shared" ca="1" si="3"/>
        <v>292.89999999999998</v>
      </c>
      <c r="W14" s="997">
        <f t="shared" ca="1" si="3"/>
        <v>1774.5</v>
      </c>
      <c r="X14" s="997">
        <f t="shared" ca="1" si="3"/>
        <v>2287</v>
      </c>
      <c r="Y14" s="998"/>
      <c r="Z14" s="997">
        <f t="shared" ref="Z14:AH14" ca="1" si="4">MAX(Z20:Z60)</f>
        <v>17609.220897290001</v>
      </c>
      <c r="AA14" s="997">
        <f t="shared" ca="1" si="4"/>
        <v>18831.037706399999</v>
      </c>
      <c r="AB14" s="997">
        <f t="shared" ca="1" si="4"/>
        <v>85455.257689759994</v>
      </c>
      <c r="AC14" s="997">
        <f t="shared" ca="1" si="4"/>
        <v>52162.272734860002</v>
      </c>
      <c r="AD14" s="997">
        <f t="shared" ca="1" si="4"/>
        <v>53710.678251274599</v>
      </c>
      <c r="AE14" s="997">
        <f t="shared" ca="1" si="4"/>
        <v>78793.660607764701</v>
      </c>
      <c r="AF14" s="997">
        <f t="shared" ca="1" si="4"/>
        <v>5413.5449546</v>
      </c>
      <c r="AG14" s="997">
        <f t="shared" ca="1" si="4"/>
        <v>10267.095973199999</v>
      </c>
      <c r="AH14" s="997">
        <f t="shared" ca="1" si="4"/>
        <v>16753.377059999999</v>
      </c>
      <c r="AI14" s="1001" t="s">
        <v>1395</v>
      </c>
      <c r="AJ14" s="1001"/>
      <c r="AK14" s="1001"/>
      <c r="AL14" s="1001"/>
      <c r="AM14" s="1001"/>
      <c r="AN14" s="1001"/>
      <c r="AO14" s="1001"/>
      <c r="AP14" s="1001"/>
      <c r="AQ14" s="1001"/>
      <c r="AR14" s="1001"/>
      <c r="AS14" s="1001"/>
      <c r="AT14" s="775">
        <f t="shared" ref="AT14:BB14" ca="1" si="5">MAX(AT20:AT60)</f>
        <v>17.033333333333299</v>
      </c>
      <c r="AU14" s="775">
        <f t="shared" ca="1" si="5"/>
        <v>21.1</v>
      </c>
      <c r="AV14" s="775">
        <f t="shared" ca="1" si="5"/>
        <v>14.8523833333333</v>
      </c>
      <c r="AW14" s="775">
        <f t="shared" ca="1" si="5"/>
        <v>16.033333333333299</v>
      </c>
      <c r="AX14" s="775">
        <f t="shared" ca="1" si="5"/>
        <v>26.980555833333302</v>
      </c>
      <c r="AY14" s="775">
        <f t="shared" ca="1" si="5"/>
        <v>22.862500000000001</v>
      </c>
      <c r="AZ14" s="775">
        <f t="shared" ca="1" si="5"/>
        <v>12.4</v>
      </c>
      <c r="BA14" s="775">
        <f t="shared" ca="1" si="5"/>
        <v>15.1</v>
      </c>
      <c r="BB14" s="775">
        <f t="shared" ca="1" si="5"/>
        <v>16.95</v>
      </c>
      <c r="BE14" s="775">
        <f t="shared" ref="BE14:BM14" ca="1" si="6">MAX(BE20:BE60)</f>
        <v>21026.07191332</v>
      </c>
      <c r="BF14" s="775">
        <f t="shared" ca="1" si="6"/>
        <v>26520.17975422</v>
      </c>
      <c r="BG14" s="775">
        <f t="shared" ca="1" si="6"/>
        <v>96002.277202600002</v>
      </c>
      <c r="BH14" s="775">
        <f t="shared" ca="1" si="6"/>
        <v>56772.28632798</v>
      </c>
      <c r="BI14" s="775">
        <f t="shared" ca="1" si="6"/>
        <v>48488.88581616</v>
      </c>
      <c r="BJ14" s="775">
        <f t="shared" ca="1" si="6"/>
        <v>184787.94889570001</v>
      </c>
      <c r="BK14" s="775">
        <f t="shared" ca="1" si="6"/>
        <v>6072.6813920699997</v>
      </c>
      <c r="BL14" s="775">
        <f t="shared" ca="1" si="6"/>
        <v>10542.087664520001</v>
      </c>
      <c r="BM14" s="775">
        <f t="shared" ca="1" si="6"/>
        <v>18361.976708940001</v>
      </c>
    </row>
    <row r="15" spans="1:65" ht="11.25" customHeight="1">
      <c r="A15" s="762"/>
      <c r="B15" s="762"/>
      <c r="C15" s="762"/>
      <c r="D15" s="762"/>
      <c r="E15" s="762"/>
      <c r="F15" s="762"/>
      <c r="G15" s="762"/>
      <c r="H15" s="762"/>
      <c r="I15" s="762"/>
      <c r="J15" s="762"/>
      <c r="K15" s="762"/>
      <c r="L15" s="762"/>
      <c r="M15" s="762"/>
      <c r="P15" s="998"/>
      <c r="Q15" s="998"/>
      <c r="R15" s="998"/>
      <c r="S15" s="998"/>
      <c r="T15" s="998"/>
      <c r="U15" s="998"/>
      <c r="V15" s="998"/>
      <c r="W15" s="998"/>
      <c r="X15" s="998"/>
      <c r="Y15" s="998"/>
      <c r="Z15" s="998"/>
      <c r="AA15" s="998"/>
      <c r="AB15" s="998"/>
      <c r="AC15" s="998"/>
      <c r="AD15" s="998"/>
      <c r="AE15" s="998"/>
      <c r="AF15" s="998"/>
      <c r="AG15" s="998"/>
      <c r="AH15" s="998"/>
      <c r="AT15" s="1003">
        <f>_xlfn.XLOOKUP(AT7,'Peer Analysiss'!$B$12:$B$27,'Peer Analysiss'!$EL$12:$EL$27)</f>
        <v>7.6585533433844102</v>
      </c>
      <c r="AU15" s="1003">
        <f>_xlfn.XLOOKUP(AU7,'Peer Analysiss'!$B$12:$B$27,'Peer Analysiss'!$EL$12:$EL$27)</f>
        <v>8.4167920164571903</v>
      </c>
      <c r="AV15" s="1003">
        <f>_xlfn.XLOOKUP(AV7,'Peer Analysiss'!$B$12:$B$27,'Peer Analysiss'!$EL$12:$EL$27)</f>
        <v>6.3673259962186401</v>
      </c>
      <c r="AW15" s="1003">
        <f>_xlfn.XLOOKUP(AW7,'Peer Analysiss'!$B$12:$B$27,'Peer Analysiss'!$EL$12:$EL$27)</f>
        <v>7.1834033156799704</v>
      </c>
      <c r="AX15" s="1003">
        <f>_xlfn.XLOOKUP(AX7,'Peer Analysiss'!$B$12:$B$27,'Peer Analysiss'!$EL$12:$EL$27)</f>
        <v>6.5972906681438497</v>
      </c>
      <c r="AY15" s="1003">
        <f>_xlfn.XLOOKUP(AY7,'Peer Analysiss'!$B$12:$B$27,'Peer Analysiss'!$EL$12:$EL$27)</f>
        <v>10.3580251779157</v>
      </c>
      <c r="AZ15" s="1003">
        <f>_xlfn.XLOOKUP(AZ7,'Peer Analysiss'!$B$12:$B$27,'Peer Analysiss'!$EL$12:$EL$27)</f>
        <v>8.9985662475123007</v>
      </c>
      <c r="BA15" s="1003">
        <f>_xlfn.XLOOKUP(BA7,'Peer Analysiss'!$B$12:$B$27,'Peer Analysiss'!$EL$12:$EL$27)</f>
        <v>5.3264673069112503</v>
      </c>
      <c r="BB15" s="1003" t="e">
        <f>_xlfn.XLOOKUP(BB7,'Peer Analysiss'!$B$12:$B$27,'Peer Analysiss'!$EL$12:$EL$27)</f>
        <v>#N/A</v>
      </c>
      <c r="BE15" s="1003">
        <f>_xlfn.XLOOKUP(BE7,'Peer Analysiss'!$B$12:$B$27,'Peer Analysiss'!$EL$12:$EL$27)</f>
        <v>7.6585533433844102</v>
      </c>
      <c r="BF15" s="1003">
        <f>_xlfn.XLOOKUP(BF7,'Peer Analysiss'!$B$12:$B$27,'Peer Analysiss'!$EL$12:$EL$27)</f>
        <v>8.4167920164571903</v>
      </c>
      <c r="BG15" s="1003">
        <f>_xlfn.XLOOKUP(BG7,'Peer Analysiss'!$B$12:$B$27,'Peer Analysiss'!$EL$12:$EL$27)</f>
        <v>6.3673259962186401</v>
      </c>
      <c r="BH15" s="1003">
        <f>_xlfn.XLOOKUP(BH7,'Peer Analysiss'!$B$12:$B$27,'Peer Analysiss'!$EL$12:$EL$27)</f>
        <v>7.1834033156799704</v>
      </c>
      <c r="BI15" s="1003">
        <f>_xlfn.XLOOKUP(BI7,'Peer Analysiss'!$B$12:$B$27,'Peer Analysiss'!$EL$12:$EL$27)</f>
        <v>6.5972906681438497</v>
      </c>
      <c r="BJ15" s="1003">
        <f>_xlfn.XLOOKUP(BJ7,'Peer Analysiss'!$B$12:$B$27,'Peer Analysiss'!$EL$12:$EL$27)</f>
        <v>10.3580251779157</v>
      </c>
      <c r="BK15" s="1003">
        <f>_xlfn.XLOOKUP(BK7,'Peer Analysiss'!$B$12:$B$27,'Peer Analysiss'!$EL$12:$EL$27)</f>
        <v>8.9985662475123007</v>
      </c>
      <c r="BL15" s="1003">
        <f>_xlfn.XLOOKUP(BL7,'Peer Analysiss'!$B$12:$B$27,'Peer Analysiss'!$EL$12:$EL$27)</f>
        <v>5.3264673069112503</v>
      </c>
      <c r="BM15" s="1003" t="e">
        <f>_xlfn.XLOOKUP(BM7,'Peer Analysiss'!$B$12:$B$27,'Peer Analysiss'!$EL$12:$EL$27)</f>
        <v>#N/A</v>
      </c>
    </row>
    <row r="16" spans="1:65" s="770" customFormat="1" ht="11.25" customHeight="1">
      <c r="C16" s="776" t="s">
        <v>482</v>
      </c>
      <c r="E16" s="777">
        <f t="shared" ref="E16:M16" ca="1" si="7">+AVERAGEIFS(E20:E97,E20:E97,"&lt;"&amp;E$14,E20:E97,"&gt;"&amp;E$13)</f>
        <v>12.104875777014813</v>
      </c>
      <c r="F16" s="777">
        <f t="shared" ca="1" si="7"/>
        <v>14.063588195112578</v>
      </c>
      <c r="G16" s="777">
        <f t="shared" ca="1" si="7"/>
        <v>16.865047332717044</v>
      </c>
      <c r="H16" s="777">
        <f t="shared" ca="1" si="7"/>
        <v>10.982638313045587</v>
      </c>
      <c r="I16" s="777">
        <f t="shared" ca="1" si="7"/>
        <v>11.417276800697366</v>
      </c>
      <c r="J16" s="777">
        <f t="shared" ca="1" si="7"/>
        <v>14.197380390955411</v>
      </c>
      <c r="K16" s="777">
        <f t="shared" ca="1" si="7"/>
        <v>15.071750247718338</v>
      </c>
      <c r="L16" s="777">
        <f t="shared" ca="1" si="7"/>
        <v>8.9251525317500402</v>
      </c>
      <c r="M16" s="777">
        <f t="shared" ca="1" si="7"/>
        <v>13.395725871086874</v>
      </c>
      <c r="N16" s="762"/>
      <c r="O16" s="762"/>
      <c r="P16" s="999">
        <f t="shared" ref="P16:X16" ca="1" si="8">+AVERAGEIFS(P20:P97,P20:P97,"&lt;"&amp;P$14,P20:P97,"&gt;"&amp;P$13)</f>
        <v>955.18181818181813</v>
      </c>
      <c r="Q16" s="999">
        <f t="shared" ca="1" si="8"/>
        <v>842.19354838709683</v>
      </c>
      <c r="R16" s="999">
        <f t="shared" ca="1" si="8"/>
        <v>3138.0714285714284</v>
      </c>
      <c r="S16" s="999">
        <f t="shared" ca="1" si="8"/>
        <v>4804.166666666667</v>
      </c>
      <c r="T16" s="999">
        <f t="shared" ca="1" si="8"/>
        <v>3204.3461538461538</v>
      </c>
      <c r="U16" s="999">
        <f t="shared" ca="1" si="8"/>
        <v>1395.4545454545455</v>
      </c>
      <c r="V16" s="999">
        <f t="shared" ca="1" si="8"/>
        <v>156.59999999999997</v>
      </c>
      <c r="W16" s="999">
        <f t="shared" ca="1" si="8"/>
        <v>578.97500000000002</v>
      </c>
      <c r="X16" s="999">
        <f t="shared" ca="1" si="8"/>
        <v>1064.9627894736841</v>
      </c>
      <c r="Y16" s="998"/>
      <c r="Z16" s="999">
        <f t="shared" ref="Z16:AH16" ca="1" si="9">+AVERAGEIFS(Z20:Z97,Z20:Z97,"&lt;"&amp;Z$14,Z20:Z97,"&gt;"&amp;Z$13)</f>
        <v>11865.906868613001</v>
      </c>
      <c r="AA16" s="999">
        <f t="shared" ca="1" si="9"/>
        <v>12021.03684216</v>
      </c>
      <c r="AB16" s="999">
        <f t="shared" ca="1" si="9"/>
        <v>63680.474910517747</v>
      </c>
      <c r="AC16" s="999">
        <f t="shared" ca="1" si="9"/>
        <v>39190.259689491992</v>
      </c>
      <c r="AD16" s="999">
        <f t="shared" ca="1" si="9"/>
        <v>34075.729532136189</v>
      </c>
      <c r="AE16" s="999">
        <f t="shared" ca="1" si="9"/>
        <v>47100.285328676444</v>
      </c>
      <c r="AF16" s="999">
        <f t="shared" ca="1" si="9"/>
        <v>3180.2488031339994</v>
      </c>
      <c r="AG16" s="999">
        <f t="shared" ca="1" si="9"/>
        <v>4064.2013717759996</v>
      </c>
      <c r="AH16" s="999">
        <f t="shared" ca="1" si="9"/>
        <v>9553.3863282050006</v>
      </c>
      <c r="AT16" s="777">
        <f t="shared" ref="AT16:BB16" ca="1" si="10">+AVERAGEIFS(AT20:AT97,AT20:AT97,"&lt;"&amp;AT$14,AT20:AT97,"&gt;"&amp;AT$13)</f>
        <v>11.810623378378381</v>
      </c>
      <c r="AU16" s="777">
        <f t="shared" ca="1" si="10"/>
        <v>17.369068851351347</v>
      </c>
      <c r="AV16" s="777">
        <f t="shared" ca="1" si="10"/>
        <v>10.70719862270751</v>
      </c>
      <c r="AW16" s="777">
        <f t="shared" ca="1" si="10"/>
        <v>9.8582701374177724</v>
      </c>
      <c r="AX16" s="777">
        <f t="shared" ca="1" si="10"/>
        <v>20.234920833333334</v>
      </c>
      <c r="AY16" s="777">
        <f t="shared" ca="1" si="10"/>
        <v>12.525078143392809</v>
      </c>
      <c r="AZ16" s="777">
        <f t="shared" ca="1" si="10"/>
        <v>9.940155054239673</v>
      </c>
      <c r="BA16" s="777">
        <f t="shared" ca="1" si="10"/>
        <v>5.7579869928866731</v>
      </c>
      <c r="BB16" s="777">
        <f t="shared" ca="1" si="10"/>
        <v>8.251991157407403</v>
      </c>
      <c r="BE16" s="777">
        <f t="shared" ref="BE16:BM16" ca="1" si="11">+AVERAGEIFS(BE20:BE97,BE20:BE97,"&lt;"&amp;BE$14,BE20:BE97,"&gt;"&amp;BE$13)</f>
        <v>17427.099268028753</v>
      </c>
      <c r="BF16" s="777">
        <f t="shared" ca="1" si="11"/>
        <v>15458.070852553752</v>
      </c>
      <c r="BG16" s="777">
        <f t="shared" ca="1" si="11"/>
        <v>80239.542630227501</v>
      </c>
      <c r="BH16" s="777">
        <f t="shared" ca="1" si="11"/>
        <v>54080.30802384</v>
      </c>
      <c r="BI16" s="777">
        <f t="shared" ca="1" si="11"/>
        <v>43640.202263598752</v>
      </c>
      <c r="BJ16" s="777">
        <f t="shared" ca="1" si="11"/>
        <v>68499.466863387497</v>
      </c>
      <c r="BK16" s="777">
        <f t="shared" ca="1" si="11"/>
        <v>4272.3683229262497</v>
      </c>
      <c r="BL16" s="777">
        <f t="shared" ca="1" si="11"/>
        <v>6817.0956469450002</v>
      </c>
      <c r="BM16" s="777">
        <f t="shared" ca="1" si="11"/>
        <v>12511.912448320001</v>
      </c>
    </row>
    <row r="17" spans="1:65" s="770" customFormat="1" ht="11.25" customHeight="1">
      <c r="C17" s="776" t="s">
        <v>1162</v>
      </c>
      <c r="E17" s="777" cm="1">
        <f t="array" aca="1" ref="E17" ca="1">+E16-_xlfn.STDEV.P(IF(E20:E94&lt;E$14,IF(E20:E94&gt;E$13,E20:E94)))</f>
        <v>9.792091041238006</v>
      </c>
      <c r="F17" s="777" cm="1">
        <f t="array" aca="1" ref="F17" ca="1">+F16-_xlfn.STDEV.P(IF(F20:F94&lt;F$14,IF(F20:F94&gt;F$13,F20:F94)))</f>
        <v>10.70352980008548</v>
      </c>
      <c r="G17" s="777" cm="1">
        <f t="array" aca="1" ref="G17" ca="1">+G16-_xlfn.STDEV.P(IF(G20:G94&lt;G$14,IF(G20:G94&gt;G$13,G20:G94)))</f>
        <v>13.850429511835749</v>
      </c>
      <c r="H17" s="777" cm="1">
        <f t="array" aca="1" ref="H17" ca="1">+H16-_xlfn.STDEV.P(IF(H20:H94&lt;H$14,IF(H20:H94&gt;H$13,H20:H94)))</f>
        <v>8.2910751107824812</v>
      </c>
      <c r="I17" s="777" cm="1">
        <f t="array" aca="1" ref="I17" ca="1">+I16-_xlfn.STDEV.P(IF(I20:I94&lt;I$14,IF(I20:I94&gt;I$13,I20:I94)))</f>
        <v>9.0307034502022709</v>
      </c>
      <c r="J17" s="777" cm="1">
        <f t="array" aca="1" ref="J17" ca="1">+J16-_xlfn.STDEV.P(IF(J20:J94&lt;J$14,IF(J20:J94&gt;J$13,J20:J94)))</f>
        <v>7.8883610023777884</v>
      </c>
      <c r="K17" s="777" cm="1">
        <f t="array" aca="1" ref="K17" ca="1">+K16-_xlfn.STDEV.P(IF(K20:K94&lt;K$14,IF(K20:K94&gt;K$13,K20:K94)))</f>
        <v>11.979265064233676</v>
      </c>
      <c r="L17" s="777" cm="1">
        <f t="array" aca="1" ref="L17" ca="1">+L16-_xlfn.STDEV.P(IF(L20:L94&lt;L$14,IF(L20:L94&gt;L$13,L20:L94)))</f>
        <v>5.3029448710303351</v>
      </c>
      <c r="M17" s="777" cm="1">
        <f t="array" aca="1" ref="M17" ca="1">+M16-_xlfn.STDEV.P(IF(M20:M94&lt;M$14,IF(M20:M94&gt;M$13,M20:M94)))</f>
        <v>8.2774089135558082</v>
      </c>
      <c r="N17" s="762"/>
      <c r="O17" s="762"/>
      <c r="P17" s="999" cm="1">
        <f t="array" aca="1" ref="P17" ca="1">+P16-_xlfn.STDEV.P(IF(P20:P94&lt;P$14,IF(P20:P94&gt;P$13,P20:P94)))</f>
        <v>709.56429653047348</v>
      </c>
      <c r="Q17" s="999" cm="1">
        <f t="array" aca="1" ref="Q17" ca="1">+Q16-_xlfn.STDEV.P(IF(Q20:Q94&lt;Q$14,IF(Q20:Q94&gt;Q$13,Q20:Q94)))</f>
        <v>496.09525735527029</v>
      </c>
      <c r="R17" s="999" cm="1">
        <f t="array" aca="1" ref="R17" ca="1">+R16-_xlfn.STDEV.P(IF(R20:R94&lt;R$14,IF(R20:R94&gt;R$13,R20:R94)))</f>
        <v>2119.6231716428711</v>
      </c>
      <c r="S17" s="999" cm="1">
        <f t="array" aca="1" ref="S17" ca="1">+S16-_xlfn.STDEV.P(IF(S20:S94&lt;S$14,IF(S20:S94&gt;S$13,S20:S94)))</f>
        <v>4025.9128698739869</v>
      </c>
      <c r="T17" s="999" cm="1">
        <f t="array" aca="1" ref="T17" ca="1">+T16-_xlfn.STDEV.P(IF(T20:T94&lt;T$14,IF(T20:T94&gt;T$13,T20:T94)))</f>
        <v>1972.6342762512822</v>
      </c>
      <c r="U17" s="999" cm="1">
        <f t="array" aca="1" ref="U17" ca="1">+U16-_xlfn.STDEV.P(IF(U20:U94&lt;U$14,IF(U20:U94&gt;U$13,U20:U94)))</f>
        <v>560.16533439306977</v>
      </c>
      <c r="V17" s="999" cm="1">
        <f t="array" aca="1" ref="V17" ca="1">+V16-_xlfn.STDEV.P(IF(V20:V94&lt;V$14,IF(V20:V94&gt;V$13,V20:V94)))</f>
        <v>117.71199842282104</v>
      </c>
      <c r="W17" s="999" cm="1">
        <f t="array" aca="1" ref="W17" ca="1">+W16-_xlfn.STDEV.P(IF(W20:W94&lt;W$14,IF(W20:W94&gt;W$13,W20:W94)))</f>
        <v>38.061010957687813</v>
      </c>
      <c r="X17" s="999" cm="1">
        <f t="array" aca="1" ref="X17" ca="1">+X16-_xlfn.STDEV.P(IF(X20:X94&lt;X$14,IF(X20:X94&gt;X$13,X20:X94)))</f>
        <v>479.30229819661054</v>
      </c>
      <c r="Y17" s="998"/>
      <c r="Z17" s="999" cm="1">
        <f t="array" aca="1" ref="Z17" ca="1">+Z16-_xlfn.STDEV.P(IF(Z20:Z94&lt;Z$14,IF(Z20:Z94&gt;Z$13,Z20:Z94)))</f>
        <v>9982.7100186523567</v>
      </c>
      <c r="AA17" s="999" cm="1">
        <f t="array" aca="1" ref="AA17" ca="1">+AA16-_xlfn.STDEV.P(IF(AA20:AA94&lt;AA$14,IF(AA20:AA94&gt;AA$13,AA20:AA94)))</f>
        <v>9153.9404128231527</v>
      </c>
      <c r="AB17" s="999" cm="1">
        <f t="array" aca="1" ref="AB17" ca="1">+AB16-_xlfn.STDEV.P(IF(AB20:AB94&lt;AB$14,IF(AB20:AB94&gt;AB$13,AB20:AB94)))</f>
        <v>51990.563171348331</v>
      </c>
      <c r="AC17" s="999" cm="1">
        <f t="array" aca="1" ref="AC17" ca="1">+AC16-_xlfn.STDEV.P(IF(AC20:AC94&lt;AC$14,IF(AC20:AC94&gt;AC$13,AC20:AC94)))</f>
        <v>33133.732762986234</v>
      </c>
      <c r="AD17" s="999" cm="1">
        <f t="array" aca="1" ref="AD17" ca="1">+AD16-_xlfn.STDEV.P(IF(AD20:AD94&lt;AD$14,IF(AD20:AD94&gt;AD$13,AD20:AD94)))</f>
        <v>27300.658325055454</v>
      </c>
      <c r="AE17" s="999" cm="1">
        <f t="array" aca="1" ref="AE17" ca="1">+AE16-_xlfn.STDEV.P(IF(AE20:AE94&lt;AE$14,IF(AE20:AE94&gt;AE$13,AE20:AE94)))</f>
        <v>33388.333415476001</v>
      </c>
      <c r="AF17" s="999" cm="1">
        <f t="array" aca="1" ref="AF17" ca="1">+AF16-_xlfn.STDEV.P(IF(AF20:AF94&lt;AF$14,IF(AF20:AF94&gt;AF$13,AF20:AF94)))</f>
        <v>2449.7568657323345</v>
      </c>
      <c r="AG17" s="999" cm="1">
        <f t="array" aca="1" ref="AG17" ca="1">+AG16-_xlfn.STDEV.P(IF(AG20:AG94&lt;AG$14,IF(AG20:AG94&gt;AG$13,AG20:AG94)))</f>
        <v>1860.1446615178866</v>
      </c>
      <c r="AH17" s="999" cm="1">
        <f t="array" aca="1" ref="AH17" ca="1">+AH16-_xlfn.STDEV.P(IF(AH20:AH94&lt;AH$14,IF(AH20:AH94&gt;AH$13,AH20:AH94)))</f>
        <v>6798.9114271062163</v>
      </c>
      <c r="AT17" s="777" cm="1">
        <f t="array" aca="1" ref="AT17" ca="1">+AT16-_xlfn.STDEV.P(IF(AT20:AT94&lt;AT$14,IF(AT20:AT94&gt;AT$13,AT20:AT94)))</f>
        <v>10.326484098614783</v>
      </c>
      <c r="AU17" s="777" cm="1">
        <f t="array" aca="1" ref="AU17" ca="1">+AU16-_xlfn.STDEV.P(IF(AU20:AU94&lt;AU$14,IF(AU20:AU94&gt;AU$13,AU20:AU94)))</f>
        <v>15.375272108047437</v>
      </c>
      <c r="AV17" s="777" cm="1">
        <f t="array" aca="1" ref="AV17" ca="1">+AV16-_xlfn.STDEV.P(IF(AV20:AV94&lt;AV$14,IF(AV20:AV94&gt;AV$13,AV20:AV94)))</f>
        <v>8.4290216768391542</v>
      </c>
      <c r="AW17" s="777" cm="1">
        <f t="array" aca="1" ref="AW17" ca="1">+AW16-_xlfn.STDEV.P(IF(AW20:AW94&lt;AW$14,IF(AW20:AW94&gt;AW$13,AW20:AW94)))</f>
        <v>6.8361367587592881</v>
      </c>
      <c r="AX17" s="777" cm="1">
        <f t="array" aca="1" ref="AX17" ca="1">+AX16-_xlfn.STDEV.P(IF(AX20:AX94&lt;AX$14,IF(AX20:AX94&gt;AX$13,AX20:AX94)))</f>
        <v>16.551015502526919</v>
      </c>
      <c r="AY17" s="777" cm="1">
        <f t="array" aca="1" ref="AY17" ca="1">+AY16-_xlfn.STDEV.P(IF(AY20:AY94&lt;AY$14,IF(AY20:AY94&gt;AY$13,AY20:AY94)))</f>
        <v>9.7835749676231885</v>
      </c>
      <c r="AZ17" s="777" cm="1">
        <f t="array" aca="1" ref="AZ17" ca="1">+AZ16-_xlfn.STDEV.P(IF(AZ20:AZ94&lt;AZ$14,IF(AZ20:AZ94&gt;AZ$13,AZ20:AZ94)))</f>
        <v>8.2782704689095823</v>
      </c>
      <c r="BA17" s="777" cm="1">
        <f t="array" aca="1" ref="BA17" ca="1">+BA16-_xlfn.STDEV.P(IF(BA20:BA94&lt;BA$14,IF(BA20:BA94&gt;BA$13,BA20:BA94)))</f>
        <v>1.4643707702050062</v>
      </c>
      <c r="BB17" s="777" t="e" cm="1">
        <f t="array" aca="1" ref="BB17" ca="1">+BB16-_xlfn.STDEV.P(IF(BB20:BB94&lt;BB$14,IF(BB20:BB94&gt;BB$13,BB20:BB94)))</f>
        <v>#N/A</v>
      </c>
      <c r="BE17" s="777" cm="1">
        <f t="array" aca="1" ref="BE17" ca="1">+BE16-_xlfn.STDEV.P(IF(BE20:BE94&lt;BE$14,IF(BE20:BE94&gt;BE$13,BE20:BE94)))</f>
        <v>15622.292247708774</v>
      </c>
      <c r="BF17" s="777" cm="1">
        <f t="array" aca="1" ref="BF17" ca="1">+BF16-_xlfn.STDEV.P(IF(BF20:BF94&lt;BF$14,IF(BF20:BF94&gt;BF$13,BF20:BF94)))</f>
        <v>12697.931143409429</v>
      </c>
      <c r="BG17" s="777" cm="1">
        <f t="array" aca="1" ref="BG17" ca="1">+BG16-_xlfn.STDEV.P(IF(BG20:BG94&lt;BG$14,IF(BG20:BG94&gt;BG$13,BG20:BG94)))</f>
        <v>70483.290288847973</v>
      </c>
      <c r="BH17" s="777" cm="1">
        <f t="array" aca="1" ref="BH17" ca="1">+BH16-_xlfn.STDEV.P(IF(BH20:BH94&lt;BH$14,IF(BH20:BH94&gt;BH$13,BH20:BH94)))</f>
        <v>52561.954154799998</v>
      </c>
      <c r="BI17" s="777" cm="1">
        <f t="array" aca="1" ref="BI17" ca="1">+BI16-_xlfn.STDEV.P(IF(BI20:BI94&lt;BI$14,IF(BI20:BI94&gt;BI$13,BI20:BI94)))</f>
        <v>40512.894509055521</v>
      </c>
      <c r="BJ17" s="777" cm="1">
        <f t="array" aca="1" ref="BJ17" ca="1">+BJ16-_xlfn.STDEV.P(IF(BJ20:BJ94&lt;BJ$14,IF(BJ20:BJ94&gt;BJ$13,BJ20:BJ94)))</f>
        <v>35730.595429503133</v>
      </c>
      <c r="BK17" s="777" cm="1">
        <f t="array" aca="1" ref="BK17" ca="1">+BK16-_xlfn.STDEV.P(IF(BK20:BK94&lt;BK$14,IF(BK20:BK94&gt;BK$13,BK20:BK94)))</f>
        <v>3546.1552412322212</v>
      </c>
      <c r="BL17" s="777" cm="1">
        <f t="array" aca="1" ref="BL17" ca="1">+BL16-_xlfn.STDEV.P(IF(BL20:BL94&lt;BL$14,IF(BL20:BL94&gt;BL$13,BL20:BL94)))</f>
        <v>4189.9285669782585</v>
      </c>
      <c r="BM17" s="777" cm="1">
        <f t="array" aca="1" ref="BM17" ca="1">+BM16-_xlfn.STDEV.P(IF(BM20:BM94&lt;BM$14,IF(BM20:BM94&gt;BM$13,BM20:BM94)))</f>
        <v>9321.086842318824</v>
      </c>
    </row>
    <row r="18" spans="1:65" s="770" customFormat="1" ht="11.25" customHeight="1">
      <c r="C18" s="776" t="s">
        <v>1163</v>
      </c>
      <c r="E18" s="777" cm="1">
        <f t="array" aca="1" ref="E18" ca="1">+E16+_xlfn.STDEV.P(IF(E20:E94&lt;E$14,IF(E20:E94&gt;E$13,E20:E94)))</f>
        <v>14.41766051279162</v>
      </c>
      <c r="F18" s="777" cm="1">
        <f t="array" aca="1" ref="F18" ca="1">+F16+_xlfn.STDEV.P(IF(F20:F94&lt;F$14,IF(F20:F94&gt;F$13,F20:F94)))</f>
        <v>17.423646590139676</v>
      </c>
      <c r="G18" s="777" cm="1">
        <f t="array" aca="1" ref="G18" ca="1">+G16+_xlfn.STDEV.P(IF(G20:G94&lt;G$14,IF(G20:G94&gt;G$13,G20:G94)))</f>
        <v>19.879665153598339</v>
      </c>
      <c r="H18" s="777" cm="1">
        <f t="array" aca="1" ref="H18" ca="1">+H16+_xlfn.STDEV.P(IF(H20:H94&lt;H$14,IF(H20:H94&gt;H$13,H20:H94)))</f>
        <v>13.674201515308694</v>
      </c>
      <c r="I18" s="777" cm="1">
        <f t="array" aca="1" ref="I18" ca="1">+I16+_xlfn.STDEV.P(IF(I20:I94&lt;I$14,IF(I20:I94&gt;I$13,I20:I94)))</f>
        <v>13.80385015119246</v>
      </c>
      <c r="J18" s="777" cm="1">
        <f t="array" aca="1" ref="J18" ca="1">+J16+_xlfn.STDEV.P(IF(J20:J94&lt;J$14,IF(J20:J94&gt;J$13,J20:J94)))</f>
        <v>20.506399779533034</v>
      </c>
      <c r="K18" s="777" cm="1">
        <f t="array" aca="1" ref="K18" ca="1">+K16+_xlfn.STDEV.P(IF(K20:K94&lt;K$14,IF(K20:K94&gt;K$13,K20:K94)))</f>
        <v>18.164235431203</v>
      </c>
      <c r="L18" s="777" cm="1">
        <f t="array" aca="1" ref="L18" ca="1">+L16+_xlfn.STDEV.P(IF(L20:L94&lt;L$14,IF(L20:L94&gt;L$13,L20:L94)))</f>
        <v>12.547360192469746</v>
      </c>
      <c r="M18" s="777" cm="1">
        <f t="array" aca="1" ref="M18" ca="1">+M16+_xlfn.STDEV.P(IF(M20:M94&lt;M$14,IF(M20:M94&gt;M$13,M20:M94)))</f>
        <v>18.514042828617939</v>
      </c>
      <c r="N18" s="762"/>
      <c r="O18" s="762"/>
      <c r="P18" s="999" cm="1">
        <f t="array" aca="1" ref="P18" ca="1">+P16+_xlfn.STDEV.P(IF(P20:P94&lt;P$14,IF(P20:P94&gt;P$13,P20:P94)))</f>
        <v>1200.7993398331628</v>
      </c>
      <c r="Q18" s="999" cm="1">
        <f t="array" aca="1" ref="Q18" ca="1">+Q16+_xlfn.STDEV.P(IF(Q20:Q94&lt;Q$14,IF(Q20:Q94&gt;Q$13,Q20:Q94)))</f>
        <v>1188.2918394189232</v>
      </c>
      <c r="R18" s="999" cm="1">
        <f t="array" aca="1" ref="R18" ca="1">+R16+_xlfn.STDEV.P(IF(R20:R94&lt;R$14,IF(R20:R94&gt;R$13,R20:R94)))</f>
        <v>4156.5196854999858</v>
      </c>
      <c r="S18" s="999" cm="1">
        <f t="array" aca="1" ref="S18" ca="1">+S16+_xlfn.STDEV.P(IF(S20:S94&lt;S$14,IF(S20:S94&gt;S$13,S20:S94)))</f>
        <v>5582.420463459347</v>
      </c>
      <c r="T18" s="999" cm="1">
        <f t="array" aca="1" ref="T18" ca="1">+T16+_xlfn.STDEV.P(IF(T20:T94&lt;T$14,IF(T20:T94&gt;T$13,T20:T94)))</f>
        <v>4436.0580314410254</v>
      </c>
      <c r="U18" s="999" cm="1">
        <f t="array" aca="1" ref="U18" ca="1">+U16+_xlfn.STDEV.P(IF(U20:U94&lt;U$14,IF(U20:U94&gt;U$13,U20:U94)))</f>
        <v>2230.7437565160212</v>
      </c>
      <c r="V18" s="999" cm="1">
        <f t="array" aca="1" ref="V18" ca="1">+V16+_xlfn.STDEV.P(IF(V20:V94&lt;V$14,IF(V20:V94&gt;V$13,V20:V94)))</f>
        <v>195.48800157717889</v>
      </c>
      <c r="W18" s="999" cm="1">
        <f t="array" aca="1" ref="W18" ca="1">+W16+_xlfn.STDEV.P(IF(W20:W94&lt;W$14,IF(W20:W94&gt;W$13,W20:W94)))</f>
        <v>1119.8889890423122</v>
      </c>
      <c r="X18" s="999" cm="1">
        <f t="array" aca="1" ref="X18" ca="1">+X16+_xlfn.STDEV.P(IF(X20:X94&lt;X$14,IF(X20:X94&gt;X$13,X20:X94)))</f>
        <v>1650.6232807507577</v>
      </c>
      <c r="Y18" s="998"/>
      <c r="Z18" s="999" cm="1">
        <f t="array" aca="1" ref="Z18" ca="1">+Z16+_xlfn.STDEV.P(IF(Z20:Z94&lt;Z$14,IF(Z20:Z94&gt;Z$13,Z20:Z94)))</f>
        <v>13749.103718573646</v>
      </c>
      <c r="AA18" s="999" cm="1">
        <f t="array" aca="1" ref="AA18" ca="1">+AA16+_xlfn.STDEV.P(IF(AA20:AA94&lt;AA$14,IF(AA20:AA94&gt;AA$13,AA20:AA94)))</f>
        <v>14888.133271496847</v>
      </c>
      <c r="AB18" s="999" cm="1">
        <f t="array" aca="1" ref="AB18" ca="1">+AB16+_xlfn.STDEV.P(IF(AB20:AB94&lt;AB$14,IF(AB20:AB94&gt;AB$13,AB20:AB94)))</f>
        <v>75370.386649687163</v>
      </c>
      <c r="AC18" s="999" cm="1">
        <f t="array" aca="1" ref="AC18" ca="1">+AC16+_xlfn.STDEV.P(IF(AC20:AC94&lt;AC$14,IF(AC20:AC94&gt;AC$13,AC20:AC94)))</f>
        <v>45246.786615997749</v>
      </c>
      <c r="AD18" s="999" cm="1">
        <f t="array" aca="1" ref="AD18" ca="1">+AD16+_xlfn.STDEV.P(IF(AD20:AD94&lt;AD$14,IF(AD20:AD94&gt;AD$13,AD20:AD94)))</f>
        <v>40850.800739216924</v>
      </c>
      <c r="AE18" s="999" cm="1">
        <f t="array" aca="1" ref="AE18" ca="1">+AE16+_xlfn.STDEV.P(IF(AE20:AE94&lt;AE$14,IF(AE20:AE94&gt;AE$13,AE20:AE94)))</f>
        <v>60812.237241876886</v>
      </c>
      <c r="AF18" s="999" cm="1">
        <f t="array" aca="1" ref="AF18" ca="1">+AF16+_xlfn.STDEV.P(IF(AF20:AF94&lt;AF$14,IF(AF20:AF94&gt;AF$13,AF20:AF94)))</f>
        <v>3910.7407405356644</v>
      </c>
      <c r="AG18" s="999" cm="1">
        <f t="array" aca="1" ref="AG18" ca="1">+AG16+_xlfn.STDEV.P(IF(AG20:AG94&lt;AG$14,IF(AG20:AG94&gt;AG$13,AG20:AG94)))</f>
        <v>6268.2580820341127</v>
      </c>
      <c r="AH18" s="999" cm="1">
        <f t="array" aca="1" ref="AH18" ca="1">+AH16+_xlfn.STDEV.P(IF(AH20:AH94&lt;AH$14,IF(AH20:AH94&gt;AH$13,AH20:AH94)))</f>
        <v>12307.861229303784</v>
      </c>
      <c r="AT18" s="777" cm="1">
        <f t="array" aca="1" ref="AT18" ca="1">+AT16+_xlfn.STDEV.P(IF(AT20:AT94&lt;AT$14,IF(AT20:AT94&gt;AT$13,AT20:AT94)))</f>
        <v>13.294762658141979</v>
      </c>
      <c r="AU18" s="777" cm="1">
        <f t="array" aca="1" ref="AU18" ca="1">+AU16+_xlfn.STDEV.P(IF(AU20:AU94&lt;AU$14,IF(AU20:AU94&gt;AU$13,AU20:AU94)))</f>
        <v>19.362865594655258</v>
      </c>
      <c r="AV18" s="777" cm="1">
        <f t="array" aca="1" ref="AV18" ca="1">+AV16+_xlfn.STDEV.P(IF(AV20:AV94&lt;AV$14,IF(AV20:AV94&gt;AV$13,AV20:AV94)))</f>
        <v>12.985375568575867</v>
      </c>
      <c r="AW18" s="777" cm="1">
        <f t="array" aca="1" ref="AW18" ca="1">+AW16+_xlfn.STDEV.P(IF(AW20:AW94&lt;AW$14,IF(AW20:AW94&gt;AW$13,AW20:AW94)))</f>
        <v>12.880403516076257</v>
      </c>
      <c r="AX18" s="777" cm="1">
        <f t="array" aca="1" ref="AX18" ca="1">+AX16+_xlfn.STDEV.P(IF(AX20:AX94&lt;AX$14,IF(AX20:AX94&gt;AX$13,AX20:AX94)))</f>
        <v>23.918826164139748</v>
      </c>
      <c r="AY18" s="777" cm="1">
        <f t="array" aca="1" ref="AY18" ca="1">+AY16+_xlfn.STDEV.P(IF(AY20:AY94&lt;AY$14,IF(AY20:AY94&gt;AY$13,AY20:AY94)))</f>
        <v>15.26658131916243</v>
      </c>
      <c r="AZ18" s="777" cm="1">
        <f t="array" aca="1" ref="AZ18" ca="1">+AZ16+_xlfn.STDEV.P(IF(AZ20:AZ94&lt;AZ$14,IF(AZ20:AZ94&gt;AZ$13,AZ20:AZ94)))</f>
        <v>11.602039639569764</v>
      </c>
      <c r="BA18" s="777" cm="1">
        <f t="array" aca="1" ref="BA18" ca="1">+BA16+_xlfn.STDEV.P(IF(BA20:BA94&lt;BA$14,IF(BA20:BA94&gt;BA$13,BA20:BA94)))</f>
        <v>10.05160321556834</v>
      </c>
      <c r="BB18" s="777" t="e" cm="1">
        <f t="array" aca="1" ref="BB18" ca="1">+BB16+_xlfn.STDEV.P(IF(BB20:BB94&lt;BB$14,IF(BB20:BB94&gt;BB$13,BB20:BB94)))</f>
        <v>#N/A</v>
      </c>
      <c r="BE18" s="777" cm="1">
        <f t="array" aca="1" ref="BE18" ca="1">+BE16+_xlfn.STDEV.P(IF(BE20:BE94&lt;BE$14,IF(BE20:BE94&gt;BE$13,BE20:BE94)))</f>
        <v>19231.906288348731</v>
      </c>
      <c r="BF18" s="777" cm="1">
        <f t="array" aca="1" ref="BF18" ca="1">+BF16+_xlfn.STDEV.P(IF(BF20:BF94&lt;BF$14,IF(BF20:BF94&gt;BF$13,BF20:BF94)))</f>
        <v>18218.210561698073</v>
      </c>
      <c r="BG18" s="777" cm="1">
        <f t="array" aca="1" ref="BG18" ca="1">+BG16+_xlfn.STDEV.P(IF(BG20:BG94&lt;BG$14,IF(BG20:BG94&gt;BG$13,BG20:BG94)))</f>
        <v>89995.794971607029</v>
      </c>
      <c r="BH18" s="777" cm="1">
        <f t="array" aca="1" ref="BH18" ca="1">+BH16+_xlfn.STDEV.P(IF(BH20:BH94&lt;BH$14,IF(BH20:BH94&gt;BH$13,BH20:BH94)))</f>
        <v>55598.661892880002</v>
      </c>
      <c r="BI18" s="777" cm="1">
        <f t="array" aca="1" ref="BI18" ca="1">+BI16+_xlfn.STDEV.P(IF(BI20:BI94&lt;BI$14,IF(BI20:BI94&gt;BI$13,BI20:BI94)))</f>
        <v>46767.510018141984</v>
      </c>
      <c r="BJ18" s="777" cm="1">
        <f t="array" aca="1" ref="BJ18" ca="1">+BJ16+_xlfn.STDEV.P(IF(BJ20:BJ94&lt;BJ$14,IF(BJ20:BJ94&gt;BJ$13,BJ20:BJ94)))</f>
        <v>101268.33829727187</v>
      </c>
      <c r="BK18" s="777" cm="1">
        <f t="array" aca="1" ref="BK18" ca="1">+BK16+_xlfn.STDEV.P(IF(BK20:BK94&lt;BK$14,IF(BK20:BK94&gt;BK$13,BK20:BK94)))</f>
        <v>4998.5814046202777</v>
      </c>
      <c r="BL18" s="777" cm="1">
        <f t="array" aca="1" ref="BL18" ca="1">+BL16+_xlfn.STDEV.P(IF(BL20:BL94&lt;BL$14,IF(BL20:BL94&gt;BL$13,BL20:BL94)))</f>
        <v>9444.262726911742</v>
      </c>
      <c r="BM18" s="777" cm="1">
        <f t="array" aca="1" ref="BM18" ca="1">+BM16+_xlfn.STDEV.P(IF(BM20:BM94&lt;BM$14,IF(BM20:BM94&gt;BM$13,BM20:BM94)))</f>
        <v>15702.738054321178</v>
      </c>
    </row>
    <row r="19" spans="1:65" ht="5.2" customHeight="1">
      <c r="A19" s="762"/>
      <c r="B19" s="762"/>
      <c r="C19" s="762"/>
      <c r="D19" s="762"/>
      <c r="E19" s="762"/>
      <c r="F19" s="762"/>
      <c r="G19" s="762"/>
      <c r="H19" s="762"/>
      <c r="I19" s="762"/>
      <c r="J19" s="762"/>
      <c r="K19" s="762"/>
      <c r="L19" s="762"/>
      <c r="M19" s="762"/>
      <c r="P19" s="998"/>
      <c r="Q19" s="998"/>
      <c r="R19" s="998"/>
      <c r="S19" s="998"/>
      <c r="T19" s="998"/>
      <c r="U19" s="998"/>
      <c r="V19" s="998"/>
      <c r="W19" s="998"/>
      <c r="X19" s="998"/>
      <c r="Y19" s="998"/>
      <c r="Z19" s="998"/>
      <c r="AA19" s="998"/>
      <c r="AB19" s="998"/>
      <c r="AC19" s="998"/>
      <c r="AD19" s="998"/>
      <c r="AE19" s="998"/>
      <c r="AF19" s="998"/>
      <c r="AG19" s="998"/>
      <c r="AH19" s="998"/>
      <c r="AT19" s="762"/>
      <c r="AU19" s="762"/>
      <c r="AV19" s="762"/>
      <c r="AW19" s="762"/>
      <c r="AX19" s="762"/>
      <c r="AY19" s="762"/>
      <c r="AZ19" s="762"/>
      <c r="BA19" s="762"/>
      <c r="BB19" s="762"/>
      <c r="BE19" s="762"/>
      <c r="BF19" s="762"/>
      <c r="BG19" s="762"/>
      <c r="BH19" s="762"/>
      <c r="BI19" s="762"/>
      <c r="BJ19" s="762"/>
      <c r="BK19" s="762"/>
      <c r="BL19" s="762"/>
      <c r="BM19" s="762"/>
    </row>
    <row r="20" spans="1:65" ht="11.25" customHeight="1">
      <c r="C20" s="969">
        <v>41274</v>
      </c>
      <c r="D20" s="970">
        <f t="shared" ref="D20:D59" si="12">+C20+45</f>
        <v>41319</v>
      </c>
      <c r="E20" s="765" cm="1">
        <f t="array" aca="1" ref="E20" ca="1">IF(Reuters=1,_xll.TR(E$7,E$6,"Sdate=#1 Period=#2 NULL=BLANK",,$D20,$E$4),E20)</f>
        <v>13.765252400123901</v>
      </c>
      <c r="F20" s="765" cm="1">
        <f t="array" aca="1" ref="F20" ca="1">IF(Reuters=1,_xll.TR(F$7,F$6,"Sdate=#1 Period=#2 NULL=BLANK",,$D20,$E$4),F20)</f>
        <v>21.637931034482801</v>
      </c>
      <c r="G20" s="765" t="str" cm="1">
        <f t="array" aca="1" ref="G20" ca="1">IF(Reuters=1,_xll.TR(G$7,G$6,"Sdate=#1 Period=#2 NULL=BLANK",,$D20,$E$4),G20)</f>
        <v/>
      </c>
      <c r="H20" s="765" t="str" cm="1">
        <f t="array" aca="1" ref="H20" ca="1">IF(Reuters=1,_xll.TR(H$7,H$6,"Sdate=#1 Period=#2 NULL=BLANK",,$D20,$E$4),H20)</f>
        <v/>
      </c>
      <c r="I20" s="765" cm="1">
        <f t="array" aca="1" ref="I20" ca="1">IF(Reuters=1,_xll.TR(I$7,I$6,"Sdate=#1 Period=#2 NULL=BLANK",,$D20,$E$4),I20)</f>
        <v>10.0999423509154</v>
      </c>
      <c r="J20" s="765" t="str" cm="1">
        <f t="array" aca="1" ref="J20" ca="1">IF(Reuters=1,_xll.TR(J$7,J$6,"Sdate=#1 Period=#2 NULL=BLANK",,$D20,$E$4),J20)</f>
        <v/>
      </c>
      <c r="K20" s="765" t="str" cm="1">
        <f t="array" aca="1" ref="K20" ca="1">IF(Reuters=1,_xll.TR(K$7,K$6,"Sdate=#1 Period=#2 NULL=BLANK",,$D20,$E$4),K20)</f>
        <v/>
      </c>
      <c r="L20" s="765" t="str" cm="1">
        <f t="array" aca="1" ref="L20" ca="1">IF(Reuters=1,_xll.TR(L$7,L$6,"Sdate=#1 Period=#2 NULL=BLANK",,$D20,$E$4),L20)</f>
        <v/>
      </c>
      <c r="M20" s="765" t="str" cm="1">
        <f t="array" aca="1" ref="M20" ca="1">IF(Reuters=1,_xll.TR(M$7,M$6,"Sdate=#1 Period=#2 NULL=BLANK",,$D20,$E$4),M20)</f>
        <v/>
      </c>
      <c r="P20" s="1000" t="str" cm="1">
        <f t="array" aca="1" ref="P20" ca="1">IF(Reuters=1,_xll.TR(P$7,P$6,"Sdate=#1 Period=#2 NULL=BLANK Scale=6",,$D20,$E$4),P20)</f>
        <v/>
      </c>
      <c r="Q20" s="1000" t="str" cm="1">
        <f t="array" aca="1" ref="Q20" ca="1">IF(Reuters=1,_xll.TR(Q$7,Q$6,"Sdate=#1 Period=#2 NULL=BLANK Scale=6",,$D20,$E$4),Q20)</f>
        <v/>
      </c>
      <c r="R20" s="1000" t="str" cm="1">
        <f t="array" aca="1" ref="R20" ca="1">IF(Reuters=1,_xll.TR(R$7,R$6,"Sdate=#1 Period=#2 NULL=BLANK Scale=6",,$D20,$E$4),R20)</f>
        <v/>
      </c>
      <c r="S20" s="1000" t="str" cm="1">
        <f t="array" aca="1" ref="S20" ca="1">IF(Reuters=1,_xll.TR(S$7,S$6,"Sdate=#1 Period=#2 NULL=BLANK Scale=6",,$D20,$E$4),S20)</f>
        <v/>
      </c>
      <c r="T20" s="1000" t="str" cm="1">
        <f t="array" aca="1" ref="T20" ca="1">IF(Reuters=1,_xll.TR(T$7,T$6,"Sdate=#1 Period=#2 NULL=BLANK Scale=6",,$D20,$E$4),T20)</f>
        <v/>
      </c>
      <c r="U20" s="1000" t="str" cm="1">
        <f t="array" aca="1" ref="U20" ca="1">IF(Reuters=1,_xll.TR(U$7,U$6,"Sdate=#1 Period=#2 NULL=BLANK Scale=6",,$D20,$E$4),U20)</f>
        <v/>
      </c>
      <c r="V20" s="1000" t="str" cm="1">
        <f t="array" aca="1" ref="V20" ca="1">IF(Reuters=1,_xll.TR(V$7,V$6,"Sdate=#1 Period=#2 NULL=BLANK Scale=6",,$D20,$E$4),V20)</f>
        <v/>
      </c>
      <c r="W20" s="1000" t="str" cm="1">
        <f t="array" aca="1" ref="W20" ca="1">IF(Reuters=1,_xll.TR(W$7,W$6,"Sdate=#1 Period=#2 NULL=BLANK Scale=6",,$D20,$E$4),W20)</f>
        <v/>
      </c>
      <c r="X20" s="1000" t="str" cm="1">
        <f t="array" aca="1" ref="X20" ca="1">IF(Reuters=1,_xll.TR(X$7,X$6,"Sdate=#1 Period=#2 NULL=BLANK Scale=6",,$D20,$E$4),X20)</f>
        <v/>
      </c>
      <c r="Y20" s="998"/>
      <c r="Z20" s="1000" cm="1">
        <f t="array" aca="1" ref="Z20" ca="1">IF(Reuters=1,_xll.TR(Z$7,Z$6,"Sdate=#1 Period=#2 NULL=BLANK Scale=6",,$D20,$Z$4),Z20)</f>
        <v>11405.01203168</v>
      </c>
      <c r="AA20" s="1000" cm="1">
        <f t="array" aca="1" ref="AA20" ca="1">IF(Reuters=1,_xll.TR(AA$7,AA$6,"Sdate=#1 Period=#2 NULL=BLANK Scale=6",,$D20,$Z$4),AA20)</f>
        <v>8014.5505302000001</v>
      </c>
      <c r="AB20" s="1000" cm="1">
        <f t="array" aca="1" ref="AB20" ca="1">IF(Reuters=1,_xll.TR(AB$7,AB$6,"Sdate=#1 Period=#2 NULL=BLANK Scale=6",,$D20,$Z$4),AB20)</f>
        <v>65505.900456080002</v>
      </c>
      <c r="AC20" s="1000" t="str" cm="1">
        <f t="array" aca="1" ref="AC20" ca="1">IF(Reuters=1,_xll.TR(AC$7,AC$6,"Sdate=#1 Period=#2 NULL=BLANK Scale=6",,$D20,$Z$4),AC20)</f>
        <v/>
      </c>
      <c r="AD20" s="1000" cm="1">
        <f t="array" aca="1" ref="AD20" ca="1">IF(Reuters=1,_xll.TR(AD$7,AD$6,"Sdate=#1 Period=#2 NULL=BLANK Scale=6",,$D20,$Z$4),AD20)</f>
        <v>33603.561096130601</v>
      </c>
      <c r="AE20" s="1000" t="str" cm="1">
        <f t="array" aca="1" ref="AE20" ca="1">IF(Reuters=1,_xll.TR(AE$7,AE$6,"Sdate=#1 Period=#2 NULL=BLANK Scale=6",,$D20,$Z$4),AE20)</f>
        <v/>
      </c>
      <c r="AF20" s="1000" cm="1">
        <f t="array" aca="1" ref="AF20" ca="1">IF(Reuters=1,_xll.TR(AF$7,AF$6,"Sdate=#1 Period=#2 NULL=BLANK Scale=6",,$D20,$Z$4),AF20)</f>
        <v>2098.3613872800001</v>
      </c>
      <c r="AG20" s="1000" cm="1">
        <f t="array" aca="1" ref="AG20" ca="1">IF(Reuters=1,_xll.TR(AG$7,AG$6,"Sdate=#1 Period=#2 NULL=BLANK Scale=6",,$D20,$Z$4),AG20)</f>
        <v>1866.5597169600001</v>
      </c>
      <c r="AH20" s="1000" cm="1">
        <f t="array" aca="1" ref="AH20" ca="1">IF(Reuters=1,_xll.TR(AH$7,AH$6,"Sdate=#1 Period=#2 NULL=BLANK Scale=6",,$D20,$Z$4),AH20)</f>
        <v>6122.8923732000003</v>
      </c>
      <c r="AJ20" s="1004" t="str">
        <f t="shared" ref="AJ20:AJ60" ca="1" si="13">IFERROR(Z20/P20,"NA")</f>
        <v>NA</v>
      </c>
      <c r="AK20" s="1004" t="str">
        <f t="shared" ref="AK20:AK60" ca="1" si="14">IFERROR(AA20/Q20,"NA")</f>
        <v>NA</v>
      </c>
      <c r="AL20" s="1004" t="str">
        <f t="shared" ref="AL20:AL60" ca="1" si="15">IFERROR(AB20/R20,"NA")</f>
        <v>NA</v>
      </c>
      <c r="AM20" s="1004" t="str">
        <f t="shared" ref="AM20:AM60" ca="1" si="16">IFERROR(AC20/S20,"NA")</f>
        <v>NA</v>
      </c>
      <c r="AN20" s="1004" t="str">
        <f t="shared" ref="AN20:AN60" ca="1" si="17">IFERROR(AD20/T20,"NA")</f>
        <v>NA</v>
      </c>
      <c r="AO20" s="1004" t="str">
        <f t="shared" ref="AO20:AO60" ca="1" si="18">IFERROR(AE20/U20,"NA")</f>
        <v>NA</v>
      </c>
      <c r="AP20" s="1004" t="str">
        <f t="shared" ref="AP20:AP60" ca="1" si="19">IFERROR(AF20/V20,"NA")</f>
        <v>NA</v>
      </c>
      <c r="AQ20" s="1004" t="str">
        <f t="shared" ref="AQ20:AQ60" ca="1" si="20">IFERROR(AG20/W20,"NA")</f>
        <v>NA</v>
      </c>
      <c r="AR20" s="1004" t="str">
        <f t="shared" ref="AR20:AR60" ca="1" si="21">IFERROR(AH20/X20,"NA")</f>
        <v>NA</v>
      </c>
      <c r="AT20" s="765" t="str" cm="1">
        <f t="array" aca="1" ref="AT20" ca="1">IF(Reuters=1,_xll.TR(AT$7,AT$6,"Sdate=#1 Period=#2 NULL=BLANK Scale=6",,$D20,$AT$4),AT20)</f>
        <v/>
      </c>
      <c r="AU20" s="765" t="str" cm="1">
        <f t="array" aca="1" ref="AU20" ca="1">IF(Reuters=1,_xll.TR(AU$7,AU$6,"Sdate=#1 Period=#2 NULL=BLANK Scale=6",,$D20,$AT$4),AU20)</f>
        <v/>
      </c>
      <c r="AV20" s="765" t="str" cm="1">
        <f t="array" aca="1" ref="AV20" ca="1">IF(Reuters=1,_xll.TR(AV$7,AV$6,"Sdate=#1 Period=#2 NULL=BLANK Scale=6",,$D20,$AT$4),AV20)</f>
        <v/>
      </c>
      <c r="AW20" s="765" t="str" cm="1">
        <f t="array" aca="1" ref="AW20" ca="1">IF(Reuters=1,_xll.TR(AW$7,AW$6,"Sdate=#1 Period=#2 NULL=BLANK Scale=6",,$D20,$AT$4),AW20)</f>
        <v/>
      </c>
      <c r="AX20" s="765" t="str" cm="1">
        <f t="array" aca="1" ref="AX20" ca="1">IF(Reuters=1,_xll.TR(AX$7,AX$6,"Sdate=#1 Period=#2 NULL=BLANK Scale=6",,$D20,$AT$4),AX20)</f>
        <v/>
      </c>
      <c r="AY20" s="765" t="str" cm="1">
        <f t="array" aca="1" ref="AY20" ca="1">IF(Reuters=1,_xll.TR(AY$7,AY$6,"Sdate=#1 Period=#2 NULL=BLANK Scale=6",,$D20,$AT$4),AY20)</f>
        <v/>
      </c>
      <c r="AZ20" s="765" t="str" cm="1">
        <f t="array" aca="1" ref="AZ20" ca="1">IF(Reuters=1,_xll.TR(AZ$7,AZ$6,"Sdate=#1 Period=#2 NULL=BLANK Scale=6",,$D20,$AT$4),AZ20)</f>
        <v/>
      </c>
      <c r="BA20" s="765" t="str" cm="1">
        <f t="array" aca="1" ref="BA20" ca="1">IF(Reuters=1,_xll.TR(BA$7,BA$6,"Sdate=#1 Period=#2 NULL=BLANK Scale=6",,$D20,$AT$4),BA20)</f>
        <v/>
      </c>
      <c r="BB20" s="765" t="str" cm="1">
        <f t="array" aca="1" ref="BB20" ca="1">IF(Reuters=1,_xll.TR(BB$7,BB$6,"Sdate=#1 Period=#2 NULL=BLANK Scale=6",,$D20,$AT$4),BB20)</f>
        <v/>
      </c>
    </row>
    <row r="21" spans="1:65" ht="11.25" customHeight="1">
      <c r="C21" s="971">
        <f t="shared" ref="C21:C60" si="22">+EOMONTH(C20,3)</f>
        <v>41364</v>
      </c>
      <c r="D21" s="970">
        <f t="shared" si="12"/>
        <v>41409</v>
      </c>
      <c r="E21" s="765" t="str" cm="1">
        <f t="array" aca="1" ref="E21" ca="1">IF(Reuters=1,_xll.TR(E$7,E$6,"Sdate=#1 Period=#2 NULL=BLANK",,$D21,$E$4),E21)</f>
        <v/>
      </c>
      <c r="F21" s="765" cm="1">
        <f t="array" aca="1" ref="F21" ca="1">IF(Reuters=1,_xll.TR(F$7,F$6,"Sdate=#1 Period=#2 NULL=BLANK",,$D21,$E$4),F21)</f>
        <v>19.89816700611</v>
      </c>
      <c r="G21" s="765" t="str" cm="1">
        <f t="array" aca="1" ref="G21" ca="1">IF(Reuters=1,_xll.TR(G$7,G$6,"Sdate=#1 Period=#2 NULL=BLANK",,$D21,$E$4),G21)</f>
        <v/>
      </c>
      <c r="H21" s="765" t="str" cm="1">
        <f t="array" aca="1" ref="H21" ca="1">IF(Reuters=1,_xll.TR(H$7,H$6,"Sdate=#1 Period=#2 NULL=BLANK",,$D21,$E$4),H21)</f>
        <v/>
      </c>
      <c r="I21" s="765" cm="1">
        <f t="array" aca="1" ref="I21" ca="1">IF(Reuters=1,_xll.TR(I$7,I$6,"Sdate=#1 Period=#2 NULL=BLANK",,$D21,$E$4),I21)</f>
        <v>9.4993647392976204</v>
      </c>
      <c r="J21" s="765" t="str" cm="1">
        <f t="array" aca="1" ref="J21" ca="1">IF(Reuters=1,_xll.TR(J$7,J$6,"Sdate=#1 Period=#2 NULL=BLANK",,$D21,$E$4),J21)</f>
        <v/>
      </c>
      <c r="K21" s="765" t="str" cm="1">
        <f t="array" aca="1" ref="K21" ca="1">IF(Reuters=1,_xll.TR(K$7,K$6,"Sdate=#1 Period=#2 NULL=BLANK",,$D21,$E$4),K21)</f>
        <v/>
      </c>
      <c r="L21" s="765" t="str" cm="1">
        <f t="array" aca="1" ref="L21" ca="1">IF(Reuters=1,_xll.TR(L$7,L$6,"Sdate=#1 Period=#2 NULL=BLANK",,$D21,$E$4),L21)</f>
        <v/>
      </c>
      <c r="M21" s="765" t="str" cm="1">
        <f t="array" aca="1" ref="M21" ca="1">IF(Reuters=1,_xll.TR(M$7,M$6,"Sdate=#1 Period=#2 NULL=BLANK",,$D21,$E$4),M21)</f>
        <v/>
      </c>
      <c r="P21" s="1000" t="str" cm="1">
        <f t="array" aca="1" ref="P21" ca="1">IF(Reuters=1,_xll.TR(P$7,P$6,"Sdate=#1 Period=#2 NULL=BLANK Scale=6",,$D21,$P$4),P21)</f>
        <v/>
      </c>
      <c r="Q21" s="1000" t="str" cm="1">
        <f t="array" aca="1" ref="Q21" ca="1">IF(Reuters=1,_xll.TR(Q$7,Q$6,"Sdate=#1 Period=#2 NULL=BLANK Scale=6",,$D21,$P$4),Q21)</f>
        <v/>
      </c>
      <c r="R21" s="1000" t="str" cm="1">
        <f t="array" aca="1" ref="R21" ca="1">IF(Reuters=1,_xll.TR(R$7,R$6,"Sdate=#1 Period=#2 NULL=BLANK Scale=6",,$D21,$P$4),R21)</f>
        <v/>
      </c>
      <c r="S21" s="1000" t="str" cm="1">
        <f t="array" aca="1" ref="S21" ca="1">IF(Reuters=1,_xll.TR(S$7,S$6,"Sdate=#1 Period=#2 NULL=BLANK Scale=6",,$D21,$P$4),S21)</f>
        <v/>
      </c>
      <c r="T21" s="1000" t="str" cm="1">
        <f t="array" aca="1" ref="T21" ca="1">IF(Reuters=1,_xll.TR(T$7,T$6,"Sdate=#1 Period=#2 NULL=BLANK Scale=6",,$D21,$P$4),T21)</f>
        <v/>
      </c>
      <c r="U21" s="1000" t="str" cm="1">
        <f t="array" aca="1" ref="U21" ca="1">IF(Reuters=1,_xll.TR(U$7,U$6,"Sdate=#1 Period=#2 NULL=BLANK Scale=6",,$D21,$P$4),U21)</f>
        <v/>
      </c>
      <c r="V21" s="1000" t="str" cm="1">
        <f t="array" aca="1" ref="V21" ca="1">IF(Reuters=1,_xll.TR(V$7,V$6,"Sdate=#1 Period=#2 NULL=BLANK Scale=6",,$D21,$P$4),V21)</f>
        <v/>
      </c>
      <c r="W21" s="1000" t="str" cm="1">
        <f t="array" aca="1" ref="W21" ca="1">IF(Reuters=1,_xll.TR(W$7,W$6,"Sdate=#1 Period=#2 NULL=BLANK Scale=6",,$D21,$P$4),W21)</f>
        <v/>
      </c>
      <c r="X21" s="1000" t="str" cm="1">
        <f t="array" aca="1" ref="X21" ca="1">IF(Reuters=1,_xll.TR(X$7,X$6,"Sdate=#1 Period=#2 NULL=BLANK Scale=6",,$D21,$P$4),X21)</f>
        <v/>
      </c>
      <c r="Y21" s="998"/>
      <c r="Z21" s="1000" cm="1">
        <f t="array" aca="1" ref="Z21" ca="1">IF(Reuters=1,_xll.TR(Z$7,Z$6,"Sdate=#1 Period=#2 NULL=BLANK Scale=6",,$D21,$Z$4),Z21)</f>
        <v>10967.668233480001</v>
      </c>
      <c r="AA21" s="1000" cm="1">
        <f t="array" aca="1" ref="AA21" ca="1">IF(Reuters=1,_xll.TR(AA$7,AA$6,"Sdate=#1 Period=#2 NULL=BLANK Scale=6",,$D21,$Z$4),AA21)</f>
        <v>7798.9646860499997</v>
      </c>
      <c r="AB21" s="1000" cm="1">
        <f t="array" aca="1" ref="AB21" ca="1">IF(Reuters=1,_xll.TR(AB$7,AB$6,"Sdate=#1 Period=#2 NULL=BLANK Scale=6",,$D21,$Z$4),AB21)</f>
        <v>67581.662304519996</v>
      </c>
      <c r="AC21" s="1000" t="str" cm="1">
        <f t="array" aca="1" ref="AC21" ca="1">IF(Reuters=1,_xll.TR(AC$7,AC$6,"Sdate=#1 Period=#2 NULL=BLANK Scale=6",,$D21,$Z$4),AC21)</f>
        <v/>
      </c>
      <c r="AD21" s="1000" cm="1">
        <f t="array" aca="1" ref="AD21" ca="1">IF(Reuters=1,_xll.TR(AD$7,AD$6,"Sdate=#1 Period=#2 NULL=BLANK Scale=6",,$D21,$Z$4),AD21)</f>
        <v>35544.3052548552</v>
      </c>
      <c r="AE21" s="1000" t="str" cm="1">
        <f t="array" aca="1" ref="AE21" ca="1">IF(Reuters=1,_xll.TR(AE$7,AE$6,"Sdate=#1 Period=#2 NULL=BLANK Scale=6",,$D21,$Z$4),AE21)</f>
        <v/>
      </c>
      <c r="AF21" s="1000" cm="1">
        <f t="array" aca="1" ref="AF21" ca="1">IF(Reuters=1,_xll.TR(AF$7,AF$6,"Sdate=#1 Period=#2 NULL=BLANK Scale=6",,$D21,$Z$4),AF21)</f>
        <v>2482.17419578</v>
      </c>
      <c r="AG21" s="1000" cm="1">
        <f t="array" aca="1" ref="AG21" ca="1">IF(Reuters=1,_xll.TR(AG$7,AG$6,"Sdate=#1 Period=#2 NULL=BLANK Scale=6",,$D21,$Z$4),AG21)</f>
        <v>1983.2890688</v>
      </c>
      <c r="AH21" s="1000" cm="1">
        <f t="array" aca="1" ref="AH21" ca="1">IF(Reuters=1,_xll.TR(AH$7,AH$6,"Sdate=#1 Period=#2 NULL=BLANK Scale=6",,$D21,$Z$4),AH21)</f>
        <v>6098.7751928400003</v>
      </c>
      <c r="AJ21" s="1004" t="str">
        <f t="shared" ca="1" si="13"/>
        <v>NA</v>
      </c>
      <c r="AK21" s="1004" t="str">
        <f t="shared" ca="1" si="14"/>
        <v>NA</v>
      </c>
      <c r="AL21" s="1004" t="str">
        <f t="shared" ca="1" si="15"/>
        <v>NA</v>
      </c>
      <c r="AM21" s="1004" t="str">
        <f t="shared" ca="1" si="16"/>
        <v>NA</v>
      </c>
      <c r="AN21" s="1004" t="str">
        <f t="shared" ca="1" si="17"/>
        <v>NA</v>
      </c>
      <c r="AO21" s="1004" t="str">
        <f t="shared" ca="1" si="18"/>
        <v>NA</v>
      </c>
      <c r="AP21" s="1004" t="str">
        <f t="shared" ca="1" si="19"/>
        <v>NA</v>
      </c>
      <c r="AQ21" s="1004" t="str">
        <f t="shared" ca="1" si="20"/>
        <v>NA</v>
      </c>
      <c r="AR21" s="1004" t="str">
        <f t="shared" ca="1" si="21"/>
        <v>NA</v>
      </c>
      <c r="AT21" s="765" t="str" cm="1">
        <f t="array" aca="1" ref="AT21" ca="1">IF(Reuters=1,_xll.TR(AT$7,AT$6,"Sdate=#1 Period=#2 NULL=BLANK Scale=6",,$D21,$AT$4),AT21)</f>
        <v/>
      </c>
      <c r="AU21" s="765" t="str" cm="1">
        <f t="array" aca="1" ref="AU21" ca="1">IF(Reuters=1,_xll.TR(AU$7,AU$6,"Sdate=#1 Period=#2 NULL=BLANK Scale=6",,$D21,$AT$4),AU21)</f>
        <v/>
      </c>
      <c r="AV21" s="765" t="str" cm="1">
        <f t="array" aca="1" ref="AV21" ca="1">IF(Reuters=1,_xll.TR(AV$7,AV$6,"Sdate=#1 Period=#2 NULL=BLANK Scale=6",,$D21,$AT$4),AV21)</f>
        <v/>
      </c>
      <c r="AW21" s="765" t="str" cm="1">
        <f t="array" aca="1" ref="AW21" ca="1">IF(Reuters=1,_xll.TR(AW$7,AW$6,"Sdate=#1 Period=#2 NULL=BLANK Scale=6",,$D21,$AT$4),AW21)</f>
        <v/>
      </c>
      <c r="AX21" s="765" t="str" cm="1">
        <f t="array" aca="1" ref="AX21" ca="1">IF(Reuters=1,_xll.TR(AX$7,AX$6,"Sdate=#1 Period=#2 NULL=BLANK Scale=6",,$D21,$AT$4),AX21)</f>
        <v/>
      </c>
      <c r="AY21" s="765" t="str" cm="1">
        <f t="array" aca="1" ref="AY21" ca="1">IF(Reuters=1,_xll.TR(AY$7,AY$6,"Sdate=#1 Period=#2 NULL=BLANK Scale=6",,$D21,$AT$4),AY21)</f>
        <v/>
      </c>
      <c r="AZ21" s="765" t="str" cm="1">
        <f t="array" aca="1" ref="AZ21" ca="1">IF(Reuters=1,_xll.TR(AZ$7,AZ$6,"Sdate=#1 Period=#2 NULL=BLANK Scale=6",,$D21,$AT$4),AZ21)</f>
        <v/>
      </c>
      <c r="BA21" s="765" t="str" cm="1">
        <f t="array" aca="1" ref="BA21" ca="1">IF(Reuters=1,_xll.TR(BA$7,BA$6,"Sdate=#1 Period=#2 NULL=BLANK Scale=6",,$D21,$AT$4),BA21)</f>
        <v/>
      </c>
      <c r="BB21" s="765" t="str" cm="1">
        <f t="array" aca="1" ref="BB21" ca="1">IF(Reuters=1,_xll.TR(BB$7,BB$6,"Sdate=#1 Period=#2 NULL=BLANK Scale=6",,$D21,$AT$4),BB21)</f>
        <v/>
      </c>
    </row>
    <row r="22" spans="1:65" ht="11.25" customHeight="1">
      <c r="C22" s="972">
        <f t="shared" si="22"/>
        <v>41455</v>
      </c>
      <c r="D22" s="970">
        <f t="shared" si="12"/>
        <v>41500</v>
      </c>
      <c r="E22" s="765" t="str" cm="1">
        <f t="array" aca="1" ref="E22" ca="1">IF(Reuters=1,_xll.TR(E$7,E$6,"Sdate=#1 Period=#2 NULL=BLANK",,$D22,$E$4),E22)</f>
        <v/>
      </c>
      <c r="F22" s="765" cm="1">
        <f t="array" aca="1" ref="F22" ca="1">IF(Reuters=1,_xll.TR(F$7,F$6,"Sdate=#1 Period=#2 NULL=BLANK",,$D22,$E$4),F22)</f>
        <v>14.394862036156001</v>
      </c>
      <c r="G22" s="765" t="str" cm="1">
        <f t="array" aca="1" ref="G22" ca="1">IF(Reuters=1,_xll.TR(G$7,G$6,"Sdate=#1 Period=#2 NULL=BLANK",,$D22,$E$4),G22)</f>
        <v/>
      </c>
      <c r="H22" s="765" t="str" cm="1">
        <f t="array" aca="1" ref="H22" ca="1">IF(Reuters=1,_xll.TR(H$7,H$6,"Sdate=#1 Period=#2 NULL=BLANK",,$D22,$E$4),H22)</f>
        <v/>
      </c>
      <c r="I22" s="765" t="str" cm="1">
        <f t="array" aca="1" ref="I22" ca="1">IF(Reuters=1,_xll.TR(I$7,I$6,"Sdate=#1 Period=#2 NULL=BLANK",,$D22,$E$4),I22)</f>
        <v/>
      </c>
      <c r="J22" s="765" t="str" cm="1">
        <f t="array" aca="1" ref="J22" ca="1">IF(Reuters=1,_xll.TR(J$7,J$6,"Sdate=#1 Period=#2 NULL=BLANK",,$D22,$E$4),J22)</f>
        <v/>
      </c>
      <c r="K22" s="765" t="str" cm="1">
        <f t="array" aca="1" ref="K22" ca="1">IF(Reuters=1,_xll.TR(K$7,K$6,"Sdate=#1 Period=#2 NULL=BLANK",,$D22,$E$4),K22)</f>
        <v/>
      </c>
      <c r="L22" s="765" t="str" cm="1">
        <f t="array" aca="1" ref="L22" ca="1">IF(Reuters=1,_xll.TR(L$7,L$6,"Sdate=#1 Period=#2 NULL=BLANK",,$D22,$E$4),L22)</f>
        <v/>
      </c>
      <c r="M22" s="765" t="str" cm="1">
        <f t="array" aca="1" ref="M22" ca="1">IF(Reuters=1,_xll.TR(M$7,M$6,"Sdate=#1 Period=#2 NULL=BLANK",,$D22,$E$4),M22)</f>
        <v/>
      </c>
      <c r="P22" s="1000" t="str" cm="1">
        <f t="array" aca="1" ref="P22" ca="1">IF(Reuters=1,_xll.TR(P$7,P$6,"Sdate=#1 Period=#2 NULL=BLANK Scale=6",,$D22,$P$4),P22)</f>
        <v/>
      </c>
      <c r="Q22" s="1000" t="str" cm="1">
        <f t="array" aca="1" ref="Q22" ca="1">IF(Reuters=1,_xll.TR(Q$7,Q$6,"Sdate=#1 Period=#2 NULL=BLANK Scale=6",,$D22,$P$4),Q22)</f>
        <v/>
      </c>
      <c r="R22" s="1000" t="str" cm="1">
        <f t="array" aca="1" ref="R22" ca="1">IF(Reuters=1,_xll.TR(R$7,R$6,"Sdate=#1 Period=#2 NULL=BLANK Scale=6",,$D22,$P$4),R22)</f>
        <v/>
      </c>
      <c r="S22" s="1000" t="str" cm="1">
        <f t="array" aca="1" ref="S22" ca="1">IF(Reuters=1,_xll.TR(S$7,S$6,"Sdate=#1 Period=#2 NULL=BLANK Scale=6",,$D22,$P$4),S22)</f>
        <v/>
      </c>
      <c r="T22" s="1000" t="str" cm="1">
        <f t="array" aca="1" ref="T22" ca="1">IF(Reuters=1,_xll.TR(T$7,T$6,"Sdate=#1 Period=#2 NULL=BLANK Scale=6",,$D22,$P$4),T22)</f>
        <v/>
      </c>
      <c r="U22" s="1000" t="str" cm="1">
        <f t="array" aca="1" ref="U22" ca="1">IF(Reuters=1,_xll.TR(U$7,U$6,"Sdate=#1 Period=#2 NULL=BLANK Scale=6",,$D22,$P$4),U22)</f>
        <v/>
      </c>
      <c r="V22" s="1000" t="str" cm="1">
        <f t="array" aca="1" ref="V22" ca="1">IF(Reuters=1,_xll.TR(V$7,V$6,"Sdate=#1 Period=#2 NULL=BLANK Scale=6",,$D22,$P$4),V22)</f>
        <v/>
      </c>
      <c r="W22" s="1000" t="str" cm="1">
        <f t="array" aca="1" ref="W22" ca="1">IF(Reuters=1,_xll.TR(W$7,W$6,"Sdate=#1 Period=#2 NULL=BLANK Scale=6",,$D22,$P$4),W22)</f>
        <v/>
      </c>
      <c r="X22" s="1000" t="str" cm="1">
        <f t="array" aca="1" ref="X22" ca="1">IF(Reuters=1,_xll.TR(X$7,X$6,"Sdate=#1 Period=#2 NULL=BLANK Scale=6",,$D22,$P$4),X22)</f>
        <v/>
      </c>
      <c r="Y22" s="998"/>
      <c r="Z22" s="1000" cm="1">
        <f t="array" aca="1" ref="Z22" ca="1">IF(Reuters=1,_xll.TR(Z$7,Z$6,"Sdate=#1 Period=#2 NULL=BLANK Scale=6",,$D22,$Z$4),Z22)</f>
        <v>12345.252</v>
      </c>
      <c r="AA22" s="1000" cm="1">
        <f t="array" aca="1" ref="AA22" ca="1">IF(Reuters=1,_xll.TR(AA$7,AA$6,"Sdate=#1 Period=#2 NULL=BLANK Scale=6",,$D22,$Z$4),AA22)</f>
        <v>8047.3784958899996</v>
      </c>
      <c r="AB22" s="1000" cm="1">
        <f t="array" aca="1" ref="AB22" ca="1">IF(Reuters=1,_xll.TR(AB$7,AB$6,"Sdate=#1 Period=#2 NULL=BLANK Scale=6",,$D22,$Z$4),AB22)</f>
        <v>62364.703322599999</v>
      </c>
      <c r="AC22" s="1000" t="str" cm="1">
        <f t="array" aca="1" ref="AC22" ca="1">IF(Reuters=1,_xll.TR(AC$7,AC$6,"Sdate=#1 Period=#2 NULL=BLANK Scale=6",,$D22,$Z$4),AC22)</f>
        <v/>
      </c>
      <c r="AD22" s="1000" cm="1">
        <f t="array" aca="1" ref="AD22" ca="1">IF(Reuters=1,_xll.TR(AD$7,AD$6,"Sdate=#1 Period=#2 NULL=BLANK Scale=6",,$D22,$Z$4),AD22)</f>
        <v>37680.7034224292</v>
      </c>
      <c r="AE22" s="1000" t="str" cm="1">
        <f t="array" aca="1" ref="AE22" ca="1">IF(Reuters=1,_xll.TR(AE$7,AE$6,"Sdate=#1 Period=#2 NULL=BLANK Scale=6",,$D22,$Z$4),AE22)</f>
        <v/>
      </c>
      <c r="AF22" s="1000" cm="1">
        <f t="array" aca="1" ref="AF22" ca="1">IF(Reuters=1,_xll.TR(AF$7,AF$6,"Sdate=#1 Period=#2 NULL=BLANK Scale=6",,$D22,$Z$4),AF22)</f>
        <v>2781.58108227</v>
      </c>
      <c r="AG22" s="1000" cm="1">
        <f t="array" aca="1" ref="AG22" ca="1">IF(Reuters=1,_xll.TR(AG$7,AG$6,"Sdate=#1 Period=#2 NULL=BLANK Scale=6",,$D22,$Z$4),AG22)</f>
        <v>1916.3437303999999</v>
      </c>
      <c r="AH22" s="1000" cm="1">
        <f t="array" aca="1" ref="AH22" ca="1">IF(Reuters=1,_xll.TR(AH$7,AH$6,"Sdate=#1 Period=#2 NULL=BLANK Scale=6",,$D22,$Z$4),AH22)</f>
        <v>6933.1702746600004</v>
      </c>
      <c r="AJ22" s="1004" t="str">
        <f t="shared" ca="1" si="13"/>
        <v>NA</v>
      </c>
      <c r="AK22" s="1004" t="str">
        <f t="shared" ca="1" si="14"/>
        <v>NA</v>
      </c>
      <c r="AL22" s="1004" t="str">
        <f t="shared" ca="1" si="15"/>
        <v>NA</v>
      </c>
      <c r="AM22" s="1004" t="str">
        <f t="shared" ca="1" si="16"/>
        <v>NA</v>
      </c>
      <c r="AN22" s="1004" t="str">
        <f t="shared" ca="1" si="17"/>
        <v>NA</v>
      </c>
      <c r="AO22" s="1004" t="str">
        <f t="shared" ca="1" si="18"/>
        <v>NA</v>
      </c>
      <c r="AP22" s="1004" t="str">
        <f t="shared" ca="1" si="19"/>
        <v>NA</v>
      </c>
      <c r="AQ22" s="1004" t="str">
        <f t="shared" ca="1" si="20"/>
        <v>NA</v>
      </c>
      <c r="AR22" s="1004" t="str">
        <f t="shared" ca="1" si="21"/>
        <v>NA</v>
      </c>
      <c r="AT22" s="765" cm="1">
        <f t="array" aca="1" ref="AT22" ca="1">IF(Reuters=1,_xll.TR(AT$7,AT$6,"Sdate=#1 Period=#2 NULL=BLANK Scale=6",,$D22,$AT$4),AT22)</f>
        <v>11.5666666666667</v>
      </c>
      <c r="AU22" s="765" cm="1">
        <f t="array" aca="1" ref="AU22" ca="1">IF(Reuters=1,_xll.TR(AU$7,AU$6,"Sdate=#1 Period=#2 NULL=BLANK Scale=6",,$D22,$AT$4),AU22)</f>
        <v>15.866666666666699</v>
      </c>
      <c r="AV22" s="765" cm="1">
        <f t="array" aca="1" ref="AV22" ca="1">IF(Reuters=1,_xll.TR(AV$7,AV$6,"Sdate=#1 Period=#2 NULL=BLANK Scale=6",,$D22,$AT$4),AV22)</f>
        <v>14.3166666666667</v>
      </c>
      <c r="AW22" s="765" t="str" cm="1">
        <f t="array" aca="1" ref="AW22" ca="1">IF(Reuters=1,_xll.TR(AW$7,AW$6,"Sdate=#1 Period=#2 NULL=BLANK Scale=6",,$D22,$AT$4),AW22)</f>
        <v/>
      </c>
      <c r="AX22" s="765" cm="1">
        <f t="array" aca="1" ref="AX22" ca="1">IF(Reuters=1,_xll.TR(AX$7,AX$6,"Sdate=#1 Period=#2 NULL=BLANK Scale=6",,$D22,$AT$4),AX22)</f>
        <v>19.933333333333302</v>
      </c>
      <c r="AY22" s="765" t="str" cm="1">
        <f t="array" aca="1" ref="AY22" ca="1">IF(Reuters=1,_xll.TR(AY$7,AY$6,"Sdate=#1 Period=#2 NULL=BLANK Scale=6",,$D22,$AT$4),AY22)</f>
        <v/>
      </c>
      <c r="AZ22" s="765" t="str" cm="1">
        <f t="array" aca="1" ref="AZ22" ca="1">IF(Reuters=1,_xll.TR(AZ$7,AZ$6,"Sdate=#1 Period=#2 NULL=BLANK Scale=6",,$D22,$AT$4),AZ22)</f>
        <v/>
      </c>
      <c r="BA22" s="765" cm="1">
        <f t="array" aca="1" ref="BA22" ca="1">IF(Reuters=1,_xll.TR(BA$7,BA$6,"Sdate=#1 Period=#2 NULL=BLANK Scale=6",,$D22,$AT$4),BA22)</f>
        <v>12.266666666666699</v>
      </c>
      <c r="BB22" s="765" t="str" cm="1">
        <f t="array" aca="1" ref="BB22" ca="1">IF(Reuters=1,_xll.TR(BB$7,BB$6,"Sdate=#1 Period=#2 NULL=BLANK Scale=6",,$D22,$AT$4),BB22)</f>
        <v/>
      </c>
      <c r="BE22" s="1000"/>
      <c r="BF22" s="1000"/>
      <c r="BG22" s="1000"/>
      <c r="BH22" s="1000"/>
      <c r="BI22" s="1000"/>
      <c r="BJ22" s="1000"/>
      <c r="BK22" s="1000"/>
      <c r="BL22" s="1000"/>
      <c r="BM22" s="1000"/>
    </row>
    <row r="23" spans="1:65" ht="11.25" customHeight="1">
      <c r="C23" s="973">
        <f t="shared" si="22"/>
        <v>41547</v>
      </c>
      <c r="D23" s="970">
        <f t="shared" si="12"/>
        <v>41592</v>
      </c>
      <c r="E23" s="765" t="str" cm="1">
        <f t="array" aca="1" ref="E23" ca="1">IF(Reuters=1,_xll.TR(E$7,E$6,"Sdate=#1 Period=#2 NULL=BLANK",,$D23,$E$4),E23)</f>
        <v/>
      </c>
      <c r="F23" s="765" cm="1">
        <f t="array" aca="1" ref="F23" ca="1">IF(Reuters=1,_xll.TR(F$7,F$6,"Sdate=#1 Period=#2 NULL=BLANK",,$D23,$E$4),F23)</f>
        <v>15.312980452448899</v>
      </c>
      <c r="G23" s="765" t="str" cm="1">
        <f t="array" aca="1" ref="G23" ca="1">IF(Reuters=1,_xll.TR(G$7,G$6,"Sdate=#1 Period=#2 NULL=BLANK",,$D23,$E$4),G23)</f>
        <v/>
      </c>
      <c r="H23" s="765" t="str" cm="1">
        <f t="array" aca="1" ref="H23" ca="1">IF(Reuters=1,_xll.TR(H$7,H$6,"Sdate=#1 Period=#2 NULL=BLANK",,$D23,$E$4),H23)</f>
        <v/>
      </c>
      <c r="I23" s="765" cm="1">
        <f t="array" aca="1" ref="I23" ca="1">IF(Reuters=1,_xll.TR(I$7,I$6,"Sdate=#1 Period=#2 NULL=BLANK",,$D23,$E$4),I23)</f>
        <v>11.272757318918901</v>
      </c>
      <c r="J23" s="765" t="str" cm="1">
        <f t="array" aca="1" ref="J23" ca="1">IF(Reuters=1,_xll.TR(J$7,J$6,"Sdate=#1 Period=#2 NULL=BLANK",,$D23,$E$4),J23)</f>
        <v/>
      </c>
      <c r="K23" s="765" t="str" cm="1">
        <f t="array" aca="1" ref="K23" ca="1">IF(Reuters=1,_xll.TR(K$7,K$6,"Sdate=#1 Period=#2 NULL=BLANK",,$D23,$E$4),K23)</f>
        <v/>
      </c>
      <c r="L23" s="765" t="str" cm="1">
        <f t="array" aca="1" ref="L23" ca="1">IF(Reuters=1,_xll.TR(L$7,L$6,"Sdate=#1 Period=#2 NULL=BLANK",,$D23,$E$4),L23)</f>
        <v/>
      </c>
      <c r="M23" s="765" t="str" cm="1">
        <f t="array" aca="1" ref="M23" ca="1">IF(Reuters=1,_xll.TR(M$7,M$6,"Sdate=#1 Period=#2 NULL=BLANK",,$D23,$E$4),M23)</f>
        <v/>
      </c>
      <c r="P23" s="1000" t="str" cm="1">
        <f t="array" aca="1" ref="P23" ca="1">IF(Reuters=1,_xll.TR(P$7,P$6,"Sdate=#1 Period=#2 NULL=BLANK Scale=6",,$D23,$P$4),P23)</f>
        <v/>
      </c>
      <c r="Q23" s="1000" t="str" cm="1">
        <f t="array" aca="1" ref="Q23" ca="1">IF(Reuters=1,_xll.TR(Q$7,Q$6,"Sdate=#1 Period=#2 NULL=BLANK Scale=6",,$D23,$P$4),Q23)</f>
        <v/>
      </c>
      <c r="R23" s="1000" t="str" cm="1">
        <f t="array" aca="1" ref="R23" ca="1">IF(Reuters=1,_xll.TR(R$7,R$6,"Sdate=#1 Period=#2 NULL=BLANK Scale=6",,$D23,$P$4),R23)</f>
        <v/>
      </c>
      <c r="S23" s="1000" t="str" cm="1">
        <f t="array" aca="1" ref="S23" ca="1">IF(Reuters=1,_xll.TR(S$7,S$6,"Sdate=#1 Period=#2 NULL=BLANK Scale=6",,$D23,$P$4),S23)</f>
        <v/>
      </c>
      <c r="T23" s="1000" t="str" cm="1">
        <f t="array" aca="1" ref="T23" ca="1">IF(Reuters=1,_xll.TR(T$7,T$6,"Sdate=#1 Period=#2 NULL=BLANK Scale=6",,$D23,$P$4),T23)</f>
        <v/>
      </c>
      <c r="U23" s="1000" t="str" cm="1">
        <f t="array" aca="1" ref="U23" ca="1">IF(Reuters=1,_xll.TR(U$7,U$6,"Sdate=#1 Period=#2 NULL=BLANK Scale=6",,$D23,$P$4),U23)</f>
        <v/>
      </c>
      <c r="V23" s="1000" t="str" cm="1">
        <f t="array" aca="1" ref="V23" ca="1">IF(Reuters=1,_xll.TR(V$7,V$6,"Sdate=#1 Period=#2 NULL=BLANK Scale=6",,$D23,$P$4),V23)</f>
        <v/>
      </c>
      <c r="W23" s="1000" t="str" cm="1">
        <f t="array" aca="1" ref="W23" ca="1">IF(Reuters=1,_xll.TR(W$7,W$6,"Sdate=#1 Period=#2 NULL=BLANK Scale=6",,$D23,$P$4),W23)</f>
        <v/>
      </c>
      <c r="X23" s="1000" t="str" cm="1">
        <f t="array" aca="1" ref="X23" ca="1">IF(Reuters=1,_xll.TR(X$7,X$6,"Sdate=#1 Period=#2 NULL=BLANK Scale=6",,$D23,$P$4),X23)</f>
        <v/>
      </c>
      <c r="Y23" s="998"/>
      <c r="Z23" s="1000" cm="1">
        <f t="array" aca="1" ref="Z23" ca="1">IF(Reuters=1,_xll.TR(Z$7,Z$6,"Sdate=#1 Period=#2 NULL=BLANK Scale=6",,$D23,$Z$4),Z23)</f>
        <v>12196.645839839999</v>
      </c>
      <c r="AA23" s="1000" cm="1">
        <f t="array" aca="1" ref="AA23" ca="1">IF(Reuters=1,_xll.TR(AA$7,AA$6,"Sdate=#1 Period=#2 NULL=BLANK Scale=6",,$D23,$Z$4),AA23)</f>
        <v>9160.7609205000008</v>
      </c>
      <c r="AB23" s="1000" cm="1">
        <f t="array" aca="1" ref="AB23" ca="1">IF(Reuters=1,_xll.TR(AB$7,AB$6,"Sdate=#1 Period=#2 NULL=BLANK Scale=6",,$D23,$Z$4),AB23)</f>
        <v>71476.011967080005</v>
      </c>
      <c r="AC23" s="1000" t="str" cm="1">
        <f t="array" aca="1" ref="AC23" ca="1">IF(Reuters=1,_xll.TR(AC$7,AC$6,"Sdate=#1 Period=#2 NULL=BLANK Scale=6",,$D23,$Z$4),AC23)</f>
        <v/>
      </c>
      <c r="AD23" s="1000" cm="1">
        <f t="array" aca="1" ref="AD23" ca="1">IF(Reuters=1,_xll.TR(AD$7,AD$6,"Sdate=#1 Period=#2 NULL=BLANK Scale=6",,$D23,$Z$4),AD23)</f>
        <v>41371.993330224497</v>
      </c>
      <c r="AE23" s="1000" t="str" cm="1">
        <f t="array" aca="1" ref="AE23" ca="1">IF(Reuters=1,_xll.TR(AE$7,AE$6,"Sdate=#1 Period=#2 NULL=BLANK Scale=6",,$D23,$Z$4),AE23)</f>
        <v/>
      </c>
      <c r="AF23" s="1000" cm="1">
        <f t="array" aca="1" ref="AF23" ca="1">IF(Reuters=1,_xll.TR(AF$7,AF$6,"Sdate=#1 Period=#2 NULL=BLANK Scale=6",,$D23,$Z$4),AF23)</f>
        <v>2962.2928397400001</v>
      </c>
      <c r="AG23" s="1000" cm="1">
        <f t="array" aca="1" ref="AG23" ca="1">IF(Reuters=1,_xll.TR(AG$7,AG$6,"Sdate=#1 Period=#2 NULL=BLANK Scale=6",,$D23,$Z$4),AG23)</f>
        <v>1944.6937327999999</v>
      </c>
      <c r="AH23" s="1000" cm="1">
        <f t="array" aca="1" ref="AH23" ca="1">IF(Reuters=1,_xll.TR(AH$7,AH$6,"Sdate=#1 Period=#2 NULL=BLANK Scale=6",,$D23,$Z$4),AH23)</f>
        <v>7732.0589873999998</v>
      </c>
      <c r="AJ23" s="1004" t="str">
        <f t="shared" ca="1" si="13"/>
        <v>NA</v>
      </c>
      <c r="AK23" s="1004" t="str">
        <f t="shared" ca="1" si="14"/>
        <v>NA</v>
      </c>
      <c r="AL23" s="1004" t="str">
        <f t="shared" ca="1" si="15"/>
        <v>NA</v>
      </c>
      <c r="AM23" s="1004" t="str">
        <f t="shared" ca="1" si="16"/>
        <v>NA</v>
      </c>
      <c r="AN23" s="1004" t="str">
        <f t="shared" ca="1" si="17"/>
        <v>NA</v>
      </c>
      <c r="AO23" s="1004" t="str">
        <f t="shared" ca="1" si="18"/>
        <v>NA</v>
      </c>
      <c r="AP23" s="1004" t="str">
        <f t="shared" ca="1" si="19"/>
        <v>NA</v>
      </c>
      <c r="AQ23" s="1004" t="str">
        <f t="shared" ca="1" si="20"/>
        <v>NA</v>
      </c>
      <c r="AR23" s="1004" t="str">
        <f t="shared" ca="1" si="21"/>
        <v>NA</v>
      </c>
      <c r="AT23" s="765" cm="1">
        <f t="array" aca="1" ref="AT23" ca="1">IF(Reuters=1,_xll.TR(AT$7,AT$6,"Sdate=#1 Period=#2 NULL=BLANK Scale=6",,$D23,$AT$4),AT23)</f>
        <v>12.383333333333301</v>
      </c>
      <c r="AU23" s="765" cm="1">
        <f t="array" aca="1" ref="AU23" ca="1">IF(Reuters=1,_xll.TR(AU$7,AU$6,"Sdate=#1 Period=#2 NULL=BLANK Scale=6",,$D23,$AT$4),AU23)</f>
        <v>16.55</v>
      </c>
      <c r="AV23" s="765" cm="1">
        <f t="array" aca="1" ref="AV23" ca="1">IF(Reuters=1,_xll.TR(AV$7,AV$6,"Sdate=#1 Period=#2 NULL=BLANK Scale=6",,$D23,$AT$4),AV23)</f>
        <v>13.693058333333299</v>
      </c>
      <c r="AW23" s="765" t="str" cm="1">
        <f t="array" aca="1" ref="AW23" ca="1">IF(Reuters=1,_xll.TR(AW$7,AW$6,"Sdate=#1 Period=#2 NULL=BLANK Scale=6",,$D23,$AT$4),AW23)</f>
        <v/>
      </c>
      <c r="AX23" s="765" cm="1">
        <f t="array" aca="1" ref="AX23" ca="1">IF(Reuters=1,_xll.TR(AX$7,AX$6,"Sdate=#1 Period=#2 NULL=BLANK Scale=6",,$D23,$AT$4),AX23)</f>
        <v>21.05</v>
      </c>
      <c r="AY23" s="765" t="str" cm="1">
        <f t="array" aca="1" ref="AY23" ca="1">IF(Reuters=1,_xll.TR(AY$7,AY$6,"Sdate=#1 Period=#2 NULL=BLANK Scale=6",,$D23,$AT$4),AY23)</f>
        <v/>
      </c>
      <c r="AZ23" s="765" t="str" cm="1">
        <f t="array" aca="1" ref="AZ23" ca="1">IF(Reuters=1,_xll.TR(AZ$7,AZ$6,"Sdate=#1 Period=#2 NULL=BLANK Scale=6",,$D23,$AT$4),AZ23)</f>
        <v/>
      </c>
      <c r="BA23" s="765" cm="1">
        <f t="array" aca="1" ref="BA23" ca="1">IF(Reuters=1,_xll.TR(BA$7,BA$6,"Sdate=#1 Period=#2 NULL=BLANK Scale=6",,$D23,$AT$4),BA23)</f>
        <v>9.9</v>
      </c>
      <c r="BB23" s="765" t="str" cm="1">
        <f t="array" aca="1" ref="BB23" ca="1">IF(Reuters=1,_xll.TR(BB$7,BB$6,"Sdate=#1 Period=#2 NULL=BLANK Scale=6",,$D23,$AT$4),BB23)</f>
        <v/>
      </c>
      <c r="BE23" s="1000"/>
      <c r="BF23" s="1000"/>
      <c r="BG23" s="1000"/>
      <c r="BH23" s="1000"/>
      <c r="BI23" s="1000"/>
      <c r="BJ23" s="1000"/>
      <c r="BK23" s="1000"/>
      <c r="BL23" s="1000"/>
      <c r="BM23" s="1000"/>
    </row>
    <row r="24" spans="1:65" ht="11.25" customHeight="1">
      <c r="C24" s="969">
        <f t="shared" si="22"/>
        <v>41639</v>
      </c>
      <c r="D24" s="970">
        <f t="shared" si="12"/>
        <v>41684</v>
      </c>
      <c r="E24" s="765" t="str" cm="1">
        <f t="array" aca="1" ref="E24" ca="1">IF(Reuters=1,_xll.TR(E$7,E$6,"Sdate=#1 Period=#2 NULL=BLANK",,$D24,$E$4),E24)</f>
        <v/>
      </c>
      <c r="F24" s="765" t="str" cm="1">
        <f t="array" aca="1" ref="F24" ca="1">IF(Reuters=1,_xll.TR(F$7,F$6,"Sdate=#1 Period=#2 NULL=BLANK",,$D24,$E$4),F24)</f>
        <v/>
      </c>
      <c r="G24" s="765" cm="1">
        <f t="array" aca="1" ref="G24" ca="1">IF(Reuters=1,_xll.TR(G$7,G$6,"Sdate=#1 Period=#2 NULL=BLANK",,$D24,$E$4),G24)</f>
        <v>16.007838039713999</v>
      </c>
      <c r="H24" s="765" t="str" cm="1">
        <f t="array" aca="1" ref="H24" ca="1">IF(Reuters=1,_xll.TR(H$7,H$6,"Sdate=#1 Period=#2 NULL=BLANK",,$D24,$E$4),H24)</f>
        <v/>
      </c>
      <c r="I24" s="765" t="str" cm="1">
        <f t="array" aca="1" ref="I24" ca="1">IF(Reuters=1,_xll.TR(I$7,I$6,"Sdate=#1 Period=#2 NULL=BLANK",,$D24,$E$4),I24)</f>
        <v/>
      </c>
      <c r="J24" s="765" t="str" cm="1">
        <f t="array" aca="1" ref="J24" ca="1">IF(Reuters=1,_xll.TR(J$7,J$6,"Sdate=#1 Period=#2 NULL=BLANK",,$D24,$E$4),J24)</f>
        <v/>
      </c>
      <c r="K24" s="765" cm="1">
        <f t="array" aca="1" ref="K24" ca="1">IF(Reuters=1,_xll.TR(K$7,K$6,"Sdate=#1 Period=#2 NULL=BLANK",,$D24,$E$4),K24)</f>
        <v>18.2789518174134</v>
      </c>
      <c r="L24" s="765" cm="1">
        <f t="array" aca="1" ref="L24" ca="1">IF(Reuters=1,_xll.TR(L$7,L$6,"Sdate=#1 Period=#2 NULL=BLANK",,$D24,$E$4),L24)</f>
        <v>17.395296752519599</v>
      </c>
      <c r="M24" s="765" cm="1">
        <f t="array" aca="1" ref="M24" ca="1">IF(Reuters=1,_xll.TR(M$7,M$6,"Sdate=#1 Period=#2 NULL=BLANK",,$D24,$E$4),M24)</f>
        <v>15.13342867902</v>
      </c>
      <c r="P24" s="1000" t="str" cm="1">
        <f t="array" aca="1" ref="P24" ca="1">IF(Reuters=1,_xll.TR(P$7,P$6,"Sdate=#1 Period=#2 NULL=BLANK Scale=6",,$D24,$P$4),P24)</f>
        <v/>
      </c>
      <c r="Q24" s="1000" t="str" cm="1">
        <f t="array" aca="1" ref="Q24" ca="1">IF(Reuters=1,_xll.TR(Q$7,Q$6,"Sdate=#1 Period=#2 NULL=BLANK Scale=6",,$D24,$P$4),Q24)</f>
        <v/>
      </c>
      <c r="R24" s="1000" t="str" cm="1">
        <f t="array" aca="1" ref="R24" ca="1">IF(Reuters=1,_xll.TR(R$7,R$6,"Sdate=#1 Period=#2 NULL=BLANK Scale=6",,$D24,$P$4),R24)</f>
        <v/>
      </c>
      <c r="S24" s="1000" t="str" cm="1">
        <f t="array" aca="1" ref="S24" ca="1">IF(Reuters=1,_xll.TR(S$7,S$6,"Sdate=#1 Period=#2 NULL=BLANK Scale=6",,$D24,$P$4),S24)</f>
        <v/>
      </c>
      <c r="T24" s="1000" t="str" cm="1">
        <f t="array" aca="1" ref="T24" ca="1">IF(Reuters=1,_xll.TR(T$7,T$6,"Sdate=#1 Period=#2 NULL=BLANK Scale=6",,$D24,$P$4),T24)</f>
        <v/>
      </c>
      <c r="U24" s="1000" t="str" cm="1">
        <f t="array" aca="1" ref="U24" ca="1">IF(Reuters=1,_xll.TR(U$7,U$6,"Sdate=#1 Period=#2 NULL=BLANK Scale=6",,$D24,$P$4),U24)</f>
        <v/>
      </c>
      <c r="V24" s="1000" t="str" cm="1">
        <f t="array" aca="1" ref="V24" ca="1">IF(Reuters=1,_xll.TR(V$7,V$6,"Sdate=#1 Period=#2 NULL=BLANK Scale=6",,$D24,$P$4),V24)</f>
        <v/>
      </c>
      <c r="W24" s="1000" t="str" cm="1">
        <f t="array" aca="1" ref="W24" ca="1">IF(Reuters=1,_xll.TR(W$7,W$6,"Sdate=#1 Period=#2 NULL=BLANK Scale=6",,$D24,$P$4),W24)</f>
        <v/>
      </c>
      <c r="X24" s="1000" t="str" cm="1">
        <f t="array" aca="1" ref="X24" ca="1">IF(Reuters=1,_xll.TR(X$7,X$6,"Sdate=#1 Period=#2 NULL=BLANK Scale=6",,$D24,$P$4),X24)</f>
        <v/>
      </c>
      <c r="Y24" s="998"/>
      <c r="Z24" s="1000" cm="1">
        <f t="array" aca="1" ref="Z24" ca="1">IF(Reuters=1,_xll.TR(Z$7,Z$6,"Sdate=#1 Period=#2 NULL=BLANK Scale=6",,$D24,$Z$4),Z24)</f>
        <v>12630.38069416</v>
      </c>
      <c r="AA24" s="1000" cm="1">
        <f t="array" aca="1" ref="AA24" ca="1">IF(Reuters=1,_xll.TR(AA$7,AA$6,"Sdate=#1 Period=#2 NULL=BLANK Scale=6",,$D24,$Z$4),AA24)</f>
        <v>8333.5736844000003</v>
      </c>
      <c r="AB24" s="1000" cm="1">
        <f t="array" aca="1" ref="AB24" ca="1">IF(Reuters=1,_xll.TR(AB$7,AB$6,"Sdate=#1 Period=#2 NULL=BLANK Scale=6",,$D24,$Z$4),AB24)</f>
        <v>75783.677041939998</v>
      </c>
      <c r="AC24" s="1000" t="str" cm="1">
        <f t="array" aca="1" ref="AC24" ca="1">IF(Reuters=1,_xll.TR(AC$7,AC$6,"Sdate=#1 Period=#2 NULL=BLANK Scale=6",,$D24,$Z$4),AC24)</f>
        <v/>
      </c>
      <c r="AD24" s="1000" cm="1">
        <f t="array" aca="1" ref="AD24" ca="1">IF(Reuters=1,_xll.TR(AD$7,AD$6,"Sdate=#1 Period=#2 NULL=BLANK Scale=6",,$D24,$Z$4),AD24)</f>
        <v>44654.897474790203</v>
      </c>
      <c r="AE24" s="1000" t="str" cm="1">
        <f t="array" aca="1" ref="AE24" ca="1">IF(Reuters=1,_xll.TR(AE$7,AE$6,"Sdate=#1 Period=#2 NULL=BLANK Scale=6",,$D24,$Z$4),AE24)</f>
        <v/>
      </c>
      <c r="AF24" s="1000" cm="1">
        <f t="array" aca="1" ref="AF24" ca="1">IF(Reuters=1,_xll.TR(AF$7,AF$6,"Sdate=#1 Period=#2 NULL=BLANK Scale=6",,$D24,$Z$4),AF24)</f>
        <v>3415.3478631600001</v>
      </c>
      <c r="AG24" s="1000" cm="1">
        <f t="array" aca="1" ref="AG24" ca="1">IF(Reuters=1,_xll.TR(AG$7,AG$6,"Sdate=#1 Period=#2 NULL=BLANK Scale=6",,$D24,$Z$4),AG24)</f>
        <v>2057.8968895200001</v>
      </c>
      <c r="AH24" s="1000" cm="1">
        <f t="array" aca="1" ref="AH24" ca="1">IF(Reuters=1,_xll.TR(AH$7,AH$6,"Sdate=#1 Period=#2 NULL=BLANK Scale=6",,$D24,$Z$4),AH24)</f>
        <v>8618.0039211900003</v>
      </c>
      <c r="AJ24" s="1004" t="str">
        <f t="shared" ca="1" si="13"/>
        <v>NA</v>
      </c>
      <c r="AK24" s="1004" t="str">
        <f t="shared" ca="1" si="14"/>
        <v>NA</v>
      </c>
      <c r="AL24" s="1004" t="str">
        <f t="shared" ca="1" si="15"/>
        <v>NA</v>
      </c>
      <c r="AM24" s="1004" t="str">
        <f t="shared" ca="1" si="16"/>
        <v>NA</v>
      </c>
      <c r="AN24" s="1004" t="str">
        <f t="shared" ca="1" si="17"/>
        <v>NA</v>
      </c>
      <c r="AO24" s="1004" t="str">
        <f t="shared" ca="1" si="18"/>
        <v>NA</v>
      </c>
      <c r="AP24" s="1004" t="str">
        <f t="shared" ca="1" si="19"/>
        <v>NA</v>
      </c>
      <c r="AQ24" s="1004" t="str">
        <f t="shared" ca="1" si="20"/>
        <v>NA</v>
      </c>
      <c r="AR24" s="1004" t="str">
        <f t="shared" ca="1" si="21"/>
        <v>NA</v>
      </c>
      <c r="AT24" s="765" cm="1">
        <f t="array" aca="1" ref="AT24" ca="1">IF(Reuters=1,_xll.TR(AT$7,AT$6,"Sdate=#1 Period=#2 NULL=BLANK Scale=6",,$D24,$AT$4),AT24)</f>
        <v>12.983333333333301</v>
      </c>
      <c r="AU24" s="765" cm="1">
        <f t="array" aca="1" ref="AU24" ca="1">IF(Reuters=1,_xll.TR(AU$7,AU$6,"Sdate=#1 Period=#2 NULL=BLANK Scale=6",,$D24,$AT$4),AU24)</f>
        <v>15.75</v>
      </c>
      <c r="AV24" s="765" cm="1">
        <f t="array" aca="1" ref="AV24" ca="1">IF(Reuters=1,_xll.TR(AV$7,AV$6,"Sdate=#1 Period=#2 NULL=BLANK Scale=6",,$D24,$AT$4),AV24)</f>
        <v>13.927225</v>
      </c>
      <c r="AW24" s="765" t="str" cm="1">
        <f t="array" aca="1" ref="AW24" ca="1">IF(Reuters=1,_xll.TR(AW$7,AW$6,"Sdate=#1 Period=#2 NULL=BLANK Scale=6",,$D24,$AT$4),AW24)</f>
        <v/>
      </c>
      <c r="AX24" s="765" cm="1">
        <f t="array" aca="1" ref="AX24" ca="1">IF(Reuters=1,_xll.TR(AX$7,AX$6,"Sdate=#1 Period=#2 NULL=BLANK Scale=6",,$D24,$AT$4),AX24)</f>
        <v>21.366666666666699</v>
      </c>
      <c r="AY24" s="765" t="str" cm="1">
        <f t="array" aca="1" ref="AY24" ca="1">IF(Reuters=1,_xll.TR(AY$7,AY$6,"Sdate=#1 Period=#2 NULL=BLANK Scale=6",,$D24,$AT$4),AY24)</f>
        <v/>
      </c>
      <c r="AZ24" s="765" t="str" cm="1">
        <f t="array" aca="1" ref="AZ24" ca="1">IF(Reuters=1,_xll.TR(AZ$7,AZ$6,"Sdate=#1 Period=#2 NULL=BLANK Scale=6",,$D24,$AT$4),AZ24)</f>
        <v/>
      </c>
      <c r="BA24" s="765" cm="1">
        <f t="array" aca="1" ref="BA24" ca="1">IF(Reuters=1,_xll.TR(BA$7,BA$6,"Sdate=#1 Period=#2 NULL=BLANK Scale=6",,$D24,$AT$4),BA24)</f>
        <v>10.283333333333299</v>
      </c>
      <c r="BB24" s="765" t="str" cm="1">
        <f t="array" aca="1" ref="BB24" ca="1">IF(Reuters=1,_xll.TR(BB$7,BB$6,"Sdate=#1 Period=#2 NULL=BLANK Scale=6",,$D24,$AT$4),BB24)</f>
        <v/>
      </c>
      <c r="BE24" s="1000"/>
      <c r="BF24" s="1000"/>
      <c r="BG24" s="1000"/>
      <c r="BH24" s="1000"/>
      <c r="BI24" s="1000"/>
      <c r="BJ24" s="1000"/>
      <c r="BK24" s="1000"/>
      <c r="BL24" s="1000"/>
      <c r="BM24" s="1000"/>
    </row>
    <row r="25" spans="1:65" ht="11.25" customHeight="1">
      <c r="C25" s="971">
        <f t="shared" si="22"/>
        <v>41729</v>
      </c>
      <c r="D25" s="970">
        <f t="shared" si="12"/>
        <v>41774</v>
      </c>
      <c r="E25" s="765" t="str" cm="1">
        <f t="array" aca="1" ref="E25" ca="1">IF(Reuters=1,_xll.TR(E$7,E$6,"Sdate=#1 Period=#2 NULL=BLANK",,$D25,$E$4),E25)</f>
        <v/>
      </c>
      <c r="F25" s="765" cm="1">
        <f t="array" aca="1" ref="F25" ca="1">IF(Reuters=1,_xll.TR(F$7,F$6,"Sdate=#1 Period=#2 NULL=BLANK",,$D25,$E$4),F25)</f>
        <v>18.307822611477999</v>
      </c>
      <c r="G25" s="765" cm="1">
        <f t="array" aca="1" ref="G25" ca="1">IF(Reuters=1,_xll.TR(G$7,G$6,"Sdate=#1 Period=#2 NULL=BLANK",,$D25,$E$4),G25)</f>
        <v>18.341384167682801</v>
      </c>
      <c r="H25" s="765" t="str" cm="1">
        <f t="array" aca="1" ref="H25" ca="1">IF(Reuters=1,_xll.TR(H$7,H$6,"Sdate=#1 Period=#2 NULL=BLANK",,$D25,$E$4),H25)</f>
        <v/>
      </c>
      <c r="I25" s="765" cm="1">
        <f t="array" aca="1" ref="I25" ca="1">IF(Reuters=1,_xll.TR(I$7,I$6,"Sdate=#1 Period=#2 NULL=BLANK",,$D25,$E$4),I25)</f>
        <v>13.9110965730689</v>
      </c>
      <c r="J25" s="765" t="str" cm="1">
        <f t="array" aca="1" ref="J25" ca="1">IF(Reuters=1,_xll.TR(J$7,J$6,"Sdate=#1 Period=#2 NULL=BLANK",,$D25,$E$4),J25)</f>
        <v/>
      </c>
      <c r="K25" s="765" cm="1">
        <f t="array" aca="1" ref="K25" ca="1">IF(Reuters=1,_xll.TR(K$7,K$6,"Sdate=#1 Period=#2 NULL=BLANK",,$D25,$E$4),K25)</f>
        <v>12.6574880584434</v>
      </c>
      <c r="L25" s="765" cm="1">
        <f t="array" aca="1" ref="L25" ca="1">IF(Reuters=1,_xll.TR(L$7,L$6,"Sdate=#1 Period=#2 NULL=BLANK",,$D25,$E$4),L25)</f>
        <v>12.2989841633322</v>
      </c>
      <c r="M25" s="765" cm="1">
        <f t="array" aca="1" ref="M25" ca="1">IF(Reuters=1,_xll.TR(M$7,M$6,"Sdate=#1 Period=#2 NULL=BLANK",,$D25,$E$4),M25)</f>
        <v>23.4333948826167</v>
      </c>
      <c r="P25" s="1000" t="str" cm="1">
        <f t="array" aca="1" ref="P25" ca="1">IF(Reuters=1,_xll.TR(P$7,P$6,"Sdate=#1 Period=#2 NULL=BLANK Scale=6",,$D25,$P$4),P25)</f>
        <v/>
      </c>
      <c r="Q25" s="1000" t="str" cm="1">
        <f t="array" aca="1" ref="Q25" ca="1">IF(Reuters=1,_xll.TR(Q$7,Q$6,"Sdate=#1 Period=#2 NULL=BLANK Scale=6",,$D25,$P$4),Q25)</f>
        <v/>
      </c>
      <c r="R25" s="1000" t="str" cm="1">
        <f t="array" aca="1" ref="R25" ca="1">IF(Reuters=1,_xll.TR(R$7,R$6,"Sdate=#1 Period=#2 NULL=BLANK Scale=6",,$D25,$P$4),R25)</f>
        <v/>
      </c>
      <c r="S25" s="1000" t="str" cm="1">
        <f t="array" aca="1" ref="S25" ca="1">IF(Reuters=1,_xll.TR(S$7,S$6,"Sdate=#1 Period=#2 NULL=BLANK Scale=6",,$D25,$P$4),S25)</f>
        <v/>
      </c>
      <c r="T25" s="1000" t="str" cm="1">
        <f t="array" aca="1" ref="T25" ca="1">IF(Reuters=1,_xll.TR(T$7,T$6,"Sdate=#1 Period=#2 NULL=BLANK Scale=6",,$D25,$P$4),T25)</f>
        <v/>
      </c>
      <c r="U25" s="1000" t="str" cm="1">
        <f t="array" aca="1" ref="U25" ca="1">IF(Reuters=1,_xll.TR(U$7,U$6,"Sdate=#1 Period=#2 NULL=BLANK Scale=6",,$D25,$P$4),U25)</f>
        <v/>
      </c>
      <c r="V25" s="1000" t="str" cm="1">
        <f t="array" aca="1" ref="V25" ca="1">IF(Reuters=1,_xll.TR(V$7,V$6,"Sdate=#1 Period=#2 NULL=BLANK Scale=6",,$D25,$P$4),V25)</f>
        <v/>
      </c>
      <c r="W25" s="1000" t="str" cm="1">
        <f t="array" aca="1" ref="W25" ca="1">IF(Reuters=1,_xll.TR(W$7,W$6,"Sdate=#1 Period=#2 NULL=BLANK Scale=6",,$D25,$P$4),W25)</f>
        <v/>
      </c>
      <c r="X25" s="1000" t="str" cm="1">
        <f t="array" aca="1" ref="X25" ca="1">IF(Reuters=1,_xll.TR(X$7,X$6,"Sdate=#1 Period=#2 NULL=BLANK Scale=6",,$D25,$P$4),X25)</f>
        <v/>
      </c>
      <c r="Y25" s="998"/>
      <c r="Z25" s="1000" cm="1">
        <f t="array" aca="1" ref="Z25" ca="1">IF(Reuters=1,_xll.TR(Z$7,Z$6,"Sdate=#1 Period=#2 NULL=BLANK Scale=6",,$D25,$Z$4),Z25)</f>
        <v>12684.39042808</v>
      </c>
      <c r="AA25" s="1000" cm="1">
        <f t="array" aca="1" ref="AA25" ca="1">IF(Reuters=1,_xll.TR(AA$7,AA$6,"Sdate=#1 Period=#2 NULL=BLANK Scale=6",,$D25,$Z$4),AA25)</f>
        <v>9103.2975499200002</v>
      </c>
      <c r="AB25" s="1000" cm="1">
        <f t="array" aca="1" ref="AB25" ca="1">IF(Reuters=1,_xll.TR(AB$7,AB$6,"Sdate=#1 Period=#2 NULL=BLANK Scale=6",,$D25,$Z$4),AB25)</f>
        <v>76389.872979980006</v>
      </c>
      <c r="AC25" s="1000" t="str" cm="1">
        <f t="array" aca="1" ref="AC25" ca="1">IF(Reuters=1,_xll.TR(AC$7,AC$6,"Sdate=#1 Period=#2 NULL=BLANK Scale=6",,$D25,$Z$4),AC25)</f>
        <v/>
      </c>
      <c r="AD25" s="1000" cm="1">
        <f t="array" aca="1" ref="AD25" ca="1">IF(Reuters=1,_xll.TR(AD$7,AD$6,"Sdate=#1 Period=#2 NULL=BLANK Scale=6",,$D25,$Z$4),AD25)</f>
        <v>47953.742172615202</v>
      </c>
      <c r="AE25" s="1000" t="str" cm="1">
        <f t="array" aca="1" ref="AE25" ca="1">IF(Reuters=1,_xll.TR(AE$7,AE$6,"Sdate=#1 Period=#2 NULL=BLANK Scale=6",,$D25,$Z$4),AE25)</f>
        <v/>
      </c>
      <c r="AF25" s="1000" cm="1">
        <f t="array" aca="1" ref="AF25" ca="1">IF(Reuters=1,_xll.TR(AF$7,AF$6,"Sdate=#1 Period=#2 NULL=BLANK Scale=6",,$D25,$Z$4),AF25)</f>
        <v>3533.4477699600002</v>
      </c>
      <c r="AG25" s="1000" cm="1">
        <f t="array" aca="1" ref="AG25" ca="1">IF(Reuters=1,_xll.TR(AG$7,AG$6,"Sdate=#1 Period=#2 NULL=BLANK Scale=6",,$D25,$Z$4),AG25)</f>
        <v>2158.5305244000001</v>
      </c>
      <c r="AH25" s="1000" cm="1">
        <f t="array" aca="1" ref="AH25" ca="1">IF(Reuters=1,_xll.TR(AH$7,AH$6,"Sdate=#1 Period=#2 NULL=BLANK Scale=6",,$D25,$Z$4),AH25)</f>
        <v>9877.7549404599995</v>
      </c>
      <c r="AJ25" s="1004" t="str">
        <f t="shared" ca="1" si="13"/>
        <v>NA</v>
      </c>
      <c r="AK25" s="1004" t="str">
        <f t="shared" ca="1" si="14"/>
        <v>NA</v>
      </c>
      <c r="AL25" s="1004" t="str">
        <f t="shared" ca="1" si="15"/>
        <v>NA</v>
      </c>
      <c r="AM25" s="1004" t="str">
        <f t="shared" ca="1" si="16"/>
        <v>NA</v>
      </c>
      <c r="AN25" s="1004" t="str">
        <f t="shared" ca="1" si="17"/>
        <v>NA</v>
      </c>
      <c r="AO25" s="1004" t="str">
        <f t="shared" ca="1" si="18"/>
        <v>NA</v>
      </c>
      <c r="AP25" s="1004" t="str">
        <f t="shared" ca="1" si="19"/>
        <v>NA</v>
      </c>
      <c r="AQ25" s="1004" t="str">
        <f t="shared" ca="1" si="20"/>
        <v>NA</v>
      </c>
      <c r="AR25" s="1004" t="str">
        <f t="shared" ca="1" si="21"/>
        <v>NA</v>
      </c>
      <c r="AT25" s="765" cm="1">
        <f t="array" aca="1" ref="AT25" ca="1">IF(Reuters=1,_xll.TR(AT$7,AT$6,"Sdate=#1 Period=#2 NULL=BLANK Scale=6",,$D25,$AT$4),AT25)</f>
        <v>12.858333333333301</v>
      </c>
      <c r="AU25" s="765" cm="1">
        <f t="array" aca="1" ref="AU25" ca="1">IF(Reuters=1,_xll.TR(AU$7,AU$6,"Sdate=#1 Period=#2 NULL=BLANK Scale=6",,$D25,$AT$4),AU25)</f>
        <v>14.233333333333301</v>
      </c>
      <c r="AV25" s="765" cm="1">
        <f t="array" aca="1" ref="AV25" ca="1">IF(Reuters=1,_xll.TR(AV$7,AV$6,"Sdate=#1 Period=#2 NULL=BLANK Scale=6",,$D25,$AT$4),AV25)</f>
        <v>14.723809166666699</v>
      </c>
      <c r="AW25" s="765" t="str" cm="1">
        <f t="array" aca="1" ref="AW25" ca="1">IF(Reuters=1,_xll.TR(AW$7,AW$6,"Sdate=#1 Period=#2 NULL=BLANK Scale=6",,$D25,$AT$4),AW25)</f>
        <v/>
      </c>
      <c r="AX25" s="765" cm="1">
        <f t="array" aca="1" ref="AX25" ca="1">IF(Reuters=1,_xll.TR(AX$7,AX$6,"Sdate=#1 Period=#2 NULL=BLANK Scale=6",,$D25,$AT$4),AX25)</f>
        <v>20.183333333333302</v>
      </c>
      <c r="AY25" s="765" t="str" cm="1">
        <f t="array" aca="1" ref="AY25" ca="1">IF(Reuters=1,_xll.TR(AY$7,AY$6,"Sdate=#1 Period=#2 NULL=BLANK Scale=6",,$D25,$AT$4),AY25)</f>
        <v/>
      </c>
      <c r="AZ25" s="765" t="str" cm="1">
        <f t="array" aca="1" ref="AZ25" ca="1">IF(Reuters=1,_xll.TR(AZ$7,AZ$6,"Sdate=#1 Period=#2 NULL=BLANK Scale=6",,$D25,$AT$4),AZ25)</f>
        <v/>
      </c>
      <c r="BA25" s="765" cm="1">
        <f t="array" aca="1" ref="BA25" ca="1">IF(Reuters=1,_xll.TR(BA$7,BA$6,"Sdate=#1 Period=#2 NULL=BLANK Scale=6",,$D25,$AT$4),BA25)</f>
        <v>9.8000000000000007</v>
      </c>
      <c r="BB25" s="765" t="str" cm="1">
        <f t="array" aca="1" ref="BB25" ca="1">IF(Reuters=1,_xll.TR(BB$7,BB$6,"Sdate=#1 Period=#2 NULL=BLANK Scale=6",,$D25,$AT$4),BB25)</f>
        <v/>
      </c>
      <c r="BE25" s="1000"/>
      <c r="BF25" s="1000"/>
      <c r="BG25" s="1000"/>
      <c r="BH25" s="1000"/>
      <c r="BI25" s="1000"/>
      <c r="BJ25" s="1000"/>
      <c r="BK25" s="1000"/>
      <c r="BL25" s="1000"/>
      <c r="BM25" s="1000"/>
    </row>
    <row r="26" spans="1:65" ht="11.25" customHeight="1">
      <c r="C26" s="972">
        <f t="shared" si="22"/>
        <v>41820</v>
      </c>
      <c r="D26" s="970">
        <f t="shared" si="12"/>
        <v>41865</v>
      </c>
      <c r="E26" s="765" t="str" cm="1">
        <f t="array" aca="1" ref="E26" ca="1">IF(Reuters=1,_xll.TR(E$7,E$6,"Sdate=#1 Period=#2 NULL=BLANK",,$D26,$E$4),E26)</f>
        <v/>
      </c>
      <c r="F26" s="765" cm="1">
        <f t="array" aca="1" ref="F26" ca="1">IF(Reuters=1,_xll.TR(F$7,F$6,"Sdate=#1 Period=#2 NULL=BLANK",,$D26,$E$4),F26)</f>
        <v>17.844049379154502</v>
      </c>
      <c r="G26" s="765" cm="1">
        <f t="array" aca="1" ref="G26" ca="1">IF(Reuters=1,_xll.TR(G$7,G$6,"Sdate=#1 Period=#2 NULL=BLANK",,$D26,$E$4),G26)</f>
        <v>15.232123355053099</v>
      </c>
      <c r="H26" s="765" t="str" cm="1">
        <f t="array" aca="1" ref="H26" ca="1">IF(Reuters=1,_xll.TR(H$7,H$6,"Sdate=#1 Period=#2 NULL=BLANK",,$D26,$E$4),H26)</f>
        <v/>
      </c>
      <c r="I26" s="765" cm="1">
        <f t="array" aca="1" ref="I26" ca="1">IF(Reuters=1,_xll.TR(I$7,I$6,"Sdate=#1 Period=#2 NULL=BLANK",,$D26,$E$4),I26)</f>
        <v>14.2341204777999</v>
      </c>
      <c r="J26" s="765" t="str" cm="1">
        <f t="array" aca="1" ref="J26" ca="1">IF(Reuters=1,_xll.TR(J$7,J$6,"Sdate=#1 Period=#2 NULL=BLANK",,$D26,$E$4),J26)</f>
        <v/>
      </c>
      <c r="K26" s="765" cm="1">
        <f t="array" aca="1" ref="K26" ca="1">IF(Reuters=1,_xll.TR(K$7,K$6,"Sdate=#1 Period=#2 NULL=BLANK",,$D26,$E$4),K26)</f>
        <v>12.8973799126638</v>
      </c>
      <c r="L26" s="765" cm="1">
        <f t="array" aca="1" ref="L26" ca="1">IF(Reuters=1,_xll.TR(L$7,L$6,"Sdate=#1 Period=#2 NULL=BLANK",,$D26,$E$4),L26)</f>
        <v>12.0373012178457</v>
      </c>
      <c r="M26" s="765" t="str" cm="1">
        <f t="array" aca="1" ref="M26" ca="1">IF(Reuters=1,_xll.TR(M$7,M$6,"Sdate=#1 Period=#2 NULL=BLANK",,$D26,$E$4),M26)</f>
        <v/>
      </c>
      <c r="P26" s="1000" t="str" cm="1">
        <f t="array" aca="1" ref="P26" ca="1">IF(Reuters=1,_xll.TR(P$7,P$6,"Sdate=#1 Period=#2 NULL=BLANK Scale=6",,$D26,$P$4),P26)</f>
        <v/>
      </c>
      <c r="Q26" s="1000" t="str" cm="1">
        <f t="array" aca="1" ref="Q26" ca="1">IF(Reuters=1,_xll.TR(Q$7,Q$6,"Sdate=#1 Period=#2 NULL=BLANK Scale=6",,$D26,$P$4),Q26)</f>
        <v/>
      </c>
      <c r="R26" s="1000" cm="1">
        <f t="array" aca="1" ref="R26" ca="1">IF(Reuters=1,_xll.TR(R$7,R$6,"Sdate=#1 Period=#2 NULL=BLANK Scale=6",,$D26,$P$4),R26)</f>
        <v>-258</v>
      </c>
      <c r="S26" s="1000" t="str" cm="1">
        <f t="array" aca="1" ref="S26" ca="1">IF(Reuters=1,_xll.TR(S$7,S$6,"Sdate=#1 Period=#2 NULL=BLANK Scale=6",,$D26,$P$4),S26)</f>
        <v/>
      </c>
      <c r="T26" s="1000" t="str" cm="1">
        <f t="array" aca="1" ref="T26" ca="1">IF(Reuters=1,_xll.TR(T$7,T$6,"Sdate=#1 Period=#2 NULL=BLANK Scale=6",,$D26,$P$4),T26)</f>
        <v/>
      </c>
      <c r="U26" s="1000" t="str" cm="1">
        <f t="array" aca="1" ref="U26" ca="1">IF(Reuters=1,_xll.TR(U$7,U$6,"Sdate=#1 Period=#2 NULL=BLANK Scale=6",,$D26,$P$4),U26)</f>
        <v/>
      </c>
      <c r="V26" s="1000" cm="1">
        <f t="array" aca="1" ref="V26" ca="1">IF(Reuters=1,_xll.TR(V$7,V$6,"Sdate=#1 Period=#2 NULL=BLANK Scale=6",,$D26,$P$4),V26)</f>
        <v>90.3</v>
      </c>
      <c r="W26" s="1000" cm="1">
        <f t="array" aca="1" ref="W26" ca="1">IF(Reuters=1,_xll.TR(W$7,W$6,"Sdate=#1 Period=#2 NULL=BLANK Scale=6",,$D26,$P$4),W26)</f>
        <v>193.9</v>
      </c>
      <c r="X26" s="1000" t="str" cm="1">
        <f t="array" aca="1" ref="X26" ca="1">IF(Reuters=1,_xll.TR(X$7,X$6,"Sdate=#1 Period=#2 NULL=BLANK Scale=6",,$D26,$P$4),X26)</f>
        <v/>
      </c>
      <c r="Y26" s="998"/>
      <c r="Z26" s="1000" cm="1">
        <f t="array" aca="1" ref="Z26" ca="1">IF(Reuters=1,_xll.TR(Z$7,Z$6,"Sdate=#1 Period=#2 NULL=BLANK Scale=6",,$D26,$Z$4),Z26)</f>
        <v>12091.56556076</v>
      </c>
      <c r="AA26" s="1000" cm="1">
        <f t="array" aca="1" ref="AA26" ca="1">IF(Reuters=1,_xll.TR(AA$7,AA$6,"Sdate=#1 Period=#2 NULL=BLANK Scale=6",,$D26,$Z$4),AA26)</f>
        <v>9218.6469042400004</v>
      </c>
      <c r="AB26" s="1000" cm="1">
        <f t="array" aca="1" ref="AB26" ca="1">IF(Reuters=1,_xll.TR(AB$7,AB$6,"Sdate=#1 Period=#2 NULL=BLANK Scale=6",,$D26,$Z$4),AB26)</f>
        <v>69730.902448480003</v>
      </c>
      <c r="AC26" s="1000" t="str" cm="1">
        <f t="array" aca="1" ref="AC26" ca="1">IF(Reuters=1,_xll.TR(AC$7,AC$6,"Sdate=#1 Period=#2 NULL=BLANK Scale=6",,$D26,$Z$4),AC26)</f>
        <v/>
      </c>
      <c r="AD26" s="1000" cm="1">
        <f t="array" aca="1" ref="AD26" ca="1">IF(Reuters=1,_xll.TR(AD$7,AD$6,"Sdate=#1 Period=#2 NULL=BLANK Scale=6",,$D26,$Z$4),AD26)</f>
        <v>53710.678251274599</v>
      </c>
      <c r="AE26" s="1000" t="str" cm="1">
        <f t="array" aca="1" ref="AE26" ca="1">IF(Reuters=1,_xll.TR(AE$7,AE$6,"Sdate=#1 Period=#2 NULL=BLANK Scale=6",,$D26,$Z$4),AE26)</f>
        <v/>
      </c>
      <c r="AF26" s="1000" cm="1">
        <f t="array" aca="1" ref="AF26" ca="1">IF(Reuters=1,_xll.TR(AF$7,AF$6,"Sdate=#1 Period=#2 NULL=BLANK Scale=6",,$D26,$Z$4),AF26)</f>
        <v>3635.9239353799999</v>
      </c>
      <c r="AG26" s="1000" cm="1">
        <f t="array" aca="1" ref="AG26" ca="1">IF(Reuters=1,_xll.TR(AG$7,AG$6,"Sdate=#1 Period=#2 NULL=BLANK Scale=6",,$D26,$Z$4),AG26)</f>
        <v>2099.27684</v>
      </c>
      <c r="AH26" s="1000" cm="1">
        <f t="array" aca="1" ref="AH26" ca="1">IF(Reuters=1,_xll.TR(AH$7,AH$6,"Sdate=#1 Period=#2 NULL=BLANK Scale=6",,$D26,$Z$4),AH26)</f>
        <v>11885.65995288</v>
      </c>
      <c r="AJ26" s="1004" t="str">
        <f t="shared" ca="1" si="13"/>
        <v>NA</v>
      </c>
      <c r="AK26" s="1004" t="str">
        <f t="shared" ca="1" si="14"/>
        <v>NA</v>
      </c>
      <c r="AL26" s="1004">
        <f t="shared" ca="1" si="15"/>
        <v>-270.27481569178298</v>
      </c>
      <c r="AM26" s="1004" t="str">
        <f t="shared" ca="1" si="16"/>
        <v>NA</v>
      </c>
      <c r="AN26" s="1004" t="str">
        <f t="shared" ca="1" si="17"/>
        <v>NA</v>
      </c>
      <c r="AO26" s="1004" t="str">
        <f t="shared" ca="1" si="18"/>
        <v>NA</v>
      </c>
      <c r="AP26" s="1004">
        <f t="shared" ca="1" si="19"/>
        <v>40.264938376301217</v>
      </c>
      <c r="AQ26" s="1004">
        <f t="shared" ca="1" si="20"/>
        <v>10.826595358432181</v>
      </c>
      <c r="AR26" s="1004" t="str">
        <f t="shared" ca="1" si="21"/>
        <v>NA</v>
      </c>
      <c r="AT26" s="765" cm="1">
        <f t="array" aca="1" ref="AT26" ca="1">IF(Reuters=1,_xll.TR(AT$7,AT$6,"Sdate=#1 Period=#2 NULL=BLANK Scale=6",,$D26,$AT$4),AT26)</f>
        <v>12.45</v>
      </c>
      <c r="AU26" s="765" cm="1">
        <f t="array" aca="1" ref="AU26" ca="1">IF(Reuters=1,_xll.TR(AU$7,AU$6,"Sdate=#1 Period=#2 NULL=BLANK Scale=6",,$D26,$AT$4),AU26)</f>
        <v>14</v>
      </c>
      <c r="AV26" s="765" cm="1">
        <f t="array" aca="1" ref="AV26" ca="1">IF(Reuters=1,_xll.TR(AV$7,AV$6,"Sdate=#1 Period=#2 NULL=BLANK Scale=6",,$D26,$AT$4),AV26)</f>
        <v>14.8523833333333</v>
      </c>
      <c r="AW26" s="765" t="str" cm="1">
        <f t="array" aca="1" ref="AW26" ca="1">IF(Reuters=1,_xll.TR(AW$7,AW$6,"Sdate=#1 Period=#2 NULL=BLANK Scale=6",,$D26,$AT$4),AW26)</f>
        <v/>
      </c>
      <c r="AX26" s="765" cm="1">
        <f t="array" aca="1" ref="AX26" ca="1">IF(Reuters=1,_xll.TR(AX$7,AX$6,"Sdate=#1 Period=#2 NULL=BLANK Scale=6",,$D26,$AT$4),AX26)</f>
        <v>20.75</v>
      </c>
      <c r="AY26" s="765" t="str" cm="1">
        <f t="array" aca="1" ref="AY26" ca="1">IF(Reuters=1,_xll.TR(AY$7,AY$6,"Sdate=#1 Period=#2 NULL=BLANK Scale=6",,$D26,$AT$4),AY26)</f>
        <v/>
      </c>
      <c r="AZ26" s="765" t="str" cm="1">
        <f t="array" aca="1" ref="AZ26" ca="1">IF(Reuters=1,_xll.TR(AZ$7,AZ$6,"Sdate=#1 Period=#2 NULL=BLANK Scale=6",,$D26,$AT$4),AZ26)</f>
        <v/>
      </c>
      <c r="BA26" s="765" cm="1">
        <f t="array" aca="1" ref="BA26" ca="1">IF(Reuters=1,_xll.TR(BA$7,BA$6,"Sdate=#1 Period=#2 NULL=BLANK Scale=6",,$D26,$AT$4),BA26)</f>
        <v>9.3000000000000007</v>
      </c>
      <c r="BB26" s="765" t="str" cm="1">
        <f t="array" aca="1" ref="BB26" ca="1">IF(Reuters=1,_xll.TR(BB$7,BB$6,"Sdate=#1 Period=#2 NULL=BLANK Scale=6",,$D26,$AT$4),BB26)</f>
        <v/>
      </c>
      <c r="BE26" s="1000"/>
      <c r="BF26" s="1000"/>
      <c r="BG26" s="1000"/>
      <c r="BH26" s="1000"/>
      <c r="BI26" s="1000"/>
      <c r="BJ26" s="1000"/>
      <c r="BK26" s="1000"/>
      <c r="BL26" s="1000"/>
      <c r="BM26" s="1000"/>
    </row>
    <row r="27" spans="1:65" ht="11.25" customHeight="1">
      <c r="C27" s="973">
        <f t="shared" si="22"/>
        <v>41912</v>
      </c>
      <c r="D27" s="970">
        <f t="shared" si="12"/>
        <v>41957</v>
      </c>
      <c r="E27" s="765" cm="1">
        <f t="array" aca="1" ref="E27" ca="1">IF(Reuters=1,_xll.TR(E$7,E$6,"Sdate=#1 Period=#2 NULL=BLANK",,$D27,$E$4),E27)</f>
        <v>11.972976176366</v>
      </c>
      <c r="F27" s="765" cm="1">
        <f t="array" aca="1" ref="F27" ca="1">IF(Reuters=1,_xll.TR(F$7,F$6,"Sdate=#1 Period=#2 NULL=BLANK",,$D27,$E$4),F27)</f>
        <v>23.215280025898299</v>
      </c>
      <c r="G27" s="765" cm="1">
        <f t="array" aca="1" ref="G27" ca="1">IF(Reuters=1,_xll.TR(G$7,G$6,"Sdate=#1 Period=#2 NULL=BLANK",,$D27,$E$4),G27)</f>
        <v>15.5104649269154</v>
      </c>
      <c r="H27" s="765" t="str" cm="1">
        <f t="array" aca="1" ref="H27" ca="1">IF(Reuters=1,_xll.TR(H$7,H$6,"Sdate=#1 Period=#2 NULL=BLANK",,$D27,$E$4),H27)</f>
        <v/>
      </c>
      <c r="I27" s="765" cm="1">
        <f t="array" aca="1" ref="I27" ca="1">IF(Reuters=1,_xll.TR(I$7,I$6,"Sdate=#1 Period=#2 NULL=BLANK",,$D27,$E$4),I27)</f>
        <v>11.323411514365899</v>
      </c>
      <c r="J27" s="765" t="str" cm="1">
        <f t="array" aca="1" ref="J27" ca="1">IF(Reuters=1,_xll.TR(J$7,J$6,"Sdate=#1 Period=#2 NULL=BLANK",,$D27,$E$4),J27)</f>
        <v/>
      </c>
      <c r="K27" s="765" cm="1">
        <f t="array" aca="1" ref="K27" ca="1">IF(Reuters=1,_xll.TR(K$7,K$6,"Sdate=#1 Period=#2 NULL=BLANK",,$D27,$E$4),K27)</f>
        <v>14.488479262672801</v>
      </c>
      <c r="L27" s="765" cm="1">
        <f t="array" aca="1" ref="L27" ca="1">IF(Reuters=1,_xll.TR(L$7,L$6,"Sdate=#1 Period=#2 NULL=BLANK",,$D27,$E$4),L27)</f>
        <v>14.1380495018447</v>
      </c>
      <c r="M27" s="765" cm="1">
        <f t="array" aca="1" ref="M27" ca="1">IF(Reuters=1,_xll.TR(M$7,M$6,"Sdate=#1 Period=#2 NULL=BLANK",,$D27,$E$4),M27)</f>
        <v>14.0640249178059</v>
      </c>
      <c r="P27" s="1000" t="str" cm="1">
        <f t="array" aca="1" ref="P27" ca="1">IF(Reuters=1,_xll.TR(P$7,P$6,"Sdate=#1 Period=#2 NULL=BLANK Scale=6",,$D27,$P$4),P27)</f>
        <v/>
      </c>
      <c r="Q27" s="1000" t="str" cm="1">
        <f t="array" aca="1" ref="Q27" ca="1">IF(Reuters=1,_xll.TR(Q$7,Q$6,"Sdate=#1 Period=#2 NULL=BLANK Scale=6",,$D27,$P$4),Q27)</f>
        <v/>
      </c>
      <c r="R27" s="1000" cm="1">
        <f t="array" aca="1" ref="R27" ca="1">IF(Reuters=1,_xll.TR(R$7,R$6,"Sdate=#1 Period=#2 NULL=BLANK Scale=6",,$D27,$P$4),R27)</f>
        <v>1605</v>
      </c>
      <c r="S27" s="1000" t="str" cm="1">
        <f t="array" aca="1" ref="S27" ca="1">IF(Reuters=1,_xll.TR(S$7,S$6,"Sdate=#1 Period=#2 NULL=BLANK Scale=6",,$D27,$P$4),S27)</f>
        <v/>
      </c>
      <c r="T27" s="1000" t="str" cm="1">
        <f t="array" aca="1" ref="T27" ca="1">IF(Reuters=1,_xll.TR(T$7,T$6,"Sdate=#1 Period=#2 NULL=BLANK Scale=6",,$D27,$P$4),T27)</f>
        <v/>
      </c>
      <c r="U27" s="1000" t="str" cm="1">
        <f t="array" aca="1" ref="U27" ca="1">IF(Reuters=1,_xll.TR(U$7,U$6,"Sdate=#1 Period=#2 NULL=BLANK Scale=6",,$D27,$P$4),U27)</f>
        <v/>
      </c>
      <c r="V27" s="1000" cm="1">
        <f t="array" aca="1" ref="V27" ca="1">IF(Reuters=1,_xll.TR(V$7,V$6,"Sdate=#1 Period=#2 NULL=BLANK Scale=6",,$D27,$P$4),V27)</f>
        <v>150.30000000000001</v>
      </c>
      <c r="W27" s="1000" cm="1">
        <f t="array" aca="1" ref="W27" ca="1">IF(Reuters=1,_xll.TR(W$7,W$6,"Sdate=#1 Period=#2 NULL=BLANK Scale=6",,$D27,$P$4),W27)</f>
        <v>104.7</v>
      </c>
      <c r="X27" s="1000" t="str" cm="1">
        <f t="array" aca="1" ref="X27" ca="1">IF(Reuters=1,_xll.TR(X$7,X$6,"Sdate=#1 Period=#2 NULL=BLANK Scale=6",,$D27,$P$4),X27)</f>
        <v/>
      </c>
      <c r="Y27" s="998"/>
      <c r="Z27" s="1000" cm="1">
        <f t="array" aca="1" ref="Z27" ca="1">IF(Reuters=1,_xll.TR(Z$7,Z$6,"Sdate=#1 Period=#2 NULL=BLANK Scale=6",,$D27,$Z$4),Z27)</f>
        <v>12503.036195279999</v>
      </c>
      <c r="AA27" s="1000" cm="1">
        <f t="array" aca="1" ref="AA27" ca="1">IF(Reuters=1,_xll.TR(AA$7,AA$6,"Sdate=#1 Period=#2 NULL=BLANK Scale=6",,$D27,$Z$4),AA27)</f>
        <v>9181.0761681599997</v>
      </c>
      <c r="AB27" s="1000" cm="1">
        <f t="array" aca="1" ref="AB27" ca="1">IF(Reuters=1,_xll.TR(AB$7,AB$6,"Sdate=#1 Period=#2 NULL=BLANK Scale=6",,$D27,$Z$4),AB27)</f>
        <v>63494.432116219999</v>
      </c>
      <c r="AC27" s="1000" t="str" cm="1">
        <f t="array" aca="1" ref="AC27" ca="1">IF(Reuters=1,_xll.TR(AC$7,AC$6,"Sdate=#1 Period=#2 NULL=BLANK Scale=6",,$D27,$Z$4),AC27)</f>
        <v/>
      </c>
      <c r="AD27" s="1000" cm="1">
        <f t="array" aca="1" ref="AD27" ca="1">IF(Reuters=1,_xll.TR(AD$7,AD$6,"Sdate=#1 Period=#2 NULL=BLANK Scale=6",,$D27,$Z$4),AD27)</f>
        <v>42228.658429411102</v>
      </c>
      <c r="AE27" s="1000" t="str" cm="1">
        <f t="array" aca="1" ref="AE27" ca="1">IF(Reuters=1,_xll.TR(AE$7,AE$6,"Sdate=#1 Period=#2 NULL=BLANK Scale=6",,$D27,$Z$4),AE27)</f>
        <v/>
      </c>
      <c r="AF27" s="1000" cm="1">
        <f t="array" aca="1" ref="AF27" ca="1">IF(Reuters=1,_xll.TR(AF$7,AF$6,"Sdate=#1 Period=#2 NULL=BLANK Scale=6",,$D27,$Z$4),AF27)</f>
        <v>3334.59919408</v>
      </c>
      <c r="AG27" s="1000" cm="1">
        <f t="array" aca="1" ref="AG27" ca="1">IF(Reuters=1,_xll.TR(AG$7,AG$6,"Sdate=#1 Period=#2 NULL=BLANK Scale=6",,$D27,$Z$4),AG27)</f>
        <v>1973.62473776</v>
      </c>
      <c r="AH27" s="1000" cm="1">
        <f t="array" aca="1" ref="AH27" ca="1">IF(Reuters=1,_xll.TR(AH$7,AH$6,"Sdate=#1 Period=#2 NULL=BLANK Scale=6",,$D27,$Z$4),AH27)</f>
        <v>9013.6865299000001</v>
      </c>
      <c r="AJ27" s="1004" t="str">
        <f t="shared" ca="1" si="13"/>
        <v>NA</v>
      </c>
      <c r="AK27" s="1004" t="str">
        <f t="shared" ca="1" si="14"/>
        <v>NA</v>
      </c>
      <c r="AL27" s="1004">
        <f t="shared" ca="1" si="15"/>
        <v>39.56039384188162</v>
      </c>
      <c r="AM27" s="1004" t="str">
        <f t="shared" ca="1" si="16"/>
        <v>NA</v>
      </c>
      <c r="AN27" s="1004" t="str">
        <f t="shared" ca="1" si="17"/>
        <v>NA</v>
      </c>
      <c r="AO27" s="1004" t="str">
        <f t="shared" ca="1" si="18"/>
        <v>NA</v>
      </c>
      <c r="AP27" s="1004">
        <f t="shared" ca="1" si="19"/>
        <v>22.186288716433797</v>
      </c>
      <c r="AQ27" s="1004">
        <f t="shared" ca="1" si="20"/>
        <v>18.85028402827125</v>
      </c>
      <c r="AR27" s="1004" t="str">
        <f t="shared" ca="1" si="21"/>
        <v>NA</v>
      </c>
      <c r="AT27" s="765" cm="1">
        <f t="array" aca="1" ref="AT27" ca="1">IF(Reuters=1,_xll.TR(AT$7,AT$6,"Sdate=#1 Period=#2 NULL=BLANK Scale=6",,$D27,$AT$4),AT27)</f>
        <v>12.648610833333301</v>
      </c>
      <c r="AU27" s="765" cm="1">
        <f t="array" aca="1" ref="AU27" ca="1">IF(Reuters=1,_xll.TR(AU$7,AU$6,"Sdate=#1 Period=#2 NULL=BLANK Scale=6",,$D27,$AT$4),AU27)</f>
        <v>15.4166666666667</v>
      </c>
      <c r="AV27" s="765" cm="1">
        <f t="array" aca="1" ref="AV27" ca="1">IF(Reuters=1,_xll.TR(AV$7,AV$6,"Sdate=#1 Period=#2 NULL=BLANK Scale=6",,$D27,$AT$4),AV27)</f>
        <v>14.1250016666667</v>
      </c>
      <c r="AW27" s="765" t="str" cm="1">
        <f t="array" aca="1" ref="AW27" ca="1">IF(Reuters=1,_xll.TR(AW$7,AW$6,"Sdate=#1 Period=#2 NULL=BLANK Scale=6",,$D27,$AT$4),AW27)</f>
        <v/>
      </c>
      <c r="AX27" s="765" cm="1">
        <f t="array" aca="1" ref="AX27" ca="1">IF(Reuters=1,_xll.TR(AX$7,AX$6,"Sdate=#1 Period=#2 NULL=BLANK Scale=6",,$D27,$AT$4),AX27)</f>
        <v>22.366666666666699</v>
      </c>
      <c r="AY27" s="765" t="str" cm="1">
        <f t="array" aca="1" ref="AY27" ca="1">IF(Reuters=1,_xll.TR(AY$7,AY$6,"Sdate=#1 Period=#2 NULL=BLANK Scale=6",,$D27,$AT$4),AY27)</f>
        <v/>
      </c>
      <c r="AZ27" s="765" t="str" cm="1">
        <f t="array" aca="1" ref="AZ27" ca="1">IF(Reuters=1,_xll.TR(AZ$7,AZ$6,"Sdate=#1 Period=#2 NULL=BLANK Scale=6",,$D27,$AT$4),AZ27)</f>
        <v/>
      </c>
      <c r="BA27" s="765" t="str" cm="1">
        <f t="array" aca="1" ref="BA27" ca="1">IF(Reuters=1,_xll.TR(BA$7,BA$6,"Sdate=#1 Period=#2 NULL=BLANK Scale=6",,$D27,$AT$4),BA27)</f>
        <v/>
      </c>
      <c r="BB27" s="765" t="str" cm="1">
        <f t="array" aca="1" ref="BB27" ca="1">IF(Reuters=1,_xll.TR(BB$7,BB$6,"Sdate=#1 Period=#2 NULL=BLANK Scale=6",,$D27,$AT$4),BB27)</f>
        <v/>
      </c>
      <c r="BE27" s="1000"/>
      <c r="BF27" s="1000"/>
      <c r="BG27" s="1000"/>
      <c r="BH27" s="1000"/>
      <c r="BI27" s="1000"/>
      <c r="BJ27" s="1000"/>
      <c r="BK27" s="1000"/>
      <c r="BL27" s="1000"/>
      <c r="BM27" s="1000"/>
    </row>
    <row r="28" spans="1:65" ht="11.25" customHeight="1">
      <c r="C28" s="969">
        <f t="shared" si="22"/>
        <v>42004</v>
      </c>
      <c r="D28" s="970">
        <f t="shared" si="12"/>
        <v>42049</v>
      </c>
      <c r="E28" s="765" t="str" cm="1">
        <f t="array" aca="1" ref="E28" ca="1">IF(Reuters=1,_xll.TR(E$7,E$6,"Sdate=#1 Period=#2 NULL=BLANK",,$D28,$E$4),E28)</f>
        <v/>
      </c>
      <c r="F28" s="765" cm="1">
        <f t="array" aca="1" ref="F28" ca="1">IF(Reuters=1,_xll.TR(F$7,F$6,"Sdate=#1 Period=#2 NULL=BLANK",,$D28,$E$4),F28)</f>
        <v>15.2386592713233</v>
      </c>
      <c r="G28" s="765" cm="1">
        <f t="array" aca="1" ref="G28" ca="1">IF(Reuters=1,_xll.TR(G$7,G$6,"Sdate=#1 Period=#2 NULL=BLANK",,$D28,$E$4),G28)</f>
        <v>20.488911786518301</v>
      </c>
      <c r="H28" s="765" t="str" cm="1">
        <f t="array" aca="1" ref="H28" ca="1">IF(Reuters=1,_xll.TR(H$7,H$6,"Sdate=#1 Period=#2 NULL=BLANK",,$D28,$E$4),H28)</f>
        <v/>
      </c>
      <c r="I28" s="765" cm="1">
        <f t="array" aca="1" ref="I28" ca="1">IF(Reuters=1,_xll.TR(I$7,I$6,"Sdate=#1 Period=#2 NULL=BLANK",,$D28,$E$4),I28)</f>
        <v>13.046013338562799</v>
      </c>
      <c r="J28" s="765" t="str" cm="1">
        <f t="array" aca="1" ref="J28" ca="1">IF(Reuters=1,_xll.TR(J$7,J$6,"Sdate=#1 Period=#2 NULL=BLANK",,$D28,$E$4),J28)</f>
        <v/>
      </c>
      <c r="K28" s="765" cm="1">
        <f t="array" aca="1" ref="K28" ca="1">IF(Reuters=1,_xll.TR(K$7,K$6,"Sdate=#1 Period=#2 NULL=BLANK",,$D28,$E$4),K28)</f>
        <v>13.8982070561018</v>
      </c>
      <c r="L28" s="765" cm="1">
        <f t="array" aca="1" ref="L28" ca="1">IF(Reuters=1,_xll.TR(L$7,L$6,"Sdate=#1 Period=#2 NULL=BLANK",,$D28,$E$4),L28)</f>
        <v>16.2668615063277</v>
      </c>
      <c r="M28" s="765" cm="1">
        <f t="array" aca="1" ref="M28" ca="1">IF(Reuters=1,_xll.TR(M$7,M$6,"Sdate=#1 Period=#2 NULL=BLANK",,$D28,$E$4),M28)</f>
        <v>19.270622286541201</v>
      </c>
      <c r="P28" s="1000" t="str" cm="1">
        <f t="array" aca="1" ref="P28" ca="1">IF(Reuters=1,_xll.TR(P$7,P$6,"Sdate=#1 Period=#2 NULL=BLANK Scale=6",,$D28,$P$4),P28)</f>
        <v/>
      </c>
      <c r="Q28" s="1000" t="str" cm="1">
        <f t="array" aca="1" ref="Q28" ca="1">IF(Reuters=1,_xll.TR(Q$7,Q$6,"Sdate=#1 Period=#2 NULL=BLANK Scale=6",,$D28,$P$4),Q28)</f>
        <v/>
      </c>
      <c r="R28" s="1000" cm="1">
        <f t="array" aca="1" ref="R28" ca="1">IF(Reuters=1,_xll.TR(R$7,R$6,"Sdate=#1 Period=#2 NULL=BLANK Scale=6",,$D28,$P$4),R28)</f>
        <v>1605</v>
      </c>
      <c r="S28" s="1000" t="str" cm="1">
        <f t="array" aca="1" ref="S28" ca="1">IF(Reuters=1,_xll.TR(S$7,S$6,"Sdate=#1 Period=#2 NULL=BLANK Scale=6",,$D28,$P$4),S28)</f>
        <v/>
      </c>
      <c r="T28" s="1000" t="str" cm="1">
        <f t="array" aca="1" ref="T28" ca="1">IF(Reuters=1,_xll.TR(T$7,T$6,"Sdate=#1 Period=#2 NULL=BLANK Scale=6",,$D28,$P$4),T28)</f>
        <v/>
      </c>
      <c r="U28" s="1000" t="str" cm="1">
        <f t="array" aca="1" ref="U28" ca="1">IF(Reuters=1,_xll.TR(U$7,U$6,"Sdate=#1 Period=#2 NULL=BLANK Scale=6",,$D28,$P$4),U28)</f>
        <v/>
      </c>
      <c r="V28" s="1000" cm="1">
        <f t="array" aca="1" ref="V28" ca="1">IF(Reuters=1,_xll.TR(V$7,V$6,"Sdate=#1 Period=#2 NULL=BLANK Scale=6",,$D28,$P$4),V28)</f>
        <v>115.6</v>
      </c>
      <c r="W28" s="1000" cm="1">
        <f t="array" aca="1" ref="W28" ca="1">IF(Reuters=1,_xll.TR(W$7,W$6,"Sdate=#1 Period=#2 NULL=BLANK Scale=6",,$D28,$P$4),W28)</f>
        <v>87.4</v>
      </c>
      <c r="X28" s="1000" t="str" cm="1">
        <f t="array" aca="1" ref="X28" ca="1">IF(Reuters=1,_xll.TR(X$7,X$6,"Sdate=#1 Period=#2 NULL=BLANK Scale=6",,$D28,$P$4),X28)</f>
        <v/>
      </c>
      <c r="Y28" s="998"/>
      <c r="Z28" s="1000" cm="1">
        <f t="array" aca="1" ref="Z28" ca="1">IF(Reuters=1,_xll.TR(Z$7,Z$6,"Sdate=#1 Period=#2 NULL=BLANK Scale=6",,$D28,$Z$4),Z28)</f>
        <v>11248.15299552</v>
      </c>
      <c r="AA28" s="1000" cm="1">
        <f t="array" aca="1" ref="AA28" ca="1">IF(Reuters=1,_xll.TR(AA$7,AA$6,"Sdate=#1 Period=#2 NULL=BLANK Scale=6",,$D28,$Z$4),AA28)</f>
        <v>8865.6144210399998</v>
      </c>
      <c r="AB28" s="1000" cm="1">
        <f t="array" aca="1" ref="AB28" ca="1">IF(Reuters=1,_xll.TR(AB$7,AB$6,"Sdate=#1 Period=#2 NULL=BLANK Scale=6",,$D28,$Z$4),AB28)</f>
        <v>76463.351275499997</v>
      </c>
      <c r="AC28" s="1000" t="str" cm="1">
        <f t="array" aca="1" ref="AC28" ca="1">IF(Reuters=1,_xll.TR(AC$7,AC$6,"Sdate=#1 Period=#2 NULL=BLANK Scale=6",,$D28,$Z$4),AC28)</f>
        <v/>
      </c>
      <c r="AD28" s="1000" cm="1">
        <f t="array" aca="1" ref="AD28" ca="1">IF(Reuters=1,_xll.TR(AD$7,AD$6,"Sdate=#1 Period=#2 NULL=BLANK Scale=6",,$D28,$Z$4),AD28)</f>
        <v>41000.7265470973</v>
      </c>
      <c r="AE28" s="1000" t="str" cm="1">
        <f t="array" aca="1" ref="AE28" ca="1">IF(Reuters=1,_xll.TR(AE$7,AE$6,"Sdate=#1 Period=#2 NULL=BLANK Scale=6",,$D28,$Z$4),AE28)</f>
        <v/>
      </c>
      <c r="AF28" s="1000" cm="1">
        <f t="array" aca="1" ref="AF28" ca="1">IF(Reuters=1,_xll.TR(AF$7,AF$6,"Sdate=#1 Period=#2 NULL=BLANK Scale=6",,$D28,$Z$4),AF28)</f>
        <v>3568.4725819499999</v>
      </c>
      <c r="AG28" s="1000" cm="1">
        <f t="array" aca="1" ref="AG28" ca="1">IF(Reuters=1,_xll.TR(AG$7,AG$6,"Sdate=#1 Period=#2 NULL=BLANK Scale=6",,$D28,$Z$4),AG28)</f>
        <v>2113.38475965</v>
      </c>
      <c r="AH28" s="1000" cm="1">
        <f t="array" aca="1" ref="AH28" ca="1">IF(Reuters=1,_xll.TR(AH$7,AH$6,"Sdate=#1 Period=#2 NULL=BLANK Scale=6",,$D28,$Z$4),AH28)</f>
        <v>8860.6415054000008</v>
      </c>
      <c r="AJ28" s="1004" t="str">
        <f t="shared" ca="1" si="13"/>
        <v>NA</v>
      </c>
      <c r="AK28" s="1004" t="str">
        <f t="shared" ca="1" si="14"/>
        <v>NA</v>
      </c>
      <c r="AL28" s="1004">
        <f t="shared" ca="1" si="15"/>
        <v>47.640717305607474</v>
      </c>
      <c r="AM28" s="1004" t="str">
        <f t="shared" ca="1" si="16"/>
        <v>NA</v>
      </c>
      <c r="AN28" s="1004" t="str">
        <f t="shared" ca="1" si="17"/>
        <v>NA</v>
      </c>
      <c r="AO28" s="1004" t="str">
        <f t="shared" ca="1" si="18"/>
        <v>NA</v>
      </c>
      <c r="AP28" s="1004">
        <f t="shared" ca="1" si="19"/>
        <v>30.869139982266436</v>
      </c>
      <c r="AQ28" s="1004">
        <f t="shared" ca="1" si="20"/>
        <v>24.180603657322653</v>
      </c>
      <c r="AR28" s="1004" t="str">
        <f t="shared" ca="1" si="21"/>
        <v>NA</v>
      </c>
      <c r="AT28" s="765" cm="1">
        <f t="array" aca="1" ref="AT28" ca="1">IF(Reuters=1,_xll.TR(AT$7,AT$6,"Sdate=#1 Period=#2 NULL=BLANK Scale=6",,$D28,$AT$4),AT28)</f>
        <v>12.6388866666667</v>
      </c>
      <c r="AU28" s="765" cm="1">
        <f t="array" aca="1" ref="AU28" ca="1">IF(Reuters=1,_xll.TR(AU$7,AU$6,"Sdate=#1 Period=#2 NULL=BLANK Scale=6",,$D28,$AT$4),AU28)</f>
        <v>13.9166666666667</v>
      </c>
      <c r="AV28" s="765" cm="1">
        <f t="array" aca="1" ref="AV28" ca="1">IF(Reuters=1,_xll.TR(AV$7,AV$6,"Sdate=#1 Period=#2 NULL=BLANK Scale=6",,$D28,$AT$4),AV28)</f>
        <v>13.1016666666667</v>
      </c>
      <c r="AW28" s="765" t="str" cm="1">
        <f t="array" aca="1" ref="AW28" ca="1">IF(Reuters=1,_xll.TR(AW$7,AW$6,"Sdate=#1 Period=#2 NULL=BLANK Scale=6",,$D28,$AT$4),AW28)</f>
        <v/>
      </c>
      <c r="AX28" s="765" cm="1">
        <f t="array" aca="1" ref="AX28" ca="1">IF(Reuters=1,_xll.TR(AX$7,AX$6,"Sdate=#1 Period=#2 NULL=BLANK Scale=6",,$D28,$AT$4),AX28)</f>
        <v>20.566666666666698</v>
      </c>
      <c r="AY28" s="765" t="str" cm="1">
        <f t="array" aca="1" ref="AY28" ca="1">IF(Reuters=1,_xll.TR(AY$7,AY$6,"Sdate=#1 Period=#2 NULL=BLANK Scale=6",,$D28,$AT$4),AY28)</f>
        <v/>
      </c>
      <c r="AZ28" s="765" t="str" cm="1">
        <f t="array" aca="1" ref="AZ28" ca="1">IF(Reuters=1,_xll.TR(AZ$7,AZ$6,"Sdate=#1 Period=#2 NULL=BLANK Scale=6",,$D28,$AT$4),AZ28)</f>
        <v/>
      </c>
      <c r="BA28" s="765" t="str" cm="1">
        <f t="array" aca="1" ref="BA28" ca="1">IF(Reuters=1,_xll.TR(BA$7,BA$6,"Sdate=#1 Period=#2 NULL=BLANK Scale=6",,$D28,$AT$4),BA28)</f>
        <v/>
      </c>
      <c r="BB28" s="765" t="str" cm="1">
        <f t="array" aca="1" ref="BB28" ca="1">IF(Reuters=1,_xll.TR(BB$7,BB$6,"Sdate=#1 Period=#2 NULL=BLANK Scale=6",,$D28,$AT$4),BB28)</f>
        <v/>
      </c>
      <c r="BE28" s="1000"/>
      <c r="BF28" s="1000"/>
      <c r="BG28" s="1000"/>
      <c r="BH28" s="1000"/>
      <c r="BI28" s="1000"/>
      <c r="BJ28" s="1000"/>
      <c r="BK28" s="1000"/>
      <c r="BL28" s="1000"/>
      <c r="BM28" s="1000"/>
    </row>
    <row r="29" spans="1:65" ht="11.25" customHeight="1">
      <c r="C29" s="971">
        <f t="shared" si="22"/>
        <v>42094</v>
      </c>
      <c r="D29" s="970">
        <f t="shared" si="12"/>
        <v>42139</v>
      </c>
      <c r="E29" s="765" t="str" cm="1">
        <f t="array" aca="1" ref="E29" ca="1">IF(Reuters=1,_xll.TR(E$7,E$6,"Sdate=#1 Period=#2 NULL=BLANK",,$D29,$E$4),E29)</f>
        <v/>
      </c>
      <c r="F29" s="765" cm="1">
        <f t="array" aca="1" ref="F29" ca="1">IF(Reuters=1,_xll.TR(F$7,F$6,"Sdate=#1 Period=#2 NULL=BLANK",,$D29,$E$4),F29)</f>
        <v>15.870509277536501</v>
      </c>
      <c r="G29" s="765" cm="1">
        <f t="array" aca="1" ref="G29" ca="1">IF(Reuters=1,_xll.TR(G$7,G$6,"Sdate=#1 Period=#2 NULL=BLANK",,$D29,$E$4),G29)</f>
        <v>19.2599437187618</v>
      </c>
      <c r="H29" s="765" t="str" cm="1">
        <f t="array" aca="1" ref="H29" ca="1">IF(Reuters=1,_xll.TR(H$7,H$6,"Sdate=#1 Period=#2 NULL=BLANK",,$D29,$E$4),H29)</f>
        <v/>
      </c>
      <c r="I29" s="765" cm="1">
        <f t="array" aca="1" ref="I29" ca="1">IF(Reuters=1,_xll.TR(I$7,I$6,"Sdate=#1 Period=#2 NULL=BLANK",,$D29,$E$4),I29)</f>
        <v>12.461539105804199</v>
      </c>
      <c r="J29" s="765" t="str" cm="1">
        <f t="array" aca="1" ref="J29" ca="1">IF(Reuters=1,_xll.TR(J$7,J$6,"Sdate=#1 Period=#2 NULL=BLANK",,$D29,$E$4),J29)</f>
        <v/>
      </c>
      <c r="K29" s="765" cm="1">
        <f t="array" aca="1" ref="K29" ca="1">IF(Reuters=1,_xll.TR(K$7,K$6,"Sdate=#1 Period=#2 NULL=BLANK",,$D29,$E$4),K29)</f>
        <v>13.1054347826087</v>
      </c>
      <c r="L29" s="765" cm="1">
        <f t="array" aca="1" ref="L29" ca="1">IF(Reuters=1,_xll.TR(L$7,L$6,"Sdate=#1 Period=#2 NULL=BLANK",,$D29,$E$4),L29)</f>
        <v>211.73083311801</v>
      </c>
      <c r="M29" s="765" t="str" cm="1">
        <f t="array" aca="1" ref="M29" ca="1">IF(Reuters=1,_xll.TR(M$7,M$6,"Sdate=#1 Period=#2 NULL=BLANK",,$D29,$E$4),M29)</f>
        <v/>
      </c>
      <c r="P29" s="1000" t="str" cm="1">
        <f t="array" aca="1" ref="P29" ca="1">IF(Reuters=1,_xll.TR(P$7,P$6,"Sdate=#1 Period=#2 NULL=BLANK Scale=6",,$D29,$P$4),P29)</f>
        <v/>
      </c>
      <c r="Q29" s="1000" cm="1">
        <f t="array" aca="1" ref="Q29" ca="1">IF(Reuters=1,_xll.TR(Q$7,Q$6,"Sdate=#1 Period=#2 NULL=BLANK Scale=6",,$D29,$P$4),Q29)</f>
        <v>376</v>
      </c>
      <c r="R29" s="1000" cm="1">
        <f t="array" aca="1" ref="R29" ca="1">IF(Reuters=1,_xll.TR(R$7,R$6,"Sdate=#1 Period=#2 NULL=BLANK Scale=6",,$D29,$P$4),R29)</f>
        <v>2006</v>
      </c>
      <c r="S29" s="1000" t="str" cm="1">
        <f t="array" aca="1" ref="S29" ca="1">IF(Reuters=1,_xll.TR(S$7,S$6,"Sdate=#1 Period=#2 NULL=BLANK Scale=6",,$D29,$P$4),S29)</f>
        <v/>
      </c>
      <c r="T29" s="1000" t="str" cm="1">
        <f t="array" aca="1" ref="T29" ca="1">IF(Reuters=1,_xll.TR(T$7,T$6,"Sdate=#1 Period=#2 NULL=BLANK Scale=6",,$D29,$P$4),T29)</f>
        <v/>
      </c>
      <c r="U29" s="1000" t="str" cm="1">
        <f t="array" aca="1" ref="U29" ca="1">IF(Reuters=1,_xll.TR(U$7,U$6,"Sdate=#1 Period=#2 NULL=BLANK Scale=6",,$D29,$P$4),U29)</f>
        <v/>
      </c>
      <c r="V29" s="1000" cm="1">
        <f t="array" aca="1" ref="V29" ca="1">IF(Reuters=1,_xll.TR(V$7,V$6,"Sdate=#1 Period=#2 NULL=BLANK Scale=6",,$D29,$P$4),V29)</f>
        <v>135.1</v>
      </c>
      <c r="W29" s="1000" t="str" cm="1">
        <f t="array" aca="1" ref="W29" ca="1">IF(Reuters=1,_xll.TR(W$7,W$6,"Sdate=#1 Period=#2 NULL=BLANK Scale=6",,$D29,$P$4),W29)</f>
        <v/>
      </c>
      <c r="X29" s="1000" t="str" cm="1">
        <f t="array" aca="1" ref="X29" ca="1">IF(Reuters=1,_xll.TR(X$7,X$6,"Sdate=#1 Period=#2 NULL=BLANK Scale=6",,$D29,$P$4),X29)</f>
        <v/>
      </c>
      <c r="Y29" s="998"/>
      <c r="Z29" s="1000" cm="1">
        <f t="array" aca="1" ref="Z29" ca="1">IF(Reuters=1,_xll.TR(Z$7,Z$6,"Sdate=#1 Period=#2 NULL=BLANK Scale=6",,$D29,$Z$4),Z29)</f>
        <v>11632.497498750001</v>
      </c>
      <c r="AA29" s="1000" cm="1">
        <f t="array" aca="1" ref="AA29" ca="1">IF(Reuters=1,_xll.TR(AA$7,AA$6,"Sdate=#1 Period=#2 NULL=BLANK Scale=6",,$D29,$Z$4),AA29)</f>
        <v>10267.164219</v>
      </c>
      <c r="AB29" s="1000" cm="1">
        <f t="array" aca="1" ref="AB29" ca="1">IF(Reuters=1,_xll.TR(AB$7,AB$6,"Sdate=#1 Period=#2 NULL=BLANK Scale=6",,$D29,$Z$4),AB29)</f>
        <v>78970.798110119998</v>
      </c>
      <c r="AC29" s="1000" t="str" cm="1">
        <f t="array" aca="1" ref="AC29" ca="1">IF(Reuters=1,_xll.TR(AC$7,AC$6,"Sdate=#1 Period=#2 NULL=BLANK Scale=6",,$D29,$Z$4),AC29)</f>
        <v/>
      </c>
      <c r="AD29" s="1000" cm="1">
        <f t="array" aca="1" ref="AD29" ca="1">IF(Reuters=1,_xll.TR(AD$7,AD$6,"Sdate=#1 Period=#2 NULL=BLANK Scale=6",,$D29,$Z$4),AD29)</f>
        <v>47336.833612423798</v>
      </c>
      <c r="AE29" s="1000" t="str" cm="1">
        <f t="array" aca="1" ref="AE29" ca="1">IF(Reuters=1,_xll.TR(AE$7,AE$6,"Sdate=#1 Period=#2 NULL=BLANK Scale=6",,$D29,$Z$4),AE29)</f>
        <v/>
      </c>
      <c r="AF29" s="1000" cm="1">
        <f t="array" aca="1" ref="AF29" ca="1">IF(Reuters=1,_xll.TR(AF$7,AF$6,"Sdate=#1 Period=#2 NULL=BLANK Scale=6",,$D29,$Z$4),AF29)</f>
        <v>3584.5595636500002</v>
      </c>
      <c r="AG29" s="1000" cm="1">
        <f t="array" aca="1" ref="AG29" ca="1">IF(Reuters=1,_xll.TR(AG$7,AG$6,"Sdate=#1 Period=#2 NULL=BLANK Scale=6",,$D29,$Z$4),AG29)</f>
        <v>2223.0901914000001</v>
      </c>
      <c r="AH29" s="1000" cm="1">
        <f t="array" aca="1" ref="AH29" ca="1">IF(Reuters=1,_xll.TR(AH$7,AH$6,"Sdate=#1 Period=#2 NULL=BLANK Scale=6",,$D29,$Z$4),AH29)</f>
        <v>9277.74940986</v>
      </c>
      <c r="AJ29" s="1004" t="str">
        <f t="shared" ca="1" si="13"/>
        <v>NA</v>
      </c>
      <c r="AK29" s="1004">
        <f t="shared" ca="1" si="14"/>
        <v>27.306287816489363</v>
      </c>
      <c r="AL29" s="1004">
        <f t="shared" ca="1" si="15"/>
        <v>39.36729716356929</v>
      </c>
      <c r="AM29" s="1004" t="str">
        <f t="shared" ca="1" si="16"/>
        <v>NA</v>
      </c>
      <c r="AN29" s="1004" t="str">
        <f t="shared" ca="1" si="17"/>
        <v>NA</v>
      </c>
      <c r="AO29" s="1004" t="str">
        <f t="shared" ca="1" si="18"/>
        <v>NA</v>
      </c>
      <c r="AP29" s="1004">
        <f t="shared" ca="1" si="19"/>
        <v>26.532639257216879</v>
      </c>
      <c r="AQ29" s="1004" t="str">
        <f t="shared" ca="1" si="20"/>
        <v>NA</v>
      </c>
      <c r="AR29" s="1004" t="str">
        <f t="shared" ca="1" si="21"/>
        <v>NA</v>
      </c>
      <c r="AT29" s="765" cm="1">
        <f t="array" aca="1" ref="AT29" ca="1">IF(Reuters=1,_xll.TR(AT$7,AT$6,"Sdate=#1 Period=#2 NULL=BLANK Scale=6",,$D29,$AT$4),AT29)</f>
        <v>9.6541666666666703</v>
      </c>
      <c r="AU29" s="765" cm="1">
        <f t="array" aca="1" ref="AU29" ca="1">IF(Reuters=1,_xll.TR(AU$7,AU$6,"Sdate=#1 Period=#2 NULL=BLANK Scale=6",,$D29,$AT$4),AU29)</f>
        <v>15.633333333333301</v>
      </c>
      <c r="AV29" s="765" cm="1">
        <f t="array" aca="1" ref="AV29" ca="1">IF(Reuters=1,_xll.TR(AV$7,AV$6,"Sdate=#1 Period=#2 NULL=BLANK Scale=6",,$D29,$AT$4),AV29)</f>
        <v>12.388095833333299</v>
      </c>
      <c r="AW29" s="765" t="str" cm="1">
        <f t="array" aca="1" ref="AW29" ca="1">IF(Reuters=1,_xll.TR(AW$7,AW$6,"Sdate=#1 Period=#2 NULL=BLANK Scale=6",,$D29,$AT$4),AW29)</f>
        <v/>
      </c>
      <c r="AX29" s="765" cm="1">
        <f t="array" aca="1" ref="AX29" ca="1">IF(Reuters=1,_xll.TR(AX$7,AX$6,"Sdate=#1 Period=#2 NULL=BLANK Scale=6",,$D29,$AT$4),AX29)</f>
        <v>23.758333333333301</v>
      </c>
      <c r="AY29" s="765" t="str" cm="1">
        <f t="array" aca="1" ref="AY29" ca="1">IF(Reuters=1,_xll.TR(AY$7,AY$6,"Sdate=#1 Period=#2 NULL=BLANK Scale=6",,$D29,$AT$4),AY29)</f>
        <v/>
      </c>
      <c r="AZ29" s="765" t="str" cm="1">
        <f t="array" aca="1" ref="AZ29" ca="1">IF(Reuters=1,_xll.TR(AZ$7,AZ$6,"Sdate=#1 Period=#2 NULL=BLANK Scale=6",,$D29,$AT$4),AZ29)</f>
        <v/>
      </c>
      <c r="BA29" s="765" t="str" cm="1">
        <f t="array" aca="1" ref="BA29" ca="1">IF(Reuters=1,_xll.TR(BA$7,BA$6,"Sdate=#1 Period=#2 NULL=BLANK Scale=6",,$D29,$AT$4),BA29)</f>
        <v/>
      </c>
      <c r="BB29" s="765" t="str" cm="1">
        <f t="array" aca="1" ref="BB29" ca="1">IF(Reuters=1,_xll.TR(BB$7,BB$6,"Sdate=#1 Period=#2 NULL=BLANK Scale=6",,$D29,$AT$4),BB29)</f>
        <v/>
      </c>
      <c r="BE29" s="1000"/>
      <c r="BF29" s="1000"/>
      <c r="BG29" s="1000"/>
      <c r="BH29" s="1000"/>
      <c r="BI29" s="1000"/>
      <c r="BJ29" s="1000"/>
      <c r="BK29" s="1000"/>
      <c r="BL29" s="1000"/>
      <c r="BM29" s="1000"/>
    </row>
    <row r="30" spans="1:65" ht="11.25" customHeight="1">
      <c r="C30" s="972">
        <f t="shared" si="22"/>
        <v>42185</v>
      </c>
      <c r="D30" s="970">
        <f t="shared" si="12"/>
        <v>42230</v>
      </c>
      <c r="E30" s="765" t="str" cm="1">
        <f t="array" aca="1" ref="E30" ca="1">IF(Reuters=1,_xll.TR(E$7,E$6,"Sdate=#1 Period=#2 NULL=BLANK",,$D30,$E$4),E30)</f>
        <v/>
      </c>
      <c r="F30" s="765" cm="1">
        <f t="array" aca="1" ref="F30" ca="1">IF(Reuters=1,_xll.TR(F$7,F$6,"Sdate=#1 Period=#2 NULL=BLANK",,$D30,$E$4),F30)</f>
        <v>15.920319715072599</v>
      </c>
      <c r="G30" s="765" cm="1">
        <f t="array" aca="1" ref="G30" ca="1">IF(Reuters=1,_xll.TR(G$7,G$6,"Sdate=#1 Period=#2 NULL=BLANK",,$D30,$E$4),G30)</f>
        <v>17.107554771533</v>
      </c>
      <c r="H30" s="765" t="str" cm="1">
        <f t="array" aca="1" ref="H30" ca="1">IF(Reuters=1,_xll.TR(H$7,H$6,"Sdate=#1 Period=#2 NULL=BLANK",,$D30,$E$4),H30)</f>
        <v/>
      </c>
      <c r="I30" s="765" cm="1">
        <f t="array" aca="1" ref="I30" ca="1">IF(Reuters=1,_xll.TR(I$7,I$6,"Sdate=#1 Period=#2 NULL=BLANK",,$D30,$E$4),I30)</f>
        <v>10.6458639816553</v>
      </c>
      <c r="J30" s="765" t="str" cm="1">
        <f t="array" aca="1" ref="J30" ca="1">IF(Reuters=1,_xll.TR(J$7,J$6,"Sdate=#1 Period=#2 NULL=BLANK",,$D30,$E$4),J30)</f>
        <v/>
      </c>
      <c r="K30" s="765" cm="1">
        <f t="array" aca="1" ref="K30" ca="1">IF(Reuters=1,_xll.TR(K$7,K$6,"Sdate=#1 Period=#2 NULL=BLANK",,$D30,$E$4),K30)</f>
        <v>11.325084364454399</v>
      </c>
      <c r="L30" s="765" t="str" cm="1">
        <f t="array" aca="1" ref="L30" ca="1">IF(Reuters=1,_xll.TR(L$7,L$6,"Sdate=#1 Period=#2 NULL=BLANK",,$D30,$E$4),L30)</f>
        <v/>
      </c>
      <c r="M30" s="765" cm="1">
        <f t="array" aca="1" ref="M30" ca="1">IF(Reuters=1,_xll.TR(M$7,M$6,"Sdate=#1 Period=#2 NULL=BLANK",,$D30,$E$4),M30)</f>
        <v>16.761111111111099</v>
      </c>
      <c r="P30" s="1000" t="str" cm="1">
        <f t="array" aca="1" ref="P30" ca="1">IF(Reuters=1,_xll.TR(P$7,P$6,"Sdate=#1 Period=#2 NULL=BLANK Scale=6",,$D30,$P$4),P30)</f>
        <v/>
      </c>
      <c r="Q30" s="1000" cm="1">
        <f t="array" aca="1" ref="Q30" ca="1">IF(Reuters=1,_xll.TR(Q$7,Q$6,"Sdate=#1 Period=#2 NULL=BLANK Scale=6",,$D30,$P$4),Q30)</f>
        <v>366</v>
      </c>
      <c r="R30" s="1000" cm="1">
        <f t="array" aca="1" ref="R30" ca="1">IF(Reuters=1,_xll.TR(R$7,R$6,"Sdate=#1 Period=#2 NULL=BLANK Scale=6",,$D30,$P$4),R30)</f>
        <v>3441</v>
      </c>
      <c r="S30" s="1000" t="str" cm="1">
        <f t="array" aca="1" ref="S30" ca="1">IF(Reuters=1,_xll.TR(S$7,S$6,"Sdate=#1 Period=#2 NULL=BLANK Scale=6",,$D30,$P$4),S30)</f>
        <v/>
      </c>
      <c r="T30" s="1000" t="str" cm="1">
        <f t="array" aca="1" ref="T30" ca="1">IF(Reuters=1,_xll.TR(T$7,T$6,"Sdate=#1 Period=#2 NULL=BLANK Scale=6",,$D30,$P$4),T30)</f>
        <v/>
      </c>
      <c r="U30" s="1000" t="str" cm="1">
        <f t="array" aca="1" ref="U30" ca="1">IF(Reuters=1,_xll.TR(U$7,U$6,"Sdate=#1 Period=#2 NULL=BLANK Scale=6",,$D30,$P$4),U30)</f>
        <v/>
      </c>
      <c r="V30" s="1000" cm="1">
        <f t="array" aca="1" ref="V30" ca="1">IF(Reuters=1,_xll.TR(V$7,V$6,"Sdate=#1 Period=#2 NULL=BLANK Scale=6",,$D30,$P$4),V30)</f>
        <v>130.6</v>
      </c>
      <c r="W30" s="1000" t="str" cm="1">
        <f t="array" aca="1" ref="W30" ca="1">IF(Reuters=1,_xll.TR(W$7,W$6,"Sdate=#1 Period=#2 NULL=BLANK Scale=6",,$D30,$P$4),W30)</f>
        <v/>
      </c>
      <c r="X30" s="1000" t="str" cm="1">
        <f t="array" aca="1" ref="X30" ca="1">IF(Reuters=1,_xll.TR(X$7,X$6,"Sdate=#1 Period=#2 NULL=BLANK Scale=6",,$D30,$P$4),X30)</f>
        <v/>
      </c>
      <c r="Y30" s="998"/>
      <c r="Z30" s="1000" cm="1">
        <f t="array" aca="1" ref="Z30" ca="1">IF(Reuters=1,_xll.TR(Z$7,Z$6,"Sdate=#1 Period=#2 NULL=BLANK Scale=6",,$D30,$Z$4),Z30)</f>
        <v>11372.821551000001</v>
      </c>
      <c r="AA30" s="1000" cm="1">
        <f t="array" aca="1" ref="AA30" ca="1">IF(Reuters=1,_xll.TR(AA$7,AA$6,"Sdate=#1 Period=#2 NULL=BLANK Scale=6",,$D30,$Z$4),AA30)</f>
        <v>9824.6991443499992</v>
      </c>
      <c r="AB30" s="1000" cm="1">
        <f t="array" aca="1" ref="AB30" ca="1">IF(Reuters=1,_xll.TR(AB$7,AB$6,"Sdate=#1 Period=#2 NULL=BLANK Scale=6",,$D30,$Z$4),AB30)</f>
        <v>70070.739565259995</v>
      </c>
      <c r="AC30" s="1000" t="str" cm="1">
        <f t="array" aca="1" ref="AC30" ca="1">IF(Reuters=1,_xll.TR(AC$7,AC$6,"Sdate=#1 Period=#2 NULL=BLANK Scale=6",,$D30,$Z$4),AC30)</f>
        <v/>
      </c>
      <c r="AD30" s="1000" cm="1">
        <f t="array" aca="1" ref="AD30" ca="1">IF(Reuters=1,_xll.TR(AD$7,AD$6,"Sdate=#1 Period=#2 NULL=BLANK Scale=6",,$D30,$Z$4),AD30)</f>
        <v>38751.310911852597</v>
      </c>
      <c r="AE30" s="1000" t="str" cm="1">
        <f t="array" aca="1" ref="AE30" ca="1">IF(Reuters=1,_xll.TR(AE$7,AE$6,"Sdate=#1 Period=#2 NULL=BLANK Scale=6",,$D30,$Z$4),AE30)</f>
        <v/>
      </c>
      <c r="AF30" s="1000" cm="1">
        <f t="array" aca="1" ref="AF30" ca="1">IF(Reuters=1,_xll.TR(AF$7,AF$6,"Sdate=#1 Period=#2 NULL=BLANK Scale=6",,$D30,$Z$4),AF30)</f>
        <v>2975.2578734799999</v>
      </c>
      <c r="AG30" s="1000" cm="1">
        <f t="array" aca="1" ref="AG30" ca="1">IF(Reuters=1,_xll.TR(AG$7,AG$6,"Sdate=#1 Period=#2 NULL=BLANK Scale=6",,$D30,$Z$4),AG30)</f>
        <v>1741.4413735999999</v>
      </c>
      <c r="AH30" s="1000" cm="1">
        <f t="array" aca="1" ref="AH30" ca="1">IF(Reuters=1,_xll.TR(AH$7,AH$6,"Sdate=#1 Period=#2 NULL=BLANK Scale=6",,$D30,$Z$4),AH30)</f>
        <v>7961.1632370200005</v>
      </c>
      <c r="AJ30" s="1004" t="str">
        <f t="shared" ca="1" si="13"/>
        <v>NA</v>
      </c>
      <c r="AK30" s="1004">
        <f t="shared" ca="1" si="14"/>
        <v>26.843440285109288</v>
      </c>
      <c r="AL30" s="1004">
        <f t="shared" ca="1" si="15"/>
        <v>20.363481419721008</v>
      </c>
      <c r="AM30" s="1004" t="str">
        <f t="shared" ca="1" si="16"/>
        <v>NA</v>
      </c>
      <c r="AN30" s="1004" t="str">
        <f t="shared" ca="1" si="17"/>
        <v>NA</v>
      </c>
      <c r="AO30" s="1004" t="str">
        <f t="shared" ca="1" si="18"/>
        <v>NA</v>
      </c>
      <c r="AP30" s="1004">
        <f t="shared" ca="1" si="19"/>
        <v>22.78145385513017</v>
      </c>
      <c r="AQ30" s="1004" t="str">
        <f t="shared" ca="1" si="20"/>
        <v>NA</v>
      </c>
      <c r="AR30" s="1004" t="str">
        <f t="shared" ca="1" si="21"/>
        <v>NA</v>
      </c>
      <c r="AT30" s="765" cm="1">
        <f t="array" aca="1" ref="AT30" ca="1">IF(Reuters=1,_xll.TR(AT$7,AT$6,"Sdate=#1 Period=#2 NULL=BLANK Scale=6",,$D30,$AT$4),AT30)</f>
        <v>9.9499999999999993</v>
      </c>
      <c r="AU30" s="765" cm="1">
        <f t="array" aca="1" ref="AU30" ca="1">IF(Reuters=1,_xll.TR(AU$7,AU$6,"Sdate=#1 Period=#2 NULL=BLANK Scale=6",,$D30,$AT$4),AU30)</f>
        <v>15.466666666666701</v>
      </c>
      <c r="AV30" s="765" cm="1">
        <f t="array" aca="1" ref="AV30" ca="1">IF(Reuters=1,_xll.TR(AV$7,AV$6,"Sdate=#1 Period=#2 NULL=BLANK Scale=6",,$D30,$AT$4),AV30)</f>
        <v>13.105553333333299</v>
      </c>
      <c r="AW30" s="765" t="str" cm="1">
        <f t="array" aca="1" ref="AW30" ca="1">IF(Reuters=1,_xll.TR(AW$7,AW$6,"Sdate=#1 Period=#2 NULL=BLANK Scale=6",,$D30,$AT$4),AW30)</f>
        <v/>
      </c>
      <c r="AX30" s="765" cm="1">
        <f t="array" aca="1" ref="AX30" ca="1">IF(Reuters=1,_xll.TR(AX$7,AX$6,"Sdate=#1 Period=#2 NULL=BLANK Scale=6",,$D30,$AT$4),AX30)</f>
        <v>25.466666666666701</v>
      </c>
      <c r="AY30" s="765" t="str" cm="1">
        <f t="array" aca="1" ref="AY30" ca="1">IF(Reuters=1,_xll.TR(AY$7,AY$6,"Sdate=#1 Period=#2 NULL=BLANK Scale=6",,$D30,$AT$4),AY30)</f>
        <v/>
      </c>
      <c r="AZ30" s="765" t="str" cm="1">
        <f t="array" aca="1" ref="AZ30" ca="1">IF(Reuters=1,_xll.TR(AZ$7,AZ$6,"Sdate=#1 Period=#2 NULL=BLANK Scale=6",,$D30,$AT$4),AZ30)</f>
        <v/>
      </c>
      <c r="BA30" s="765" t="str" cm="1">
        <f t="array" aca="1" ref="BA30" ca="1">IF(Reuters=1,_xll.TR(BA$7,BA$6,"Sdate=#1 Period=#2 NULL=BLANK Scale=6",,$D30,$AT$4),BA30)</f>
        <v/>
      </c>
      <c r="BB30" s="765" t="str" cm="1">
        <f t="array" aca="1" ref="BB30" ca="1">IF(Reuters=1,_xll.TR(BB$7,BB$6,"Sdate=#1 Period=#2 NULL=BLANK Scale=6",,$D30,$AT$4),BB30)</f>
        <v/>
      </c>
      <c r="BE30" s="1000"/>
      <c r="BF30" s="1000"/>
      <c r="BG30" s="1000"/>
      <c r="BH30" s="1000"/>
      <c r="BI30" s="1000"/>
      <c r="BJ30" s="1000"/>
      <c r="BK30" s="1000"/>
      <c r="BL30" s="1000"/>
      <c r="BM30" s="1000"/>
    </row>
    <row r="31" spans="1:65" ht="11.25" customHeight="1">
      <c r="C31" s="973">
        <f t="shared" si="22"/>
        <v>42277</v>
      </c>
      <c r="D31" s="970">
        <f t="shared" si="12"/>
        <v>42322</v>
      </c>
      <c r="E31" s="765" cm="1">
        <f t="array" aca="1" ref="E31" ca="1">IF(Reuters=1,_xll.TR(E$7,E$6,"Sdate=#1 Period=#2 NULL=BLANK",,$D31,$E$4),E31)</f>
        <v>13.8005029337804</v>
      </c>
      <c r="F31" s="765" cm="1">
        <f t="array" aca="1" ref="F31" ca="1">IF(Reuters=1,_xll.TR(F$7,F$6,"Sdate=#1 Period=#2 NULL=BLANK",,$D31,$E$4),F31)</f>
        <v>14.2563737363207</v>
      </c>
      <c r="G31" s="765" cm="1">
        <f t="array" aca="1" ref="G31" ca="1">IF(Reuters=1,_xll.TR(G$7,G$6,"Sdate=#1 Period=#2 NULL=BLANK",,$D31,$E$4),G31)</f>
        <v>16.923395836445302</v>
      </c>
      <c r="H31" s="765" t="str" cm="1">
        <f t="array" aca="1" ref="H31" ca="1">IF(Reuters=1,_xll.TR(H$7,H$6,"Sdate=#1 Period=#2 NULL=BLANK",,$D31,$E$4),H31)</f>
        <v/>
      </c>
      <c r="I31" s="765" cm="1">
        <f t="array" aca="1" ref="I31" ca="1">IF(Reuters=1,_xll.TR(I$7,I$6,"Sdate=#1 Period=#2 NULL=BLANK",,$D31,$E$4),I31)</f>
        <v>11.1193459310636</v>
      </c>
      <c r="J31" s="765" t="str" cm="1">
        <f t="array" aca="1" ref="J31" ca="1">IF(Reuters=1,_xll.TR(J$7,J$6,"Sdate=#1 Period=#2 NULL=BLANK",,$D31,$E$4),J31)</f>
        <v/>
      </c>
      <c r="K31" s="765" t="str" cm="1">
        <f t="array" aca="1" ref="K31" ca="1">IF(Reuters=1,_xll.TR(K$7,K$6,"Sdate=#1 Period=#2 NULL=BLANK",,$D31,$E$4),K31)</f>
        <v/>
      </c>
      <c r="L31" s="765" t="str" cm="1">
        <f t="array" aca="1" ref="L31" ca="1">IF(Reuters=1,_xll.TR(L$7,L$6,"Sdate=#1 Period=#2 NULL=BLANK",,$D31,$E$4),L31)</f>
        <v/>
      </c>
      <c r="M31" s="765" cm="1">
        <f t="array" aca="1" ref="M31" ca="1">IF(Reuters=1,_xll.TR(M$7,M$6,"Sdate=#1 Period=#2 NULL=BLANK",,$D31,$E$4),M31)</f>
        <v>9.7015168338128994</v>
      </c>
      <c r="P31" s="1000" cm="1">
        <f t="array" aca="1" ref="P31" ca="1">IF(Reuters=1,_xll.TR(P$7,P$6,"Sdate=#1 Period=#2 NULL=BLANK Scale=6",,$D31,$P$4),P31)</f>
        <v>890</v>
      </c>
      <c r="Q31" s="1000" cm="1">
        <f t="array" aca="1" ref="Q31" ca="1">IF(Reuters=1,_xll.TR(Q$7,Q$6,"Sdate=#1 Period=#2 NULL=BLANK Scale=6",,$D31,$P$4),Q31)</f>
        <v>247</v>
      </c>
      <c r="R31" s="1000" cm="1">
        <f t="array" aca="1" ref="R31" ca="1">IF(Reuters=1,_xll.TR(R$7,R$6,"Sdate=#1 Period=#2 NULL=BLANK Scale=6",,$D31,$P$4),R31)</f>
        <v>4430</v>
      </c>
      <c r="S31" s="1000" t="str" cm="1">
        <f t="array" aca="1" ref="S31" ca="1">IF(Reuters=1,_xll.TR(S$7,S$6,"Sdate=#1 Period=#2 NULL=BLANK Scale=6",,$D31,$P$4),S31)</f>
        <v/>
      </c>
      <c r="T31" s="1000" t="str" cm="1">
        <f t="array" aca="1" ref="T31" ca="1">IF(Reuters=1,_xll.TR(T$7,T$6,"Sdate=#1 Period=#2 NULL=BLANK Scale=6",,$D31,$P$4),T31)</f>
        <v/>
      </c>
      <c r="U31" s="1000" t="str" cm="1">
        <f t="array" aca="1" ref="U31" ca="1">IF(Reuters=1,_xll.TR(U$7,U$6,"Sdate=#1 Period=#2 NULL=BLANK Scale=6",,$D31,$P$4),U31)</f>
        <v/>
      </c>
      <c r="V31" s="1000" cm="1">
        <f t="array" aca="1" ref="V31" ca="1">IF(Reuters=1,_xll.TR(V$7,V$6,"Sdate=#1 Period=#2 NULL=BLANK Scale=6",,$D31,$P$4),V31)</f>
        <v>111.5</v>
      </c>
      <c r="W31" s="1000" t="str" cm="1">
        <f t="array" aca="1" ref="W31" ca="1">IF(Reuters=1,_xll.TR(W$7,W$6,"Sdate=#1 Period=#2 NULL=BLANK Scale=6",,$D31,$P$4),W31)</f>
        <v/>
      </c>
      <c r="X31" s="1000" t="str" cm="1">
        <f t="array" aca="1" ref="X31" ca="1">IF(Reuters=1,_xll.TR(X$7,X$6,"Sdate=#1 Period=#2 NULL=BLANK Scale=6",,$D31,$P$4),X31)</f>
        <v/>
      </c>
      <c r="Y31" s="998"/>
      <c r="Z31" s="1000" cm="1">
        <f t="array" aca="1" ref="Z31" ca="1">IF(Reuters=1,_xll.TR(Z$7,Z$6,"Sdate=#1 Period=#2 NULL=BLANK Scale=6",,$D31,$Z$4),Z31)</f>
        <v>10194.476352199999</v>
      </c>
      <c r="AA31" s="1000" cm="1">
        <f t="array" aca="1" ref="AA31" ca="1">IF(Reuters=1,_xll.TR(AA$7,AA$6,"Sdate=#1 Period=#2 NULL=BLANK Scale=6",,$D31,$Z$4),AA31)</f>
        <v>10299.140350199999</v>
      </c>
      <c r="AB31" s="1000" cm="1">
        <f t="array" aca="1" ref="AB31" ca="1">IF(Reuters=1,_xll.TR(AB$7,AB$6,"Sdate=#1 Period=#2 NULL=BLANK Scale=6",,$D31,$Z$4),AB31)</f>
        <v>67985.792929880001</v>
      </c>
      <c r="AC31" s="1000" t="str" cm="1">
        <f t="array" aca="1" ref="AC31" ca="1">IF(Reuters=1,_xll.TR(AC$7,AC$6,"Sdate=#1 Period=#2 NULL=BLANK Scale=6",,$D31,$Z$4),AC31)</f>
        <v/>
      </c>
      <c r="AD31" s="1000" cm="1">
        <f t="array" aca="1" ref="AD31" ca="1">IF(Reuters=1,_xll.TR(AD$7,AD$6,"Sdate=#1 Period=#2 NULL=BLANK Scale=6",,$D31,$Z$4),AD31)</f>
        <v>39388.797316132899</v>
      </c>
      <c r="AE31" s="1000" t="str" cm="1">
        <f t="array" aca="1" ref="AE31" ca="1">IF(Reuters=1,_xll.TR(AE$7,AE$6,"Sdate=#1 Period=#2 NULL=BLANK Scale=6",,$D31,$Z$4),AE31)</f>
        <v/>
      </c>
      <c r="AF31" s="1000" cm="1">
        <f t="array" aca="1" ref="AF31" ca="1">IF(Reuters=1,_xll.TR(AF$7,AF$6,"Sdate=#1 Period=#2 NULL=BLANK Scale=6",,$D31,$Z$4),AF31)</f>
        <v>2912.1991087500001</v>
      </c>
      <c r="AG31" s="1000" cm="1">
        <f t="array" aca="1" ref="AG31" ca="1">IF(Reuters=1,_xll.TR(AG$7,AG$6,"Sdate=#1 Period=#2 NULL=BLANK Scale=6",,$D31,$Z$4),AG31)</f>
        <v>3186.6808614000001</v>
      </c>
      <c r="AH31" s="1000" cm="1">
        <f t="array" aca="1" ref="AH31" ca="1">IF(Reuters=1,_xll.TR(AH$7,AH$6,"Sdate=#1 Period=#2 NULL=BLANK Scale=6",,$D31,$Z$4),AH31)</f>
        <v>7526.8723202399997</v>
      </c>
      <c r="AJ31" s="1004">
        <f t="shared" ca="1" si="13"/>
        <v>11.454467811460674</v>
      </c>
      <c r="AK31" s="1004">
        <f t="shared" ca="1" si="14"/>
        <v>41.696924494736841</v>
      </c>
      <c r="AL31" s="1004">
        <f t="shared" ca="1" si="15"/>
        <v>15.346680119611738</v>
      </c>
      <c r="AM31" s="1004" t="str">
        <f t="shared" ca="1" si="16"/>
        <v>NA</v>
      </c>
      <c r="AN31" s="1004" t="str">
        <f t="shared" ca="1" si="17"/>
        <v>NA</v>
      </c>
      <c r="AO31" s="1004" t="str">
        <f t="shared" ca="1" si="18"/>
        <v>NA</v>
      </c>
      <c r="AP31" s="1004">
        <f t="shared" ca="1" si="19"/>
        <v>26.118377656950674</v>
      </c>
      <c r="AQ31" s="1004" t="str">
        <f t="shared" ca="1" si="20"/>
        <v>NA</v>
      </c>
      <c r="AR31" s="1004" t="str">
        <f t="shared" ca="1" si="21"/>
        <v>NA</v>
      </c>
      <c r="AT31" s="765" cm="1">
        <f t="array" aca="1" ref="AT31" ca="1">IF(Reuters=1,_xll.TR(AT$7,AT$6,"Sdate=#1 Period=#2 NULL=BLANK Scale=6",,$D31,$AT$4),AT31)</f>
        <v>10.304166666666699</v>
      </c>
      <c r="AU31" s="765" cm="1">
        <f t="array" aca="1" ref="AU31" ca="1">IF(Reuters=1,_xll.TR(AU$7,AU$6,"Sdate=#1 Period=#2 NULL=BLANK Scale=6",,$D31,$AT$4),AU31)</f>
        <v>15.429166666666699</v>
      </c>
      <c r="AV31" s="765" cm="1">
        <f t="array" aca="1" ref="AV31" ca="1">IF(Reuters=1,_xll.TR(AV$7,AV$6,"Sdate=#1 Period=#2 NULL=BLANK Scale=6",,$D31,$AT$4),AV31)</f>
        <v>11.571666666666699</v>
      </c>
      <c r="AW31" s="765" t="str" cm="1">
        <f t="array" aca="1" ref="AW31" ca="1">IF(Reuters=1,_xll.TR(AW$7,AW$6,"Sdate=#1 Period=#2 NULL=BLANK Scale=6",,$D31,$AT$4),AW31)</f>
        <v/>
      </c>
      <c r="AX31" s="765" cm="1">
        <f t="array" aca="1" ref="AX31" ca="1">IF(Reuters=1,_xll.TR(AX$7,AX$6,"Sdate=#1 Period=#2 NULL=BLANK Scale=6",,$D31,$AT$4),AX31)</f>
        <v>26.980555833333302</v>
      </c>
      <c r="AY31" s="765" t="str" cm="1">
        <f t="array" aca="1" ref="AY31" ca="1">IF(Reuters=1,_xll.TR(AY$7,AY$6,"Sdate=#1 Period=#2 NULL=BLANK Scale=6",,$D31,$AT$4),AY31)</f>
        <v/>
      </c>
      <c r="AZ31" s="765" t="str" cm="1">
        <f t="array" aca="1" ref="AZ31" ca="1">IF(Reuters=1,_xll.TR(AZ$7,AZ$6,"Sdate=#1 Period=#2 NULL=BLANK Scale=6",,$D31,$AT$4),AZ31)</f>
        <v/>
      </c>
      <c r="BA31" s="765" t="str" cm="1">
        <f t="array" aca="1" ref="BA31" ca="1">IF(Reuters=1,_xll.TR(BA$7,BA$6,"Sdate=#1 Period=#2 NULL=BLANK Scale=6",,$D31,$AT$4),BA31)</f>
        <v/>
      </c>
      <c r="BB31" s="765" cm="1">
        <f t="array" aca="1" ref="BB31" ca="1">IF(Reuters=1,_xll.TR(BB$7,BB$6,"Sdate=#1 Period=#2 NULL=BLANK Scale=6",,$D31,$AT$4),BB31)</f>
        <v>16.95</v>
      </c>
      <c r="BE31" s="1000"/>
      <c r="BF31" s="1000"/>
      <c r="BG31" s="1000"/>
      <c r="BH31" s="1000"/>
      <c r="BI31" s="1000"/>
      <c r="BJ31" s="1000"/>
      <c r="BK31" s="1000"/>
      <c r="BL31" s="1000"/>
      <c r="BM31" s="1000"/>
    </row>
    <row r="32" spans="1:65" ht="11.25" customHeight="1">
      <c r="C32" s="969">
        <f t="shared" si="22"/>
        <v>42369</v>
      </c>
      <c r="D32" s="970">
        <f t="shared" si="12"/>
        <v>42414</v>
      </c>
      <c r="E32" s="765" t="str" cm="1">
        <f t="array" aca="1" ref="E32" ca="1">IF(Reuters=1,_xll.TR(E$7,E$6,"Sdate=#1 Period=#2 NULL=BLANK",,$D32,$E$4),E32)</f>
        <v/>
      </c>
      <c r="F32" s="765" cm="1">
        <f t="array" aca="1" ref="F32" ca="1">IF(Reuters=1,_xll.TR(F$7,F$6,"Sdate=#1 Period=#2 NULL=BLANK",,$D32,$E$4),F32)</f>
        <v>11.2179827009611</v>
      </c>
      <c r="G32" s="765" cm="1">
        <f t="array" aca="1" ref="G32" ca="1">IF(Reuters=1,_xll.TR(G$7,G$6,"Sdate=#1 Period=#2 NULL=BLANK",,$D32,$E$4),G32)</f>
        <v>14.240572544044801</v>
      </c>
      <c r="H32" s="765" t="str" cm="1">
        <f t="array" aca="1" ref="H32" ca="1">IF(Reuters=1,_xll.TR(H$7,H$6,"Sdate=#1 Period=#2 NULL=BLANK",,$D32,$E$4),H32)</f>
        <v/>
      </c>
      <c r="I32" s="765" t="str" cm="1">
        <f t="array" aca="1" ref="I32" ca="1">IF(Reuters=1,_xll.TR(I$7,I$6,"Sdate=#1 Period=#2 NULL=BLANK",,$D32,$E$4),I32)</f>
        <v/>
      </c>
      <c r="J32" s="765" t="str" cm="1">
        <f t="array" aca="1" ref="J32" ca="1">IF(Reuters=1,_xll.TR(J$7,J$6,"Sdate=#1 Period=#2 NULL=BLANK",,$D32,$E$4),J32)</f>
        <v/>
      </c>
      <c r="K32" s="765" cm="1">
        <f t="array" aca="1" ref="K32" ca="1">IF(Reuters=1,_xll.TR(K$7,K$6,"Sdate=#1 Period=#2 NULL=BLANK",,$D32,$E$4),K32)</f>
        <v>13.1481795088908</v>
      </c>
      <c r="L32" s="765" cm="1">
        <f t="array" aca="1" ref="L32" ca="1">IF(Reuters=1,_xll.TR(L$7,L$6,"Sdate=#1 Period=#2 NULL=BLANK",,$D32,$E$4),L32)</f>
        <v>3.7766424430409602</v>
      </c>
      <c r="M32" s="765" cm="1">
        <f t="array" aca="1" ref="M32" ca="1">IF(Reuters=1,_xll.TR(M$7,M$6,"Sdate=#1 Period=#2 NULL=BLANK",,$D32,$E$4),M32)</f>
        <v>21.659259259259301</v>
      </c>
      <c r="P32" s="1000" cm="1">
        <f t="array" aca="1" ref="P32" ca="1">IF(Reuters=1,_xll.TR(P$7,P$6,"Sdate=#1 Period=#2 NULL=BLANK Scale=6",,$D32,$P$4),P32)</f>
        <v>958</v>
      </c>
      <c r="Q32" s="1000" cm="1">
        <f t="array" aca="1" ref="Q32" ca="1">IF(Reuters=1,_xll.TR(Q$7,Q$6,"Sdate=#1 Period=#2 NULL=BLANK Scale=6",,$D32,$P$4),Q32)</f>
        <v>342</v>
      </c>
      <c r="R32" s="1000" cm="1">
        <f t="array" aca="1" ref="R32" ca="1">IF(Reuters=1,_xll.TR(R$7,R$6,"Sdate=#1 Period=#2 NULL=BLANK Scale=6",,$D32,$P$4),R32)</f>
        <v>4430</v>
      </c>
      <c r="S32" s="1000" t="str" cm="1">
        <f t="array" aca="1" ref="S32" ca="1">IF(Reuters=1,_xll.TR(S$7,S$6,"Sdate=#1 Period=#2 NULL=BLANK Scale=6",,$D32,$P$4),S32)</f>
        <v/>
      </c>
      <c r="T32" s="1000" t="str" cm="1">
        <f t="array" aca="1" ref="T32" ca="1">IF(Reuters=1,_xll.TR(T$7,T$6,"Sdate=#1 Period=#2 NULL=BLANK Scale=6",,$D32,$P$4),T32)</f>
        <v/>
      </c>
      <c r="U32" s="1000" t="str" cm="1">
        <f t="array" aca="1" ref="U32" ca="1">IF(Reuters=1,_xll.TR(U$7,U$6,"Sdate=#1 Period=#2 NULL=BLANK Scale=6",,$D32,$P$4),U32)</f>
        <v/>
      </c>
      <c r="V32" s="1000" cm="1">
        <f t="array" aca="1" ref="V32" ca="1">IF(Reuters=1,_xll.TR(V$7,V$6,"Sdate=#1 Period=#2 NULL=BLANK Scale=6",,$D32,$P$4),V32)</f>
        <v>136</v>
      </c>
      <c r="W32" s="1000" t="str" cm="1">
        <f t="array" aca="1" ref="W32" ca="1">IF(Reuters=1,_xll.TR(W$7,W$6,"Sdate=#1 Period=#2 NULL=BLANK Scale=6",,$D32,$P$4),W32)</f>
        <v/>
      </c>
      <c r="X32" s="1000" t="str" cm="1">
        <f t="array" aca="1" ref="X32" ca="1">IF(Reuters=1,_xll.TR(X$7,X$6,"Sdate=#1 Period=#2 NULL=BLANK Scale=6",,$D32,$P$4),X32)</f>
        <v/>
      </c>
      <c r="Y32" s="998"/>
      <c r="Z32" s="1000" cm="1">
        <f t="array" aca="1" ref="Z32" ca="1">IF(Reuters=1,_xll.TR(Z$7,Z$6,"Sdate=#1 Period=#2 NULL=BLANK Scale=6",,$D32,$Z$4),Z32)</f>
        <v>8966.3237807400001</v>
      </c>
      <c r="AA32" s="1000" cm="1">
        <f t="array" aca="1" ref="AA32" ca="1">IF(Reuters=1,_xll.TR(AA$7,AA$6,"Sdate=#1 Period=#2 NULL=BLANK Scale=6",,$D32,$Z$4),AA32)</f>
        <v>8429.3713744899997</v>
      </c>
      <c r="AB32" s="1000" cm="1">
        <f t="array" aca="1" ref="AB32" ca="1">IF(Reuters=1,_xll.TR(AB$7,AB$6,"Sdate=#1 Period=#2 NULL=BLANK Scale=6",,$D32,$Z$4),AB32)</f>
        <v>53133.992447899996</v>
      </c>
      <c r="AC32" s="1000" t="str" cm="1">
        <f t="array" aca="1" ref="AC32" ca="1">IF(Reuters=1,_xll.TR(AC$7,AC$6,"Sdate=#1 Period=#2 NULL=BLANK Scale=6",,$D32,$Z$4),AC32)</f>
        <v/>
      </c>
      <c r="AD32" s="1000" cm="1">
        <f t="array" aca="1" ref="AD32" ca="1">IF(Reuters=1,_xll.TR(AD$7,AD$6,"Sdate=#1 Period=#2 NULL=BLANK Scale=6",,$D32,$Z$4),AD32)</f>
        <v>31555.0477136269</v>
      </c>
      <c r="AE32" s="1000" t="str" cm="1">
        <f t="array" aca="1" ref="AE32" ca="1">IF(Reuters=1,_xll.TR(AE$7,AE$6,"Sdate=#1 Period=#2 NULL=BLANK Scale=6",,$D32,$Z$4),AE32)</f>
        <v/>
      </c>
      <c r="AF32" s="1000" cm="1">
        <f t="array" aca="1" ref="AF32" ca="1">IF(Reuters=1,_xll.TR(AF$7,AF$6,"Sdate=#1 Period=#2 NULL=BLANK Scale=6",,$D32,$Z$4),AF32)</f>
        <v>2207.7344715600002</v>
      </c>
      <c r="AG32" s="1000" cm="1">
        <f t="array" aca="1" ref="AG32" ca="1">IF(Reuters=1,_xll.TR(AG$7,AG$6,"Sdate=#1 Period=#2 NULL=BLANK Scale=6",,$D32,$Z$4),AG32)</f>
        <v>2149.7830561199999</v>
      </c>
      <c r="AH32" s="1000" cm="1">
        <f t="array" aca="1" ref="AH32" ca="1">IF(Reuters=1,_xll.TR(AH$7,AH$6,"Sdate=#1 Period=#2 NULL=BLANK Scale=6",,$D32,$Z$4),AH32)</f>
        <v>5730.4047902399998</v>
      </c>
      <c r="AJ32" s="1004">
        <f t="shared" ca="1" si="13"/>
        <v>9.3594193953444673</v>
      </c>
      <c r="AK32" s="1004">
        <f t="shared" ca="1" si="14"/>
        <v>24.647284720730994</v>
      </c>
      <c r="AL32" s="1004">
        <f t="shared" ca="1" si="15"/>
        <v>11.99412922074492</v>
      </c>
      <c r="AM32" s="1004" t="str">
        <f t="shared" ca="1" si="16"/>
        <v>NA</v>
      </c>
      <c r="AN32" s="1004" t="str">
        <f t="shared" ca="1" si="17"/>
        <v>NA</v>
      </c>
      <c r="AO32" s="1004" t="str">
        <f t="shared" ca="1" si="18"/>
        <v>NA</v>
      </c>
      <c r="AP32" s="1004">
        <f t="shared" ca="1" si="19"/>
        <v>16.23334170264706</v>
      </c>
      <c r="AQ32" s="1004" t="str">
        <f t="shared" ca="1" si="20"/>
        <v>NA</v>
      </c>
      <c r="AR32" s="1004" t="str">
        <f t="shared" ca="1" si="21"/>
        <v>NA</v>
      </c>
      <c r="AT32" s="765" cm="1">
        <f t="array" aca="1" ref="AT32" ca="1">IF(Reuters=1,_xll.TR(AT$7,AT$6,"Sdate=#1 Period=#2 NULL=BLANK Scale=6",,$D32,$AT$4),AT32)</f>
        <v>9.6083333333333307</v>
      </c>
      <c r="AU32" s="765" cm="1">
        <f t="array" aca="1" ref="AU32" ca="1">IF(Reuters=1,_xll.TR(AU$7,AU$6,"Sdate=#1 Period=#2 NULL=BLANK Scale=6",,$D32,$AT$4),AU32)</f>
        <v>16.558333333333302</v>
      </c>
      <c r="AV32" s="765" cm="1">
        <f t="array" aca="1" ref="AV32" ca="1">IF(Reuters=1,_xll.TR(AV$7,AV$6,"Sdate=#1 Period=#2 NULL=BLANK Scale=6",,$D32,$AT$4),AV32)</f>
        <v>10.960558333333299</v>
      </c>
      <c r="AW32" s="765" t="str" cm="1">
        <f t="array" aca="1" ref="AW32" ca="1">IF(Reuters=1,_xll.TR(AW$7,AW$6,"Sdate=#1 Period=#2 NULL=BLANK Scale=6",,$D32,$AT$4),AW32)</f>
        <v/>
      </c>
      <c r="AX32" s="765" cm="1">
        <f t="array" aca="1" ref="AX32" ca="1">IF(Reuters=1,_xll.TR(AX$7,AX$6,"Sdate=#1 Period=#2 NULL=BLANK Scale=6",,$D32,$AT$4),AX32)</f>
        <v>23.850003333333301</v>
      </c>
      <c r="AY32" s="765" t="str" cm="1">
        <f t="array" aca="1" ref="AY32" ca="1">IF(Reuters=1,_xll.TR(AY$7,AY$6,"Sdate=#1 Period=#2 NULL=BLANK Scale=6",,$D32,$AT$4),AY32)</f>
        <v/>
      </c>
      <c r="AZ32" s="765" t="str" cm="1">
        <f t="array" aca="1" ref="AZ32" ca="1">IF(Reuters=1,_xll.TR(AZ$7,AZ$6,"Sdate=#1 Period=#2 NULL=BLANK Scale=6",,$D32,$AT$4),AZ32)</f>
        <v/>
      </c>
      <c r="BA32" s="765" t="str" cm="1">
        <f t="array" aca="1" ref="BA32" ca="1">IF(Reuters=1,_xll.TR(BA$7,BA$6,"Sdate=#1 Period=#2 NULL=BLANK Scale=6",,$D32,$AT$4),BA32)</f>
        <v/>
      </c>
      <c r="BB32" s="765" t="str" cm="1">
        <f t="array" aca="1" ref="BB32" ca="1">IF(Reuters=1,_xll.TR(BB$7,BB$6,"Sdate=#1 Period=#2 NULL=BLANK Scale=6",,$D32,$AT$4),BB32)</f>
        <v/>
      </c>
      <c r="BE32" s="1000"/>
      <c r="BF32" s="1000"/>
      <c r="BG32" s="1000"/>
      <c r="BH32" s="1000"/>
      <c r="BI32" s="1000"/>
      <c r="BJ32" s="1000"/>
      <c r="BK32" s="1000"/>
      <c r="BL32" s="1000"/>
      <c r="BM32" s="1000"/>
    </row>
    <row r="33" spans="3:65" ht="11.25" customHeight="1">
      <c r="C33" s="971">
        <f t="shared" si="22"/>
        <v>42460</v>
      </c>
      <c r="D33" s="970">
        <f t="shared" si="12"/>
        <v>42505</v>
      </c>
      <c r="E33" s="765" t="str" cm="1">
        <f t="array" aca="1" ref="E33" ca="1">IF(Reuters=1,_xll.TR(E$7,E$6,"Sdate=#1 Period=#2 NULL=BLANK",,$D33,$E$4),E33)</f>
        <v/>
      </c>
      <c r="F33" s="765" cm="1">
        <f t="array" aca="1" ref="F33" ca="1">IF(Reuters=1,_xll.TR(F$7,F$6,"Sdate=#1 Period=#2 NULL=BLANK",,$D33,$E$4),F33)</f>
        <v>11.9894896996657</v>
      </c>
      <c r="G33" s="765" cm="1">
        <f t="array" aca="1" ref="G33" ca="1">IF(Reuters=1,_xll.TR(G$7,G$6,"Sdate=#1 Period=#2 NULL=BLANK",,$D33,$E$4),G33)</f>
        <v>16.248174289437198</v>
      </c>
      <c r="H33" s="765" t="str" cm="1">
        <f t="array" aca="1" ref="H33" ca="1">IF(Reuters=1,_xll.TR(H$7,H$6,"Sdate=#1 Period=#2 NULL=BLANK",,$D33,$E$4),H33)</f>
        <v/>
      </c>
      <c r="I33" s="765" cm="1">
        <f t="array" aca="1" ref="I33" ca="1">IF(Reuters=1,_xll.TR(I$7,I$6,"Sdate=#1 Period=#2 NULL=BLANK",,$D33,$E$4),I33)</f>
        <v>10.4630761520362</v>
      </c>
      <c r="J33" s="765" t="str" cm="1">
        <f t="array" aca="1" ref="J33" ca="1">IF(Reuters=1,_xll.TR(J$7,J$6,"Sdate=#1 Period=#2 NULL=BLANK",,$D33,$E$4),J33)</f>
        <v/>
      </c>
      <c r="K33" s="765" cm="1">
        <f t="array" aca="1" ref="K33" ca="1">IF(Reuters=1,_xll.TR(K$7,K$6,"Sdate=#1 Period=#2 NULL=BLANK",,$D33,$E$4),K33)</f>
        <v>17.709911361804998</v>
      </c>
      <c r="L33" s="765" cm="1">
        <f t="array" aca="1" ref="L33" ca="1">IF(Reuters=1,_xll.TR(L$7,L$6,"Sdate=#1 Period=#2 NULL=BLANK",,$D33,$E$4),L33)</f>
        <v>12.242307692307699</v>
      </c>
      <c r="M33" s="765" cm="1">
        <f t="array" aca="1" ref="M33" ca="1">IF(Reuters=1,_xll.TR(M$7,M$6,"Sdate=#1 Period=#2 NULL=BLANK",,$D33,$E$4),M33)</f>
        <v>24.526856609061198</v>
      </c>
      <c r="P33" s="1000" cm="1">
        <f t="array" aca="1" ref="P33" ca="1">IF(Reuters=1,_xll.TR(P$7,P$6,"Sdate=#1 Period=#2 NULL=BLANK Scale=6",,$D33,$P$4),P33)</f>
        <v>930</v>
      </c>
      <c r="Q33" s="1000" cm="1">
        <f t="array" aca="1" ref="Q33" ca="1">IF(Reuters=1,_xll.TR(Q$7,Q$6,"Sdate=#1 Period=#2 NULL=BLANK Scale=6",,$D33,$P$4),Q33)</f>
        <v>451</v>
      </c>
      <c r="R33" s="1000" cm="1">
        <f t="array" aca="1" ref="R33" ca="1">IF(Reuters=1,_xll.TR(R$7,R$6,"Sdate=#1 Period=#2 NULL=BLANK Scale=6",,$D33,$P$4),R33)</f>
        <v>2567</v>
      </c>
      <c r="S33" s="1000" t="str" cm="1">
        <f t="array" aca="1" ref="S33" ca="1">IF(Reuters=1,_xll.TR(S$7,S$6,"Sdate=#1 Period=#2 NULL=BLANK Scale=6",,$D33,$P$4),S33)</f>
        <v/>
      </c>
      <c r="T33" s="1000" t="str" cm="1">
        <f t="array" aca="1" ref="T33" ca="1">IF(Reuters=1,_xll.TR(T$7,T$6,"Sdate=#1 Period=#2 NULL=BLANK Scale=6",,$D33,$P$4),T33)</f>
        <v/>
      </c>
      <c r="U33" s="1000" t="str" cm="1">
        <f t="array" aca="1" ref="U33" ca="1">IF(Reuters=1,_xll.TR(U$7,U$6,"Sdate=#1 Period=#2 NULL=BLANK Scale=6",,$D33,$P$4),U33)</f>
        <v/>
      </c>
      <c r="V33" s="1000" cm="1">
        <f t="array" aca="1" ref="V33" ca="1">IF(Reuters=1,_xll.TR(V$7,V$6,"Sdate=#1 Period=#2 NULL=BLANK Scale=6",,$D33,$P$4),V33)</f>
        <v>160.1</v>
      </c>
      <c r="W33" s="1000" t="str" cm="1">
        <f t="array" aca="1" ref="W33" ca="1">IF(Reuters=1,_xll.TR(W$7,W$6,"Sdate=#1 Period=#2 NULL=BLANK Scale=6",,$D33,$P$4),W33)</f>
        <v/>
      </c>
      <c r="X33" s="1000" t="str" cm="1">
        <f t="array" aca="1" ref="X33" ca="1">IF(Reuters=1,_xll.TR(X$7,X$6,"Sdate=#1 Period=#2 NULL=BLANK Scale=6",,$D33,$P$4),X33)</f>
        <v/>
      </c>
      <c r="Y33" s="998"/>
      <c r="Z33" s="1000" cm="1">
        <f t="array" aca="1" ref="Z33" ca="1">IF(Reuters=1,_xll.TR(Z$7,Z$6,"Sdate=#1 Period=#2 NULL=BLANK Scale=6",,$D33,$Z$4),Z33)</f>
        <v>10762.505650499999</v>
      </c>
      <c r="AA33" s="1000" cm="1">
        <f t="array" aca="1" ref="AA33" ca="1">IF(Reuters=1,_xll.TR(AA$7,AA$6,"Sdate=#1 Period=#2 NULL=BLANK Scale=6",,$D33,$Z$4),AA33)</f>
        <v>10313.791250349999</v>
      </c>
      <c r="AB33" s="1000" cm="1">
        <f t="array" aca="1" ref="AB33" ca="1">IF(Reuters=1,_xll.TR(AB$7,AB$6,"Sdate=#1 Period=#2 NULL=BLANK Scale=6",,$D33,$Z$4),AB33)</f>
        <v>62208.56194462</v>
      </c>
      <c r="AC33" s="1000" t="str" cm="1">
        <f t="array" aca="1" ref="AC33" ca="1">IF(Reuters=1,_xll.TR(AC$7,AC$6,"Sdate=#1 Period=#2 NULL=BLANK Scale=6",,$D33,$Z$4),AC33)</f>
        <v/>
      </c>
      <c r="AD33" s="1000" cm="1">
        <f t="array" aca="1" ref="AD33" ca="1">IF(Reuters=1,_xll.TR(AD$7,AD$6,"Sdate=#1 Period=#2 NULL=BLANK Scale=6",,$D33,$Z$4),AD33)</f>
        <v>32891.272244869098</v>
      </c>
      <c r="AE33" s="1000" t="str" cm="1">
        <f t="array" aca="1" ref="AE33" ca="1">IF(Reuters=1,_xll.TR(AE$7,AE$6,"Sdate=#1 Period=#2 NULL=BLANK Scale=6",,$D33,$Z$4),AE33)</f>
        <v/>
      </c>
      <c r="AF33" s="1000" cm="1">
        <f t="array" aca="1" ref="AF33" ca="1">IF(Reuters=1,_xll.TR(AF$7,AF$6,"Sdate=#1 Period=#2 NULL=BLANK Scale=6",,$D33,$Z$4),AF33)</f>
        <v>3078.50593248</v>
      </c>
      <c r="AG33" s="1000" cm="1">
        <f t="array" aca="1" ref="AG33" ca="1">IF(Reuters=1,_xll.TR(AG$7,AG$6,"Sdate=#1 Period=#2 NULL=BLANK Scale=6",,$D33,$Z$4),AG33)</f>
        <v>3504.4887506199998</v>
      </c>
      <c r="AH33" s="1000" cm="1">
        <f t="array" aca="1" ref="AH33" ca="1">IF(Reuters=1,_xll.TR(AH$7,AH$6,"Sdate=#1 Period=#2 NULL=BLANK Scale=6",,$D33,$Z$4),AH33)</f>
        <v>5702.2041693600004</v>
      </c>
      <c r="AJ33" s="1004">
        <f t="shared" ca="1" si="13"/>
        <v>11.572586720967742</v>
      </c>
      <c r="AK33" s="1004">
        <f t="shared" ca="1" si="14"/>
        <v>22.868716741352547</v>
      </c>
      <c r="AL33" s="1004">
        <f t="shared" ca="1" si="15"/>
        <v>24.233954789489676</v>
      </c>
      <c r="AM33" s="1004" t="str">
        <f t="shared" ca="1" si="16"/>
        <v>NA</v>
      </c>
      <c r="AN33" s="1004" t="str">
        <f t="shared" ca="1" si="17"/>
        <v>NA</v>
      </c>
      <c r="AO33" s="1004" t="str">
        <f t="shared" ca="1" si="18"/>
        <v>NA</v>
      </c>
      <c r="AP33" s="1004">
        <f t="shared" ca="1" si="19"/>
        <v>19.228644175390382</v>
      </c>
      <c r="AQ33" s="1004" t="str">
        <f t="shared" ca="1" si="20"/>
        <v>NA</v>
      </c>
      <c r="AR33" s="1004" t="str">
        <f t="shared" ca="1" si="21"/>
        <v>NA</v>
      </c>
      <c r="AT33" s="765" cm="1">
        <f t="array" aca="1" ref="AT33" ca="1">IF(Reuters=1,_xll.TR(AT$7,AT$6,"Sdate=#1 Period=#2 NULL=BLANK Scale=6",,$D33,$AT$4),AT33)</f>
        <v>11.216666666666701</v>
      </c>
      <c r="AU33" s="765" cm="1">
        <f t="array" aca="1" ref="AU33" ca="1">IF(Reuters=1,_xll.TR(AU$7,AU$6,"Sdate=#1 Period=#2 NULL=BLANK Scale=6",,$D33,$AT$4),AU33)</f>
        <v>16.641666666666701</v>
      </c>
      <c r="AV33" s="765" cm="1">
        <f t="array" aca="1" ref="AV33" ca="1">IF(Reuters=1,_xll.TR(AV$7,AV$6,"Sdate=#1 Period=#2 NULL=BLANK Scale=6",,$D33,$AT$4),AV33)</f>
        <v>10.079166666666699</v>
      </c>
      <c r="AW33" s="765" t="str" cm="1">
        <f t="array" aca="1" ref="AW33" ca="1">IF(Reuters=1,_xll.TR(AW$7,AW$6,"Sdate=#1 Period=#2 NULL=BLANK Scale=6",,$D33,$AT$4),AW33)</f>
        <v/>
      </c>
      <c r="AX33" s="765" cm="1">
        <f t="array" aca="1" ref="AX33" ca="1">IF(Reuters=1,_xll.TR(AX$7,AX$6,"Sdate=#1 Period=#2 NULL=BLANK Scale=6",,$D33,$AT$4),AX33)</f>
        <v>23.286109166666701</v>
      </c>
      <c r="AY33" s="765" t="str" cm="1">
        <f t="array" aca="1" ref="AY33" ca="1">IF(Reuters=1,_xll.TR(AY$7,AY$6,"Sdate=#1 Period=#2 NULL=BLANK Scale=6",,$D33,$AT$4),AY33)</f>
        <v/>
      </c>
      <c r="AZ33" s="765" t="str" cm="1">
        <f t="array" aca="1" ref="AZ33" ca="1">IF(Reuters=1,_xll.TR(AZ$7,AZ$6,"Sdate=#1 Period=#2 NULL=BLANK Scale=6",,$D33,$AT$4),AZ33)</f>
        <v/>
      </c>
      <c r="BA33" s="765" t="str" cm="1">
        <f t="array" aca="1" ref="BA33" ca="1">IF(Reuters=1,_xll.TR(BA$7,BA$6,"Sdate=#1 Period=#2 NULL=BLANK Scale=6",,$D33,$AT$4),BA33)</f>
        <v/>
      </c>
      <c r="BB33" s="765" cm="1">
        <f t="array" aca="1" ref="BB33" ca="1">IF(Reuters=1,_xll.TR(BB$7,BB$6,"Sdate=#1 Period=#2 NULL=BLANK Scale=6",,$D33,$AT$4),BB33)</f>
        <v>14.158333333333299</v>
      </c>
      <c r="BE33" s="1000"/>
      <c r="BF33" s="1000"/>
      <c r="BG33" s="1000"/>
      <c r="BH33" s="1000"/>
      <c r="BI33" s="1000"/>
      <c r="BJ33" s="1000"/>
      <c r="BK33" s="1000"/>
      <c r="BL33" s="1000"/>
      <c r="BM33" s="1000"/>
    </row>
    <row r="34" spans="3:65" ht="11.25" customHeight="1">
      <c r="C34" s="972">
        <f t="shared" si="22"/>
        <v>42551</v>
      </c>
      <c r="D34" s="970">
        <f t="shared" si="12"/>
        <v>42596</v>
      </c>
      <c r="E34" s="765" t="str" cm="1">
        <f t="array" aca="1" ref="E34" ca="1">IF(Reuters=1,_xll.TR(E$7,E$6,"Sdate=#1 Period=#2 NULL=BLANK",,$D34,$E$4),E34)</f>
        <v/>
      </c>
      <c r="F34" s="765" cm="1">
        <f t="array" aca="1" ref="F34" ca="1">IF(Reuters=1,_xll.TR(F$7,F$6,"Sdate=#1 Period=#2 NULL=BLANK",,$D34,$E$4),F34)</f>
        <v>10.9692051206312</v>
      </c>
      <c r="G34" s="765" cm="1">
        <f t="array" aca="1" ref="G34" ca="1">IF(Reuters=1,_xll.TR(G$7,G$6,"Sdate=#1 Period=#2 NULL=BLANK",,$D34,$E$4),G34)</f>
        <v>13.558198805273101</v>
      </c>
      <c r="H34" s="765" t="str" cm="1">
        <f t="array" aca="1" ref="H34" ca="1">IF(Reuters=1,_xll.TR(H$7,H$6,"Sdate=#1 Period=#2 NULL=BLANK",,$D34,$E$4),H34)</f>
        <v/>
      </c>
      <c r="I34" s="765" cm="1">
        <f t="array" aca="1" ref="I34" ca="1">IF(Reuters=1,_xll.TR(I$7,I$6,"Sdate=#1 Period=#2 NULL=BLANK",,$D34,$E$4),I34)</f>
        <v>11.1963459385054</v>
      </c>
      <c r="J34" s="765" t="str" cm="1">
        <f t="array" aca="1" ref="J34" ca="1">IF(Reuters=1,_xll.TR(J$7,J$6,"Sdate=#1 Period=#2 NULL=BLANK",,$D34,$E$4),J34)</f>
        <v/>
      </c>
      <c r="K34" s="765" cm="1">
        <f t="array" aca="1" ref="K34" ca="1">IF(Reuters=1,_xll.TR(K$7,K$6,"Sdate=#1 Period=#2 NULL=BLANK",,$D34,$E$4),K34)</f>
        <v>15.3232169954476</v>
      </c>
      <c r="L34" s="765" cm="1">
        <f t="array" aca="1" ref="L34" ca="1">IF(Reuters=1,_xll.TR(L$7,L$6,"Sdate=#1 Period=#2 NULL=BLANK",,$D34,$E$4),L34)</f>
        <v>9.6910309226860392</v>
      </c>
      <c r="M34" s="765" cm="1">
        <f t="array" aca="1" ref="M34" ca="1">IF(Reuters=1,_xll.TR(M$7,M$6,"Sdate=#1 Period=#2 NULL=BLANK",,$D34,$E$4),M34)</f>
        <v>22.590979782270601</v>
      </c>
      <c r="P34" s="1000" t="str" cm="1">
        <f t="array" aca="1" ref="P34" ca="1">IF(Reuters=1,_xll.TR(P$7,P$6,"Sdate=#1 Period=#2 NULL=BLANK Scale=6",,$D34,$P$4),P34)</f>
        <v/>
      </c>
      <c r="Q34" s="1000" cm="1">
        <f t="array" aca="1" ref="Q34" ca="1">IF(Reuters=1,_xll.TR(Q$7,Q$6,"Sdate=#1 Period=#2 NULL=BLANK Scale=6",,$D34,$P$4),Q34)</f>
        <v>624</v>
      </c>
      <c r="R34" s="1000" cm="1">
        <f t="array" aca="1" ref="R34" ca="1">IF(Reuters=1,_xll.TR(R$7,R$6,"Sdate=#1 Period=#2 NULL=BLANK Scale=6",,$D34,$P$4),R34)</f>
        <v>2696</v>
      </c>
      <c r="S34" s="1000" t="str" cm="1">
        <f t="array" aca="1" ref="S34" ca="1">IF(Reuters=1,_xll.TR(S$7,S$6,"Sdate=#1 Period=#2 NULL=BLANK Scale=6",,$D34,$P$4),S34)</f>
        <v/>
      </c>
      <c r="T34" s="1000" cm="1">
        <f t="array" aca="1" ref="T34" ca="1">IF(Reuters=1,_xll.TR(T$7,T$6,"Sdate=#1 Period=#2 NULL=BLANK Scale=6",,$D34,$P$4),T34)</f>
        <v>3543</v>
      </c>
      <c r="U34" s="1000" t="str" cm="1">
        <f t="array" aca="1" ref="U34" ca="1">IF(Reuters=1,_xll.TR(U$7,U$6,"Sdate=#1 Period=#2 NULL=BLANK Scale=6",,$D34,$P$4),U34)</f>
        <v/>
      </c>
      <c r="V34" s="1000" cm="1">
        <f t="array" aca="1" ref="V34" ca="1">IF(Reuters=1,_xll.TR(V$7,V$6,"Sdate=#1 Period=#2 NULL=BLANK Scale=6",,$D34,$P$4),V34)</f>
        <v>125</v>
      </c>
      <c r="W34" s="1000" t="str" cm="1">
        <f t="array" aca="1" ref="W34" ca="1">IF(Reuters=1,_xll.TR(W$7,W$6,"Sdate=#1 Period=#2 NULL=BLANK Scale=6",,$D34,$P$4),W34)</f>
        <v/>
      </c>
      <c r="X34" s="1000" t="str" cm="1">
        <f t="array" aca="1" ref="X34" ca="1">IF(Reuters=1,_xll.TR(X$7,X$6,"Sdate=#1 Period=#2 NULL=BLANK Scale=6",,$D34,$P$4),X34)</f>
        <v/>
      </c>
      <c r="Y34" s="998"/>
      <c r="Z34" s="1000" cm="1">
        <f t="array" aca="1" ref="Z34" ca="1">IF(Reuters=1,_xll.TR(Z$7,Z$6,"Sdate=#1 Period=#2 NULL=BLANK Scale=6",,$D34,$Z$4),Z34)</f>
        <v>9570.2595081500003</v>
      </c>
      <c r="AA34" s="1000" cm="1">
        <f t="array" aca="1" ref="AA34" ca="1">IF(Reuters=1,_xll.TR(AA$7,AA$6,"Sdate=#1 Period=#2 NULL=BLANK Scale=6",,$D34,$Z$4),AA34)</f>
        <v>9513.5413848299995</v>
      </c>
      <c r="AB34" s="1000" cm="1">
        <f t="array" aca="1" ref="AB34" ca="1">IF(Reuters=1,_xll.TR(AB$7,AB$6,"Sdate=#1 Period=#2 NULL=BLANK Scale=6",,$D34,$Z$4),AB34)</f>
        <v>67021.390301179999</v>
      </c>
      <c r="AC34" s="1000" t="str" cm="1">
        <f t="array" aca="1" ref="AC34" ca="1">IF(Reuters=1,_xll.TR(AC$7,AC$6,"Sdate=#1 Period=#2 NULL=BLANK Scale=6",,$D34,$Z$4),AC34)</f>
        <v/>
      </c>
      <c r="AD34" s="1000" cm="1">
        <f t="array" aca="1" ref="AD34" ca="1">IF(Reuters=1,_xll.TR(AD$7,AD$6,"Sdate=#1 Period=#2 NULL=BLANK Scale=6",,$D34,$Z$4),AD34)</f>
        <v>29903.3687377239</v>
      </c>
      <c r="AE34" s="1000" t="str" cm="1">
        <f t="array" aca="1" ref="AE34" ca="1">IF(Reuters=1,_xll.TR(AE$7,AE$6,"Sdate=#1 Period=#2 NULL=BLANK Scale=6",,$D34,$Z$4),AE34)</f>
        <v/>
      </c>
      <c r="AF34" s="1000" cm="1">
        <f t="array" aca="1" ref="AF34" ca="1">IF(Reuters=1,_xll.TR(AF$7,AF$6,"Sdate=#1 Period=#2 NULL=BLANK Scale=6",,$D34,$Z$4),AF34)</f>
        <v>2829.7861356600001</v>
      </c>
      <c r="AG34" s="1000" cm="1">
        <f t="array" aca="1" ref="AG34" ca="1">IF(Reuters=1,_xll.TR(AG$7,AG$6,"Sdate=#1 Period=#2 NULL=BLANK Scale=6",,$D34,$Z$4),AG34)</f>
        <v>3311.5408465999999</v>
      </c>
      <c r="AH34" s="1000" cm="1">
        <f t="array" aca="1" ref="AH34" ca="1">IF(Reuters=1,_xll.TR(AH$7,AH$6,"Sdate=#1 Period=#2 NULL=BLANK Scale=6",,$D34,$Z$4),AH34)</f>
        <v>6235.6892259599999</v>
      </c>
      <c r="AJ34" s="1004" t="str">
        <f t="shared" ca="1" si="13"/>
        <v>NA</v>
      </c>
      <c r="AK34" s="1004">
        <f t="shared" ca="1" si="14"/>
        <v>15.246059911586539</v>
      </c>
      <c r="AL34" s="1004">
        <f t="shared" ca="1" si="15"/>
        <v>24.859566135452521</v>
      </c>
      <c r="AM34" s="1004" t="str">
        <f t="shared" ca="1" si="16"/>
        <v>NA</v>
      </c>
      <c r="AN34" s="1004">
        <f t="shared" ca="1" si="17"/>
        <v>8.4401266547343781</v>
      </c>
      <c r="AO34" s="1004" t="str">
        <f t="shared" ca="1" si="18"/>
        <v>NA</v>
      </c>
      <c r="AP34" s="1004">
        <f t="shared" ca="1" si="19"/>
        <v>22.63828908528</v>
      </c>
      <c r="AQ34" s="1004" t="str">
        <f t="shared" ca="1" si="20"/>
        <v>NA</v>
      </c>
      <c r="AR34" s="1004" t="str">
        <f t="shared" ca="1" si="21"/>
        <v>NA</v>
      </c>
      <c r="AT34" s="765" cm="1">
        <f t="array" aca="1" ref="AT34" ca="1">IF(Reuters=1,_xll.TR(AT$7,AT$6,"Sdate=#1 Period=#2 NULL=BLANK Scale=6",,$D34,$AT$4),AT34)</f>
        <v>9.18333333333333</v>
      </c>
      <c r="AU34" s="765" cm="1">
        <f t="array" aca="1" ref="AU34" ca="1">IF(Reuters=1,_xll.TR(AU$7,AU$6,"Sdate=#1 Period=#2 NULL=BLANK Scale=6",,$D34,$AT$4),AU34)</f>
        <v>17.044443333333302</v>
      </c>
      <c r="AV34" s="765" cm="1">
        <f t="array" aca="1" ref="AV34" ca="1">IF(Reuters=1,_xll.TR(AV$7,AV$6,"Sdate=#1 Period=#2 NULL=BLANK Scale=6",,$D34,$AT$4),AV34)</f>
        <v>10.30278</v>
      </c>
      <c r="AW34" s="765" t="str" cm="1">
        <f t="array" aca="1" ref="AW34" ca="1">IF(Reuters=1,_xll.TR(AW$7,AW$6,"Sdate=#1 Period=#2 NULL=BLANK Scale=6",,$D34,$AT$4),AW34)</f>
        <v/>
      </c>
      <c r="AX34" s="765" cm="1">
        <f t="array" aca="1" ref="AX34" ca="1">IF(Reuters=1,_xll.TR(AX$7,AX$6,"Sdate=#1 Period=#2 NULL=BLANK Scale=6",,$D34,$AT$4),AX34)</f>
        <v>22.390003333333301</v>
      </c>
      <c r="AY34" s="765" t="str" cm="1">
        <f t="array" aca="1" ref="AY34" ca="1">IF(Reuters=1,_xll.TR(AY$7,AY$6,"Sdate=#1 Period=#2 NULL=BLANK Scale=6",,$D34,$AT$4),AY34)</f>
        <v/>
      </c>
      <c r="AZ34" s="765" cm="1">
        <f t="array" aca="1" ref="AZ34" ca="1">IF(Reuters=1,_xll.TR(AZ$7,AZ$6,"Sdate=#1 Period=#2 NULL=BLANK Scale=6",,$D34,$AT$4),AZ34)</f>
        <v>11.266666666666699</v>
      </c>
      <c r="BA34" s="765" t="str" cm="1">
        <f t="array" aca="1" ref="BA34" ca="1">IF(Reuters=1,_xll.TR(BA$7,BA$6,"Sdate=#1 Period=#2 NULL=BLANK Scale=6",,$D34,$AT$4),BA34)</f>
        <v/>
      </c>
      <c r="BB34" s="765" t="str" cm="1">
        <f t="array" aca="1" ref="BB34" ca="1">IF(Reuters=1,_xll.TR(BB$7,BB$6,"Sdate=#1 Period=#2 NULL=BLANK Scale=6",,$D34,$AT$4),BB34)</f>
        <v/>
      </c>
      <c r="BE34" s="1000"/>
      <c r="BF34" s="1000"/>
      <c r="BG34" s="1000"/>
      <c r="BH34" s="1000"/>
      <c r="BI34" s="1000"/>
      <c r="BJ34" s="1000"/>
      <c r="BK34" s="1000"/>
      <c r="BL34" s="1000"/>
      <c r="BM34" s="1000"/>
    </row>
    <row r="35" spans="3:65" ht="11.25" customHeight="1">
      <c r="C35" s="973">
        <f t="shared" si="22"/>
        <v>42643</v>
      </c>
      <c r="D35" s="970">
        <f t="shared" si="12"/>
        <v>42688</v>
      </c>
      <c r="E35" s="765" cm="1">
        <f t="array" aca="1" ref="E35" ca="1">IF(Reuters=1,_xll.TR(E$7,E$6,"Sdate=#1 Period=#2 NULL=BLANK",,$D35,$E$4),E35)</f>
        <v>10.5556213718754</v>
      </c>
      <c r="F35" s="765" cm="1">
        <f t="array" aca="1" ref="F35" ca="1">IF(Reuters=1,_xll.TR(F$7,F$6,"Sdate=#1 Period=#2 NULL=BLANK",,$D35,$E$4),F35)</f>
        <v>11.9561450609879</v>
      </c>
      <c r="G35" s="765" cm="1">
        <f t="array" aca="1" ref="G35" ca="1">IF(Reuters=1,_xll.TR(G$7,G$6,"Sdate=#1 Period=#2 NULL=BLANK",,$D35,$E$4),G35)</f>
        <v>18.925139322620598</v>
      </c>
      <c r="H35" s="765" t="str" cm="1">
        <f t="array" aca="1" ref="H35" ca="1">IF(Reuters=1,_xll.TR(H$7,H$6,"Sdate=#1 Period=#2 NULL=BLANK",,$D35,$E$4),H35)</f>
        <v/>
      </c>
      <c r="I35" s="765" cm="1">
        <f t="array" aca="1" ref="I35" ca="1">IF(Reuters=1,_xll.TR(I$7,I$6,"Sdate=#1 Period=#2 NULL=BLANK",,$D35,$E$4),I35)</f>
        <v>12.803927599942099</v>
      </c>
      <c r="J35" s="765" t="str" cm="1">
        <f t="array" aca="1" ref="J35" ca="1">IF(Reuters=1,_xll.TR(J$7,J$6,"Sdate=#1 Period=#2 NULL=BLANK",,$D35,$E$4),J35)</f>
        <v/>
      </c>
      <c r="K35" s="765" cm="1">
        <f t="array" aca="1" ref="K35" ca="1">IF(Reuters=1,_xll.TR(K$7,K$6,"Sdate=#1 Period=#2 NULL=BLANK",,$D35,$E$4),K35)</f>
        <v>15.618138424821</v>
      </c>
      <c r="L35" s="765" cm="1">
        <f t="array" aca="1" ref="L35" ca="1">IF(Reuters=1,_xll.TR(L$7,L$6,"Sdate=#1 Period=#2 NULL=BLANK",,$D35,$E$4),L35)</f>
        <v>10.8818527327069</v>
      </c>
      <c r="M35" s="765" t="str" cm="1">
        <f t="array" aca="1" ref="M35" ca="1">IF(Reuters=1,_xll.TR(M$7,M$6,"Sdate=#1 Period=#2 NULL=BLANK",,$D35,$E$4),M35)</f>
        <v/>
      </c>
      <c r="P35" s="1000" t="str" cm="1">
        <f t="array" aca="1" ref="P35" ca="1">IF(Reuters=1,_xll.TR(P$7,P$6,"Sdate=#1 Period=#2 NULL=BLANK Scale=6",,$D35,$P$4),P35)</f>
        <v/>
      </c>
      <c r="Q35" s="1000" cm="1">
        <f t="array" aca="1" ref="Q35" ca="1">IF(Reuters=1,_xll.TR(Q$7,Q$6,"Sdate=#1 Period=#2 NULL=BLANK Scale=6",,$D35,$P$4),Q35)</f>
        <v>801</v>
      </c>
      <c r="R35" s="1000" cm="1">
        <f t="array" aca="1" ref="R35" ca="1">IF(Reuters=1,_xll.TR(R$7,R$6,"Sdate=#1 Period=#2 NULL=BLANK Scale=6",,$D35,$P$4),R35)</f>
        <v>2452</v>
      </c>
      <c r="S35" s="1000" t="str" cm="1">
        <f t="array" aca="1" ref="S35" ca="1">IF(Reuters=1,_xll.TR(S$7,S$6,"Sdate=#1 Period=#2 NULL=BLANK Scale=6",,$D35,$P$4),S35)</f>
        <v/>
      </c>
      <c r="T35" s="1000" cm="1">
        <f t="array" aca="1" ref="T35" ca="1">IF(Reuters=1,_xll.TR(T$7,T$6,"Sdate=#1 Period=#2 NULL=BLANK Scale=6",,$D35,$P$4),T35)</f>
        <v>2894</v>
      </c>
      <c r="U35" s="1000" t="str" cm="1">
        <f t="array" aca="1" ref="U35" ca="1">IF(Reuters=1,_xll.TR(U$7,U$6,"Sdate=#1 Period=#2 NULL=BLANK Scale=6",,$D35,$P$4),U35)</f>
        <v/>
      </c>
      <c r="V35" s="1000" cm="1">
        <f t="array" aca="1" ref="V35" ca="1">IF(Reuters=1,_xll.TR(V$7,V$6,"Sdate=#1 Period=#2 NULL=BLANK Scale=6",,$D35,$P$4),V35)</f>
        <v>137.80000000000001</v>
      </c>
      <c r="W35" s="1000" t="str" cm="1">
        <f t="array" aca="1" ref="W35" ca="1">IF(Reuters=1,_xll.TR(W$7,W$6,"Sdate=#1 Period=#2 NULL=BLANK Scale=6",,$D35,$P$4),W35)</f>
        <v/>
      </c>
      <c r="X35" s="1000" t="str" cm="1">
        <f t="array" aca="1" ref="X35" ca="1">IF(Reuters=1,_xll.TR(X$7,X$6,"Sdate=#1 Period=#2 NULL=BLANK Scale=6",,$D35,$P$4),X35)</f>
        <v/>
      </c>
      <c r="Y35" s="998"/>
      <c r="Z35" s="1000" cm="1">
        <f t="array" aca="1" ref="Z35" ca="1">IF(Reuters=1,_xll.TR(Z$7,Z$6,"Sdate=#1 Period=#2 NULL=BLANK Scale=6",,$D35,$Z$4),Z35)</f>
        <v>10896.252394499999</v>
      </c>
      <c r="AA35" s="1000" cm="1">
        <f t="array" aca="1" ref="AA35" ca="1">IF(Reuters=1,_xll.TR(AA$7,AA$6,"Sdate=#1 Period=#2 NULL=BLANK Scale=6",,$D35,$Z$4),AA35)</f>
        <v>11239.72836255</v>
      </c>
      <c r="AB35" s="1000" cm="1">
        <f t="array" aca="1" ref="AB35" ca="1">IF(Reuters=1,_xll.TR(AB$7,AB$6,"Sdate=#1 Period=#2 NULL=BLANK Scale=6",,$D35,$Z$4),AB35)</f>
        <v>74920.307069579998</v>
      </c>
      <c r="AC35" s="1000" t="str" cm="1">
        <f t="array" aca="1" ref="AC35" ca="1">IF(Reuters=1,_xll.TR(AC$7,AC$6,"Sdate=#1 Period=#2 NULL=BLANK Scale=6",,$D35,$Z$4),AC35)</f>
        <v/>
      </c>
      <c r="AD35" s="1000" cm="1">
        <f t="array" aca="1" ref="AD35" ca="1">IF(Reuters=1,_xll.TR(AD$7,AD$6,"Sdate=#1 Period=#2 NULL=BLANK Scale=6",,$D35,$Z$4),AD35)</f>
        <v>32064.868500907702</v>
      </c>
      <c r="AE35" s="1000" t="str" cm="1">
        <f t="array" aca="1" ref="AE35" ca="1">IF(Reuters=1,_xll.TR(AE$7,AE$6,"Sdate=#1 Period=#2 NULL=BLANK Scale=6",,$D35,$Z$4),AE35)</f>
        <v/>
      </c>
      <c r="AF35" s="1000" cm="1">
        <f t="array" aca="1" ref="AF35" ca="1">IF(Reuters=1,_xll.TR(AF$7,AF$6,"Sdate=#1 Period=#2 NULL=BLANK Scale=6",,$D35,$Z$4),AF35)</f>
        <v>2741.2801276</v>
      </c>
      <c r="AG35" s="1000" cm="1">
        <f t="array" aca="1" ref="AG35" ca="1">IF(Reuters=1,_xll.TR(AG$7,AG$6,"Sdate=#1 Period=#2 NULL=BLANK Scale=6",,$D35,$Z$4),AG35)</f>
        <v>4021.0776866400001</v>
      </c>
      <c r="AH35" s="1000" cm="1">
        <f t="array" aca="1" ref="AH35" ca="1">IF(Reuters=1,_xll.TR(AH$7,AH$6,"Sdate=#1 Period=#2 NULL=BLANK Scale=6",,$D35,$Z$4),AH35)</f>
        <v>6932.4109229799997</v>
      </c>
      <c r="AJ35" s="1004" t="str">
        <f t="shared" ca="1" si="13"/>
        <v>NA</v>
      </c>
      <c r="AK35" s="1004">
        <f t="shared" ca="1" si="14"/>
        <v>14.032120302808989</v>
      </c>
      <c r="AL35" s="1004">
        <f t="shared" ca="1" si="15"/>
        <v>30.554774498197389</v>
      </c>
      <c r="AM35" s="1004" t="str">
        <f t="shared" ca="1" si="16"/>
        <v>NA</v>
      </c>
      <c r="AN35" s="1004">
        <f t="shared" ca="1" si="17"/>
        <v>11.079774879373774</v>
      </c>
      <c r="AO35" s="1004" t="str">
        <f t="shared" ca="1" si="18"/>
        <v>NA</v>
      </c>
      <c r="AP35" s="1004">
        <f t="shared" ca="1" si="19"/>
        <v>19.893179445573292</v>
      </c>
      <c r="AQ35" s="1004" t="str">
        <f t="shared" ca="1" si="20"/>
        <v>NA</v>
      </c>
      <c r="AR35" s="1004" t="str">
        <f t="shared" ca="1" si="21"/>
        <v>NA</v>
      </c>
      <c r="AT35" s="765" cm="1">
        <f t="array" aca="1" ref="AT35" ca="1">IF(Reuters=1,_xll.TR(AT$7,AT$6,"Sdate=#1 Period=#2 NULL=BLANK Scale=6",,$D35,$AT$4),AT35)</f>
        <v>9.9305583333333303</v>
      </c>
      <c r="AU35" s="765" cm="1">
        <f t="array" aca="1" ref="AU35" ca="1">IF(Reuters=1,_xll.TR(AU$7,AU$6,"Sdate=#1 Period=#2 NULL=BLANK Scale=6",,$D35,$AT$4),AU35)</f>
        <v>18.574999999999999</v>
      </c>
      <c r="AV35" s="765" cm="1">
        <f t="array" aca="1" ref="AV35" ca="1">IF(Reuters=1,_xll.TR(AV$7,AV$6,"Sdate=#1 Period=#2 NULL=BLANK Scale=6",,$D35,$AT$4),AV35)</f>
        <v>10.39</v>
      </c>
      <c r="AW35" s="765" t="str" cm="1">
        <f t="array" aca="1" ref="AW35" ca="1">IF(Reuters=1,_xll.TR(AW$7,AW$6,"Sdate=#1 Period=#2 NULL=BLANK Scale=6",,$D35,$AT$4),AW35)</f>
        <v/>
      </c>
      <c r="AX35" s="765" cm="1">
        <f t="array" aca="1" ref="AX35" ca="1">IF(Reuters=1,_xll.TR(AX$7,AX$6,"Sdate=#1 Period=#2 NULL=BLANK Scale=6",,$D35,$AT$4),AX35)</f>
        <v>23.486110833333299</v>
      </c>
      <c r="AY35" s="765" t="str" cm="1">
        <f t="array" aca="1" ref="AY35" ca="1">IF(Reuters=1,_xll.TR(AY$7,AY$6,"Sdate=#1 Period=#2 NULL=BLANK Scale=6",,$D35,$AT$4),AY35)</f>
        <v/>
      </c>
      <c r="AZ35" s="765" cm="1">
        <f t="array" aca="1" ref="AZ35" ca="1">IF(Reuters=1,_xll.TR(AZ$7,AZ$6,"Sdate=#1 Period=#2 NULL=BLANK Scale=6",,$D35,$AT$4),AZ35)</f>
        <v>11.516666666666699</v>
      </c>
      <c r="BA35" s="765" cm="1">
        <f t="array" aca="1" ref="BA35" ca="1">IF(Reuters=1,_xll.TR(BA$7,BA$6,"Sdate=#1 Period=#2 NULL=BLANK Scale=6",,$D35,$AT$4),BA35)</f>
        <v>4.9083333333333297</v>
      </c>
      <c r="BB35" s="765" t="str" cm="1">
        <f t="array" aca="1" ref="BB35" ca="1">IF(Reuters=1,_xll.TR(BB$7,BB$6,"Sdate=#1 Period=#2 NULL=BLANK Scale=6",,$D35,$AT$4),BB35)</f>
        <v/>
      </c>
      <c r="BE35" s="1000"/>
      <c r="BF35" s="1000"/>
      <c r="BG35" s="1000"/>
      <c r="BH35" s="1000"/>
      <c r="BI35" s="1000"/>
      <c r="BJ35" s="1000"/>
      <c r="BK35" s="1000"/>
      <c r="BL35" s="1000"/>
      <c r="BM35" s="1000"/>
    </row>
    <row r="36" spans="3:65" ht="11.25" customHeight="1">
      <c r="C36" s="969">
        <f t="shared" si="22"/>
        <v>42735</v>
      </c>
      <c r="D36" s="970">
        <f t="shared" si="12"/>
        <v>42780</v>
      </c>
      <c r="E36" s="765" t="str" cm="1">
        <f t="array" aca="1" ref="E36" ca="1">IF(Reuters=1,_xll.TR(E$7,E$6,"Sdate=#1 Period=#2 NULL=BLANK",,$D36,$E$4),E36)</f>
        <v/>
      </c>
      <c r="F36" s="765" cm="1">
        <f t="array" aca="1" ref="F36" ca="1">IF(Reuters=1,_xll.TR(F$7,F$6,"Sdate=#1 Period=#2 NULL=BLANK",,$D36,$E$4),F36)</f>
        <v>13.232470308166199</v>
      </c>
      <c r="G36" s="765" cm="1">
        <f t="array" aca="1" ref="G36" ca="1">IF(Reuters=1,_xll.TR(G$7,G$6,"Sdate=#1 Period=#2 NULL=BLANK",,$D36,$E$4),G36)</f>
        <v>21.557251346428</v>
      </c>
      <c r="H36" s="765" t="str" cm="1">
        <f t="array" aca="1" ref="H36" ca="1">IF(Reuters=1,_xll.TR(H$7,H$6,"Sdate=#1 Period=#2 NULL=BLANK",,$D36,$E$4),H36)</f>
        <v/>
      </c>
      <c r="I36" s="765" t="str" cm="1">
        <f t="array" aca="1" ref="I36" ca="1">IF(Reuters=1,_xll.TR(I$7,I$6,"Sdate=#1 Period=#2 NULL=BLANK",,$D36,$E$4),I36)</f>
        <v/>
      </c>
      <c r="J36" s="765" t="str" cm="1">
        <f t="array" aca="1" ref="J36" ca="1">IF(Reuters=1,_xll.TR(J$7,J$6,"Sdate=#1 Period=#2 NULL=BLANK",,$D36,$E$4),J36)</f>
        <v/>
      </c>
      <c r="K36" s="765" cm="1">
        <f t="array" aca="1" ref="K36" ca="1">IF(Reuters=1,_xll.TR(K$7,K$6,"Sdate=#1 Period=#2 NULL=BLANK",,$D36,$E$4),K36)</f>
        <v>16.7277227722772</v>
      </c>
      <c r="L36" s="765" cm="1">
        <f t="array" aca="1" ref="L36" ca="1">IF(Reuters=1,_xll.TR(L$7,L$6,"Sdate=#1 Period=#2 NULL=BLANK",,$D36,$E$4),L36)</f>
        <v>16.976453083299901</v>
      </c>
      <c r="M36" s="765" t="str" cm="1">
        <f t="array" aca="1" ref="M36" ca="1">IF(Reuters=1,_xll.TR(M$7,M$6,"Sdate=#1 Period=#2 NULL=BLANK",,$D36,$E$4),M36)</f>
        <v/>
      </c>
      <c r="P36" s="1000" t="str" cm="1">
        <f t="array" aca="1" ref="P36" ca="1">IF(Reuters=1,_xll.TR(P$7,P$6,"Sdate=#1 Period=#2 NULL=BLANK Scale=6",,$D36,$P$4),P36)</f>
        <v/>
      </c>
      <c r="Q36" s="1000" cm="1">
        <f t="array" aca="1" ref="Q36" ca="1">IF(Reuters=1,_xll.TR(Q$7,Q$6,"Sdate=#1 Period=#2 NULL=BLANK Scale=6",,$D36,$P$4),Q36)</f>
        <v>647</v>
      </c>
      <c r="R36" s="1000" cm="1">
        <f t="array" aca="1" ref="R36" ca="1">IF(Reuters=1,_xll.TR(R$7,R$6,"Sdate=#1 Period=#2 NULL=BLANK Scale=6",,$D36,$P$4),R36)</f>
        <v>2452</v>
      </c>
      <c r="S36" s="1000" t="str" cm="1">
        <f t="array" aca="1" ref="S36" ca="1">IF(Reuters=1,_xll.TR(S$7,S$6,"Sdate=#1 Period=#2 NULL=BLANK Scale=6",,$D36,$P$4),S36)</f>
        <v/>
      </c>
      <c r="T36" s="1000" cm="1">
        <f t="array" aca="1" ref="T36" ca="1">IF(Reuters=1,_xll.TR(T$7,T$6,"Sdate=#1 Period=#2 NULL=BLANK Scale=6",,$D36,$P$4),T36)</f>
        <v>3363</v>
      </c>
      <c r="U36" s="1000" t="str" cm="1">
        <f t="array" aca="1" ref="U36" ca="1">IF(Reuters=1,_xll.TR(U$7,U$6,"Sdate=#1 Period=#2 NULL=BLANK Scale=6",,$D36,$P$4),U36)</f>
        <v/>
      </c>
      <c r="V36" s="1000" cm="1">
        <f t="array" aca="1" ref="V36" ca="1">IF(Reuters=1,_xll.TR(V$7,V$6,"Sdate=#1 Period=#2 NULL=BLANK Scale=6",,$D36,$P$4),V36)</f>
        <v>137.1</v>
      </c>
      <c r="W36" s="1000" t="str" cm="1">
        <f t="array" aca="1" ref="W36" ca="1">IF(Reuters=1,_xll.TR(W$7,W$6,"Sdate=#1 Period=#2 NULL=BLANK Scale=6",,$D36,$P$4),W36)</f>
        <v/>
      </c>
      <c r="X36" s="1000" t="str" cm="1">
        <f t="array" aca="1" ref="X36" ca="1">IF(Reuters=1,_xll.TR(X$7,X$6,"Sdate=#1 Period=#2 NULL=BLANK Scale=6",,$D36,$P$4),X36)</f>
        <v/>
      </c>
      <c r="Y36" s="998"/>
      <c r="Z36" s="1000" cm="1">
        <f t="array" aca="1" ref="Z36" ca="1">IF(Reuters=1,_xll.TR(Z$7,Z$6,"Sdate=#1 Period=#2 NULL=BLANK Scale=6",,$D36,$Z$4),Z36)</f>
        <v>11804.077495920001</v>
      </c>
      <c r="AA36" s="1000" cm="1">
        <f t="array" aca="1" ref="AA36" ca="1">IF(Reuters=1,_xll.TR(AA$7,AA$6,"Sdate=#1 Period=#2 NULL=BLANK Scale=6",,$D36,$Z$4),AA36)</f>
        <v>12455.09078688</v>
      </c>
      <c r="AB36" s="1000" cm="1">
        <f t="array" aca="1" ref="AB36" ca="1">IF(Reuters=1,_xll.TR(AB$7,AB$6,"Sdate=#1 Period=#2 NULL=BLANK Scale=6",,$D36,$Z$4),AB36)</f>
        <v>82479.386721200004</v>
      </c>
      <c r="AC36" s="1000" t="str" cm="1">
        <f t="array" aca="1" ref="AC36" ca="1">IF(Reuters=1,_xll.TR(AC$7,AC$6,"Sdate=#1 Period=#2 NULL=BLANK Scale=6",,$D36,$Z$4),AC36)</f>
        <v/>
      </c>
      <c r="AD36" s="1000" cm="1">
        <f t="array" aca="1" ref="AD36" ca="1">IF(Reuters=1,_xll.TR(AD$7,AD$6,"Sdate=#1 Period=#2 NULL=BLANK Scale=6",,$D36,$Z$4),AD36)</f>
        <v>35804.021071915296</v>
      </c>
      <c r="AE36" s="1000" t="str" cm="1">
        <f t="array" aca="1" ref="AE36" ca="1">IF(Reuters=1,_xll.TR(AE$7,AE$6,"Sdate=#1 Period=#2 NULL=BLANK Scale=6",,$D36,$Z$4),AE36)</f>
        <v/>
      </c>
      <c r="AF36" s="1000" cm="1">
        <f t="array" aca="1" ref="AF36" ca="1">IF(Reuters=1,_xll.TR(AF$7,AF$6,"Sdate=#1 Period=#2 NULL=BLANK Scale=6",,$D36,$Z$4),AF36)</f>
        <v>2776.4352295600002</v>
      </c>
      <c r="AG36" s="1000" cm="1">
        <f t="array" aca="1" ref="AG36" ca="1">IF(Reuters=1,_xll.TR(AG$7,AG$6,"Sdate=#1 Period=#2 NULL=BLANK Scale=6",,$D36,$Z$4),AG36)</f>
        <v>4954.6383834999997</v>
      </c>
      <c r="AH36" s="1000" cm="1">
        <f t="array" aca="1" ref="AH36" ca="1">IF(Reuters=1,_xll.TR(AH$7,AH$6,"Sdate=#1 Period=#2 NULL=BLANK Scale=6",,$D36,$Z$4),AH36)</f>
        <v>8279.44874643</v>
      </c>
      <c r="AJ36" s="1004" t="str">
        <f t="shared" ca="1" si="13"/>
        <v>NA</v>
      </c>
      <c r="AK36" s="1004">
        <f t="shared" ca="1" si="14"/>
        <v>19.25052671851623</v>
      </c>
      <c r="AL36" s="1004">
        <f t="shared" ca="1" si="15"/>
        <v>33.63759654208809</v>
      </c>
      <c r="AM36" s="1004" t="str">
        <f t="shared" ca="1" si="16"/>
        <v>NA</v>
      </c>
      <c r="AN36" s="1004">
        <f t="shared" ca="1" si="17"/>
        <v>10.646452890846058</v>
      </c>
      <c r="AO36" s="1004" t="str">
        <f t="shared" ca="1" si="18"/>
        <v>NA</v>
      </c>
      <c r="AP36" s="1004">
        <f t="shared" ca="1" si="19"/>
        <v>20.251168705762218</v>
      </c>
      <c r="AQ36" s="1004" t="str">
        <f t="shared" ca="1" si="20"/>
        <v>NA</v>
      </c>
      <c r="AR36" s="1004" t="str">
        <f t="shared" ca="1" si="21"/>
        <v>NA</v>
      </c>
      <c r="AT36" s="765" cm="1">
        <f t="array" aca="1" ref="AT36" ca="1">IF(Reuters=1,_xll.TR(AT$7,AT$6,"Sdate=#1 Period=#2 NULL=BLANK Scale=6",,$D36,$AT$4),AT36)</f>
        <v>12.872225</v>
      </c>
      <c r="AU36" s="765" cm="1">
        <f t="array" aca="1" ref="AU36" ca="1">IF(Reuters=1,_xll.TR(AU$7,AU$6,"Sdate=#1 Period=#2 NULL=BLANK Scale=6",,$D36,$AT$4),AU36)</f>
        <v>18.820833333333301</v>
      </c>
      <c r="AV36" s="765" cm="1">
        <f t="array" aca="1" ref="AV36" ca="1">IF(Reuters=1,_xll.TR(AV$7,AV$6,"Sdate=#1 Period=#2 NULL=BLANK Scale=6",,$D36,$AT$4),AV36)</f>
        <v>11.67</v>
      </c>
      <c r="AW36" s="765" t="str" cm="1">
        <f t="array" aca="1" ref="AW36" ca="1">IF(Reuters=1,_xll.TR(AW$7,AW$6,"Sdate=#1 Period=#2 NULL=BLANK Scale=6",,$D36,$AT$4),AW36)</f>
        <v/>
      </c>
      <c r="AX36" s="765" cm="1">
        <f t="array" aca="1" ref="AX36" ca="1">IF(Reuters=1,_xll.TR(AX$7,AX$6,"Sdate=#1 Period=#2 NULL=BLANK Scale=6",,$D36,$AT$4),AX36)</f>
        <v>24.658333333333299</v>
      </c>
      <c r="AY36" s="765" t="str" cm="1">
        <f t="array" aca="1" ref="AY36" ca="1">IF(Reuters=1,_xll.TR(AY$7,AY$6,"Sdate=#1 Period=#2 NULL=BLANK Scale=6",,$D36,$AT$4),AY36)</f>
        <v/>
      </c>
      <c r="AZ36" s="765" t="str" cm="1">
        <f t="array" aca="1" ref="AZ36" ca="1">IF(Reuters=1,_xll.TR(AZ$7,AZ$6,"Sdate=#1 Period=#2 NULL=BLANK Scale=6",,$D36,$AT$4),AZ36)</f>
        <v/>
      </c>
      <c r="BA36" s="765" cm="1">
        <f t="array" aca="1" ref="BA36" ca="1">IF(Reuters=1,_xll.TR(BA$7,BA$6,"Sdate=#1 Period=#2 NULL=BLANK Scale=6",,$D36,$AT$4),BA36)</f>
        <v>5.0833333333333304</v>
      </c>
      <c r="BB36" s="765" t="str" cm="1">
        <f t="array" aca="1" ref="BB36" ca="1">IF(Reuters=1,_xll.TR(BB$7,BB$6,"Sdate=#1 Period=#2 NULL=BLANK Scale=6",,$D36,$AT$4),BB36)</f>
        <v/>
      </c>
      <c r="BE36" s="1000"/>
      <c r="BF36" s="1000"/>
      <c r="BG36" s="1000"/>
      <c r="BH36" s="1000"/>
      <c r="BI36" s="1000"/>
      <c r="BJ36" s="1000"/>
      <c r="BK36" s="1000"/>
      <c r="BL36" s="1000"/>
      <c r="BM36" s="1000"/>
    </row>
    <row r="37" spans="3:65" ht="11.25" customHeight="1">
      <c r="C37" s="971">
        <f t="shared" si="22"/>
        <v>42825</v>
      </c>
      <c r="D37" s="970">
        <f t="shared" si="12"/>
        <v>42870</v>
      </c>
      <c r="E37" s="765" t="str" cm="1">
        <f t="array" aca="1" ref="E37" ca="1">IF(Reuters=1,_xll.TR(E$7,E$6,"Sdate=#1 Period=#2 NULL=BLANK",,$D37,$E$4),E37)</f>
        <v/>
      </c>
      <c r="F37" s="765" cm="1">
        <f t="array" aca="1" ref="F37" ca="1">IF(Reuters=1,_xll.TR(F$7,F$6,"Sdate=#1 Period=#2 NULL=BLANK",,$D37,$E$4),F37)</f>
        <v>13.001969733870199</v>
      </c>
      <c r="G37" s="765" cm="1">
        <f t="array" aca="1" ref="G37" ca="1">IF(Reuters=1,_xll.TR(G$7,G$6,"Sdate=#1 Period=#2 NULL=BLANK",,$D37,$E$4),G37)</f>
        <v>17.559085112373499</v>
      </c>
      <c r="H37" s="765" t="str" cm="1">
        <f t="array" aca="1" ref="H37" ca="1">IF(Reuters=1,_xll.TR(H$7,H$6,"Sdate=#1 Period=#2 NULL=BLANK",,$D37,$E$4),H37)</f>
        <v/>
      </c>
      <c r="I37" s="765" cm="1">
        <f t="array" aca="1" ref="I37" ca="1">IF(Reuters=1,_xll.TR(I$7,I$6,"Sdate=#1 Period=#2 NULL=BLANK",,$D37,$E$4),I37)</f>
        <v>11.9049386819008</v>
      </c>
      <c r="J37" s="765" t="str" cm="1">
        <f t="array" aca="1" ref="J37" ca="1">IF(Reuters=1,_xll.TR(J$7,J$6,"Sdate=#1 Period=#2 NULL=BLANK",,$D37,$E$4),J37)</f>
        <v/>
      </c>
      <c r="K37" s="765" cm="1">
        <f t="array" aca="1" ref="K37" ca="1">IF(Reuters=1,_xll.TR(K$7,K$6,"Sdate=#1 Period=#2 NULL=BLANK",,$D37,$E$4),K37)</f>
        <v>17.878300803673898</v>
      </c>
      <c r="L37" s="765" cm="1">
        <f t="array" aca="1" ref="L37" ca="1">IF(Reuters=1,_xll.TR(L$7,L$6,"Sdate=#1 Period=#2 NULL=BLANK",,$D37,$E$4),L37)</f>
        <v>10.530232691370699</v>
      </c>
      <c r="M37" s="765" cm="1">
        <f t="array" aca="1" ref="M37" ca="1">IF(Reuters=1,_xll.TR(M$7,M$6,"Sdate=#1 Period=#2 NULL=BLANK",,$D37,$E$4),M37)</f>
        <v>13.490476497636401</v>
      </c>
      <c r="P37" s="1000" t="str" cm="1">
        <f t="array" aca="1" ref="P37" ca="1">IF(Reuters=1,_xll.TR(P$7,P$6,"Sdate=#1 Period=#2 NULL=BLANK Scale=6",,$D37,$P$4),P37)</f>
        <v/>
      </c>
      <c r="Q37" s="1000" cm="1">
        <f t="array" aca="1" ref="Q37" ca="1">IF(Reuters=1,_xll.TR(Q$7,Q$6,"Sdate=#1 Period=#2 NULL=BLANK Scale=6",,$D37,$P$4),Q37)</f>
        <v>560</v>
      </c>
      <c r="R37" s="1000" cm="1">
        <f t="array" aca="1" ref="R37" ca="1">IF(Reuters=1,_xll.TR(R$7,R$6,"Sdate=#1 Period=#2 NULL=BLANK Scale=6",,$D37,$P$4),R37)</f>
        <v>3599</v>
      </c>
      <c r="S37" s="1000" t="str" cm="1">
        <f t="array" aca="1" ref="S37" ca="1">IF(Reuters=1,_xll.TR(S$7,S$6,"Sdate=#1 Period=#2 NULL=BLANK Scale=6",,$D37,$P$4),S37)</f>
        <v/>
      </c>
      <c r="T37" s="1000" cm="1">
        <f t="array" aca="1" ref="T37" ca="1">IF(Reuters=1,_xll.TR(T$7,T$6,"Sdate=#1 Period=#2 NULL=BLANK Scale=6",,$D37,$P$4),T37)</f>
        <v>2782</v>
      </c>
      <c r="U37" s="1000" t="str" cm="1">
        <f t="array" aca="1" ref="U37" ca="1">IF(Reuters=1,_xll.TR(U$7,U$6,"Sdate=#1 Period=#2 NULL=BLANK Scale=6",,$D37,$P$4),U37)</f>
        <v/>
      </c>
      <c r="V37" s="1000" cm="1">
        <f t="array" aca="1" ref="V37" ca="1">IF(Reuters=1,_xll.TR(V$7,V$6,"Sdate=#1 Period=#2 NULL=BLANK Scale=6",,$D37,$P$4),V37)</f>
        <v>146.69999999999999</v>
      </c>
      <c r="W37" s="1000" t="str" cm="1">
        <f t="array" aca="1" ref="W37" ca="1">IF(Reuters=1,_xll.TR(W$7,W$6,"Sdate=#1 Period=#2 NULL=BLANK Scale=6",,$D37,$P$4),W37)</f>
        <v/>
      </c>
      <c r="X37" s="1000" t="str" cm="1">
        <f t="array" aca="1" ref="X37" ca="1">IF(Reuters=1,_xll.TR(X$7,X$6,"Sdate=#1 Period=#2 NULL=BLANK Scale=6",,$D37,$P$4),X37)</f>
        <v/>
      </c>
      <c r="Y37" s="998"/>
      <c r="Z37" s="1000" cm="1">
        <f t="array" aca="1" ref="Z37" ca="1">IF(Reuters=1,_xll.TR(Z$7,Z$6,"Sdate=#1 Period=#2 NULL=BLANK Scale=6",,$D37,$Z$4),Z37)</f>
        <v>11464.922671</v>
      </c>
      <c r="AA37" s="1000" cm="1">
        <f t="array" aca="1" ref="AA37" ca="1">IF(Reuters=1,_xll.TR(AA$7,AA$6,"Sdate=#1 Period=#2 NULL=BLANK Scale=6",,$D37,$Z$4),AA37)</f>
        <v>12079.445365719999</v>
      </c>
      <c r="AB37" s="1000" cm="1">
        <f t="array" aca="1" ref="AB37" ca="1">IF(Reuters=1,_xll.TR(AB$7,AB$6,"Sdate=#1 Period=#2 NULL=BLANK Scale=6",,$D37,$Z$4),AB37)</f>
        <v>81147.592614900001</v>
      </c>
      <c r="AC37" s="1000" t="str" cm="1">
        <f t="array" aca="1" ref="AC37" ca="1">IF(Reuters=1,_xll.TR(AC$7,AC$6,"Sdate=#1 Period=#2 NULL=BLANK Scale=6",,$D37,$Z$4),AC37)</f>
        <v/>
      </c>
      <c r="AD37" s="1000" cm="1">
        <f t="array" aca="1" ref="AD37" ca="1">IF(Reuters=1,_xll.TR(AD$7,AD$6,"Sdate=#1 Period=#2 NULL=BLANK Scale=6",,$D37,$Z$4),AD37)</f>
        <v>31743.584771358899</v>
      </c>
      <c r="AE37" s="1000" t="str" cm="1">
        <f t="array" aca="1" ref="AE37" ca="1">IF(Reuters=1,_xll.TR(AE$7,AE$6,"Sdate=#1 Period=#2 NULL=BLANK Scale=6",,$D37,$Z$4),AE37)</f>
        <v/>
      </c>
      <c r="AF37" s="1000" cm="1">
        <f t="array" aca="1" ref="AF37" ca="1">IF(Reuters=1,_xll.TR(AF$7,AF$6,"Sdate=#1 Period=#2 NULL=BLANK Scale=6",,$D37,$Z$4),AF37)</f>
        <v>3182.7590945699999</v>
      </c>
      <c r="AG37" s="1000" cm="1">
        <f t="array" aca="1" ref="AG37" ca="1">IF(Reuters=1,_xll.TR(AG$7,AG$6,"Sdate=#1 Period=#2 NULL=BLANK Scale=6",,$D37,$Z$4),AG37)</f>
        <v>5285.2732734600004</v>
      </c>
      <c r="AH37" s="1000" cm="1">
        <f t="array" aca="1" ref="AH37" ca="1">IF(Reuters=1,_xll.TR(AH$7,AH$6,"Sdate=#1 Period=#2 NULL=BLANK Scale=6",,$D37,$Z$4),AH37)</f>
        <v>8186.7449788800004</v>
      </c>
      <c r="AJ37" s="1004" t="str">
        <f t="shared" ca="1" si="13"/>
        <v>NA</v>
      </c>
      <c r="AK37" s="1004">
        <f t="shared" ca="1" si="14"/>
        <v>21.570438153071429</v>
      </c>
      <c r="AL37" s="1004">
        <f t="shared" ca="1" si="15"/>
        <v>22.547261076660185</v>
      </c>
      <c r="AM37" s="1004" t="str">
        <f t="shared" ca="1" si="16"/>
        <v>NA</v>
      </c>
      <c r="AN37" s="1004">
        <f t="shared" ca="1" si="17"/>
        <v>11.410346790567541</v>
      </c>
      <c r="AO37" s="1004" t="str">
        <f t="shared" ca="1" si="18"/>
        <v>NA</v>
      </c>
      <c r="AP37" s="1004">
        <f t="shared" ca="1" si="19"/>
        <v>21.695699349488752</v>
      </c>
      <c r="AQ37" s="1004" t="str">
        <f t="shared" ca="1" si="20"/>
        <v>NA</v>
      </c>
      <c r="AR37" s="1004" t="str">
        <f t="shared" ca="1" si="21"/>
        <v>NA</v>
      </c>
      <c r="AT37" s="765" cm="1">
        <f t="array" aca="1" ref="AT37" ca="1">IF(Reuters=1,_xll.TR(AT$7,AT$6,"Sdate=#1 Period=#2 NULL=BLANK Scale=6",,$D37,$AT$4),AT37)</f>
        <v>14.387499999999999</v>
      </c>
      <c r="AU37" s="765" cm="1">
        <f t="array" aca="1" ref="AU37" ca="1">IF(Reuters=1,_xll.TR(AU$7,AU$6,"Sdate=#1 Period=#2 NULL=BLANK Scale=6",,$D37,$AT$4),AU37)</f>
        <v>17.455557500000001</v>
      </c>
      <c r="AV37" s="765" cm="1">
        <f t="array" aca="1" ref="AV37" ca="1">IF(Reuters=1,_xll.TR(AV$7,AV$6,"Sdate=#1 Period=#2 NULL=BLANK Scale=6",,$D37,$AT$4),AV37)</f>
        <v>10.8533333333333</v>
      </c>
      <c r="AW37" s="765" t="str" cm="1">
        <f t="array" aca="1" ref="AW37" ca="1">IF(Reuters=1,_xll.TR(AW$7,AW$6,"Sdate=#1 Period=#2 NULL=BLANK Scale=6",,$D37,$AT$4),AW37)</f>
        <v/>
      </c>
      <c r="AX37" s="765" cm="1">
        <f t="array" aca="1" ref="AX37" ca="1">IF(Reuters=1,_xll.TR(AX$7,AX$6,"Sdate=#1 Period=#2 NULL=BLANK Scale=6",,$D37,$AT$4),AX37)</f>
        <v>23.4108366666667</v>
      </c>
      <c r="AY37" s="765" t="str" cm="1">
        <f t="array" aca="1" ref="AY37" ca="1">IF(Reuters=1,_xll.TR(AY$7,AY$6,"Sdate=#1 Period=#2 NULL=BLANK Scale=6",,$D37,$AT$4),AY37)</f>
        <v/>
      </c>
      <c r="AZ37" s="765" t="str" cm="1">
        <f t="array" aca="1" ref="AZ37" ca="1">IF(Reuters=1,_xll.TR(AZ$7,AZ$6,"Sdate=#1 Period=#2 NULL=BLANK Scale=6",,$D37,$AT$4),AZ37)</f>
        <v/>
      </c>
      <c r="BA37" s="765" t="str" cm="1">
        <f t="array" aca="1" ref="BA37" ca="1">IF(Reuters=1,_xll.TR(BA$7,BA$6,"Sdate=#1 Period=#2 NULL=BLANK Scale=6",,$D37,$AT$4),BA37)</f>
        <v/>
      </c>
      <c r="BB37" s="765" cm="1">
        <f t="array" aca="1" ref="BB37" ca="1">IF(Reuters=1,_xll.TR(BB$7,BB$6,"Sdate=#1 Period=#2 NULL=BLANK Scale=6",,$D37,$AT$4),BB37)</f>
        <v>7.93333333333333</v>
      </c>
      <c r="BE37" s="1000"/>
      <c r="BF37" s="1000"/>
      <c r="BG37" s="1000"/>
      <c r="BH37" s="1000"/>
      <c r="BI37" s="1000"/>
      <c r="BJ37" s="1000"/>
      <c r="BK37" s="1000"/>
      <c r="BL37" s="1000"/>
      <c r="BM37" s="1000"/>
    </row>
    <row r="38" spans="3:65" ht="11.25" customHeight="1">
      <c r="C38" s="972">
        <f t="shared" si="22"/>
        <v>42916</v>
      </c>
      <c r="D38" s="970">
        <f t="shared" si="12"/>
        <v>42961</v>
      </c>
      <c r="E38" s="765" cm="1">
        <f t="array" aca="1" ref="E38" ca="1">IF(Reuters=1,_xll.TR(E$7,E$6,"Sdate=#1 Period=#2 NULL=BLANK",,$D38,$E$4),E38)</f>
        <v>10.7942469968652</v>
      </c>
      <c r="F38" s="765" cm="1">
        <f t="array" aca="1" ref="F38" ca="1">IF(Reuters=1,_xll.TR(F$7,F$6,"Sdate=#1 Period=#2 NULL=BLANK",,$D38,$E$4),F38)</f>
        <v>13.9812656769955</v>
      </c>
      <c r="G38" s="765" cm="1">
        <f t="array" aca="1" ref="G38" ca="1">IF(Reuters=1,_xll.TR(G$7,G$6,"Sdate=#1 Period=#2 NULL=BLANK",,$D38,$E$4),G38)</f>
        <v>15.903857790630999</v>
      </c>
      <c r="H38" s="765" t="str" cm="1">
        <f t="array" aca="1" ref="H38" ca="1">IF(Reuters=1,_xll.TR(H$7,H$6,"Sdate=#1 Period=#2 NULL=BLANK",,$D38,$E$4),H38)</f>
        <v/>
      </c>
      <c r="I38" s="765" cm="1">
        <f t="array" aca="1" ref="I38" ca="1">IF(Reuters=1,_xll.TR(I$7,I$6,"Sdate=#1 Period=#2 NULL=BLANK",,$D38,$E$4),I38)</f>
        <v>12.232206612752901</v>
      </c>
      <c r="J38" s="765" t="str" cm="1">
        <f t="array" aca="1" ref="J38" ca="1">IF(Reuters=1,_xll.TR(J$7,J$6,"Sdate=#1 Period=#2 NULL=BLANK",,$D38,$E$4),J38)</f>
        <v/>
      </c>
      <c r="K38" s="765" cm="1">
        <f t="array" aca="1" ref="K38" ca="1">IF(Reuters=1,_xll.TR(K$7,K$6,"Sdate=#1 Period=#2 NULL=BLANK",,$D38,$E$4),K38)</f>
        <v>17.057542768273699</v>
      </c>
      <c r="L38" s="765" cm="1">
        <f t="array" aca="1" ref="L38" ca="1">IF(Reuters=1,_xll.TR(L$7,L$6,"Sdate=#1 Period=#2 NULL=BLANK",,$D38,$E$4),L38)</f>
        <v>10.1431551686929</v>
      </c>
      <c r="M38" s="765" cm="1">
        <f t="array" aca="1" ref="M38" ca="1">IF(Reuters=1,_xll.TR(M$7,M$6,"Sdate=#1 Period=#2 NULL=BLANK",,$D38,$E$4),M38)</f>
        <v>14.718614718614701</v>
      </c>
      <c r="P38" s="1000" t="str" cm="1">
        <f t="array" aca="1" ref="P38" ca="1">IF(Reuters=1,_xll.TR(P$7,P$6,"Sdate=#1 Period=#2 NULL=BLANK Scale=6",,$D38,$P$4),P38)</f>
        <v/>
      </c>
      <c r="Q38" s="1000" cm="1">
        <f t="array" aca="1" ref="Q38" ca="1">IF(Reuters=1,_xll.TR(Q$7,Q$6,"Sdate=#1 Period=#2 NULL=BLANK Scale=6",,$D38,$P$4),Q38)</f>
        <v>513</v>
      </c>
      <c r="R38" s="1000" cm="1">
        <f t="array" aca="1" ref="R38" ca="1">IF(Reuters=1,_xll.TR(R$7,R$6,"Sdate=#1 Period=#2 NULL=BLANK Scale=6",,$D38,$P$4),R38)</f>
        <v>4378</v>
      </c>
      <c r="S38" s="1000" t="str" cm="1">
        <f t="array" aca="1" ref="S38" ca="1">IF(Reuters=1,_xll.TR(S$7,S$6,"Sdate=#1 Period=#2 NULL=BLANK Scale=6",,$D38,$P$4),S38)</f>
        <v/>
      </c>
      <c r="T38" s="1000" cm="1">
        <f t="array" aca="1" ref="T38" ca="1">IF(Reuters=1,_xll.TR(T$7,T$6,"Sdate=#1 Period=#2 NULL=BLANK Scale=6",,$D38,$P$4),T38)</f>
        <v>3302</v>
      </c>
      <c r="U38" s="1000" t="str" cm="1">
        <f t="array" aca="1" ref="U38" ca="1">IF(Reuters=1,_xll.TR(U$7,U$6,"Sdate=#1 Period=#2 NULL=BLANK Scale=6",,$D38,$P$4),U38)</f>
        <v/>
      </c>
      <c r="V38" s="1000" cm="1">
        <f t="array" aca="1" ref="V38" ca="1">IF(Reuters=1,_xll.TR(V$7,V$6,"Sdate=#1 Period=#2 NULL=BLANK Scale=6",,$D38,$P$4),V38)</f>
        <v>136.9</v>
      </c>
      <c r="W38" s="1000" t="str" cm="1">
        <f t="array" aca="1" ref="W38" ca="1">IF(Reuters=1,_xll.TR(W$7,W$6,"Sdate=#1 Period=#2 NULL=BLANK Scale=6",,$D38,$P$4),W38)</f>
        <v/>
      </c>
      <c r="X38" s="1000" t="str" cm="1">
        <f t="array" aca="1" ref="X38" ca="1">IF(Reuters=1,_xll.TR(X$7,X$6,"Sdate=#1 Period=#2 NULL=BLANK Scale=6",,$D38,$P$4),X38)</f>
        <v/>
      </c>
      <c r="Y38" s="998"/>
      <c r="Z38" s="1000" cm="1">
        <f t="array" aca="1" ref="Z38" ca="1">IF(Reuters=1,_xll.TR(Z$7,Z$6,"Sdate=#1 Period=#2 NULL=BLANK Scale=6",,$D38,$Z$4),Z38)</f>
        <v>12207.51279748</v>
      </c>
      <c r="AA38" s="1000" cm="1">
        <f t="array" aca="1" ref="AA38" ca="1">IF(Reuters=1,_xll.TR(AA$7,AA$6,"Sdate=#1 Period=#2 NULL=BLANK Scale=6",,$D38,$Z$4),AA38)</f>
        <v>13423.2899008</v>
      </c>
      <c r="AB38" s="1000" cm="1">
        <f t="array" aca="1" ref="AB38" ca="1">IF(Reuters=1,_xll.TR(AB$7,AB$6,"Sdate=#1 Period=#2 NULL=BLANK Scale=6",,$D38,$Z$4),AB38)</f>
        <v>74350.850279299993</v>
      </c>
      <c r="AC38" s="1000" t="str" cm="1">
        <f t="array" aca="1" ref="AC38" ca="1">IF(Reuters=1,_xll.TR(AC$7,AC$6,"Sdate=#1 Period=#2 NULL=BLANK Scale=6",,$D38,$Z$4),AC38)</f>
        <v/>
      </c>
      <c r="AD38" s="1000" cm="1">
        <f t="array" aca="1" ref="AD38" ca="1">IF(Reuters=1,_xll.TR(AD$7,AD$6,"Sdate=#1 Period=#2 NULL=BLANK Scale=6",,$D38,$Z$4),AD38)</f>
        <v>33270.556962754599</v>
      </c>
      <c r="AE38" s="1000" t="str" cm="1">
        <f t="array" aca="1" ref="AE38" ca="1">IF(Reuters=1,_xll.TR(AE$7,AE$6,"Sdate=#1 Period=#2 NULL=BLANK Scale=6",,$D38,$Z$4),AE38)</f>
        <v/>
      </c>
      <c r="AF38" s="1000" cm="1">
        <f t="array" aca="1" ref="AF38" ca="1">IF(Reuters=1,_xll.TR(AF$7,AF$6,"Sdate=#1 Period=#2 NULL=BLANK Scale=6",,$D38,$Z$4),AF38)</f>
        <v>2990.2985561599999</v>
      </c>
      <c r="AG38" s="1000" cm="1">
        <f t="array" aca="1" ref="AG38" ca="1">IF(Reuters=1,_xll.TR(AG$7,AG$6,"Sdate=#1 Period=#2 NULL=BLANK Scale=6",,$D38,$Z$4),AG38)</f>
        <v>4922.9035254</v>
      </c>
      <c r="AH38" s="1000" cm="1">
        <f t="array" aca="1" ref="AH38" ca="1">IF(Reuters=1,_xll.TR(AH$7,AH$6,"Sdate=#1 Period=#2 NULL=BLANK Scale=6",,$D38,$Z$4),AH38)</f>
        <v>9017.0994704700006</v>
      </c>
      <c r="AJ38" s="1004" t="str">
        <f t="shared" ca="1" si="13"/>
        <v>NA</v>
      </c>
      <c r="AK38" s="1004">
        <f t="shared" ca="1" si="14"/>
        <v>26.166257116569202</v>
      </c>
      <c r="AL38" s="1004">
        <f t="shared" ca="1" si="15"/>
        <v>16.982834691480125</v>
      </c>
      <c r="AM38" s="1004" t="str">
        <f t="shared" ca="1" si="16"/>
        <v>NA</v>
      </c>
      <c r="AN38" s="1004">
        <f t="shared" ca="1" si="17"/>
        <v>10.075880364250333</v>
      </c>
      <c r="AO38" s="1004" t="str">
        <f t="shared" ca="1" si="18"/>
        <v>NA</v>
      </c>
      <c r="AP38" s="1004">
        <f t="shared" ca="1" si="19"/>
        <v>21.842940512490866</v>
      </c>
      <c r="AQ38" s="1004" t="str">
        <f t="shared" ca="1" si="20"/>
        <v>NA</v>
      </c>
      <c r="AR38" s="1004" t="str">
        <f t="shared" ca="1" si="21"/>
        <v>NA</v>
      </c>
      <c r="AT38" s="765" cm="1">
        <f t="array" aca="1" ref="AT38" ca="1">IF(Reuters=1,_xll.TR(AT$7,AT$6,"Sdate=#1 Period=#2 NULL=BLANK Scale=6",,$D38,$AT$4),AT38)</f>
        <v>14.45</v>
      </c>
      <c r="AU38" s="765" cm="1">
        <f t="array" aca="1" ref="AU38" ca="1">IF(Reuters=1,_xll.TR(AU$7,AU$6,"Sdate=#1 Period=#2 NULL=BLANK Scale=6",,$D38,$AT$4),AU38)</f>
        <v>16.033333333333299</v>
      </c>
      <c r="AV38" s="765" cm="1">
        <f t="array" aca="1" ref="AV38" ca="1">IF(Reuters=1,_xll.TR(AV$7,AV$6,"Sdate=#1 Period=#2 NULL=BLANK Scale=6",,$D38,$AT$4),AV38)</f>
        <v>11.6041666666667</v>
      </c>
      <c r="AW38" s="765" t="str" cm="1">
        <f t="array" aca="1" ref="AW38" ca="1">IF(Reuters=1,_xll.TR(AW$7,AW$6,"Sdate=#1 Period=#2 NULL=BLANK Scale=6",,$D38,$AT$4),AW38)</f>
        <v/>
      </c>
      <c r="AX38" s="765" cm="1">
        <f t="array" aca="1" ref="AX38" ca="1">IF(Reuters=1,_xll.TR(AX$7,AX$6,"Sdate=#1 Period=#2 NULL=BLANK Scale=6",,$D38,$AT$4),AX38)</f>
        <v>21.5077766666667</v>
      </c>
      <c r="AY38" s="765" t="str" cm="1">
        <f t="array" aca="1" ref="AY38" ca="1">IF(Reuters=1,_xll.TR(AY$7,AY$6,"Sdate=#1 Period=#2 NULL=BLANK Scale=6",,$D38,$AT$4),AY38)</f>
        <v/>
      </c>
      <c r="AZ38" s="765" t="str" cm="1">
        <f t="array" aca="1" ref="AZ38" ca="1">IF(Reuters=1,_xll.TR(AZ$7,AZ$6,"Sdate=#1 Period=#2 NULL=BLANK Scale=6",,$D38,$AT$4),AZ38)</f>
        <v/>
      </c>
      <c r="BA38" s="765" t="str" cm="1">
        <f t="array" aca="1" ref="BA38" ca="1">IF(Reuters=1,_xll.TR(BA$7,BA$6,"Sdate=#1 Period=#2 NULL=BLANK Scale=6",,$D38,$AT$4),BA38)</f>
        <v/>
      </c>
      <c r="BB38" s="765" cm="1">
        <f t="array" aca="1" ref="BB38" ca="1">IF(Reuters=1,_xll.TR(BB$7,BB$6,"Sdate=#1 Period=#2 NULL=BLANK Scale=6",,$D38,$AT$4),BB38)</f>
        <v>8.1333333333333293</v>
      </c>
      <c r="BE38" s="1000"/>
      <c r="BF38" s="1000"/>
      <c r="BG38" s="1000"/>
      <c r="BH38" s="1000"/>
      <c r="BI38" s="1000"/>
      <c r="BJ38" s="1000"/>
      <c r="BK38" s="1000"/>
      <c r="BL38" s="1000"/>
      <c r="BM38" s="1000"/>
    </row>
    <row r="39" spans="3:65" ht="11.25" customHeight="1">
      <c r="C39" s="973">
        <f t="shared" si="22"/>
        <v>43008</v>
      </c>
      <c r="D39" s="970">
        <f t="shared" si="12"/>
        <v>43053</v>
      </c>
      <c r="E39" s="765" cm="1">
        <f t="array" aca="1" ref="E39" ca="1">IF(Reuters=1,_xll.TR(E$7,E$6,"Sdate=#1 Period=#2 NULL=BLANK",,$D39,$E$4),E39)</f>
        <v>11.127765216978499</v>
      </c>
      <c r="F39" s="765" cm="1">
        <f t="array" aca="1" ref="F39" ca="1">IF(Reuters=1,_xll.TR(F$7,F$6,"Sdate=#1 Period=#2 NULL=BLANK",,$D39,$E$4),F39)</f>
        <v>15.2286161702235</v>
      </c>
      <c r="G39" s="765" cm="1">
        <f t="array" aca="1" ref="G39" ca="1">IF(Reuters=1,_xll.TR(G$7,G$6,"Sdate=#1 Period=#2 NULL=BLANK",,$D39,$E$4),G39)</f>
        <v>16.344164348091098</v>
      </c>
      <c r="H39" s="765" t="str" cm="1">
        <f t="array" aca="1" ref="H39" ca="1">IF(Reuters=1,_xll.TR(H$7,H$6,"Sdate=#1 Period=#2 NULL=BLANK",,$D39,$E$4),H39)</f>
        <v/>
      </c>
      <c r="I39" s="765" cm="1">
        <f t="array" aca="1" ref="I39" ca="1">IF(Reuters=1,_xll.TR(I$7,I$6,"Sdate=#1 Period=#2 NULL=BLANK",,$D39,$E$4),I39)</f>
        <v>13.1414576407109</v>
      </c>
      <c r="J39" s="765" cm="1">
        <f t="array" aca="1" ref="J39" ca="1">IF(Reuters=1,_xll.TR(J$7,J$6,"Sdate=#1 Period=#2 NULL=BLANK",,$D39,$E$4),J39)</f>
        <v>7.6237533015125001</v>
      </c>
      <c r="K39" s="765" cm="1">
        <f t="array" aca="1" ref="K39" ca="1">IF(Reuters=1,_xll.TR(K$7,K$6,"Sdate=#1 Period=#2 NULL=BLANK",,$D39,$E$4),K39)</f>
        <v>20.555405696101001</v>
      </c>
      <c r="L39" s="765" cm="1">
        <f t="array" aca="1" ref="L39" ca="1">IF(Reuters=1,_xll.TR(L$7,L$6,"Sdate=#1 Period=#2 NULL=BLANK",,$D39,$E$4),L39)</f>
        <v>11.1494620358469</v>
      </c>
      <c r="M39" s="765" cm="1">
        <f t="array" aca="1" ref="M39" ca="1">IF(Reuters=1,_xll.TR(M$7,M$6,"Sdate=#1 Period=#2 NULL=BLANK",,$D39,$E$4),M39)</f>
        <v>18.0313142203563</v>
      </c>
      <c r="P39" s="1000" t="str" cm="1">
        <f t="array" aca="1" ref="P39" ca="1">IF(Reuters=1,_xll.TR(P$7,P$6,"Sdate=#1 Period=#2 NULL=BLANK Scale=6",,$D39,$P$4),P39)</f>
        <v/>
      </c>
      <c r="Q39" s="1000" cm="1">
        <f t="array" aca="1" ref="Q39" ca="1">IF(Reuters=1,_xll.TR(Q$7,Q$6,"Sdate=#1 Period=#2 NULL=BLANK Scale=6",,$D39,$P$4),Q39)</f>
        <v>458</v>
      </c>
      <c r="R39" s="1000" cm="1">
        <f t="array" aca="1" ref="R39" ca="1">IF(Reuters=1,_xll.TR(R$7,R$6,"Sdate=#1 Period=#2 NULL=BLANK Scale=6",,$D39,$P$4),R39)</f>
        <v>5644</v>
      </c>
      <c r="S39" s="1000" t="str" cm="1">
        <f t="array" aca="1" ref="S39" ca="1">IF(Reuters=1,_xll.TR(S$7,S$6,"Sdate=#1 Period=#2 NULL=BLANK Scale=6",,$D39,$P$4),S39)</f>
        <v/>
      </c>
      <c r="T39" s="1000" cm="1">
        <f t="array" aca="1" ref="T39" ca="1">IF(Reuters=1,_xll.TR(T$7,T$6,"Sdate=#1 Period=#2 NULL=BLANK Scale=6",,$D39,$P$4),T39)</f>
        <v>3724</v>
      </c>
      <c r="U39" s="1000" t="str" cm="1">
        <f t="array" aca="1" ref="U39" ca="1">IF(Reuters=1,_xll.TR(U$7,U$6,"Sdate=#1 Period=#2 NULL=BLANK Scale=6",,$D39,$P$4),U39)</f>
        <v/>
      </c>
      <c r="V39" s="1000" cm="1">
        <f t="array" aca="1" ref="V39" ca="1">IF(Reuters=1,_xll.TR(V$7,V$6,"Sdate=#1 Period=#2 NULL=BLANK Scale=6",,$D39,$P$4),V39)</f>
        <v>127.5</v>
      </c>
      <c r="W39" s="1000" cm="1">
        <f t="array" aca="1" ref="W39" ca="1">IF(Reuters=1,_xll.TR(W$7,W$6,"Sdate=#1 Period=#2 NULL=BLANK Scale=6",,$D39,$P$4),W39)</f>
        <v>361.8</v>
      </c>
      <c r="X39" s="1000" t="str" cm="1">
        <f t="array" aca="1" ref="X39" ca="1">IF(Reuters=1,_xll.TR(X$7,X$6,"Sdate=#1 Period=#2 NULL=BLANK Scale=6",,$D39,$P$4),X39)</f>
        <v/>
      </c>
      <c r="Y39" s="998"/>
      <c r="Z39" s="1000" cm="1">
        <f t="array" aca="1" ref="Z39" ca="1">IF(Reuters=1,_xll.TR(Z$7,Z$6,"Sdate=#1 Period=#2 NULL=BLANK Scale=6",,$D39,$Z$4),Z39)</f>
        <v>12970.592165759999</v>
      </c>
      <c r="AA39" s="1000" cm="1">
        <f t="array" aca="1" ref="AA39" ca="1">IF(Reuters=1,_xll.TR(AA$7,AA$6,"Sdate=#1 Period=#2 NULL=BLANK Scale=6",,$D39,$Z$4),AA39)</f>
        <v>14226.90010798</v>
      </c>
      <c r="AB39" s="1000" cm="1">
        <f t="array" aca="1" ref="AB39" ca="1">IF(Reuters=1,_xll.TR(AB$7,AB$6,"Sdate=#1 Period=#2 NULL=BLANK Scale=6",,$D39,$Z$4),AB39)</f>
        <v>85455.257689759994</v>
      </c>
      <c r="AC39" s="1000" t="str" cm="1">
        <f t="array" aca="1" ref="AC39" ca="1">IF(Reuters=1,_xll.TR(AC$7,AC$6,"Sdate=#1 Period=#2 NULL=BLANK Scale=6",,$D39,$Z$4),AC39)</f>
        <v/>
      </c>
      <c r="AD39" s="1000" cm="1">
        <f t="array" aca="1" ref="AD39" ca="1">IF(Reuters=1,_xll.TR(AD$7,AD$6,"Sdate=#1 Period=#2 NULL=BLANK Scale=6",,$D39,$Z$4),AD39)</f>
        <v>39074.981108038097</v>
      </c>
      <c r="AE39" s="1000" cm="1">
        <f t="array" aca="1" ref="AE39" ca="1">IF(Reuters=1,_xll.TR(AE$7,AE$6,"Sdate=#1 Period=#2 NULL=BLANK Scale=6",,$D39,$Z$4),AE39)</f>
        <v>76101.529899238405</v>
      </c>
      <c r="AF39" s="1000" cm="1">
        <f t="array" aca="1" ref="AF39" ca="1">IF(Reuters=1,_xll.TR(AF$7,AF$6,"Sdate=#1 Period=#2 NULL=BLANK Scale=6",,$D39,$Z$4),AF39)</f>
        <v>3648.3103072499998</v>
      </c>
      <c r="AG39" s="1000" cm="1">
        <f t="array" aca="1" ref="AG39" ca="1">IF(Reuters=1,_xll.TR(AG$7,AG$6,"Sdate=#1 Period=#2 NULL=BLANK Scale=6",,$D39,$Z$4),AG39)</f>
        <v>5925.5114199999998</v>
      </c>
      <c r="AH39" s="1000" cm="1">
        <f t="array" aca="1" ref="AH39" ca="1">IF(Reuters=1,_xll.TR(AH$7,AH$6,"Sdate=#1 Period=#2 NULL=BLANK Scale=6",,$D39,$Z$4),AH39)</f>
        <v>11974.71570925</v>
      </c>
      <c r="AJ39" s="1004" t="str">
        <f t="shared" ca="1" si="13"/>
        <v>NA</v>
      </c>
      <c r="AK39" s="1004">
        <f t="shared" ca="1" si="14"/>
        <v>31.063100672445415</v>
      </c>
      <c r="AL39" s="1004">
        <f t="shared" ca="1" si="15"/>
        <v>15.140903205131112</v>
      </c>
      <c r="AM39" s="1004" t="str">
        <f t="shared" ca="1" si="16"/>
        <v>NA</v>
      </c>
      <c r="AN39" s="1004">
        <f t="shared" ca="1" si="17"/>
        <v>10.492744658442025</v>
      </c>
      <c r="AO39" s="1004" t="str">
        <f t="shared" ca="1" si="18"/>
        <v>NA</v>
      </c>
      <c r="AP39" s="1004">
        <f t="shared" ca="1" si="19"/>
        <v>28.614198488235292</v>
      </c>
      <c r="AQ39" s="1004">
        <f t="shared" ca="1" si="20"/>
        <v>16.377864621337753</v>
      </c>
      <c r="AR39" s="1004" t="str">
        <f t="shared" ca="1" si="21"/>
        <v>NA</v>
      </c>
      <c r="AT39" s="765" cm="1">
        <f t="array" aca="1" ref="AT39" ca="1">IF(Reuters=1,_xll.TR(AT$7,AT$6,"Sdate=#1 Period=#2 NULL=BLANK Scale=6",,$D39,$AT$4),AT39)</f>
        <v>12.45</v>
      </c>
      <c r="AU39" s="765" cm="1">
        <f t="array" aca="1" ref="AU39" ca="1">IF(Reuters=1,_xll.TR(AU$7,AU$6,"Sdate=#1 Period=#2 NULL=BLANK Scale=6",,$D39,$AT$4),AU39)</f>
        <v>15.9333333333333</v>
      </c>
      <c r="AV39" s="765" cm="1">
        <f t="array" aca="1" ref="AV39" ca="1">IF(Reuters=1,_xll.TR(AV$7,AV$6,"Sdate=#1 Period=#2 NULL=BLANK Scale=6",,$D39,$AT$4),AV39)</f>
        <v>11.4065625</v>
      </c>
      <c r="AW39" s="765" t="str" cm="1">
        <f t="array" aca="1" ref="AW39" ca="1">IF(Reuters=1,_xll.TR(AW$7,AW$6,"Sdate=#1 Period=#2 NULL=BLANK Scale=6",,$D39,$AT$4),AW39)</f>
        <v/>
      </c>
      <c r="AX39" s="765" cm="1">
        <f t="array" aca="1" ref="AX39" ca="1">IF(Reuters=1,_xll.TR(AX$7,AX$6,"Sdate=#1 Period=#2 NULL=BLANK Scale=6",,$D39,$AT$4),AX39)</f>
        <v>21.858333333333299</v>
      </c>
      <c r="AY39" s="765" cm="1">
        <f t="array" aca="1" ref="AY39" ca="1">IF(Reuters=1,_xll.TR(AY$7,AY$6,"Sdate=#1 Period=#2 NULL=BLANK Scale=6",,$D39,$AT$4),AY39)</f>
        <v>14.9177808333333</v>
      </c>
      <c r="AZ39" s="765" cm="1">
        <f t="array" aca="1" ref="AZ39" ca="1">IF(Reuters=1,_xll.TR(AZ$7,AZ$6,"Sdate=#1 Period=#2 NULL=BLANK Scale=6",,$D39,$AT$4),AZ39)</f>
        <v>10.716666666666701</v>
      </c>
      <c r="BA39" s="765" t="str" cm="1">
        <f t="array" aca="1" ref="BA39" ca="1">IF(Reuters=1,_xll.TR(BA$7,BA$6,"Sdate=#1 Period=#2 NULL=BLANK Scale=6",,$D39,$AT$4),BA39)</f>
        <v/>
      </c>
      <c r="BB39" s="765" cm="1">
        <f t="array" aca="1" ref="BB39" ca="1">IF(Reuters=1,_xll.TR(BB$7,BB$6,"Sdate=#1 Period=#2 NULL=BLANK Scale=6",,$D39,$AT$4),BB39)</f>
        <v>8.3333333333333304</v>
      </c>
      <c r="BE39" s="1000"/>
      <c r="BF39" s="1000"/>
      <c r="BG39" s="1000"/>
      <c r="BH39" s="1000"/>
      <c r="BI39" s="1000"/>
      <c r="BJ39" s="1000"/>
      <c r="BK39" s="1000"/>
      <c r="BL39" s="1000"/>
      <c r="BM39" s="1000"/>
    </row>
    <row r="40" spans="3:65" ht="11.25" customHeight="1">
      <c r="C40" s="969">
        <f t="shared" si="22"/>
        <v>43100</v>
      </c>
      <c r="D40" s="970">
        <f t="shared" si="12"/>
        <v>43145</v>
      </c>
      <c r="E40" s="765" cm="1">
        <f t="array" aca="1" ref="E40" ca="1">IF(Reuters=1,_xll.TR(E$7,E$6,"Sdate=#1 Period=#2 NULL=BLANK",,$D40,$E$4),E40)</f>
        <v>11.6732451445876</v>
      </c>
      <c r="F40" s="765" cm="1">
        <f t="array" aca="1" ref="F40" ca="1">IF(Reuters=1,_xll.TR(F$7,F$6,"Sdate=#1 Period=#2 NULL=BLANK",,$D40,$E$4),F40)</f>
        <v>16.059651025251998</v>
      </c>
      <c r="G40" s="765" cm="1">
        <f t="array" aca="1" ref="G40" ca="1">IF(Reuters=1,_xll.TR(G$7,G$6,"Sdate=#1 Period=#2 NULL=BLANK",,$D40,$E$4),G40)</f>
        <v>16.8131294370686</v>
      </c>
      <c r="H40" s="765" t="str" cm="1">
        <f t="array" aca="1" ref="H40" ca="1">IF(Reuters=1,_xll.TR(H$7,H$6,"Sdate=#1 Period=#2 NULL=BLANK",,$D40,$E$4),H40)</f>
        <v/>
      </c>
      <c r="I40" s="765" cm="1">
        <f t="array" aca="1" ref="I40" ca="1">IF(Reuters=1,_xll.TR(I$7,I$6,"Sdate=#1 Period=#2 NULL=BLANK",,$D40,$E$4),I40)</f>
        <v>14.411365591810799</v>
      </c>
      <c r="J40" s="765" cm="1">
        <f t="array" aca="1" ref="J40" ca="1">IF(Reuters=1,_xll.TR(J$7,J$6,"Sdate=#1 Period=#2 NULL=BLANK",,$D40,$E$4),J40)</f>
        <v>7.44276240845375</v>
      </c>
      <c r="K40" s="765" cm="1">
        <f t="array" aca="1" ref="K40" ca="1">IF(Reuters=1,_xll.TR(K$7,K$6,"Sdate=#1 Period=#2 NULL=BLANK",,$D40,$E$4),K40)</f>
        <v>17.9650990746552</v>
      </c>
      <c r="L40" s="765" cm="1">
        <f t="array" aca="1" ref="L40" ca="1">IF(Reuters=1,_xll.TR(L$7,L$6,"Sdate=#1 Period=#2 NULL=BLANK",,$D40,$E$4),L40)</f>
        <v>12.589296020315199</v>
      </c>
      <c r="M40" s="765" cm="1">
        <f t="array" aca="1" ref="M40" ca="1">IF(Reuters=1,_xll.TR(M$7,M$6,"Sdate=#1 Period=#2 NULL=BLANK",,$D40,$E$4),M40)</f>
        <v>13.750382319426</v>
      </c>
      <c r="P40" s="1000" t="str" cm="1">
        <f t="array" aca="1" ref="P40" ca="1">IF(Reuters=1,_xll.TR(P$7,P$6,"Sdate=#1 Period=#2 NULL=BLANK Scale=6",,$D40,$P$4),P40)</f>
        <v/>
      </c>
      <c r="Q40" s="1000" cm="1">
        <f t="array" aca="1" ref="Q40" ca="1">IF(Reuters=1,_xll.TR(Q$7,Q$6,"Sdate=#1 Period=#2 NULL=BLANK Scale=6",,$D40,$P$4),Q40)</f>
        <v>536</v>
      </c>
      <c r="R40" s="1000" cm="1">
        <f t="array" aca="1" ref="R40" ca="1">IF(Reuters=1,_xll.TR(R$7,R$6,"Sdate=#1 Period=#2 NULL=BLANK Scale=6",,$D40,$P$4),R40)</f>
        <v>5644</v>
      </c>
      <c r="S40" s="1000" t="str" cm="1">
        <f t="array" aca="1" ref="S40" ca="1">IF(Reuters=1,_xll.TR(S$7,S$6,"Sdate=#1 Period=#2 NULL=BLANK Scale=6",,$D40,$P$4),S40)</f>
        <v/>
      </c>
      <c r="T40" s="1000" cm="1">
        <f t="array" aca="1" ref="T40" ca="1">IF(Reuters=1,_xll.TR(T$7,T$6,"Sdate=#1 Period=#2 NULL=BLANK Scale=6",,$D40,$P$4),T40)</f>
        <v>3659</v>
      </c>
      <c r="U40" s="1000" t="str" cm="1">
        <f t="array" aca="1" ref="U40" ca="1">IF(Reuters=1,_xll.TR(U$7,U$6,"Sdate=#1 Period=#2 NULL=BLANK Scale=6",,$D40,$P$4),U40)</f>
        <v/>
      </c>
      <c r="V40" s="1000" cm="1">
        <f t="array" aca="1" ref="V40" ca="1">IF(Reuters=1,_xll.TR(V$7,V$6,"Sdate=#1 Period=#2 NULL=BLANK Scale=6",,$D40,$P$4),V40)</f>
        <v>122.8</v>
      </c>
      <c r="W40" s="1000" cm="1">
        <f t="array" aca="1" ref="W40" ca="1">IF(Reuters=1,_xll.TR(W$7,W$6,"Sdate=#1 Period=#2 NULL=BLANK Scale=6",,$D40,$P$4),W40)</f>
        <v>353.3</v>
      </c>
      <c r="X40" s="1000" t="str" cm="1">
        <f t="array" aca="1" ref="X40" ca="1">IF(Reuters=1,_xll.TR(X$7,X$6,"Sdate=#1 Period=#2 NULL=BLANK Scale=6",,$D40,$P$4),X40)</f>
        <v/>
      </c>
      <c r="Y40" s="998"/>
      <c r="Z40" s="1000" cm="1">
        <f t="array" aca="1" ref="Z40" ca="1">IF(Reuters=1,_xll.TR(Z$7,Z$6,"Sdate=#1 Period=#2 NULL=BLANK Scale=6",,$D40,$Z$4),Z40)</f>
        <v>14253.7778963</v>
      </c>
      <c r="AA40" s="1000" cm="1">
        <f t="array" aca="1" ref="AA40" ca="1">IF(Reuters=1,_xll.TR(AA$7,AA$6,"Sdate=#1 Period=#2 NULL=BLANK Scale=6",,$D40,$Z$4),AA40)</f>
        <v>13959.33642252</v>
      </c>
      <c r="AB40" s="1000" cm="1">
        <f t="array" aca="1" ref="AB40" ca="1">IF(Reuters=1,_xll.TR(AB$7,AB$6,"Sdate=#1 Period=#2 NULL=BLANK Scale=6",,$D40,$Z$4),AB40)</f>
        <v>79264.711292199994</v>
      </c>
      <c r="AC40" s="1000" t="str" cm="1">
        <f t="array" aca="1" ref="AC40" ca="1">IF(Reuters=1,_xll.TR(AC$7,AC$6,"Sdate=#1 Period=#2 NULL=BLANK Scale=6",,$D40,$Z$4),AC40)</f>
        <v/>
      </c>
      <c r="AD40" s="1000" cm="1">
        <f t="array" aca="1" ref="AD40" ca="1">IF(Reuters=1,_xll.TR(AD$7,AD$6,"Sdate=#1 Period=#2 NULL=BLANK Scale=6",,$D40,$Z$4),AD40)</f>
        <v>42186.214396081501</v>
      </c>
      <c r="AE40" s="1000" cm="1">
        <f t="array" aca="1" ref="AE40" ca="1">IF(Reuters=1,_xll.TR(AE$7,AE$6,"Sdate=#1 Period=#2 NULL=BLANK Scale=6",,$D40,$Z$4),AE40)</f>
        <v>78793.660607764701</v>
      </c>
      <c r="AF40" s="1000" cm="1">
        <f t="array" aca="1" ref="AF40" ca="1">IF(Reuters=1,_xll.TR(AF$7,AF$6,"Sdate=#1 Period=#2 NULL=BLANK Scale=6",,$D40,$Z$4),AF40)</f>
        <v>3388.4048129500002</v>
      </c>
      <c r="AG40" s="1000" cm="1">
        <f t="array" aca="1" ref="AG40" ca="1">IF(Reuters=1,_xll.TR(AG$7,AG$6,"Sdate=#1 Period=#2 NULL=BLANK Scale=6",,$D40,$Z$4),AG40)</f>
        <v>5469.6628819199996</v>
      </c>
      <c r="AH40" s="1000" cm="1">
        <f t="array" aca="1" ref="AH40" ca="1">IF(Reuters=1,_xll.TR(AH$7,AH$6,"Sdate=#1 Period=#2 NULL=BLANK Scale=6",,$D40,$Z$4),AH40)</f>
        <v>14245.23793635</v>
      </c>
      <c r="AJ40" s="1004" t="str">
        <f t="shared" ca="1" si="13"/>
        <v>NA</v>
      </c>
      <c r="AK40" s="1004">
        <f t="shared" ca="1" si="14"/>
        <v>26.043538101716418</v>
      </c>
      <c r="AL40" s="1004">
        <f t="shared" ca="1" si="15"/>
        <v>14.044066494011339</v>
      </c>
      <c r="AM40" s="1004" t="str">
        <f t="shared" ca="1" si="16"/>
        <v>NA</v>
      </c>
      <c r="AN40" s="1004">
        <f t="shared" ca="1" si="17"/>
        <v>11.529438206089505</v>
      </c>
      <c r="AO40" s="1004" t="str">
        <f t="shared" ca="1" si="18"/>
        <v>NA</v>
      </c>
      <c r="AP40" s="1004">
        <f t="shared" ca="1" si="19"/>
        <v>27.592873069625409</v>
      </c>
      <c r="AQ40" s="1004">
        <f t="shared" ca="1" si="20"/>
        <v>15.481638499632039</v>
      </c>
      <c r="AR40" s="1004" t="str">
        <f t="shared" ca="1" si="21"/>
        <v>NA</v>
      </c>
      <c r="AT40" s="765" cm="1">
        <f t="array" aca="1" ref="AT40" ca="1">IF(Reuters=1,_xll.TR(AT$7,AT$6,"Sdate=#1 Period=#2 NULL=BLANK Scale=6",,$D40,$AT$4),AT40)</f>
        <v>12.272225000000001</v>
      </c>
      <c r="AU40" s="765" cm="1">
        <f t="array" aca="1" ref="AU40" ca="1">IF(Reuters=1,_xll.TR(AU$7,AU$6,"Sdate=#1 Period=#2 NULL=BLANK Scale=6",,$D40,$AT$4),AU40)</f>
        <v>19.95</v>
      </c>
      <c r="AV40" s="765" cm="1">
        <f t="array" aca="1" ref="AV40" ca="1">IF(Reuters=1,_xll.TR(AV$7,AV$6,"Sdate=#1 Period=#2 NULL=BLANK Scale=6",,$D40,$AT$4),AV40)</f>
        <v>11.916271666666701</v>
      </c>
      <c r="AW40" s="765" t="str" cm="1">
        <f t="array" aca="1" ref="AW40" ca="1">IF(Reuters=1,_xll.TR(AW$7,AW$6,"Sdate=#1 Period=#2 NULL=BLANK Scale=6",,$D40,$AT$4),AW40)</f>
        <v/>
      </c>
      <c r="AX40" s="765" cm="1">
        <f t="array" aca="1" ref="AX40" ca="1">IF(Reuters=1,_xll.TR(AX$7,AX$6,"Sdate=#1 Period=#2 NULL=BLANK Scale=6",,$D40,$AT$4),AX40)</f>
        <v>26.037500000000001</v>
      </c>
      <c r="AY40" s="765" cm="1">
        <f t="array" aca="1" ref="AY40" ca="1">IF(Reuters=1,_xll.TR(AY$7,AY$6,"Sdate=#1 Period=#2 NULL=BLANK Scale=6",,$D40,$AT$4),AY40)</f>
        <v>14.877775</v>
      </c>
      <c r="AZ40" s="765" cm="1">
        <f t="array" aca="1" ref="AZ40" ca="1">IF(Reuters=1,_xll.TR(AZ$7,AZ$6,"Sdate=#1 Period=#2 NULL=BLANK Scale=6",,$D40,$AT$4),AZ40)</f>
        <v>11.466666666666701</v>
      </c>
      <c r="BA40" s="765" t="str" cm="1">
        <f t="array" aca="1" ref="BA40" ca="1">IF(Reuters=1,_xll.TR(BA$7,BA$6,"Sdate=#1 Period=#2 NULL=BLANK Scale=6",,$D40,$AT$4),BA40)</f>
        <v/>
      </c>
      <c r="BB40" s="765" t="str" cm="1">
        <f t="array" aca="1" ref="BB40" ca="1">IF(Reuters=1,_xll.TR(BB$7,BB$6,"Sdate=#1 Period=#2 NULL=BLANK Scale=6",,$D40,$AT$4),BB40)</f>
        <v/>
      </c>
      <c r="BE40" s="1000"/>
      <c r="BF40" s="1000"/>
      <c r="BG40" s="1000"/>
      <c r="BH40" s="1000"/>
      <c r="BI40" s="1000"/>
      <c r="BJ40" s="1000"/>
      <c r="BK40" s="1000"/>
      <c r="BL40" s="1000"/>
      <c r="BM40" s="1000"/>
    </row>
    <row r="41" spans="3:65" ht="11.25" customHeight="1">
      <c r="C41" s="971">
        <f t="shared" si="22"/>
        <v>43190</v>
      </c>
      <c r="D41" s="970">
        <f t="shared" si="12"/>
        <v>43235</v>
      </c>
      <c r="E41" s="765" cm="1">
        <f t="array" aca="1" ref="E41" ca="1">IF(Reuters=1,_xll.TR(E$7,E$6,"Sdate=#1 Period=#2 NULL=BLANK",,$D41,$E$4),E41)</f>
        <v>12.5267796329712</v>
      </c>
      <c r="F41" s="765" cm="1">
        <f t="array" aca="1" ref="F41" ca="1">IF(Reuters=1,_xll.TR(F$7,F$6,"Sdate=#1 Period=#2 NULL=BLANK",,$D41,$E$4),F41)</f>
        <v>14.284314601967401</v>
      </c>
      <c r="G41" s="765" cm="1">
        <f t="array" aca="1" ref="G41" ca="1">IF(Reuters=1,_xll.TR(G$7,G$6,"Sdate=#1 Period=#2 NULL=BLANK",,$D41,$E$4),G41)</f>
        <v>18.518949007905899</v>
      </c>
      <c r="H41" s="765" t="str" cm="1">
        <f t="array" aca="1" ref="H41" ca="1">IF(Reuters=1,_xll.TR(H$7,H$6,"Sdate=#1 Period=#2 NULL=BLANK",,$D41,$E$4),H41)</f>
        <v/>
      </c>
      <c r="I41" s="765" cm="1">
        <f t="array" aca="1" ref="I41" ca="1">IF(Reuters=1,_xll.TR(I$7,I$6,"Sdate=#1 Period=#2 NULL=BLANK",,$D41,$E$4),I41)</f>
        <v>16.545693483189801</v>
      </c>
      <c r="J41" s="765" cm="1">
        <f t="array" aca="1" ref="J41" ca="1">IF(Reuters=1,_xll.TR(J$7,J$6,"Sdate=#1 Period=#2 NULL=BLANK",,$D41,$E$4),J41)</f>
        <v>6.9682291160953502</v>
      </c>
      <c r="K41" s="765" cm="1">
        <f t="array" aca="1" ref="K41" ca="1">IF(Reuters=1,_xll.TR(K$7,K$6,"Sdate=#1 Period=#2 NULL=BLANK",,$D41,$E$4),K41)</f>
        <v>16.996258152593601</v>
      </c>
      <c r="L41" s="765" cm="1">
        <f t="array" aca="1" ref="L41" ca="1">IF(Reuters=1,_xll.TR(L$7,L$6,"Sdate=#1 Period=#2 NULL=BLANK",,$D41,$E$4),L41)</f>
        <v>10.431365449230301</v>
      </c>
      <c r="M41" s="765" cm="1">
        <f t="array" aca="1" ref="M41" ca="1">IF(Reuters=1,_xll.TR(M$7,M$6,"Sdate=#1 Period=#2 NULL=BLANK",,$D41,$E$4),M41)</f>
        <v>13.018052154802101</v>
      </c>
      <c r="P41" s="1000" cm="1">
        <f t="array" aca="1" ref="P41" ca="1">IF(Reuters=1,_xll.TR(P$7,P$6,"Sdate=#1 Period=#2 NULL=BLANK Scale=6",,$D41,$P$4),P41)</f>
        <v>926</v>
      </c>
      <c r="Q41" s="1000" cm="1">
        <f t="array" aca="1" ref="Q41" ca="1">IF(Reuters=1,_xll.TR(Q$7,Q$6,"Sdate=#1 Period=#2 NULL=BLANK Scale=6",,$D41,$P$4),Q41)</f>
        <v>463</v>
      </c>
      <c r="R41" s="1000" cm="1">
        <f t="array" aca="1" ref="R41" ca="1">IF(Reuters=1,_xll.TR(R$7,R$6,"Sdate=#1 Period=#2 NULL=BLANK Scale=6",,$D41,$P$4),R41)</f>
        <v>5308</v>
      </c>
      <c r="S41" s="1000" t="str" cm="1">
        <f t="array" aca="1" ref="S41" ca="1">IF(Reuters=1,_xll.TR(S$7,S$6,"Sdate=#1 Period=#2 NULL=BLANK Scale=6",,$D41,$P$4),S41)</f>
        <v/>
      </c>
      <c r="T41" s="1000" cm="1">
        <f t="array" aca="1" ref="T41" ca="1">IF(Reuters=1,_xll.TR(T$7,T$6,"Sdate=#1 Period=#2 NULL=BLANK Scale=6",,$D41,$P$4),T41)</f>
        <v>4044</v>
      </c>
      <c r="U41" s="1000" t="str" cm="1">
        <f t="array" aca="1" ref="U41" ca="1">IF(Reuters=1,_xll.TR(U$7,U$6,"Sdate=#1 Period=#2 NULL=BLANK Scale=6",,$D41,$P$4),U41)</f>
        <v/>
      </c>
      <c r="V41" s="1000" cm="1">
        <f t="array" aca="1" ref="V41" ca="1">IF(Reuters=1,_xll.TR(V$7,V$6,"Sdate=#1 Period=#2 NULL=BLANK Scale=6",,$D41,$P$4),V41)</f>
        <v>175.8</v>
      </c>
      <c r="W41" s="1000" cm="1">
        <f t="array" aca="1" ref="W41" ca="1">IF(Reuters=1,_xll.TR(W$7,W$6,"Sdate=#1 Period=#2 NULL=BLANK Scale=6",,$D41,$P$4),W41)</f>
        <v>328.1</v>
      </c>
      <c r="X41" s="1000" cm="1">
        <f t="array" aca="1" ref="X41" ca="1">IF(Reuters=1,_xll.TR(X$7,X$6,"Sdate=#1 Period=#2 NULL=BLANK Scale=6",,$D41,$P$4),X41)</f>
        <v>1008.891</v>
      </c>
      <c r="Y41" s="998"/>
      <c r="Z41" s="1000" cm="1">
        <f t="array" aca="1" ref="Z41" ca="1">IF(Reuters=1,_xll.TR(Z$7,Z$6,"Sdate=#1 Period=#2 NULL=BLANK Scale=6",,$D41,$Z$4),Z41)</f>
        <v>15346.565624999999</v>
      </c>
      <c r="AA41" s="1000" cm="1">
        <f t="array" aca="1" ref="AA41" ca="1">IF(Reuters=1,_xll.TR(AA$7,AA$6,"Sdate=#1 Period=#2 NULL=BLANK Scale=6",,$D41,$Z$4),AA41)</f>
        <v>14706.380607499999</v>
      </c>
      <c r="AB41" s="1000" cm="1">
        <f t="array" aca="1" ref="AB41" ca="1">IF(Reuters=1,_xll.TR(AB$7,AB$6,"Sdate=#1 Period=#2 NULL=BLANK Scale=6",,$D41,$Z$4),AB41)</f>
        <v>80486.287955220003</v>
      </c>
      <c r="AC41" s="1000" t="str" cm="1">
        <f t="array" aca="1" ref="AC41" ca="1">IF(Reuters=1,_xll.TR(AC$7,AC$6,"Sdate=#1 Period=#2 NULL=BLANK Scale=6",,$D41,$Z$4),AC41)</f>
        <v/>
      </c>
      <c r="AD41" s="1000" cm="1">
        <f t="array" aca="1" ref="AD41" ca="1">IF(Reuters=1,_xll.TR(AD$7,AD$6,"Sdate=#1 Period=#2 NULL=BLANK Scale=6",,$D41,$Z$4),AD41)</f>
        <v>41994.1486530045</v>
      </c>
      <c r="AE41" s="1000" cm="1">
        <f t="array" aca="1" ref="AE41" ca="1">IF(Reuters=1,_xll.TR(AE$7,AE$6,"Sdate=#1 Period=#2 NULL=BLANK Scale=6",,$D41,$Z$4),AE41)</f>
        <v>73913.952283705294</v>
      </c>
      <c r="AF41" s="1000" cm="1">
        <f t="array" aca="1" ref="AF41" ca="1">IF(Reuters=1,_xll.TR(AF$7,AF$6,"Sdate=#1 Period=#2 NULL=BLANK Scale=6",,$D41,$Z$4),AF41)</f>
        <v>3409.96399432</v>
      </c>
      <c r="AG41" s="1000" cm="1">
        <f t="array" aca="1" ref="AG41" ca="1">IF(Reuters=1,_xll.TR(AG$7,AG$6,"Sdate=#1 Period=#2 NULL=BLANK Scale=6",,$D41,$Z$4),AG41)</f>
        <v>5459.4944917499997</v>
      </c>
      <c r="AH41" s="1000" cm="1">
        <f t="array" aca="1" ref="AH41" ca="1">IF(Reuters=1,_xll.TR(AH$7,AH$6,"Sdate=#1 Period=#2 NULL=BLANK Scale=6",,$D41,$Z$4),AH41)</f>
        <v>15421.755257999999</v>
      </c>
      <c r="AJ41" s="1004">
        <f t="shared" ca="1" si="13"/>
        <v>16.572965037796976</v>
      </c>
      <c r="AK41" s="1004">
        <f t="shared" ca="1" si="14"/>
        <v>31.763241052915767</v>
      </c>
      <c r="AL41" s="1004">
        <f t="shared" ca="1" si="15"/>
        <v>15.163204211608893</v>
      </c>
      <c r="AM41" s="1004" t="str">
        <f t="shared" ca="1" si="16"/>
        <v>NA</v>
      </c>
      <c r="AN41" s="1004">
        <f t="shared" ca="1" si="17"/>
        <v>10.384309755935831</v>
      </c>
      <c r="AO41" s="1004" t="str">
        <f t="shared" ca="1" si="18"/>
        <v>NA</v>
      </c>
      <c r="AP41" s="1004">
        <f t="shared" ca="1" si="19"/>
        <v>19.396837282821387</v>
      </c>
      <c r="AQ41" s="1004">
        <f t="shared" ca="1" si="20"/>
        <v>16.639727192167019</v>
      </c>
      <c r="AR41" s="1004">
        <f t="shared" ca="1" si="21"/>
        <v>15.285848776527891</v>
      </c>
      <c r="AT41" s="765" cm="1">
        <f t="array" aca="1" ref="AT41" ca="1">IF(Reuters=1,_xll.TR(AT$7,AT$6,"Sdate=#1 Period=#2 NULL=BLANK Scale=6",,$D41,$AT$4),AT41)</f>
        <v>12.266666666666699</v>
      </c>
      <c r="AU41" s="765" cm="1">
        <f t="array" aca="1" ref="AU41" ca="1">IF(Reuters=1,_xll.TR(AU$7,AU$6,"Sdate=#1 Period=#2 NULL=BLANK Scale=6",,$D41,$AT$4),AU41)</f>
        <v>19.220833333333299</v>
      </c>
      <c r="AV41" s="765" cm="1">
        <f t="array" aca="1" ref="AV41" ca="1">IF(Reuters=1,_xll.TR(AV$7,AV$6,"Sdate=#1 Period=#2 NULL=BLANK Scale=6",,$D41,$AT$4),AV41)</f>
        <v>13.176833333333301</v>
      </c>
      <c r="AW41" s="765" t="str" cm="1">
        <f t="array" aca="1" ref="AW41" ca="1">IF(Reuters=1,_xll.TR(AW$7,AW$6,"Sdate=#1 Period=#2 NULL=BLANK Scale=6",,$D41,$AT$4),AW41)</f>
        <v/>
      </c>
      <c r="AX41" s="765" cm="1">
        <f t="array" aca="1" ref="AX41" ca="1">IF(Reuters=1,_xll.TR(AX$7,AX$6,"Sdate=#1 Period=#2 NULL=BLANK Scale=6",,$D41,$AT$4),AX41)</f>
        <v>20.341666666666701</v>
      </c>
      <c r="AY41" s="765" cm="1">
        <f t="array" aca="1" ref="AY41" ca="1">IF(Reuters=1,_xll.TR(AY$7,AY$6,"Sdate=#1 Period=#2 NULL=BLANK Scale=6",,$D41,$AT$4),AY41)</f>
        <v>13.9593075</v>
      </c>
      <c r="AZ41" s="765" cm="1">
        <f t="array" aca="1" ref="AZ41" ca="1">IF(Reuters=1,_xll.TR(AZ$7,AZ$6,"Sdate=#1 Period=#2 NULL=BLANK Scale=6",,$D41,$AT$4),AZ41)</f>
        <v>10.9416666666667</v>
      </c>
      <c r="BA41" s="765" t="str" cm="1">
        <f t="array" aca="1" ref="BA41" ca="1">IF(Reuters=1,_xll.TR(BA$7,BA$6,"Sdate=#1 Period=#2 NULL=BLANK Scale=6",,$D41,$AT$4),BA41)</f>
        <v/>
      </c>
      <c r="BB41" s="765" t="str" cm="1">
        <f t="array" aca="1" ref="BB41" ca="1">IF(Reuters=1,_xll.TR(BB$7,BB$6,"Sdate=#1 Period=#2 NULL=BLANK Scale=6",,$D41,$AT$4),BB41)</f>
        <v/>
      </c>
      <c r="BE41" s="1000"/>
      <c r="BF41" s="1000"/>
      <c r="BG41" s="1000"/>
      <c r="BH41" s="1000"/>
      <c r="BI41" s="1000"/>
      <c r="BJ41" s="1000"/>
      <c r="BK41" s="1000"/>
      <c r="BL41" s="1000"/>
      <c r="BM41" s="1000"/>
    </row>
    <row r="42" spans="3:65" ht="11.25" customHeight="1">
      <c r="C42" s="972">
        <f t="shared" si="22"/>
        <v>43281</v>
      </c>
      <c r="D42" s="970">
        <f t="shared" si="12"/>
        <v>43326</v>
      </c>
      <c r="E42" s="765" cm="1">
        <f t="array" aca="1" ref="E42" ca="1">IF(Reuters=1,_xll.TR(E$7,E$6,"Sdate=#1 Period=#2 NULL=BLANK",,$D42,$E$4),E42)</f>
        <v>11.3605688237422</v>
      </c>
      <c r="F42" s="765" cm="1">
        <f t="array" aca="1" ref="F42" ca="1">IF(Reuters=1,_xll.TR(F$7,F$6,"Sdate=#1 Period=#2 NULL=BLANK",,$D42,$E$4),F42)</f>
        <v>12.5530978147076</v>
      </c>
      <c r="G42" s="765" cm="1">
        <f t="array" aca="1" ref="G42" ca="1">IF(Reuters=1,_xll.TR(G$7,G$6,"Sdate=#1 Period=#2 NULL=BLANK",,$D42,$E$4),G42)</f>
        <v>17.450536914087099</v>
      </c>
      <c r="H42" s="765" t="str" cm="1">
        <f t="array" aca="1" ref="H42" ca="1">IF(Reuters=1,_xll.TR(H$7,H$6,"Sdate=#1 Period=#2 NULL=BLANK",,$D42,$E$4),H42)</f>
        <v/>
      </c>
      <c r="I42" s="765" cm="1">
        <f t="array" aca="1" ref="I42" ca="1">IF(Reuters=1,_xll.TR(I$7,I$6,"Sdate=#1 Period=#2 NULL=BLANK",,$D42,$E$4),I42)</f>
        <v>16.110603876097301</v>
      </c>
      <c r="J42" s="765" cm="1">
        <f t="array" aca="1" ref="J42" ca="1">IF(Reuters=1,_xll.TR(J$7,J$6,"Sdate=#1 Period=#2 NULL=BLANK",,$D42,$E$4),J42)</f>
        <v>7.3488174600735601</v>
      </c>
      <c r="K42" s="765" cm="1">
        <f t="array" aca="1" ref="K42" ca="1">IF(Reuters=1,_xll.TR(K$7,K$6,"Sdate=#1 Period=#2 NULL=BLANK",,$D42,$E$4),K42)</f>
        <v>16.484924623115599</v>
      </c>
      <c r="L42" s="765" cm="1">
        <f t="array" aca="1" ref="L42" ca="1">IF(Reuters=1,_xll.TR(L$7,L$6,"Sdate=#1 Period=#2 NULL=BLANK",,$D42,$E$4),L42)</f>
        <v>7.7856885847729496</v>
      </c>
      <c r="M42" s="765" cm="1">
        <f t="array" aca="1" ref="M42" ca="1">IF(Reuters=1,_xll.TR(M$7,M$6,"Sdate=#1 Period=#2 NULL=BLANK",,$D42,$E$4),M42)</f>
        <v>10.295899521969799</v>
      </c>
      <c r="P42" s="1000" cm="1">
        <f t="array" aca="1" ref="P42" ca="1">IF(Reuters=1,_xll.TR(P$7,P$6,"Sdate=#1 Period=#2 NULL=BLANK Scale=6",,$D42,$P$4),P42)</f>
        <v>968</v>
      </c>
      <c r="Q42" s="1000" cm="1">
        <f t="array" aca="1" ref="Q42" ca="1">IF(Reuters=1,_xll.TR(Q$7,Q$6,"Sdate=#1 Period=#2 NULL=BLANK Scale=6",,$D42,$P$4),Q42)</f>
        <v>725</v>
      </c>
      <c r="R42" s="1000" cm="1">
        <f t="array" aca="1" ref="R42" ca="1">IF(Reuters=1,_xll.TR(R$7,R$6,"Sdate=#1 Period=#2 NULL=BLANK Scale=6",,$D42,$P$4),R42)</f>
        <v>4616</v>
      </c>
      <c r="S42" s="1000" t="str" cm="1">
        <f t="array" aca="1" ref="S42" ca="1">IF(Reuters=1,_xll.TR(S$7,S$6,"Sdate=#1 Period=#2 NULL=BLANK Scale=6",,$D42,$P$4),S42)</f>
        <v/>
      </c>
      <c r="T42" s="1000" cm="1">
        <f t="array" aca="1" ref="T42" ca="1">IF(Reuters=1,_xll.TR(T$7,T$6,"Sdate=#1 Period=#2 NULL=BLANK Scale=6",,$D42,$P$4),T42)</f>
        <v>4057</v>
      </c>
      <c r="U42" s="1000" t="str" cm="1">
        <f t="array" aca="1" ref="U42" ca="1">IF(Reuters=1,_xll.TR(U$7,U$6,"Sdate=#1 Period=#2 NULL=BLANK Scale=6",,$D42,$P$4),U42)</f>
        <v/>
      </c>
      <c r="V42" s="1000" cm="1">
        <f t="array" aca="1" ref="V42" ca="1">IF(Reuters=1,_xll.TR(V$7,V$6,"Sdate=#1 Period=#2 NULL=BLANK Scale=6",,$D42,$P$4),V42)</f>
        <v>190.6</v>
      </c>
      <c r="W42" s="1000" cm="1">
        <f t="array" aca="1" ref="W42" ca="1">IF(Reuters=1,_xll.TR(W$7,W$6,"Sdate=#1 Period=#2 NULL=BLANK Scale=6",,$D42,$P$4),W42)</f>
        <v>365.8</v>
      </c>
      <c r="X42" s="1000" cm="1">
        <f t="array" aca="1" ref="X42" ca="1">IF(Reuters=1,_xll.TR(X$7,X$6,"Sdate=#1 Period=#2 NULL=BLANK Scale=6",,$D42,$P$4),X42)</f>
        <v>999.18799999999999</v>
      </c>
      <c r="Y42" s="998"/>
      <c r="Z42" s="1000" cm="1">
        <f t="array" aca="1" ref="Z42" ca="1">IF(Reuters=1,_xll.TR(Z$7,Z$6,"Sdate=#1 Period=#2 NULL=BLANK Scale=6",,$D42,$Z$4),Z42)</f>
        <v>13992.375755839999</v>
      </c>
      <c r="AA42" s="1000" cm="1">
        <f t="array" aca="1" ref="AA42" ca="1">IF(Reuters=1,_xll.TR(AA$7,AA$6,"Sdate=#1 Period=#2 NULL=BLANK Scale=6",,$D42,$Z$4),AA42)</f>
        <v>15751.452600619999</v>
      </c>
      <c r="AB42" s="1000" cm="1">
        <f t="array" aca="1" ref="AB42" ca="1">IF(Reuters=1,_xll.TR(AB$7,AB$6,"Sdate=#1 Period=#2 NULL=BLANK Scale=6",,$D42,$Z$4),AB42)</f>
        <v>72495.523317419997</v>
      </c>
      <c r="AC42" s="1000" t="str" cm="1">
        <f t="array" aca="1" ref="AC42" ca="1">IF(Reuters=1,_xll.TR(AC$7,AC$6,"Sdate=#1 Period=#2 NULL=BLANK Scale=6",,$D42,$Z$4),AC42)</f>
        <v/>
      </c>
      <c r="AD42" s="1000" cm="1">
        <f t="array" aca="1" ref="AD42" ca="1">IF(Reuters=1,_xll.TR(AD$7,AD$6,"Sdate=#1 Period=#2 NULL=BLANK Scale=6",,$D42,$Z$4),AD42)</f>
        <v>42079.297673188099</v>
      </c>
      <c r="AE42" s="1000" cm="1">
        <f t="array" aca="1" ref="AE42" ca="1">IF(Reuters=1,_xll.TR(AE$7,AE$6,"Sdate=#1 Period=#2 NULL=BLANK Scale=6",,$D42,$Z$4),AE42)</f>
        <v>73935.559474729394</v>
      </c>
      <c r="AF42" s="1000" cm="1">
        <f t="array" aca="1" ref="AF42" ca="1">IF(Reuters=1,_xll.TR(AF$7,AF$6,"Sdate=#1 Period=#2 NULL=BLANK Scale=6",,$D42,$Z$4),AF42)</f>
        <v>3496.6404664199999</v>
      </c>
      <c r="AG42" s="1000" cm="1">
        <f t="array" aca="1" ref="AG42" ca="1">IF(Reuters=1,_xll.TR(AG$7,AG$6,"Sdate=#1 Period=#2 NULL=BLANK Scale=6",,$D42,$Z$4),AG42)</f>
        <v>4926.5109149999998</v>
      </c>
      <c r="AH42" s="1000" cm="1">
        <f t="array" aca="1" ref="AH42" ca="1">IF(Reuters=1,_xll.TR(AH$7,AH$6,"Sdate=#1 Period=#2 NULL=BLANK Scale=6",,$D42,$Z$4),AH42)</f>
        <v>12666.163218379999</v>
      </c>
      <c r="AJ42" s="1004">
        <f t="shared" ca="1" si="13"/>
        <v>14.454933632066115</v>
      </c>
      <c r="AK42" s="1004">
        <f t="shared" ca="1" si="14"/>
        <v>21.726141518096551</v>
      </c>
      <c r="AL42" s="1004">
        <f t="shared" ca="1" si="15"/>
        <v>15.705269349527729</v>
      </c>
      <c r="AM42" s="1004" t="str">
        <f t="shared" ca="1" si="16"/>
        <v>NA</v>
      </c>
      <c r="AN42" s="1004">
        <f t="shared" ca="1" si="17"/>
        <v>10.372023089274858</v>
      </c>
      <c r="AO42" s="1004" t="str">
        <f t="shared" ca="1" si="18"/>
        <v>NA</v>
      </c>
      <c r="AP42" s="1004">
        <f t="shared" ca="1" si="19"/>
        <v>18.345437914060859</v>
      </c>
      <c r="AQ42" s="1004">
        <f t="shared" ca="1" si="20"/>
        <v>13.467771774193547</v>
      </c>
      <c r="AR42" s="1004">
        <f t="shared" ca="1" si="21"/>
        <v>12.67645650105886</v>
      </c>
      <c r="AT42" s="765" cm="1">
        <f t="array" aca="1" ref="AT42" ca="1">IF(Reuters=1,_xll.TR(AT$7,AT$6,"Sdate=#1 Period=#2 NULL=BLANK Scale=6",,$D42,$AT$4),AT42)</f>
        <v>12.5666666666667</v>
      </c>
      <c r="AU42" s="765" cm="1">
        <f t="array" aca="1" ref="AU42" ca="1">IF(Reuters=1,_xll.TR(AU$7,AU$6,"Sdate=#1 Period=#2 NULL=BLANK Scale=6",,$D42,$AT$4),AU42)</f>
        <v>19.8</v>
      </c>
      <c r="AV42" s="765" cm="1">
        <f t="array" aca="1" ref="AV42" ca="1">IF(Reuters=1,_xll.TR(AV$7,AV$6,"Sdate=#1 Period=#2 NULL=BLANK Scale=6",,$D42,$AT$4),AV42)</f>
        <v>11.7</v>
      </c>
      <c r="AW42" s="765" t="str" cm="1">
        <f t="array" aca="1" ref="AW42" ca="1">IF(Reuters=1,_xll.TR(AW$7,AW$6,"Sdate=#1 Period=#2 NULL=BLANK Scale=6",,$D42,$AT$4),AW42)</f>
        <v/>
      </c>
      <c r="AX42" s="765" cm="1">
        <f t="array" aca="1" ref="AX42" ca="1">IF(Reuters=1,_xll.TR(AX$7,AX$6,"Sdate=#1 Period=#2 NULL=BLANK Scale=6",,$D42,$AT$4),AX42)</f>
        <v>21.3</v>
      </c>
      <c r="AY42" s="765" cm="1">
        <f t="array" aca="1" ref="AY42" ca="1">IF(Reuters=1,_xll.TR(AY$7,AY$6,"Sdate=#1 Period=#2 NULL=BLANK Scale=6",,$D42,$AT$4),AY42)</f>
        <v>12.85</v>
      </c>
      <c r="AZ42" s="765" cm="1">
        <f t="array" aca="1" ref="AZ42" ca="1">IF(Reuters=1,_xll.TR(AZ$7,AZ$6,"Sdate=#1 Period=#2 NULL=BLANK Scale=6",,$D42,$AT$4),AZ42)</f>
        <v>12.4</v>
      </c>
      <c r="BA42" s="765" t="str" cm="1">
        <f t="array" aca="1" ref="BA42" ca="1">IF(Reuters=1,_xll.TR(BA$7,BA$6,"Sdate=#1 Period=#2 NULL=BLANK Scale=6",,$D42,$AT$4),BA42)</f>
        <v/>
      </c>
      <c r="BB42" s="765" t="str" cm="1">
        <f t="array" aca="1" ref="BB42" ca="1">IF(Reuters=1,_xll.TR(BB$7,BB$6,"Sdate=#1 Period=#2 NULL=BLANK Scale=6",,$D42,$AT$4),BB42)</f>
        <v/>
      </c>
      <c r="BE42" s="1000"/>
      <c r="BF42" s="1000"/>
      <c r="BG42" s="1000"/>
      <c r="BH42" s="1000"/>
      <c r="BI42" s="1000"/>
      <c r="BJ42" s="1000"/>
      <c r="BK42" s="1000"/>
      <c r="BL42" s="1000"/>
      <c r="BM42" s="1000"/>
    </row>
    <row r="43" spans="3:65" ht="11.25" customHeight="1">
      <c r="C43" s="973">
        <f t="shared" si="22"/>
        <v>43373</v>
      </c>
      <c r="D43" s="970">
        <f t="shared" si="12"/>
        <v>43418</v>
      </c>
      <c r="E43" s="765" cm="1">
        <f t="array" aca="1" ref="E43" ca="1">IF(Reuters=1,_xll.TR(E$7,E$6,"Sdate=#1 Period=#2 NULL=BLANK",,$D43,$E$4),E43)</f>
        <v>9.1248636123813096</v>
      </c>
      <c r="F43" s="765" cm="1">
        <f t="array" aca="1" ref="F43" ca="1">IF(Reuters=1,_xll.TR(F$7,F$6,"Sdate=#1 Period=#2 NULL=BLANK",,$D43,$E$4),F43)</f>
        <v>10.438074700063201</v>
      </c>
      <c r="G43" s="765" cm="1">
        <f t="array" aca="1" ref="G43" ca="1">IF(Reuters=1,_xll.TR(G$7,G$6,"Sdate=#1 Period=#2 NULL=BLANK",,$D43,$E$4),G43)</f>
        <v>14.6653000914682</v>
      </c>
      <c r="H43" s="765" t="str" cm="1">
        <f t="array" aca="1" ref="H43" ca="1">IF(Reuters=1,_xll.TR(H$7,H$6,"Sdate=#1 Period=#2 NULL=BLANK",,$D43,$E$4),H43)</f>
        <v/>
      </c>
      <c r="I43" s="765" cm="1">
        <f t="array" aca="1" ref="I43" ca="1">IF(Reuters=1,_xll.TR(I$7,I$6,"Sdate=#1 Period=#2 NULL=BLANK",,$D43,$E$4),I43)</f>
        <v>11.8587786760106</v>
      </c>
      <c r="J43" s="765" cm="1">
        <f t="array" aca="1" ref="J43" ca="1">IF(Reuters=1,_xll.TR(J$7,J$6,"Sdate=#1 Period=#2 NULL=BLANK",,$D43,$E$4),J43)</f>
        <v>5.2809372457274302</v>
      </c>
      <c r="K43" s="765" cm="1">
        <f t="array" aca="1" ref="K43" ca="1">IF(Reuters=1,_xll.TR(K$7,K$6,"Sdate=#1 Period=#2 NULL=BLANK",,$D43,$E$4),K43)</f>
        <v>12.316377171215899</v>
      </c>
      <c r="L43" s="765" cm="1">
        <f t="array" aca="1" ref="L43" ca="1">IF(Reuters=1,_xll.TR(L$7,L$6,"Sdate=#1 Period=#2 NULL=BLANK",,$D43,$E$4),L43)</f>
        <v>5.8784042242006498</v>
      </c>
      <c r="M43" s="765" cm="1">
        <f t="array" aca="1" ref="M43" ca="1">IF(Reuters=1,_xll.TR(M$7,M$6,"Sdate=#1 Period=#2 NULL=BLANK",,$D43,$E$4),M43)</f>
        <v>7.9520020911274099</v>
      </c>
      <c r="P43" s="1000" cm="1">
        <f t="array" aca="1" ref="P43" ca="1">IF(Reuters=1,_xll.TR(P$7,P$6,"Sdate=#1 Period=#2 NULL=BLANK Scale=6",,$D43,$P$4),P43)</f>
        <v>857</v>
      </c>
      <c r="Q43" s="1000" cm="1">
        <f t="array" aca="1" ref="Q43" ca="1">IF(Reuters=1,_xll.TR(Q$7,Q$6,"Sdate=#1 Period=#2 NULL=BLANK Scale=6",,$D43,$P$4),Q43)</f>
        <v>922</v>
      </c>
      <c r="R43" s="1000" cm="1">
        <f t="array" aca="1" ref="R43" ca="1">IF(Reuters=1,_xll.TR(R$7,R$6,"Sdate=#1 Period=#2 NULL=BLANK Scale=6",,$D43,$P$4),R43)</f>
        <v>3736</v>
      </c>
      <c r="S43" s="1000" t="str" cm="1">
        <f t="array" aca="1" ref="S43" ca="1">IF(Reuters=1,_xll.TR(S$7,S$6,"Sdate=#1 Period=#2 NULL=BLANK Scale=6",,$D43,$P$4),S43)</f>
        <v/>
      </c>
      <c r="T43" s="1000" cm="1">
        <f t="array" aca="1" ref="T43" ca="1">IF(Reuters=1,_xll.TR(T$7,T$6,"Sdate=#1 Period=#2 NULL=BLANK Scale=6",,$D43,$P$4),T43)</f>
        <v>3348</v>
      </c>
      <c r="U43" s="1000" cm="1">
        <f t="array" aca="1" ref="U43" ca="1">IF(Reuters=1,_xll.TR(U$7,U$6,"Sdate=#1 Period=#2 NULL=BLANK Scale=6",,$D43,$P$4),U43)</f>
        <v>29</v>
      </c>
      <c r="V43" s="1000" cm="1">
        <f t="array" aca="1" ref="V43" ca="1">IF(Reuters=1,_xll.TR(V$7,V$6,"Sdate=#1 Period=#2 NULL=BLANK Scale=6",,$D43,$P$4),V43)</f>
        <v>183.3</v>
      </c>
      <c r="W43" s="1000" cm="1">
        <f t="array" aca="1" ref="W43" ca="1">IF(Reuters=1,_xll.TR(W$7,W$6,"Sdate=#1 Period=#2 NULL=BLANK Scale=6",,$D43,$P$4),W43)</f>
        <v>421.3</v>
      </c>
      <c r="X43" s="1000" cm="1">
        <f t="array" aca="1" ref="X43" ca="1">IF(Reuters=1,_xll.TR(X$7,X$6,"Sdate=#1 Period=#2 NULL=BLANK Scale=6",,$D43,$P$4),X43)</f>
        <v>1060.607</v>
      </c>
      <c r="Y43" s="998"/>
      <c r="Z43" s="1000" cm="1">
        <f t="array" aca="1" ref="Z43" ca="1">IF(Reuters=1,_xll.TR(Z$7,Z$6,"Sdate=#1 Period=#2 NULL=BLANK Scale=6",,$D43,$Z$4),Z43)</f>
        <v>11486.2534521</v>
      </c>
      <c r="AA43" s="1000" cm="1">
        <f t="array" aca="1" ref="AA43" ca="1">IF(Reuters=1,_xll.TR(AA$7,AA$6,"Sdate=#1 Period=#2 NULL=BLANK Scale=6",,$D43,$Z$4),AA43)</f>
        <v>13526.94380949</v>
      </c>
      <c r="AB43" s="1000" cm="1">
        <f t="array" aca="1" ref="AB43" ca="1">IF(Reuters=1,_xll.TR(AB$7,AB$6,"Sdate=#1 Period=#2 NULL=BLANK Scale=6",,$D43,$Z$4),AB43)</f>
        <v>63531.171263980003</v>
      </c>
      <c r="AC43" s="1000" t="str" cm="1">
        <f t="array" aca="1" ref="AC43" ca="1">IF(Reuters=1,_xll.TR(AC$7,AC$6,"Sdate=#1 Period=#2 NULL=BLANK Scale=6",,$D43,$Z$4),AC43)</f>
        <v/>
      </c>
      <c r="AD43" s="1000" cm="1">
        <f t="array" aca="1" ref="AD43" ca="1">IF(Reuters=1,_xll.TR(AD$7,AD$6,"Sdate=#1 Period=#2 NULL=BLANK Scale=6",,$D43,$Z$4),AD43)</f>
        <v>33660.002558943503</v>
      </c>
      <c r="AE43" s="1000" cm="1">
        <f t="array" aca="1" ref="AE43" ca="1">IF(Reuters=1,_xll.TR(AE$7,AE$6,"Sdate=#1 Period=#2 NULL=BLANK Scale=6",,$D43,$Z$4),AE43)</f>
        <v>63090.354422639699</v>
      </c>
      <c r="AF43" s="1000" cm="1">
        <f t="array" aca="1" ref="AF43" ca="1">IF(Reuters=1,_xll.TR(AF$7,AF$6,"Sdate=#1 Period=#2 NULL=BLANK Scale=6",,$D43,$Z$4),AF43)</f>
        <v>2641.2583926900002</v>
      </c>
      <c r="AG43" s="1000" cm="1">
        <f t="array" aca="1" ref="AG43" ca="1">IF(Reuters=1,_xll.TR(AG$7,AG$6,"Sdate=#1 Period=#2 NULL=BLANK Scale=6",,$D43,$Z$4),AG43)</f>
        <v>3486.8584387999999</v>
      </c>
      <c r="AH43" s="1000" cm="1">
        <f t="array" aca="1" ref="AH43" ca="1">IF(Reuters=1,_xll.TR(AH$7,AH$6,"Sdate=#1 Period=#2 NULL=BLANK Scale=6",,$D43,$Z$4),AH43)</f>
        <v>9221.1172634899995</v>
      </c>
      <c r="AJ43" s="1004">
        <f t="shared" ca="1" si="13"/>
        <v>13.402862837922987</v>
      </c>
      <c r="AK43" s="1004">
        <f t="shared" ca="1" si="14"/>
        <v>14.671305650206074</v>
      </c>
      <c r="AL43" s="1004">
        <f t="shared" ca="1" si="15"/>
        <v>17.005131494641329</v>
      </c>
      <c r="AM43" s="1004" t="str">
        <f t="shared" ca="1" si="16"/>
        <v>NA</v>
      </c>
      <c r="AN43" s="1004">
        <f t="shared" ca="1" si="17"/>
        <v>10.053764205180258</v>
      </c>
      <c r="AO43" s="1004">
        <f t="shared" ca="1" si="18"/>
        <v>2175.5294628496449</v>
      </c>
      <c r="AP43" s="1004">
        <f t="shared" ca="1" si="19"/>
        <v>14.409483866284779</v>
      </c>
      <c r="AQ43" s="1004">
        <f t="shared" ca="1" si="20"/>
        <v>8.2764263916449075</v>
      </c>
      <c r="AR43" s="1004">
        <f t="shared" ca="1" si="21"/>
        <v>8.6941885764378313</v>
      </c>
      <c r="AT43" s="765" cm="1">
        <f t="array" aca="1" ref="AT43" ca="1">IF(Reuters=1,_xll.TR(AT$7,AT$6,"Sdate=#1 Period=#2 NULL=BLANK Scale=6",,$D43,$AT$4),AT43)</f>
        <v>12.4125</v>
      </c>
      <c r="AU43" s="765" cm="1">
        <f t="array" aca="1" ref="AU43" ca="1">IF(Reuters=1,_xll.TR(AU$7,AU$6,"Sdate=#1 Period=#2 NULL=BLANK Scale=6",,$D43,$AT$4),AU43)</f>
        <v>19.649996666666699</v>
      </c>
      <c r="AV43" s="765" cm="1">
        <f t="array" aca="1" ref="AV43" ca="1">IF(Reuters=1,_xll.TR(AV$7,AV$6,"Sdate=#1 Period=#2 NULL=BLANK Scale=6",,$D43,$AT$4),AV43)</f>
        <v>12.138885833333299</v>
      </c>
      <c r="AW43" s="765" t="str" cm="1">
        <f t="array" aca="1" ref="AW43" ca="1">IF(Reuters=1,_xll.TR(AW$7,AW$6,"Sdate=#1 Period=#2 NULL=BLANK Scale=6",,$D43,$AT$4),AW43)</f>
        <v/>
      </c>
      <c r="AX43" s="765" cm="1">
        <f t="array" aca="1" ref="AX43" ca="1">IF(Reuters=1,_xll.TR(AX$7,AX$6,"Sdate=#1 Period=#2 NULL=BLANK Scale=6",,$D43,$AT$4),AX43)</f>
        <v>21.254166666666698</v>
      </c>
      <c r="AY43" s="765" cm="1">
        <f t="array" aca="1" ref="AY43" ca="1">IF(Reuters=1,_xll.TR(AY$7,AY$6,"Sdate=#1 Period=#2 NULL=BLANK Scale=6",,$D43,$AT$4),AY43)</f>
        <v>15.833194166666701</v>
      </c>
      <c r="AZ43" s="765" cm="1">
        <f t="array" aca="1" ref="AZ43" ca="1">IF(Reuters=1,_xll.TR(AZ$7,AZ$6,"Sdate=#1 Period=#2 NULL=BLANK Scale=6",,$D43,$AT$4),AZ43)</f>
        <v>11.8</v>
      </c>
      <c r="BA43" s="765" cm="1">
        <f t="array" aca="1" ref="BA43" ca="1">IF(Reuters=1,_xll.TR(BA$7,BA$6,"Sdate=#1 Period=#2 NULL=BLANK Scale=6",,$D43,$AT$4),BA43)</f>
        <v>3.7916666666666701</v>
      </c>
      <c r="BB43" s="765" cm="1">
        <f t="array" aca="1" ref="BB43" ca="1">IF(Reuters=1,_xll.TR(BB$7,BB$6,"Sdate=#1 Period=#2 NULL=BLANK Scale=6",,$D43,$AT$4),BB43)</f>
        <v>10.3325</v>
      </c>
      <c r="BE43" s="1000"/>
      <c r="BF43" s="1000"/>
      <c r="BG43" s="1000"/>
      <c r="BH43" s="1000"/>
      <c r="BI43" s="1000"/>
      <c r="BJ43" s="1000"/>
      <c r="BK43" s="1000"/>
      <c r="BL43" s="1000"/>
      <c r="BM43" s="1000"/>
    </row>
    <row r="44" spans="3:65" ht="11.25" customHeight="1">
      <c r="C44" s="969">
        <f t="shared" si="22"/>
        <v>43465</v>
      </c>
      <c r="D44" s="970">
        <f t="shared" si="12"/>
        <v>43510</v>
      </c>
      <c r="E44" s="765" cm="1">
        <f t="array" aca="1" ref="E44" ca="1">IF(Reuters=1,_xll.TR(E$7,E$6,"Sdate=#1 Period=#2 NULL=BLANK",,$D44,$E$4),E44)</f>
        <v>9.5487172220271397</v>
      </c>
      <c r="F44" s="765" cm="1">
        <f t="array" aca="1" ref="F44" ca="1">IF(Reuters=1,_xll.TR(F$7,F$6,"Sdate=#1 Period=#2 NULL=BLANK",,$D44,$E$4),F44)</f>
        <v>11.0579849894019</v>
      </c>
      <c r="G44" s="765" cm="1">
        <f t="array" aca="1" ref="G44" ca="1">IF(Reuters=1,_xll.TR(G$7,G$6,"Sdate=#1 Period=#2 NULL=BLANK",,$D44,$E$4),G44)</f>
        <v>15.472261279459101</v>
      </c>
      <c r="H44" s="765" t="str" cm="1">
        <f t="array" aca="1" ref="H44" ca="1">IF(Reuters=1,_xll.TR(H$7,H$6,"Sdate=#1 Period=#2 NULL=BLANK",,$D44,$E$4),H44)</f>
        <v/>
      </c>
      <c r="I44" s="765" cm="1">
        <f t="array" aca="1" ref="I44" ca="1">IF(Reuters=1,_xll.TR(I$7,I$6,"Sdate=#1 Period=#2 NULL=BLANK",,$D44,$E$4),I44)</f>
        <v>12.243309716254901</v>
      </c>
      <c r="J44" s="765" cm="1">
        <f t="array" aca="1" ref="J44" ca="1">IF(Reuters=1,_xll.TR(J$7,J$6,"Sdate=#1 Period=#2 NULL=BLANK",,$D44,$E$4),J44)</f>
        <v>5.4536600442677203</v>
      </c>
      <c r="K44" s="765" cm="1">
        <f t="array" aca="1" ref="K44" ca="1">IF(Reuters=1,_xll.TR(K$7,K$6,"Sdate=#1 Period=#2 NULL=BLANK",,$D44,$E$4),K44)</f>
        <v>12.3032467649012</v>
      </c>
      <c r="L44" s="765" cm="1">
        <f t="array" aca="1" ref="L44" ca="1">IF(Reuters=1,_xll.TR(L$7,L$6,"Sdate=#1 Period=#2 NULL=BLANK",,$D44,$E$4),L44)</f>
        <v>8.5753183669581894</v>
      </c>
      <c r="M44" s="765" cm="1">
        <f t="array" aca="1" ref="M44" ca="1">IF(Reuters=1,_xll.TR(M$7,M$6,"Sdate=#1 Period=#2 NULL=BLANK",,$D44,$E$4),M44)</f>
        <v>12.287783684466101</v>
      </c>
      <c r="P44" s="1000" cm="1">
        <f t="array" aca="1" ref="P44" ca="1">IF(Reuters=1,_xll.TR(P$7,P$6,"Sdate=#1 Period=#2 NULL=BLANK Scale=6",,$D44,$P$4),P44)</f>
        <v>1015</v>
      </c>
      <c r="Q44" s="1000" cm="1">
        <f t="array" aca="1" ref="Q44" ca="1">IF(Reuters=1,_xll.TR(Q$7,Q$6,"Sdate=#1 Period=#2 NULL=BLANK Scale=6",,$D44,$P$4),Q44)</f>
        <v>1221</v>
      </c>
      <c r="R44" s="1000" cm="1">
        <f t="array" aca="1" ref="R44" ca="1">IF(Reuters=1,_xll.TR(R$7,R$6,"Sdate=#1 Period=#2 NULL=BLANK Scale=6",,$D44,$P$4),R44)</f>
        <v>3736</v>
      </c>
      <c r="S44" s="1000" t="str" cm="1">
        <f t="array" aca="1" ref="S44" ca="1">IF(Reuters=1,_xll.TR(S$7,S$6,"Sdate=#1 Period=#2 NULL=BLANK Scale=6",,$D44,$P$4),S44)</f>
        <v/>
      </c>
      <c r="T44" s="1000" cm="1">
        <f t="array" aca="1" ref="T44" ca="1">IF(Reuters=1,_xll.TR(T$7,T$6,"Sdate=#1 Period=#2 NULL=BLANK Scale=6",,$D44,$P$4),T44)</f>
        <v>2866</v>
      </c>
      <c r="U44" s="1000" t="str" cm="1">
        <f t="array" aca="1" ref="U44" ca="1">IF(Reuters=1,_xll.TR(U$7,U$6,"Sdate=#1 Period=#2 NULL=BLANK Scale=6",,$D44,$P$4),U44)</f>
        <v/>
      </c>
      <c r="V44" s="1000" cm="1">
        <f t="array" aca="1" ref="V44" ca="1">IF(Reuters=1,_xll.TR(V$7,V$6,"Sdate=#1 Period=#2 NULL=BLANK Scale=6",,$D44,$P$4),V44)</f>
        <v>177.7</v>
      </c>
      <c r="W44" s="1000" cm="1">
        <f t="array" aca="1" ref="W44" ca="1">IF(Reuters=1,_xll.TR(W$7,W$6,"Sdate=#1 Period=#2 NULL=BLANK Scale=6",,$D44,$P$4),W44)</f>
        <v>523.1</v>
      </c>
      <c r="X44" s="1000" cm="1">
        <f t="array" aca="1" ref="X44" ca="1">IF(Reuters=1,_xll.TR(X$7,X$6,"Sdate=#1 Period=#2 NULL=BLANK Scale=6",,$D44,$P$4),X44)</f>
        <v>1060.607</v>
      </c>
      <c r="Y44" s="998"/>
      <c r="Z44" s="1000" cm="1">
        <f t="array" aca="1" ref="Z44" ca="1">IF(Reuters=1,_xll.TR(Z$7,Z$6,"Sdate=#1 Period=#2 NULL=BLANK Scale=6",,$D44,$Z$4),Z44)</f>
        <v>11428.194664320001</v>
      </c>
      <c r="AA44" s="1000" cm="1">
        <f t="array" aca="1" ref="AA44" ca="1">IF(Reuters=1,_xll.TR(AA$7,AA$6,"Sdate=#1 Period=#2 NULL=BLANK Scale=6",,$D44,$Z$4),AA44)</f>
        <v>12751.085646179999</v>
      </c>
      <c r="AB44" s="1000" cm="1">
        <f t="array" aca="1" ref="AB44" ca="1">IF(Reuters=1,_xll.TR(AB$7,AB$6,"Sdate=#1 Period=#2 NULL=BLANK Scale=6",,$D44,$Z$4),AB44)</f>
        <v>59260.245336879998</v>
      </c>
      <c r="AC44" s="1000" t="str" cm="1">
        <f t="array" aca="1" ref="AC44" ca="1">IF(Reuters=1,_xll.TR(AC$7,AC$6,"Sdate=#1 Period=#2 NULL=BLANK Scale=6",,$D44,$Z$4),AC44)</f>
        <v/>
      </c>
      <c r="AD44" s="1000" cm="1">
        <f t="array" aca="1" ref="AD44" ca="1">IF(Reuters=1,_xll.TR(AD$7,AD$6,"Sdate=#1 Period=#2 NULL=BLANK Scale=6",,$D44,$Z$4),AD44)</f>
        <v>31623.110937972298</v>
      </c>
      <c r="AE44" s="1000" cm="1">
        <f t="array" aca="1" ref="AE44" ca="1">IF(Reuters=1,_xll.TR(AE$7,AE$6,"Sdate=#1 Period=#2 NULL=BLANK Scale=6",,$D44,$Z$4),AE44)</f>
        <v>56315.346049104002</v>
      </c>
      <c r="AF44" s="1000" cm="1">
        <f t="array" aca="1" ref="AF44" ca="1">IF(Reuters=1,_xll.TR(AF$7,AF$6,"Sdate=#1 Period=#2 NULL=BLANK Scale=6",,$D44,$Z$4),AF44)</f>
        <v>2486.3395120199998</v>
      </c>
      <c r="AG44" s="1000" cm="1">
        <f t="array" aca="1" ref="AG44" ca="1">IF(Reuters=1,_xll.TR(AG$7,AG$6,"Sdate=#1 Period=#2 NULL=BLANK Scale=6",,$D44,$Z$4),AG44)</f>
        <v>4206.0247188800004</v>
      </c>
      <c r="AH44" s="1000" cm="1">
        <f t="array" aca="1" ref="AH44" ca="1">IF(Reuters=1,_xll.TR(AH$7,AH$6,"Sdate=#1 Period=#2 NULL=BLANK Scale=6",,$D44,$Z$4),AH44)</f>
        <v>9995.3041188000007</v>
      </c>
      <c r="AJ44" s="1004">
        <f t="shared" ca="1" si="13"/>
        <v>11.259305088000001</v>
      </c>
      <c r="AK44" s="1004">
        <f t="shared" ca="1" si="14"/>
        <v>10.443149587371007</v>
      </c>
      <c r="AL44" s="1004">
        <f t="shared" ca="1" si="15"/>
        <v>15.861950036638115</v>
      </c>
      <c r="AM44" s="1004" t="str">
        <f t="shared" ca="1" si="16"/>
        <v>NA</v>
      </c>
      <c r="AN44" s="1004">
        <f t="shared" ca="1" si="17"/>
        <v>11.033883788545813</v>
      </c>
      <c r="AO44" s="1004" t="str">
        <f t="shared" ca="1" si="18"/>
        <v>NA</v>
      </c>
      <c r="AP44" s="1004">
        <f t="shared" ca="1" si="19"/>
        <v>13.991781159369724</v>
      </c>
      <c r="AQ44" s="1004">
        <f t="shared" ca="1" si="20"/>
        <v>8.0405748783788962</v>
      </c>
      <c r="AR44" s="1004">
        <f t="shared" ca="1" si="21"/>
        <v>9.4241355363485262</v>
      </c>
      <c r="AT44" s="765" cm="1">
        <f t="array" aca="1" ref="AT44" ca="1">IF(Reuters=1,_xll.TR(AT$7,AT$6,"Sdate=#1 Period=#2 NULL=BLANK Scale=6",,$D44,$AT$4),AT44)</f>
        <v>12.016666666666699</v>
      </c>
      <c r="AU44" s="765" cm="1">
        <f t="array" aca="1" ref="AU44" ca="1">IF(Reuters=1,_xll.TR(AU$7,AU$6,"Sdate=#1 Period=#2 NULL=BLANK Scale=6",,$D44,$AT$4),AU44)</f>
        <v>19.783329999999999</v>
      </c>
      <c r="AV44" s="765" cm="1">
        <f t="array" aca="1" ref="AV44" ca="1">IF(Reuters=1,_xll.TR(AV$7,AV$6,"Sdate=#1 Period=#2 NULL=BLANK Scale=6",,$D44,$AT$4),AV44)</f>
        <v>10.6594416666667</v>
      </c>
      <c r="AW44" s="765" t="str" cm="1">
        <f t="array" aca="1" ref="AW44" ca="1">IF(Reuters=1,_xll.TR(AW$7,AW$6,"Sdate=#1 Period=#2 NULL=BLANK Scale=6",,$D44,$AT$4),AW44)</f>
        <v/>
      </c>
      <c r="AX44" s="765" cm="1">
        <f t="array" aca="1" ref="AX44" ca="1">IF(Reuters=1,_xll.TR(AX$7,AX$6,"Sdate=#1 Period=#2 NULL=BLANK Scale=6",,$D44,$AT$4),AX44)</f>
        <v>20.375</v>
      </c>
      <c r="AY44" s="765" cm="1">
        <f t="array" aca="1" ref="AY44" ca="1">IF(Reuters=1,_xll.TR(AY$7,AY$6,"Sdate=#1 Period=#2 NULL=BLANK Scale=6",,$D44,$AT$4),AY44)</f>
        <v>13.5</v>
      </c>
      <c r="AZ44" s="765" cm="1">
        <f t="array" aca="1" ref="AZ44" ca="1">IF(Reuters=1,_xll.TR(AZ$7,AZ$6,"Sdate=#1 Period=#2 NULL=BLANK Scale=6",,$D44,$AT$4),AZ44)</f>
        <v>11.8333333333333</v>
      </c>
      <c r="BA44" s="765" cm="1">
        <f t="array" aca="1" ref="BA44" ca="1">IF(Reuters=1,_xll.TR(BA$7,BA$6,"Sdate=#1 Period=#2 NULL=BLANK Scale=6",,$D44,$AT$4),BA44)</f>
        <v>3.5166666666666702</v>
      </c>
      <c r="BB44" s="765" cm="1">
        <f t="array" aca="1" ref="BB44" ca="1">IF(Reuters=1,_xll.TR(BB$7,BB$6,"Sdate=#1 Period=#2 NULL=BLANK Scale=6",,$D44,$AT$4),BB44)</f>
        <v>9.8416666666666703</v>
      </c>
      <c r="BE44" s="1000"/>
      <c r="BF44" s="1000"/>
      <c r="BG44" s="1000"/>
      <c r="BH44" s="1000"/>
      <c r="BI44" s="1000"/>
      <c r="BJ44" s="1000"/>
      <c r="BK44" s="1000"/>
      <c r="BL44" s="1000"/>
      <c r="BM44" s="1000"/>
    </row>
    <row r="45" spans="3:65" ht="11.25" customHeight="1">
      <c r="C45" s="971">
        <f t="shared" si="22"/>
        <v>43555</v>
      </c>
      <c r="D45" s="970">
        <f t="shared" si="12"/>
        <v>43600</v>
      </c>
      <c r="E45" s="765" cm="1">
        <f t="array" aca="1" ref="E45" ca="1">IF(Reuters=1,_xll.TR(E$7,E$6,"Sdate=#1 Period=#2 NULL=BLANK",,$D45,$E$4),E45)</f>
        <v>8.61717018980573</v>
      </c>
      <c r="F45" s="765" cm="1">
        <f t="array" aca="1" ref="F45" ca="1">IF(Reuters=1,_xll.TR(F$7,F$6,"Sdate=#1 Period=#2 NULL=BLANK",,$D45,$E$4),F45)</f>
        <v>10.766203695084499</v>
      </c>
      <c r="G45" s="765" cm="1">
        <f t="array" aca="1" ref="G45" ca="1">IF(Reuters=1,_xll.TR(G$7,G$6,"Sdate=#1 Period=#2 NULL=BLANK",,$D45,$E$4),G45)</f>
        <v>15.367043167685001</v>
      </c>
      <c r="H45" s="765" cm="1">
        <f t="array" aca="1" ref="H45" ca="1">IF(Reuters=1,_xll.TR(H$7,H$6,"Sdate=#1 Period=#2 NULL=BLANK",,$D45,$E$4),H45)</f>
        <v>15.227371691899</v>
      </c>
      <c r="I45" s="765" cm="1">
        <f t="array" aca="1" ref="I45" ca="1">IF(Reuters=1,_xll.TR(I$7,I$6,"Sdate=#1 Period=#2 NULL=BLANK",,$D45,$E$4),I45)</f>
        <v>10.434524366807899</v>
      </c>
      <c r="J45" s="765" cm="1">
        <f t="array" aca="1" ref="J45" ca="1">IF(Reuters=1,_xll.TR(J$7,J$6,"Sdate=#1 Period=#2 NULL=BLANK",,$D45,$E$4),J45)</f>
        <v>6.6946659987301</v>
      </c>
      <c r="K45" s="765" cm="1">
        <f t="array" aca="1" ref="K45" ca="1">IF(Reuters=1,_xll.TR(K$7,K$6,"Sdate=#1 Period=#2 NULL=BLANK",,$D45,$E$4),K45)</f>
        <v>9.6075099484448696</v>
      </c>
      <c r="L45" s="765" cm="1">
        <f t="array" aca="1" ref="L45" ca="1">IF(Reuters=1,_xll.TR(L$7,L$6,"Sdate=#1 Period=#2 NULL=BLANK",,$D45,$E$4),L45)</f>
        <v>7.3373177988738201</v>
      </c>
      <c r="M45" s="765" cm="1">
        <f t="array" aca="1" ref="M45" ca="1">IF(Reuters=1,_xll.TR(M$7,M$6,"Sdate=#1 Period=#2 NULL=BLANK",,$D45,$E$4),M45)</f>
        <v>9.52981251056414</v>
      </c>
      <c r="P45" s="1000" cm="1">
        <f t="array" aca="1" ref="P45" ca="1">IF(Reuters=1,_xll.TR(P$7,P$6,"Sdate=#1 Period=#2 NULL=BLANK Scale=6",,$D45,$P$4),P45)</f>
        <v>1067</v>
      </c>
      <c r="Q45" s="1000" cm="1">
        <f t="array" aca="1" ref="Q45" ca="1">IF(Reuters=1,_xll.TR(Q$7,Q$6,"Sdate=#1 Period=#2 NULL=BLANK Scale=6",,$D45,$P$4),Q45)</f>
        <v>1392</v>
      </c>
      <c r="R45" s="1000" cm="1">
        <f t="array" aca="1" ref="R45" ca="1">IF(Reuters=1,_xll.TR(R$7,R$6,"Sdate=#1 Period=#2 NULL=BLANK Scale=6",,$D45,$P$4),R45)</f>
        <v>3092</v>
      </c>
      <c r="S45" s="1000" t="str" cm="1">
        <f t="array" aca="1" ref="S45" ca="1">IF(Reuters=1,_xll.TR(S$7,S$6,"Sdate=#1 Period=#2 NULL=BLANK Scale=6",,$D45,$P$4),S45)</f>
        <v/>
      </c>
      <c r="T45" s="1000" cm="1">
        <f t="array" aca="1" ref="T45" ca="1">IF(Reuters=1,_xll.TR(T$7,T$6,"Sdate=#1 Period=#2 NULL=BLANK Scale=6",,$D45,$P$4),T45)</f>
        <v>2347</v>
      </c>
      <c r="U45" s="1000" t="str" cm="1">
        <f t="array" aca="1" ref="U45" ca="1">IF(Reuters=1,_xll.TR(U$7,U$6,"Sdate=#1 Period=#2 NULL=BLANK Scale=6",,$D45,$P$4),U45)</f>
        <v/>
      </c>
      <c r="V45" s="1000" cm="1">
        <f t="array" aca="1" ref="V45" ca="1">IF(Reuters=1,_xll.TR(V$7,V$6,"Sdate=#1 Period=#2 NULL=BLANK Scale=6",,$D45,$P$4),V45)</f>
        <v>129.30000000000001</v>
      </c>
      <c r="W45" s="1000" cm="1">
        <f t="array" aca="1" ref="W45" ca="1">IF(Reuters=1,_xll.TR(W$7,W$6,"Sdate=#1 Period=#2 NULL=BLANK Scale=6",,$D45,$P$4),W45)</f>
        <v>533.79999999999995</v>
      </c>
      <c r="X45" s="1000" cm="1">
        <f t="array" aca="1" ref="X45" ca="1">IF(Reuters=1,_xll.TR(X$7,X$6,"Sdate=#1 Period=#2 NULL=BLANK Scale=6",,$D45,$P$4),X45)</f>
        <v>580</v>
      </c>
      <c r="Y45" s="998"/>
      <c r="Z45" s="1000" cm="1">
        <f t="array" aca="1" ref="Z45" ca="1">IF(Reuters=1,_xll.TR(Z$7,Z$6,"Sdate=#1 Period=#2 NULL=BLANK Scale=6",,$D45,$Z$4),Z45)</f>
        <v>10045.322283920001</v>
      </c>
      <c r="AA45" s="1000" cm="1">
        <f t="array" aca="1" ref="AA45" ca="1">IF(Reuters=1,_xll.TR(AA$7,AA$6,"Sdate=#1 Period=#2 NULL=BLANK Scale=6",,$D45,$Z$4),AA45)</f>
        <v>12813.184190399999</v>
      </c>
      <c r="AB45" s="1000" cm="1">
        <f t="array" aca="1" ref="AB45" ca="1">IF(Reuters=1,_xll.TR(AB$7,AB$6,"Sdate=#1 Period=#2 NULL=BLANK Scale=6",,$D45,$Z$4),AB45)</f>
        <v>58387.690577579997</v>
      </c>
      <c r="AC45" s="1000" cm="1">
        <f t="array" aca="1" ref="AC45" ca="1">IF(Reuters=1,_xll.TR(AC$7,AC$6,"Sdate=#1 Period=#2 NULL=BLANK Scale=6",,$D45,$Z$4),AC45)</f>
        <v>39650.239483799996</v>
      </c>
      <c r="AD45" s="1000" cm="1">
        <f t="array" aca="1" ref="AD45" ca="1">IF(Reuters=1,_xll.TR(AD$7,AD$6,"Sdate=#1 Period=#2 NULL=BLANK Scale=6",,$D45,$Z$4),AD45)</f>
        <v>28551.152213026799</v>
      </c>
      <c r="AE45" s="1000" cm="1">
        <f t="array" aca="1" ref="AE45" ca="1">IF(Reuters=1,_xll.TR(AE$7,AE$6,"Sdate=#1 Period=#2 NULL=BLANK Scale=6",,$D45,$Z$4),AE45)</f>
        <v>47699.157331078299</v>
      </c>
      <c r="AF45" s="1000" cm="1">
        <f t="array" aca="1" ref="AF45" ca="1">IF(Reuters=1,_xll.TR(AF$7,AF$6,"Sdate=#1 Period=#2 NULL=BLANK Scale=6",,$D45,$Z$4),AF45)</f>
        <v>2072.21755102</v>
      </c>
      <c r="AG45" s="1000" cm="1">
        <f t="array" aca="1" ref="AG45" ca="1">IF(Reuters=1,_xll.TR(AG$7,AG$6,"Sdate=#1 Period=#2 NULL=BLANK Scale=6",,$D45,$Z$4),AG45)</f>
        <v>3498.3200966200002</v>
      </c>
      <c r="AH45" s="1000" cm="1">
        <f t="array" aca="1" ref="AH45" ca="1">IF(Reuters=1,_xll.TR(AH$7,AH$6,"Sdate=#1 Period=#2 NULL=BLANK Scale=6",,$D45,$Z$4),AH45)</f>
        <v>7872.4679290599997</v>
      </c>
      <c r="AJ45" s="1004">
        <f t="shared" ca="1" si="13"/>
        <v>9.4145475950515465</v>
      </c>
      <c r="AK45" s="1004">
        <f t="shared" ca="1" si="14"/>
        <v>9.2048737000000003</v>
      </c>
      <c r="AL45" s="1004">
        <f t="shared" ca="1" si="15"/>
        <v>18.883470432593789</v>
      </c>
      <c r="AM45" s="1004" t="str">
        <f t="shared" ca="1" si="16"/>
        <v>NA</v>
      </c>
      <c r="AN45" s="1004">
        <f t="shared" ca="1" si="17"/>
        <v>12.164956204953898</v>
      </c>
      <c r="AO45" s="1004" t="str">
        <f t="shared" ca="1" si="18"/>
        <v>NA</v>
      </c>
      <c r="AP45" s="1004">
        <f t="shared" ca="1" si="19"/>
        <v>16.026431175715388</v>
      </c>
      <c r="AQ45" s="1004">
        <f t="shared" ca="1" si="20"/>
        <v>6.5536157673660558</v>
      </c>
      <c r="AR45" s="1004">
        <f t="shared" ca="1" si="21"/>
        <v>13.573220567344826</v>
      </c>
      <c r="AT45" s="765" cm="1">
        <f t="array" aca="1" ref="AT45" ca="1">IF(Reuters=1,_xll.TR(AT$7,AT$6,"Sdate=#1 Period=#2 NULL=BLANK Scale=6",,$D45,$AT$4),AT45)</f>
        <v>11.824999999999999</v>
      </c>
      <c r="AU45" s="765" cm="1">
        <f t="array" aca="1" ref="AU45" ca="1">IF(Reuters=1,_xll.TR(AU$7,AU$6,"Sdate=#1 Period=#2 NULL=BLANK Scale=6",,$D45,$AT$4),AU45)</f>
        <v>19.887499999999999</v>
      </c>
      <c r="AV45" s="765" cm="1">
        <f t="array" aca="1" ref="AV45" ca="1">IF(Reuters=1,_xll.TR(AV$7,AV$6,"Sdate=#1 Period=#2 NULL=BLANK Scale=6",,$D45,$AT$4),AV45)</f>
        <v>10.1602758333333</v>
      </c>
      <c r="AW45" s="765" cm="1">
        <f t="array" aca="1" ref="AW45" ca="1">IF(Reuters=1,_xll.TR(AW$7,AW$6,"Sdate=#1 Period=#2 NULL=BLANK Scale=6",,$D45,$AT$4),AW45)</f>
        <v>10.179166666666699</v>
      </c>
      <c r="AX45" s="765" cm="1">
        <f t="array" aca="1" ref="AX45" ca="1">IF(Reuters=1,_xll.TR(AX$7,AX$6,"Sdate=#1 Period=#2 NULL=BLANK Scale=6",,$D45,$AT$4),AX45)</f>
        <v>20.410833333333301</v>
      </c>
      <c r="AY45" s="765" cm="1">
        <f t="array" aca="1" ref="AY45" ca="1">IF(Reuters=1,_xll.TR(AY$7,AY$6,"Sdate=#1 Period=#2 NULL=BLANK Scale=6",,$D45,$AT$4),AY45)</f>
        <v>22.862500000000001</v>
      </c>
      <c r="AZ45" s="765" cm="1">
        <f t="array" aca="1" ref="AZ45" ca="1">IF(Reuters=1,_xll.TR(AZ$7,AZ$6,"Sdate=#1 Period=#2 NULL=BLANK Scale=6",,$D45,$AT$4),AZ45)</f>
        <v>10.0416666666667</v>
      </c>
      <c r="BA45" s="765" cm="1">
        <f t="array" aca="1" ref="BA45" ca="1">IF(Reuters=1,_xll.TR(BA$7,BA$6,"Sdate=#1 Period=#2 NULL=BLANK Scale=6",,$D45,$AT$4),BA45)</f>
        <v>2.8250000000000002</v>
      </c>
      <c r="BB45" s="765" cm="1">
        <f t="array" aca="1" ref="BB45" ca="1">IF(Reuters=1,_xll.TR(BB$7,BB$6,"Sdate=#1 Period=#2 NULL=BLANK Scale=6",,$D45,$AT$4),BB45)</f>
        <v>8.7041666666666693</v>
      </c>
      <c r="BE45" s="1000"/>
      <c r="BF45" s="1000"/>
      <c r="BG45" s="1000"/>
      <c r="BH45" s="1000"/>
      <c r="BI45" s="1000"/>
      <c r="BJ45" s="1000"/>
      <c r="BK45" s="1000"/>
      <c r="BL45" s="1000"/>
      <c r="BM45" s="1000"/>
    </row>
    <row r="46" spans="3:65" ht="11.25" customHeight="1">
      <c r="C46" s="972">
        <f t="shared" si="22"/>
        <v>43646</v>
      </c>
      <c r="D46" s="970">
        <f t="shared" si="12"/>
        <v>43691</v>
      </c>
      <c r="E46" s="765" cm="1">
        <f t="array" aca="1" ref="E46" ca="1">IF(Reuters=1,_xll.TR(E$7,E$6,"Sdate=#1 Period=#2 NULL=BLANK",,$D46,$E$4),E46)</f>
        <v>7.8735873785207398</v>
      </c>
      <c r="F46" s="765" cm="1">
        <f t="array" aca="1" ref="F46" ca="1">IF(Reuters=1,_xll.TR(F$7,F$6,"Sdate=#1 Period=#2 NULL=BLANK",,$D46,$E$4),F46)</f>
        <v>12.3970101708816</v>
      </c>
      <c r="G46" s="765" cm="1">
        <f t="array" aca="1" ref="G46" ca="1">IF(Reuters=1,_xll.TR(G$7,G$6,"Sdate=#1 Period=#2 NULL=BLANK",,$D46,$E$4),G46)</f>
        <v>12.3727540386292</v>
      </c>
      <c r="H46" s="765" cm="1">
        <f t="array" aca="1" ref="H46" ca="1">IF(Reuters=1,_xll.TR(H$7,H$6,"Sdate=#1 Period=#2 NULL=BLANK",,$D46,$E$4),H46)</f>
        <v>8.9244679838760295</v>
      </c>
      <c r="I46" s="765" cm="1">
        <f t="array" aca="1" ref="I46" ca="1">IF(Reuters=1,_xll.TR(I$7,I$6,"Sdate=#1 Period=#2 NULL=BLANK",,$D46,$E$4),I46)</f>
        <v>9.7544754660800805</v>
      </c>
      <c r="J46" s="765" cm="1">
        <f t="array" aca="1" ref="J46" ca="1">IF(Reuters=1,_xll.TR(J$7,J$6,"Sdate=#1 Period=#2 NULL=BLANK",,$D46,$E$4),J46)</f>
        <v>17.162328107117101</v>
      </c>
      <c r="K46" s="765" cm="1">
        <f t="array" aca="1" ref="K46" ca="1">IF(Reuters=1,_xll.TR(K$7,K$6,"Sdate=#1 Period=#2 NULL=BLANK",,$D46,$E$4),K46)</f>
        <v>10.095102736116299</v>
      </c>
      <c r="L46" s="765" cm="1">
        <f t="array" aca="1" ref="L46" ca="1">IF(Reuters=1,_xll.TR(L$7,L$6,"Sdate=#1 Period=#2 NULL=BLANK",,$D46,$E$4),L46)</f>
        <v>5.7438927715563999</v>
      </c>
      <c r="M46" s="765" cm="1">
        <f t="array" aca="1" ref="M46" ca="1">IF(Reuters=1,_xll.TR(M$7,M$6,"Sdate=#1 Period=#2 NULL=BLANK",,$D46,$E$4),M46)</f>
        <v>10.6881075377624</v>
      </c>
      <c r="P46" s="1000" cm="1">
        <f t="array" aca="1" ref="P46" ca="1">IF(Reuters=1,_xll.TR(P$7,P$6,"Sdate=#1 Period=#2 NULL=BLANK Scale=6",,$D46,$P$4),P46)</f>
        <v>1070</v>
      </c>
      <c r="Q46" s="1000" cm="1">
        <f t="array" aca="1" ref="Q46" ca="1">IF(Reuters=1,_xll.TR(Q$7,Q$6,"Sdate=#1 Period=#2 NULL=BLANK Scale=6",,$D46,$P$4),Q46)</f>
        <v>1245</v>
      </c>
      <c r="R46" s="1000" cm="1">
        <f t="array" aca="1" ref="R46" ca="1">IF(Reuters=1,_xll.TR(R$7,R$6,"Sdate=#1 Period=#2 NULL=BLANK Scale=6",,$D46,$P$4),R46)</f>
        <v>2655</v>
      </c>
      <c r="S46" s="1000" t="str" cm="1">
        <f t="array" aca="1" ref="S46" ca="1">IF(Reuters=1,_xll.TR(S$7,S$6,"Sdate=#1 Period=#2 NULL=BLANK Scale=6",,$D46,$P$4),S46)</f>
        <v/>
      </c>
      <c r="T46" s="1000" cm="1">
        <f t="array" aca="1" ref="T46" ca="1">IF(Reuters=1,_xll.TR(T$7,T$6,"Sdate=#1 Period=#2 NULL=BLANK Scale=6",,$D46,$P$4),T46)</f>
        <v>1680</v>
      </c>
      <c r="U46" s="1000" t="str" cm="1">
        <f t="array" aca="1" ref="U46" ca="1">IF(Reuters=1,_xll.TR(U$7,U$6,"Sdate=#1 Period=#2 NULL=BLANK Scale=6",,$D46,$P$4),U46)</f>
        <v/>
      </c>
      <c r="V46" s="1000" cm="1">
        <f t="array" aca="1" ref="V46" ca="1">IF(Reuters=1,_xll.TR(V$7,V$6,"Sdate=#1 Period=#2 NULL=BLANK Scale=6",,$D46,$P$4),V46)</f>
        <v>173.2</v>
      </c>
      <c r="W46" s="1000" cm="1">
        <f t="array" aca="1" ref="W46" ca="1">IF(Reuters=1,_xll.TR(W$7,W$6,"Sdate=#1 Period=#2 NULL=BLANK Scale=6",,$D46,$P$4),W46)</f>
        <v>479.4</v>
      </c>
      <c r="X46" s="1000" cm="1">
        <f t="array" aca="1" ref="X46" ca="1">IF(Reuters=1,_xll.TR(X$7,X$6,"Sdate=#1 Period=#2 NULL=BLANK Scale=6",,$D46,$P$4),X46)</f>
        <v>526</v>
      </c>
      <c r="Y46" s="998"/>
      <c r="Z46" s="1000" cm="1">
        <f t="array" aca="1" ref="Z46" ca="1">IF(Reuters=1,_xll.TR(Z$7,Z$6,"Sdate=#1 Period=#2 NULL=BLANK Scale=6",,$D46,$Z$4),Z46)</f>
        <v>8723.7873446400008</v>
      </c>
      <c r="AA46" s="1000" cm="1">
        <f t="array" aca="1" ref="AA46" ca="1">IF(Reuters=1,_xll.TR(AA$7,AA$6,"Sdate=#1 Period=#2 NULL=BLANK Scale=6",,$D46,$Z$4),AA46)</f>
        <v>13441.914111870001</v>
      </c>
      <c r="AB46" s="1000" cm="1">
        <f t="array" aca="1" ref="AB46" ca="1">IF(Reuters=1,_xll.TR(AB$7,AB$6,"Sdate=#1 Period=#2 NULL=BLANK Scale=6",,$D46,$Z$4),AB46)</f>
        <v>52647.198740079999</v>
      </c>
      <c r="AC46" s="1000" cm="1">
        <f t="array" aca="1" ref="AC46" ca="1">IF(Reuters=1,_xll.TR(AC$7,AC$6,"Sdate=#1 Period=#2 NULL=BLANK Scale=6",,$D46,$Z$4),AC46)</f>
        <v>32760.785224480001</v>
      </c>
      <c r="AD46" s="1000" cm="1">
        <f t="array" aca="1" ref="AD46" ca="1">IF(Reuters=1,_xll.TR(AD$7,AD$6,"Sdate=#1 Period=#2 NULL=BLANK Scale=6",,$D46,$Z$4),AD46)</f>
        <v>23275.908660535399</v>
      </c>
      <c r="AE46" s="1000" cm="1">
        <f t="array" aca="1" ref="AE46" ca="1">IF(Reuters=1,_xll.TR(AE$7,AE$6,"Sdate=#1 Period=#2 NULL=BLANK Scale=6",,$D46,$Z$4),AE46)</f>
        <v>49037.832206220002</v>
      </c>
      <c r="AF46" s="1000" cm="1">
        <f t="array" aca="1" ref="AF46" ca="1">IF(Reuters=1,_xll.TR(AF$7,AF$6,"Sdate=#1 Period=#2 NULL=BLANK Scale=6",,$D46,$Z$4),AF46)</f>
        <v>2282.28686702</v>
      </c>
      <c r="AG46" s="1000" cm="1">
        <f t="array" aca="1" ref="AG46" ca="1">IF(Reuters=1,_xll.TR(AG$7,AG$6,"Sdate=#1 Period=#2 NULL=BLANK Scale=6",,$D46,$Z$4),AG46)</f>
        <v>2761.8531286299999</v>
      </c>
      <c r="AH46" s="1000" cm="1">
        <f t="array" aca="1" ref="AH46" ca="1">IF(Reuters=1,_xll.TR(AH$7,AH$6,"Sdate=#1 Period=#2 NULL=BLANK Scale=6",,$D46,$Z$4),AH46)</f>
        <v>7821.8277651999997</v>
      </c>
      <c r="AJ46" s="1004">
        <f t="shared" ca="1" si="13"/>
        <v>8.1530722847102819</v>
      </c>
      <c r="AK46" s="1004">
        <f t="shared" ca="1" si="14"/>
        <v>10.796718162144579</v>
      </c>
      <c r="AL46" s="1004">
        <f t="shared" ca="1" si="15"/>
        <v>19.829453386094162</v>
      </c>
      <c r="AM46" s="1004" t="str">
        <f t="shared" ca="1" si="16"/>
        <v>NA</v>
      </c>
      <c r="AN46" s="1004">
        <f t="shared" ca="1" si="17"/>
        <v>13.854707536032976</v>
      </c>
      <c r="AO46" s="1004" t="str">
        <f t="shared" ca="1" si="18"/>
        <v>NA</v>
      </c>
      <c r="AP46" s="1004">
        <f t="shared" ca="1" si="19"/>
        <v>13.177175906581986</v>
      </c>
      <c r="AQ46" s="1004">
        <f t="shared" ca="1" si="20"/>
        <v>5.7610620121610348</v>
      </c>
      <c r="AR46" s="1004">
        <f t="shared" ca="1" si="21"/>
        <v>14.870394990874525</v>
      </c>
      <c r="AT46" s="765" cm="1">
        <f t="array" aca="1" ref="AT46" ca="1">IF(Reuters=1,_xll.TR(AT$7,AT$6,"Sdate=#1 Period=#2 NULL=BLANK Scale=6",,$D46,$AT$4),AT46)</f>
        <v>11.15</v>
      </c>
      <c r="AU46" s="765" cm="1">
        <f t="array" aca="1" ref="AU46" ca="1">IF(Reuters=1,_xll.TR(AU$7,AU$6,"Sdate=#1 Period=#2 NULL=BLANK Scale=6",,$D46,$AT$4),AU46)</f>
        <v>19.3333333333333</v>
      </c>
      <c r="AV46" s="765" cm="1">
        <f t="array" aca="1" ref="AV46" ca="1">IF(Reuters=1,_xll.TR(AV$7,AV$6,"Sdate=#1 Period=#2 NULL=BLANK Scale=6",,$D46,$AT$4),AV46)</f>
        <v>8.3611133333333303</v>
      </c>
      <c r="AW46" s="765" cm="1">
        <f t="array" aca="1" ref="AW46" ca="1">IF(Reuters=1,_xll.TR(AW$7,AW$6,"Sdate=#1 Period=#2 NULL=BLANK Scale=6",,$D46,$AT$4),AW46)</f>
        <v>10.94111</v>
      </c>
      <c r="AX46" s="765" cm="1">
        <f t="array" aca="1" ref="AX46" ca="1">IF(Reuters=1,_xll.TR(AX$7,AX$6,"Sdate=#1 Period=#2 NULL=BLANK Scale=6",,$D46,$AT$4),AX46)</f>
        <v>22.266666666666701</v>
      </c>
      <c r="AY46" s="765" cm="1">
        <f t="array" aca="1" ref="AY46" ca="1">IF(Reuters=1,_xll.TR(AY$7,AY$6,"Sdate=#1 Period=#2 NULL=BLANK Scale=6",,$D46,$AT$4),AY46)</f>
        <v>18.376666666666701</v>
      </c>
      <c r="AZ46" s="765" cm="1">
        <f t="array" aca="1" ref="AZ46" ca="1">IF(Reuters=1,_xll.TR(AZ$7,AZ$6,"Sdate=#1 Period=#2 NULL=BLANK Scale=6",,$D46,$AT$4),AZ46)</f>
        <v>10.8333333333333</v>
      </c>
      <c r="BA46" s="765" cm="1">
        <f t="array" aca="1" ref="BA46" ca="1">IF(Reuters=1,_xll.TR(BA$7,BA$6,"Sdate=#1 Period=#2 NULL=BLANK Scale=6",,$D46,$AT$4),BA46)</f>
        <v>2.4666666666666699</v>
      </c>
      <c r="BB46" s="765" cm="1">
        <f t="array" aca="1" ref="BB46" ca="1">IF(Reuters=1,_xll.TR(BB$7,BB$6,"Sdate=#1 Period=#2 NULL=BLANK Scale=6",,$D46,$AT$4),BB46)</f>
        <v>7.8666666666666698</v>
      </c>
      <c r="BE46" s="1000"/>
      <c r="BF46" s="1000"/>
      <c r="BG46" s="1000"/>
      <c r="BH46" s="1000"/>
      <c r="BI46" s="1000"/>
      <c r="BJ46" s="1000"/>
      <c r="BK46" s="1000"/>
      <c r="BL46" s="1000"/>
      <c r="BM46" s="1000"/>
    </row>
    <row r="47" spans="3:65" ht="11.25" customHeight="1">
      <c r="C47" s="973">
        <f t="shared" si="22"/>
        <v>43738</v>
      </c>
      <c r="D47" s="970">
        <f t="shared" si="12"/>
        <v>43783</v>
      </c>
      <c r="E47" s="765" cm="1">
        <f t="array" aca="1" ref="E47" ca="1">IF(Reuters=1,_xll.TR(E$7,E$6,"Sdate=#1 Period=#2 NULL=BLANK",,$D47,$E$4),E47)</f>
        <v>9.9330342445803907</v>
      </c>
      <c r="F47" s="765" cm="1">
        <f t="array" aca="1" ref="F47" ca="1">IF(Reuters=1,_xll.TR(F$7,F$6,"Sdate=#1 Period=#2 NULL=BLANK",,$D47,$E$4),F47)</f>
        <v>14.918051696858001</v>
      </c>
      <c r="G47" s="765" cm="1">
        <f t="array" aca="1" ref="G47" ca="1">IF(Reuters=1,_xll.TR(G$7,G$6,"Sdate=#1 Period=#2 NULL=BLANK",,$D47,$E$4),G47)</f>
        <v>22.248629464144202</v>
      </c>
      <c r="H47" s="765" cm="1">
        <f t="array" aca="1" ref="H47" ca="1">IF(Reuters=1,_xll.TR(H$7,H$6,"Sdate=#1 Period=#2 NULL=BLANK",,$D47,$E$4),H47)</f>
        <v>10.3686442204898</v>
      </c>
      <c r="I47" s="765" cm="1">
        <f t="array" aca="1" ref="I47" ca="1">IF(Reuters=1,_xll.TR(I$7,I$6,"Sdate=#1 Period=#2 NULL=BLANK",,$D47,$E$4),I47)</f>
        <v>9.98763357727697</v>
      </c>
      <c r="J47" s="765" cm="1">
        <f t="array" aca="1" ref="J47" ca="1">IF(Reuters=1,_xll.TR(J$7,J$6,"Sdate=#1 Period=#2 NULL=BLANK",,$D47,$E$4),J47)</f>
        <v>16.8247492060821</v>
      </c>
      <c r="K47" s="765" cm="1">
        <f t="array" aca="1" ref="K47" ca="1">IF(Reuters=1,_xll.TR(K$7,K$6,"Sdate=#1 Period=#2 NULL=BLANK",,$D47,$E$4),K47)</f>
        <v>16.1510444497675</v>
      </c>
      <c r="L47" s="765" cm="1">
        <f t="array" aca="1" ref="L47" ca="1">IF(Reuters=1,_xll.TR(L$7,L$6,"Sdate=#1 Period=#2 NULL=BLANK",,$D47,$E$4),L47)</f>
        <v>6.60451859449745</v>
      </c>
      <c r="M47" s="765" cm="1">
        <f t="array" aca="1" ref="M47" ca="1">IF(Reuters=1,_xll.TR(M$7,M$6,"Sdate=#1 Period=#2 NULL=BLANK",,$D47,$E$4),M47)</f>
        <v>11.3026246323154</v>
      </c>
      <c r="P47" s="1000" cm="1">
        <f t="array" aca="1" ref="P47" ca="1">IF(Reuters=1,_xll.TR(P$7,P$6,"Sdate=#1 Period=#2 NULL=BLANK Scale=6",,$D47,$P$4),P47)</f>
        <v>1118</v>
      </c>
      <c r="Q47" s="1000" cm="1">
        <f t="array" aca="1" ref="Q47" ca="1">IF(Reuters=1,_xll.TR(Q$7,Q$6,"Sdate=#1 Period=#2 NULL=BLANK Scale=6",,$D47,$P$4),Q47)</f>
        <v>1172</v>
      </c>
      <c r="R47" s="1000" cm="1">
        <f t="array" aca="1" ref="R47" ca="1">IF(Reuters=1,_xll.TR(R$7,R$6,"Sdate=#1 Period=#2 NULL=BLANK Scale=6",,$D47,$P$4),R47)</f>
        <v>1776</v>
      </c>
      <c r="S47" s="1000" t="str" cm="1">
        <f t="array" aca="1" ref="S47" ca="1">IF(Reuters=1,_xll.TR(S$7,S$6,"Sdate=#1 Period=#2 NULL=BLANK Scale=6",,$D47,$P$4),S47)</f>
        <v/>
      </c>
      <c r="T47" s="1000" cm="1">
        <f t="array" aca="1" ref="T47" ca="1">IF(Reuters=1,_xll.TR(T$7,T$6,"Sdate=#1 Period=#2 NULL=BLANK Scale=6",,$D47,$P$4),T47)</f>
        <v>2355</v>
      </c>
      <c r="U47" s="1000" t="str" cm="1">
        <f t="array" aca="1" ref="U47" ca="1">IF(Reuters=1,_xll.TR(U$7,U$6,"Sdate=#1 Period=#2 NULL=BLANK Scale=6",,$D47,$P$4),U47)</f>
        <v/>
      </c>
      <c r="V47" s="1000" cm="1">
        <f t="array" aca="1" ref="V47" ca="1">IF(Reuters=1,_xll.TR(V$7,V$6,"Sdate=#1 Period=#2 NULL=BLANK Scale=6",,$D47,$P$4),V47)</f>
        <v>208.7</v>
      </c>
      <c r="W47" s="1000" cm="1">
        <f t="array" aca="1" ref="W47" ca="1">IF(Reuters=1,_xll.TR(W$7,W$6,"Sdate=#1 Period=#2 NULL=BLANK Scale=6",,$D47,$P$4),W47)</f>
        <v>355.4</v>
      </c>
      <c r="X47" s="1000" cm="1">
        <f t="array" aca="1" ref="X47" ca="1">IF(Reuters=1,_xll.TR(X$7,X$6,"Sdate=#1 Period=#2 NULL=BLANK Scale=6",,$D47,$P$4),X47)</f>
        <v>423</v>
      </c>
      <c r="Y47" s="998"/>
      <c r="Z47" s="1000" cm="1">
        <f t="array" aca="1" ref="Z47" ca="1">IF(Reuters=1,_xll.TR(Z$7,Z$6,"Sdate=#1 Period=#2 NULL=BLANK Scale=6",,$D47,$Z$4),Z47)</f>
        <v>10855.22073345</v>
      </c>
      <c r="AA47" s="1000" cm="1">
        <f t="array" aca="1" ref="AA47" ca="1">IF(Reuters=1,_xll.TR(AA$7,AA$6,"Sdate=#1 Period=#2 NULL=BLANK Scale=6",,$D47,$Z$4),AA47)</f>
        <v>15267.606939449999</v>
      </c>
      <c r="AB47" s="1000" cm="1">
        <f t="array" aca="1" ref="AB47" ca="1">IF(Reuters=1,_xll.TR(AB$7,AB$6,"Sdate=#1 Period=#2 NULL=BLANK Scale=6",,$D47,$Z$4),AB47)</f>
        <v>64486.389105740003</v>
      </c>
      <c r="AC47" s="1000" cm="1">
        <f t="array" aca="1" ref="AC47" ca="1">IF(Reuters=1,_xll.TR(AC$7,AC$6,"Sdate=#1 Period=#2 NULL=BLANK Scale=6",,$D47,$Z$4),AC47)</f>
        <v>40003.70407475</v>
      </c>
      <c r="AD47" s="1000" cm="1">
        <f t="array" aca="1" ref="AD47" ca="1">IF(Reuters=1,_xll.TR(AD$7,AD$6,"Sdate=#1 Period=#2 NULL=BLANK Scale=6",,$D47,$Z$4),AD47)</f>
        <v>30525.091246387801</v>
      </c>
      <c r="AE47" s="1000" cm="1">
        <f t="array" aca="1" ref="AE47" ca="1">IF(Reuters=1,_xll.TR(AE$7,AE$6,"Sdate=#1 Period=#2 NULL=BLANK Scale=6",,$D47,$Z$4),AE47)</f>
        <v>51856.47019</v>
      </c>
      <c r="AF47" s="1000" cm="1">
        <f t="array" aca="1" ref="AF47" ca="1">IF(Reuters=1,_xll.TR(AF$7,AF$6,"Sdate=#1 Period=#2 NULL=BLANK Scale=6",,$D47,$Z$4),AF47)</f>
        <v>2528.1993041300002</v>
      </c>
      <c r="AG47" s="1000" cm="1">
        <f t="array" aca="1" ref="AG47" ca="1">IF(Reuters=1,_xll.TR(AG$7,AG$6,"Sdate=#1 Period=#2 NULL=BLANK Scale=6",,$D47,$Z$4),AG47)</f>
        <v>2904.4215836499998</v>
      </c>
      <c r="AH47" s="1000" cm="1">
        <f t="array" aca="1" ref="AH47" ca="1">IF(Reuters=1,_xll.TR(AH$7,AH$6,"Sdate=#1 Period=#2 NULL=BLANK Scale=6",,$D47,$Z$4),AH47)</f>
        <v>9309.7872270000007</v>
      </c>
      <c r="AJ47" s="1004">
        <f t="shared" ca="1" si="13"/>
        <v>9.7094997615831833</v>
      </c>
      <c r="AK47" s="1004">
        <f t="shared" ca="1" si="14"/>
        <v>13.026968378370306</v>
      </c>
      <c r="AL47" s="1004">
        <f t="shared" ca="1" si="15"/>
        <v>36.309903775754506</v>
      </c>
      <c r="AM47" s="1004" t="str">
        <f t="shared" ca="1" si="16"/>
        <v>NA</v>
      </c>
      <c r="AN47" s="1004">
        <f t="shared" ca="1" si="17"/>
        <v>12.961822185302676</v>
      </c>
      <c r="AO47" s="1004" t="str">
        <f t="shared" ca="1" si="18"/>
        <v>NA</v>
      </c>
      <c r="AP47" s="1004">
        <f t="shared" ca="1" si="19"/>
        <v>12.114035956540491</v>
      </c>
      <c r="AQ47" s="1004">
        <f t="shared" ca="1" si="20"/>
        <v>8.1722610682329773</v>
      </c>
      <c r="AR47" s="1004">
        <f t="shared" ca="1" si="21"/>
        <v>22.008953255319149</v>
      </c>
      <c r="AT47" s="765" cm="1">
        <f t="array" aca="1" ref="AT47" ca="1">IF(Reuters=1,_xll.TR(AT$7,AT$6,"Sdate=#1 Period=#2 NULL=BLANK Scale=6",,$D47,$AT$4),AT47)</f>
        <v>10.5375</v>
      </c>
      <c r="AU47" s="765" cm="1">
        <f t="array" aca="1" ref="AU47" ca="1">IF(Reuters=1,_xll.TR(AU$7,AU$6,"Sdate=#1 Period=#2 NULL=BLANK Scale=6",,$D47,$AT$4),AU47)</f>
        <v>19.280555833333299</v>
      </c>
      <c r="AV47" s="765" cm="1">
        <f t="array" aca="1" ref="AV47" ca="1">IF(Reuters=1,_xll.TR(AV$7,AV$6,"Sdate=#1 Period=#2 NULL=BLANK Scale=6",,$D47,$AT$4),AV47)</f>
        <v>8.2706666666666706</v>
      </c>
      <c r="AW47" s="765" cm="1">
        <f t="array" aca="1" ref="AW47" ca="1">IF(Reuters=1,_xll.TR(AW$7,AW$6,"Sdate=#1 Period=#2 NULL=BLANK Scale=6",,$D47,$AT$4),AW47)</f>
        <v>8.9433333333333298</v>
      </c>
      <c r="AX47" s="765" cm="1">
        <f t="array" aca="1" ref="AX47" ca="1">IF(Reuters=1,_xll.TR(AX$7,AX$6,"Sdate=#1 Period=#2 NULL=BLANK Scale=6",,$D47,$AT$4),AX47)</f>
        <v>17.783333333333299</v>
      </c>
      <c r="AY47" s="765" cm="1">
        <f t="array" aca="1" ref="AY47" ca="1">IF(Reuters=1,_xll.TR(AY$7,AY$6,"Sdate=#1 Period=#2 NULL=BLANK Scale=6",,$D47,$AT$4),AY47)</f>
        <v>13.802225</v>
      </c>
      <c r="AZ47" s="765" cm="1">
        <f t="array" aca="1" ref="AZ47" ca="1">IF(Reuters=1,_xll.TR(AZ$7,AZ$6,"Sdate=#1 Period=#2 NULL=BLANK Scale=6",,$D47,$AT$4),AZ47)</f>
        <v>7.5416666666666696</v>
      </c>
      <c r="BA47" s="765" cm="1">
        <f t="array" aca="1" ref="BA47" ca="1">IF(Reuters=1,_xll.TR(BA$7,BA$6,"Sdate=#1 Period=#2 NULL=BLANK Scale=6",,$D47,$AT$4),BA47)</f>
        <v>2.5000000000000001E-2</v>
      </c>
      <c r="BB47" s="765" cm="1">
        <f t="array" aca="1" ref="BB47" ca="1">IF(Reuters=1,_xll.TR(BB$7,BB$6,"Sdate=#1 Period=#2 NULL=BLANK Scale=6",,$D47,$AT$4),BB47)</f>
        <v>5.6524999999999999</v>
      </c>
      <c r="BE47" s="1000"/>
      <c r="BF47" s="1000"/>
      <c r="BG47" s="1000"/>
      <c r="BH47" s="1000"/>
      <c r="BI47" s="1000"/>
      <c r="BJ47" s="1000"/>
      <c r="BK47" s="1000"/>
      <c r="BL47" s="1000"/>
      <c r="BM47" s="1000"/>
    </row>
    <row r="48" spans="3:65" ht="11.25" customHeight="1">
      <c r="C48" s="969">
        <f t="shared" si="22"/>
        <v>43830</v>
      </c>
      <c r="D48" s="970">
        <f t="shared" si="12"/>
        <v>43875</v>
      </c>
      <c r="E48" s="765" cm="1">
        <f t="array" aca="1" ref="E48" ca="1">IF(Reuters=1,_xll.TR(E$7,E$6,"Sdate=#1 Period=#2 NULL=BLANK",,$D48,$E$4),E48)</f>
        <v>9.8189307530847003</v>
      </c>
      <c r="F48" s="765" cm="1">
        <f t="array" aca="1" ref="F48" ca="1">IF(Reuters=1,_xll.TR(F$7,F$6,"Sdate=#1 Period=#2 NULL=BLANK",,$D48,$E$4),F48)</f>
        <v>12.948109488140499</v>
      </c>
      <c r="G48" s="765" cm="1">
        <f t="array" aca="1" ref="G48" ca="1">IF(Reuters=1,_xll.TR(G$7,G$6,"Sdate=#1 Period=#2 NULL=BLANK",,$D48,$E$4),G48)</f>
        <v>21.244923275613001</v>
      </c>
      <c r="H48" s="765" cm="1">
        <f t="array" aca="1" ref="H48" ca="1">IF(Reuters=1,_xll.TR(H$7,H$6,"Sdate=#1 Period=#2 NULL=BLANK",,$D48,$E$4),H48)</f>
        <v>9.5387261887365309</v>
      </c>
      <c r="I48" s="765" cm="1">
        <f t="array" aca="1" ref="I48" ca="1">IF(Reuters=1,_xll.TR(I$7,I$6,"Sdate=#1 Period=#2 NULL=BLANK",,$D48,$E$4),I48)</f>
        <v>9.9522872937100093</v>
      </c>
      <c r="J48" s="765" cm="1">
        <f t="array" aca="1" ref="J48" ca="1">IF(Reuters=1,_xll.TR(J$7,J$6,"Sdate=#1 Period=#2 NULL=BLANK",,$D48,$E$4),J48)</f>
        <v>12.1602357238413</v>
      </c>
      <c r="K48" s="765" cm="1">
        <f t="array" aca="1" ref="K48" ca="1">IF(Reuters=1,_xll.TR(K$7,K$6,"Sdate=#1 Period=#2 NULL=BLANK",,$D48,$E$4),K48)</f>
        <v>13.333803810868</v>
      </c>
      <c r="L48" s="765" cm="1">
        <f t="array" aca="1" ref="L48" ca="1">IF(Reuters=1,_xll.TR(L$7,L$6,"Sdate=#1 Period=#2 NULL=BLANK",,$D48,$E$4),L48)</f>
        <v>8.8084567764667003</v>
      </c>
      <c r="M48" s="765" cm="1">
        <f t="array" aca="1" ref="M48" ca="1">IF(Reuters=1,_xll.TR(M$7,M$6,"Sdate=#1 Period=#2 NULL=BLANK",,$D48,$E$4),M48)</f>
        <v>9.89096899919533</v>
      </c>
      <c r="P48" s="1000" cm="1">
        <f t="array" aca="1" ref="P48" ca="1">IF(Reuters=1,_xll.TR(P$7,P$6,"Sdate=#1 Period=#2 NULL=BLANK Scale=6",,$D48,$P$4),P48)</f>
        <v>1079</v>
      </c>
      <c r="Q48" s="1000" cm="1">
        <f t="array" aca="1" ref="Q48" ca="1">IF(Reuters=1,_xll.TR(Q$7,Q$6,"Sdate=#1 Period=#2 NULL=BLANK Scale=6",,$D48,$P$4),Q48)</f>
        <v>1084</v>
      </c>
      <c r="R48" s="1000" cm="1">
        <f t="array" aca="1" ref="R48" ca="1">IF(Reuters=1,_xll.TR(R$7,R$6,"Sdate=#1 Period=#2 NULL=BLANK Scale=6",,$D48,$P$4),R48)</f>
        <v>1776</v>
      </c>
      <c r="S48" s="1000" cm="1">
        <f t="array" aca="1" ref="S48" ca="1">IF(Reuters=1,_xll.TR(S$7,S$6,"Sdate=#1 Period=#2 NULL=BLANK Scale=6",,$D48,$P$4),S48)</f>
        <v>4122</v>
      </c>
      <c r="T48" s="1000" cm="1">
        <f t="array" aca="1" ref="T48" ca="1">IF(Reuters=1,_xll.TR(T$7,T$6,"Sdate=#1 Period=#2 NULL=BLANK Scale=6",,$D48,$P$4),T48)</f>
        <v>2267</v>
      </c>
      <c r="U48" s="1000" cm="1">
        <f t="array" aca="1" ref="U48" ca="1">IF(Reuters=1,_xll.TR(U$7,U$6,"Sdate=#1 Period=#2 NULL=BLANK Scale=6",,$D48,$P$4),U48)</f>
        <v>-1063</v>
      </c>
      <c r="V48" s="1000" cm="1">
        <f t="array" aca="1" ref="V48" ca="1">IF(Reuters=1,_xll.TR(V$7,V$6,"Sdate=#1 Period=#2 NULL=BLANK Scale=6",,$D48,$P$4),V48)</f>
        <v>220</v>
      </c>
      <c r="W48" s="1000" cm="1">
        <f t="array" aca="1" ref="W48" ca="1">IF(Reuters=1,_xll.TR(W$7,W$6,"Sdate=#1 Period=#2 NULL=BLANK Scale=6",,$D48,$P$4),W48)</f>
        <v>231.5</v>
      </c>
      <c r="X48" s="1000" cm="1">
        <f t="array" aca="1" ref="X48" ca="1">IF(Reuters=1,_xll.TR(X$7,X$6,"Sdate=#1 Period=#2 NULL=BLANK Scale=6",,$D48,$P$4),X48)</f>
        <v>423</v>
      </c>
      <c r="Y48" s="998"/>
      <c r="Z48" s="1000" cm="1">
        <f t="array" aca="1" ref="Z48" ca="1">IF(Reuters=1,_xll.TR(Z$7,Z$6,"Sdate=#1 Period=#2 NULL=BLANK Scale=6",,$D48,$Z$4),Z48)</f>
        <v>10162.760327579999</v>
      </c>
      <c r="AA48" s="1000" cm="1">
        <f t="array" aca="1" ref="AA48" ca="1">IF(Reuters=1,_xll.TR(AA$7,AA$6,"Sdate=#1 Period=#2 NULL=BLANK Scale=6",,$D48,$Z$4),AA48)</f>
        <v>13153.543198560001</v>
      </c>
      <c r="AB48" s="1000" cm="1">
        <f t="array" aca="1" ref="AB48" ca="1">IF(Reuters=1,_xll.TR(AB$7,AB$6,"Sdate=#1 Period=#2 NULL=BLANK Scale=6",,$D48,$Z$4),AB48)</f>
        <v>57414.103161940002</v>
      </c>
      <c r="AC48" s="1000" cm="1">
        <f t="array" aca="1" ref="AC48" ca="1">IF(Reuters=1,_xll.TR(AC$7,AC$6,"Sdate=#1 Period=#2 NULL=BLANK Scale=6",,$D48,$Z$4),AC48)</f>
        <v>36067.848116579997</v>
      </c>
      <c r="AD48" s="1000" cm="1">
        <f t="array" aca="1" ref="AD48" ca="1">IF(Reuters=1,_xll.TR(AD$7,AD$6,"Sdate=#1 Period=#2 NULL=BLANK Scale=6",,$D48,$Z$4),AD48)</f>
        <v>26297.168934602902</v>
      </c>
      <c r="AE48" s="1000" cm="1">
        <f t="array" aca="1" ref="AE48" ca="1">IF(Reuters=1,_xll.TR(AE$7,AE$6,"Sdate=#1 Period=#2 NULL=BLANK Scale=6",,$D48,$Z$4),AE48)</f>
        <v>39261.527332199999</v>
      </c>
      <c r="AF48" s="1000" cm="1">
        <f t="array" aca="1" ref="AF48" ca="1">IF(Reuters=1,_xll.TR(AF$7,AF$6,"Sdate=#1 Period=#2 NULL=BLANK Scale=6",,$D48,$Z$4),AF48)</f>
        <v>2905.9582906000001</v>
      </c>
      <c r="AG48" s="1000" cm="1">
        <f t="array" aca="1" ref="AG48" ca="1">IF(Reuters=1,_xll.TR(AG$7,AG$6,"Sdate=#1 Period=#2 NULL=BLANK Scale=6",,$D48,$Z$4),AG48)</f>
        <v>2815.3422338999999</v>
      </c>
      <c r="AH48" s="1000" cm="1">
        <f t="array" aca="1" ref="AH48" ca="1">IF(Reuters=1,_xll.TR(AH$7,AH$6,"Sdate=#1 Period=#2 NULL=BLANK Scale=6",,$D48,$Z$4),AH48)</f>
        <v>8324.9861045199996</v>
      </c>
      <c r="AJ48" s="1004">
        <f t="shared" ca="1" si="13"/>
        <v>9.4186842702316955</v>
      </c>
      <c r="AK48" s="1004">
        <f t="shared" ca="1" si="14"/>
        <v>12.134264943321034</v>
      </c>
      <c r="AL48" s="1004">
        <f t="shared" ca="1" si="15"/>
        <v>32.327760789380633</v>
      </c>
      <c r="AM48" s="1004">
        <f t="shared" ca="1" si="16"/>
        <v>8.7500844533187774</v>
      </c>
      <c r="AN48" s="1004">
        <f t="shared" ca="1" si="17"/>
        <v>11.599986296692943</v>
      </c>
      <c r="AO48" s="1004">
        <f t="shared" ca="1" si="18"/>
        <v>-36.934644715145815</v>
      </c>
      <c r="AP48" s="1004">
        <f t="shared" ca="1" si="19"/>
        <v>13.20890132090909</v>
      </c>
      <c r="AQ48" s="1004">
        <f t="shared" ca="1" si="20"/>
        <v>12.16130554600432</v>
      </c>
      <c r="AR48" s="1004">
        <f t="shared" ca="1" si="21"/>
        <v>19.68081821399527</v>
      </c>
      <c r="AT48" s="765" cm="1">
        <f t="array" aca="1" ref="AT48" ca="1">IF(Reuters=1,_xll.TR(AT$7,AT$6,"Sdate=#1 Period=#2 NULL=BLANK Scale=6",,$D48,$AT$4),AT48)</f>
        <v>11.466666666666701</v>
      </c>
      <c r="AU48" s="765" cm="1">
        <f t="array" aca="1" ref="AU48" ca="1">IF(Reuters=1,_xll.TR(AU$7,AU$6,"Sdate=#1 Period=#2 NULL=BLANK Scale=6",,$D48,$AT$4),AU48)</f>
        <v>18.827774999999999</v>
      </c>
      <c r="AV48" s="765" cm="1">
        <f t="array" aca="1" ref="AV48" ca="1">IF(Reuters=1,_xll.TR(AV$7,AV$6,"Sdate=#1 Period=#2 NULL=BLANK Scale=6",,$D48,$AT$4),AV48)</f>
        <v>7.8775000000000004</v>
      </c>
      <c r="AW48" s="765" cm="1">
        <f t="array" aca="1" ref="AW48" ca="1">IF(Reuters=1,_xll.TR(AW$7,AW$6,"Sdate=#1 Period=#2 NULL=BLANK Scale=6",,$D48,$AT$4),AW48)</f>
        <v>7.7791666666666703</v>
      </c>
      <c r="AX48" s="765" cm="1">
        <f t="array" aca="1" ref="AX48" ca="1">IF(Reuters=1,_xll.TR(AX$7,AX$6,"Sdate=#1 Period=#2 NULL=BLANK Scale=6",,$D48,$AT$4),AX48)</f>
        <v>16.45</v>
      </c>
      <c r="AY48" s="765" cm="1">
        <f t="array" aca="1" ref="AY48" ca="1">IF(Reuters=1,_xll.TR(AY$7,AY$6,"Sdate=#1 Period=#2 NULL=BLANK Scale=6",,$D48,$AT$4),AY48)</f>
        <v>12.5833333333333</v>
      </c>
      <c r="AZ48" s="765" cm="1">
        <f t="array" aca="1" ref="AZ48" ca="1">IF(Reuters=1,_xll.TR(AZ$7,AZ$6,"Sdate=#1 Period=#2 NULL=BLANK Scale=6",,$D48,$AT$4),AZ48)</f>
        <v>10.483333333333301</v>
      </c>
      <c r="BA48" s="765" cm="1">
        <f t="array" aca="1" ref="BA48" ca="1">IF(Reuters=1,_xll.TR(BA$7,BA$6,"Sdate=#1 Period=#2 NULL=BLANK Scale=6",,$D48,$AT$4),BA48)</f>
        <v>-0.65</v>
      </c>
      <c r="BB48" s="765" cm="1">
        <f t="array" aca="1" ref="BB48" ca="1">IF(Reuters=1,_xll.TR(BB$7,BB$6,"Sdate=#1 Period=#2 NULL=BLANK Scale=6",,$D48,$AT$4),BB48)</f>
        <v>5</v>
      </c>
      <c r="BE48" s="1000"/>
      <c r="BF48" s="1000"/>
      <c r="BG48" s="1000"/>
      <c r="BH48" s="1000"/>
      <c r="BI48" s="1000"/>
      <c r="BJ48" s="1000"/>
      <c r="BK48" s="1000"/>
      <c r="BL48" s="1000"/>
      <c r="BM48" s="1000"/>
    </row>
    <row r="49" spans="3:65" ht="11.25" customHeight="1">
      <c r="C49" s="971">
        <f t="shared" si="22"/>
        <v>43921</v>
      </c>
      <c r="D49" s="970">
        <f t="shared" si="12"/>
        <v>43966</v>
      </c>
      <c r="E49" s="765" cm="1">
        <f t="array" aca="1" ref="E49" ca="1">IF(Reuters=1,_xll.TR(E$7,E$6,"Sdate=#1 Period=#2 NULL=BLANK",,$D49,$E$4),E49)</f>
        <v>8.7297521584495392</v>
      </c>
      <c r="F49" s="765" cm="1">
        <f t="array" aca="1" ref="F49" ca="1">IF(Reuters=1,_xll.TR(F$7,F$6,"Sdate=#1 Period=#2 NULL=BLANK",,$D49,$E$4),F49)</f>
        <v>10.161026492951599</v>
      </c>
      <c r="G49" s="765" cm="1">
        <f t="array" aca="1" ref="G49" ca="1">IF(Reuters=1,_xll.TR(G$7,G$6,"Sdate=#1 Period=#2 NULL=BLANK",,$D49,$E$4),G49)</f>
        <v>15.5631900992278</v>
      </c>
      <c r="H49" s="765" cm="1">
        <f t="array" aca="1" ref="H49" ca="1">IF(Reuters=1,_xll.TR(H$7,H$6,"Sdate=#1 Period=#2 NULL=BLANK",,$D49,$E$4),H49)</f>
        <v>8.1712239893761094</v>
      </c>
      <c r="I49" s="765" cm="1">
        <f t="array" aca="1" ref="I49" ca="1">IF(Reuters=1,_xll.TR(I$7,I$6,"Sdate=#1 Period=#2 NULL=BLANK",,$D49,$E$4),I49)</f>
        <v>9.9856658013325799</v>
      </c>
      <c r="J49" s="765" cm="1">
        <f t="array" aca="1" ref="J49" ca="1">IF(Reuters=1,_xll.TR(J$7,J$6,"Sdate=#1 Period=#2 NULL=BLANK",,$D49,$E$4),J49)</f>
        <v>13.1124366196167</v>
      </c>
      <c r="K49" s="765" cm="1">
        <f t="array" aca="1" ref="K49" ca="1">IF(Reuters=1,_xll.TR(K$7,K$6,"Sdate=#1 Period=#2 NULL=BLANK",,$D49,$E$4),K49)</f>
        <v>10.8183361629881</v>
      </c>
      <c r="L49" s="765" cm="1">
        <f t="array" aca="1" ref="L49" ca="1">IF(Reuters=1,_xll.TR(L$7,L$6,"Sdate=#1 Period=#2 NULL=BLANK",,$D49,$E$4),L49)</f>
        <v>4.9485105986174602</v>
      </c>
      <c r="M49" s="765" cm="1">
        <f t="array" aca="1" ref="M49" ca="1">IF(Reuters=1,_xll.TR(M$7,M$6,"Sdate=#1 Period=#2 NULL=BLANK",,$D49,$E$4),M49)</f>
        <v>12.2897582424125</v>
      </c>
      <c r="P49" s="1000" cm="1">
        <f t="array" aca="1" ref="P49" ca="1">IF(Reuters=1,_xll.TR(P$7,P$6,"Sdate=#1 Period=#2 NULL=BLANK Scale=6",,$D49,$P$4),P49)</f>
        <v>1262</v>
      </c>
      <c r="Q49" s="1000" cm="1">
        <f t="array" aca="1" ref="Q49" ca="1">IF(Reuters=1,_xll.TR(Q$7,Q$6,"Sdate=#1 Period=#2 NULL=BLANK Scale=6",,$D49,$P$4),Q49)</f>
        <v>996</v>
      </c>
      <c r="R49" s="1000" t="str" cm="1">
        <f t="array" aca="1" ref="R49" ca="1">IF(Reuters=1,_xll.TR(R$7,R$6,"Sdate=#1 Period=#2 NULL=BLANK Scale=6",,$D49,$P$4),R49)</f>
        <v/>
      </c>
      <c r="S49" s="1000" cm="1">
        <f t="array" aca="1" ref="S49" ca="1">IF(Reuters=1,_xll.TR(S$7,S$6,"Sdate=#1 Period=#2 NULL=BLANK Scale=6",,$D49,$P$4),S49)</f>
        <v>4051</v>
      </c>
      <c r="T49" s="1000" cm="1">
        <f t="array" aca="1" ref="T49" ca="1">IF(Reuters=1,_xll.TR(T$7,T$6,"Sdate=#1 Period=#2 NULL=BLANK Scale=6",,$D49,$P$4),T49)</f>
        <v>2091</v>
      </c>
      <c r="U49" s="1000" cm="1">
        <f t="array" aca="1" ref="U49" ca="1">IF(Reuters=1,_xll.TR(U$7,U$6,"Sdate=#1 Period=#2 NULL=BLANK Scale=6",,$D49,$P$4),U49)</f>
        <v>287</v>
      </c>
      <c r="V49" s="1000" cm="1">
        <f t="array" aca="1" ref="V49" ca="1">IF(Reuters=1,_xll.TR(V$7,V$6,"Sdate=#1 Period=#2 NULL=BLANK Scale=6",,$D49,$P$4),V49)</f>
        <v>230.7</v>
      </c>
      <c r="W49" s="1000" cm="1">
        <f t="array" aca="1" ref="W49" ca="1">IF(Reuters=1,_xll.TR(W$7,W$6,"Sdate=#1 Period=#2 NULL=BLANK Scale=6",,$D49,$P$4),W49)</f>
        <v>85.6</v>
      </c>
      <c r="X49" s="1000" cm="1">
        <f t="array" aca="1" ref="X49" ca="1">IF(Reuters=1,_xll.TR(X$7,X$6,"Sdate=#1 Period=#2 NULL=BLANK Scale=6",,$D49,$P$4),X49)</f>
        <v>467</v>
      </c>
      <c r="Y49" s="998"/>
      <c r="Z49" s="1000" cm="1">
        <f t="array" aca="1" ref="Z49" ca="1">IF(Reuters=1,_xll.TR(Z$7,Z$6,"Sdate=#1 Period=#2 NULL=BLANK Scale=6",,$D49,$Z$4),Z49)</f>
        <v>8149.5786522600001</v>
      </c>
      <c r="AA49" s="1000" cm="1">
        <f t="array" aca="1" ref="AA49" ca="1">IF(Reuters=1,_xll.TR(AA$7,AA$6,"Sdate=#1 Period=#2 NULL=BLANK Scale=6",,$D49,$Z$4),AA49)</f>
        <v>9064.6096096599995</v>
      </c>
      <c r="AB49" s="1000" cm="1">
        <f t="array" aca="1" ref="AB49" ca="1">IF(Reuters=1,_xll.TR(AB$7,AB$6,"Sdate=#1 Period=#2 NULL=BLANK Scale=6",,$D49,$Z$4),AB49)</f>
        <v>39287.926135850001</v>
      </c>
      <c r="AC49" s="1000" cm="1">
        <f t="array" aca="1" ref="AC49" ca="1">IF(Reuters=1,_xll.TR(AC$7,AC$6,"Sdate=#1 Period=#2 NULL=BLANK Scale=6",,$D49,$Z$4),AC49)</f>
        <v>24858.926084279999</v>
      </c>
      <c r="AD49" s="1000" cm="1">
        <f t="array" aca="1" ref="AD49" ca="1">IF(Reuters=1,_xll.TR(AD$7,AD$6,"Sdate=#1 Period=#2 NULL=BLANK Scale=6",,$D49,$Z$4),AD49)</f>
        <v>17079.626839447799</v>
      </c>
      <c r="AE49" s="1000" cm="1">
        <f t="array" aca="1" ref="AE49" ca="1">IF(Reuters=1,_xll.TR(AE$7,AE$6,"Sdate=#1 Period=#2 NULL=BLANK Scale=6",,$D49,$Z$4),AE49)</f>
        <v>33351.085376100003</v>
      </c>
      <c r="AF49" s="1000" cm="1">
        <f t="array" aca="1" ref="AF49" ca="1">IF(Reuters=1,_xll.TR(AF$7,AF$6,"Sdate=#1 Period=#2 NULL=BLANK Scale=6",,$D49,$Z$4),AF49)</f>
        <v>1941.27788736</v>
      </c>
      <c r="AG49" s="1000" cm="1">
        <f t="array" aca="1" ref="AG49" ca="1">IF(Reuters=1,_xll.TR(AG$7,AG$6,"Sdate=#1 Period=#2 NULL=BLANK Scale=6",,$D49,$Z$4),AG49)</f>
        <v>1752.1478316</v>
      </c>
      <c r="AH49" s="1000" cm="1">
        <f t="array" aca="1" ref="AH49" ca="1">IF(Reuters=1,_xll.TR(AH$7,AH$6,"Sdate=#1 Period=#2 NULL=BLANK Scale=6",,$D49,$Z$4),AH49)</f>
        <v>4919.2206544000001</v>
      </c>
      <c r="AJ49" s="1004">
        <f t="shared" ca="1" si="13"/>
        <v>6.4576692965610141</v>
      </c>
      <c r="AK49" s="1004">
        <f t="shared" ca="1" si="14"/>
        <v>9.1010136643172679</v>
      </c>
      <c r="AL49" s="1004" t="str">
        <f t="shared" ca="1" si="15"/>
        <v>NA</v>
      </c>
      <c r="AM49" s="1004">
        <f t="shared" ca="1" si="16"/>
        <v>6.1364912575364103</v>
      </c>
      <c r="AN49" s="1004">
        <f t="shared" ca="1" si="17"/>
        <v>8.1681620466034435</v>
      </c>
      <c r="AO49" s="1004">
        <f t="shared" ca="1" si="18"/>
        <v>116.20587239059235</v>
      </c>
      <c r="AP49" s="1004">
        <f t="shared" ca="1" si="19"/>
        <v>8.4147285971391419</v>
      </c>
      <c r="AQ49" s="1004">
        <f t="shared" ca="1" si="20"/>
        <v>20.469016724299067</v>
      </c>
      <c r="AR49" s="1004">
        <f t="shared" ca="1" si="21"/>
        <v>10.533663071520342</v>
      </c>
      <c r="AT49" s="765" cm="1">
        <f t="array" aca="1" ref="AT49" ca="1">IF(Reuters=1,_xll.TR(AT$7,AT$6,"Sdate=#1 Period=#2 NULL=BLANK Scale=6",,$D49,$AT$4),AT49)</f>
        <v>8.80833333333333</v>
      </c>
      <c r="AU49" s="765" cm="1">
        <f t="array" aca="1" ref="AU49" ca="1">IF(Reuters=1,_xll.TR(AU$7,AU$6,"Sdate=#1 Period=#2 NULL=BLANK Scale=6",,$D49,$AT$4),AU49)</f>
        <v>15.091666666666701</v>
      </c>
      <c r="AV49" s="765" cm="1">
        <f t="array" aca="1" ref="AV49" ca="1">IF(Reuters=1,_xll.TR(AV$7,AV$6,"Sdate=#1 Period=#2 NULL=BLANK Scale=6",,$D49,$AT$4),AV49)</f>
        <v>5.6791666666666698</v>
      </c>
      <c r="AW49" s="765" cm="1">
        <f t="array" aca="1" ref="AW49" ca="1">IF(Reuters=1,_xll.TR(AW$7,AW$6,"Sdate=#1 Period=#2 NULL=BLANK Scale=6",,$D49,$AT$4),AW49)</f>
        <v>4.9216699999999998</v>
      </c>
      <c r="AX49" s="765" cm="1">
        <f t="array" aca="1" ref="AX49" ca="1">IF(Reuters=1,_xll.TR(AX$7,AX$6,"Sdate=#1 Period=#2 NULL=BLANK Scale=6",,$D49,$AT$4),AX49)</f>
        <v>9.0812500000000007</v>
      </c>
      <c r="AY49" s="765" cm="1">
        <f t="array" aca="1" ref="AY49" ca="1">IF(Reuters=1,_xll.TR(AY$7,AY$6,"Sdate=#1 Period=#2 NULL=BLANK Scale=6",,$D49,$AT$4),AY49)</f>
        <v>15.0058333333333</v>
      </c>
      <c r="AZ49" s="765" cm="1">
        <f t="array" aca="1" ref="AZ49" ca="1">IF(Reuters=1,_xll.TR(AZ$7,AZ$6,"Sdate=#1 Period=#2 NULL=BLANK Scale=6",,$D49,$AT$4),AZ49)</f>
        <v>10.0666666666667</v>
      </c>
      <c r="BA49" s="765" cm="1">
        <f t="array" aca="1" ref="BA49" ca="1">IF(Reuters=1,_xll.TR(BA$7,BA$6,"Sdate=#1 Period=#2 NULL=BLANK Scale=6",,$D49,$AT$4),BA49)</f>
        <v>-1.8333333333333299</v>
      </c>
      <c r="BB49" s="765" cm="1">
        <f t="array" aca="1" ref="BB49" ca="1">IF(Reuters=1,_xll.TR(BB$7,BB$6,"Sdate=#1 Period=#2 NULL=BLANK Scale=6",,$D49,$AT$4),BB49)</f>
        <v>2.5327791666666699</v>
      </c>
      <c r="BE49" s="1000"/>
      <c r="BF49" s="1000"/>
      <c r="BG49" s="1000"/>
      <c r="BH49" s="1000"/>
      <c r="BI49" s="1000"/>
      <c r="BJ49" s="1000"/>
      <c r="BK49" s="1000"/>
      <c r="BL49" s="1000"/>
      <c r="BM49" s="1000"/>
    </row>
    <row r="50" spans="3:65" ht="11.25" customHeight="1">
      <c r="C50" s="972">
        <f t="shared" si="22"/>
        <v>44012</v>
      </c>
      <c r="D50" s="970">
        <f t="shared" si="12"/>
        <v>44057</v>
      </c>
      <c r="E50" s="765" cm="1">
        <f t="array" aca="1" ref="E50" ca="1">IF(Reuters=1,_xll.TR(E$7,E$6,"Sdate=#1 Period=#2 NULL=BLANK",,$D50,$E$4),E50)</f>
        <v>10.7396102440261</v>
      </c>
      <c r="F50" s="765" cm="1">
        <f t="array" aca="1" ref="F50" ca="1">IF(Reuters=1,_xll.TR(F$7,F$6,"Sdate=#1 Period=#2 NULL=BLANK",,$D50,$E$4),F50)</f>
        <v>13.232603737762901</v>
      </c>
      <c r="G50" s="765" cm="1">
        <f t="array" aca="1" ref="G50" ca="1">IF(Reuters=1,_xll.TR(G$7,G$6,"Sdate=#1 Period=#2 NULL=BLANK",,$D50,$E$4),G50)</f>
        <v>19.759222934840398</v>
      </c>
      <c r="H50" s="765" cm="1">
        <f t="array" aca="1" ref="H50" ca="1">IF(Reuters=1,_xll.TR(H$7,H$6,"Sdate=#1 Period=#2 NULL=BLANK",,$D50,$E$4),H50)</f>
        <v>13.423508141760101</v>
      </c>
      <c r="I50" s="765" cm="1">
        <f t="array" aca="1" ref="I50" ca="1">IF(Reuters=1,_xll.TR(I$7,I$6,"Sdate=#1 Period=#2 NULL=BLANK",,$D50,$E$4),I50)</f>
        <v>14.446273131580901</v>
      </c>
      <c r="J50" s="765" cm="1">
        <f t="array" aca="1" ref="J50" ca="1">IF(Reuters=1,_xll.TR(J$7,J$6,"Sdate=#1 Period=#2 NULL=BLANK",,$D50,$E$4),J50)</f>
        <v>14.635705316347799</v>
      </c>
      <c r="K50" s="765" cm="1">
        <f t="array" aca="1" ref="K50" ca="1">IF(Reuters=1,_xll.TR(K$7,K$6,"Sdate=#1 Period=#2 NULL=BLANK",,$D50,$E$4),K50)</f>
        <v>9.5883069427527392</v>
      </c>
      <c r="L50" s="765" cm="1">
        <f t="array" aca="1" ref="L50" ca="1">IF(Reuters=1,_xll.TR(L$7,L$6,"Sdate=#1 Period=#2 NULL=BLANK",,$D50,$E$4),L50)</f>
        <v>5.4626780446023497</v>
      </c>
      <c r="M50" s="765" cm="1">
        <f t="array" aca="1" ref="M50" ca="1">IF(Reuters=1,_xll.TR(M$7,M$6,"Sdate=#1 Period=#2 NULL=BLANK",,$D50,$E$4),M50)</f>
        <v>18.319725329316402</v>
      </c>
      <c r="P50" s="1000" cm="1">
        <f t="array" aca="1" ref="P50" ca="1">IF(Reuters=1,_xll.TR(P$7,P$6,"Sdate=#1 Period=#2 NULL=BLANK Scale=6",,$D50,$P$4),P50)</f>
        <v>1271</v>
      </c>
      <c r="Q50" s="1000" cm="1">
        <f t="array" aca="1" ref="Q50" ca="1">IF(Reuters=1,_xll.TR(Q$7,Q$6,"Sdate=#1 Period=#2 NULL=BLANK Scale=6",,$D50,$P$4),Q50)</f>
        <v>928</v>
      </c>
      <c r="R50" s="1000" t="str" cm="1">
        <f t="array" aca="1" ref="R50" ca="1">IF(Reuters=1,_xll.TR(R$7,R$6,"Sdate=#1 Period=#2 NULL=BLANK Scale=6",,$D50,$P$4),R50)</f>
        <v/>
      </c>
      <c r="S50" s="1000" cm="1">
        <f t="array" aca="1" ref="S50" ca="1">IF(Reuters=1,_xll.TR(S$7,S$6,"Sdate=#1 Period=#2 NULL=BLANK Scale=6",,$D50,$P$4),S50)</f>
        <v>4760</v>
      </c>
      <c r="T50" s="1000" cm="1">
        <f t="array" aca="1" ref="T50" ca="1">IF(Reuters=1,_xll.TR(T$7,T$6,"Sdate=#1 Period=#2 NULL=BLANK Scale=6",,$D50,$P$4),T50)</f>
        <v>2231</v>
      </c>
      <c r="U50" s="1000" cm="1">
        <f t="array" aca="1" ref="U50" ca="1">IF(Reuters=1,_xll.TR(U$7,U$6,"Sdate=#1 Period=#2 NULL=BLANK Scale=6",,$D50,$P$4),U50)</f>
        <v>1589</v>
      </c>
      <c r="V50" s="1000" cm="1">
        <f t="array" aca="1" ref="V50" ca="1">IF(Reuters=1,_xll.TR(V$7,V$6,"Sdate=#1 Period=#2 NULL=BLANK Scale=6",,$D50,$P$4),V50)</f>
        <v>201.8</v>
      </c>
      <c r="W50" s="1000" cm="1">
        <f t="array" aca="1" ref="W50" ca="1">IF(Reuters=1,_xll.TR(W$7,W$6,"Sdate=#1 Period=#2 NULL=BLANK Scale=6",,$D50,$P$4),W50)</f>
        <v>75.599999999999994</v>
      </c>
      <c r="X50" s="1000" cm="1">
        <f t="array" aca="1" ref="X50" ca="1">IF(Reuters=1,_xll.TR(X$7,X$6,"Sdate=#1 Period=#2 NULL=BLANK Scale=6",,$D50,$P$4),X50)</f>
        <v>676</v>
      </c>
      <c r="Y50" s="998"/>
      <c r="Z50" s="1000" cm="1">
        <f t="array" aca="1" ref="Z50" ca="1">IF(Reuters=1,_xll.TR(Z$7,Z$6,"Sdate=#1 Period=#2 NULL=BLANK Scale=6",,$D50,$Z$4),Z50)</f>
        <v>9919.7836172400002</v>
      </c>
      <c r="AA50" s="1000" cm="1">
        <f t="array" aca="1" ref="AA50" ca="1">IF(Reuters=1,_xll.TR(AA$7,AA$6,"Sdate=#1 Period=#2 NULL=BLANK Scale=6",,$D50,$Z$4),AA50)</f>
        <v>12004.136481240001</v>
      </c>
      <c r="AB50" s="1000" cm="1">
        <f t="array" aca="1" ref="AB50" ca="1">IF(Reuters=1,_xll.TR(AB$7,AB$6,"Sdate=#1 Period=#2 NULL=BLANK Scale=6",,$D50,$Z$4),AB50)</f>
        <v>46199.478308199999</v>
      </c>
      <c r="AC50" s="1000" cm="1">
        <f t="array" aca="1" ref="AC50" ca="1">IF(Reuters=1,_xll.TR(AC$7,AC$6,"Sdate=#1 Period=#2 NULL=BLANK Scale=6",,$D50,$Z$4),AC50)</f>
        <v>33254.119461499999</v>
      </c>
      <c r="AD50" s="1000" cm="1">
        <f t="array" aca="1" ref="AD50" ca="1">IF(Reuters=1,_xll.TR(AD$7,AD$6,"Sdate=#1 Period=#2 NULL=BLANK Scale=6",,$D50,$Z$4),AD50)</f>
        <v>21998.786296142</v>
      </c>
      <c r="AE50" s="1000" cm="1">
        <f t="array" aca="1" ref="AE50" ca="1">IF(Reuters=1,_xll.TR(AE$7,AE$6,"Sdate=#1 Period=#2 NULL=BLANK Scale=6",,$D50,$Z$4),AE50)</f>
        <v>42679.411762000003</v>
      </c>
      <c r="AF50" s="1000" cm="1">
        <f t="array" aca="1" ref="AF50" ca="1">IF(Reuters=1,_xll.TR(AF$7,AF$6,"Sdate=#1 Period=#2 NULL=BLANK Scale=6",,$D50,$Z$4),AF50)</f>
        <v>2399.2986668799999</v>
      </c>
      <c r="AG50" s="1000" cm="1">
        <f t="array" aca="1" ref="AG50" ca="1">IF(Reuters=1,_xll.TR(AG$7,AG$6,"Sdate=#1 Period=#2 NULL=BLANK Scale=6",,$D50,$Z$4),AG50)</f>
        <v>1812.2563454799999</v>
      </c>
      <c r="AH50" s="1000" cm="1">
        <f t="array" aca="1" ref="AH50" ca="1">IF(Reuters=1,_xll.TR(AH$7,AH$6,"Sdate=#1 Period=#2 NULL=BLANK Scale=6",,$D50,$Z$4),AH50)</f>
        <v>7785.1562606999996</v>
      </c>
      <c r="AJ50" s="1004">
        <f t="shared" ca="1" si="13"/>
        <v>7.8047078027065302</v>
      </c>
      <c r="AK50" s="1004">
        <f t="shared" ca="1" si="14"/>
        <v>12.935491897887932</v>
      </c>
      <c r="AL50" s="1004" t="str">
        <f t="shared" ca="1" si="15"/>
        <v>NA</v>
      </c>
      <c r="AM50" s="1004">
        <f t="shared" ca="1" si="16"/>
        <v>6.9861595507352936</v>
      </c>
      <c r="AN50" s="1004">
        <f t="shared" ca="1" si="17"/>
        <v>9.8605048391492609</v>
      </c>
      <c r="AO50" s="1004">
        <f t="shared" ca="1" si="18"/>
        <v>26.859289969792325</v>
      </c>
      <c r="AP50" s="1004">
        <f t="shared" ca="1" si="19"/>
        <v>11.889487942913775</v>
      </c>
      <c r="AQ50" s="1004">
        <f t="shared" ca="1" si="20"/>
        <v>23.971644781481483</v>
      </c>
      <c r="AR50" s="1004">
        <f t="shared" ca="1" si="21"/>
        <v>11.516503344230768</v>
      </c>
      <c r="AT50" s="765" cm="1">
        <f t="array" aca="1" ref="AT50" ca="1">IF(Reuters=1,_xll.TR(AT$7,AT$6,"Sdate=#1 Period=#2 NULL=BLANK Scale=6",,$D50,$AT$4),AT50)</f>
        <v>8.8444466666666699</v>
      </c>
      <c r="AU50" s="765" cm="1">
        <f t="array" aca="1" ref="AU50" ca="1">IF(Reuters=1,_xll.TR(AU$7,AU$6,"Sdate=#1 Period=#2 NULL=BLANK Scale=6",,$D50,$AT$4),AU50)</f>
        <v>16.649999999999999</v>
      </c>
      <c r="AV50" s="765" cm="1">
        <f t="array" aca="1" ref="AV50" ca="1">IF(Reuters=1,_xll.TR(AV$7,AV$6,"Sdate=#1 Period=#2 NULL=BLANK Scale=6",,$D50,$AT$4),AV50)</f>
        <v>5.8191666666666704</v>
      </c>
      <c r="AW50" s="765" cm="1">
        <f t="array" aca="1" ref="AW50" ca="1">IF(Reuters=1,_xll.TR(AW$7,AW$6,"Sdate=#1 Period=#2 NULL=BLANK Scale=6",,$D50,$AT$4),AW50)</f>
        <v>4.2766633333333299</v>
      </c>
      <c r="AX50" s="765" cm="1">
        <f t="array" aca="1" ref="AX50" ca="1">IF(Reuters=1,_xll.TR(AX$7,AX$6,"Sdate=#1 Period=#2 NULL=BLANK Scale=6",,$D50,$AT$4),AX50)</f>
        <v>11.3333333333333</v>
      </c>
      <c r="AY50" s="765" cm="1">
        <f t="array" aca="1" ref="AY50" ca="1">IF(Reuters=1,_xll.TR(AY$7,AY$6,"Sdate=#1 Period=#2 NULL=BLANK Scale=6",,$D50,$AT$4),AY50)</f>
        <v>15.2433333333333</v>
      </c>
      <c r="AZ50" s="765" cm="1">
        <f t="array" aca="1" ref="AZ50" ca="1">IF(Reuters=1,_xll.TR(AZ$7,AZ$6,"Sdate=#1 Period=#2 NULL=BLANK Scale=6",,$D50,$AT$4),AZ50)</f>
        <v>5.56666666666667</v>
      </c>
      <c r="BA50" s="765" cm="1">
        <f t="array" aca="1" ref="BA50" ca="1">IF(Reuters=1,_xll.TR(BA$7,BA$6,"Sdate=#1 Period=#2 NULL=BLANK Scale=6",,$D50,$AT$4),BA50)</f>
        <v>-1.86666666666667</v>
      </c>
      <c r="BB50" s="765" cm="1">
        <f t="array" aca="1" ref="BB50" ca="1">IF(Reuters=1,_xll.TR(BB$7,BB$6,"Sdate=#1 Period=#2 NULL=BLANK Scale=6",,$D50,$AT$4),BB50)</f>
        <v>2.4866633333333299</v>
      </c>
      <c r="BE50" s="1000"/>
      <c r="BF50" s="1000"/>
      <c r="BG50" s="1000"/>
      <c r="BH50" s="1000"/>
      <c r="BI50" s="1000"/>
      <c r="BJ50" s="1000"/>
      <c r="BK50" s="1000"/>
      <c r="BL50" s="1000"/>
      <c r="BM50" s="1000"/>
    </row>
    <row r="51" spans="3:65">
      <c r="C51" s="973">
        <f t="shared" si="22"/>
        <v>44104</v>
      </c>
      <c r="D51" s="970">
        <f t="shared" si="12"/>
        <v>44149</v>
      </c>
      <c r="E51" s="765" cm="1">
        <f t="array" aca="1" ref="E51" ca="1">IF(Reuters=1,_xll.TR(E$7,E$6,"Sdate=#1 Period=#2 NULL=BLANK",,$D51,$E$4),E51)</f>
        <v>13.2177824170215</v>
      </c>
      <c r="F51" s="765" cm="1">
        <f t="array" aca="1" ref="F51" ca="1">IF(Reuters=1,_xll.TR(F$7,F$6,"Sdate=#1 Period=#2 NULL=BLANK",,$D51,$E$4),F51)</f>
        <v>17.5705297841073</v>
      </c>
      <c r="G51" s="765" cm="1">
        <f t="array" aca="1" ref="G51" ca="1">IF(Reuters=1,_xll.TR(G$7,G$6,"Sdate=#1 Period=#2 NULL=BLANK",,$D51,$E$4),G51)</f>
        <v>25.177818342040698</v>
      </c>
      <c r="H51" s="765" cm="1">
        <f t="array" aca="1" ref="H51" ca="1">IF(Reuters=1,_xll.TR(H$7,H$6,"Sdate=#1 Period=#2 NULL=BLANK",,$D51,$E$4),H51)</f>
        <v>14.053989005870299</v>
      </c>
      <c r="I51" s="765" cm="1">
        <f t="array" aca="1" ref="I51" ca="1">IF(Reuters=1,_xll.TR(I$7,I$6,"Sdate=#1 Period=#2 NULL=BLANK",,$D51,$E$4),I51)</f>
        <v>15.005680762087</v>
      </c>
      <c r="J51" s="765" cm="1">
        <f t="array" aca="1" ref="J51" ca="1">IF(Reuters=1,_xll.TR(J$7,J$6,"Sdate=#1 Period=#2 NULL=BLANK",,$D51,$E$4),J51)</f>
        <v>16.108336820104199</v>
      </c>
      <c r="K51" s="765" cm="1">
        <f t="array" aca="1" ref="K51" ca="1">IF(Reuters=1,_xll.TR(K$7,K$6,"Sdate=#1 Period=#2 NULL=BLANK",,$D51,$E$4),K51)</f>
        <v>12.7303404639952</v>
      </c>
      <c r="L51" s="765" cm="1">
        <f t="array" aca="1" ref="L51" ca="1">IF(Reuters=1,_xll.TR(L$7,L$6,"Sdate=#1 Period=#2 NULL=BLANK",,$D51,$E$4),L51)</f>
        <v>7.7132352941176503</v>
      </c>
      <c r="M51" s="765" cm="1">
        <f t="array" aca="1" ref="M51" ca="1">IF(Reuters=1,_xll.TR(M$7,M$6,"Sdate=#1 Period=#2 NULL=BLANK",,$D51,$E$4),M51)</f>
        <v>16.1124846773108</v>
      </c>
      <c r="P51" s="1000" cm="1">
        <f t="array" aca="1" ref="P51" ca="1">IF(Reuters=1,_xll.TR(P$7,P$6,"Sdate=#1 Period=#2 NULL=BLANK Scale=6",,$D51,$P$4),P51)</f>
        <v>1325</v>
      </c>
      <c r="Q51" s="1000" cm="1">
        <f t="array" aca="1" ref="Q51" ca="1">IF(Reuters=1,_xll.TR(Q$7,Q$6,"Sdate=#1 Period=#2 NULL=BLANK Scale=6",,$D51,$P$4),Q51)</f>
        <v>972</v>
      </c>
      <c r="R51" s="1000" t="str" cm="1">
        <f t="array" aca="1" ref="R51" ca="1">IF(Reuters=1,_xll.TR(R$7,R$6,"Sdate=#1 Period=#2 NULL=BLANK Scale=6",,$D51,$P$4),R51)</f>
        <v/>
      </c>
      <c r="S51" s="1000" cm="1">
        <f t="array" aca="1" ref="S51" ca="1">IF(Reuters=1,_xll.TR(S$7,S$6,"Sdate=#1 Period=#2 NULL=BLANK Scale=6",,$D51,$P$4),S51)</f>
        <v>4980</v>
      </c>
      <c r="T51" s="1000" cm="1">
        <f t="array" aca="1" ref="T51" ca="1">IF(Reuters=1,_xll.TR(T$7,T$6,"Sdate=#1 Period=#2 NULL=BLANK Scale=6",,$D51,$P$4),T51)</f>
        <v>1499</v>
      </c>
      <c r="U51" s="1000" cm="1">
        <f t="array" aca="1" ref="U51" ca="1">IF(Reuters=1,_xll.TR(U$7,U$6,"Sdate=#1 Period=#2 NULL=BLANK Scale=6",,$D51,$P$4),U51)</f>
        <v>2069</v>
      </c>
      <c r="V51" s="1000" cm="1">
        <f t="array" aca="1" ref="V51" ca="1">IF(Reuters=1,_xll.TR(V$7,V$6,"Sdate=#1 Period=#2 NULL=BLANK Scale=6",,$D51,$P$4),V51)</f>
        <v>99.4</v>
      </c>
      <c r="W51" s="1000" cm="1">
        <f t="array" aca="1" ref="W51" ca="1">IF(Reuters=1,_xll.TR(W$7,W$6,"Sdate=#1 Period=#2 NULL=BLANK Scale=6",,$D51,$P$4),W51)</f>
        <v>168.9</v>
      </c>
      <c r="X51" s="1000" cm="1">
        <f t="array" aca="1" ref="X51" ca="1">IF(Reuters=1,_xll.TR(X$7,X$6,"Sdate=#1 Period=#2 NULL=BLANK Scale=6",,$D51,$P$4),X51)</f>
        <v>613</v>
      </c>
      <c r="Y51" s="998"/>
      <c r="Z51" s="1000" cm="1">
        <f t="array" aca="1" ref="Z51" ca="1">IF(Reuters=1,_xll.TR(Z$7,Z$6,"Sdate=#1 Period=#2 NULL=BLANK Scale=6",,$D51,$Z$4),Z51)</f>
        <v>12733.982035999999</v>
      </c>
      <c r="AA51" s="1000" cm="1">
        <f t="array" aca="1" ref="AA51" ca="1">IF(Reuters=1,_xll.TR(AA$7,AA$6,"Sdate=#1 Period=#2 NULL=BLANK Scale=6",,$D51,$Z$4),AA51)</f>
        <v>15010.48990343</v>
      </c>
      <c r="AB51" s="1000" cm="1">
        <f t="array" aca="1" ref="AB51" ca="1">IF(Reuters=1,_xll.TR(AB$7,AB$6,"Sdate=#1 Period=#2 NULL=BLANK Scale=6",,$D51,$Z$4),AB51)</f>
        <v>51434.806863999998</v>
      </c>
      <c r="AC51" s="1000" cm="1">
        <f t="array" aca="1" ref="AC51" ca="1">IF(Reuters=1,_xll.TR(AC$7,AC$6,"Sdate=#1 Period=#2 NULL=BLANK Scale=6",,$D51,$Z$4),AC51)</f>
        <v>38548.839071139999</v>
      </c>
      <c r="AD51" s="1000" cm="1">
        <f t="array" aca="1" ref="AD51" ca="1">IF(Reuters=1,_xll.TR(AD$7,AD$6,"Sdate=#1 Period=#2 NULL=BLANK Scale=6",,$D51,$Z$4),AD51)</f>
        <v>24436.8917283552</v>
      </c>
      <c r="AE51" s="1000" cm="1">
        <f t="array" aca="1" ref="AE51" ca="1">IF(Reuters=1,_xll.TR(AE$7,AE$6,"Sdate=#1 Period=#2 NULL=BLANK Scale=6",,$D51,$Z$4),AE51)</f>
        <v>45227.151156150001</v>
      </c>
      <c r="AF51" s="1000" cm="1">
        <f t="array" aca="1" ref="AF51" ca="1">IF(Reuters=1,_xll.TR(AF$7,AF$6,"Sdate=#1 Period=#2 NULL=BLANK Scale=6",,$D51,$Z$4),AF51)</f>
        <v>3220.8557351600002</v>
      </c>
      <c r="AG51" s="1000" cm="1">
        <f t="array" aca="1" ref="AG51" ca="1">IF(Reuters=1,_xll.TR(AG$7,AG$6,"Sdate=#1 Period=#2 NULL=BLANK Scale=6",,$D51,$Z$4),AG51)</f>
        <v>3311.9458299799999</v>
      </c>
      <c r="AH51" s="1000" cm="1">
        <f t="array" aca="1" ref="AH51" ca="1">IF(Reuters=1,_xll.TR(AH$7,AH$6,"Sdate=#1 Period=#2 NULL=BLANK Scale=6",,$D51,$Z$4),AH51)</f>
        <v>9404.1471511399996</v>
      </c>
      <c r="AJ51" s="1004">
        <f t="shared" ca="1" si="13"/>
        <v>9.6105524799999991</v>
      </c>
      <c r="AK51" s="1004">
        <f t="shared" ca="1" si="14"/>
        <v>15.442890847150206</v>
      </c>
      <c r="AL51" s="1004" t="str">
        <f t="shared" ca="1" si="15"/>
        <v>NA</v>
      </c>
      <c r="AM51" s="1004">
        <f t="shared" ca="1" si="16"/>
        <v>7.7407307371767065</v>
      </c>
      <c r="AN51" s="1004">
        <f t="shared" ca="1" si="17"/>
        <v>16.302129238395729</v>
      </c>
      <c r="AO51" s="1004">
        <f t="shared" ca="1" si="18"/>
        <v>21.859425401715804</v>
      </c>
      <c r="AP51" s="1004">
        <f t="shared" ca="1" si="19"/>
        <v>32.402975202816904</v>
      </c>
      <c r="AQ51" s="1004">
        <f t="shared" ca="1" si="20"/>
        <v>19.608915512018946</v>
      </c>
      <c r="AR51" s="1004">
        <f t="shared" ca="1" si="21"/>
        <v>15.341186217194126</v>
      </c>
      <c r="AT51" s="765" cm="1">
        <f t="array" aca="1" ref="AT51" ca="1">IF(Reuters=1,_xll.TR(AT$7,AT$6,"Sdate=#1 Period=#2 NULL=BLANK Scale=6",,$D51,$AT$4),AT51)</f>
        <v>9.5944441666666709</v>
      </c>
      <c r="AU51" s="765" cm="1">
        <f t="array" aca="1" ref="AU51" ca="1">IF(Reuters=1,_xll.TR(AU$7,AU$6,"Sdate=#1 Period=#2 NULL=BLANK Scale=6",,$D51,$AT$4),AU51)</f>
        <v>16.5777808333333</v>
      </c>
      <c r="AV51" s="765" cm="1">
        <f t="array" aca="1" ref="AV51" ca="1">IF(Reuters=1,_xll.TR(AV$7,AV$6,"Sdate=#1 Period=#2 NULL=BLANK Scale=6",,$D51,$AT$4),AV51)</f>
        <v>6.5650000000000004</v>
      </c>
      <c r="AW51" s="765" cm="1">
        <f t="array" aca="1" ref="AW51" ca="1">IF(Reuters=1,_xll.TR(AW$7,AW$6,"Sdate=#1 Period=#2 NULL=BLANK Scale=6",,$D51,$AT$4),AW51)</f>
        <v>7.0388916666666699</v>
      </c>
      <c r="AX51" s="765" cm="1">
        <f t="array" aca="1" ref="AX51" ca="1">IF(Reuters=1,_xll.TR(AX$7,AX$6,"Sdate=#1 Period=#2 NULL=BLANK Scale=6",,$D51,$AT$4),AX51)</f>
        <v>12.0638891666667</v>
      </c>
      <c r="AY51" s="765" cm="1">
        <f t="array" aca="1" ref="AY51" ca="1">IF(Reuters=1,_xll.TR(AY$7,AY$6,"Sdate=#1 Period=#2 NULL=BLANK Scale=6",,$D51,$AT$4),AY51)</f>
        <v>12.7441666666667</v>
      </c>
      <c r="AZ51" s="765" cm="1">
        <f t="array" aca="1" ref="AZ51" ca="1">IF(Reuters=1,_xll.TR(AZ$7,AZ$6,"Sdate=#1 Period=#2 NULL=BLANK Scale=6",,$D51,$AT$4),AZ51)</f>
        <v>6.6583333333333297</v>
      </c>
      <c r="BA51" s="765" cm="1">
        <f t="array" aca="1" ref="BA51" ca="1">IF(Reuters=1,_xll.TR(BA$7,BA$6,"Sdate=#1 Period=#2 NULL=BLANK Scale=6",,$D51,$AT$4),BA51)</f>
        <v>-1.18333333333333</v>
      </c>
      <c r="BB51" s="765" cm="1">
        <f t="array" aca="1" ref="BB51" ca="1">IF(Reuters=1,_xll.TR(BB$7,BB$6,"Sdate=#1 Period=#2 NULL=BLANK Scale=6",,$D51,$AT$4),BB51)</f>
        <v>3.6250033333333298</v>
      </c>
      <c r="BC51" s="1014">
        <v>41690</v>
      </c>
      <c r="BD51" s="1029">
        <f t="shared" ref="BD51:BD60" si="23">YEAR(BC51)</f>
        <v>2014</v>
      </c>
      <c r="BE51" s="1000" cm="1">
        <f t="array" aca="1" ref="BE51" ca="1">IF(EVSwitch=1,_xll.TR(BE$7,BE$6,"Sdate=#1 Period=#2 NULL=BLANK Scale=6",,$BC51,$AT$4),BE51)</f>
        <v>16913.80667894</v>
      </c>
      <c r="BF51" s="1000" cm="1">
        <f t="array" aca="1" ref="BF51" ca="1">IF(EVSwitch=1,_xll.TR(BF$7,BF$6,"Sdate=#1 Period=#2 NULL=BLANK Scale=6",,$BC51,$AT$4),BF51)</f>
        <v>10344.324282080001</v>
      </c>
      <c r="BG51" s="1000" cm="1">
        <f t="array" aca="1" ref="BG51" ca="1">IF(EVSwitch=1,_xll.TR(BG$7,BG$6,"Sdate=#1 Period=#2 NULL=BLANK Scale=6",,$BC51,$AT$4),BG51)</f>
        <v>89499.687794559999</v>
      </c>
      <c r="BH51" s="1000" t="str" cm="1">
        <f t="array" aca="1" ref="BH51" ca="1">IF(EVSwitch=1,_xll.TR(BH$7,BH$6,"Sdate=#1 Period=#2 NULL=BLANK Scale=6",,$BC51,$AT$4),BH51)</f>
        <v/>
      </c>
      <c r="BI51" s="1000" cm="1">
        <f t="array" aca="1" ref="BI51" ca="1">IF(EVSwitch=1,_xll.TR(BI$7,BI$6,"Sdate=#1 Period=#2 NULL=BLANK Scale=6",,$BC51,$AT$4),BI51)</f>
        <v>48378.114839000002</v>
      </c>
      <c r="BJ51" s="1000" t="str" cm="1">
        <f t="array" aca="1" ref="BJ51" ca="1">IF(EVSwitch=1,_xll.TR(BJ$7,BJ$6,"Sdate=#1 Period=#2 NULL=BLANK Scale=6",,$BC51,$AT$4),BJ51)</f>
        <v/>
      </c>
      <c r="BK51" s="1000" cm="1">
        <f t="array" aca="1" ref="BK51" ca="1">IF(EVSwitch=1,_xll.TR(BK$7,BK$6,"Sdate=#1 Period=#2 NULL=BLANK Scale=6",,$BC51,$AT$4),BK51)</f>
        <v>4064.4392329100001</v>
      </c>
      <c r="BL51" s="1000" cm="1">
        <f t="array" aca="1" ref="BL51" ca="1">IF(EVSwitch=1,_xll.TR(BL$7,BL$6,"Sdate=#1 Period=#2 NULL=BLANK Scale=6",,$BC51,$AT$4),BL51)</f>
        <v>2522.25262208</v>
      </c>
      <c r="BM51" s="1000" cm="1">
        <f t="array" aca="1" ref="BM51" ca="1">IF(EVSwitch=1,_xll.TR(BM$7,BM$6,"Sdate=#1 Period=#2 NULL=BLANK Scale=6",,$BC51,$AT$4),BM51)</f>
        <v>8812.6999885299992</v>
      </c>
    </row>
    <row r="52" spans="3:65">
      <c r="C52" s="969">
        <f t="shared" si="22"/>
        <v>44196</v>
      </c>
      <c r="D52" s="970">
        <f t="shared" si="12"/>
        <v>44241</v>
      </c>
      <c r="E52" s="765" cm="1">
        <f t="array" aca="1" ref="E52" ca="1">IF(Reuters=1,_xll.TR(E$7,E$6,"Sdate=#1 Period=#2 NULL=BLANK",,$D52,$E$4),E52)</f>
        <v>14.235810781751001</v>
      </c>
      <c r="F52" s="765" cm="1">
        <f t="array" aca="1" ref="F52" ca="1">IF(Reuters=1,_xll.TR(F$7,F$6,"Sdate=#1 Period=#2 NULL=BLANK",,$D52,$E$4),F52)</f>
        <v>18.605222722771199</v>
      </c>
      <c r="G52" s="765" cm="1">
        <f t="array" aca="1" ref="G52" ca="1">IF(Reuters=1,_xll.TR(G$7,G$6,"Sdate=#1 Period=#2 NULL=BLANK",,$D52,$E$4),G52)</f>
        <v>20.070626658910498</v>
      </c>
      <c r="H52" s="765" cm="1">
        <f t="array" aca="1" ref="H52" ca="1">IF(Reuters=1,_xll.TR(H$7,H$6,"Sdate=#1 Period=#2 NULL=BLANK",,$D52,$E$4),H52)</f>
        <v>13.758841307598599</v>
      </c>
      <c r="I52" s="765" cm="1">
        <f t="array" aca="1" ref="I52" ca="1">IF(Reuters=1,_xll.TR(I$7,I$6,"Sdate=#1 Period=#2 NULL=BLANK",,$D52,$E$4),I52)</f>
        <v>12.6114737325815</v>
      </c>
      <c r="J52" s="765" t="str" cm="1">
        <f t="array" aca="1" ref="J52" ca="1">IF(Reuters=1,_xll.TR(J$7,J$6,"Sdate=#1 Period=#2 NULL=BLANK",,$D52,$E$4),J52)</f>
        <v/>
      </c>
      <c r="K52" s="765" cm="1">
        <f t="array" aca="1" ref="K52" ca="1">IF(Reuters=1,_xll.TR(K$7,K$6,"Sdate=#1 Period=#2 NULL=BLANK",,$D52,$E$4),K52)</f>
        <v>24.310059201993099</v>
      </c>
      <c r="L52" s="765" cm="1">
        <f t="array" aca="1" ref="L52" ca="1">IF(Reuters=1,_xll.TR(L$7,L$6,"Sdate=#1 Period=#2 NULL=BLANK",,$D52,$E$4),L52)</f>
        <v>7.1083591331269398</v>
      </c>
      <c r="M52" s="765" t="str" cm="1">
        <f t="array" aca="1" ref="M52" ca="1">IF(Reuters=1,_xll.TR(M$7,M$6,"Sdate=#1 Period=#2 NULL=BLANK",,$D52,$E$4),M52)</f>
        <v/>
      </c>
      <c r="P52" s="1000" cm="1">
        <f t="array" aca="1" ref="P52" ca="1">IF(Reuters=1,_xll.TR(P$7,P$6,"Sdate=#1 Period=#2 NULL=BLANK Scale=6",,$D52,$P$4),P52)</f>
        <v>1072</v>
      </c>
      <c r="Q52" s="1000" cm="1">
        <f t="array" aca="1" ref="Q52" ca="1">IF(Reuters=1,_xll.TR(Q$7,Q$6,"Sdate=#1 Period=#2 NULL=BLANK Scale=6",,$D52,$P$4),Q52)</f>
        <v>979</v>
      </c>
      <c r="R52" s="1000" t="str" cm="1">
        <f t="array" aca="1" ref="R52" ca="1">IF(Reuters=1,_xll.TR(R$7,R$6,"Sdate=#1 Period=#2 NULL=BLANK Scale=6",,$D52,$P$4),R52)</f>
        <v/>
      </c>
      <c r="S52" s="1000" cm="1">
        <f t="array" aca="1" ref="S52" ca="1">IF(Reuters=1,_xll.TR(S$7,S$6,"Sdate=#1 Period=#2 NULL=BLANK Scale=6",,$D52,$P$4),S52)</f>
        <v>4996</v>
      </c>
      <c r="T52" s="1000" cm="1">
        <f t="array" aca="1" ref="T52" ca="1">IF(Reuters=1,_xll.TR(T$7,T$6,"Sdate=#1 Period=#2 NULL=BLANK Scale=6",,$D52,$P$4),T52)</f>
        <v>1457</v>
      </c>
      <c r="U52" s="1000" cm="1">
        <f t="array" aca="1" ref="U52" ca="1">IF(Reuters=1,_xll.TR(U$7,U$6,"Sdate=#1 Period=#2 NULL=BLANK Scale=6",,$D52,$P$4),U52)</f>
        <v>2901</v>
      </c>
      <c r="V52" s="1000" cm="1">
        <f t="array" aca="1" ref="V52" ca="1">IF(Reuters=1,_xll.TR(V$7,V$6,"Sdate=#1 Period=#2 NULL=BLANK Scale=6",,$D52,$P$4),V52)</f>
        <v>157.9</v>
      </c>
      <c r="W52" s="1000" cm="1">
        <f t="array" aca="1" ref="W52" ca="1">IF(Reuters=1,_xll.TR(W$7,W$6,"Sdate=#1 Period=#2 NULL=BLANK Scale=6",,$D52,$P$4),W52)</f>
        <v>119.5</v>
      </c>
      <c r="X52" s="1000" cm="1">
        <f t="array" aca="1" ref="X52" ca="1">IF(Reuters=1,_xll.TR(X$7,X$6,"Sdate=#1 Period=#2 NULL=BLANK Scale=6",,$D52,$P$4),X52)</f>
        <v>613</v>
      </c>
      <c r="Y52" s="998"/>
      <c r="Z52" s="1000" cm="1">
        <f t="array" aca="1" ref="Z52" ca="1">IF(Reuters=1,_xll.TR(Z$7,Z$6,"Sdate=#1 Period=#2 NULL=BLANK Scale=6",,$D52,$Z$4),Z52)</f>
        <v>14840.19031242</v>
      </c>
      <c r="AA52" s="1000" cm="1">
        <f t="array" aca="1" ref="AA52" ca="1">IF(Reuters=1,_xll.TR(AA$7,AA$6,"Sdate=#1 Period=#2 NULL=BLANK Scale=6",,$D52,$Z$4),AA52)</f>
        <v>15154.22688728</v>
      </c>
      <c r="AB52" s="1000" cm="1">
        <f t="array" aca="1" ref="AB52" ca="1">IF(Reuters=1,_xll.TR(AB$7,AB$6,"Sdate=#1 Period=#2 NULL=BLANK Scale=6",,$D52,$Z$4),AB52)</f>
        <v>61372.746333080002</v>
      </c>
      <c r="AC52" s="1000" cm="1">
        <f t="array" aca="1" ref="AC52" ca="1">IF(Reuters=1,_xll.TR(AC$7,AC$6,"Sdate=#1 Period=#2 NULL=BLANK Scale=6",,$D52,$Z$4),AC52)</f>
        <v>43258.631664</v>
      </c>
      <c r="AD52" s="1000" cm="1">
        <f t="array" aca="1" ref="AD52" ca="1">IF(Reuters=1,_xll.TR(AD$7,AD$6,"Sdate=#1 Period=#2 NULL=BLANK Scale=6",,$D52,$Z$4),AD52)</f>
        <v>30654.524490167802</v>
      </c>
      <c r="AE52" s="1000" cm="1">
        <f t="array" aca="1" ref="AE52" ca="1">IF(Reuters=1,_xll.TR(AE$7,AE$6,"Sdate=#1 Period=#2 NULL=BLANK Scale=6",,$D52,$Z$4),AE52)</f>
        <v>38457.221830579998</v>
      </c>
      <c r="AF52" s="1000" cm="1">
        <f t="array" aca="1" ref="AF52" ca="1">IF(Reuters=1,_xll.TR(AF$7,AF$6,"Sdate=#1 Period=#2 NULL=BLANK Scale=6",,$D52,$Z$4),AF52)</f>
        <v>4032.4289479600002</v>
      </c>
      <c r="AG52" s="1000" cm="1">
        <f t="array" aca="1" ref="AG52" ca="1">IF(Reuters=1,_xll.TR(AG$7,AG$6,"Sdate=#1 Period=#2 NULL=BLANK Scale=6",,$D52,$Z$4),AG52)</f>
        <v>4545.1666512000002</v>
      </c>
      <c r="AH52" s="1000" cm="1">
        <f t="array" aca="1" ref="AH52" ca="1">IF(Reuters=1,_xll.TR(AH$7,AH$6,"Sdate=#1 Period=#2 NULL=BLANK Scale=6",,$D52,$Z$4),AH52)</f>
        <v>11122.00372024</v>
      </c>
      <c r="AJ52" s="1004">
        <f t="shared" ca="1" si="13"/>
        <v>13.84346111233209</v>
      </c>
      <c r="AK52" s="1004">
        <f t="shared" ca="1" si="14"/>
        <v>15.479292019693565</v>
      </c>
      <c r="AL52" s="1004" t="str">
        <f t="shared" ca="1" si="15"/>
        <v>NA</v>
      </c>
      <c r="AM52" s="1004">
        <f t="shared" ca="1" si="16"/>
        <v>8.6586532554043227</v>
      </c>
      <c r="AN52" s="1004">
        <f t="shared" ca="1" si="17"/>
        <v>21.0394814620232</v>
      </c>
      <c r="AO52" s="1004">
        <f t="shared" ca="1" si="18"/>
        <v>13.256539755456739</v>
      </c>
      <c r="AP52" s="1004">
        <f t="shared" ca="1" si="19"/>
        <v>25.53786540823306</v>
      </c>
      <c r="AQ52" s="1004">
        <f t="shared" ca="1" si="20"/>
        <v>38.034867374058578</v>
      </c>
      <c r="AR52" s="1004">
        <f t="shared" ca="1" si="21"/>
        <v>18.143562349494289</v>
      </c>
      <c r="AT52" s="765" cm="1">
        <f t="array" aca="1" ref="AT52" ca="1">IF(Reuters=1,_xll.TR(AT$7,AT$6,"Sdate=#1 Period=#2 NULL=BLANK Scale=6",,$D52,$AT$4),AT52)</f>
        <v>10.450003333333299</v>
      </c>
      <c r="AU52" s="765" cm="1">
        <f t="array" aca="1" ref="AU52" ca="1">IF(Reuters=1,_xll.TR(AU$7,AU$6,"Sdate=#1 Period=#2 NULL=BLANK Scale=6",,$D52,$AT$4),AU52)</f>
        <v>15.661108333333299</v>
      </c>
      <c r="AV52" s="765" cm="1">
        <f t="array" aca="1" ref="AV52" ca="1">IF(Reuters=1,_xll.TR(AV$7,AV$6,"Sdate=#1 Period=#2 NULL=BLANK Scale=6",,$D52,$AT$4),AV52)</f>
        <v>7.8069449999999998</v>
      </c>
      <c r="AW52" s="765" cm="1">
        <f t="array" aca="1" ref="AW52" ca="1">IF(Reuters=1,_xll.TR(AW$7,AW$6,"Sdate=#1 Period=#2 NULL=BLANK Scale=6",,$D52,$AT$4),AW52)</f>
        <v>7.80833333333333</v>
      </c>
      <c r="AX52" s="765" cm="1">
        <f t="array" aca="1" ref="AX52" ca="1">IF(Reuters=1,_xll.TR(AX$7,AX$6,"Sdate=#1 Period=#2 NULL=BLANK Scale=6",,$D52,$AT$4),AX52)</f>
        <v>11.5833333333333</v>
      </c>
      <c r="AY52" s="765" cm="1">
        <f t="array" aca="1" ref="AY52" ca="1">IF(Reuters=1,_xll.TR(AY$7,AY$6,"Sdate=#1 Period=#2 NULL=BLANK Scale=6",,$D52,$AT$4),AY52)</f>
        <v>9.6</v>
      </c>
      <c r="AZ52" s="765" cm="1">
        <f t="array" aca="1" ref="AZ52" ca="1">IF(Reuters=1,_xll.TR(AZ$7,AZ$6,"Sdate=#1 Period=#2 NULL=BLANK Scale=6",,$D52,$AT$4),AZ52)</f>
        <v>7.75</v>
      </c>
      <c r="BA52" s="765" cm="1">
        <f t="array" aca="1" ref="BA52" ca="1">IF(Reuters=1,_xll.TR(BA$7,BA$6,"Sdate=#1 Period=#2 NULL=BLANK Scale=6",,$D52,$AT$4),BA52)</f>
        <v>1.2</v>
      </c>
      <c r="BB52" s="765" cm="1">
        <f t="array" aca="1" ref="BB52" ca="1">IF(Reuters=1,_xll.TR(BB$7,BB$6,"Sdate=#1 Period=#2 NULL=BLANK Scale=6",,$D52,$AT$4),BB52)</f>
        <v>4.0388916666666699</v>
      </c>
      <c r="BC52" s="1014">
        <f t="shared" ref="BC52:BC60" si="24">EOMONTH(BC51,12)</f>
        <v>42063</v>
      </c>
      <c r="BD52" s="1029">
        <f t="shared" si="23"/>
        <v>2015</v>
      </c>
      <c r="BE52" s="1000" cm="1">
        <f t="array" aca="1" ref="BE52" ca="1">IF(EVSwitch=1,_xll.TR(BE$7,BE$6,"Sdate=#1 Period=#2 NULL=BLANK Scale=6",,$BC52,$AT$4),BE52)</f>
        <v>15497.289573759999</v>
      </c>
      <c r="BF52" s="1000" cm="1">
        <f t="array" aca="1" ref="BF52" ca="1">IF(EVSwitch=1,_xll.TR(BF$7,BF$6,"Sdate=#1 Period=#2 NULL=BLANK Scale=6",,$BC52,$AT$4),BF52)</f>
        <v>11056.95757764</v>
      </c>
      <c r="BG52" s="1000" cm="1">
        <f t="array" aca="1" ref="BG52" ca="1">IF(EVSwitch=1,_xll.TR(BG$7,BG$6,"Sdate=#1 Period=#2 NULL=BLANK Scale=6",,$BC52,$AT$4),BG52)</f>
        <v>93228.700141099995</v>
      </c>
      <c r="BH52" s="1000" t="str" cm="1">
        <f t="array" aca="1" ref="BH52" ca="1">IF(EVSwitch=1,_xll.TR(BH$7,BH$6,"Sdate=#1 Period=#2 NULL=BLANK Scale=6",,$BC52,$AT$4),BH52)</f>
        <v/>
      </c>
      <c r="BI52" s="1000" cm="1">
        <f t="array" aca="1" ref="BI52" ca="1">IF(EVSwitch=1,_xll.TR(BI$7,BI$6,"Sdate=#1 Period=#2 NULL=BLANK Scale=6",,$BC52,$AT$4),BI52)</f>
        <v>45442.30727813</v>
      </c>
      <c r="BJ52" s="1000" t="str" cm="1">
        <f t="array" aca="1" ref="BJ52" ca="1">IF(EVSwitch=1,_xll.TR(BJ$7,BJ$6,"Sdate=#1 Period=#2 NULL=BLANK Scale=6",,$BC52,$AT$4),BJ52)</f>
        <v/>
      </c>
      <c r="BK52" s="1000" cm="1">
        <f t="array" aca="1" ref="BK52" ca="1">IF(EVSwitch=1,_xll.TR(BK$7,BK$6,"Sdate=#1 Period=#2 NULL=BLANK Scale=6",,$BC52,$AT$4),BK52)</f>
        <v>4313.7514458599999</v>
      </c>
      <c r="BL52" s="1000" cm="1">
        <f t="array" aca="1" ref="BL52" ca="1">IF(EVSwitch=1,_xll.TR(BL$7,BL$6,"Sdate=#1 Period=#2 NULL=BLANK Scale=6",,$BC52,$AT$4),BL52)</f>
        <v>2584.4035707600001</v>
      </c>
      <c r="BM52" s="1000" cm="1">
        <f t="array" aca="1" ref="BM52" ca="1">IF(EVSwitch=1,_xll.TR(BM$7,BM$6,"Sdate=#1 Period=#2 NULL=BLANK Scale=6",,$BC52,$AT$4),BM52)</f>
        <v>9043.3688741200003</v>
      </c>
    </row>
    <row r="53" spans="3:65">
      <c r="C53" s="971">
        <f t="shared" si="22"/>
        <v>44286</v>
      </c>
      <c r="D53" s="970">
        <f t="shared" si="12"/>
        <v>44331</v>
      </c>
      <c r="E53" s="765" cm="1">
        <f t="array" aca="1" ref="E53" ca="1">IF(Reuters=1,_xll.TR(E$7,E$6,"Sdate=#1 Period=#2 NULL=BLANK",,$D53,$E$4),E53)</f>
        <v>15.7593864195686</v>
      </c>
      <c r="F53" s="765" cm="1">
        <f t="array" aca="1" ref="F53" ca="1">IF(Reuters=1,_xll.TR(F$7,F$6,"Sdate=#1 Period=#2 NULL=BLANK",,$D53,$E$4),F53)</f>
        <v>18.406507030698901</v>
      </c>
      <c r="G53" s="765" cm="1">
        <f t="array" aca="1" ref="G53" ca="1">IF(Reuters=1,_xll.TR(G$7,G$6,"Sdate=#1 Period=#2 NULL=BLANK",,$D53,$E$4),G53)</f>
        <v>16.970875828203699</v>
      </c>
      <c r="H53" s="765" cm="1">
        <f t="array" aca="1" ref="H53" ca="1">IF(Reuters=1,_xll.TR(H$7,H$6,"Sdate=#1 Period=#2 NULL=BLANK",,$D53,$E$4),H53)</f>
        <v>13.259637035712499</v>
      </c>
      <c r="I53" s="765" cm="1">
        <f t="array" aca="1" ref="I53" ca="1">IF(Reuters=1,_xll.TR(I$7,I$6,"Sdate=#1 Period=#2 NULL=BLANK",,$D53,$E$4),I53)</f>
        <v>11.5181641357764</v>
      </c>
      <c r="J53" s="765" cm="1">
        <f t="array" aca="1" ref="J53" ca="1">IF(Reuters=1,_xll.TR(J$7,J$6,"Sdate=#1 Period=#2 NULL=BLANK",,$D53,$E$4),J53)</f>
        <v>22.821318906272801</v>
      </c>
      <c r="K53" s="765" cm="1">
        <f t="array" aca="1" ref="K53" ca="1">IF(Reuters=1,_xll.TR(K$7,K$6,"Sdate=#1 Period=#2 NULL=BLANK",,$D53,$E$4),K53)</f>
        <v>17.048451151707699</v>
      </c>
      <c r="L53" s="765" cm="1">
        <f t="array" aca="1" ref="L53" ca="1">IF(Reuters=1,_xll.TR(L$7,L$6,"Sdate=#1 Period=#2 NULL=BLANK",,$D53,$E$4),L53)</f>
        <v>6.29532458795829</v>
      </c>
      <c r="M53" s="765" cm="1">
        <f t="array" aca="1" ref="M53" ca="1">IF(Reuters=1,_xll.TR(M$7,M$6,"Sdate=#1 Period=#2 NULL=BLANK",,$D53,$E$4),M53)</f>
        <v>13.916171221487099</v>
      </c>
      <c r="P53" s="1000" cm="1">
        <f t="array" aca="1" ref="P53" ca="1">IF(Reuters=1,_xll.TR(P$7,P$6,"Sdate=#1 Period=#2 NULL=BLANK Scale=6",,$D53,$P$4),P53)</f>
        <v>1119</v>
      </c>
      <c r="Q53" s="1000" cm="1">
        <f t="array" aca="1" ref="Q53" ca="1">IF(Reuters=1,_xll.TR(Q$7,Q$6,"Sdate=#1 Period=#2 NULL=BLANK Scale=6",,$D53,$P$4),Q53)</f>
        <v>863</v>
      </c>
      <c r="R53" s="1000" cm="1">
        <f t="array" aca="1" ref="R53" ca="1">IF(Reuters=1,_xll.TR(R$7,R$6,"Sdate=#1 Period=#2 NULL=BLANK Scale=6",,$D53,$P$4),R53)</f>
        <v>2902</v>
      </c>
      <c r="S53" s="1000" cm="1">
        <f t="array" aca="1" ref="S53" ca="1">IF(Reuters=1,_xll.TR(S$7,S$6,"Sdate=#1 Period=#2 NULL=BLANK Scale=6",,$D53,$P$4),S53)</f>
        <v>3573</v>
      </c>
      <c r="T53" s="1000" cm="1">
        <f t="array" aca="1" ref="T53" ca="1">IF(Reuters=1,_xll.TR(T$7,T$6,"Sdate=#1 Period=#2 NULL=BLANK Scale=6",,$D53,$P$4),T53)</f>
        <v>1806</v>
      </c>
      <c r="U53" s="1000" cm="1">
        <f t="array" aca="1" ref="U53" ca="1">IF(Reuters=1,_xll.TR(U$7,U$6,"Sdate=#1 Period=#2 NULL=BLANK Scale=6",,$D53,$P$4),U53)</f>
        <v>2759</v>
      </c>
      <c r="V53" s="1000" t="str" cm="1">
        <f t="array" aca="1" ref="V53" ca="1">IF(Reuters=1,_xll.TR(V$7,V$6,"Sdate=#1 Period=#2 NULL=BLANK Scale=6",,$D53,$P$4),V53)</f>
        <v/>
      </c>
      <c r="W53" s="1000" cm="1">
        <f t="array" aca="1" ref="W53" ca="1">IF(Reuters=1,_xll.TR(W$7,W$6,"Sdate=#1 Period=#2 NULL=BLANK Scale=6",,$D53,$P$4),W53)</f>
        <v>463.2</v>
      </c>
      <c r="X53" s="1000" cm="1">
        <f t="array" aca="1" ref="X53" ca="1">IF(Reuters=1,_xll.TR(X$7,X$6,"Sdate=#1 Period=#2 NULL=BLANK Scale=6",,$D53,$P$4),X53)</f>
        <v>999</v>
      </c>
      <c r="Y53" s="998"/>
      <c r="Z53" s="1000" cm="1">
        <f t="array" aca="1" ref="Z53" ca="1">IF(Reuters=1,_xll.TR(Z$7,Z$6,"Sdate=#1 Period=#2 NULL=BLANK Scale=6",,$D53,$Z$4),Z53)</f>
        <v>17609.220897290001</v>
      </c>
      <c r="AA53" s="1000" cm="1">
        <f t="array" aca="1" ref="AA53" ca="1">IF(Reuters=1,_xll.TR(AA$7,AA$6,"Sdate=#1 Period=#2 NULL=BLANK Scale=6",,$D53,$Z$4),AA53)</f>
        <v>18831.037706399999</v>
      </c>
      <c r="AB53" s="1000" cm="1">
        <f t="array" aca="1" ref="AB53" ca="1">IF(Reuters=1,_xll.TR(AB$7,AB$6,"Sdate=#1 Period=#2 NULL=BLANK Scale=6",,$D53,$Z$4),AB53)</f>
        <v>63494.432116219999</v>
      </c>
      <c r="AC53" s="1000" cm="1">
        <f t="array" aca="1" ref="AC53" ca="1">IF(Reuters=1,_xll.TR(AC$7,AC$6,"Sdate=#1 Period=#2 NULL=BLANK Scale=6",,$D53,$Z$4),AC53)</f>
        <v>52162.272734860002</v>
      </c>
      <c r="AD53" s="1000" cm="1">
        <f t="array" aca="1" ref="AD53" ca="1">IF(Reuters=1,_xll.TR(AD$7,AD$6,"Sdate=#1 Period=#2 NULL=BLANK Scale=6",,$D53,$Z$4),AD53)</f>
        <v>36418.928884619498</v>
      </c>
      <c r="AE53" s="1000" cm="1">
        <f t="array" aca="1" ref="AE53" ca="1">IF(Reuters=1,_xll.TR(AE$7,AE$6,"Sdate=#1 Period=#2 NULL=BLANK Scale=6",,$D53,$Z$4),AE53)</f>
        <v>44295.528048640001</v>
      </c>
      <c r="AF53" s="1000" cm="1">
        <f t="array" aca="1" ref="AF53" ca="1">IF(Reuters=1,_xll.TR(AF$7,AF$6,"Sdate=#1 Period=#2 NULL=BLANK Scale=6",,$D53,$Z$4),AF53)</f>
        <v>4899.0162302799999</v>
      </c>
      <c r="AG53" s="1000" cm="1">
        <f t="array" aca="1" ref="AG53" ca="1">IF(Reuters=1,_xll.TR(AG$7,AG$6,"Sdate=#1 Period=#2 NULL=BLANK Scale=6",,$D53,$Z$4),AG53)</f>
        <v>7449.2036812300003</v>
      </c>
      <c r="AH53" s="1000" cm="1">
        <f t="array" aca="1" ref="AH53" ca="1">IF(Reuters=1,_xll.TR(AH$7,AH$6,"Sdate=#1 Period=#2 NULL=BLANK Scale=6",,$D53,$Z$4),AH53)</f>
        <v>13338.605013300001</v>
      </c>
      <c r="AJ53" s="1004">
        <f t="shared" ca="1" si="13"/>
        <v>15.736569166479001</v>
      </c>
      <c r="AK53" s="1004">
        <f t="shared" ca="1" si="14"/>
        <v>21.820437666743913</v>
      </c>
      <c r="AL53" s="1004">
        <f t="shared" ca="1" si="15"/>
        <v>21.879542424610612</v>
      </c>
      <c r="AM53" s="1004">
        <f t="shared" ca="1" si="16"/>
        <v>14.599012800128744</v>
      </c>
      <c r="AN53" s="1004">
        <f t="shared" ca="1" si="17"/>
        <v>20.165519869667495</v>
      </c>
      <c r="AO53" s="1004">
        <f t="shared" ca="1" si="18"/>
        <v>16.054921365944182</v>
      </c>
      <c r="AP53" s="1004" t="str">
        <f t="shared" ca="1" si="19"/>
        <v>NA</v>
      </c>
      <c r="AQ53" s="1004">
        <f t="shared" ca="1" si="20"/>
        <v>16.082045943933508</v>
      </c>
      <c r="AR53" s="1004">
        <f t="shared" ca="1" si="21"/>
        <v>13.351956970270271</v>
      </c>
      <c r="AT53" s="765" cm="1">
        <f t="array" aca="1" ref="AT53" ca="1">IF(Reuters=1,_xll.TR(AT$7,AT$6,"Sdate=#1 Period=#2 NULL=BLANK Scale=6",,$D53,$AT$4),AT53)</f>
        <v>11.7972208333333</v>
      </c>
      <c r="AU53" s="765" cm="1">
        <f t="array" aca="1" ref="AU53" ca="1">IF(Reuters=1,_xll.TR(AU$7,AU$6,"Sdate=#1 Period=#2 NULL=BLANK Scale=6",,$D53,$AT$4),AU53)</f>
        <v>20.279166666666701</v>
      </c>
      <c r="AV53" s="765" cm="1">
        <f t="array" aca="1" ref="AV53" ca="1">IF(Reuters=1,_xll.TR(AV$7,AV$6,"Sdate=#1 Period=#2 NULL=BLANK Scale=6",,$D53,$AT$4),AV53)</f>
        <v>8.96097416666667</v>
      </c>
      <c r="AW53" s="765" cm="1">
        <f t="array" aca="1" ref="AW53" ca="1">IF(Reuters=1,_xll.TR(AW$7,AW$6,"Sdate=#1 Period=#2 NULL=BLANK Scale=6",,$D53,$AT$4),AW53)</f>
        <v>10.758333333333301</v>
      </c>
      <c r="AX53" s="765" cm="1">
        <f t="array" aca="1" ref="AX53" ca="1">IF(Reuters=1,_xll.TR(AX$7,AX$6,"Sdate=#1 Period=#2 NULL=BLANK Scale=6",,$D53,$AT$4),AX53)</f>
        <v>17.258333333333301</v>
      </c>
      <c r="AY53" s="765" cm="1">
        <f t="array" aca="1" ref="AY53" ca="1">IF(Reuters=1,_xll.TR(AY$7,AY$6,"Sdate=#1 Period=#2 NULL=BLANK Scale=6",,$D53,$AT$4),AY53)</f>
        <v>10.1</v>
      </c>
      <c r="AZ53" s="765" cm="1">
        <f t="array" aca="1" ref="AZ53" ca="1">IF(Reuters=1,_xll.TR(AZ$7,AZ$6,"Sdate=#1 Period=#2 NULL=BLANK Scale=6",,$D53,$AT$4),AZ53)</f>
        <v>9.0916666666666703</v>
      </c>
      <c r="BA53" s="765" cm="1">
        <f t="array" aca="1" ref="BA53" ca="1">IF(Reuters=1,_xll.TR(BA$7,BA$6,"Sdate=#1 Period=#2 NULL=BLANK Scale=6",,$D53,$AT$4),BA53)</f>
        <v>9.7416666666666707</v>
      </c>
      <c r="BB53" s="765" cm="1">
        <f t="array" aca="1" ref="BB53" ca="1">IF(Reuters=1,_xll.TR(BB$7,BB$6,"Sdate=#1 Period=#2 NULL=BLANK Scale=6",,$D53,$AT$4),BB53)</f>
        <v>8.7041666666666693</v>
      </c>
      <c r="BC53" s="1014">
        <f t="shared" si="24"/>
        <v>42429</v>
      </c>
      <c r="BD53" s="1029">
        <f t="shared" si="23"/>
        <v>2016</v>
      </c>
      <c r="BE53" s="1000" cm="1">
        <f t="array" aca="1" ref="BE53" ca="1">IF(EVSwitch=1,_xll.TR(BE$7,BE$6,"Sdate=#1 Period=#2 NULL=BLANK Scale=6",,$BC53,$AT$4),BE53)</f>
        <v>16277.19041435</v>
      </c>
      <c r="BF53" s="1000" cm="1">
        <f t="array" aca="1" ref="BF53" ca="1">IF(EVSwitch=1,_xll.TR(BF$7,BF$6,"Sdate=#1 Period=#2 NULL=BLANK Scale=6",,$BC53,$AT$4),BF53)</f>
        <v>11329.626838439999</v>
      </c>
      <c r="BG53" s="1000" cm="1">
        <f t="array" aca="1" ref="BG53" ca="1">IF(EVSwitch=1,_xll.TR(BG$7,BG$6,"Sdate=#1 Period=#2 NULL=BLANK Scale=6",,$BC53,$AT$4),BG53)</f>
        <v>68920.047804920003</v>
      </c>
      <c r="BH53" s="1000" t="str" cm="1">
        <f t="array" aca="1" ref="BH53" ca="1">IF(EVSwitch=1,_xll.TR(BH$7,BH$6,"Sdate=#1 Period=#2 NULL=BLANK Scale=6",,$BC53,$AT$4),BH53)</f>
        <v/>
      </c>
      <c r="BI53" s="1000" cm="1">
        <f t="array" aca="1" ref="BI53" ca="1">IF(EVSwitch=1,_xll.TR(BI$7,BI$6,"Sdate=#1 Period=#2 NULL=BLANK Scale=6",,$BC53,$AT$4),BI53)</f>
        <v>40730.804671719998</v>
      </c>
      <c r="BJ53" s="1000" t="str" cm="1">
        <f t="array" aca="1" ref="BJ53" ca="1">IF(EVSwitch=1,_xll.TR(BJ$7,BJ$6,"Sdate=#1 Period=#2 NULL=BLANK Scale=6",,$BC53,$AT$4),BJ53)</f>
        <v/>
      </c>
      <c r="BK53" s="1000" cm="1">
        <f t="array" aca="1" ref="BK53" ca="1">IF(EVSwitch=1,_xll.TR(BK$7,BK$6,"Sdate=#1 Period=#2 NULL=BLANK Scale=6",,$BC53,$AT$4),BK53)</f>
        <v>3163.4002561699999</v>
      </c>
      <c r="BL53" s="1000" cm="1">
        <f t="array" aca="1" ref="BL53" ca="1">IF(EVSwitch=1,_xll.TR(BL$7,BL$6,"Sdate=#1 Period=#2 NULL=BLANK Scale=6",,$BC53,$AT$4),BL53)</f>
        <v>2909.2539420799999</v>
      </c>
      <c r="BM53" s="1000" cm="1">
        <f t="array" aca="1" ref="BM53" ca="1">IF(EVSwitch=1,_xll.TR(BM$7,BM$6,"Sdate=#1 Period=#2 NULL=BLANK Scale=6",,$BC53,$AT$4),BM53)</f>
        <v>5486.5470795199999</v>
      </c>
    </row>
    <row r="54" spans="3:65">
      <c r="C54" s="972">
        <f t="shared" si="22"/>
        <v>44377</v>
      </c>
      <c r="D54" s="970">
        <f t="shared" si="12"/>
        <v>44422</v>
      </c>
      <c r="E54" s="765" cm="1">
        <f t="array" aca="1" ref="E54" ca="1">IF(Reuters=1,_xll.TR(E$7,E$6,"Sdate=#1 Period=#2 NULL=BLANK",,$D54,$E$4),E54)</f>
        <v>13.6995330476074</v>
      </c>
      <c r="F54" s="765" cm="1">
        <f t="array" aca="1" ref="F54" ca="1">IF(Reuters=1,_xll.TR(F$7,F$6,"Sdate=#1 Period=#2 NULL=BLANK",,$D54,$E$4),F54)</f>
        <v>13.8934006489519</v>
      </c>
      <c r="G54" s="765" cm="1">
        <f t="array" aca="1" ref="G54" ca="1">IF(Reuters=1,_xll.TR(G$7,G$6,"Sdate=#1 Period=#2 NULL=BLANK",,$D54,$E$4),G54)</f>
        <v>17.033210162459099</v>
      </c>
      <c r="H54" s="765" cm="1">
        <f t="array" aca="1" ref="H54" ca="1">IF(Reuters=1,_xll.TR(H$7,H$6,"Sdate=#1 Period=#2 NULL=BLANK",,$D54,$E$4),H54)</f>
        <v>9.2950691912749797</v>
      </c>
      <c r="I54" s="765" cm="1">
        <f t="array" aca="1" ref="I54" ca="1">IF(Reuters=1,_xll.TR(I$7,I$6,"Sdate=#1 Period=#2 NULL=BLANK",,$D54,$E$4),I54)</f>
        <v>7.9596080123381503</v>
      </c>
      <c r="J54" s="765" cm="1">
        <f t="array" aca="1" ref="J54" ca="1">IF(Reuters=1,_xll.TR(J$7,J$6,"Sdate=#1 Period=#2 NULL=BLANK",,$D54,$E$4),J54)</f>
        <v>19.778370037873501</v>
      </c>
      <c r="K54" s="765" cm="1">
        <f t="array" aca="1" ref="K54" ca="1">IF(Reuters=1,_xll.TR(K$7,K$6,"Sdate=#1 Period=#2 NULL=BLANK",,$D54,$E$4),K54)</f>
        <v>14.8364717542121</v>
      </c>
      <c r="L54" s="765" cm="1">
        <f t="array" aca="1" ref="L54" ca="1">IF(Reuters=1,_xll.TR(L$7,L$6,"Sdate=#1 Period=#2 NULL=BLANK",,$D54,$E$4),L54)</f>
        <v>6.07772428927532</v>
      </c>
      <c r="M54" s="765" cm="1">
        <f t="array" aca="1" ref="M54" ca="1">IF(Reuters=1,_xll.TR(M$7,M$6,"Sdate=#1 Period=#2 NULL=BLANK",,$D54,$E$4),M54)</f>
        <v>8.0234167291890603</v>
      </c>
      <c r="P54" s="1000" cm="1">
        <f t="array" aca="1" ref="P54" ca="1">IF(Reuters=1,_xll.TR(P$7,P$6,"Sdate=#1 Period=#2 NULL=BLANK Scale=6",,$D54,$P$4),P54)</f>
        <v>1099</v>
      </c>
      <c r="Q54" s="1000" cm="1">
        <f t="array" aca="1" ref="Q54" ca="1">IF(Reuters=1,_xll.TR(Q$7,Q$6,"Sdate=#1 Period=#2 NULL=BLANK Scale=6",,$D54,$P$4),Q54)</f>
        <v>881</v>
      </c>
      <c r="R54" s="1000" cm="1">
        <f t="array" aca="1" ref="R54" ca="1">IF(Reuters=1,_xll.TR(R$7,R$6,"Sdate=#1 Period=#2 NULL=BLANK Scale=6",,$D54,$P$4),R54)</f>
        <v>3156</v>
      </c>
      <c r="S54" s="1000" cm="1">
        <f t="array" aca="1" ref="S54" ca="1">IF(Reuters=1,_xll.TR(S$7,S$6,"Sdate=#1 Period=#2 NULL=BLANK Scale=6",,$D54,$P$4),S54)</f>
        <v>3936</v>
      </c>
      <c r="T54" s="1000" cm="1">
        <f t="array" aca="1" ref="T54" ca="1">IF(Reuters=1,_xll.TR(T$7,T$6,"Sdate=#1 Period=#2 NULL=BLANK Scale=6",,$D54,$P$4),T54)</f>
        <v>2573</v>
      </c>
      <c r="U54" s="1000" cm="1">
        <f t="array" aca="1" ref="U54" ca="1">IF(Reuters=1,_xll.TR(U$7,U$6,"Sdate=#1 Period=#2 NULL=BLANK Scale=6",,$D54,$P$4),U54)</f>
        <v>2419</v>
      </c>
      <c r="V54" s="1000" t="str" cm="1">
        <f t="array" aca="1" ref="V54" ca="1">IF(Reuters=1,_xll.TR(V$7,V$6,"Sdate=#1 Period=#2 NULL=BLANK Scale=6",,$D54,$P$4),V54)</f>
        <v/>
      </c>
      <c r="W54" s="1000" cm="1">
        <f t="array" aca="1" ref="W54" ca="1">IF(Reuters=1,_xll.TR(W$7,W$6,"Sdate=#1 Period=#2 NULL=BLANK Scale=6",,$D54,$P$4),W54)</f>
        <v>851.8</v>
      </c>
      <c r="X54" s="1000" cm="1">
        <f t="array" aca="1" ref="X54" ca="1">IF(Reuters=1,_xll.TR(X$7,X$6,"Sdate=#1 Period=#2 NULL=BLANK Scale=6",,$D54,$P$4),X54)</f>
        <v>1166</v>
      </c>
      <c r="Y54" s="998"/>
      <c r="Z54" s="1000" cm="1">
        <f t="array" aca="1" ref="Z54" ca="1">IF(Reuters=1,_xll.TR(Z$7,Z$6,"Sdate=#1 Period=#2 NULL=BLANK Scale=6",,$D54,$Z$4),Z54)</f>
        <v>15710.060588300001</v>
      </c>
      <c r="AA54" s="1000" cm="1">
        <f t="array" aca="1" ref="AA54" ca="1">IF(Reuters=1,_xll.TR(AA$7,AA$6,"Sdate=#1 Period=#2 NULL=BLANK Scale=6",,$D54,$Z$4),AA54)</f>
        <v>18042.925471959999</v>
      </c>
      <c r="AB54" s="1000" cm="1">
        <f t="array" aca="1" ref="AB54" ca="1">IF(Reuters=1,_xll.TR(AB$7,AB$6,"Sdate=#1 Period=#2 NULL=BLANK Scale=6",,$D54,$Z$4),AB54)</f>
        <v>63521.986477040002</v>
      </c>
      <c r="AC54" s="1000" cm="1">
        <f t="array" aca="1" ref="AC54" ca="1">IF(Reuters=1,_xll.TR(AC$7,AC$6,"Sdate=#1 Period=#2 NULL=BLANK Scale=6",,$D54,$Z$4),AC54)</f>
        <v>47498.205177720003</v>
      </c>
      <c r="AD54" s="1000" cm="1">
        <f t="array" aca="1" ref="AD54" ca="1">IF(Reuters=1,_xll.TR(AD$7,AD$6,"Sdate=#1 Period=#2 NULL=BLANK Scale=6",,$D54,$Z$4),AD54)</f>
        <v>33561.708432904699</v>
      </c>
      <c r="AE54" s="1000" cm="1">
        <f t="array" aca="1" ref="AE54" ca="1">IF(Reuters=1,_xll.TR(AE$7,AE$6,"Sdate=#1 Period=#2 NULL=BLANK Scale=6",,$D54,$Z$4),AE54)</f>
        <v>40317.209819360003</v>
      </c>
      <c r="AF54" s="1000" cm="1">
        <f t="array" aca="1" ref="AF54" ca="1">IF(Reuters=1,_xll.TR(AF$7,AF$6,"Sdate=#1 Period=#2 NULL=BLANK Scale=6",,$D54,$Z$4),AF54)</f>
        <v>4555.7381642</v>
      </c>
      <c r="AG54" s="1000" cm="1">
        <f t="array" aca="1" ref="AG54" ca="1">IF(Reuters=1,_xll.TR(AG$7,AG$6,"Sdate=#1 Period=#2 NULL=BLANK Scale=6",,$D54,$Z$4),AG54)</f>
        <v>7848.1986209500001</v>
      </c>
      <c r="AH54" s="1000" cm="1">
        <f t="array" aca="1" ref="AH54" ca="1">IF(Reuters=1,_xll.TR(AH$7,AH$6,"Sdate=#1 Period=#2 NULL=BLANK Scale=6",,$D54,$Z$4),AH54)</f>
        <v>10840.243774029999</v>
      </c>
      <c r="AJ54" s="1004">
        <f t="shared" ca="1" si="13"/>
        <v>14.294868597179255</v>
      </c>
      <c r="AK54" s="1004">
        <f t="shared" ca="1" si="14"/>
        <v>20.480051614029513</v>
      </c>
      <c r="AL54" s="1004">
        <f t="shared" ca="1" si="15"/>
        <v>20.127372141013943</v>
      </c>
      <c r="AM54" s="1004">
        <f t="shared" ca="1" si="16"/>
        <v>12.067633429298782</v>
      </c>
      <c r="AN54" s="1004">
        <f t="shared" ca="1" si="17"/>
        <v>13.043804287953634</v>
      </c>
      <c r="AO54" s="1004">
        <f t="shared" ca="1" si="18"/>
        <v>16.666891202711867</v>
      </c>
      <c r="AP54" s="1004" t="str">
        <f t="shared" ca="1" si="19"/>
        <v>NA</v>
      </c>
      <c r="AQ54" s="1004">
        <f t="shared" ca="1" si="20"/>
        <v>9.2136635606363004</v>
      </c>
      <c r="AR54" s="1004">
        <f t="shared" ca="1" si="21"/>
        <v>9.2969500634905646</v>
      </c>
      <c r="AT54" s="765" cm="1">
        <f t="array" aca="1" ref="AT54" ca="1">IF(Reuters=1,_xll.TR(AT$7,AT$6,"Sdate=#1 Period=#2 NULL=BLANK Scale=6",,$D54,$AT$4),AT54)</f>
        <v>11.17778</v>
      </c>
      <c r="AU54" s="765" cm="1">
        <f t="array" aca="1" ref="AU54" ca="1">IF(Reuters=1,_xll.TR(AU$7,AU$6,"Sdate=#1 Period=#2 NULL=BLANK Scale=6",,$D54,$AT$4),AU54)</f>
        <v>21.1</v>
      </c>
      <c r="AV54" s="765" cm="1">
        <f t="array" aca="1" ref="AV54" ca="1">IF(Reuters=1,_xll.TR(AV$7,AV$6,"Sdate=#1 Period=#2 NULL=BLANK Scale=6",,$D54,$AT$4),AV54)</f>
        <v>11.193336666666699</v>
      </c>
      <c r="AW54" s="765" cm="1">
        <f t="array" aca="1" ref="AW54" ca="1">IF(Reuters=1,_xll.TR(AW$7,AW$6,"Sdate=#1 Period=#2 NULL=BLANK Scale=6",,$D54,$AT$4),AW54)</f>
        <v>16.033333333333299</v>
      </c>
      <c r="AX54" s="765" cm="1">
        <f t="array" aca="1" ref="AX54" ca="1">IF(Reuters=1,_xll.TR(AX$7,AX$6,"Sdate=#1 Period=#2 NULL=BLANK Scale=6",,$D54,$AT$4),AX54)</f>
        <v>21.133333333333301</v>
      </c>
      <c r="AY54" s="765" cm="1">
        <f t="array" aca="1" ref="AY54" ca="1">IF(Reuters=1,_xll.TR(AY$7,AY$6,"Sdate=#1 Period=#2 NULL=BLANK Scale=6",,$D54,$AT$4),AY54)</f>
        <v>8.7166666666666703</v>
      </c>
      <c r="AZ54" s="765" cm="1">
        <f t="array" aca="1" ref="AZ54" ca="1">IF(Reuters=1,_xll.TR(AZ$7,AZ$6,"Sdate=#1 Period=#2 NULL=BLANK Scale=6",,$D54,$AT$4),AZ54)</f>
        <v>10</v>
      </c>
      <c r="BA54" s="765" cm="1">
        <f t="array" aca="1" ref="BA54" ca="1">IF(Reuters=1,_xll.TR(BA$7,BA$6,"Sdate=#1 Period=#2 NULL=BLANK Scale=6",,$D54,$AT$4),BA54)</f>
        <v>11.633333333333301</v>
      </c>
      <c r="BB54" s="765" cm="1">
        <f t="array" aca="1" ref="BB54" ca="1">IF(Reuters=1,_xll.TR(BB$7,BB$6,"Sdate=#1 Period=#2 NULL=BLANK Scale=6",,$D54,$AT$4),BB54)</f>
        <v>10.283333333333299</v>
      </c>
      <c r="BC54" s="1014">
        <f t="shared" si="24"/>
        <v>42794</v>
      </c>
      <c r="BD54" s="1029">
        <f t="shared" si="23"/>
        <v>2017</v>
      </c>
      <c r="BE54" s="1000" cm="1">
        <f t="array" aca="1" ref="BE54" ca="1">IF(EVSwitch=1,_xll.TR(BE$7,BE$6,"Sdate=#1 Period=#2 NULL=BLANK Scale=6",,$BC54,$AT$4),BE54)</f>
        <v>18244.736151000001</v>
      </c>
      <c r="BF54" s="1000" cm="1">
        <f t="array" aca="1" ref="BF54" ca="1">IF(EVSwitch=1,_xll.TR(BF$7,BF$6,"Sdate=#1 Period=#2 NULL=BLANK Scale=6",,$BC54,$AT$4),BF54)</f>
        <v>15320.28199557</v>
      </c>
      <c r="BG54" s="1000" cm="1">
        <f t="array" aca="1" ref="BG54" ca="1">IF(EVSwitch=1,_xll.TR(BG$7,BG$6,"Sdate=#1 Period=#2 NULL=BLANK Scale=6",,$BC54,$AT$4),BG54)</f>
        <v>96002.277202600002</v>
      </c>
      <c r="BH54" s="1000" t="str" cm="1">
        <f t="array" aca="1" ref="BH54" ca="1">IF(EVSwitch=1,_xll.TR(BH$7,BH$6,"Sdate=#1 Period=#2 NULL=BLANK Scale=6",,$BC54,$AT$4),BH54)</f>
        <v/>
      </c>
      <c r="BI54" s="1000" cm="1">
        <f t="array" aca="1" ref="BI54" ca="1">IF(EVSwitch=1,_xll.TR(BI$7,BI$6,"Sdate=#1 Period=#2 NULL=BLANK Scale=6",,$BC54,$AT$4),BI54)</f>
        <v>43710.9590054</v>
      </c>
      <c r="BJ54" s="1000" t="str" cm="1">
        <f t="array" aca="1" ref="BJ54" ca="1">IF(EVSwitch=1,_xll.TR(BJ$7,BJ$6,"Sdate=#1 Period=#2 NULL=BLANK Scale=6",,$BC54,$AT$4),BJ54)</f>
        <v/>
      </c>
      <c r="BK54" s="1000" cm="1">
        <f t="array" aca="1" ref="BK54" ca="1">IF(EVSwitch=1,_xll.TR(BK$7,BK$6,"Sdate=#1 Period=#2 NULL=BLANK Scale=6",,$BC54,$AT$4),BK54)</f>
        <v>3800.5968195199998</v>
      </c>
      <c r="BL54" s="1000" cm="1">
        <f t="array" aca="1" ref="BL54" ca="1">IF(EVSwitch=1,_xll.TR(BL$7,BL$6,"Sdate=#1 Period=#2 NULL=BLANK Scale=6",,$BC54,$AT$4),BL54)</f>
        <v>8697.9075799599996</v>
      </c>
      <c r="BM54" s="1000" cm="1">
        <f t="array" aca="1" ref="BM54" ca="1">IF(EVSwitch=1,_xll.TR(BM$7,BM$6,"Sdate=#1 Period=#2 NULL=BLANK Scale=6",,$BC54,$AT$4),BM54)</f>
        <v>11916.186940289999</v>
      </c>
    </row>
    <row r="55" spans="3:65">
      <c r="C55" s="973">
        <f t="shared" si="22"/>
        <v>44469</v>
      </c>
      <c r="D55" s="970">
        <f t="shared" si="12"/>
        <v>44514</v>
      </c>
      <c r="E55" s="765" cm="1">
        <f t="array" aca="1" ref="E55" ca="1">IF(Reuters=1,_xll.TR(E$7,E$6,"Sdate=#1 Period=#2 NULL=BLANK",,$D55,$E$4),E55)</f>
        <v>14.3148448355124</v>
      </c>
      <c r="F55" s="765" cm="1">
        <f t="array" aca="1" ref="F55" ca="1">IF(Reuters=1,_xll.TR(F$7,F$6,"Sdate=#1 Period=#2 NULL=BLANK",,$D55,$E$4),F55)</f>
        <v>12.1759337620043</v>
      </c>
      <c r="G55" s="765" cm="1">
        <f t="array" aca="1" ref="G55" ca="1">IF(Reuters=1,_xll.TR(G$7,G$6,"Sdate=#1 Period=#2 NULL=BLANK",,$D55,$E$4),G55)</f>
        <v>13.2502388144931</v>
      </c>
      <c r="H55" s="765" cm="1">
        <f t="array" aca="1" ref="H55" ca="1">IF(Reuters=1,_xll.TR(H$7,H$6,"Sdate=#1 Period=#2 NULL=BLANK",,$D55,$E$4),H55)</f>
        <v>7.44908905450459</v>
      </c>
      <c r="I55" s="765" cm="1">
        <f t="array" aca="1" ref="I55" ca="1">IF(Reuters=1,_xll.TR(I$7,I$6,"Sdate=#1 Period=#2 NULL=BLANK",,$D55,$E$4),I55)</f>
        <v>6.7966259605694503</v>
      </c>
      <c r="J55" s="765" cm="1">
        <f t="array" aca="1" ref="J55" ca="1">IF(Reuters=1,_xll.TR(J$7,J$6,"Sdate=#1 Period=#2 NULL=BLANK",,$D55,$E$4),J55)</f>
        <v>18.1994898115437</v>
      </c>
      <c r="K55" s="765" cm="1">
        <f t="array" aca="1" ref="K55" ca="1">IF(Reuters=1,_xll.TR(K$7,K$6,"Sdate=#1 Period=#2 NULL=BLANK",,$D55,$E$4),K55)</f>
        <v>16.651969981238299</v>
      </c>
      <c r="L55" s="765" cm="1">
        <f t="array" aca="1" ref="L55" ca="1">IF(Reuters=1,_xll.TR(L$7,L$6,"Sdate=#1 Period=#2 NULL=BLANK",,$D55,$E$4),L55)</f>
        <v>5.9562779426863104</v>
      </c>
      <c r="M55" s="765" cm="1">
        <f t="array" aca="1" ref="M55" ca="1">IF(Reuters=1,_xll.TR(M$7,M$6,"Sdate=#1 Period=#2 NULL=BLANK",,$D55,$E$4),M55)</f>
        <v>6.7358249024969803</v>
      </c>
      <c r="P55" s="1000" cm="1">
        <f t="array" aca="1" ref="P55" ca="1">IF(Reuters=1,_xll.TR(P$7,P$6,"Sdate=#1 Period=#2 NULL=BLANK Scale=6",,$D55,$P$4),P55)</f>
        <v>1163</v>
      </c>
      <c r="Q55" s="1000" cm="1">
        <f t="array" aca="1" ref="Q55" ca="1">IF(Reuters=1,_xll.TR(Q$7,Q$6,"Sdate=#1 Period=#2 NULL=BLANK Scale=6",,$D55,$P$4),Q55)</f>
        <v>1050</v>
      </c>
      <c r="R55" s="1000" cm="1">
        <f t="array" aca="1" ref="R55" ca="1">IF(Reuters=1,_xll.TR(R$7,R$6,"Sdate=#1 Period=#2 NULL=BLANK Scale=6",,$D55,$P$4),R55)</f>
        <v>2869</v>
      </c>
      <c r="S55" s="1000" cm="1">
        <f t="array" aca="1" ref="S55" ca="1">IF(Reuters=1,_xll.TR(S$7,S$6,"Sdate=#1 Period=#2 NULL=BLANK Scale=6",,$D55,$P$4),S55)</f>
        <v>4772</v>
      </c>
      <c r="T55" s="1000" cm="1">
        <f t="array" aca="1" ref="T55" ca="1">IF(Reuters=1,_xll.TR(T$7,T$6,"Sdate=#1 Period=#2 NULL=BLANK Scale=6",,$D55,$P$4),T55)</f>
        <v>3800</v>
      </c>
      <c r="U55" s="1000" cm="1">
        <f t="array" aca="1" ref="U55" ca="1">IF(Reuters=1,_xll.TR(U$7,U$6,"Sdate=#1 Period=#2 NULL=BLANK Scale=6",,$D55,$P$4),U55)</f>
        <v>1982</v>
      </c>
      <c r="V55" s="1000" t="str" cm="1">
        <f t="array" aca="1" ref="V55" ca="1">IF(Reuters=1,_xll.TR(V$7,V$6,"Sdate=#1 Period=#2 NULL=BLANK Scale=6",,$D55,$P$4),V55)</f>
        <v/>
      </c>
      <c r="W55" s="1000" cm="1">
        <f t="array" aca="1" ref="W55" ca="1">IF(Reuters=1,_xll.TR(W$7,W$6,"Sdate=#1 Period=#2 NULL=BLANK Scale=6",,$D55,$P$4),W55)</f>
        <v>1153.4000000000001</v>
      </c>
      <c r="X55" s="1000" cm="1">
        <f t="array" aca="1" ref="X55" ca="1">IF(Reuters=1,_xll.TR(X$7,X$6,"Sdate=#1 Period=#2 NULL=BLANK Scale=6",,$D55,$P$4),X55)</f>
        <v>1532</v>
      </c>
      <c r="Y55" s="998"/>
      <c r="Z55" s="1000" cm="1">
        <f t="array" aca="1" ref="Z55" ca="1">IF(Reuters=1,_xll.TR(Z$7,Z$6,"Sdate=#1 Period=#2 NULL=BLANK Scale=6",,$D55,$Z$4),Z55)</f>
        <v>15576.250724940001</v>
      </c>
      <c r="AA55" s="1000" cm="1">
        <f t="array" aca="1" ref="AA55" ca="1">IF(Reuters=1,_xll.TR(AA$7,AA$6,"Sdate=#1 Period=#2 NULL=BLANK Scale=6",,$D55,$Z$4),AA55)</f>
        <v>18522.197370239999</v>
      </c>
      <c r="AB55" s="1000" cm="1">
        <f t="array" aca="1" ref="AB55" ca="1">IF(Reuters=1,_xll.TR(AB$7,AB$6,"Sdate=#1 Period=#2 NULL=BLANK Scale=6",,$D55,$Z$4),AB55)</f>
        <v>57542.690179099998</v>
      </c>
      <c r="AC55" s="1000" cm="1">
        <f t="array" aca="1" ref="AC55" ca="1">IF(Reuters=1,_xll.TR(AC$7,AC$6,"Sdate=#1 Period=#2 NULL=BLANK Scale=6",,$D55,$Z$4),AC55)</f>
        <v>44421.241584720003</v>
      </c>
      <c r="AD55" s="1000" cm="1">
        <f t="array" aca="1" ref="AD55" ca="1">IF(Reuters=1,_xll.TR(AD$7,AD$6,"Sdate=#1 Period=#2 NULL=BLANK Scale=6",,$D55,$Z$4),AD55)</f>
        <v>30311.9912687945</v>
      </c>
      <c r="AE55" s="1000" cm="1">
        <f t="array" aca="1" ref="AE55" ca="1">IF(Reuters=1,_xll.TR(AE$7,AE$6,"Sdate=#1 Period=#2 NULL=BLANK Scale=6",,$D55,$Z$4),AE55)</f>
        <v>41821.342126240001</v>
      </c>
      <c r="AF55" s="1000" cm="1">
        <f t="array" aca="1" ref="AF55" ca="1">IF(Reuters=1,_xll.TR(AF$7,AF$6,"Sdate=#1 Period=#2 NULL=BLANK Scale=6",,$D55,$Z$4),AF55)</f>
        <v>5413.5449546</v>
      </c>
      <c r="AG55" s="1000" cm="1">
        <f t="array" aca="1" ref="AG55" ca="1">IF(Reuters=1,_xll.TR(AG$7,AG$6,"Sdate=#1 Period=#2 NULL=BLANK Scale=6",,$D55,$Z$4),AG55)</f>
        <v>10267.095973199999</v>
      </c>
      <c r="AH55" s="1000" cm="1">
        <f t="array" aca="1" ref="AH55" ca="1">IF(Reuters=1,_xll.TR(AH$7,AH$6,"Sdate=#1 Period=#2 NULL=BLANK Scale=6",,$D55,$Z$4),AH55)</f>
        <v>13358.673457639999</v>
      </c>
      <c r="AJ55" s="1004">
        <f t="shared" ca="1" si="13"/>
        <v>13.393164853774721</v>
      </c>
      <c r="AK55" s="1004">
        <f t="shared" ca="1" si="14"/>
        <v>17.640187971657141</v>
      </c>
      <c r="AL55" s="1004">
        <f t="shared" ca="1" si="15"/>
        <v>20.056706231822933</v>
      </c>
      <c r="AM55" s="1004">
        <f t="shared" ca="1" si="16"/>
        <v>9.3087262331768663</v>
      </c>
      <c r="AN55" s="1004">
        <f t="shared" ca="1" si="17"/>
        <v>7.9768398075775</v>
      </c>
      <c r="AO55" s="1004">
        <f t="shared" ca="1" si="18"/>
        <v>21.100576249364281</v>
      </c>
      <c r="AP55" s="1004" t="str">
        <f t="shared" ca="1" si="19"/>
        <v>NA</v>
      </c>
      <c r="AQ55" s="1004">
        <f t="shared" ca="1" si="20"/>
        <v>8.9015917922663412</v>
      </c>
      <c r="AR55" s="1004">
        <f t="shared" ca="1" si="21"/>
        <v>8.7197607425848567</v>
      </c>
      <c r="AT55" s="765" cm="1">
        <f t="array" aca="1" ref="AT55" ca="1">IF(Reuters=1,_xll.TR(AT$7,AT$6,"Sdate=#1 Period=#2 NULL=BLANK Scale=6",,$D55,$AT$4),AT55)</f>
        <v>12.3388891666667</v>
      </c>
      <c r="AU55" s="765" cm="1">
        <f t="array" aca="1" ref="AU55" ca="1">IF(Reuters=1,_xll.TR(AU$7,AU$6,"Sdate=#1 Period=#2 NULL=BLANK Scale=6",,$D55,$AT$4),AU55)</f>
        <v>20.537500000000001</v>
      </c>
      <c r="AV55" s="765" cm="1">
        <f t="array" aca="1" ref="AV55" ca="1">IF(Reuters=1,_xll.TR(AV$7,AV$6,"Sdate=#1 Period=#2 NULL=BLANK Scale=6",,$D55,$AT$4),AV55)</f>
        <v>10.9296666666667</v>
      </c>
      <c r="AW55" s="765" cm="1">
        <f t="array" aca="1" ref="AW55" ca="1">IF(Reuters=1,_xll.TR(AW$7,AW$6,"Sdate=#1 Period=#2 NULL=BLANK Scale=6",,$D55,$AT$4),AW55)</f>
        <v>14.074999999999999</v>
      </c>
      <c r="AX55" s="765" cm="1">
        <f t="array" aca="1" ref="AX55" ca="1">IF(Reuters=1,_xll.TR(AX$7,AX$6,"Sdate=#1 Period=#2 NULL=BLANK Scale=6",,$D55,$AT$4),AX55)</f>
        <v>18.9166666666667</v>
      </c>
      <c r="AY55" s="765" cm="1">
        <f t="array" aca="1" ref="AY55" ca="1">IF(Reuters=1,_xll.TR(AY$7,AY$6,"Sdate=#1 Period=#2 NULL=BLANK Scale=6",,$D55,$AT$4),AY55)</f>
        <v>6.7208333333333297</v>
      </c>
      <c r="AZ55" s="765" cm="1">
        <f t="array" aca="1" ref="AZ55" ca="1">IF(Reuters=1,_xll.TR(AZ$7,AZ$6,"Sdate=#1 Period=#2 NULL=BLANK Scale=6",,$D55,$AT$4),AZ55)</f>
        <v>10.3166666666667</v>
      </c>
      <c r="BA55" s="765" cm="1">
        <f t="array" aca="1" ref="BA55" ca="1">IF(Reuters=1,_xll.TR(BA$7,BA$6,"Sdate=#1 Period=#2 NULL=BLANK Scale=6",,$D55,$AT$4),BA55)</f>
        <v>13.15</v>
      </c>
      <c r="BB55" s="765" cm="1">
        <f t="array" aca="1" ref="BB55" ca="1">IF(Reuters=1,_xll.TR(BB$7,BB$6,"Sdate=#1 Period=#2 NULL=BLANK Scale=6",,$D55,$AT$4),BB55)</f>
        <v>10.9375</v>
      </c>
      <c r="BC55" s="1014">
        <f t="shared" si="24"/>
        <v>43159</v>
      </c>
      <c r="BD55" s="1029">
        <f t="shared" si="23"/>
        <v>2018</v>
      </c>
      <c r="BE55" s="1000" cm="1">
        <f t="array" aca="1" ref="BE55" ca="1">IF(EVSwitch=1,_xll.TR(BE$7,BE$6,"Sdate=#1 Period=#2 NULL=BLANK Scale=6",,$BC55,$AT$4),BE55)</f>
        <v>21026.07191332</v>
      </c>
      <c r="BF55" s="1000" cm="1">
        <f t="array" aca="1" ref="BF55" ca="1">IF(EVSwitch=1,_xll.TR(BF$7,BF$6,"Sdate=#1 Period=#2 NULL=BLANK Scale=6",,$BC55,$AT$4),BF55)</f>
        <v>17144.128658019999</v>
      </c>
      <c r="BG55" s="1000" cm="1">
        <f t="array" aca="1" ref="BG55" ca="1">IF(EVSwitch=1,_xll.TR(BG$7,BG$6,"Sdate=#1 Period=#2 NULL=BLANK Scale=6",,$BC55,$AT$4),BG55)</f>
        <v>91868.743948539995</v>
      </c>
      <c r="BH55" s="1000" t="str" cm="1">
        <f t="array" aca="1" ref="BH55" ca="1">IF(EVSwitch=1,_xll.TR(BH$7,BH$6,"Sdate=#1 Period=#2 NULL=BLANK Scale=6",,$BC55,$AT$4),BH55)</f>
        <v/>
      </c>
      <c r="BI55" s="1000" cm="1">
        <f t="array" aca="1" ref="BI55" ca="1">IF(EVSwitch=1,_xll.TR(BI$7,BI$6,"Sdate=#1 Period=#2 NULL=BLANK Scale=6",,$BC55,$AT$4),BI55)</f>
        <v>48488.88581616</v>
      </c>
      <c r="BJ55" s="1000" cm="1">
        <f t="array" aca="1" ref="BJ55" ca="1">IF(EVSwitch=1,_xll.TR(BJ$7,BJ$6,"Sdate=#1 Period=#2 NULL=BLANK Scale=6",,$BC55,$AT$4),BJ55)</f>
        <v>184787.94889570001</v>
      </c>
      <c r="BK55" s="1000" cm="1">
        <f t="array" aca="1" ref="BK55" ca="1">IF(EVSwitch=1,_xll.TR(BK$7,BK$6,"Sdate=#1 Period=#2 NULL=BLANK Scale=6",,$BC55,$AT$4),BK55)</f>
        <v>4407.7896830500003</v>
      </c>
      <c r="BL55" s="1000" cm="1">
        <f t="array" aca="1" ref="BL55" ca="1">IF(EVSwitch=1,_xll.TR(BL$7,BL$6,"Sdate=#1 Period=#2 NULL=BLANK Scale=6",,$BC55,$AT$4),BL55)</f>
        <v>8827.3684374999993</v>
      </c>
      <c r="BM55" s="1000" cm="1">
        <f t="array" aca="1" ref="BM55" ca="1">IF(EVSwitch=1,_xll.TR(BM$7,BM$6,"Sdate=#1 Period=#2 NULL=BLANK Scale=6",,$BC55,$AT$4),BM55)</f>
        <v>16811.988089300001</v>
      </c>
    </row>
    <row r="56" spans="3:65">
      <c r="C56" s="969">
        <f t="shared" si="22"/>
        <v>44561</v>
      </c>
      <c r="D56" s="970">
        <f t="shared" si="12"/>
        <v>44606</v>
      </c>
      <c r="E56" s="765" cm="1">
        <f t="array" aca="1" ref="E56" ca="1">IF(Reuters=1,_xll.TR(E$7,E$6,"Sdate=#1 Period=#2 NULL=BLANK",,$D56,$E$4),E56)</f>
        <v>15.719257968709099</v>
      </c>
      <c r="F56" s="765" cm="1">
        <f t="array" aca="1" ref="F56" ca="1">IF(Reuters=1,_xll.TR(F$7,F$6,"Sdate=#1 Period=#2 NULL=BLANK",,$D56,$E$4),F56)</f>
        <v>11.401131830593901</v>
      </c>
      <c r="G56" s="765" cm="1">
        <f t="array" aca="1" ref="G56" ca="1">IF(Reuters=1,_xll.TR(G$7,G$6,"Sdate=#1 Period=#2 NULL=BLANK",,$D56,$E$4),G56)</f>
        <v>13.5018210695461</v>
      </c>
      <c r="H56" s="765" cm="1">
        <f t="array" aca="1" ref="H56" ca="1">IF(Reuters=1,_xll.TR(H$7,H$6,"Sdate=#1 Period=#2 NULL=BLANK",,$D56,$E$4),H56)</f>
        <v>9.1662822058648796</v>
      </c>
      <c r="I56" s="765" cm="1">
        <f t="array" aca="1" ref="I56" ca="1">IF(Reuters=1,_xll.TR(I$7,I$6,"Sdate=#1 Period=#2 NULL=BLANK",,$D56,$E$4),I56)</f>
        <v>7.8677573830671603</v>
      </c>
      <c r="J56" s="765" cm="1">
        <f t="array" aca="1" ref="J56" ca="1">IF(Reuters=1,_xll.TR(J$7,J$6,"Sdate=#1 Period=#2 NULL=BLANK",,$D56,$E$4),J56)</f>
        <v>18.839348555657899</v>
      </c>
      <c r="K56" s="765" cm="1">
        <f t="array" aca="1" ref="K56" ca="1">IF(Reuters=1,_xll.TR(K$7,K$6,"Sdate=#1 Period=#2 NULL=BLANK",,$D56,$E$4),K56)</f>
        <v>18.298957126303598</v>
      </c>
      <c r="L56" s="765" cm="1">
        <f t="array" aca="1" ref="L56" ca="1">IF(Reuters=1,_xll.TR(L$7,L$6,"Sdate=#1 Period=#2 NULL=BLANK",,$D56,$E$4),L56)</f>
        <v>4.4656391902485</v>
      </c>
      <c r="M56" s="765" cm="1">
        <f t="array" aca="1" ref="M56" ca="1">IF(Reuters=1,_xll.TR(M$7,M$6,"Sdate=#1 Period=#2 NULL=BLANK",,$D56,$E$4),M56)</f>
        <v>7.0232966550503502</v>
      </c>
      <c r="P56" s="1000" cm="1">
        <f t="array" aca="1" ref="P56" ca="1">IF(Reuters=1,_xll.TR(P$7,P$6,"Sdate=#1 Period=#2 NULL=BLANK Scale=6",,$D56,$P$4),P56)</f>
        <v>1052</v>
      </c>
      <c r="Q56" s="1000" cm="1">
        <f t="array" aca="1" ref="Q56" ca="1">IF(Reuters=1,_xll.TR(Q$7,Q$6,"Sdate=#1 Period=#2 NULL=BLANK Scale=6",,$D56,$P$4),Q56)</f>
        <v>1282</v>
      </c>
      <c r="R56" s="1000" cm="1">
        <f t="array" aca="1" ref="R56" ca="1">IF(Reuters=1,_xll.TR(R$7,R$6,"Sdate=#1 Period=#2 NULL=BLANK Scale=6",,$D56,$P$4),R56)</f>
        <v>2869</v>
      </c>
      <c r="S56" s="1000" cm="1">
        <f t="array" aca="1" ref="S56" ca="1">IF(Reuters=1,_xll.TR(S$7,S$6,"Sdate=#1 Period=#2 NULL=BLANK Scale=6",,$D56,$P$4),S56)</f>
        <v>4815</v>
      </c>
      <c r="T56" s="1000" cm="1">
        <f t="array" aca="1" ref="T56" ca="1">IF(Reuters=1,_xll.TR(T$7,T$6,"Sdate=#1 Period=#2 NULL=BLANK Scale=6",,$D56,$P$4),T56)</f>
        <v>5736</v>
      </c>
      <c r="U56" s="1000" cm="1">
        <f t="array" aca="1" ref="U56" ca="1">IF(Reuters=1,_xll.TR(U$7,U$6,"Sdate=#1 Period=#2 NULL=BLANK Scale=6",,$D56,$P$4),U56)</f>
        <v>1390</v>
      </c>
      <c r="V56" s="1000" t="str" cm="1">
        <f t="array" aca="1" ref="V56" ca="1">IF(Reuters=1,_xll.TR(V$7,V$6,"Sdate=#1 Period=#2 NULL=BLANK Scale=6",,$D56,$P$4),V56)</f>
        <v/>
      </c>
      <c r="W56" s="1000" cm="1">
        <f t="array" aca="1" ref="W56" ca="1">IF(Reuters=1,_xll.TR(W$7,W$6,"Sdate=#1 Period=#2 NULL=BLANK Scale=6",,$D56,$P$4),W56)</f>
        <v>1540.4</v>
      </c>
      <c r="X56" s="1000" cm="1">
        <f t="array" aca="1" ref="X56" ca="1">IF(Reuters=1,_xll.TR(X$7,X$6,"Sdate=#1 Period=#2 NULL=BLANK Scale=6",,$D56,$P$4),X56)</f>
        <v>1532</v>
      </c>
      <c r="Y56" s="998"/>
      <c r="Z56" s="1000" cm="1">
        <f t="array" aca="1" ref="Z56" ca="1">IF(Reuters=1,_xll.TR(Z$7,Z$6,"Sdate=#1 Period=#2 NULL=BLANK Scale=6",,$D56,$Z$4),Z56)</f>
        <v>15565.133195820001</v>
      </c>
      <c r="AA56" s="1000" cm="1">
        <f t="array" aca="1" ref="AA56" ca="1">IF(Reuters=1,_xll.TR(AA$7,AA$6,"Sdate=#1 Period=#2 NULL=BLANK Scale=6",,$D56,$Z$4),AA56)</f>
        <v>16654.85575137</v>
      </c>
      <c r="AB56" s="1000" cm="1">
        <f t="array" aca="1" ref="AB56" ca="1">IF(Reuters=1,_xll.TR(AB$7,AB$6,"Sdate=#1 Period=#2 NULL=BLANK Scale=6",,$D56,$Z$4),AB56)</f>
        <v>61032.909216300002</v>
      </c>
      <c r="AC56" s="1000" cm="1">
        <f t="array" aca="1" ref="AC56" ca="1">IF(Reuters=1,_xll.TR(AC$7,AC$6,"Sdate=#1 Period=#2 NULL=BLANK Scale=6",,$D56,$Z$4),AC56)</f>
        <v>44755.50175019</v>
      </c>
      <c r="AD56" s="1000" cm="1">
        <f t="array" aca="1" ref="AD56" ca="1">IF(Reuters=1,_xll.TR(AD$7,AD$6,"Sdate=#1 Period=#2 NULL=BLANK Scale=6",,$D56,$Z$4),AD56)</f>
        <v>31824.571832933401</v>
      </c>
      <c r="AE56" s="1000" cm="1">
        <f t="array" aca="1" ref="AE56" ca="1">IF(Reuters=1,_xll.TR(AE$7,AE$6,"Sdate=#1 Period=#2 NULL=BLANK Scale=6",,$D56,$Z$4),AE56)</f>
        <v>40683.821630879997</v>
      </c>
      <c r="AF56" s="1000" cm="1">
        <f t="array" aca="1" ref="AF56" ca="1">IF(Reuters=1,_xll.TR(AF$7,AF$6,"Sdate=#1 Period=#2 NULL=BLANK Scale=6",,$D56,$Z$4),AF56)</f>
        <v>4822.0826203200004</v>
      </c>
      <c r="AG56" s="1000" cm="1">
        <f t="array" aca="1" ref="AG56" ca="1">IF(Reuters=1,_xll.TR(AG$7,AG$6,"Sdate=#1 Period=#2 NULL=BLANK Scale=6",,$D56,$Z$4),AG56)</f>
        <v>7858.82079015</v>
      </c>
      <c r="AH56" s="1000" cm="1">
        <f t="array" aca="1" ref="AH56" ca="1">IF(Reuters=1,_xll.TR(AH$7,AH$6,"Sdate=#1 Period=#2 NULL=BLANK Scale=6",,$D56,$Z$4),AH56)</f>
        <v>13086.412674319999</v>
      </c>
      <c r="AJ56" s="1004">
        <f t="shared" ca="1" si="13"/>
        <v>14.795753988422055</v>
      </c>
      <c r="AK56" s="1004">
        <f t="shared" ca="1" si="14"/>
        <v>12.991307138354134</v>
      </c>
      <c r="AL56" s="1004">
        <f t="shared" ca="1" si="15"/>
        <v>21.273234303346115</v>
      </c>
      <c r="AM56" s="1004">
        <f t="shared" ca="1" si="16"/>
        <v>9.295015939811007</v>
      </c>
      <c r="AN56" s="1004">
        <f t="shared" ca="1" si="17"/>
        <v>5.5482168467457118</v>
      </c>
      <c r="AO56" s="1004">
        <f t="shared" ca="1" si="18"/>
        <v>29.268936425093521</v>
      </c>
      <c r="AP56" s="1004" t="str">
        <f t="shared" ca="1" si="19"/>
        <v>NA</v>
      </c>
      <c r="AQ56" s="1004">
        <f t="shared" ca="1" si="20"/>
        <v>5.1018052389963646</v>
      </c>
      <c r="AR56" s="1004">
        <f t="shared" ca="1" si="21"/>
        <v>8.5420448265796338</v>
      </c>
      <c r="AT56" s="765" cm="1">
        <f t="array" aca="1" ref="AT56" ca="1">IF(Reuters=1,_xll.TR(AT$7,AT$6,"Sdate=#1 Period=#2 NULL=BLANK Scale=6",,$D56,$AT$4),AT56)</f>
        <v>13.827775000000001</v>
      </c>
      <c r="AU56" s="765" cm="1">
        <f t="array" aca="1" ref="AU56" ca="1">IF(Reuters=1,_xll.TR(AU$7,AU$6,"Sdate=#1 Period=#2 NULL=BLANK Scale=6",,$D56,$AT$4),AU56)</f>
        <v>20.6666666666667</v>
      </c>
      <c r="AV56" s="765" cm="1">
        <f t="array" aca="1" ref="AV56" ca="1">IF(Reuters=1,_xll.TR(AV$7,AV$6,"Sdate=#1 Period=#2 NULL=BLANK Scale=6",,$D56,$AT$4),AV56)</f>
        <v>11.17</v>
      </c>
      <c r="AW56" s="765" t="str" cm="1">
        <f t="array" aca="1" ref="AW56" ca="1">IF(Reuters=1,_xll.TR(AW$7,AW$6,"Sdate=#1 Period=#2 NULL=BLANK Scale=6",,$D56,$AT$4),AW56)</f>
        <v/>
      </c>
      <c r="AX56" s="765" cm="1">
        <f t="array" aca="1" ref="AX56" ca="1">IF(Reuters=1,_xll.TR(AX$7,AX$6,"Sdate=#1 Period=#2 NULL=BLANK Scale=6",,$D56,$AT$4),AX56)</f>
        <v>18.0833333333333</v>
      </c>
      <c r="AY56" s="765" cm="1">
        <f t="array" aca="1" ref="AY56" ca="1">IF(Reuters=1,_xll.TR(AY$7,AY$6,"Sdate=#1 Period=#2 NULL=BLANK Scale=6",,$D56,$AT$4),AY56)</f>
        <v>6.8333333333333304</v>
      </c>
      <c r="AZ56" s="765" cm="1">
        <f t="array" aca="1" ref="AZ56" ca="1">IF(Reuters=1,_xll.TR(AZ$7,AZ$6,"Sdate=#1 Period=#2 NULL=BLANK Scale=6",,$D56,$AT$4),AZ56)</f>
        <v>10.716666666666701</v>
      </c>
      <c r="BA56" s="765" cm="1">
        <f t="array" aca="1" ref="BA56" ca="1">IF(Reuters=1,_xll.TR(BA$7,BA$6,"Sdate=#1 Period=#2 NULL=BLANK Scale=6",,$D56,$AT$4),BA56)</f>
        <v>15.0666666666667</v>
      </c>
      <c r="BB56" s="765" cm="1">
        <f t="array" aca="1" ref="BB56" ca="1">IF(Reuters=1,_xll.TR(BB$7,BB$6,"Sdate=#1 Period=#2 NULL=BLANK Scale=6",,$D56,$AT$4),BB56)</f>
        <v>10.4</v>
      </c>
      <c r="BC56" s="1014">
        <f t="shared" si="24"/>
        <v>43524</v>
      </c>
      <c r="BD56" s="1029">
        <f t="shared" si="23"/>
        <v>2019</v>
      </c>
      <c r="BE56" s="1000" cm="1">
        <f t="array" aca="1" ref="BE56" ca="1">IF(EVSwitch=1,_xll.TR(BE$7,BE$6,"Sdate=#1 Period=#2 NULL=BLANK Scale=6",,$BC56,$AT$4),BE56)</f>
        <v>17575.187583080002</v>
      </c>
      <c r="BF56" s="1000" cm="1">
        <f t="array" aca="1" ref="BF56" ca="1">IF(EVSwitch=1,_xll.TR(BF$7,BF$6,"Sdate=#1 Period=#2 NULL=BLANK Scale=6",,$BC56,$AT$4),BF56)</f>
        <v>16533.083996699999</v>
      </c>
      <c r="BG56" s="1000" cm="1">
        <f t="array" aca="1" ref="BG56" ca="1">IF(EVSwitch=1,_xll.TR(BG$7,BG$6,"Sdate=#1 Period=#2 NULL=BLANK Scale=6",,$BC56,$AT$4),BG56)</f>
        <v>80871.887711060001</v>
      </c>
      <c r="BH56" s="1000" t="str" cm="1">
        <f t="array" aca="1" ref="BH56" ca="1">IF(EVSwitch=1,_xll.TR(BH$7,BH$6,"Sdate=#1 Period=#2 NULL=BLANK Scale=6",,$BC56,$AT$4),BH56)</f>
        <v/>
      </c>
      <c r="BI56" s="1000" cm="1">
        <f t="array" aca="1" ref="BI56" ca="1">IF(EVSwitch=1,_xll.TR(BI$7,BI$6,"Sdate=#1 Period=#2 NULL=BLANK Scale=6",,$BC56,$AT$4),BI56)</f>
        <v>40043.34646896</v>
      </c>
      <c r="BJ56" s="1000" cm="1">
        <f t="array" aca="1" ref="BJ56" ca="1">IF(EVSwitch=1,_xll.TR(BJ$7,BJ$6,"Sdate=#1 Period=#2 NULL=BLANK Scale=6",,$BC56,$AT$4),BJ56)</f>
        <v>125219.03093219</v>
      </c>
      <c r="BK56" s="1000" cm="1">
        <f t="array" aca="1" ref="BK56" ca="1">IF(EVSwitch=1,_xll.TR(BK$7,BK$6,"Sdate=#1 Period=#2 NULL=BLANK Scale=6",,$BC56,$AT$4),BK56)</f>
        <v>3720.60462276</v>
      </c>
      <c r="BL56" s="1000" cm="1">
        <f t="array" aca="1" ref="BL56" ca="1">IF(EVSwitch=1,_xll.TR(BL$7,BL$6,"Sdate=#1 Period=#2 NULL=BLANK Scale=6",,$BC56,$AT$4),BL56)</f>
        <v>7315.5154980200005</v>
      </c>
      <c r="BM56" s="1000" cm="1">
        <f t="array" aca="1" ref="BM56" ca="1">IF(EVSwitch=1,_xll.TR(BM$7,BM$6,"Sdate=#1 Period=#2 NULL=BLANK Scale=6",,$BC56,$AT$4),BM56)</f>
        <v>11377.502555020001</v>
      </c>
    </row>
    <row r="57" spans="3:65">
      <c r="C57" s="971">
        <f t="shared" si="22"/>
        <v>44651</v>
      </c>
      <c r="D57" s="970">
        <f t="shared" si="12"/>
        <v>44696</v>
      </c>
      <c r="E57" s="765" cm="1">
        <f t="array" aca="1" ref="E57" ca="1">IF(Reuters=1,_xll.TR(E$7,E$6,"Sdate=#1 Period=#2 NULL=BLANK",,$D57,$E$4),E57)</f>
        <v>13.6274689042781</v>
      </c>
      <c r="F57" s="765" cm="1">
        <f t="array" aca="1" ref="F57" ca="1">IF(Reuters=1,_xll.TR(F$7,F$6,"Sdate=#1 Period=#2 NULL=BLANK",,$D57,$E$4),F57)</f>
        <v>9.7854780653815094</v>
      </c>
      <c r="G57" s="765" cm="1">
        <f t="array" aca="1" ref="G57" ca="1">IF(Reuters=1,_xll.TR(G$7,G$6,"Sdate=#1 Period=#2 NULL=BLANK",,$D57,$E$4),G57)</f>
        <v>14.070651024061601</v>
      </c>
      <c r="H57" s="765" cm="1">
        <f t="array" aca="1" ref="H57" ca="1">IF(Reuters=1,_xll.TR(H$7,H$6,"Sdate=#1 Period=#2 NULL=BLANK",,$D57,$E$4),H57)</f>
        <v>9.5122429414081608</v>
      </c>
      <c r="I57" s="765" cm="1">
        <f t="array" aca="1" ref="I57" ca="1">IF(Reuters=1,_xll.TR(I$7,I$6,"Sdate=#1 Period=#2 NULL=BLANK",,$D57,$E$4),I57)</f>
        <v>6.7451649087590404</v>
      </c>
      <c r="J57" s="765" cm="1">
        <f t="array" aca="1" ref="J57" ca="1">IF(Reuters=1,_xll.TR(J$7,J$6,"Sdate=#1 Period=#2 NULL=BLANK",,$D57,$E$4),J57)</f>
        <v>23.129773813963499</v>
      </c>
      <c r="K57" s="765" cm="1">
        <f t="array" aca="1" ref="K57" ca="1">IF(Reuters=1,_xll.TR(K$7,K$6,"Sdate=#1 Period=#2 NULL=BLANK",,$D57,$E$4),K57)</f>
        <v>15.315746532499301</v>
      </c>
      <c r="L57" s="765" cm="1">
        <f t="array" aca="1" ref="L57" ca="1">IF(Reuters=1,_xll.TR(L$7,L$6,"Sdate=#1 Period=#2 NULL=BLANK",,$D57,$E$4),L57)</f>
        <v>5.3316336559161304</v>
      </c>
      <c r="M57" s="765" cm="1">
        <f t="array" aca="1" ref="M57" ca="1">IF(Reuters=1,_xll.TR(M$7,M$6,"Sdate=#1 Period=#2 NULL=BLANK",,$D57,$E$4),M57)</f>
        <v>6.0204198529973798</v>
      </c>
      <c r="P57" s="1000" cm="1">
        <f t="array" aca="1" ref="P57" ca="1">IF(Reuters=1,_xll.TR(P$7,P$6,"Sdate=#1 Period=#2 NULL=BLANK Scale=6",,$D57,$P$4),P57)</f>
        <v>835</v>
      </c>
      <c r="Q57" s="1000" cm="1">
        <f t="array" aca="1" ref="Q57" ca="1">IF(Reuters=1,_xll.TR(Q$7,Q$6,"Sdate=#1 Period=#2 NULL=BLANK Scale=6",,$D57,$P$4),Q57)</f>
        <v>1437</v>
      </c>
      <c r="R57" s="1000" cm="1">
        <f t="array" aca="1" ref="R57" ca="1">IF(Reuters=1,_xll.TR(R$7,R$6,"Sdate=#1 Period=#2 NULL=BLANK Scale=6",,$D57,$P$4),R57)</f>
        <v>3801</v>
      </c>
      <c r="S57" s="1000" cm="1">
        <f t="array" aca="1" ref="S57" ca="1">IF(Reuters=1,_xll.TR(S$7,S$6,"Sdate=#1 Period=#2 NULL=BLANK Scale=6",,$D57,$P$4),S57)</f>
        <v>6692</v>
      </c>
      <c r="T57" s="1000" cm="1">
        <f t="array" aca="1" ref="T57" ca="1">IF(Reuters=1,_xll.TR(T$7,T$6,"Sdate=#1 Period=#2 NULL=BLANK Scale=6",,$D57,$P$4),T57)</f>
        <v>6561</v>
      </c>
      <c r="U57" s="1000" cm="1">
        <f t="array" aca="1" ref="U57" ca="1">IF(Reuters=1,_xll.TR(U$7,U$6,"Sdate=#1 Period=#2 NULL=BLANK Scale=6",,$D57,$P$4),U57)</f>
        <v>1253</v>
      </c>
      <c r="V57" s="1000" cm="1">
        <f t="array" aca="1" ref="V57" ca="1">IF(Reuters=1,_xll.TR(V$7,V$6,"Sdate=#1 Period=#2 NULL=BLANK Scale=6",,$D57,$P$4),V57)</f>
        <v>151.69999999999999</v>
      </c>
      <c r="W57" s="1000" cm="1">
        <f t="array" aca="1" ref="W57" ca="1">IF(Reuters=1,_xll.TR(W$7,W$6,"Sdate=#1 Period=#2 NULL=BLANK Scale=6",,$D57,$P$4),W57)</f>
        <v>1646.7</v>
      </c>
      <c r="X57" s="1000" cm="1">
        <f t="array" aca="1" ref="X57" ca="1">IF(Reuters=1,_xll.TR(X$7,X$6,"Sdate=#1 Period=#2 NULL=BLANK Scale=6",,$D57,$P$4),X57)</f>
        <v>2049</v>
      </c>
      <c r="Y57" s="998"/>
      <c r="Z57" s="1000" cm="1">
        <f t="array" aca="1" ref="Z57" ca="1">IF(Reuters=1,_xll.TR(Z$7,Z$6,"Sdate=#1 Period=#2 NULL=BLANK Scale=6",,$D57,$Z$4),Z57)</f>
        <v>13281.327507149999</v>
      </c>
      <c r="AA57" s="1000" cm="1">
        <f t="array" aca="1" ref="AA57" ca="1">IF(Reuters=1,_xll.TR(AA$7,AA$6,"Sdate=#1 Period=#2 NULL=BLANK Scale=6",,$D57,$Z$4),AA57)</f>
        <v>15436.18685084</v>
      </c>
      <c r="AB57" s="1000" cm="1">
        <f t="array" aca="1" ref="AB57" ca="1">IF(Reuters=1,_xll.TR(AB$7,AB$6,"Sdate=#1 Period=#2 NULL=BLANK Scale=6",,$D57,$Z$4),AB57)</f>
        <v>45354.477909720001</v>
      </c>
      <c r="AC57" s="1000" cm="1">
        <f t="array" aca="1" ref="AC57" ca="1">IF(Reuters=1,_xll.TR(AC$7,AC$6,"Sdate=#1 Period=#2 NULL=BLANK Scale=6",,$D57,$Z$4),AC57)</f>
        <v>49190.560445520001</v>
      </c>
      <c r="AD57" s="1000" cm="1">
        <f t="array" aca="1" ref="AD57" ca="1">IF(Reuters=1,_xll.TR(AD$7,AD$6,"Sdate=#1 Period=#2 NULL=BLANK Scale=6",,$D57,$Z$4),AD57)</f>
        <v>33386.268499203303</v>
      </c>
      <c r="AE57" s="1000" cm="1">
        <f t="array" aca="1" ref="AE57" ca="1">IF(Reuters=1,_xll.TR(AE$7,AE$6,"Sdate=#1 Period=#2 NULL=BLANK Scale=6",,$D57,$Z$4),AE57)</f>
        <v>32616.892852860001</v>
      </c>
      <c r="AF57" s="1000" cm="1">
        <f t="array" aca="1" ref="AF57" ca="1">IF(Reuters=1,_xll.TR(AF$7,AF$6,"Sdate=#1 Period=#2 NULL=BLANK Scale=6",,$D57,$Z$4),AF57)</f>
        <v>4290.62410413</v>
      </c>
      <c r="AG57" s="1000" cm="1">
        <f t="array" aca="1" ref="AG57" ca="1">IF(Reuters=1,_xll.TR(AG$7,AG$6,"Sdate=#1 Period=#2 NULL=BLANK Scale=6",,$D57,$Z$4),AG57)</f>
        <v>9489.5329999999994</v>
      </c>
      <c r="AH57" s="1000" cm="1">
        <f t="array" aca="1" ref="AH57" ca="1">IF(Reuters=1,_xll.TR(AH$7,AH$6,"Sdate=#1 Period=#2 NULL=BLANK Scale=6",,$D57,$Z$4),AH57)</f>
        <v>16753.377059999999</v>
      </c>
      <c r="AJ57" s="1004">
        <f t="shared" ca="1" si="13"/>
        <v>15.905781445688621</v>
      </c>
      <c r="AK57" s="1004">
        <f t="shared" ca="1" si="14"/>
        <v>10.741953271287404</v>
      </c>
      <c r="AL57" s="1004">
        <f t="shared" ca="1" si="15"/>
        <v>11.932248858121547</v>
      </c>
      <c r="AM57" s="1004">
        <f t="shared" ca="1" si="16"/>
        <v>7.3506515907830243</v>
      </c>
      <c r="AN57" s="1004">
        <f t="shared" ca="1" si="17"/>
        <v>5.0885944976685415</v>
      </c>
      <c r="AO57" s="1004">
        <f t="shared" ca="1" si="18"/>
        <v>26.031039786799681</v>
      </c>
      <c r="AP57" s="1004">
        <f t="shared" ca="1" si="19"/>
        <v>28.283613079301254</v>
      </c>
      <c r="AQ57" s="1004">
        <f t="shared" ca="1" si="20"/>
        <v>5.762757636485091</v>
      </c>
      <c r="AR57" s="1004">
        <f t="shared" ca="1" si="21"/>
        <v>8.1763675256222541</v>
      </c>
      <c r="AT57" s="765" cm="1">
        <f t="array" aca="1" ref="AT57" ca="1">IF(Reuters=1,_xll.TR(AT$7,AT$6,"Sdate=#1 Period=#2 NULL=BLANK Scale=6",,$D57,$AT$4),AT57)</f>
        <v>14.6458333333333</v>
      </c>
      <c r="AU57" s="765" cm="1">
        <f t="array" aca="1" ref="AU57" ca="1">IF(Reuters=1,_xll.TR(AU$7,AU$6,"Sdate=#1 Period=#2 NULL=BLANK Scale=6",,$D57,$AT$4),AU57)</f>
        <v>18.212499999999999</v>
      </c>
      <c r="AV57" s="765" cm="1">
        <f t="array" aca="1" ref="AV57" ca="1">IF(Reuters=1,_xll.TR(AV$7,AV$6,"Sdate=#1 Period=#2 NULL=BLANK Scale=6",,$D57,$AT$4),AV57)</f>
        <v>10.535</v>
      </c>
      <c r="AW57" s="765" t="str" cm="1">
        <f t="array" aca="1" ref="AW57" ca="1">IF(Reuters=1,_xll.TR(AW$7,AW$6,"Sdate=#1 Period=#2 NULL=BLANK Scale=6",,$D57,$AT$4),AW57)</f>
        <v/>
      </c>
      <c r="AX57" s="765" t="str" cm="1">
        <f t="array" aca="1" ref="AX57" ca="1">IF(Reuters=1,_xll.TR(AX$7,AX$6,"Sdate=#1 Period=#2 NULL=BLANK Scale=6",,$D57,$AT$4),AX57)</f>
        <v/>
      </c>
      <c r="AY57" s="765" cm="1">
        <f t="array" aca="1" ref="AY57" ca="1">IF(Reuters=1,_xll.TR(AY$7,AY$6,"Sdate=#1 Period=#2 NULL=BLANK Scale=6",,$D57,$AT$4),AY57)</f>
        <v>9.6999999999999993</v>
      </c>
      <c r="AZ57" s="765" cm="1">
        <f t="array" aca="1" ref="AZ57" ca="1">IF(Reuters=1,_xll.TR(AZ$7,AZ$6,"Sdate=#1 Period=#2 NULL=BLANK Scale=6",,$D57,$AT$4),AZ57)</f>
        <v>11.0833333333333</v>
      </c>
      <c r="BA57" s="765" cm="1">
        <f t="array" aca="1" ref="BA57" ca="1">IF(Reuters=1,_xll.TR(BA$7,BA$6,"Sdate=#1 Period=#2 NULL=BLANK Scale=6",,$D57,$AT$4),BA57)</f>
        <v>15.1</v>
      </c>
      <c r="BB57" s="765" cm="1">
        <f t="array" aca="1" ref="BB57" ca="1">IF(Reuters=1,_xll.TR(BB$7,BB$6,"Sdate=#1 Period=#2 NULL=BLANK Scale=6",,$D57,$AT$4),BB57)</f>
        <v>12.0583333333333</v>
      </c>
      <c r="BC57" s="1014">
        <f t="shared" si="24"/>
        <v>43890</v>
      </c>
      <c r="BD57" s="1029">
        <f t="shared" si="23"/>
        <v>2020</v>
      </c>
      <c r="BE57" s="1000" cm="1">
        <f t="array" aca="1" ref="BE57" ca="1">IF(EVSwitch=1,_xll.TR(BE$7,BE$6,"Sdate=#1 Period=#2 NULL=BLANK Scale=6",,$BC57,$AT$4),BE57)</f>
        <v>14015.93225946</v>
      </c>
      <c r="BF57" s="1000" cm="1">
        <f t="array" aca="1" ref="BF57" ca="1">IF(EVSwitch=1,_xll.TR(BF$7,BF$6,"Sdate=#1 Period=#2 NULL=BLANK Scale=6",,$BC57,$AT$4),BF57)</f>
        <v>15001.13858768</v>
      </c>
      <c r="BG57" s="1000" cm="1">
        <f t="array" aca="1" ref="BG57" ca="1">IF(EVSwitch=1,_xll.TR(BG$7,BG$6,"Sdate=#1 Period=#2 NULL=BLANK Scale=6",,$BC57,$AT$4),BG57)</f>
        <v>67443.849077520004</v>
      </c>
      <c r="BH57" s="1000" cm="1">
        <f t="array" aca="1" ref="BH57" ca="1">IF(EVSwitch=1,_xll.TR(BH$7,BH$6,"Sdate=#1 Period=#2 NULL=BLANK Scale=6",,$BC57,$AT$4),BH57)</f>
        <v>45172.69172825</v>
      </c>
      <c r="BI57" s="1000" cm="1">
        <f t="array" aca="1" ref="BI57" ca="1">IF(EVSwitch=1,_xll.TR(BI$7,BI$6,"Sdate=#1 Period=#2 NULL=BLANK Scale=6",,$BC57,$AT$4),BI57)</f>
        <v>37801.762911099999</v>
      </c>
      <c r="BJ57" s="1000" cm="1">
        <f t="array" aca="1" ref="BJ57" ca="1">IF(EVSwitch=1,_xll.TR(BJ$7,BJ$6,"Sdate=#1 Period=#2 NULL=BLANK Scale=6",,$BC57,$AT$4),BJ57)</f>
        <v>48195.765019799997</v>
      </c>
      <c r="BK57" s="1000" cm="1">
        <f t="array" aca="1" ref="BK57" ca="1">IF(EVSwitch=1,_xll.TR(BK$7,BK$6,"Sdate=#1 Period=#2 NULL=BLANK Scale=6",,$BC57,$AT$4),BK57)</f>
        <v>2650.3008344</v>
      </c>
      <c r="BL57" s="1000" cm="1">
        <f t="array" aca="1" ref="BL57" ca="1">IF(EVSwitch=1,_xll.TR(BL$7,BL$6,"Sdate=#1 Period=#2 NULL=BLANK Scale=6",,$BC57,$AT$4),BL57)</f>
        <v>5675.0791568900004</v>
      </c>
      <c r="BM57" s="1000" cm="1">
        <f t="array" aca="1" ref="BM57" ca="1">IF(EVSwitch=1,_xll.TR(BM$7,BM$6,"Sdate=#1 Period=#2 NULL=BLANK Scale=6",,$BC57,$AT$4),BM57)</f>
        <v>10433.30311011</v>
      </c>
    </row>
    <row r="58" spans="3:65">
      <c r="C58" s="972">
        <f t="shared" si="22"/>
        <v>44742</v>
      </c>
      <c r="D58" s="970">
        <f t="shared" si="12"/>
        <v>44787</v>
      </c>
      <c r="E58" s="765" cm="1">
        <f t="array" aca="1" ref="E58" ca="1">IF(Reuters=1,_xll.TR(E$7,E$6,"Sdate=#1 Period=#2 NULL=BLANK",,$D58,$E$4),E58)</f>
        <v>14.4656902766597</v>
      </c>
      <c r="F58" s="765" cm="1">
        <f t="array" aca="1" ref="F58" ca="1">IF(Reuters=1,_xll.TR(F$7,F$6,"Sdate=#1 Period=#2 NULL=BLANK",,$D58,$E$4),F58)</f>
        <v>8.9420885349379091</v>
      </c>
      <c r="G58" s="765" cm="1">
        <f t="array" aca="1" ref="G58" ca="1">IF(Reuters=1,_xll.TR(G$7,G$6,"Sdate=#1 Period=#2 NULL=BLANK",,$D58,$E$4),G58)</f>
        <v>10.6955736078152</v>
      </c>
      <c r="H58" s="765" cm="1">
        <f t="array" aca="1" ref="H58" ca="1">IF(Reuters=1,_xll.TR(H$7,H$6,"Sdate=#1 Period=#2 NULL=BLANK",,$D58,$E$4),H58)</f>
        <v>7.5487164167823604</v>
      </c>
      <c r="I58" s="765" cm="1">
        <f t="array" aca="1" ref="I58" ca="1">IF(Reuters=1,_xll.TR(I$7,I$6,"Sdate=#1 Period=#2 NULL=BLANK",,$D58,$E$4),I58)</f>
        <v>6.9462852207556498</v>
      </c>
      <c r="J58" s="765" cm="1">
        <f t="array" aca="1" ref="J58" ca="1">IF(Reuters=1,_xll.TR(J$7,J$6,"Sdate=#1 Period=#2 NULL=BLANK",,$D58,$E$4),J58)</f>
        <v>30.2346439834505</v>
      </c>
      <c r="K58" s="765" cm="1">
        <f t="array" aca="1" ref="K58" ca="1">IF(Reuters=1,_xll.TR(K$7,K$6,"Sdate=#1 Period=#2 NULL=BLANK",,$D58,$E$4),K58)</f>
        <v>15.046106557377099</v>
      </c>
      <c r="L58" s="765" cm="1">
        <f t="array" aca="1" ref="L58" ca="1">IF(Reuters=1,_xll.TR(L$7,L$6,"Sdate=#1 Period=#2 NULL=BLANK",,$D58,$E$4),L58)</f>
        <v>5.2170383744151403</v>
      </c>
      <c r="M58" s="765" cm="1">
        <f t="array" aca="1" ref="M58" ca="1">IF(Reuters=1,_xll.TR(M$7,M$6,"Sdate=#1 Period=#2 NULL=BLANK",,$D58,$E$4),M58)</f>
        <v>5.1976973555557304</v>
      </c>
      <c r="P58" s="1000" cm="1">
        <f t="array" aca="1" ref="P58" ca="1">IF(Reuters=1,_xll.TR(P$7,P$6,"Sdate=#1 Period=#2 NULL=BLANK Scale=6",,$D58,$P$4),P58)</f>
        <v>622</v>
      </c>
      <c r="Q58" s="1000" cm="1">
        <f t="array" aca="1" ref="Q58" ca="1">IF(Reuters=1,_xll.TR(Q$7,Q$6,"Sdate=#1 Period=#2 NULL=BLANK Scale=6",,$D58,$P$4),Q58)</f>
        <v>1499</v>
      </c>
      <c r="R58" s="1000" cm="1">
        <f t="array" aca="1" ref="R58" ca="1">IF(Reuters=1,_xll.TR(R$7,R$6,"Sdate=#1 Period=#2 NULL=BLANK Scale=6",,$D58,$P$4),R58)</f>
        <v>2367</v>
      </c>
      <c r="S58" s="1000" cm="1">
        <f t="array" aca="1" ref="S58" ca="1">IF(Reuters=1,_xll.TR(S$7,S$6,"Sdate=#1 Period=#2 NULL=BLANK Scale=6",,$D58,$P$4),S58)</f>
        <v>6404</v>
      </c>
      <c r="T58" s="1000" cm="1">
        <f t="array" aca="1" ref="T58" ca="1">IF(Reuters=1,_xll.TR(T$7,T$6,"Sdate=#1 Period=#2 NULL=BLANK Scale=6",,$D58,$P$4),T58)</f>
        <v>6157</v>
      </c>
      <c r="U58" s="1000" cm="1">
        <f t="array" aca="1" ref="U58" ca="1">IF(Reuters=1,_xll.TR(U$7,U$6,"Sdate=#1 Period=#2 NULL=BLANK Scale=6",,$D58,$P$4),U58)</f>
        <v>980</v>
      </c>
      <c r="V58" s="1000" cm="1">
        <f t="array" aca="1" ref="V58" ca="1">IF(Reuters=1,_xll.TR(V$7,V$6,"Sdate=#1 Period=#2 NULL=BLANK Scale=6",,$D58,$P$4),V58)</f>
        <v>179.9</v>
      </c>
      <c r="W58" s="1000" cm="1">
        <f t="array" aca="1" ref="W58" ca="1">IF(Reuters=1,_xll.TR(W$7,W$6,"Sdate=#1 Period=#2 NULL=BLANK Scale=6",,$D58,$P$4),W58)</f>
        <v>1774.5</v>
      </c>
      <c r="X58" s="1000" cm="1">
        <f t="array" aca="1" ref="X58" ca="1">IF(Reuters=1,_xll.TR(X$7,X$6,"Sdate=#1 Period=#2 NULL=BLANK Scale=6",,$D58,$P$4),X58)</f>
        <v>2244</v>
      </c>
      <c r="Y58" s="998"/>
      <c r="Z58" s="1000" cm="1">
        <f t="array" aca="1" ref="Z58" ca="1">IF(Reuters=1,_xll.TR(Z$7,Z$6,"Sdate=#1 Period=#2 NULL=BLANK Scale=6",,$D58,$Z$4),Z58)</f>
        <v>12424.536450850001</v>
      </c>
      <c r="AA58" s="1000" cm="1">
        <f t="array" aca="1" ref="AA58" ca="1">IF(Reuters=1,_xll.TR(AA$7,AA$6,"Sdate=#1 Period=#2 NULL=BLANK Scale=6",,$D58,$Z$4),AA58)</f>
        <v>12743.968565859999</v>
      </c>
      <c r="AB58" s="1000" cm="1">
        <f t="array" aca="1" ref="AB58" ca="1">IF(Reuters=1,_xll.TR(AB$7,AB$6,"Sdate=#1 Period=#2 NULL=BLANK Scale=6",,$D58,$Z$4),AB58)</f>
        <v>40555.426733569999</v>
      </c>
      <c r="AC58" s="1000" cm="1">
        <f t="array" aca="1" ref="AC58" ca="1">IF(Reuters=1,_xll.TR(AC$7,AC$6,"Sdate=#1 Period=#2 NULL=BLANK Scale=6",,$D58,$Z$4),AC58)</f>
        <v>40167.106988610001</v>
      </c>
      <c r="AD58" s="1000" cm="1">
        <f t="array" aca="1" ref="AD58" ca="1">IF(Reuters=1,_xll.TR(AD$7,AD$6,"Sdate=#1 Period=#2 NULL=BLANK Scale=6",,$D58,$Z$4),AD58)</f>
        <v>30118.600256990001</v>
      </c>
      <c r="AE58" s="1000" cm="1">
        <f t="array" aca="1" ref="AE58" ca="1">IF(Reuters=1,_xll.TR(AE$7,AE$6,"Sdate=#1 Period=#2 NULL=BLANK Scale=6",,$D58,$Z$4),AE58)</f>
        <v>31406.5499451</v>
      </c>
      <c r="AF58" s="1000" cm="1">
        <f t="array" aca="1" ref="AF58" ca="1">IF(Reuters=1,_xll.TR(AF$7,AF$6,"Sdate=#1 Period=#2 NULL=BLANK Scale=6",,$D58,$Z$4),AF58)</f>
        <v>4451.3633598500001</v>
      </c>
      <c r="AG58" s="1000" cm="1">
        <f t="array" aca="1" ref="AG58" ca="1">IF(Reuters=1,_xll.TR(AG$7,AG$6,"Sdate=#1 Period=#2 NULL=BLANK Scale=6",,$D58,$Z$4),AG58)</f>
        <v>8430.31</v>
      </c>
      <c r="AH58" s="1000" cm="1">
        <f t="array" aca="1" ref="AH58" ca="1">IF(Reuters=1,_xll.TR(AH$7,AH$6,"Sdate=#1 Period=#2 NULL=BLANK Scale=6",,$D58,$Z$4),AH58)</f>
        <v>13264.46079082</v>
      </c>
      <c r="AJ58" s="1004">
        <f t="shared" ca="1" si="13"/>
        <v>19.975138988504824</v>
      </c>
      <c r="AK58" s="1004">
        <f t="shared" ca="1" si="14"/>
        <v>8.5016468084456296</v>
      </c>
      <c r="AL58" s="1004">
        <f t="shared" ca="1" si="15"/>
        <v>17.133682608183353</v>
      </c>
      <c r="AM58" s="1004">
        <f t="shared" ca="1" si="16"/>
        <v>6.2721903480028107</v>
      </c>
      <c r="AN58" s="1004">
        <f t="shared" ca="1" si="17"/>
        <v>4.8917655119360077</v>
      </c>
      <c r="AO58" s="1004">
        <f t="shared" ca="1" si="18"/>
        <v>32.047499943979588</v>
      </c>
      <c r="AP58" s="1004">
        <f t="shared" ca="1" si="19"/>
        <v>24.743542856309059</v>
      </c>
      <c r="AQ58" s="1004">
        <f t="shared" ca="1" si="20"/>
        <v>4.7508086785009862</v>
      </c>
      <c r="AR58" s="1004">
        <f t="shared" ca="1" si="21"/>
        <v>5.9110787837878789</v>
      </c>
      <c r="AT58" s="765" cm="1">
        <f t="array" aca="1" ref="AT58" ca="1">IF(Reuters=1,_xll.TR(AT$7,AT$6,"Sdate=#1 Period=#2 NULL=BLANK Scale=6",,$D58,$AT$4),AT58)</f>
        <v>17.033333333333299</v>
      </c>
      <c r="AU58" s="765" cm="1">
        <f t="array" aca="1" ref="AU58" ca="1">IF(Reuters=1,_xll.TR(AU$7,AU$6,"Sdate=#1 Period=#2 NULL=BLANK Scale=6",,$D58,$AT$4),AU58)</f>
        <v>18.149999999999999</v>
      </c>
      <c r="AV58" s="765" cm="1">
        <f t="array" aca="1" ref="AV58" ca="1">IF(Reuters=1,_xll.TR(AV$7,AV$6,"Sdate=#1 Period=#2 NULL=BLANK Scale=6",,$D58,$AT$4),AV58)</f>
        <v>8.65</v>
      </c>
      <c r="AW58" s="765" t="str" cm="1">
        <f t="array" aca="1" ref="AW58" ca="1">IF(Reuters=1,_xll.TR(AW$7,AW$6,"Sdate=#1 Period=#2 NULL=BLANK Scale=6",,$D58,$AT$4),AW58)</f>
        <v/>
      </c>
      <c r="AX58" s="765" t="str" cm="1">
        <f t="array" aca="1" ref="AX58" ca="1">IF(Reuters=1,_xll.TR(AX$7,AX$6,"Sdate=#1 Period=#2 NULL=BLANK Scale=6",,$D58,$AT$4),AX58)</f>
        <v/>
      </c>
      <c r="AY58" s="765" cm="1">
        <f t="array" aca="1" ref="AY58" ca="1">IF(Reuters=1,_xll.TR(AY$7,AY$6,"Sdate=#1 Period=#2 NULL=BLANK Scale=6",,$D58,$AT$4),AY58)</f>
        <v>12.3333333333333</v>
      </c>
      <c r="AZ58" s="765" cm="1">
        <f t="array" aca="1" ref="AZ58" ca="1">IF(Reuters=1,_xll.TR(AZ$7,AZ$6,"Sdate=#1 Period=#2 NULL=BLANK Scale=6",,$D58,$AT$4),AZ58)</f>
        <v>11.5666666666667</v>
      </c>
      <c r="BA58" s="765" t="str" cm="1">
        <f t="array" aca="1" ref="BA58" ca="1">IF(Reuters=1,_xll.TR(BA$7,BA$6,"Sdate=#1 Period=#2 NULL=BLANK Scale=6",,$D58,$AT$4),BA58)</f>
        <v/>
      </c>
      <c r="BB58" s="765" t="str" cm="1">
        <f t="array" aca="1" ref="BB58" ca="1">IF(Reuters=1,_xll.TR(BB$7,BB$6,"Sdate=#1 Period=#2 NULL=BLANK Scale=6",,$D58,$AT$4),BB58)</f>
        <v/>
      </c>
      <c r="BC58" s="1014">
        <f t="shared" si="24"/>
        <v>44255</v>
      </c>
      <c r="BD58" s="1029">
        <f t="shared" si="23"/>
        <v>2021</v>
      </c>
      <c r="BE58" s="1000" cm="1">
        <f t="array" aca="1" ref="BE58" ca="1">IF(EVSwitch=1,_xll.TR(BE$7,BE$6,"Sdate=#1 Period=#2 NULL=BLANK Scale=6",,$BC58,$AT$4),BE58)</f>
        <v>19983.266168040002</v>
      </c>
      <c r="BF58" s="1000" cm="1">
        <f t="array" aca="1" ref="BF58" ca="1">IF(EVSwitch=1,_xll.TR(BF$7,BF$6,"Sdate=#1 Period=#2 NULL=BLANK Scale=6",,$BC58,$AT$4),BF58)</f>
        <v>18464.032858620001</v>
      </c>
      <c r="BG58" s="1000" cm="1">
        <f t="array" aca="1" ref="BG58" ca="1">IF(EVSwitch=1,_xll.TR(BG$7,BG$6,"Sdate=#1 Period=#2 NULL=BLANK Scale=6",,$BC58,$AT$4),BG58)</f>
        <v>78610.56194462</v>
      </c>
      <c r="BH58" s="1000" cm="1">
        <f t="array" aca="1" ref="BH58" ca="1">IF(EVSwitch=1,_xll.TR(BH$7,BH$6,"Sdate=#1 Period=#2 NULL=BLANK Scale=6",,$BC58,$AT$4),BH58)</f>
        <v>56772.28632798</v>
      </c>
      <c r="BI58" s="1000" cm="1">
        <f t="array" aca="1" ref="BI58" ca="1">IF(EVSwitch=1,_xll.TR(BI$7,BI$6,"Sdate=#1 Period=#2 NULL=BLANK Scale=6",,$BC58,$AT$4),BI58)</f>
        <v>48070.72540422</v>
      </c>
      <c r="BJ58" s="1000" cm="1">
        <f t="array" aca="1" ref="BJ58" ca="1">IF(EVSwitch=1,_xll.TR(BJ$7,BJ$6,"Sdate=#1 Period=#2 NULL=BLANK Scale=6",,$BC58,$AT$4),BJ58)</f>
        <v>51472.419464480001</v>
      </c>
      <c r="BK58" s="1000" cm="1">
        <f t="array" aca="1" ref="BK58" ca="1">IF(EVSwitch=1,_xll.TR(BK$7,BK$6,"Sdate=#1 Period=#2 NULL=BLANK Scale=6",,$BC58,$AT$4),BK58)</f>
        <v>5183.4002293599997</v>
      </c>
      <c r="BL58" s="1000" cm="1">
        <f t="array" aca="1" ref="BL58" ca="1">IF(EVSwitch=1,_xll.TR(BL$7,BL$6,"Sdate=#1 Period=#2 NULL=BLANK Scale=6",,$BC58,$AT$4),BL58)</f>
        <v>8582.8382070999996</v>
      </c>
      <c r="BM58" s="1000" cm="1">
        <f t="array" aca="1" ref="BM58" ca="1">IF(EVSwitch=1,_xll.TR(BM$7,BM$6,"Sdate=#1 Period=#2 NULL=BLANK Scale=6",,$BC58,$AT$4),BM58)</f>
        <v>13729.32224521</v>
      </c>
    </row>
    <row r="59" spans="3:65">
      <c r="C59" s="973">
        <f t="shared" si="22"/>
        <v>44834</v>
      </c>
      <c r="D59" s="970">
        <f t="shared" si="12"/>
        <v>44879</v>
      </c>
      <c r="E59" s="765" cm="1">
        <f t="array" aca="1" ref="E59" ca="1">IF(Reuters=1,_xll.TR(E$7,E$6,"Sdate=#1 Period=#2 NULL=BLANK",,$D59,$E$4),E59)</f>
        <v>14.284112065678199</v>
      </c>
      <c r="F59" s="765" cm="1">
        <f t="array" aca="1" ref="F59" ca="1">IF(Reuters=1,_xll.TR(F$7,F$6,"Sdate=#1 Period=#2 NULL=BLANK",,$D59,$E$4),F59)</f>
        <v>10.0865651435206</v>
      </c>
      <c r="G59" s="765" cm="1">
        <f t="array" aca="1" ref="G59" ca="1">IF(Reuters=1,_xll.TR(G$7,G$6,"Sdate=#1 Period=#2 NULL=BLANK",,$D59,$E$4),G59)</f>
        <v>12.2323429540583</v>
      </c>
      <c r="H59" s="765" cm="1">
        <f t="array" aca="1" ref="H59" ca="1">IF(Reuters=1,_xll.TR(H$7,H$6,"Sdate=#1 Period=#2 NULL=BLANK",,$D59,$E$4),H59)</f>
        <v>10.3490986373355</v>
      </c>
      <c r="I59" s="765" cm="1">
        <f t="array" aca="1" ref="I59" ca="1">IF(Reuters=1,_xll.TR(I$7,I$6,"Sdate=#1 Period=#2 NULL=BLANK",,$D59,$E$4),I59)</f>
        <v>11.247330936741999</v>
      </c>
      <c r="J59" s="765" cm="1">
        <f t="array" aca="1" ref="J59" ca="1">IF(Reuters=1,_xll.TR(J$7,J$6,"Sdate=#1 Period=#2 NULL=BLANK",,$D59,$E$4),J59)</f>
        <v>25.3909277595064</v>
      </c>
      <c r="K59" s="765" cm="1">
        <f t="array" aca="1" ref="K59" ca="1">IF(Reuters=1,_xll.TR(K$7,K$6,"Sdate=#1 Period=#2 NULL=BLANK",,$D59,$E$4),K59)</f>
        <v>14.923361717882299</v>
      </c>
      <c r="L59" s="765" cm="1">
        <f t="array" aca="1" ref="L59" ca="1">IF(Reuters=1,_xll.TR(L$7,L$6,"Sdate=#1 Period=#2 NULL=BLANK",,$D59,$E$4),L59)</f>
        <v>6.7496607161984903</v>
      </c>
      <c r="M59" s="765" cm="1">
        <f t="array" aca="1" ref="M59" ca="1">IF(Reuters=1,_xll.TR(M$7,M$6,"Sdate=#1 Period=#2 NULL=BLANK",,$D59,$E$4),M59)</f>
        <v>8.3879554828037506</v>
      </c>
      <c r="P59" s="1000" cm="1">
        <f t="array" aca="1" ref="P59" ca="1">IF(Reuters=1,_xll.TR(P$7,P$6,"Sdate=#1 Period=#2 NULL=BLANK Scale=6",,$D59,$P$4),P59)</f>
        <v>290</v>
      </c>
      <c r="Q59" s="1000" cm="1">
        <f t="array" aca="1" ref="Q59" ca="1">IF(Reuters=1,_xll.TR(Q$7,Q$6,"Sdate=#1 Period=#2 NULL=BLANK Scale=6",,$D59,$P$4),Q59)</f>
        <v>1299</v>
      </c>
      <c r="R59" s="1000" cm="1">
        <f t="array" aca="1" ref="R59" ca="1">IF(Reuters=1,_xll.TR(R$7,R$6,"Sdate=#1 Period=#2 NULL=BLANK Scale=6",,$D59,$P$4),R59)</f>
        <v>2585</v>
      </c>
      <c r="S59" s="1000" cm="1">
        <f t="array" aca="1" ref="S59" ca="1">IF(Reuters=1,_xll.TR(S$7,S$6,"Sdate=#1 Period=#2 NULL=BLANK Scale=6",,$D59,$P$4),S59)</f>
        <v>5582</v>
      </c>
      <c r="T59" s="1000" cm="1">
        <f t="array" aca="1" ref="T59" ca="1">IF(Reuters=1,_xll.TR(T$7,T$6,"Sdate=#1 Period=#2 NULL=BLANK Scale=6",,$D59,$P$4),T59)</f>
        <v>5503</v>
      </c>
      <c r="U59" s="1000" cm="1">
        <f t="array" aca="1" ref="U59" ca="1">IF(Reuters=1,_xll.TR(U$7,U$6,"Sdate=#1 Period=#2 NULL=BLANK Scale=6",,$D59,$P$4),U59)</f>
        <v>593</v>
      </c>
      <c r="V59" s="1000" cm="1">
        <f t="array" aca="1" ref="V59" ca="1">IF(Reuters=1,_xll.TR(V$7,V$6,"Sdate=#1 Period=#2 NULL=BLANK Scale=6",,$D59,$P$4),V59)</f>
        <v>254.7</v>
      </c>
      <c r="W59" s="1000" cm="1">
        <f t="array" aca="1" ref="W59" ca="1">IF(Reuters=1,_xll.TR(W$7,W$6,"Sdate=#1 Period=#2 NULL=BLANK Scale=6",,$D59,$P$4),W59)</f>
        <v>1765.8</v>
      </c>
      <c r="X59" s="1000" cm="1">
        <f t="array" aca="1" ref="X59" ca="1">IF(Reuters=1,_xll.TR(X$7,X$6,"Sdate=#1 Period=#2 NULL=BLANK Scale=6",,$D59,$P$4),X59)</f>
        <v>2262</v>
      </c>
      <c r="Y59" s="998"/>
      <c r="Z59" s="1000" cm="1">
        <f t="array" aca="1" ref="Z59" ca="1">IF(Reuters=1,_xll.TR(Z$7,Z$6,"Sdate=#1 Period=#2 NULL=BLANK Scale=6",,$D59,$Z$4),Z59)</f>
        <v>10506.356271840001</v>
      </c>
      <c r="AA59" s="1000" cm="1">
        <f t="array" aca="1" ref="AA59" ca="1">IF(Reuters=1,_xll.TR(AA$7,AA$6,"Sdate=#1 Period=#2 NULL=BLANK Scale=6",,$D59,$Z$4),AA59)</f>
        <v>11384.947455</v>
      </c>
      <c r="AB59" s="1000" cm="1">
        <f t="array" aca="1" ref="AB59" ca="1">IF(Reuters=1,_xll.TR(AB$7,AB$6,"Sdate=#1 Period=#2 NULL=BLANK Scale=6",,$D59,$Z$4),AB59)</f>
        <v>47099.587428320003</v>
      </c>
      <c r="AC59" s="1000" cm="1">
        <f t="array" aca="1" ref="AC59" ca="1">IF(Reuters=1,_xll.TR(AC$7,AC$6,"Sdate=#1 Period=#2 NULL=BLANK Scale=6",,$D59,$Z$4),AC59)</f>
        <v>36560.294024549999</v>
      </c>
      <c r="AD59" s="1000" cm="1">
        <f t="array" aca="1" ref="AD59" ca="1">IF(Reuters=1,_xll.TR(AD$7,AD$6,"Sdate=#1 Period=#2 NULL=BLANK Scale=6",,$D59,$Z$4),AD59)</f>
        <v>28378.169335949999</v>
      </c>
      <c r="AE59" s="1000" cm="1">
        <f t="array" aca="1" ref="AE59" ca="1">IF(Reuters=1,_xll.TR(AE$7,AE$6,"Sdate=#1 Period=#2 NULL=BLANK Scale=6",,$D59,$Z$4),AE59)</f>
        <v>35058.396060359999</v>
      </c>
      <c r="AF59" s="1000" cm="1">
        <f t="array" aca="1" ref="AF59" ca="1">IF(Reuters=1,_xll.TR(AF$7,AF$6,"Sdate=#1 Period=#2 NULL=BLANK Scale=6",,$D59,$Z$4),AF59)</f>
        <v>3054.7932062899999</v>
      </c>
      <c r="AG59" s="1000" cm="1">
        <f t="array" aca="1" ref="AG59" ca="1">IF(Reuters=1,_xll.TR(AG$7,AG$6,"Sdate=#1 Period=#2 NULL=BLANK Scale=6",,$D59,$Z$4),AG59)</f>
        <v>8280.2800000000007</v>
      </c>
      <c r="AH59" s="1000" cm="1">
        <f t="array" aca="1" ref="AH59" ca="1">IF(Reuters=1,_xll.TR(AH$7,AH$6,"Sdate=#1 Period=#2 NULL=BLANK Scale=6",,$D59,$Z$4),AH59)</f>
        <v>14145.195105090001</v>
      </c>
      <c r="AJ59" s="1004">
        <f t="shared" ca="1" si="13"/>
        <v>36.22881473048276</v>
      </c>
      <c r="AK59" s="1004">
        <f t="shared" ca="1" si="14"/>
        <v>8.7643937297921468</v>
      </c>
      <c r="AL59" s="1004">
        <f t="shared" ca="1" si="15"/>
        <v>18.220343299156674</v>
      </c>
      <c r="AM59" s="1004">
        <f t="shared" ca="1" si="16"/>
        <v>6.5496764644482264</v>
      </c>
      <c r="AN59" s="1004">
        <f t="shared" ca="1" si="17"/>
        <v>5.1568543223605303</v>
      </c>
      <c r="AO59" s="1004">
        <f t="shared" ca="1" si="18"/>
        <v>59.120398078178752</v>
      </c>
      <c r="AP59" s="1004">
        <f t="shared" ca="1" si="19"/>
        <v>11.99369142634472</v>
      </c>
      <c r="AQ59" s="1004">
        <f t="shared" ca="1" si="20"/>
        <v>4.6892513308415458</v>
      </c>
      <c r="AR59" s="1004">
        <f t="shared" ca="1" si="21"/>
        <v>6.2534019032228123</v>
      </c>
      <c r="AT59" s="765" cm="1">
        <f t="array" aca="1" ref="AT59" ca="1">IF(Reuters=1,_xll.TR(AT$7,AT$6,"Sdate=#1 Period=#2 NULL=BLANK Scale=6",,$D59,$AT$4),AT59)</f>
        <v>13.491666666666699</v>
      </c>
      <c r="AU59" s="765" cm="1">
        <f t="array" aca="1" ref="AU59" ca="1">IF(Reuters=1,_xll.TR(AU$7,AU$6,"Sdate=#1 Period=#2 NULL=BLANK Scale=6",,$D59,$AT$4),AU59)</f>
        <v>15.7708333333333</v>
      </c>
      <c r="AV59" s="765" cm="1">
        <f t="array" aca="1" ref="AV59" ca="1">IF(Reuters=1,_xll.TR(AV$7,AV$6,"Sdate=#1 Period=#2 NULL=BLANK Scale=6",,$D59,$AT$4),AV59)</f>
        <v>8.3145833333333297</v>
      </c>
      <c r="AW59" s="765" cm="1">
        <f t="array" aca="1" ref="AW59" ca="1">IF(Reuters=1,_xll.TR(AW$7,AW$6,"Sdate=#1 Period=#2 NULL=BLANK Scale=6",,$D59,$AT$4),AW59)</f>
        <v>14.970833333333299</v>
      </c>
      <c r="AX59" s="765" cm="1">
        <f t="array" aca="1" ref="AX59" ca="1">IF(Reuters=1,_xll.TR(AX$7,AX$6,"Sdate=#1 Period=#2 NULL=BLANK Scale=6",,$D59,$AT$4),AX59)</f>
        <v>19.141666666666701</v>
      </c>
      <c r="AY59" s="765" cm="1">
        <f t="array" aca="1" ref="AY59" ca="1">IF(Reuters=1,_xll.TR(AY$7,AY$6,"Sdate=#1 Period=#2 NULL=BLANK Scale=6",,$D59,$AT$4),AY59)</f>
        <v>12.141666666666699</v>
      </c>
      <c r="AZ59" s="765" cm="1">
        <f t="array" aca="1" ref="AZ59" ca="1">IF(Reuters=1,_xll.TR(AZ$7,AZ$6,"Sdate=#1 Period=#2 NULL=BLANK Scale=6",,$D59,$AT$4),AZ59)</f>
        <v>7.93333333333333</v>
      </c>
      <c r="BA59" s="765" t="str" cm="1">
        <f t="array" aca="1" ref="BA59" ca="1">IF(Reuters=1,_xll.TR(BA$7,BA$6,"Sdate=#1 Period=#2 NULL=BLANK Scale=6",,$D59,$AT$4),BA59)</f>
        <v/>
      </c>
      <c r="BB59" s="765" t="str" cm="1">
        <f t="array" aca="1" ref="BB59" ca="1">IF(Reuters=1,_xll.TR(BB$7,BB$6,"Sdate=#1 Period=#2 NULL=BLANK Scale=6",,$D59,$AT$4),BB59)</f>
        <v/>
      </c>
      <c r="BC59" s="1014">
        <f t="shared" si="24"/>
        <v>44620</v>
      </c>
      <c r="BD59" s="1029">
        <f t="shared" si="23"/>
        <v>2022</v>
      </c>
      <c r="BE59" s="1000" cm="1">
        <f t="array" aca="1" ref="BE59" ca="1">IF(EVSwitch=1,_xll.TR(BE$7,BE$6,"Sdate=#1 Period=#2 NULL=BLANK Scale=6",,$BC59,$AT$4),BE59)</f>
        <v>20062.824506659999</v>
      </c>
      <c r="BF59" s="1000" cm="1">
        <f t="array" aca="1" ref="BF59" ca="1">IF(EVSwitch=1,_xll.TR(BF$7,BF$6,"Sdate=#1 Period=#2 NULL=BLANK Scale=6",,$BC59,$AT$4),BF59)</f>
        <v>18815.31630776</v>
      </c>
      <c r="BG59" s="1000" cm="1">
        <f t="array" aca="1" ref="BG59" ca="1">IF(EVSwitch=1,_xll.TR(BG$7,BG$6,"Sdate=#1 Period=#2 NULL=BLANK Scale=6",,$BC59,$AT$4),BG59)</f>
        <v>71472.862619499996</v>
      </c>
      <c r="BH59" s="1000" cm="1">
        <f t="array" aca="1" ref="BH59" ca="1">IF(EVSwitch=1,_xll.TR(BH$7,BH$6,"Sdate=#1 Period=#2 NULL=BLANK Scale=6",,$BC59,$AT$4),BH59)</f>
        <v>55598.661892880002</v>
      </c>
      <c r="BI59" s="1000" cm="1">
        <f t="array" aca="1" ref="BI59" ca="1">IF(EVSwitch=1,_xll.TR(BI$7,BI$6,"Sdate=#1 Period=#2 NULL=BLANK Scale=6",,$BC59,$AT$4),BI59)</f>
        <v>42155.371755089996</v>
      </c>
      <c r="BJ59" s="1000" cm="1">
        <f t="array" aca="1" ref="BJ59" ca="1">IF(EVSwitch=1,_xll.TR(BJ$7,BJ$6,"Sdate=#1 Period=#2 NULL=BLANK Scale=6",,$BC59,$AT$4),BJ59)</f>
        <v>49110.652037079999</v>
      </c>
      <c r="BK59" s="1000" cm="1">
        <f t="array" aca="1" ref="BK59" ca="1">IF(EVSwitch=1,_xll.TR(BK$7,BK$6,"Sdate=#1 Period=#2 NULL=BLANK Scale=6",,$BC59,$AT$4),BK59)</f>
        <v>6072.6813920699997</v>
      </c>
      <c r="BL59" s="1000" cm="1">
        <f t="array" aca="1" ref="BL59" ca="1">IF(EVSwitch=1,_xll.TR(BL$7,BL$6,"Sdate=#1 Period=#2 NULL=BLANK Scale=6",,$BC59,$AT$4),BL59)</f>
        <v>10542.087664520001</v>
      </c>
      <c r="BM59" s="1000" cm="1">
        <f t="array" aca="1" ref="BM59" ca="1">IF(EVSwitch=1,_xll.TR(BM$7,BM$6,"Sdate=#1 Period=#2 NULL=BLANK Scale=6",,$BC59,$AT$4),BM59)</f>
        <v>17970.927783980002</v>
      </c>
    </row>
    <row r="60" spans="3:65">
      <c r="C60" s="969">
        <f t="shared" si="22"/>
        <v>44926</v>
      </c>
      <c r="D60" s="974">
        <f>+C60+80</f>
        <v>45006</v>
      </c>
      <c r="E60" s="765" cm="1">
        <f t="array" aca="1" ref="E60" ca="1">IF(Reuters=1,_xll.TR(E$7,E$6,"Sdate=#1 Period=#2 NULL=BLANK",,$D60,$E$4),E60)</f>
        <v>15.545134762448001</v>
      </c>
      <c r="F60" s="765" cm="1">
        <f t="array" aca="1" ref="F60" ca="1">IF(Reuters=1,_xll.TR(F$7,F$6,"Sdate=#1 Period=#2 NULL=BLANK",,$D60,$E$4),F60)</f>
        <v>9.3864428509814104</v>
      </c>
      <c r="G60" s="765" cm="1">
        <f t="array" aca="1" ref="G60" ca="1">IF(Reuters=1,_xll.TR(G$7,G$6,"Sdate=#1 Period=#2 NULL=BLANK",,$D60,$E$4),G60)</f>
        <v>18.319592977290998</v>
      </c>
      <c r="H60" s="765" cm="1">
        <f t="array" aca="1" ref="H60" ca="1">IF(Reuters=1,_xll.TR(H$7,H$6,"Sdate=#1 Period=#2 NULL=BLANK",,$D60,$E$4),H60)</f>
        <v>15.67530499624</v>
      </c>
      <c r="I60" s="765" cm="1">
        <f t="array" aca="1" ref="I60" ca="1">IF(Reuters=1,_xll.TR(I$7,I$6,"Sdate=#1 Period=#2 NULL=BLANK",,$D60,$E$4),I60)</f>
        <v>10.6551316356735</v>
      </c>
      <c r="J60" s="765" cm="1">
        <f t="array" aca="1" ref="J60" ca="1">IF(Reuters=1,_xll.TR(J$7,J$6,"Sdate=#1 Period=#2 NULL=BLANK",,$D60,$E$4),J60)</f>
        <v>18.971761566320801</v>
      </c>
      <c r="K60" s="765" cm="1">
        <f t="array" aca="1" ref="K60" ca="1">IF(Reuters=1,_xll.TR(K$7,K$6,"Sdate=#1 Period=#2 NULL=BLANK",,$D60,$E$4),K60)</f>
        <v>17.092091007583999</v>
      </c>
      <c r="L60" s="765" cm="1">
        <f t="array" aca="1" ref="L60" ca="1">IF(Reuters=1,_xll.TR(L$7,L$6,"Sdate=#1 Period=#2 NULL=BLANK",,$D60,$E$4),L60)</f>
        <v>6.8472157536452301</v>
      </c>
      <c r="M60" s="765" cm="1">
        <f t="array" aca="1" ref="M60" ca="1">IF(Reuters=1,_xll.TR(M$7,M$6,"Sdate=#1 Period=#2 NULL=BLANK",,$D60,$E$4),M60)</f>
        <v>14.539244176425001</v>
      </c>
      <c r="P60" s="1000" cm="1">
        <f t="array" aca="1" ref="P60" ca="1">IF(Reuters=1,_xll.TR(P$7,P$6,"Sdate=#1 Period=#2 NULL=BLANK Scale=6",,$D60,$P$4),P60)</f>
        <v>351</v>
      </c>
      <c r="Q60" s="1000" cm="1">
        <f t="array" aca="1" ref="Q60" ca="1">IF(Reuters=1,_xll.TR(Q$7,Q$6,"Sdate=#1 Period=#2 NULL=BLANK Scale=6",,$D60,$P$4),Q60)</f>
        <v>1276</v>
      </c>
      <c r="R60" s="1000" cm="1">
        <f t="array" aca="1" ref="R60" ca="1">IF(Reuters=1,_xll.TR(R$7,R$6,"Sdate=#1 Period=#2 NULL=BLANK Scale=6",,$D60,$P$4),R60)</f>
        <v>4961</v>
      </c>
      <c r="S60" s="1000" cm="1">
        <f t="array" aca="1" ref="S60" ca="1">IF(Reuters=1,_xll.TR(S$7,S$6,"Sdate=#1 Period=#2 NULL=BLANK Scale=6",,$D60,$P$4),S60)</f>
        <v>5659</v>
      </c>
      <c r="T60" s="1000" cm="1">
        <f t="array" aca="1" ref="T60" ca="1">IF(Reuters=1,_xll.TR(T$7,T$6,"Sdate=#1 Period=#2 NULL=BLANK Scale=6",,$D60,$P$4),T60)</f>
        <v>4229</v>
      </c>
      <c r="U60" s="1000" cm="1">
        <f t="array" aca="1" ref="U60" ca="1">IF(Reuters=1,_xll.TR(U$7,U$6,"Sdate=#1 Period=#2 NULL=BLANK Scale=6",,$D60,$P$4),U60)</f>
        <v>-155</v>
      </c>
      <c r="V60" s="1000" cm="1">
        <f t="array" aca="1" ref="V60" ca="1">IF(Reuters=1,_xll.TR(V$7,V$6,"Sdate=#1 Period=#2 NULL=BLANK Scale=6",,$D60,$P$4),V60)</f>
        <v>292.89999999999998</v>
      </c>
      <c r="W60" s="1000" cm="1">
        <f t="array" aca="1" ref="W60" ca="1">IF(Reuters=1,_xll.TR(W$7,W$6,"Sdate=#1 Period=#2 NULL=BLANK Scale=6",,$D60,$P$4),W60)</f>
        <v>1685</v>
      </c>
      <c r="X60" s="1000" cm="1">
        <f t="array" aca="1" ref="X60" ca="1">IF(Reuters=1,_xll.TR(X$7,X$6,"Sdate=#1 Period=#2 NULL=BLANK Scale=6",,$D60,$P$4),X60)</f>
        <v>2287</v>
      </c>
      <c r="Y60" s="998"/>
      <c r="Z60" s="1000" cm="1">
        <f t="array" aca="1" ref="Z60" ca="1">IF(Reuters=1,_xll.TR(Z$7,Z$6,"Sdate=#1 Period=#2 NULL=BLANK Scale=6",,$D60,$Z$4),Z60)</f>
        <v>9720.4714597500006</v>
      </c>
      <c r="AA60" s="1000" cm="1">
        <f t="array" aca="1" ref="AA60" ca="1">IF(Reuters=1,_xll.TR(AA$7,AA$6,"Sdate=#1 Period=#2 NULL=BLANK Scale=6",,$D60,$Z$4),AA60)</f>
        <v>11655.45620538</v>
      </c>
      <c r="AB60" s="1000" cm="1">
        <f t="array" aca="1" ref="AB60" ca="1">IF(Reuters=1,_xll.TR(AB$7,AB$6,"Sdate=#1 Period=#2 NULL=BLANK Scale=6",,$D60,$Z$4),AB60)</f>
        <v>41269.28207193</v>
      </c>
      <c r="AC60" s="1000" cm="1">
        <f t="array" aca="1" ref="AC60" ca="1">IF(Reuters=1,_xll.TR(AC$7,AC$6,"Sdate=#1 Period=#2 NULL=BLANK Scale=6",,$D60,$Z$4),AC60)</f>
        <v>36857.892190539998</v>
      </c>
      <c r="AD60" s="1000" cm="1">
        <f t="array" aca="1" ref="AD60" ca="1">IF(Reuters=1,_xll.TR(AD$7,AD$6,"Sdate=#1 Period=#2 NULL=BLANK Scale=6",,$D60,$Z$4),AD60)</f>
        <v>28843.787467040002</v>
      </c>
      <c r="AE60" s="1000" cm="1">
        <f t="array" aca="1" ref="AE60" ca="1">IF(Reuters=1,_xll.TR(AE$7,AE$6,"Sdate=#1 Period=#2 NULL=BLANK Scale=6",,$D60,$Z$4),AE60)</f>
        <v>31979.652105019999</v>
      </c>
      <c r="AF60" s="1000" cm="1">
        <f t="array" aca="1" ref="AF60" ca="1">IF(Reuters=1,_xll.TR(AF$7,AF$6,"Sdate=#1 Period=#2 NULL=BLANK Scale=6",,$D60,$Z$4),AF60)</f>
        <v>3591.8767614399999</v>
      </c>
      <c r="AG60" s="1000" cm="1">
        <f t="array" aca="1" ref="AG60" ca="1">IF(Reuters=1,_xll.TR(AG$7,AG$6,"Sdate=#1 Period=#2 NULL=BLANK Scale=6",,$D60,$Z$4),AG60)</f>
        <v>6921.6742622700003</v>
      </c>
      <c r="AH60" s="1000" cm="1">
        <f t="array" aca="1" ref="AH60" ca="1">IF(Reuters=1,_xll.TR(AH$7,AH$6,"Sdate=#1 Period=#2 NULL=BLANK Scale=6",,$D60,$Z$4),AH60)</f>
        <v>14025.5410471</v>
      </c>
      <c r="AJ60" s="1004">
        <f t="shared" ca="1" si="13"/>
        <v>27.693650882478636</v>
      </c>
      <c r="AK60" s="1004">
        <f t="shared" ca="1" si="14"/>
        <v>9.1343700669122256</v>
      </c>
      <c r="AL60" s="1004">
        <f t="shared" ca="1" si="15"/>
        <v>8.3187426067184038</v>
      </c>
      <c r="AM60" s="1004">
        <f t="shared" ca="1" si="16"/>
        <v>6.5131458191447251</v>
      </c>
      <c r="AN60" s="1004">
        <f t="shared" ca="1" si="17"/>
        <v>6.8204746907164822</v>
      </c>
      <c r="AO60" s="1004">
        <f t="shared" ca="1" si="18"/>
        <v>-206.32033616141936</v>
      </c>
      <c r="AP60" s="1004">
        <f t="shared" ca="1" si="19"/>
        <v>12.263150431683169</v>
      </c>
      <c r="AQ60" s="1004">
        <f t="shared" ca="1" si="20"/>
        <v>4.1078185532759646</v>
      </c>
      <c r="AR60" s="1004">
        <f t="shared" ca="1" si="21"/>
        <v>6.1327245505465671</v>
      </c>
      <c r="AT60" s="765" cm="1">
        <f t="array" aca="1" ref="AT60" ca="1">IF(Reuters=1,_xll.TR(AT$7,AT$6,"Sdate=#1 Period=#2 NULL=BLANK Scale=6",,$D60,$AT$4),AT60)</f>
        <v>12.775</v>
      </c>
      <c r="AU60" s="765" cm="1">
        <f t="array" aca="1" ref="AU60" ca="1">IF(Reuters=1,_xll.TR(AU$7,AU$6,"Sdate=#1 Period=#2 NULL=BLANK Scale=6",,$D60,$AT$4),AU60)</f>
        <v>11.7</v>
      </c>
      <c r="AV60" s="765" cm="1">
        <f t="array" aca="1" ref="AV60" ca="1">IF(Reuters=1,_xll.TR(AV$7,AV$6,"Sdate=#1 Period=#2 NULL=BLANK Scale=6",,$D60,$AT$4),AV60)</f>
        <v>8.0812500000000007</v>
      </c>
      <c r="AW60" s="765" cm="1">
        <f t="array" aca="1" ref="AW60" ca="1">IF(Reuters=1,_xll.TR(AW$7,AW$6,"Sdate=#1 Period=#2 NULL=BLANK Scale=6",,$D60,$AT$4),AW60)</f>
        <v>13.7</v>
      </c>
      <c r="AX60" s="765" cm="1">
        <f t="array" aca="1" ref="AX60" ca="1">IF(Reuters=1,_xll.TR(AX$7,AX$6,"Sdate=#1 Period=#2 NULL=BLANK Scale=6",,$D60,$AT$4),AX60)</f>
        <v>12.6</v>
      </c>
      <c r="AY60" s="765" cm="1">
        <f t="array" aca="1" ref="AY60" ca="1">IF(Reuters=1,_xll.TR(AY$7,AY$6,"Sdate=#1 Period=#2 NULL=BLANK Scale=6",,$D60,$AT$4),AY60)</f>
        <v>9.5500000000000007</v>
      </c>
      <c r="AZ60" s="765" cm="1">
        <f t="array" aca="1" ref="AZ60" ca="1">IF(Reuters=1,_xll.TR(AZ$7,AZ$6,"Sdate=#1 Period=#2 NULL=BLANK Scale=6",,$D60,$AT$4),AZ60)</f>
        <v>6</v>
      </c>
      <c r="BA60" s="765" t="str" cm="1">
        <f t="array" aca="1" ref="BA60" ca="1">IF(Reuters=1,_xll.TR(BA$7,BA$6,"Sdate=#1 Period=#2 NULL=BLANK Scale=6",,$D60,$AT$4),BA60)</f>
        <v/>
      </c>
      <c r="BB60" s="765" t="str" cm="1">
        <f t="array" aca="1" ref="BB60" ca="1">IF(Reuters=1,_xll.TR(BB$7,BB$6,"Sdate=#1 Period=#2 NULL=BLANK Scale=6",,$D60,$AT$4),BB60)</f>
        <v/>
      </c>
      <c r="BC60" s="1014">
        <f t="shared" si="24"/>
        <v>44985</v>
      </c>
      <c r="BD60" s="1029">
        <f t="shared" si="23"/>
        <v>2023</v>
      </c>
      <c r="BE60" s="1000" cm="1">
        <f t="array" aca="1" ref="BE60" ca="1">IF(EVSwitch=1,_xll.TR(BE$7,BE$6,"Sdate=#1 Period=#2 NULL=BLANK Scale=6",,$BC60,$AT$4),BE60)</f>
        <v>14862.493068399999</v>
      </c>
      <c r="BF60" s="1000" cm="1">
        <f t="array" aca="1" ref="BF60" ca="1">IF(EVSwitch=1,_xll.TR(BF$7,BF$6,"Sdate=#1 Period=#2 NULL=BLANK Scale=6",,$BC60,$AT$4),BF60)</f>
        <v>26520.17975422</v>
      </c>
      <c r="BG60" s="1000" cm="1">
        <f t="array" aca="1" ref="BG60" ca="1">IF(EVSwitch=1,_xll.TR(BG$7,BG$6,"Sdate=#1 Period=#2 NULL=BLANK Scale=6",,$BC60,$AT$4),BG60)</f>
        <v>62434.617683274999</v>
      </c>
      <c r="BH60" s="1000" cm="1">
        <f t="array" aca="1" ref="BH60" ca="1">IF(EVSwitch=1,_xll.TR(BH$7,BH$6,"Sdate=#1 Period=#2 NULL=BLANK Scale=6",,$BC60,$AT$4),BH60)</f>
        <v>52561.954154799998</v>
      </c>
      <c r="BI60" s="1000" cm="1">
        <f t="array" aca="1" ref="BI60" ca="1">IF(EVSwitch=1,_xll.TR(BI$7,BI$6,"Sdate=#1 Period=#2 NULL=BLANK Scale=6",,$BC60,$AT$4),BI60)</f>
        <v>40589.98868627</v>
      </c>
      <c r="BJ60" s="1000" cm="1">
        <f t="array" aca="1" ref="BJ60" ca="1">IF(EVSwitch=1,_xll.TR(BJ$7,BJ$6,"Sdate=#1 Period=#2 NULL=BLANK Scale=6",,$BC60,$AT$4),BJ60)</f>
        <v>37030.427937560002</v>
      </c>
      <c r="BK60" s="1000" cm="1">
        <f t="array" aca="1" ref="BK60" ca="1">IF(EVSwitch=1,_xll.TR(BK$7,BK$6,"Sdate=#1 Period=#2 NULL=BLANK Scale=6",,$BC60,$AT$4),BK60)</f>
        <v>5524.9642937799999</v>
      </c>
      <c r="BL60" s="1000" cm="1">
        <f t="array" aca="1" ref="BL60" ca="1">IF(EVSwitch=1,_xll.TR(BL$7,BL$6,"Sdate=#1 Period=#2 NULL=BLANK Scale=6",,$BC60,$AT$4),BL60)</f>
        <v>9944.3987832500006</v>
      </c>
      <c r="BM60" s="1000" cm="1">
        <f t="array" aca="1" ref="BM60" ca="1">IF(EVSwitch=1,_xll.TR(BM$7,BM$6,"Sdate=#1 Period=#2 NULL=BLANK Scale=6",,$BC60,$AT$4),BM60)</f>
        <v>18361.976708940001</v>
      </c>
    </row>
    <row r="61" spans="3:65">
      <c r="C61" s="779"/>
      <c r="D61" s="778"/>
    </row>
    <row r="62" spans="3:65">
      <c r="C62" s="780"/>
      <c r="D62" s="778"/>
      <c r="AT62" s="765">
        <f t="shared" ref="AT62:BB62" si="25">AT15</f>
        <v>7.6585533433844102</v>
      </c>
      <c r="AU62" s="765">
        <f t="shared" si="25"/>
        <v>8.4167920164571903</v>
      </c>
      <c r="AV62" s="765">
        <f t="shared" si="25"/>
        <v>6.3673259962186401</v>
      </c>
      <c r="AW62" s="765">
        <f t="shared" si="25"/>
        <v>7.1834033156799704</v>
      </c>
      <c r="AX62" s="765">
        <f t="shared" si="25"/>
        <v>6.5972906681438497</v>
      </c>
      <c r="AY62" s="765">
        <f t="shared" si="25"/>
        <v>10.3580251779157</v>
      </c>
      <c r="AZ62" s="765">
        <f t="shared" si="25"/>
        <v>8.9985662475123007</v>
      </c>
      <c r="BA62" s="765">
        <f t="shared" si="25"/>
        <v>5.3264673069112503</v>
      </c>
      <c r="BB62" s="765" t="e">
        <f t="shared" si="25"/>
        <v>#N/A</v>
      </c>
      <c r="BE62" s="765" t="s">
        <v>637</v>
      </c>
      <c r="BF62" s="765" t="s">
        <v>1157</v>
      </c>
    </row>
    <row r="63" spans="3:65">
      <c r="AT63" s="1005">
        <f t="shared" ref="AT63:BB63" ca="1" si="26">AT16/100</f>
        <v>0.11810623378378381</v>
      </c>
      <c r="AU63" s="1005">
        <f t="shared" ca="1" si="26"/>
        <v>0.17369068851351346</v>
      </c>
      <c r="AV63" s="1005">
        <f t="shared" ca="1" si="26"/>
        <v>0.1070719862270751</v>
      </c>
      <c r="AW63" s="1005">
        <f t="shared" ca="1" si="26"/>
        <v>9.8582701374177725E-2</v>
      </c>
      <c r="AX63" s="1005">
        <f t="shared" ca="1" si="26"/>
        <v>0.20234920833333334</v>
      </c>
      <c r="AY63" s="1005">
        <f t="shared" ca="1" si="26"/>
        <v>0.12525078143392809</v>
      </c>
      <c r="AZ63" s="1005">
        <f t="shared" ca="1" si="26"/>
        <v>9.940155054239673E-2</v>
      </c>
      <c r="BA63" s="1005">
        <f t="shared" ca="1" si="26"/>
        <v>5.7579869928866732E-2</v>
      </c>
      <c r="BB63" s="1005">
        <f t="shared" ca="1" si="26"/>
        <v>8.2519911574074026E-2</v>
      </c>
      <c r="BD63" s="762">
        <v>2014</v>
      </c>
      <c r="BE63" s="765">
        <f ca="1">BE52/_xlfn.XLOOKUP(BD63,Financials!$AL$6:$AX$6,Financials!$AL$809:$AX$809)</f>
        <v>1.5709366014961985</v>
      </c>
      <c r="BF63" s="765">
        <v>2.6865094459432455</v>
      </c>
      <c r="BG63" s="1005"/>
      <c r="BH63" s="1005"/>
      <c r="BI63" s="1005"/>
      <c r="BJ63" s="1005"/>
      <c r="BK63" s="1005"/>
      <c r="BL63" s="1005"/>
      <c r="BM63" s="1005"/>
    </row>
    <row r="64" spans="3:65">
      <c r="BD64" s="762">
        <v>2015</v>
      </c>
      <c r="BE64" s="765">
        <f ca="1">BE53/_xlfn.XLOOKUP(BD64,Financials!$AL$6:$AX$6,Financials!$AL$809:$AX$809)</f>
        <v>1.7248267896948182</v>
      </c>
      <c r="BF64" s="765">
        <v>2.5153340747063546</v>
      </c>
    </row>
    <row r="65" spans="56:58">
      <c r="BD65" s="762">
        <v>2016</v>
      </c>
      <c r="BE65" s="765">
        <f ca="1">BE54/_xlfn.XLOOKUP(BD65,Financials!$AL$6:$AX$6,Financials!$AL$809:$AX$809)</f>
        <v>1.9237385228806412</v>
      </c>
      <c r="BF65" s="765">
        <v>2.5930449668031086</v>
      </c>
    </row>
    <row r="66" spans="56:58">
      <c r="BD66" s="762">
        <v>2017</v>
      </c>
      <c r="BE66" s="765">
        <f ca="1">BE55/_xlfn.XLOOKUP(BD66,Financials!$AL$6:$AX$6,Financials!$AL$809:$AX$809)</f>
        <v>2.1274989287989476</v>
      </c>
      <c r="BF66" s="765">
        <v>2.5993827498745579</v>
      </c>
    </row>
    <row r="67" spans="56:58">
      <c r="BD67" s="762">
        <v>2018</v>
      </c>
      <c r="BE67" s="765">
        <f ca="1">BE56/_xlfn.XLOOKUP(BD67,Financials!$AL$6:$AX$6,Financials!$AL$809:$AX$809)</f>
        <v>1.7716922966814519</v>
      </c>
      <c r="BF67" s="765">
        <v>2.0077891330204571</v>
      </c>
    </row>
    <row r="68" spans="56:58">
      <c r="BD68" s="762">
        <v>2019</v>
      </c>
      <c r="BE68" s="765">
        <f ca="1">BE57/_xlfn.XLOOKUP(BD68,Financials!$AL$6:$AX$6,Financials!$AL$809:$AX$809)</f>
        <v>1.4073634159514008</v>
      </c>
      <c r="BF68" s="765">
        <v>1.8562122715983305</v>
      </c>
    </row>
    <row r="69" spans="56:58">
      <c r="BD69" s="762">
        <v>2020</v>
      </c>
      <c r="BE69" s="765">
        <f ca="1">BE58/_xlfn.XLOOKUP(BD69,Financials!$AL$6:$AX$6,Financials!$AL$809:$AX$809)</f>
        <v>2.0126161917655354</v>
      </c>
      <c r="BF69" s="765">
        <v>1.9668872914983633</v>
      </c>
    </row>
    <row r="70" spans="56:58">
      <c r="BD70" s="762">
        <v>2021</v>
      </c>
      <c r="BE70" s="765">
        <f ca="1">BE59/_xlfn.XLOOKUP(BD70,Financials!$AL$6:$AX$6,Financials!$AL$809:$AX$809)</f>
        <v>2.078187746701885</v>
      </c>
      <c r="BF70" s="765">
        <v>1.7520207703374755</v>
      </c>
    </row>
    <row r="71" spans="56:58">
      <c r="BD71" s="762">
        <v>2022</v>
      </c>
      <c r="BE71" s="765">
        <f ca="1">BE60/_xlfn.XLOOKUP(BD71,Financials!$AL$6:$AX$6,Financials!$AL$809:$AX$809)</f>
        <v>1.674081219689119</v>
      </c>
    </row>
    <row r="72" spans="56:58">
      <c r="BE72" s="1015"/>
    </row>
  </sheetData>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5AFD-791C-4607-A1DE-734036EAA4E8}">
  <sheetPr codeName="Sheet9">
    <tabColor theme="9" tint="0.79998168889431442"/>
  </sheetPr>
  <dimension ref="A1:Q64"/>
  <sheetViews>
    <sheetView showGridLines="0" zoomScaleNormal="100" workbookViewId="0">
      <selection activeCell="M2" sqref="M2"/>
    </sheetView>
  </sheetViews>
  <sheetFormatPr defaultColWidth="8.796875" defaultRowHeight="10.5"/>
  <cols>
    <col min="1" max="15" width="8.796875" style="762"/>
    <col min="16" max="16" width="3.53125" style="762" customWidth="1"/>
    <col min="17" max="16384" width="8.796875" style="762"/>
  </cols>
  <sheetData>
    <row r="1" spans="1:1">
      <c r="A1" s="770" t="str">
        <f>'Forward EV-EBITDA'!A1</f>
        <v>1 Yr Forward Multiples</v>
      </c>
    </row>
    <row r="2" spans="1:1">
      <c r="A2" s="767" t="str">
        <f>'Forward EV-EBITDA'!A2</f>
        <v>Forward EBITDA</v>
      </c>
    </row>
    <row r="60" spans="17:17">
      <c r="Q60" s="767"/>
    </row>
    <row r="61" spans="17:17">
      <c r="Q61" s="767"/>
    </row>
    <row r="62" spans="17:17">
      <c r="Q62" s="767"/>
    </row>
    <row r="63" spans="17:17">
      <c r="Q63" s="767"/>
    </row>
    <row r="64" spans="17:17">
      <c r="Q64" s="781"/>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AA87E-C043-4F57-B920-E4AB7F04EE3B}">
  <sheetPr codeName="Sheet8">
    <tabColor theme="9" tint="0.79998168889431442"/>
  </sheetPr>
  <dimension ref="A1:AU62"/>
  <sheetViews>
    <sheetView showGridLines="0" zoomScaleNormal="100" workbookViewId="0">
      <pane xSplit="4" ySplit="11" topLeftCell="E51" activePane="bottomRight" state="frozen"/>
      <selection activeCell="Q22" sqref="Q22"/>
      <selection pane="topRight" activeCell="Q22" sqref="Q22"/>
      <selection pane="bottomLeft" activeCell="Q22" sqref="Q22"/>
      <selection pane="bottomRight" activeCell="F54" sqref="F54"/>
    </sheetView>
  </sheetViews>
  <sheetFormatPr defaultColWidth="11.53125" defaultRowHeight="10.5" outlineLevelRow="1" outlineLevelCol="1"/>
  <cols>
    <col min="1" max="2" width="1.46484375" style="761" customWidth="1"/>
    <col min="3" max="3" width="8.796875" style="761" bestFit="1" customWidth="1"/>
    <col min="4" max="4" width="9.46484375" style="761" hidden="1" customWidth="1" outlineLevel="1"/>
    <col min="5" max="5" width="11.53125" style="765" customWidth="1" collapsed="1"/>
    <col min="6" max="13" width="11.53125" style="765" customWidth="1"/>
    <col min="14" max="15" width="11.53125" style="762"/>
    <col min="16" max="17" width="14.796875" style="762" bestFit="1" customWidth="1"/>
    <col min="18" max="21" width="14.796875" style="762" customWidth="1"/>
    <col min="22" max="23" width="14.19921875" style="762" bestFit="1" customWidth="1"/>
    <col min="24" max="29" width="9.796875" style="762" bestFit="1" customWidth="1"/>
    <col min="30" max="30" width="18.796875" style="762" bestFit="1" customWidth="1"/>
    <col min="31" max="37" width="11.53125" style="762"/>
    <col min="38" max="38" width="12.46484375" style="762" bestFit="1" customWidth="1"/>
    <col min="39" max="16384" width="11.53125" style="762"/>
  </cols>
  <sheetData>
    <row r="1" spans="1:45" ht="11.25" customHeight="1">
      <c r="A1" s="760" t="s">
        <v>1151</v>
      </c>
      <c r="E1" s="761"/>
      <c r="F1" s="761"/>
      <c r="G1" s="761"/>
      <c r="H1" s="761"/>
      <c r="I1" s="761"/>
      <c r="J1" s="761"/>
      <c r="K1" s="761"/>
      <c r="L1" s="761"/>
      <c r="M1" s="761"/>
    </row>
    <row r="2" spans="1:45" ht="11.25" customHeight="1">
      <c r="A2" s="763" t="s">
        <v>1152</v>
      </c>
      <c r="E2" s="761"/>
      <c r="F2" s="761"/>
      <c r="G2" s="761"/>
      <c r="H2" s="761"/>
      <c r="I2" s="761"/>
      <c r="J2" s="761"/>
      <c r="K2" s="761"/>
      <c r="L2" s="761"/>
      <c r="M2" s="761"/>
    </row>
    <row r="3" spans="1:45" ht="11.25" customHeight="1">
      <c r="E3" s="764" t="s">
        <v>925</v>
      </c>
      <c r="F3" s="761"/>
      <c r="H3" s="761"/>
      <c r="I3" s="761"/>
      <c r="J3" s="761"/>
      <c r="K3" s="761"/>
      <c r="L3" s="761"/>
      <c r="M3" s="761"/>
    </row>
    <row r="4" spans="1:45" ht="11.25" customHeight="1">
      <c r="E4" s="764" t="s">
        <v>1153</v>
      </c>
      <c r="F4" s="761"/>
      <c r="H4" s="761"/>
      <c r="I4" s="761"/>
      <c r="J4" s="761"/>
      <c r="K4" s="761"/>
      <c r="L4" s="761"/>
      <c r="M4" s="761"/>
    </row>
    <row r="5" spans="1:45" ht="11.25" customHeight="1">
      <c r="E5" s="761"/>
      <c r="F5" s="761"/>
      <c r="G5" s="761"/>
      <c r="H5" s="761"/>
      <c r="I5" s="761"/>
      <c r="J5" s="761"/>
      <c r="K5" s="761"/>
      <c r="L5" s="761"/>
      <c r="M5" s="761"/>
    </row>
    <row r="6" spans="1:45" s="767" customFormat="1" outlineLevel="1">
      <c r="A6" s="763"/>
      <c r="B6" s="763"/>
      <c r="C6" s="763"/>
      <c r="D6" s="766" t="s">
        <v>1154</v>
      </c>
      <c r="E6" s="763" t="s">
        <v>1155</v>
      </c>
      <c r="F6" s="763" t="str">
        <f>+$E$6</f>
        <v>TR.EVtoEBITDAMean</v>
      </c>
      <c r="G6" s="763" t="str">
        <f t="shared" ref="G6:M6" si="0">+$E$6</f>
        <v>TR.EVtoEBITDAMean</v>
      </c>
      <c r="H6" s="763" t="str">
        <f t="shared" si="0"/>
        <v>TR.EVtoEBITDAMean</v>
      </c>
      <c r="I6" s="763" t="str">
        <f t="shared" si="0"/>
        <v>TR.EVtoEBITDAMean</v>
      </c>
      <c r="J6" s="763" t="str">
        <f t="shared" si="0"/>
        <v>TR.EVtoEBITDAMean</v>
      </c>
      <c r="K6" s="763" t="str">
        <f t="shared" si="0"/>
        <v>TR.EVtoEBITDAMean</v>
      </c>
      <c r="L6" s="763" t="str">
        <f t="shared" si="0"/>
        <v>TR.EVtoEBITDAMean</v>
      </c>
      <c r="M6" s="763" t="str">
        <f t="shared" si="0"/>
        <v>TR.EVtoEBITDAMean</v>
      </c>
    </row>
    <row r="7" spans="1:45" s="767" customFormat="1" outlineLevel="1">
      <c r="A7" s="763"/>
      <c r="B7" s="763"/>
      <c r="C7" s="763"/>
      <c r="D7" s="766" t="s">
        <v>623</v>
      </c>
      <c r="E7" s="768" t="s">
        <v>637</v>
      </c>
      <c r="F7" s="768" t="s">
        <v>1194</v>
      </c>
      <c r="G7" s="768" t="s">
        <v>1197</v>
      </c>
      <c r="H7" s="768" t="s">
        <v>1156</v>
      </c>
      <c r="I7" s="768" t="s">
        <v>1157</v>
      </c>
      <c r="J7" s="768" t="s">
        <v>1362</v>
      </c>
      <c r="K7" s="768" t="s">
        <v>1363</v>
      </c>
      <c r="L7" s="768" t="s">
        <v>1195</v>
      </c>
      <c r="M7" s="768" t="s">
        <v>1365</v>
      </c>
    </row>
    <row r="8" spans="1:45" ht="11.25" customHeight="1">
      <c r="E8" s="760"/>
      <c r="F8" s="760"/>
      <c r="G8" s="760"/>
      <c r="H8" s="760"/>
      <c r="I8" s="760"/>
      <c r="J8" s="760"/>
      <c r="K8" s="760"/>
      <c r="L8" s="760"/>
      <c r="M8" s="760"/>
    </row>
    <row r="9" spans="1:45" s="770" customFormat="1" ht="11.25" customHeight="1">
      <c r="A9" s="760"/>
      <c r="B9" s="760"/>
      <c r="C9" s="760"/>
      <c r="D9" s="760"/>
      <c r="E9" s="769" t="s">
        <v>1158</v>
      </c>
      <c r="F9" s="769"/>
      <c r="G9" s="769"/>
      <c r="H9" s="769"/>
      <c r="I9" s="769"/>
      <c r="J9" s="769"/>
      <c r="K9" s="769"/>
      <c r="L9" s="769"/>
      <c r="M9" s="769"/>
      <c r="N9" s="762"/>
      <c r="O9" s="762"/>
      <c r="P9" s="762"/>
      <c r="Q9" s="762"/>
      <c r="R9" s="762"/>
      <c r="S9" s="762"/>
      <c r="T9" s="762"/>
      <c r="U9" s="762"/>
      <c r="V9" s="762"/>
      <c r="W9" s="762"/>
      <c r="X9" s="762"/>
      <c r="Y9" s="762"/>
      <c r="Z9" s="762"/>
      <c r="AA9" s="762"/>
      <c r="AB9" s="762"/>
      <c r="AC9" s="762"/>
      <c r="AD9" s="762"/>
    </row>
    <row r="10" spans="1:45" ht="5.2" customHeight="1">
      <c r="E10" s="771"/>
      <c r="F10" s="772"/>
      <c r="G10" s="761"/>
      <c r="H10" s="761"/>
      <c r="I10" s="761"/>
      <c r="J10" s="761"/>
      <c r="K10" s="761"/>
      <c r="L10" s="761"/>
      <c r="M10" s="761"/>
    </row>
    <row r="11" spans="1:45" ht="20.25">
      <c r="A11" s="773"/>
      <c r="B11" s="773"/>
      <c r="C11" s="774" t="s">
        <v>579</v>
      </c>
      <c r="D11" s="774" t="s">
        <v>1159</v>
      </c>
      <c r="E11" s="774" t="str" cm="1">
        <f t="array" aca="1" ref="E11" ca="1">IF(Reuters=1,_xll.TR(E7,"TR.CommonName"),E11)</f>
        <v>Eastman Chemical Co</v>
      </c>
      <c r="F11" s="774" t="str" cm="1">
        <f t="array" aca="1" ref="F11" ca="1">IF(Reuters=1,_xll.TR(F7,"TR.CommonName"),F11)</f>
        <v>Celanese Corp</v>
      </c>
      <c r="G11" s="774" t="str" cm="1">
        <f t="array" aca="1" ref="G11" ca="1">IF(Reuters=1,_xll.TR(G7,"TR.CommonName"),G11)</f>
        <v>BASF SE</v>
      </c>
      <c r="H11" s="774" t="str" cm="1">
        <f t="array" aca="1" ref="H11" ca="1">IF(Reuters=1,_xll.TR(H7,"TR.CommonName"),H11)</f>
        <v>Dow Inc</v>
      </c>
      <c r="I11" s="774" t="str" cm="1">
        <f t="array" aca="1" ref="I11" ca="1">IF(Reuters=1,_xll.TR(I7,"TR.CommonName"),I11)</f>
        <v>LyondellBasell Industries NV</v>
      </c>
      <c r="J11" s="774" t="str" cm="1">
        <f t="array" aca="1" ref="J11" ca="1">IF(Reuters=1,_xll.TR(J7,"TR.CommonName"),J11)</f>
        <v>Dupont De Nemours Inc</v>
      </c>
      <c r="K11" s="774" t="str" cm="1">
        <f t="array" aca="1" ref="K11" ca="1">IF(Reuters=1,_xll.TR(K7,"TR.CommonName"),K11)</f>
        <v>Avient Corp</v>
      </c>
      <c r="L11" s="774" t="str" cm="1">
        <f t="array" aca="1" ref="L11" ca="1">IF(Reuters=1,_xll.TR(L7,"TR.CommonName"),L11)</f>
        <v>Huntsman Corp</v>
      </c>
      <c r="M11" s="774" t="str" cm="1">
        <f t="array" aca="1" ref="M11" ca="1">IF(Reuters=1,_xll.TR(M7,"TR.CommonName"),M11)</f>
        <v>Westlake Corp</v>
      </c>
      <c r="P11" s="762" t="s">
        <v>533</v>
      </c>
      <c r="Q11" s="762" t="s">
        <v>637</v>
      </c>
      <c r="R11" s="762" t="s">
        <v>1431</v>
      </c>
      <c r="S11" s="762" t="s">
        <v>1447</v>
      </c>
    </row>
    <row r="12" spans="1:45" ht="5.2" customHeight="1">
      <c r="A12" s="762"/>
      <c r="B12" s="762"/>
      <c r="C12" s="762"/>
      <c r="D12" s="762"/>
      <c r="E12" s="762"/>
      <c r="F12" s="762"/>
      <c r="G12" s="762"/>
      <c r="H12" s="762"/>
      <c r="I12" s="762"/>
      <c r="J12" s="762"/>
      <c r="K12" s="762"/>
      <c r="L12" s="762"/>
      <c r="M12" s="762"/>
    </row>
    <row r="13" spans="1:45" ht="11.25" customHeight="1" outlineLevel="1">
      <c r="A13" s="762"/>
      <c r="B13" s="762"/>
      <c r="C13" s="762" t="s">
        <v>1160</v>
      </c>
      <c r="D13" s="762"/>
      <c r="E13" s="775">
        <v>1</v>
      </c>
      <c r="F13" s="775">
        <v>1</v>
      </c>
      <c r="G13" s="775">
        <v>1</v>
      </c>
      <c r="H13" s="775">
        <v>1</v>
      </c>
      <c r="I13" s="775">
        <v>1</v>
      </c>
      <c r="J13" s="775">
        <v>1</v>
      </c>
      <c r="K13" s="775">
        <v>1</v>
      </c>
      <c r="L13" s="775">
        <v>1</v>
      </c>
      <c r="M13" s="775">
        <v>1</v>
      </c>
      <c r="U13" s="1002">
        <f ca="1">MIN(U20:U60)</f>
        <v>-0.80461633525386667</v>
      </c>
      <c r="V13" s="1002">
        <f t="shared" ref="V13:W13" ca="1" si="1">MIN(V20:V60)</f>
        <v>-1.598672729555549</v>
      </c>
      <c r="W13" s="1002">
        <f t="shared" ca="1" si="1"/>
        <v>-2.1186707955680202</v>
      </c>
      <c r="AL13" s="1002">
        <f t="shared" ref="AL13:AR13" ca="1" si="2">MIN(AL20:AL60)</f>
        <v>-2.1186707955680202</v>
      </c>
      <c r="AM13" s="1002">
        <f t="shared" ca="1" si="2"/>
        <v>-1.598672729555549</v>
      </c>
      <c r="AN13" s="1002">
        <f t="shared" ca="1" si="2"/>
        <v>-0.24952091126136011</v>
      </c>
      <c r="AO13" s="1002">
        <f t="shared" ca="1" si="2"/>
        <v>-0.27424876665919928</v>
      </c>
      <c r="AP13" s="1002"/>
      <c r="AQ13" s="1002">
        <f t="shared" ca="1" si="2"/>
        <v>-5.0170282168702496</v>
      </c>
      <c r="AR13" s="1002">
        <f t="shared" ca="1" si="2"/>
        <v>-0.3436297586824697</v>
      </c>
      <c r="AS13" s="1002"/>
    </row>
    <row r="14" spans="1:45" ht="11.25" customHeight="1" outlineLevel="1">
      <c r="A14" s="762"/>
      <c r="B14" s="762"/>
      <c r="C14" s="762" t="s">
        <v>1161</v>
      </c>
      <c r="D14" s="762"/>
      <c r="E14" s="775">
        <v>30</v>
      </c>
      <c r="F14" s="775">
        <v>30</v>
      </c>
      <c r="G14" s="775">
        <v>30</v>
      </c>
      <c r="H14" s="775">
        <v>30</v>
      </c>
      <c r="I14" s="775">
        <v>30</v>
      </c>
      <c r="J14" s="775">
        <v>30</v>
      </c>
      <c r="K14" s="775">
        <v>30</v>
      </c>
      <c r="L14" s="775">
        <v>30</v>
      </c>
      <c r="M14" s="775">
        <v>30</v>
      </c>
      <c r="U14" s="1002">
        <f ca="1">MAX(U20:U60)</f>
        <v>1.9734758457367745</v>
      </c>
      <c r="V14" s="1002">
        <f t="shared" ref="V14:W14" ca="1" si="3">MAX(V20:V60)</f>
        <v>2.3633995243580008</v>
      </c>
      <c r="W14" s="1002">
        <f t="shared" ca="1" si="3"/>
        <v>3.33123701041779</v>
      </c>
      <c r="AL14" s="1002">
        <f t="shared" ref="AL14:AR14" ca="1" si="4">MAX(AL20:AL60)</f>
        <v>3.33123701041779</v>
      </c>
      <c r="AM14" s="1002">
        <f t="shared" ca="1" si="4"/>
        <v>2.3633995243580008</v>
      </c>
      <c r="AN14" s="1002">
        <f t="shared" ca="1" si="4"/>
        <v>3.6777626047922096</v>
      </c>
      <c r="AO14" s="1002">
        <f t="shared" ca="1" si="4"/>
        <v>3.8900741677779802</v>
      </c>
      <c r="AP14" s="1002"/>
      <c r="AQ14" s="1002">
        <f t="shared" ca="1" si="4"/>
        <v>2.9893263205036806</v>
      </c>
      <c r="AR14" s="1002">
        <f t="shared" ca="1" si="4"/>
        <v>3.5553549861970497</v>
      </c>
      <c r="AS14" s="1002"/>
    </row>
    <row r="15" spans="1:45" ht="11.25" customHeight="1">
      <c r="A15" s="762"/>
      <c r="B15" s="762"/>
      <c r="C15" s="762"/>
      <c r="D15" s="762"/>
      <c r="E15" s="1033">
        <f ca="1">E18/E16-1</f>
        <v>9.493708577541593E-2</v>
      </c>
      <c r="F15" s="1033">
        <f t="shared" ref="F15:M15" ca="1" si="5">F18/F16-1</f>
        <v>0.16341502315377676</v>
      </c>
      <c r="G15" s="1033">
        <f t="shared" ca="1" si="5"/>
        <v>9.4737152727746299E-2</v>
      </c>
      <c r="H15" s="1033">
        <f t="shared" ca="1" si="5"/>
        <v>0.14538174334444887</v>
      </c>
      <c r="I15" s="1033">
        <f t="shared" ca="1" si="5"/>
        <v>0.12178737742220447</v>
      </c>
      <c r="J15" s="1033">
        <f t="shared" ca="1" si="5"/>
        <v>0.17048992523779583</v>
      </c>
      <c r="K15" s="1033">
        <f t="shared" ca="1" si="5"/>
        <v>0.15214661277459318</v>
      </c>
      <c r="L15" s="1033">
        <f t="shared" ca="1" si="5"/>
        <v>0.13847791192254499</v>
      </c>
      <c r="M15" s="1033">
        <f t="shared" ca="1" si="5"/>
        <v>0.18799987246152572</v>
      </c>
    </row>
    <row r="16" spans="1:45" s="770" customFormat="1" ht="11.25" customHeight="1">
      <c r="C16" s="776" t="s">
        <v>482</v>
      </c>
      <c r="E16" s="777">
        <f t="shared" ref="E16:M16" ca="1" si="6">+AVERAGEIFS(E20:E97,E20:E97,"&lt;"&amp;E$14,E20:E97,"&gt;"&amp;E$13)</f>
        <v>8.1428110225223271</v>
      </c>
      <c r="F16" s="777">
        <f t="shared" ca="1" si="6"/>
        <v>8.231105956791783</v>
      </c>
      <c r="G16" s="777">
        <f t="shared" ca="1" si="6"/>
        <v>7.6442203998143663</v>
      </c>
      <c r="H16" s="777">
        <f t="shared" ca="1" si="6"/>
        <v>6.779432148324382</v>
      </c>
      <c r="I16" s="777">
        <f t="shared" ca="1" si="6"/>
        <v>6.5599131368480519</v>
      </c>
      <c r="J16" s="777">
        <f t="shared" ca="1" si="6"/>
        <v>11.045071264364047</v>
      </c>
      <c r="K16" s="777">
        <f t="shared" ca="1" si="6"/>
        <v>9.1455010381082289</v>
      </c>
      <c r="L16" s="777">
        <f t="shared" ca="1" si="6"/>
        <v>6.6422232159684009</v>
      </c>
      <c r="M16" s="777">
        <f t="shared" ca="1" si="6"/>
        <v>6.5864804771222207</v>
      </c>
      <c r="N16" s="762"/>
      <c r="O16" s="762"/>
      <c r="P16" s="762"/>
      <c r="Q16" s="762"/>
      <c r="R16" s="762"/>
      <c r="S16" s="762"/>
      <c r="T16" s="762"/>
      <c r="U16" s="777">
        <f t="shared" ref="U16:W16" ca="1" si="7">+AVERAGEIFS(U20:U97,U20:U97,"&lt;"&amp;U$14,U20:U97,"&gt;"&amp;U$13)</f>
        <v>0.46175796765481891</v>
      </c>
      <c r="V16" s="777">
        <f t="shared" ca="1" si="7"/>
        <v>0.50455099323651231</v>
      </c>
      <c r="W16" s="777">
        <f t="shared" ca="1" si="7"/>
        <v>-0.12391432102301395</v>
      </c>
      <c r="X16" s="762"/>
      <c r="Y16" s="762"/>
      <c r="Z16" s="762"/>
      <c r="AA16" s="762"/>
      <c r="AB16" s="762"/>
      <c r="AC16" s="762"/>
      <c r="AD16" s="762"/>
      <c r="AL16" s="777">
        <f t="shared" ref="AL16:AR16" ca="1" si="8">+AVERAGEIFS(AL20:AL97,AL20:AL97,"&lt;"&amp;AL$14,AL20:AL97,"&gt;"&amp;AL$13)</f>
        <v>-0.14154259824395243</v>
      </c>
      <c r="AM16" s="777">
        <f t="shared" ca="1" si="8"/>
        <v>0.51303174796269002</v>
      </c>
      <c r="AN16" s="777">
        <f t="shared" ca="1" si="8"/>
        <v>1.7823135947068987</v>
      </c>
      <c r="AO16" s="777">
        <f t="shared" ca="1" si="8"/>
        <v>1.5731313610989339</v>
      </c>
      <c r="AP16" s="777"/>
      <c r="AQ16" s="777">
        <f t="shared" ca="1" si="8"/>
        <v>-0.98641809390109847</v>
      </c>
      <c r="AR16" s="777">
        <f t="shared" ca="1" si="8"/>
        <v>1.5047380666475048</v>
      </c>
      <c r="AS16" s="777"/>
    </row>
    <row r="17" spans="1:47" s="770" customFormat="1" ht="11.25" customHeight="1">
      <c r="C17" s="776" t="s">
        <v>1162</v>
      </c>
      <c r="E17" s="777" cm="1">
        <f t="array" aca="1" ref="E17" ca="1">+E16-_xlfn.STDEV.P(IF(E20:E94&lt;E$14,IF(E20:E94&gt;E$13,E20:E94)))</f>
        <v>7.3697562740241223</v>
      </c>
      <c r="F17" s="777" cm="1">
        <f t="array" aca="1" ref="F17" ca="1">+F16-_xlfn.STDEV.P(IF(F20:F94&lt;F$14,IF(F20:F94&gt;F$13,F20:F94)))</f>
        <v>6.8860195862814626</v>
      </c>
      <c r="G17" s="777" cm="1">
        <f t="array" aca="1" ref="G17" ca="1">+G16-_xlfn.STDEV.P(IF(G20:G94&lt;G$14,IF(G20:G94&gt;G$13,G20:G94)))</f>
        <v>6.9200287243125986</v>
      </c>
      <c r="H17" s="777" cm="1">
        <f t="array" aca="1" ref="H17" ca="1">+H16-_xlfn.STDEV.P(IF(H20:H94&lt;H$14,IF(H20:H94&gt;H$13,H20:H94)))</f>
        <v>5.7938264837155815</v>
      </c>
      <c r="I17" s="777" cm="1">
        <f t="array" aca="1" ref="I17" ca="1">+I16-_xlfn.STDEV.P(IF(I20:I94&lt;I$14,IF(I20:I94&gt;I$13,I20:I94)))</f>
        <v>5.7609985197938611</v>
      </c>
      <c r="J17" s="777" cm="1">
        <f t="array" aca="1" ref="J17" ca="1">+J16-_xlfn.STDEV.P(IF(J20:J94&lt;J$14,IF(J20:J94&gt;J$13,J20:J94)))</f>
        <v>9.1619978902564938</v>
      </c>
      <c r="K17" s="777" cm="1">
        <f t="array" aca="1" ref="K17" ca="1">+K16-_xlfn.STDEV.P(IF(K20:K94&lt;K$14,IF(K20:K94&gt;K$13,K20:K94)))</f>
        <v>7.7540440330335354</v>
      </c>
      <c r="L17" s="777" cm="1">
        <f t="array" aca="1" ref="L17" ca="1">+L16-_xlfn.STDEV.P(IF(L20:L94&lt;L$14,IF(L20:L94&gt;L$13,L20:L94)))</f>
        <v>5.7224220144976448</v>
      </c>
      <c r="M17" s="777" cm="1">
        <f t="array" aca="1" ref="M17" ca="1">+M16-_xlfn.STDEV.P(IF(M20:M94&lt;M$14,IF(M20:M94&gt;M$13,M20:M94)))</f>
        <v>5.3482229874529148</v>
      </c>
      <c r="N17" s="762"/>
      <c r="O17" s="762"/>
      <c r="P17" s="762"/>
      <c r="Q17" s="762"/>
      <c r="R17" s="762"/>
      <c r="S17" s="762"/>
      <c r="T17" s="762"/>
      <c r="U17" s="777" cm="1">
        <f t="array" aca="1" ref="U17" ca="1">+U16-_xlfn.STDEV.P(IF(U20:U94&lt;U$14,IF(U20:U94&gt;U$13,U20:U94)))</f>
        <v>-3.559365501885986E-2</v>
      </c>
      <c r="V17" s="777" cm="1">
        <f t="array" aca="1" ref="V17" ca="1">+V16-_xlfn.STDEV.P(IF(V20:V94&lt;V$14,IF(V20:V94&gt;V$13,V20:V94)))</f>
        <v>-0.20520050421626446</v>
      </c>
      <c r="W17" s="777" cm="1">
        <f t="array" aca="1" ref="W17" ca="1">+W16-_xlfn.STDEV.P(IF(W20:W94&lt;W$14,IF(W20:W94&gt;W$13,W20:W94)))</f>
        <v>-0.8329967938105467</v>
      </c>
      <c r="X17" s="762"/>
      <c r="Y17" s="762"/>
      <c r="Z17" s="762"/>
      <c r="AA17" s="762"/>
      <c r="AB17" s="762"/>
      <c r="AC17" s="762"/>
      <c r="AD17" s="762"/>
      <c r="AL17" s="777" cm="1">
        <f t="array" aca="1" ref="AL17" ca="1">+AL16-_xlfn.STDEV.P(IF(AL20:AL94&lt;AL$14,IF(AL20:AL94&gt;AL$13,AL20:AL94)))</f>
        <v>-0.84699891454064602</v>
      </c>
      <c r="AM17" s="777" cm="1">
        <f t="array" aca="1" ref="AM17" ca="1">+AM16-_xlfn.STDEV.P(IF(AM20:AM94&lt;AM$14,IF(AM20:AM94&gt;AM$13,AM20:AM94)))</f>
        <v>-0.19734277043928095</v>
      </c>
      <c r="AN17" s="777" cm="1">
        <f t="array" aca="1" ref="AN17" ca="1">+AN16-_xlfn.STDEV.P(IF(AN20:AN94&lt;AN$14,IF(AN20:AN94&gt;AN$13,AN20:AN94)))</f>
        <v>0.92031274410758035</v>
      </c>
      <c r="AO17" s="777" cm="1">
        <f t="array" aca="1" ref="AO17" ca="1">+AO16-_xlfn.STDEV.P(IF(AO20:AO94&lt;AO$14,IF(AO20:AO94&gt;AO$13,AO20:AO94)))</f>
        <v>0.59385693567111597</v>
      </c>
      <c r="AP17" s="777"/>
      <c r="AQ17" s="777" cm="1">
        <f t="array" aca="1" ref="AQ17" ca="1">+AQ16-_xlfn.STDEV.P(IF(AQ20:AQ94&lt;AQ$14,IF(AQ20:AQ94&gt;AQ$13,AQ20:AQ94)))</f>
        <v>-1.7901768404151399</v>
      </c>
      <c r="AR17" s="777" cm="1">
        <f t="array" aca="1" ref="AR17" ca="1">+AR16-_xlfn.STDEV.P(IF(AR20:AR94&lt;AR$14,IF(AR20:AR94&gt;AR$13,AR20:AR94)))</f>
        <v>0.56308204896289071</v>
      </c>
      <c r="AS17" s="777"/>
    </row>
    <row r="18" spans="1:47" s="770" customFormat="1" ht="11.25" customHeight="1">
      <c r="C18" s="776" t="s">
        <v>1163</v>
      </c>
      <c r="E18" s="777" cm="1">
        <f t="array" aca="1" ref="E18" ca="1">+E16+_xlfn.STDEV.P(IF(E20:E94&lt;E$14,IF(E20:E94&gt;E$13,E20:E94)))</f>
        <v>8.9158657710205311</v>
      </c>
      <c r="F18" s="777" cm="1">
        <f t="array" aca="1" ref="F18" ca="1">+F16+_xlfn.STDEV.P(IF(F20:F94&lt;F$14,IF(F20:F94&gt;F$13,F20:F94)))</f>
        <v>9.5761923273021026</v>
      </c>
      <c r="G18" s="777" cm="1">
        <f t="array" aca="1" ref="G18" ca="1">+G16+_xlfn.STDEV.P(IF(G20:G94&lt;G$14,IF(G20:G94&gt;G$13,G20:G94)))</f>
        <v>8.3684120753161331</v>
      </c>
      <c r="H18" s="777" cm="1">
        <f t="array" aca="1" ref="H18" ca="1">+H16+_xlfn.STDEV.P(IF(H20:H94&lt;H$14,IF(H20:H94&gt;H$13,H20:H94)))</f>
        <v>7.7650378129331825</v>
      </c>
      <c r="I18" s="777" cm="1">
        <f t="array" aca="1" ref="I18" ca="1">+I16+_xlfn.STDEV.P(IF(I20:I94&lt;I$14,IF(I20:I94&gt;I$13,I20:I94)))</f>
        <v>7.3588277539022426</v>
      </c>
      <c r="J18" s="777" cm="1">
        <f t="array" aca="1" ref="J18" ca="1">+J16+_xlfn.STDEV.P(IF(J20:J94&lt;J$14,IF(J20:J94&gt;J$13,J20:J94)))</f>
        <v>12.928144638471601</v>
      </c>
      <c r="K18" s="777" cm="1">
        <f t="array" aca="1" ref="K18" ca="1">+K16+_xlfn.STDEV.P(IF(K20:K94&lt;K$14,IF(K20:K94&gt;K$13,K20:K94)))</f>
        <v>10.536958043182922</v>
      </c>
      <c r="L18" s="777" cm="1">
        <f t="array" aca="1" ref="L18" ca="1">+L16+_xlfn.STDEV.P(IF(L20:L94&lt;L$14,IF(L20:L94&gt;L$13,L20:L94)))</f>
        <v>7.5620244174391571</v>
      </c>
      <c r="M18" s="777" cm="1">
        <f t="array" aca="1" ref="M18" ca="1">+M16+_xlfn.STDEV.P(IF(M20:M94&lt;M$14,IF(M20:M94&gt;M$13,M20:M94)))</f>
        <v>7.8247379667915267</v>
      </c>
      <c r="N18" s="762"/>
      <c r="O18" s="762"/>
      <c r="P18" s="762" t="s">
        <v>533</v>
      </c>
      <c r="Q18" s="762" t="s">
        <v>637</v>
      </c>
      <c r="R18" s="762" t="s">
        <v>1431</v>
      </c>
      <c r="S18" s="762" t="s">
        <v>1447</v>
      </c>
      <c r="T18" s="762"/>
      <c r="U18" s="777" cm="1">
        <f t="array" aca="1" ref="U18" ca="1">+U16+_xlfn.STDEV.P(IF(U20:U94&lt;U$14,IF(U20:U94&gt;U$13,U20:U94)))</f>
        <v>0.95910959032849763</v>
      </c>
      <c r="V18" s="777" cm="1">
        <f t="array" aca="1" ref="V18" ca="1">+V16+_xlfn.STDEV.P(IF(V20:V94&lt;V$14,IF(V20:V94&gt;V$13,V20:V94)))</f>
        <v>1.2143024906892892</v>
      </c>
      <c r="W18" s="777" cm="1">
        <f t="array" aca="1" ref="W18" ca="1">+W16+_xlfn.STDEV.P(IF(W20:W94&lt;W$14,IF(W20:W94&gt;W$13,W20:W94)))</f>
        <v>0.58516815176451886</v>
      </c>
      <c r="X18" s="762"/>
      <c r="Y18" s="762"/>
      <c r="Z18" s="762"/>
      <c r="AA18" s="762"/>
      <c r="AB18" s="762"/>
      <c r="AC18" s="762"/>
      <c r="AD18" s="762"/>
      <c r="AL18" s="777" cm="1">
        <f t="array" aca="1" ref="AL18" ca="1">+AL16+_xlfn.STDEV.P(IF(AL20:AL94&lt;AL$14,IF(AL20:AL94&gt;AL$13,AL20:AL94)))</f>
        <v>0.56391371805274115</v>
      </c>
      <c r="AM18" s="777" cm="1">
        <f t="array" aca="1" ref="AM18" ca="1">+AM16+_xlfn.STDEV.P(IF(AM20:AM94&lt;AM$14,IF(AM20:AM94&gt;AM$13,AM20:AM94)))</f>
        <v>1.223406266364661</v>
      </c>
      <c r="AN18" s="777" cm="1">
        <f t="array" aca="1" ref="AN18" ca="1">+AN16+_xlfn.STDEV.P(IF(AN20:AN94&lt;AN$14,IF(AN20:AN94&gt;AN$13,AN20:AN94)))</f>
        <v>2.6443144453062168</v>
      </c>
      <c r="AO18" s="777" cm="1">
        <f t="array" aca="1" ref="AO18" ca="1">+AO16+_xlfn.STDEV.P(IF(AO20:AO94&lt;AO$14,IF(AO20:AO94&gt;AO$13,AO20:AO94)))</f>
        <v>2.552405786526752</v>
      </c>
      <c r="AP18" s="777"/>
      <c r="AQ18" s="777" cm="1">
        <f t="array" aca="1" ref="AQ18" ca="1">+AQ16+_xlfn.STDEV.P(IF(AQ20:AQ94&lt;AQ$14,IF(AQ20:AQ94&gt;AQ$13,AQ20:AQ94)))</f>
        <v>-0.18265934738705691</v>
      </c>
      <c r="AR18" s="777" cm="1">
        <f t="array" aca="1" ref="AR18" ca="1">+AR16+_xlfn.STDEV.P(IF(AR20:AR94&lt;AR$14,IF(AR20:AR94&gt;AR$13,AR20:AR94)))</f>
        <v>2.4463940843321188</v>
      </c>
      <c r="AS18" s="777"/>
    </row>
    <row r="19" spans="1:47" ht="5.2" customHeight="1">
      <c r="A19" s="762"/>
      <c r="B19" s="762"/>
      <c r="C19" s="762"/>
      <c r="D19" s="762"/>
      <c r="E19" s="762"/>
      <c r="F19" s="762"/>
      <c r="G19" s="762"/>
      <c r="H19" s="762"/>
      <c r="I19" s="762"/>
      <c r="J19" s="762"/>
      <c r="K19" s="762"/>
      <c r="L19" s="762" t="s">
        <v>1457</v>
      </c>
      <c r="M19" s="762"/>
      <c r="P19" s="762" t="s">
        <v>533</v>
      </c>
      <c r="Q19" s="762" t="s">
        <v>637</v>
      </c>
      <c r="R19" s="762" t="s">
        <v>1431</v>
      </c>
      <c r="S19" s="762" t="s">
        <v>1447</v>
      </c>
    </row>
    <row r="20" spans="1:47" ht="11.25" customHeight="1">
      <c r="C20" s="971">
        <v>41364</v>
      </c>
      <c r="D20" s="974">
        <f t="shared" ref="D20:D59" si="9">+C20+45</f>
        <v>41409</v>
      </c>
      <c r="E20" s="765" cm="1">
        <f t="array" aca="1" ref="E20" ca="1">IF(Reuters=1,_xll.TR(E$7,E$6,"Sdate=#1 Period=#2 NULL=BLANK",,$D20,$E$4),E20)</f>
        <v>7.3925278844614404</v>
      </c>
      <c r="F20" s="765" cm="1">
        <f t="array" aca="1" ref="F20" ca="1">IF(Reuters=1,_xll.TR(F$7,F$6,"Sdate=#1 Period=#2 NULL=BLANK",,$D20,$E$4),F20)</f>
        <v>6.8465676710887902</v>
      </c>
      <c r="G20" s="765" cm="1">
        <f t="array" aca="1" ref="G20" ca="1">IF(Reuters=1,_xll.TR(G$7,G$6,"Sdate=#1 Period=#2 NULL=BLANK",,$D20,$E$4),G20)</f>
        <v>7.2102455708196898</v>
      </c>
      <c r="H20" s="765" t="str" cm="1">
        <f t="array" aca="1" ref="H20" ca="1">IF(Reuters=1,_xll.TR(H$7,H$6,"Sdate=#1 Period=#2 NULL=BLANK",,$D20,$E$4),H20)</f>
        <v/>
      </c>
      <c r="I20" s="765" cm="1">
        <f t="array" aca="1" ref="I20" ca="1">IF(Reuters=1,_xll.TR(I$7,I$6,"Sdate=#1 Period=#2 NULL=BLANK",,$D20,$E$4),I20)</f>
        <v>5.8885316946944197</v>
      </c>
      <c r="J20" s="765" t="str" cm="1">
        <f t="array" aca="1" ref="J20" ca="1">IF(Reuters=1,_xll.TR(J$7,J$6,"Sdate=#1 Period=#2 NULL=BLANK",,$D20,$E$4),J20)</f>
        <v/>
      </c>
      <c r="K20" s="765" cm="1">
        <f t="array" aca="1" ref="K20" ca="1">IF(Reuters=1,_xll.TR(K$7,K$6,"Sdate=#1 Period=#2 NULL=BLANK",,$D20,$E$4),K20)</f>
        <v>8.9912290588750601</v>
      </c>
      <c r="L20" s="765" cm="1">
        <f t="array" aca="1" ref="L20" ca="1">IF(Reuters=1,_xll.TR(L$7,L$6,"Sdate=#1 Period=#2 NULL=BLANK",,$D20,$E$4),L20)</f>
        <v>6.2601995758702298</v>
      </c>
      <c r="M20" s="765" cm="1">
        <f t="array" aca="1" ref="M20" ca="1">IF(Reuters=1,_xll.TR(M$7,M$6,"Sdate=#1 Period=#2 NULL=BLANK",,$D20,$E$4),M20)</f>
        <v>6.5092423906362296</v>
      </c>
      <c r="O20" s="971">
        <f>C20</f>
        <v>41364</v>
      </c>
      <c r="P20" s="1002">
        <f ca="1">AVERAGE(F20:M20)</f>
        <v>6.9510026603307367</v>
      </c>
      <c r="Q20" s="1002">
        <f ca="1">E20</f>
        <v>7.3925278844614404</v>
      </c>
      <c r="R20" s="1002">
        <f ca="1">G20</f>
        <v>7.2102455708196898</v>
      </c>
      <c r="S20" s="1002">
        <f t="shared" ref="S20:S30" ca="1" si="10">F20</f>
        <v>6.8465676710887902</v>
      </c>
      <c r="T20" s="1002">
        <f ca="1">P20+0.6</f>
        <v>7.5510026603307363</v>
      </c>
      <c r="U20" s="1006">
        <f ca="1">Q20-P20</f>
        <v>0.44152522413070372</v>
      </c>
      <c r="V20" s="1006">
        <f ca="1">Q20-R20</f>
        <v>0.18228231364175063</v>
      </c>
      <c r="W20" s="1006">
        <f ca="1">Q20-S20</f>
        <v>0.54596021337265022</v>
      </c>
      <c r="Y20" s="765"/>
      <c r="Z20" s="765"/>
    </row>
    <row r="21" spans="1:47" ht="11.25" customHeight="1">
      <c r="C21" s="972">
        <f t="shared" ref="C21:C60" si="11">+EOMONTH(C20,3)</f>
        <v>41455</v>
      </c>
      <c r="D21" s="974">
        <f t="shared" si="9"/>
        <v>41500</v>
      </c>
      <c r="E21" s="765" cm="1">
        <f t="array" aca="1" ref="E21" ca="1">IF(Reuters=1,_xll.TR(E$7,E$6,"Sdate=#1 Period=#2 NULL=BLANK",,$D21,"NTM"),E21)</f>
        <v>7.7920271393888303</v>
      </c>
      <c r="F21" s="765" cm="1">
        <f t="array" aca="1" ref="F21" ca="1">IF(Reuters=1,_xll.TR(F$7,F$6,"Sdate=#1 Period=#2 NULL=BLANK",,$D21,"NTM"),F21)</f>
        <v>6.9462604239508297</v>
      </c>
      <c r="G21" s="765" cm="1">
        <f t="array" aca="1" ref="G21" ca="1">IF(Reuters=1,_xll.TR(G$7,G$6,"Sdate=#1 Period=#2 NULL=BLANK",,$D21,"NTM"),G21)</f>
        <v>7.08722189502042</v>
      </c>
      <c r="H21" s="765" t="str" cm="1">
        <f t="array" aca="1" ref="H21" ca="1">IF(Reuters=1,_xll.TR(H$7,H$6,"Sdate=#1 Period=#2 NULL=BLANK",,$D21,"NTM"),H21)</f>
        <v/>
      </c>
      <c r="I21" s="765" cm="1">
        <f t="array" aca="1" ref="I21" ca="1">IF(Reuters=1,_xll.TR(I$7,I$6,"Sdate=#1 Period=#2 NULL=BLANK",,$D21,"NTM"),I21)</f>
        <v>6.05125981164948</v>
      </c>
      <c r="J21" s="765" t="str" cm="1">
        <f t="array" aca="1" ref="J21" ca="1">IF(Reuters=1,_xll.TR(J$7,J$6,"Sdate=#1 Period=#2 NULL=BLANK",,$D21,"NTM"),J21)</f>
        <v/>
      </c>
      <c r="K21" s="765" cm="1">
        <f t="array" aca="1" ref="K21" ca="1">IF(Reuters=1,_xll.TR(K$7,K$6,"Sdate=#1 Period=#2 NULL=BLANK",,$D21,"NTM"),K21)</f>
        <v>8.6114269810518405</v>
      </c>
      <c r="L21" s="765" cm="1">
        <f t="array" aca="1" ref="L21" ca="1">IF(Reuters=1,_xll.TR(L$7,L$6,"Sdate=#1 Period=#2 NULL=BLANK",,$D21,"NTM"),L21)</f>
        <v>6.1709319514946497</v>
      </c>
      <c r="M21" s="765" cm="1">
        <f t="array" aca="1" ref="M21" ca="1">IF(Reuters=1,_xll.TR(M$7,M$6,"Sdate=#1 Period=#2 NULL=BLANK",,$D21,"NTM"),M21)</f>
        <v>6.5990518878602398</v>
      </c>
      <c r="O21" s="972">
        <f t="shared" ref="O21:O60" si="12">C21</f>
        <v>41455</v>
      </c>
      <c r="P21" s="1002">
        <f t="shared" ref="P21:P60" ca="1" si="13">AVERAGE(F21:M21)</f>
        <v>6.9110254918379104</v>
      </c>
      <c r="Q21" s="1002">
        <f t="shared" ref="Q21:Q60" ca="1" si="14">E21</f>
        <v>7.7920271393888303</v>
      </c>
      <c r="R21" s="1002">
        <f t="shared" ref="R21:R60" ca="1" si="15">G21</f>
        <v>7.08722189502042</v>
      </c>
      <c r="S21" s="1002">
        <f t="shared" ca="1" si="10"/>
        <v>6.9462604239508297</v>
      </c>
      <c r="T21" s="1002">
        <f t="shared" ref="T21:T60" ca="1" si="16">P21+0.6</f>
        <v>7.51102549183791</v>
      </c>
      <c r="U21" s="1006">
        <f t="shared" ref="U21:U60" ca="1" si="17">Q21-P21</f>
        <v>0.88100164755091992</v>
      </c>
      <c r="V21" s="1006">
        <f t="shared" ref="V21:V60" ca="1" si="18">Q21-R21</f>
        <v>0.7048052443684103</v>
      </c>
      <c r="W21" s="1006">
        <f t="shared" ref="W21:W60" ca="1" si="19">Q21-S21</f>
        <v>0.84576671543800064</v>
      </c>
      <c r="Y21" s="765"/>
      <c r="Z21" s="765"/>
      <c r="AL21" s="1002">
        <f ca="1">$E21-F21</f>
        <v>0.84576671543800064</v>
      </c>
      <c r="AM21" s="1002">
        <f ca="1">$E21-G21</f>
        <v>0.7048052443684103</v>
      </c>
      <c r="AN21" s="1002"/>
      <c r="AO21" s="1002">
        <f ca="1">$E21-I21</f>
        <v>1.7407673277393503</v>
      </c>
      <c r="AP21" s="1002"/>
      <c r="AQ21" s="1002">
        <f ca="1">$E21-K21</f>
        <v>-0.81939984166301016</v>
      </c>
      <c r="AR21" s="1002">
        <f ca="1">$E21-L21</f>
        <v>1.6210951878941806</v>
      </c>
      <c r="AS21" s="1002"/>
      <c r="AT21" s="1002"/>
      <c r="AU21" s="1002"/>
    </row>
    <row r="22" spans="1:47" ht="11.25" customHeight="1">
      <c r="C22" s="973">
        <f t="shared" si="11"/>
        <v>41547</v>
      </c>
      <c r="D22" s="974">
        <f t="shared" si="9"/>
        <v>41592</v>
      </c>
      <c r="E22" s="765" cm="1">
        <f t="array" aca="1" ref="E22" ca="1">IF(Reuters=1,_xll.TR(E$7,E$6,"Sdate=#1 Period=#2 NULL=BLANK",,$D22,"NTM"),E22)</f>
        <v>7.7148548871086602</v>
      </c>
      <c r="F22" s="765" cm="1">
        <f t="array" aca="1" ref="F22" ca="1">IF(Reuters=1,_xll.TR(F$7,F$6,"Sdate=#1 Period=#2 NULL=BLANK",,$D22,"NTM"),F22)</f>
        <v>7.6905757256787703</v>
      </c>
      <c r="G22" s="765" cm="1">
        <f t="array" aca="1" ref="G22" ca="1">IF(Reuters=1,_xll.TR(G$7,G$6,"Sdate=#1 Period=#2 NULL=BLANK",,$D22,"NTM"),G22)</f>
        <v>7.8985608994462</v>
      </c>
      <c r="H22" s="765" t="str" cm="1">
        <f t="array" aca="1" ref="H22" ca="1">IF(Reuters=1,_xll.TR(H$7,H$6,"Sdate=#1 Period=#2 NULL=BLANK",,$D22,"NTM"),H22)</f>
        <v/>
      </c>
      <c r="I22" s="765" cm="1">
        <f t="array" aca="1" ref="I22" ca="1">IF(Reuters=1,_xll.TR(I$7,I$6,"Sdate=#1 Period=#2 NULL=BLANK",,$D22,"NTM"),I22)</f>
        <v>6.5921560411392601</v>
      </c>
      <c r="J22" s="765" t="str" cm="1">
        <f t="array" aca="1" ref="J22" ca="1">IF(Reuters=1,_xll.TR(J$7,J$6,"Sdate=#1 Period=#2 NULL=BLANK",,$D22,"NTM"),J22)</f>
        <v/>
      </c>
      <c r="K22" s="765" cm="1">
        <f t="array" aca="1" ref="K22" ca="1">IF(Reuters=1,_xll.TR(K$7,K$6,"Sdate=#1 Period=#2 NULL=BLANK",,$D22,"NTM"),K22)</f>
        <v>8.4063011242511791</v>
      </c>
      <c r="L22" s="765" cm="1">
        <f t="array" aca="1" ref="L22" ca="1">IF(Reuters=1,_xll.TR(L$7,L$6,"Sdate=#1 Period=#2 NULL=BLANK",,$D22,"NTM"),L22)</f>
        <v>6.5733298475710003</v>
      </c>
      <c r="M22" s="765" cm="1">
        <f t="array" aca="1" ref="M22" ca="1">IF(Reuters=1,_xll.TR(M$7,M$6,"Sdate=#1 Period=#2 NULL=BLANK",,$D22,"NTM"),M22)</f>
        <v>6.6821966545755798</v>
      </c>
      <c r="O22" s="973">
        <f t="shared" si="12"/>
        <v>41547</v>
      </c>
      <c r="P22" s="1002">
        <f t="shared" ca="1" si="13"/>
        <v>7.307186715443664</v>
      </c>
      <c r="Q22" s="1002">
        <f t="shared" ca="1" si="14"/>
        <v>7.7148548871086602</v>
      </c>
      <c r="R22" s="1002">
        <f t="shared" ca="1" si="15"/>
        <v>7.8985608994462</v>
      </c>
      <c r="S22" s="1002">
        <f t="shared" ca="1" si="10"/>
        <v>7.6905757256787703</v>
      </c>
      <c r="T22" s="1002">
        <f t="shared" ca="1" si="16"/>
        <v>7.9071867154436637</v>
      </c>
      <c r="U22" s="1006">
        <f t="shared" ca="1" si="17"/>
        <v>0.40766817166499614</v>
      </c>
      <c r="V22" s="1006">
        <f t="shared" ca="1" si="18"/>
        <v>-0.1837060123375398</v>
      </c>
      <c r="W22" s="1006">
        <f t="shared" ca="1" si="19"/>
        <v>2.4279161429889839E-2</v>
      </c>
      <c r="X22" s="1033"/>
      <c r="Y22" s="765">
        <f ca="1">'Other Pulls'!AT22</f>
        <v>11.5666666666667</v>
      </c>
      <c r="Z22" s="765">
        <f ca="1">'Other Pulls'!AU22</f>
        <v>15.866666666666699</v>
      </c>
      <c r="AL22" s="1002">
        <f t="shared" ref="AL22:AL60" ca="1" si="20">$E22-F22</f>
        <v>2.4279161429889839E-2</v>
      </c>
      <c r="AM22" s="1002">
        <f t="shared" ref="AM22:AM60" ca="1" si="21">$E22-G22</f>
        <v>-0.1837060123375398</v>
      </c>
      <c r="AN22" s="1002"/>
      <c r="AO22" s="1002">
        <f t="shared" ref="AO22:AO60" ca="1" si="22">$E22-I22</f>
        <v>1.1226988459694001</v>
      </c>
      <c r="AP22" s="1002"/>
      <c r="AQ22" s="1002">
        <f t="shared" ref="AQ22:AQ60" ca="1" si="23">$E22-K22</f>
        <v>-0.69144623714251896</v>
      </c>
      <c r="AR22" s="1002">
        <f t="shared" ref="AR22:AR60" ca="1" si="24">$E22-L22</f>
        <v>1.1415250395376599</v>
      </c>
      <c r="AS22" s="1002"/>
    </row>
    <row r="23" spans="1:47" ht="11.25" customHeight="1">
      <c r="C23" s="969">
        <f t="shared" si="11"/>
        <v>41639</v>
      </c>
      <c r="D23" s="974">
        <f t="shared" si="9"/>
        <v>41684</v>
      </c>
      <c r="E23" s="765" cm="1">
        <f t="array" aca="1" ref="E23" ca="1">IF(Reuters=1,_xll.TR(E$7,E$6,"Sdate=#1 Period=#2 NULL=BLANK",,$D23,"NTM"),E23)</f>
        <v>7.9226599951817596</v>
      </c>
      <c r="F23" s="765" cm="1">
        <f t="array" aca="1" ref="F23" ca="1">IF(Reuters=1,_xll.TR(F$7,F$6,"Sdate=#1 Period=#2 NULL=BLANK",,$D23,"NTM"),F23)</f>
        <v>7.0030993714546099</v>
      </c>
      <c r="G23" s="765" cm="1">
        <f t="array" aca="1" ref="G23" ca="1">IF(Reuters=1,_xll.TR(G$7,G$6,"Sdate=#1 Period=#2 NULL=BLANK",,$D23,"NTM"),G23)</f>
        <v>8.1722696134745494</v>
      </c>
      <c r="H23" s="765" t="str" cm="1">
        <f t="array" aca="1" ref="H23" ca="1">IF(Reuters=1,_xll.TR(H$7,H$6,"Sdate=#1 Period=#2 NULL=BLANK",,$D23,"NTM"),H23)</f>
        <v/>
      </c>
      <c r="I23" s="765" cm="1">
        <f t="array" aca="1" ref="I23" ca="1">IF(Reuters=1,_xll.TR(I$7,I$6,"Sdate=#1 Period=#2 NULL=BLANK",,$D23,"NTM"),I23)</f>
        <v>6.9886856822345997</v>
      </c>
      <c r="J23" s="765" t="str" cm="1">
        <f t="array" aca="1" ref="J23" ca="1">IF(Reuters=1,_xll.TR(J$7,J$6,"Sdate=#1 Period=#2 NULL=BLANK",,$D23,"NTM"),J23)</f>
        <v/>
      </c>
      <c r="K23" s="765" cm="1">
        <f t="array" aca="1" ref="K23" ca="1">IF(Reuters=1,_xll.TR(K$7,K$6,"Sdate=#1 Period=#2 NULL=BLANK",,$D23,"NTM"),K23)</f>
        <v>8.5604085834951</v>
      </c>
      <c r="L23" s="765" cm="1">
        <f t="array" aca="1" ref="L23" ca="1">IF(Reuters=1,_xll.TR(L$7,L$6,"Sdate=#1 Period=#2 NULL=BLANK",,$D23,"NTM"),L23)</f>
        <v>6.1643106287311804</v>
      </c>
      <c r="M23" s="765" cm="1">
        <f t="array" aca="1" ref="M23" ca="1">IF(Reuters=1,_xll.TR(M$7,M$6,"Sdate=#1 Period=#2 NULL=BLANK",,$D23,"NTM"),M23)</f>
        <v>7.0321319947183696</v>
      </c>
      <c r="O23" s="969">
        <f t="shared" si="12"/>
        <v>41639</v>
      </c>
      <c r="P23" s="1002">
        <f t="shared" ca="1" si="13"/>
        <v>7.3201509790180692</v>
      </c>
      <c r="Q23" s="1002">
        <f t="shared" ca="1" si="14"/>
        <v>7.9226599951817596</v>
      </c>
      <c r="R23" s="1002">
        <f t="shared" ca="1" si="15"/>
        <v>8.1722696134745494</v>
      </c>
      <c r="S23" s="1002">
        <f t="shared" ca="1" si="10"/>
        <v>7.0030993714546099</v>
      </c>
      <c r="T23" s="1002">
        <f t="shared" ca="1" si="16"/>
        <v>7.9201509790180689</v>
      </c>
      <c r="U23" s="1006">
        <f t="shared" ca="1" si="17"/>
        <v>0.60250901616369035</v>
      </c>
      <c r="V23" s="1006">
        <f t="shared" ca="1" si="18"/>
        <v>-0.24960961829278983</v>
      </c>
      <c r="W23" s="1006">
        <f t="shared" ca="1" si="19"/>
        <v>0.91956062372714964</v>
      </c>
      <c r="Y23" s="765">
        <f ca="1">'Other Pulls'!AT23</f>
        <v>12.383333333333301</v>
      </c>
      <c r="Z23" s="765">
        <f ca="1">'Other Pulls'!AU23</f>
        <v>16.55</v>
      </c>
      <c r="AL23" s="1002">
        <f t="shared" ca="1" si="20"/>
        <v>0.91956062372714964</v>
      </c>
      <c r="AM23" s="1002">
        <f t="shared" ca="1" si="21"/>
        <v>-0.24960961829278983</v>
      </c>
      <c r="AN23" s="1002"/>
      <c r="AO23" s="1002">
        <f t="shared" ca="1" si="22"/>
        <v>0.93397431294715982</v>
      </c>
      <c r="AP23" s="1002"/>
      <c r="AQ23" s="1002">
        <f t="shared" ca="1" si="23"/>
        <v>-0.63774858831334047</v>
      </c>
      <c r="AR23" s="1002">
        <f t="shared" ca="1" si="24"/>
        <v>1.7583493664505792</v>
      </c>
      <c r="AS23" s="1002"/>
    </row>
    <row r="24" spans="1:47" ht="11.25" customHeight="1">
      <c r="C24" s="971">
        <f t="shared" si="11"/>
        <v>41729</v>
      </c>
      <c r="D24" s="974">
        <f t="shared" si="9"/>
        <v>41774</v>
      </c>
      <c r="E24" s="765" cm="1">
        <f t="array" aca="1" ref="E24" ca="1">IF(Reuters=1,_xll.TR(E$7,E$6,"Sdate=#1 Period=#2 NULL=BLANK",,$D24,"NTM"),E24)</f>
        <v>8.0386374338896704</v>
      </c>
      <c r="F24" s="765" cm="1">
        <f t="array" aca="1" ref="F24" ca="1">IF(Reuters=1,_xll.TR(F$7,F$6,"Sdate=#1 Period=#2 NULL=BLANK",,$D24,"NTM"),F24)</f>
        <v>7.5228291339738798</v>
      </c>
      <c r="G24" s="765" cm="1">
        <f t="array" aca="1" ref="G24" ca="1">IF(Reuters=1,_xll.TR(G$7,G$6,"Sdate=#1 Period=#2 NULL=BLANK",,$D24,"NTM"),G24)</f>
        <v>8.0516010774883799</v>
      </c>
      <c r="H24" s="765" t="str" cm="1">
        <f t="array" aca="1" ref="H24" ca="1">IF(Reuters=1,_xll.TR(H$7,H$6,"Sdate=#1 Period=#2 NULL=BLANK",,$D24,"NTM"),H24)</f>
        <v/>
      </c>
      <c r="I24" s="765" cm="1">
        <f t="array" aca="1" ref="I24" ca="1">IF(Reuters=1,_xll.TR(I$7,I$6,"Sdate=#1 Period=#2 NULL=BLANK",,$D24,"NTM"),I24)</f>
        <v>7.4343701741106303</v>
      </c>
      <c r="J24" s="765" t="str" cm="1">
        <f t="array" aca="1" ref="J24" ca="1">IF(Reuters=1,_xll.TR(J$7,J$6,"Sdate=#1 Period=#2 NULL=BLANK",,$D24,"NTM"),J24)</f>
        <v/>
      </c>
      <c r="K24" s="765" cm="1">
        <f t="array" aca="1" ref="K24" ca="1">IF(Reuters=1,_xll.TR(K$7,K$6,"Sdate=#1 Period=#2 NULL=BLANK",,$D24,"NTM"),K24)</f>
        <v>8.9738889913692201</v>
      </c>
      <c r="L24" s="765" cm="1">
        <f t="array" aca="1" ref="L24" ca="1">IF(Reuters=1,_xll.TR(L$7,L$6,"Sdate=#1 Period=#2 NULL=BLANK",,$D24,"NTM"),L24)</f>
        <v>6.3675079838323096</v>
      </c>
      <c r="M24" s="765" cm="1">
        <f t="array" aca="1" ref="M24" ca="1">IF(Reuters=1,_xll.TR(M$7,M$6,"Sdate=#1 Period=#2 NULL=BLANK",,$D24,"NTM"),M24)</f>
        <v>7.3138887389473997</v>
      </c>
      <c r="O24" s="971">
        <f t="shared" si="12"/>
        <v>41729</v>
      </c>
      <c r="P24" s="1002">
        <f t="shared" ca="1" si="13"/>
        <v>7.6106810166203038</v>
      </c>
      <c r="Q24" s="1002">
        <f t="shared" ca="1" si="14"/>
        <v>8.0386374338896704</v>
      </c>
      <c r="R24" s="1002">
        <f t="shared" ca="1" si="15"/>
        <v>8.0516010774883799</v>
      </c>
      <c r="S24" s="1002">
        <f t="shared" ca="1" si="10"/>
        <v>7.5228291339738798</v>
      </c>
      <c r="T24" s="1002">
        <f t="shared" ca="1" si="16"/>
        <v>8.2106810166203044</v>
      </c>
      <c r="U24" s="1006">
        <f t="shared" ca="1" si="17"/>
        <v>0.42795641726936662</v>
      </c>
      <c r="V24" s="1006">
        <f t="shared" ca="1" si="18"/>
        <v>-1.2963643598709496E-2</v>
      </c>
      <c r="W24" s="1006">
        <f t="shared" ca="1" si="19"/>
        <v>0.51580829991579069</v>
      </c>
      <c r="Y24" s="765">
        <f ca="1">'Other Pulls'!AT24</f>
        <v>12.983333333333301</v>
      </c>
      <c r="Z24" s="765">
        <f ca="1">'Other Pulls'!AU24</f>
        <v>15.75</v>
      </c>
      <c r="AL24" s="1002">
        <f t="shared" ca="1" si="20"/>
        <v>0.51580829991579069</v>
      </c>
      <c r="AM24" s="1002">
        <f t="shared" ca="1" si="21"/>
        <v>-1.2963643598709496E-2</v>
      </c>
      <c r="AN24" s="1002"/>
      <c r="AO24" s="1002">
        <f t="shared" ca="1" si="22"/>
        <v>0.60426725977904017</v>
      </c>
      <c r="AP24" s="1002"/>
      <c r="AQ24" s="1002">
        <f t="shared" ca="1" si="23"/>
        <v>-0.93525155747954969</v>
      </c>
      <c r="AR24" s="1002">
        <f t="shared" ca="1" si="24"/>
        <v>1.6711294500573608</v>
      </c>
      <c r="AS24" s="1002"/>
    </row>
    <row r="25" spans="1:47" ht="11.25" customHeight="1">
      <c r="C25" s="972">
        <f t="shared" si="11"/>
        <v>41820</v>
      </c>
      <c r="D25" s="974">
        <f t="shared" si="9"/>
        <v>41865</v>
      </c>
      <c r="E25" s="765" cm="1">
        <f t="array" aca="1" ref="E25" ca="1">IF(Reuters=1,_xll.TR(E$7,E$6,"Sdate=#1 Period=#2 NULL=BLANK",,$D25,"NTM"),E25)</f>
        <v>7.7710426848552601</v>
      </c>
      <c r="F25" s="765" cm="1">
        <f t="array" aca="1" ref="F25" ca="1">IF(Reuters=1,_xll.TR(F$7,F$6,"Sdate=#1 Period=#2 NULL=BLANK",,$D25,"NTM"),F25)</f>
        <v>7.48637277195962</v>
      </c>
      <c r="G25" s="765" cm="1">
        <f t="array" aca="1" ref="G25" ca="1">IF(Reuters=1,_xll.TR(G$7,G$6,"Sdate=#1 Period=#2 NULL=BLANK",,$D25,"NTM"),G25)</f>
        <v>7.6854651562964804</v>
      </c>
      <c r="H25" s="765" t="str" cm="1">
        <f t="array" aca="1" ref="H25" ca="1">IF(Reuters=1,_xll.TR(H$7,H$6,"Sdate=#1 Period=#2 NULL=BLANK",,$D25,"NTM"),H25)</f>
        <v/>
      </c>
      <c r="I25" s="765" cm="1">
        <f t="array" aca="1" ref="I25" ca="1">IF(Reuters=1,_xll.TR(I$7,I$6,"Sdate=#1 Period=#2 NULL=BLANK",,$D25,"NTM"),I25)</f>
        <v>7.95482651351554</v>
      </c>
      <c r="J25" s="765" t="str" cm="1">
        <f t="array" aca="1" ref="J25" ca="1">IF(Reuters=1,_xll.TR(J$7,J$6,"Sdate=#1 Period=#2 NULL=BLANK",,$D25,"NTM"),J25)</f>
        <v/>
      </c>
      <c r="K25" s="765" cm="1">
        <f t="array" aca="1" ref="K25" ca="1">IF(Reuters=1,_xll.TR(K$7,K$6,"Sdate=#1 Period=#2 NULL=BLANK",,$D25,"NTM"),K25)</f>
        <v>8.7063723175934804</v>
      </c>
      <c r="L25" s="765" cm="1">
        <f t="array" aca="1" ref="L25" ca="1">IF(Reuters=1,_xll.TR(L$7,L$6,"Sdate=#1 Period=#2 NULL=BLANK",,$D25,"NTM"),L25)</f>
        <v>6.5916984378105701</v>
      </c>
      <c r="M25" s="765" cm="1">
        <f t="array" aca="1" ref="M25" ca="1">IF(Reuters=1,_xll.TR(M$7,M$6,"Sdate=#1 Period=#2 NULL=BLANK",,$D25,"NTM"),M25)</f>
        <v>8.1372313519017592</v>
      </c>
      <c r="O25" s="972">
        <f t="shared" si="12"/>
        <v>41820</v>
      </c>
      <c r="P25" s="1002">
        <f t="shared" ca="1" si="13"/>
        <v>7.7603277581795744</v>
      </c>
      <c r="Q25" s="1002">
        <f t="shared" ca="1" si="14"/>
        <v>7.7710426848552601</v>
      </c>
      <c r="R25" s="1002">
        <f t="shared" ca="1" si="15"/>
        <v>7.6854651562964804</v>
      </c>
      <c r="S25" s="1002">
        <f t="shared" ca="1" si="10"/>
        <v>7.48637277195962</v>
      </c>
      <c r="T25" s="1002">
        <f t="shared" ca="1" si="16"/>
        <v>8.3603277581795741</v>
      </c>
      <c r="U25" s="1006">
        <f t="shared" ca="1" si="17"/>
        <v>1.0714926675685632E-2</v>
      </c>
      <c r="V25" s="1006">
        <f t="shared" ca="1" si="18"/>
        <v>8.5577528558779647E-2</v>
      </c>
      <c r="W25" s="1006">
        <f t="shared" ca="1" si="19"/>
        <v>0.28466991289564003</v>
      </c>
      <c r="Y25" s="765">
        <f ca="1">'Other Pulls'!AT25</f>
        <v>12.858333333333301</v>
      </c>
      <c r="Z25" s="765">
        <f ca="1">'Other Pulls'!AU25</f>
        <v>14.233333333333301</v>
      </c>
      <c r="AL25" s="1002">
        <f t="shared" ca="1" si="20"/>
        <v>0.28466991289564003</v>
      </c>
      <c r="AM25" s="1002">
        <f t="shared" ca="1" si="21"/>
        <v>8.5577528558779647E-2</v>
      </c>
      <c r="AN25" s="1002"/>
      <c r="AO25" s="1002">
        <f t="shared" ca="1" si="22"/>
        <v>-0.18378382866027998</v>
      </c>
      <c r="AP25" s="1002"/>
      <c r="AQ25" s="1002">
        <f t="shared" ca="1" si="23"/>
        <v>-0.93532963273822034</v>
      </c>
      <c r="AR25" s="1002">
        <f t="shared" ca="1" si="24"/>
        <v>1.17934424704469</v>
      </c>
      <c r="AS25" s="1002"/>
    </row>
    <row r="26" spans="1:47" ht="11.25" customHeight="1">
      <c r="C26" s="973">
        <f t="shared" si="11"/>
        <v>41912</v>
      </c>
      <c r="D26" s="974">
        <f t="shared" si="9"/>
        <v>41957</v>
      </c>
      <c r="E26" s="765" cm="1">
        <f t="array" aca="1" ref="E26" ca="1">IF(Reuters=1,_xll.TR(E$7,E$6,"Sdate=#1 Period=#2 NULL=BLANK",,$D26,"NTM"),E26)</f>
        <v>7.4467288782765904</v>
      </c>
      <c r="F26" s="765" cm="1">
        <f t="array" aca="1" ref="F26" ca="1">IF(Reuters=1,_xll.TR(F$7,F$6,"Sdate=#1 Period=#2 NULL=BLANK",,$D26,"NTM"),F26)</f>
        <v>7.4373143165697098</v>
      </c>
      <c r="G26" s="765" cm="1">
        <f t="array" aca="1" ref="G26" ca="1">IF(Reuters=1,_xll.TR(G$7,G$6,"Sdate=#1 Period=#2 NULL=BLANK",,$D26,"NTM"),G26)</f>
        <v>7.2289979823952502</v>
      </c>
      <c r="H26" s="765" t="str" cm="1">
        <f t="array" aca="1" ref="H26" ca="1">IF(Reuters=1,_xll.TR(H$7,H$6,"Sdate=#1 Period=#2 NULL=BLANK",,$D26,"NTM"),H26)</f>
        <v/>
      </c>
      <c r="I26" s="765" cm="1">
        <f t="array" aca="1" ref="I26" ca="1">IF(Reuters=1,_xll.TR(I$7,I$6,"Sdate=#1 Period=#2 NULL=BLANK",,$D26,"NTM"),I26)</f>
        <v>6.5175497834162304</v>
      </c>
      <c r="J26" s="765" t="str" cm="1">
        <f t="array" aca="1" ref="J26" ca="1">IF(Reuters=1,_xll.TR(J$7,J$6,"Sdate=#1 Period=#2 NULL=BLANK",,$D26,"NTM"),J26)</f>
        <v/>
      </c>
      <c r="K26" s="765" cm="1">
        <f t="array" aca="1" ref="K26" ca="1">IF(Reuters=1,_xll.TR(K$7,K$6,"Sdate=#1 Period=#2 NULL=BLANK",,$D26,"NTM"),K26)</f>
        <v>8.1700468801471793</v>
      </c>
      <c r="L26" s="765" cm="1">
        <f t="array" aca="1" ref="L26" ca="1">IF(Reuters=1,_xll.TR(L$7,L$6,"Sdate=#1 Period=#2 NULL=BLANK",,$D26,"NTM"),L26)</f>
        <v>6.15095808887523</v>
      </c>
      <c r="M26" s="765" cm="1">
        <f t="array" aca="1" ref="M26" ca="1">IF(Reuters=1,_xll.TR(M$7,M$6,"Sdate=#1 Period=#2 NULL=BLANK",,$D26,"NTM"),M26)</f>
        <v>6.4558644007414197</v>
      </c>
      <c r="O26" s="973">
        <f t="shared" si="12"/>
        <v>41912</v>
      </c>
      <c r="P26" s="1002">
        <f t="shared" ca="1" si="13"/>
        <v>6.9934552420241696</v>
      </c>
      <c r="Q26" s="1002">
        <f t="shared" ca="1" si="14"/>
        <v>7.4467288782765904</v>
      </c>
      <c r="R26" s="1002">
        <f t="shared" ca="1" si="15"/>
        <v>7.2289979823952502</v>
      </c>
      <c r="S26" s="1002">
        <f t="shared" ca="1" si="10"/>
        <v>7.4373143165697098</v>
      </c>
      <c r="T26" s="1002">
        <f t="shared" ca="1" si="16"/>
        <v>7.5934552420241692</v>
      </c>
      <c r="U26" s="1006">
        <f t="shared" ca="1" si="17"/>
        <v>0.45327363625242079</v>
      </c>
      <c r="V26" s="1006">
        <f t="shared" ca="1" si="18"/>
        <v>0.2177308958813402</v>
      </c>
      <c r="W26" s="1006">
        <f t="shared" ca="1" si="19"/>
        <v>9.4145617068805976E-3</v>
      </c>
      <c r="Y26" s="765">
        <f ca="1">'Other Pulls'!AT26</f>
        <v>12.45</v>
      </c>
      <c r="Z26" s="765">
        <f ca="1">'Other Pulls'!AU26</f>
        <v>14</v>
      </c>
      <c r="AL26" s="1002">
        <f t="shared" ca="1" si="20"/>
        <v>9.4145617068805976E-3</v>
      </c>
      <c r="AM26" s="1002">
        <f t="shared" ca="1" si="21"/>
        <v>0.2177308958813402</v>
      </c>
      <c r="AN26" s="1002"/>
      <c r="AO26" s="1002">
        <f t="shared" ca="1" si="22"/>
        <v>0.92917909486035999</v>
      </c>
      <c r="AP26" s="1002"/>
      <c r="AQ26" s="1002">
        <f t="shared" ca="1" si="23"/>
        <v>-0.72331800187058892</v>
      </c>
      <c r="AR26" s="1002">
        <f t="shared" ca="1" si="24"/>
        <v>1.2957707894013604</v>
      </c>
      <c r="AS26" s="1002"/>
    </row>
    <row r="27" spans="1:47" ht="11.25" customHeight="1">
      <c r="C27" s="969">
        <f t="shared" si="11"/>
        <v>42004</v>
      </c>
      <c r="D27" s="974">
        <f t="shared" si="9"/>
        <v>42049</v>
      </c>
      <c r="E27" s="765" cm="1">
        <f t="array" aca="1" ref="E27" ca="1">IF(Reuters=1,_xll.TR(E$7,E$6,"Sdate=#1 Period=#2 NULL=BLANK",,$D27,"NTM"),E27)</f>
        <v>6.9296338430472204</v>
      </c>
      <c r="F27" s="765" cm="1">
        <f t="array" aca="1" ref="F27" ca="1">IF(Reuters=1,_xll.TR(F$7,F$6,"Sdate=#1 Period=#2 NULL=BLANK",,$D27,"NTM"),F27)</f>
        <v>7.7170195086687201</v>
      </c>
      <c r="G27" s="765" cm="1">
        <f t="array" aca="1" ref="G27" ca="1">IF(Reuters=1,_xll.TR(G$7,G$6,"Sdate=#1 Period=#2 NULL=BLANK",,$D27,"NTM"),G27)</f>
        <v>8.5283065726027694</v>
      </c>
      <c r="H27" s="765" t="str" cm="1">
        <f t="array" aca="1" ref="H27" ca="1">IF(Reuters=1,_xll.TR(H$7,H$6,"Sdate=#1 Period=#2 NULL=BLANK",,$D27,"NTM"),H27)</f>
        <v/>
      </c>
      <c r="I27" s="765" cm="1">
        <f t="array" aca="1" ref="I27" ca="1">IF(Reuters=1,_xll.TR(I$7,I$6,"Sdate=#1 Period=#2 NULL=BLANK",,$D27,"NTM"),I27)</f>
        <v>7.2038826097064197</v>
      </c>
      <c r="J27" s="765" t="str" cm="1">
        <f t="array" aca="1" ref="J27" ca="1">IF(Reuters=1,_xll.TR(J$7,J$6,"Sdate=#1 Period=#2 NULL=BLANK",,$D27,"NTM"),J27)</f>
        <v/>
      </c>
      <c r="K27" s="765" cm="1">
        <f t="array" aca="1" ref="K27" ca="1">IF(Reuters=1,_xll.TR(K$7,K$6,"Sdate=#1 Period=#2 NULL=BLANK",,$D27,"NTM"),K27)</f>
        <v>8.7662034069860599</v>
      </c>
      <c r="L27" s="765" cm="1">
        <f t="array" aca="1" ref="L27" ca="1">IF(Reuters=1,_xll.TR(L$7,L$6,"Sdate=#1 Period=#2 NULL=BLANK",,$D27,"NTM"),L27)</f>
        <v>5.9658327422441202</v>
      </c>
      <c r="M27" s="765" cm="1">
        <f t="array" aca="1" ref="M27" ca="1">IF(Reuters=1,_xll.TR(M$7,M$6,"Sdate=#1 Period=#2 NULL=BLANK",,$D27,"NTM"),M27)</f>
        <v>7.30894414544459</v>
      </c>
      <c r="O27" s="969">
        <f t="shared" si="12"/>
        <v>42004</v>
      </c>
      <c r="P27" s="1002">
        <f t="shared" ca="1" si="13"/>
        <v>7.5816981642754468</v>
      </c>
      <c r="Q27" s="1002">
        <f t="shared" ca="1" si="14"/>
        <v>6.9296338430472204</v>
      </c>
      <c r="R27" s="1002">
        <f t="shared" ca="1" si="15"/>
        <v>8.5283065726027694</v>
      </c>
      <c r="S27" s="1002">
        <f t="shared" ca="1" si="10"/>
        <v>7.7170195086687201</v>
      </c>
      <c r="T27" s="1002">
        <f t="shared" ca="1" si="16"/>
        <v>8.1816981642754474</v>
      </c>
      <c r="U27" s="1006">
        <f t="shared" ca="1" si="17"/>
        <v>-0.65206432122822644</v>
      </c>
      <c r="V27" s="1006">
        <f t="shared" ca="1" si="18"/>
        <v>-1.598672729555549</v>
      </c>
      <c r="W27" s="1006">
        <f t="shared" ca="1" si="19"/>
        <v>-0.7873856656214997</v>
      </c>
      <c r="Y27" s="765">
        <f ca="1">'Other Pulls'!AT27</f>
        <v>12.648610833333301</v>
      </c>
      <c r="Z27" s="765">
        <f ca="1">'Other Pulls'!AU27</f>
        <v>15.4166666666667</v>
      </c>
      <c r="AL27" s="1002">
        <f t="shared" ca="1" si="20"/>
        <v>-0.7873856656214997</v>
      </c>
      <c r="AM27" s="1002">
        <f t="shared" ca="1" si="21"/>
        <v>-1.598672729555549</v>
      </c>
      <c r="AN27" s="1002"/>
      <c r="AO27" s="1002">
        <f t="shared" ca="1" si="22"/>
        <v>-0.27424876665919928</v>
      </c>
      <c r="AP27" s="1002"/>
      <c r="AQ27" s="1002">
        <f t="shared" ca="1" si="23"/>
        <v>-1.8365695639388395</v>
      </c>
      <c r="AR27" s="1002">
        <f t="shared" ca="1" si="24"/>
        <v>0.96380110080310022</v>
      </c>
      <c r="AS27" s="1002"/>
    </row>
    <row r="28" spans="1:47" ht="11.25" customHeight="1">
      <c r="C28" s="971">
        <f t="shared" si="11"/>
        <v>42094</v>
      </c>
      <c r="D28" s="974">
        <f t="shared" si="9"/>
        <v>42139</v>
      </c>
      <c r="E28" s="765" cm="1">
        <f t="array" aca="1" ref="E28" ca="1">IF(Reuters=1,_xll.TR(E$7,E$6,"Sdate=#1 Period=#2 NULL=BLANK",,$D28,"NTM"),E28)</f>
        <v>8.2565020886253606</v>
      </c>
      <c r="F28" s="765" cm="1">
        <f t="array" aca="1" ref="F28" ca="1">IF(Reuters=1,_xll.TR(F$7,F$6,"Sdate=#1 Period=#2 NULL=BLANK",,$D28,"NTM"),F28)</f>
        <v>8.2595890808119705</v>
      </c>
      <c r="G28" s="765" cm="1">
        <f t="array" aca="1" ref="G28" ca="1">IF(Reuters=1,_xll.TR(G$7,G$6,"Sdate=#1 Period=#2 NULL=BLANK",,$D28,"NTM"),G28)</f>
        <v>8.3144139987158905</v>
      </c>
      <c r="H28" s="765" t="str" cm="1">
        <f t="array" aca="1" ref="H28" ca="1">IF(Reuters=1,_xll.TR(H$7,H$6,"Sdate=#1 Period=#2 NULL=BLANK",,$D28,"NTM"),H28)</f>
        <v/>
      </c>
      <c r="I28" s="765" cm="1">
        <f t="array" aca="1" ref="I28" ca="1">IF(Reuters=1,_xll.TR(I$7,I$6,"Sdate=#1 Period=#2 NULL=BLANK",,$D28,"NTM"),I28)</f>
        <v>7.4564790673453096</v>
      </c>
      <c r="J28" s="765" t="str" cm="1">
        <f t="array" aca="1" ref="J28" ca="1">IF(Reuters=1,_xll.TR(J$7,J$6,"Sdate=#1 Period=#2 NULL=BLANK",,$D28,"NTM"),J28)</f>
        <v/>
      </c>
      <c r="K28" s="765" cm="1">
        <f t="array" aca="1" ref="K28" ca="1">IF(Reuters=1,_xll.TR(K$7,K$6,"Sdate=#1 Period=#2 NULL=BLANK",,$D28,"NTM"),K28)</f>
        <v>9.1976113441661997</v>
      </c>
      <c r="L28" s="765" cm="1">
        <f t="array" aca="1" ref="L28" ca="1">IF(Reuters=1,_xll.TR(L$7,L$6,"Sdate=#1 Period=#2 NULL=BLANK",,$D28,"NTM"),L28)</f>
        <v>6.6210447031213997</v>
      </c>
      <c r="M28" s="765" cm="1">
        <f t="array" aca="1" ref="M28" ca="1">IF(Reuters=1,_xll.TR(M$7,M$6,"Sdate=#1 Period=#2 NULL=BLANK",,$D28,"NTM"),M28)</f>
        <v>7.3628922348828398</v>
      </c>
      <c r="O28" s="971">
        <f t="shared" si="12"/>
        <v>42094</v>
      </c>
      <c r="P28" s="1002">
        <f t="shared" ca="1" si="13"/>
        <v>7.8686717381739362</v>
      </c>
      <c r="Q28" s="1002">
        <f t="shared" ca="1" si="14"/>
        <v>8.2565020886253606</v>
      </c>
      <c r="R28" s="1002">
        <f t="shared" ca="1" si="15"/>
        <v>8.3144139987158905</v>
      </c>
      <c r="S28" s="1002">
        <f t="shared" ca="1" si="10"/>
        <v>8.2595890808119705</v>
      </c>
      <c r="T28" s="1002">
        <f t="shared" ca="1" si="16"/>
        <v>8.4686717381739367</v>
      </c>
      <c r="U28" s="1006">
        <f t="shared" ca="1" si="17"/>
        <v>0.38783035045142444</v>
      </c>
      <c r="V28" s="1006">
        <f t="shared" ca="1" si="18"/>
        <v>-5.7911910090529872E-2</v>
      </c>
      <c r="W28" s="1006">
        <f t="shared" ca="1" si="19"/>
        <v>-3.0869921866099048E-3</v>
      </c>
      <c r="Y28" s="765">
        <f ca="1">'Other Pulls'!AT28</f>
        <v>12.6388866666667</v>
      </c>
      <c r="Z28" s="765">
        <f ca="1">'Other Pulls'!AU28</f>
        <v>13.9166666666667</v>
      </c>
      <c r="AL28" s="1002">
        <f t="shared" ca="1" si="20"/>
        <v>-3.0869921866099048E-3</v>
      </c>
      <c r="AM28" s="1002">
        <f t="shared" ca="1" si="21"/>
        <v>-5.7911910090529872E-2</v>
      </c>
      <c r="AN28" s="1002"/>
      <c r="AO28" s="1002">
        <f t="shared" ca="1" si="22"/>
        <v>0.80002302128005098</v>
      </c>
      <c r="AP28" s="1002"/>
      <c r="AQ28" s="1002">
        <f t="shared" ca="1" si="23"/>
        <v>-0.94110925554083913</v>
      </c>
      <c r="AR28" s="1002">
        <f t="shared" ca="1" si="24"/>
        <v>1.6354573855039609</v>
      </c>
      <c r="AS28" s="1002"/>
    </row>
    <row r="29" spans="1:47" ht="11.25" customHeight="1">
      <c r="C29" s="972">
        <f t="shared" si="11"/>
        <v>42185</v>
      </c>
      <c r="D29" s="974">
        <f t="shared" si="9"/>
        <v>42230</v>
      </c>
      <c r="E29" s="765" cm="1">
        <f t="array" aca="1" ref="E29" ca="1">IF(Reuters=1,_xll.TR(E$7,E$6,"Sdate=#1 Period=#2 NULL=BLANK",,$D29,"NTM"),E29)</f>
        <v>7.7631885983009097</v>
      </c>
      <c r="F29" s="765" cm="1">
        <f t="array" aca="1" ref="F29" ca="1">IF(Reuters=1,_xll.TR(F$7,F$6,"Sdate=#1 Period=#2 NULL=BLANK",,$D29,"NTM"),F29)</f>
        <v>7.7268626580478301</v>
      </c>
      <c r="G29" s="765" cm="1">
        <f t="array" aca="1" ref="G29" ca="1">IF(Reuters=1,_xll.TR(G$7,G$6,"Sdate=#1 Period=#2 NULL=BLANK",,$D29,"NTM"),G29)</f>
        <v>7.4296425186067001</v>
      </c>
      <c r="H29" s="765" t="str" cm="1">
        <f t="array" aca="1" ref="H29" ca="1">IF(Reuters=1,_xll.TR(H$7,H$6,"Sdate=#1 Period=#2 NULL=BLANK",,$D29,"NTM"),H29)</f>
        <v/>
      </c>
      <c r="I29" s="765" cm="1">
        <f t="array" aca="1" ref="I29" ca="1">IF(Reuters=1,_xll.TR(I$7,I$6,"Sdate=#1 Period=#2 NULL=BLANK",,$D29,"NTM"),I29)</f>
        <v>5.8983468252069198</v>
      </c>
      <c r="J29" s="765" t="str" cm="1">
        <f t="array" aca="1" ref="J29" ca="1">IF(Reuters=1,_xll.TR(J$7,J$6,"Sdate=#1 Period=#2 NULL=BLANK",,$D29,"NTM"),J29)</f>
        <v/>
      </c>
      <c r="K29" s="765" cm="1">
        <f t="array" aca="1" ref="K29" ca="1">IF(Reuters=1,_xll.TR(K$7,K$6,"Sdate=#1 Period=#2 NULL=BLANK",,$D29,"NTM"),K29)</f>
        <v>8.0002764536747595</v>
      </c>
      <c r="L29" s="765" cm="1">
        <f t="array" aca="1" ref="L29" ca="1">IF(Reuters=1,_xll.TR(L$7,L$6,"Sdate=#1 Period=#2 NULL=BLANK",,$D29,"NTM"),L29)</f>
        <v>5.7405870370381402</v>
      </c>
      <c r="M29" s="765" cm="1">
        <f t="array" aca="1" ref="M29" ca="1">IF(Reuters=1,_xll.TR(M$7,M$6,"Sdate=#1 Period=#2 NULL=BLANK",,$D29,"NTM"),M29)</f>
        <v>6.0130175890352398</v>
      </c>
      <c r="O29" s="972">
        <f t="shared" si="12"/>
        <v>42185</v>
      </c>
      <c r="P29" s="1002">
        <f t="shared" ca="1" si="13"/>
        <v>6.8014555136015984</v>
      </c>
      <c r="Q29" s="1002">
        <f t="shared" ca="1" si="14"/>
        <v>7.7631885983009097</v>
      </c>
      <c r="R29" s="1002">
        <f t="shared" ca="1" si="15"/>
        <v>7.4296425186067001</v>
      </c>
      <c r="S29" s="1002">
        <f t="shared" ca="1" si="10"/>
        <v>7.7268626580478301</v>
      </c>
      <c r="T29" s="1002">
        <f t="shared" ca="1" si="16"/>
        <v>7.401455513601598</v>
      </c>
      <c r="U29" s="1006">
        <f t="shared" ca="1" si="17"/>
        <v>0.96173308469931129</v>
      </c>
      <c r="V29" s="1006">
        <f t="shared" ca="1" si="18"/>
        <v>0.33354607969420957</v>
      </c>
      <c r="W29" s="1006">
        <f t="shared" ca="1" si="19"/>
        <v>3.6325940253079558E-2</v>
      </c>
      <c r="Y29" s="765">
        <f ca="1">'Other Pulls'!AT29</f>
        <v>9.6541666666666703</v>
      </c>
      <c r="Z29" s="765">
        <f ca="1">'Other Pulls'!AU29</f>
        <v>15.633333333333301</v>
      </c>
      <c r="AL29" s="1002">
        <f t="shared" ca="1" si="20"/>
        <v>3.6325940253079558E-2</v>
      </c>
      <c r="AM29" s="1002">
        <f t="shared" ca="1" si="21"/>
        <v>0.33354607969420957</v>
      </c>
      <c r="AN29" s="1002"/>
      <c r="AO29" s="1002">
        <f t="shared" ca="1" si="22"/>
        <v>1.8648417730939899</v>
      </c>
      <c r="AP29" s="1002"/>
      <c r="AQ29" s="1002">
        <f t="shared" ca="1" si="23"/>
        <v>-0.2370878553738498</v>
      </c>
      <c r="AR29" s="1002">
        <f t="shared" ca="1" si="24"/>
        <v>2.0226015612627695</v>
      </c>
      <c r="AS29" s="1002"/>
    </row>
    <row r="30" spans="1:47" ht="11.25" customHeight="1">
      <c r="C30" s="973">
        <f t="shared" si="11"/>
        <v>42277</v>
      </c>
      <c r="D30" s="974">
        <f t="shared" si="9"/>
        <v>42322</v>
      </c>
      <c r="E30" s="765" cm="1">
        <f t="array" aca="1" ref="E30" ca="1">IF(Reuters=1,_xll.TR(E$7,E$6,"Sdate=#1 Period=#2 NULL=BLANK",,$D30,"NTM"),E30)</f>
        <v>7.2711183570638598</v>
      </c>
      <c r="F30" s="765" cm="1">
        <f t="array" aca="1" ref="F30" ca="1">IF(Reuters=1,_xll.TR(F$7,F$6,"Sdate=#1 Period=#2 NULL=BLANK",,$D30,"NTM"),F30)</f>
        <v>8.2298992470739893</v>
      </c>
      <c r="G30" s="765" cm="1">
        <f t="array" aca="1" ref="G30" ca="1">IF(Reuters=1,_xll.TR(G$7,G$6,"Sdate=#1 Period=#2 NULL=BLANK",,$D30,"NTM"),G30)</f>
        <v>7.55902134795822</v>
      </c>
      <c r="H30" s="765" t="str" cm="1">
        <f t="array" aca="1" ref="H30" ca="1">IF(Reuters=1,_xll.TR(H$7,H$6,"Sdate=#1 Period=#2 NULL=BLANK",,$D30,"NTM"),H30)</f>
        <v/>
      </c>
      <c r="I30" s="765" cm="1">
        <f t="array" aca="1" ref="I30" ca="1">IF(Reuters=1,_xll.TR(I$7,I$6,"Sdate=#1 Period=#2 NULL=BLANK",,$D30,"NTM"),I30)</f>
        <v>6.2684371205558396</v>
      </c>
      <c r="J30" s="765" t="str" cm="1">
        <f t="array" aca="1" ref="J30" ca="1">IF(Reuters=1,_xll.TR(J$7,J$6,"Sdate=#1 Period=#2 NULL=BLANK",,$D30,"NTM"),J30)</f>
        <v/>
      </c>
      <c r="K30" s="765" cm="1">
        <f t="array" aca="1" ref="K30" ca="1">IF(Reuters=1,_xll.TR(K$7,K$6,"Sdate=#1 Period=#2 NULL=BLANK",,$D30,"NTM"),K30)</f>
        <v>8.3083517188247598</v>
      </c>
      <c r="L30" s="765" cm="1">
        <f t="array" aca="1" ref="L30" ca="1">IF(Reuters=1,_xll.TR(L$7,L$6,"Sdate=#1 Period=#2 NULL=BLANK",,$D30,"NTM"),L30)</f>
        <v>5.7366277526196203</v>
      </c>
      <c r="M30" s="765" cm="1">
        <f t="array" aca="1" ref="M30" ca="1">IF(Reuters=1,_xll.TR(M$7,M$6,"Sdate=#1 Period=#2 NULL=BLANK",,$D30,"NTM"),M30)</f>
        <v>5.9925766010012804</v>
      </c>
      <c r="O30" s="973">
        <f t="shared" si="12"/>
        <v>42277</v>
      </c>
      <c r="P30" s="1002">
        <f t="shared" ca="1" si="13"/>
        <v>7.0158189646722846</v>
      </c>
      <c r="Q30" s="1002">
        <f t="shared" ca="1" si="14"/>
        <v>7.2711183570638598</v>
      </c>
      <c r="R30" s="1002">
        <f t="shared" ca="1" si="15"/>
        <v>7.55902134795822</v>
      </c>
      <c r="S30" s="1002">
        <f t="shared" ca="1" si="10"/>
        <v>8.2298992470739893</v>
      </c>
      <c r="T30" s="1002">
        <f t="shared" ca="1" si="16"/>
        <v>7.6158189646722843</v>
      </c>
      <c r="U30" s="1006">
        <f t="shared" ca="1" si="17"/>
        <v>0.25529939239157518</v>
      </c>
      <c r="V30" s="1006">
        <f t="shared" ca="1" si="18"/>
        <v>-0.28790299089436022</v>
      </c>
      <c r="W30" s="1006">
        <f t="shared" ca="1" si="19"/>
        <v>-0.95878089001012956</v>
      </c>
      <c r="Y30" s="765">
        <f ca="1">'Other Pulls'!AT30</f>
        <v>9.9499999999999993</v>
      </c>
      <c r="Z30" s="765">
        <f ca="1">'Other Pulls'!AU30</f>
        <v>15.466666666666701</v>
      </c>
      <c r="AL30" s="1002">
        <f t="shared" ca="1" si="20"/>
        <v>-0.95878089001012956</v>
      </c>
      <c r="AM30" s="1002">
        <f t="shared" ca="1" si="21"/>
        <v>-0.28790299089436022</v>
      </c>
      <c r="AN30" s="1002"/>
      <c r="AO30" s="1002">
        <f t="shared" ca="1" si="22"/>
        <v>1.0026812365080202</v>
      </c>
      <c r="AP30" s="1002"/>
      <c r="AQ30" s="1002">
        <f t="shared" ca="1" si="23"/>
        <v>-1.0372333617609</v>
      </c>
      <c r="AR30" s="1002">
        <f t="shared" ca="1" si="24"/>
        <v>1.5344906044442395</v>
      </c>
      <c r="AS30" s="1002"/>
    </row>
    <row r="31" spans="1:47" ht="11.25" customHeight="1">
      <c r="C31" s="969">
        <f t="shared" si="11"/>
        <v>42369</v>
      </c>
      <c r="D31" s="974">
        <f t="shared" si="9"/>
        <v>42414</v>
      </c>
      <c r="E31" s="765" cm="1">
        <f t="array" aca="1" ref="E31" ca="1">IF(Reuters=1,_xll.TR(E$7,E$6,"Sdate=#1 Period=#2 NULL=BLANK",,$D31,"NTM"),E31)</f>
        <v>7.1603280818444901</v>
      </c>
      <c r="F31" s="765" cm="1">
        <f t="array" aca="1" ref="F31" ca="1">IF(Reuters=1,_xll.TR(F$7,F$6,"Sdate=#1 Period=#2 NULL=BLANK",,$D31,"NTM"),F31)</f>
        <v>7.0129921563583997</v>
      </c>
      <c r="G31" s="765" cm="1">
        <f t="array" aca="1" ref="G31" ca="1">IF(Reuters=1,_xll.TR(G$7,G$6,"Sdate=#1 Period=#2 NULL=BLANK",,$D31,"NTM"),G31)</f>
        <v>6.4782044515291197</v>
      </c>
      <c r="H31" s="765" t="str" cm="1">
        <f t="array" aca="1" ref="H31" ca="1">IF(Reuters=1,_xll.TR(H$7,H$6,"Sdate=#1 Period=#2 NULL=BLANK",,$D31,"NTM"),H31)</f>
        <v/>
      </c>
      <c r="I31" s="765" cm="1">
        <f t="array" aca="1" ref="I31" ca="1">IF(Reuters=1,_xll.TR(I$7,I$6,"Sdate=#1 Period=#2 NULL=BLANK",,$D31,"NTM"),I31)</f>
        <v>5.6172360568669797</v>
      </c>
      <c r="J31" s="765" t="str" cm="1">
        <f t="array" aca="1" ref="J31" ca="1">IF(Reuters=1,_xll.TR(J$7,J$6,"Sdate=#1 Period=#2 NULL=BLANK",,$D31,"NTM"),J31)</f>
        <v/>
      </c>
      <c r="K31" s="765" cm="1">
        <f t="array" aca="1" ref="K31" ca="1">IF(Reuters=1,_xll.TR(K$7,K$6,"Sdate=#1 Period=#2 NULL=BLANK",,$D31,"NTM"),K31)</f>
        <v>6.8175579805070798</v>
      </c>
      <c r="L31" s="765" cm="1">
        <f t="array" aca="1" ref="L31" ca="1">IF(Reuters=1,_xll.TR(L$7,L$6,"Sdate=#1 Period=#2 NULL=BLANK",,$D31,"NTM"),L31)</f>
        <v>5.4312746393979303</v>
      </c>
      <c r="M31" s="765" cm="1">
        <f t="array" aca="1" ref="M31" ca="1">IF(Reuters=1,_xll.TR(M$7,M$6,"Sdate=#1 Period=#2 NULL=BLANK",,$D31,"NTM"),M31)</f>
        <v>4.69164091622594</v>
      </c>
      <c r="O31" s="969">
        <f t="shared" si="12"/>
        <v>42369</v>
      </c>
      <c r="P31" s="1002">
        <f t="shared" ca="1" si="13"/>
        <v>6.0081510334809076</v>
      </c>
      <c r="Q31" s="1002">
        <f t="shared" ca="1" si="14"/>
        <v>7.1603280818444901</v>
      </c>
      <c r="R31" s="1002">
        <f t="shared" ca="1" si="15"/>
        <v>6.4782044515291197</v>
      </c>
      <c r="S31" s="1002">
        <f t="shared" ref="S31:S60" ca="1" si="25">F31</f>
        <v>7.0129921563583997</v>
      </c>
      <c r="T31" s="1002">
        <f t="shared" ca="1" si="16"/>
        <v>6.6081510334809073</v>
      </c>
      <c r="U31" s="1006">
        <f t="shared" ca="1" si="17"/>
        <v>1.1521770483635825</v>
      </c>
      <c r="V31" s="1006">
        <f t="shared" ca="1" si="18"/>
        <v>0.68212363031537038</v>
      </c>
      <c r="W31" s="1006">
        <f t="shared" ca="1" si="19"/>
        <v>0.14733592548609042</v>
      </c>
      <c r="Y31" s="765">
        <f ca="1">'Other Pulls'!AT31</f>
        <v>10.304166666666699</v>
      </c>
      <c r="Z31" s="765">
        <f ca="1">'Other Pulls'!AU31</f>
        <v>15.429166666666699</v>
      </c>
      <c r="AL31" s="1002">
        <f t="shared" ca="1" si="20"/>
        <v>0.14733592548609042</v>
      </c>
      <c r="AM31" s="1002">
        <f t="shared" ca="1" si="21"/>
        <v>0.68212363031537038</v>
      </c>
      <c r="AN31" s="1002"/>
      <c r="AO31" s="1002">
        <f t="shared" ca="1" si="22"/>
        <v>1.5430920249775104</v>
      </c>
      <c r="AP31" s="1002"/>
      <c r="AQ31" s="1002">
        <f t="shared" ca="1" si="23"/>
        <v>0.34277010133741026</v>
      </c>
      <c r="AR31" s="1002">
        <f t="shared" ca="1" si="24"/>
        <v>1.7290534424465598</v>
      </c>
      <c r="AS31" s="1002"/>
    </row>
    <row r="32" spans="1:47" ht="11.25" customHeight="1">
      <c r="C32" s="971">
        <f t="shared" si="11"/>
        <v>42460</v>
      </c>
      <c r="D32" s="974">
        <f t="shared" si="9"/>
        <v>42505</v>
      </c>
      <c r="E32" s="765" cm="1">
        <f t="array" aca="1" ref="E32" ca="1">IF(Reuters=1,_xll.TR(E$7,E$6,"Sdate=#1 Period=#2 NULL=BLANK",,$D32,"NTM"),E32)</f>
        <v>7.8611620646486102</v>
      </c>
      <c r="F32" s="765" cm="1">
        <f t="array" aca="1" ref="F32" ca="1">IF(Reuters=1,_xll.TR(F$7,F$6,"Sdate=#1 Period=#2 NULL=BLANK",,$D32,"NTM"),F32)</f>
        <v>7.8773388077530999</v>
      </c>
      <c r="G32" s="765" cm="1">
        <f t="array" aca="1" ref="G32" ca="1">IF(Reuters=1,_xll.TR(G$7,G$6,"Sdate=#1 Period=#2 NULL=BLANK",,$D32,"NTM"),G32)</f>
        <v>7.3724565022680801</v>
      </c>
      <c r="H32" s="765" t="str" cm="1">
        <f t="array" aca="1" ref="H32" ca="1">IF(Reuters=1,_xll.TR(H$7,H$6,"Sdate=#1 Period=#2 NULL=BLANK",,$D32,"NTM"),H32)</f>
        <v/>
      </c>
      <c r="I32" s="765" cm="1">
        <f t="array" aca="1" ref="I32" ca="1">IF(Reuters=1,_xll.TR(I$7,I$6,"Sdate=#1 Period=#2 NULL=BLANK",,$D32,"NTM"),I32)</f>
        <v>5.9895051330702698</v>
      </c>
      <c r="J32" s="765" t="str" cm="1">
        <f t="array" aca="1" ref="J32" ca="1">IF(Reuters=1,_xll.TR(J$7,J$6,"Sdate=#1 Period=#2 NULL=BLANK",,$D32,"NTM"),J32)</f>
        <v/>
      </c>
      <c r="K32" s="765" cm="1">
        <f t="array" aca="1" ref="K32" ca="1">IF(Reuters=1,_xll.TR(K$7,K$6,"Sdate=#1 Period=#2 NULL=BLANK",,$D32,"NTM"),K32)</f>
        <v>8.9242136810277604</v>
      </c>
      <c r="L32" s="765" cm="1">
        <f t="array" aca="1" ref="L32" ca="1">IF(Reuters=1,_xll.TR(L$7,L$6,"Sdate=#1 Period=#2 NULL=BLANK",,$D32,"NTM"),L32)</f>
        <v>6.5626959490298802</v>
      </c>
      <c r="M32" s="765" cm="1">
        <f t="array" aca="1" ref="M32" ca="1">IF(Reuters=1,_xll.TR(M$7,M$6,"Sdate=#1 Period=#2 NULL=BLANK",,$D32,"NTM"),M32)</f>
        <v>5.2607946762240001</v>
      </c>
      <c r="O32" s="971">
        <f t="shared" si="12"/>
        <v>42460</v>
      </c>
      <c r="P32" s="1002">
        <f t="shared" ca="1" si="13"/>
        <v>6.9978341248955154</v>
      </c>
      <c r="Q32" s="1002">
        <f t="shared" ca="1" si="14"/>
        <v>7.8611620646486102</v>
      </c>
      <c r="R32" s="1002">
        <f t="shared" ca="1" si="15"/>
        <v>7.3724565022680801</v>
      </c>
      <c r="S32" s="1002">
        <f t="shared" ca="1" si="25"/>
        <v>7.8773388077530999</v>
      </c>
      <c r="T32" s="1002">
        <f t="shared" ca="1" si="16"/>
        <v>7.597834124895515</v>
      </c>
      <c r="U32" s="1006">
        <f t="shared" ca="1" si="17"/>
        <v>0.86332793975309485</v>
      </c>
      <c r="V32" s="1006">
        <f t="shared" ca="1" si="18"/>
        <v>0.48870556238053009</v>
      </c>
      <c r="W32" s="1006">
        <f t="shared" ca="1" si="19"/>
        <v>-1.6176743104489688E-2</v>
      </c>
      <c r="Y32" s="765">
        <f ca="1">'Other Pulls'!AT32</f>
        <v>9.6083333333333307</v>
      </c>
      <c r="Z32" s="765">
        <f ca="1">'Other Pulls'!AU32</f>
        <v>16.558333333333302</v>
      </c>
      <c r="AL32" s="1002">
        <f t="shared" ca="1" si="20"/>
        <v>-1.6176743104489688E-2</v>
      </c>
      <c r="AM32" s="1002">
        <f t="shared" ca="1" si="21"/>
        <v>0.48870556238053009</v>
      </c>
      <c r="AN32" s="1002"/>
      <c r="AO32" s="1002">
        <f t="shared" ca="1" si="22"/>
        <v>1.8716569315783405</v>
      </c>
      <c r="AP32" s="1002"/>
      <c r="AQ32" s="1002">
        <f t="shared" ca="1" si="23"/>
        <v>-1.0630516163791501</v>
      </c>
      <c r="AR32" s="1002">
        <f t="shared" ca="1" si="24"/>
        <v>1.29846611561873</v>
      </c>
      <c r="AS32" s="1002"/>
    </row>
    <row r="33" spans="3:45" ht="11.25" customHeight="1">
      <c r="C33" s="972">
        <f t="shared" si="11"/>
        <v>42551</v>
      </c>
      <c r="D33" s="974">
        <f t="shared" si="9"/>
        <v>42596</v>
      </c>
      <c r="E33" s="765" cm="1">
        <f t="array" aca="1" ref="E33" ca="1">IF(Reuters=1,_xll.TR(E$7,E$6,"Sdate=#1 Period=#2 NULL=BLANK",,$D33,"NTM"),E33)</f>
        <v>7.4409689632156102</v>
      </c>
      <c r="F33" s="765" cm="1">
        <f t="array" aca="1" ref="F33" ca="1">IF(Reuters=1,_xll.TR(F$7,F$6,"Sdate=#1 Period=#2 NULL=BLANK",,$D33,"NTM"),F33)</f>
        <v>7.4070925552826399</v>
      </c>
      <c r="G33" s="765" cm="1">
        <f t="array" aca="1" ref="G33" ca="1">IF(Reuters=1,_xll.TR(G$7,G$6,"Sdate=#1 Period=#2 NULL=BLANK",,$D33,"NTM"),G33)</f>
        <v>7.8482977435233003</v>
      </c>
      <c r="H33" s="765" t="str" cm="1">
        <f t="array" aca="1" ref="H33" ca="1">IF(Reuters=1,_xll.TR(H$7,H$6,"Sdate=#1 Period=#2 NULL=BLANK",,$D33,"NTM"),H33)</f>
        <v/>
      </c>
      <c r="I33" s="765" cm="1">
        <f t="array" aca="1" ref="I33" ca="1">IF(Reuters=1,_xll.TR(I$7,I$6,"Sdate=#1 Period=#2 NULL=BLANK",,$D33,"NTM"),I33)</f>
        <v>5.7795183443048499</v>
      </c>
      <c r="J33" s="765" t="str" cm="1">
        <f t="array" aca="1" ref="J33" ca="1">IF(Reuters=1,_xll.TR(J$7,J$6,"Sdate=#1 Period=#2 NULL=BLANK",,$D33,"NTM"),J33)</f>
        <v/>
      </c>
      <c r="K33" s="765" cm="1">
        <f t="array" aca="1" ref="K33" ca="1">IF(Reuters=1,_xll.TR(K$7,K$6,"Sdate=#1 Period=#2 NULL=BLANK",,$D33,"NTM"),K33)</f>
        <v>8.2130557007303402</v>
      </c>
      <c r="L33" s="765" cm="1">
        <f t="array" aca="1" ref="L33" ca="1">IF(Reuters=1,_xll.TR(L$7,L$6,"Sdate=#1 Period=#2 NULL=BLANK",,$D33,"NTM"),L33)</f>
        <v>6.6928684957804396</v>
      </c>
      <c r="M33" s="765" cm="1">
        <f t="array" aca="1" ref="M33" ca="1">IF(Reuters=1,_xll.TR(M$7,M$6,"Sdate=#1 Period=#2 NULL=BLANK",,$D33,"NTM"),M33)</f>
        <v>5.8477415628226304</v>
      </c>
      <c r="O33" s="972">
        <f t="shared" si="12"/>
        <v>42551</v>
      </c>
      <c r="P33" s="1002">
        <f t="shared" ca="1" si="13"/>
        <v>6.9647624004073663</v>
      </c>
      <c r="Q33" s="1002">
        <f t="shared" ca="1" si="14"/>
        <v>7.4409689632156102</v>
      </c>
      <c r="R33" s="1002">
        <f t="shared" ca="1" si="15"/>
        <v>7.8482977435233003</v>
      </c>
      <c r="S33" s="1002">
        <f t="shared" ca="1" si="25"/>
        <v>7.4070925552826399</v>
      </c>
      <c r="T33" s="1002">
        <f t="shared" ca="1" si="16"/>
        <v>7.5647624004073659</v>
      </c>
      <c r="U33" s="1006">
        <f t="shared" ca="1" si="17"/>
        <v>0.47620656280824392</v>
      </c>
      <c r="V33" s="1006">
        <f t="shared" ca="1" si="18"/>
        <v>-0.40732878030769015</v>
      </c>
      <c r="W33" s="1006">
        <f t="shared" ca="1" si="19"/>
        <v>3.3876407932970309E-2</v>
      </c>
      <c r="Y33" s="765">
        <f ca="1">'Other Pulls'!AT33</f>
        <v>11.216666666666701</v>
      </c>
      <c r="Z33" s="765">
        <f ca="1">'Other Pulls'!AU33</f>
        <v>16.641666666666701</v>
      </c>
      <c r="AL33" s="1002">
        <f t="shared" ca="1" si="20"/>
        <v>3.3876407932970309E-2</v>
      </c>
      <c r="AM33" s="1002">
        <f t="shared" ca="1" si="21"/>
        <v>-0.40732878030769015</v>
      </c>
      <c r="AN33" s="1002"/>
      <c r="AO33" s="1002">
        <f t="shared" ca="1" si="22"/>
        <v>1.6614506189107603</v>
      </c>
      <c r="AP33" s="1002"/>
      <c r="AQ33" s="1002">
        <f t="shared" ca="1" si="23"/>
        <v>-0.77208673751473</v>
      </c>
      <c r="AR33" s="1002">
        <f t="shared" ca="1" si="24"/>
        <v>0.74810046743517056</v>
      </c>
      <c r="AS33" s="1002"/>
    </row>
    <row r="34" spans="3:45" ht="11.25" customHeight="1">
      <c r="C34" s="973">
        <f t="shared" si="11"/>
        <v>42643</v>
      </c>
      <c r="D34" s="974">
        <f t="shared" si="9"/>
        <v>42688</v>
      </c>
      <c r="E34" s="765" cm="1">
        <f t="array" aca="1" ref="E34" ca="1">IF(Reuters=1,_xll.TR(E$7,E$6,"Sdate=#1 Period=#2 NULL=BLANK",,$D34,"NTM"),E34)</f>
        <v>7.8806669581190301</v>
      </c>
      <c r="F34" s="765" cm="1">
        <f t="array" aca="1" ref="F34" ca="1">IF(Reuters=1,_xll.TR(F$7,F$6,"Sdate=#1 Period=#2 NULL=BLANK",,$D34,"NTM"),F34)</f>
        <v>8.2400268040106006</v>
      </c>
      <c r="G34" s="765" cm="1">
        <f t="array" aca="1" ref="G34" ca="1">IF(Reuters=1,_xll.TR(G$7,G$6,"Sdate=#1 Period=#2 NULL=BLANK",,$D34,"NTM"),G34)</f>
        <v>8.1676696313551798</v>
      </c>
      <c r="H34" s="765" t="str" cm="1">
        <f t="array" aca="1" ref="H34" ca="1">IF(Reuters=1,_xll.TR(H$7,H$6,"Sdate=#1 Period=#2 NULL=BLANK",,$D34,"NTM"),H34)</f>
        <v/>
      </c>
      <c r="I34" s="765" cm="1">
        <f t="array" aca="1" ref="I34" ca="1">IF(Reuters=1,_xll.TR(I$7,I$6,"Sdate=#1 Period=#2 NULL=BLANK",,$D34,"NTM"),I34)</f>
        <v>6.0773015626733899</v>
      </c>
      <c r="J34" s="765" t="str" cm="1">
        <f t="array" aca="1" ref="J34" ca="1">IF(Reuters=1,_xll.TR(J$7,J$6,"Sdate=#1 Period=#2 NULL=BLANK",,$D34,"NTM"),J34)</f>
        <v/>
      </c>
      <c r="K34" s="765" cm="1">
        <f t="array" aca="1" ref="K34" ca="1">IF(Reuters=1,_xll.TR(K$7,K$6,"Sdate=#1 Period=#2 NULL=BLANK",,$D34,"NTM"),K34)</f>
        <v>8.2805861468607205</v>
      </c>
      <c r="L34" s="765" cm="1">
        <f t="array" aca="1" ref="L34" ca="1">IF(Reuters=1,_xll.TR(L$7,L$6,"Sdate=#1 Period=#2 NULL=BLANK",,$D34,"NTM"),L34)</f>
        <v>7.0696623255931899</v>
      </c>
      <c r="M34" s="765" cm="1">
        <f t="array" aca="1" ref="M34" ca="1">IF(Reuters=1,_xll.TR(M$7,M$6,"Sdate=#1 Period=#2 NULL=BLANK",,$D34,"NTM"),M34)</f>
        <v>7.4719812513434896</v>
      </c>
      <c r="O34" s="973">
        <f t="shared" si="12"/>
        <v>42643</v>
      </c>
      <c r="P34" s="1002">
        <f t="shared" ca="1" si="13"/>
        <v>7.5512046203060947</v>
      </c>
      <c r="Q34" s="1002">
        <f t="shared" ca="1" si="14"/>
        <v>7.8806669581190301</v>
      </c>
      <c r="R34" s="1002">
        <f t="shared" ca="1" si="15"/>
        <v>8.1676696313551798</v>
      </c>
      <c r="S34" s="1002">
        <f t="shared" ca="1" si="25"/>
        <v>8.2400268040106006</v>
      </c>
      <c r="T34" s="1002">
        <f t="shared" ca="1" si="16"/>
        <v>8.1512046203060944</v>
      </c>
      <c r="U34" s="1006">
        <f t="shared" ca="1" si="17"/>
        <v>0.32946233781293532</v>
      </c>
      <c r="V34" s="1006">
        <f t="shared" ca="1" si="18"/>
        <v>-0.2870026732361497</v>
      </c>
      <c r="W34" s="1006">
        <f t="shared" ca="1" si="19"/>
        <v>-0.35935984589157055</v>
      </c>
      <c r="Y34" s="765">
        <f ca="1">'Other Pulls'!AT34</f>
        <v>9.18333333333333</v>
      </c>
      <c r="Z34" s="765">
        <f ca="1">'Other Pulls'!AU34</f>
        <v>17.044443333333302</v>
      </c>
      <c r="AL34" s="1002">
        <f t="shared" ca="1" si="20"/>
        <v>-0.35935984589157055</v>
      </c>
      <c r="AM34" s="1002">
        <f t="shared" ca="1" si="21"/>
        <v>-0.2870026732361497</v>
      </c>
      <c r="AN34" s="1002"/>
      <c r="AO34" s="1002">
        <f t="shared" ca="1" si="22"/>
        <v>1.8033653954456401</v>
      </c>
      <c r="AP34" s="1002"/>
      <c r="AQ34" s="1002">
        <f t="shared" ca="1" si="23"/>
        <v>-0.39991918874169041</v>
      </c>
      <c r="AR34" s="1002">
        <f t="shared" ca="1" si="24"/>
        <v>0.81100463252584021</v>
      </c>
      <c r="AS34" s="1002"/>
    </row>
    <row r="35" spans="3:45" ht="11.25" customHeight="1">
      <c r="C35" s="969">
        <f t="shared" si="11"/>
        <v>42735</v>
      </c>
      <c r="D35" s="974">
        <f t="shared" si="9"/>
        <v>42780</v>
      </c>
      <c r="E35" s="765" cm="1">
        <f t="array" aca="1" ref="E35" ca="1">IF(Reuters=1,_xll.TR(E$7,E$6,"Sdate=#1 Period=#2 NULL=BLANK",,$D35,"NTM"),E35)</f>
        <v>8.2584597768041892</v>
      </c>
      <c r="F35" s="765" cm="1">
        <f t="array" aca="1" ref="F35" ca="1">IF(Reuters=1,_xll.TR(F$7,F$6,"Sdate=#1 Period=#2 NULL=BLANK",,$D35,"NTM"),F35)</f>
        <v>9.2638216886287701</v>
      </c>
      <c r="G35" s="765" cm="1">
        <f t="array" aca="1" ref="G35" ca="1">IF(Reuters=1,_xll.TR(G$7,G$6,"Sdate=#1 Period=#2 NULL=BLANK",,$D35,"NTM"),G35)</f>
        <v>8.4628597091161097</v>
      </c>
      <c r="H35" s="765" t="str" cm="1">
        <f t="array" aca="1" ref="H35" ca="1">IF(Reuters=1,_xll.TR(H$7,H$6,"Sdate=#1 Period=#2 NULL=BLANK",,$D35,"NTM"),H35)</f>
        <v/>
      </c>
      <c r="I35" s="765" cm="1">
        <f t="array" aca="1" ref="I35" ca="1">IF(Reuters=1,_xll.TR(I$7,I$6,"Sdate=#1 Period=#2 NULL=BLANK",,$D35,"NTM"),I35)</f>
        <v>6.7903620348907197</v>
      </c>
      <c r="J35" s="765" t="str" cm="1">
        <f t="array" aca="1" ref="J35" ca="1">IF(Reuters=1,_xll.TR(J$7,J$6,"Sdate=#1 Period=#2 NULL=BLANK",,$D35,"NTM"),J35)</f>
        <v/>
      </c>
      <c r="K35" s="765" cm="1">
        <f t="array" aca="1" ref="K35" ca="1">IF(Reuters=1,_xll.TR(K$7,K$6,"Sdate=#1 Period=#2 NULL=BLANK",,$D35,"NTM"),K35)</f>
        <v>8.3971765178003004</v>
      </c>
      <c r="L35" s="765" cm="1">
        <f t="array" aca="1" ref="L35" ca="1">IF(Reuters=1,_xll.TR(L$7,L$6,"Sdate=#1 Period=#2 NULL=BLANK",,$D35,"NTM"),L35)</f>
        <v>7.4537429084077802</v>
      </c>
      <c r="M35" s="765" cm="1">
        <f t="array" aca="1" ref="M35" ca="1">IF(Reuters=1,_xll.TR(M$7,M$6,"Sdate=#1 Period=#2 NULL=BLANK",,$D35,"NTM"),M35)</f>
        <v>7.9182596598463704</v>
      </c>
      <c r="O35" s="969">
        <f t="shared" si="12"/>
        <v>42735</v>
      </c>
      <c r="P35" s="1002">
        <f t="shared" ca="1" si="13"/>
        <v>8.0477037531150089</v>
      </c>
      <c r="Q35" s="1002">
        <f t="shared" ca="1" si="14"/>
        <v>8.2584597768041892</v>
      </c>
      <c r="R35" s="1002">
        <f t="shared" ca="1" si="15"/>
        <v>8.4628597091161097</v>
      </c>
      <c r="S35" s="1002">
        <f t="shared" ca="1" si="25"/>
        <v>9.2638216886287701</v>
      </c>
      <c r="T35" s="1002">
        <f t="shared" ca="1" si="16"/>
        <v>8.6477037531150085</v>
      </c>
      <c r="U35" s="1006">
        <f t="shared" ca="1" si="17"/>
        <v>0.21075602368918034</v>
      </c>
      <c r="V35" s="1006">
        <f t="shared" ca="1" si="18"/>
        <v>-0.20439993231192055</v>
      </c>
      <c r="W35" s="1006">
        <f t="shared" ca="1" si="19"/>
        <v>-1.0053619118245809</v>
      </c>
      <c r="Y35" s="765">
        <f ca="1">'Other Pulls'!AT35</f>
        <v>9.9305583333333303</v>
      </c>
      <c r="Z35" s="765">
        <f ca="1">'Other Pulls'!AU35</f>
        <v>18.574999999999999</v>
      </c>
      <c r="AL35" s="1002">
        <f t="shared" ca="1" si="20"/>
        <v>-1.0053619118245809</v>
      </c>
      <c r="AM35" s="1002">
        <f t="shared" ca="1" si="21"/>
        <v>-0.20439993231192055</v>
      </c>
      <c r="AN35" s="1002"/>
      <c r="AO35" s="1002">
        <f t="shared" ca="1" si="22"/>
        <v>1.4680977419134695</v>
      </c>
      <c r="AP35" s="1002"/>
      <c r="AQ35" s="1002">
        <f t="shared" ca="1" si="23"/>
        <v>-0.1387167409961112</v>
      </c>
      <c r="AR35" s="1002">
        <f t="shared" ca="1" si="24"/>
        <v>0.80471686839640899</v>
      </c>
      <c r="AS35" s="1002"/>
    </row>
    <row r="36" spans="3:45" ht="11.25" customHeight="1">
      <c r="C36" s="971">
        <f t="shared" si="11"/>
        <v>42825</v>
      </c>
      <c r="D36" s="974">
        <f t="shared" si="9"/>
        <v>42870</v>
      </c>
      <c r="E36" s="765" cm="1">
        <f t="array" aca="1" ref="E36" ca="1">IF(Reuters=1,_xll.TR(E$7,E$6,"Sdate=#1 Period=#2 NULL=BLANK",,$D36,"NTM"),E36)</f>
        <v>8.1286033293183397</v>
      </c>
      <c r="F36" s="765" cm="1">
        <f t="array" aca="1" ref="F36" ca="1">IF(Reuters=1,_xll.TR(F$7,F$6,"Sdate=#1 Period=#2 NULL=BLANK",,$D36,"NTM"),F36)</f>
        <v>8.9429515092210696</v>
      </c>
      <c r="G36" s="765" cm="1">
        <f t="array" aca="1" ref="G36" ca="1">IF(Reuters=1,_xll.TR(G$7,G$6,"Sdate=#1 Period=#2 NULL=BLANK",,$D36,"NTM"),G36)</f>
        <v>8.1608618704008205</v>
      </c>
      <c r="H36" s="765" t="str" cm="1">
        <f t="array" aca="1" ref="H36" ca="1">IF(Reuters=1,_xll.TR(H$7,H$6,"Sdate=#1 Period=#2 NULL=BLANK",,$D36,"NTM"),H36)</f>
        <v/>
      </c>
      <c r="I36" s="765" cm="1">
        <f t="array" aca="1" ref="I36" ca="1">IF(Reuters=1,_xll.TR(I$7,I$6,"Sdate=#1 Period=#2 NULL=BLANK",,$D36,"NTM"),I36)</f>
        <v>6.1981467625036899</v>
      </c>
      <c r="J36" s="765" t="str" cm="1">
        <f t="array" aca="1" ref="J36" ca="1">IF(Reuters=1,_xll.TR(J$7,J$6,"Sdate=#1 Period=#2 NULL=BLANK",,$D36,"NTM"),J36)</f>
        <v/>
      </c>
      <c r="K36" s="765" cm="1">
        <f t="array" aca="1" ref="K36" ca="1">IF(Reuters=1,_xll.TR(K$7,K$6,"Sdate=#1 Period=#2 NULL=BLANK",,$D36,"NTM"),K36)</f>
        <v>9.2956181283728991</v>
      </c>
      <c r="L36" s="765" cm="1">
        <f t="array" aca="1" ref="L36" ca="1">IF(Reuters=1,_xll.TR(L$7,L$6,"Sdate=#1 Period=#2 NULL=BLANK",,$D36,"NTM"),L36)</f>
        <v>7.5948022758904896</v>
      </c>
      <c r="M36" s="765" cm="1">
        <f t="array" aca="1" ref="M36" ca="1">IF(Reuters=1,_xll.TR(M$7,M$6,"Sdate=#1 Period=#2 NULL=BLANK",,$D36,"NTM"),M36)</f>
        <v>7.3250099258620001</v>
      </c>
      <c r="O36" s="971">
        <f t="shared" si="12"/>
        <v>42825</v>
      </c>
      <c r="P36" s="1002">
        <f t="shared" ca="1" si="13"/>
        <v>7.9195650787084944</v>
      </c>
      <c r="Q36" s="1002">
        <f t="shared" ca="1" si="14"/>
        <v>8.1286033293183397</v>
      </c>
      <c r="R36" s="1002">
        <f t="shared" ca="1" si="15"/>
        <v>8.1608618704008205</v>
      </c>
      <c r="S36" s="1002">
        <f t="shared" ca="1" si="25"/>
        <v>8.9429515092210696</v>
      </c>
      <c r="T36" s="1002">
        <f t="shared" ca="1" si="16"/>
        <v>8.519565078708494</v>
      </c>
      <c r="U36" s="1006">
        <f t="shared" ca="1" si="17"/>
        <v>0.20903825060984538</v>
      </c>
      <c r="V36" s="1006">
        <f t="shared" ca="1" si="18"/>
        <v>-3.2258541082480718E-2</v>
      </c>
      <c r="W36" s="1006">
        <f t="shared" ca="1" si="19"/>
        <v>-0.8143481799027299</v>
      </c>
      <c r="Y36" s="765">
        <f ca="1">'Other Pulls'!AT36</f>
        <v>12.872225</v>
      </c>
      <c r="Z36" s="765">
        <f ca="1">'Other Pulls'!AU36</f>
        <v>18.820833333333301</v>
      </c>
      <c r="AL36" s="1002">
        <f t="shared" ca="1" si="20"/>
        <v>-0.8143481799027299</v>
      </c>
      <c r="AM36" s="1002">
        <f t="shared" ca="1" si="21"/>
        <v>-3.2258541082480718E-2</v>
      </c>
      <c r="AN36" s="1002"/>
      <c r="AO36" s="1002">
        <f t="shared" ca="1" si="22"/>
        <v>1.9304565668146498</v>
      </c>
      <c r="AP36" s="1002"/>
      <c r="AQ36" s="1002">
        <f t="shared" ca="1" si="23"/>
        <v>-1.1670147990545594</v>
      </c>
      <c r="AR36" s="1002">
        <f t="shared" ca="1" si="24"/>
        <v>0.53380105342785011</v>
      </c>
      <c r="AS36" s="1002"/>
    </row>
    <row r="37" spans="3:45" ht="11.25" customHeight="1">
      <c r="C37" s="972">
        <f t="shared" si="11"/>
        <v>42916</v>
      </c>
      <c r="D37" s="974">
        <f t="shared" si="9"/>
        <v>42961</v>
      </c>
      <c r="E37" s="765" cm="1">
        <f t="array" aca="1" ref="E37" ca="1">IF(Reuters=1,_xll.TR(E$7,E$6,"Sdate=#1 Period=#2 NULL=BLANK",,$D37,"NTM"),E37)</f>
        <v>8.3615309094421608</v>
      </c>
      <c r="F37" s="765" cm="1">
        <f t="array" aca="1" ref="F37" ca="1">IF(Reuters=1,_xll.TR(F$7,F$6,"Sdate=#1 Period=#2 NULL=BLANK",,$D37,"NTM"),F37)</f>
        <v>9.7736161918054592</v>
      </c>
      <c r="G37" s="765" cm="1">
        <f t="array" aca="1" ref="G37" ca="1">IF(Reuters=1,_xll.TR(G$7,G$6,"Sdate=#1 Period=#2 NULL=BLANK",,$D37,"NTM"),G37)</f>
        <v>7.5509969221330699</v>
      </c>
      <c r="H37" s="765" t="str" cm="1">
        <f t="array" aca="1" ref="H37" ca="1">IF(Reuters=1,_xll.TR(H$7,H$6,"Sdate=#1 Period=#2 NULL=BLANK",,$D37,"NTM"),H37)</f>
        <v/>
      </c>
      <c r="I37" s="765" cm="1">
        <f t="array" aca="1" ref="I37" ca="1">IF(Reuters=1,_xll.TR(I$7,I$6,"Sdate=#1 Period=#2 NULL=BLANK",,$D37,"NTM"),I37)</f>
        <v>6.4388961141869796</v>
      </c>
      <c r="J37" s="765" t="str" cm="1">
        <f t="array" aca="1" ref="J37" ca="1">IF(Reuters=1,_xll.TR(J$7,J$6,"Sdate=#1 Period=#2 NULL=BLANK",,$D37,"NTM"),J37)</f>
        <v/>
      </c>
      <c r="K37" s="765" cm="1">
        <f t="array" aca="1" ref="K37" ca="1">IF(Reuters=1,_xll.TR(K$7,K$6,"Sdate=#1 Period=#2 NULL=BLANK",,$D37,"NTM"),K37)</f>
        <v>9.5664800503901795</v>
      </c>
      <c r="L37" s="765" cm="1">
        <f t="array" aca="1" ref="L37" ca="1">IF(Reuters=1,_xll.TR(L$7,L$6,"Sdate=#1 Period=#2 NULL=BLANK",,$D37,"NTM"),L37)</f>
        <v>7.4597784732890604</v>
      </c>
      <c r="M37" s="765" cm="1">
        <f t="array" aca="1" ref="M37" ca="1">IF(Reuters=1,_xll.TR(M$7,M$6,"Sdate=#1 Period=#2 NULL=BLANK",,$D37,"NTM"),M37)</f>
        <v>7.4217894346417701</v>
      </c>
      <c r="O37" s="972">
        <f t="shared" si="12"/>
        <v>42916</v>
      </c>
      <c r="P37" s="1002">
        <f t="shared" ca="1" si="13"/>
        <v>8.0352595310744181</v>
      </c>
      <c r="Q37" s="1002">
        <f t="shared" ca="1" si="14"/>
        <v>8.3615309094421608</v>
      </c>
      <c r="R37" s="1002">
        <f t="shared" ca="1" si="15"/>
        <v>7.5509969221330699</v>
      </c>
      <c r="S37" s="1002">
        <f t="shared" ca="1" si="25"/>
        <v>9.7736161918054592</v>
      </c>
      <c r="T37" s="1002">
        <f t="shared" ca="1" si="16"/>
        <v>8.6352595310744178</v>
      </c>
      <c r="U37" s="1006">
        <f t="shared" ca="1" si="17"/>
        <v>0.32627137836774267</v>
      </c>
      <c r="V37" s="1006">
        <f t="shared" ca="1" si="18"/>
        <v>0.81053398730909088</v>
      </c>
      <c r="W37" s="1006">
        <f t="shared" ca="1" si="19"/>
        <v>-1.4120852823632983</v>
      </c>
      <c r="Y37" s="765">
        <f ca="1">'Other Pulls'!AT37</f>
        <v>14.387499999999999</v>
      </c>
      <c r="Z37" s="1034">
        <f ca="1">'Other Pulls'!AU37</f>
        <v>17.455557500000001</v>
      </c>
      <c r="AL37" s="1002">
        <f t="shared" ca="1" si="20"/>
        <v>-1.4120852823632983</v>
      </c>
      <c r="AM37" s="1002">
        <f t="shared" ca="1" si="21"/>
        <v>0.81053398730909088</v>
      </c>
      <c r="AN37" s="1002"/>
      <c r="AO37" s="1002">
        <f t="shared" ca="1" si="22"/>
        <v>1.9226347952551812</v>
      </c>
      <c r="AP37" s="1002"/>
      <c r="AQ37" s="1002">
        <f t="shared" ca="1" si="23"/>
        <v>-1.2049491409480186</v>
      </c>
      <c r="AR37" s="1002">
        <f t="shared" ca="1" si="24"/>
        <v>0.90175243615310041</v>
      </c>
      <c r="AS37" s="1002"/>
    </row>
    <row r="38" spans="3:45" ht="11.25" customHeight="1">
      <c r="C38" s="973">
        <f t="shared" si="11"/>
        <v>43008</v>
      </c>
      <c r="D38" s="974">
        <f t="shared" si="9"/>
        <v>43053</v>
      </c>
      <c r="E38" s="765" cm="1">
        <f t="array" aca="1" ref="E38" ca="1">IF(Reuters=1,_xll.TR(E$7,E$6,"Sdate=#1 Period=#2 NULL=BLANK",,$D38,"NTM"),E38)</f>
        <v>8.5433213500236693</v>
      </c>
      <c r="F38" s="765" cm="1">
        <f t="array" aca="1" ref="F38" ca="1">IF(Reuters=1,_xll.TR(F$7,F$6,"Sdate=#1 Period=#2 NULL=BLANK",,$D38,"NTM"),F38)</f>
        <v>9.9913381899909801</v>
      </c>
      <c r="G38" s="765" cm="1">
        <f t="array" aca="1" ref="G38" ca="1">IF(Reuters=1,_xll.TR(G$7,G$6,"Sdate=#1 Period=#2 NULL=BLANK",,$D38,"NTM"),G38)</f>
        <v>7.9890905531750001</v>
      </c>
      <c r="H38" s="765" t="str" cm="1">
        <f t="array" aca="1" ref="H38" ca="1">IF(Reuters=1,_xll.TR(H$7,H$6,"Sdate=#1 Period=#2 NULL=BLANK",,$D38,"NTM"),H38)</f>
        <v/>
      </c>
      <c r="I38" s="765" cm="1">
        <f t="array" aca="1" ref="I38" ca="1">IF(Reuters=1,_xll.TR(I$7,I$6,"Sdate=#1 Period=#2 NULL=BLANK",,$D38,"NTM"),I38)</f>
        <v>7.1766719395421399</v>
      </c>
      <c r="J38" s="765" cm="1">
        <f t="array" aca="1" ref="J38" ca="1">IF(Reuters=1,_xll.TR(J$7,J$6,"Sdate=#1 Period=#2 NULL=BLANK",,$D38,"NTM"),J38)</f>
        <v>9.8581409512840796</v>
      </c>
      <c r="K38" s="765" cm="1">
        <f t="array" aca="1" ref="K38" ca="1">IF(Reuters=1,_xll.TR(K$7,K$6,"Sdate=#1 Period=#2 NULL=BLANK",,$D38,"NTM"),K38)</f>
        <v>10.9229126179304</v>
      </c>
      <c r="L38" s="765" cm="1">
        <f t="array" aca="1" ref="L38" ca="1">IF(Reuters=1,_xll.TR(L$7,L$6,"Sdate=#1 Period=#2 NULL=BLANK",,$D38,"NTM"),L38)</f>
        <v>8.0406974306395806</v>
      </c>
      <c r="M38" s="765" cm="1">
        <f t="array" aca="1" ref="M38" ca="1">IF(Reuters=1,_xll.TR(M$7,M$6,"Sdate=#1 Period=#2 NULL=BLANK",,$D38,"NTM"),M38)</f>
        <v>7.6260522241687898</v>
      </c>
      <c r="O38" s="973">
        <f t="shared" si="12"/>
        <v>43008</v>
      </c>
      <c r="P38" s="1002">
        <f t="shared" ca="1" si="13"/>
        <v>8.800700558104424</v>
      </c>
      <c r="Q38" s="1002">
        <f t="shared" ca="1" si="14"/>
        <v>8.5433213500236693</v>
      </c>
      <c r="R38" s="1002">
        <f t="shared" ca="1" si="15"/>
        <v>7.9890905531750001</v>
      </c>
      <c r="S38" s="1002">
        <f t="shared" ca="1" si="25"/>
        <v>9.9913381899909801</v>
      </c>
      <c r="T38" s="1002">
        <f t="shared" ca="1" si="16"/>
        <v>9.4007005581044236</v>
      </c>
      <c r="U38" s="1006">
        <f t="shared" ca="1" si="17"/>
        <v>-0.25737920808075465</v>
      </c>
      <c r="V38" s="1006">
        <f t="shared" ca="1" si="18"/>
        <v>0.55423079684866927</v>
      </c>
      <c r="W38" s="1006">
        <f t="shared" ca="1" si="19"/>
        <v>-1.4480168399673108</v>
      </c>
      <c r="Y38" s="765">
        <f ca="1">'Other Pulls'!AT38</f>
        <v>14.45</v>
      </c>
      <c r="Z38" s="1034">
        <f ca="1">'Other Pulls'!AU38</f>
        <v>16.033333333333299</v>
      </c>
      <c r="AL38" s="1002">
        <f t="shared" ca="1" si="20"/>
        <v>-1.4480168399673108</v>
      </c>
      <c r="AM38" s="1002">
        <f t="shared" ca="1" si="21"/>
        <v>0.55423079684866927</v>
      </c>
      <c r="AN38" s="1002"/>
      <c r="AO38" s="1002">
        <f t="shared" ca="1" si="22"/>
        <v>1.3666494104815294</v>
      </c>
      <c r="AP38" s="1002"/>
      <c r="AQ38" s="1002">
        <f t="shared" ca="1" si="23"/>
        <v>-2.379591267906731</v>
      </c>
      <c r="AR38" s="1002">
        <f t="shared" ca="1" si="24"/>
        <v>0.50262391938408868</v>
      </c>
      <c r="AS38" s="1002"/>
    </row>
    <row r="39" spans="3:45" ht="11.25" customHeight="1">
      <c r="C39" s="969">
        <f t="shared" si="11"/>
        <v>43100</v>
      </c>
      <c r="D39" s="974">
        <f t="shared" si="9"/>
        <v>43145</v>
      </c>
      <c r="E39" s="765" cm="1">
        <f t="array" aca="1" ref="E39" ca="1">IF(Reuters=1,_xll.TR(E$7,E$6,"Sdate=#1 Period=#2 NULL=BLANK",,$D39,"NTM"),E39)</f>
        <v>8.9477286757746892</v>
      </c>
      <c r="F39" s="765" cm="1">
        <f t="array" aca="1" ref="F39" ca="1">IF(Reuters=1,_xll.TR(F$7,F$6,"Sdate=#1 Period=#2 NULL=BLANK",,$D39,"NTM"),F39)</f>
        <v>9.6484871426549201</v>
      </c>
      <c r="G39" s="765" cm="1">
        <f t="array" aca="1" ref="G39" ca="1">IF(Reuters=1,_xll.TR(G$7,G$6,"Sdate=#1 Period=#2 NULL=BLANK",,$D39,"NTM"),G39)</f>
        <v>7.2281137736824004</v>
      </c>
      <c r="H39" s="765" t="str" cm="1">
        <f t="array" aca="1" ref="H39" ca="1">IF(Reuters=1,_xll.TR(H$7,H$6,"Sdate=#1 Period=#2 NULL=BLANK",,$D39,"NTM"),H39)</f>
        <v/>
      </c>
      <c r="I39" s="765" cm="1">
        <f t="array" aca="1" ref="I39" ca="1">IF(Reuters=1,_xll.TR(I$7,I$6,"Sdate=#1 Period=#2 NULL=BLANK",,$D39,"NTM"),I39)</f>
        <v>7.5602199875713803</v>
      </c>
      <c r="J39" s="765" cm="1">
        <f t="array" aca="1" ref="J39" ca="1">IF(Reuters=1,_xll.TR(J$7,J$6,"Sdate=#1 Period=#2 NULL=BLANK",,$D39,"NTM"),J39)</f>
        <v>10.000948360331799</v>
      </c>
      <c r="K39" s="765" cm="1">
        <f t="array" aca="1" ref="K39" ca="1">IF(Reuters=1,_xll.TR(K$7,K$6,"Sdate=#1 Period=#2 NULL=BLANK",,$D39,"NTM"),K39)</f>
        <v>10.3863722263353</v>
      </c>
      <c r="L39" s="765" cm="1">
        <f t="array" aca="1" ref="L39" ca="1">IF(Reuters=1,_xll.TR(L$7,L$6,"Sdate=#1 Period=#2 NULL=BLANK",,$D39,"NTM"),L39)</f>
        <v>8.0771278329659992</v>
      </c>
      <c r="M39" s="765" cm="1">
        <f t="array" aca="1" ref="M39" ca="1">IF(Reuters=1,_xll.TR(M$7,M$6,"Sdate=#1 Period=#2 NULL=BLANK",,$D39,"NTM"),M39)</f>
        <v>7.9937165838012803</v>
      </c>
      <c r="O39" s="969">
        <f t="shared" si="12"/>
        <v>43100</v>
      </c>
      <c r="P39" s="1002">
        <f t="shared" ca="1" si="13"/>
        <v>8.6992837010490103</v>
      </c>
      <c r="Q39" s="1002">
        <f t="shared" ca="1" si="14"/>
        <v>8.9477286757746892</v>
      </c>
      <c r="R39" s="1002">
        <f t="shared" ca="1" si="15"/>
        <v>7.2281137736824004</v>
      </c>
      <c r="S39" s="1002">
        <f t="shared" ca="1" si="25"/>
        <v>9.6484871426549201</v>
      </c>
      <c r="T39" s="1002">
        <f t="shared" ca="1" si="16"/>
        <v>9.2992837010490099</v>
      </c>
      <c r="U39" s="1006">
        <f t="shared" ca="1" si="17"/>
        <v>0.24844497472567895</v>
      </c>
      <c r="V39" s="1006">
        <f t="shared" ca="1" si="18"/>
        <v>1.7196149020922888</v>
      </c>
      <c r="W39" s="1006">
        <f t="shared" ca="1" si="19"/>
        <v>-0.70075846688023091</v>
      </c>
      <c r="Y39" s="765">
        <f ca="1">'Other Pulls'!AT39</f>
        <v>12.45</v>
      </c>
      <c r="Z39" s="1034">
        <f ca="1">'Other Pulls'!AU39</f>
        <v>15.9333333333333</v>
      </c>
      <c r="AL39" s="1002">
        <f t="shared" ca="1" si="20"/>
        <v>-0.70075846688023091</v>
      </c>
      <c r="AM39" s="1002">
        <f t="shared" ca="1" si="21"/>
        <v>1.7196149020922888</v>
      </c>
      <c r="AN39" s="1002"/>
      <c r="AO39" s="1002">
        <f t="shared" ca="1" si="22"/>
        <v>1.387508688203309</v>
      </c>
      <c r="AP39" s="1002"/>
      <c r="AQ39" s="1002">
        <f t="shared" ca="1" si="23"/>
        <v>-1.4386435505606112</v>
      </c>
      <c r="AR39" s="1002">
        <f t="shared" ca="1" si="24"/>
        <v>0.87060084280868999</v>
      </c>
      <c r="AS39" s="1002"/>
    </row>
    <row r="40" spans="3:45" ht="11.25" customHeight="1">
      <c r="C40" s="971">
        <f t="shared" si="11"/>
        <v>43190</v>
      </c>
      <c r="D40" s="974">
        <f t="shared" si="9"/>
        <v>43235</v>
      </c>
      <c r="E40" s="765" cm="1">
        <f t="array" aca="1" ref="E40" ca="1">IF(Reuters=1,_xll.TR(E$7,E$6,"Sdate=#1 Period=#2 NULL=BLANK",,$D40,"NTM"),E40)</f>
        <v>9.2461479850569592</v>
      </c>
      <c r="F40" s="765" cm="1">
        <f t="array" aca="1" ref="F40" ca="1">IF(Reuters=1,_xll.TR(F$7,F$6,"Sdate=#1 Period=#2 NULL=BLANK",,$D40,"NTM"),F40)</f>
        <v>9.3145021312226106</v>
      </c>
      <c r="G40" s="765" cm="1">
        <f t="array" aca="1" ref="G40" ca="1">IF(Reuters=1,_xll.TR(G$7,G$6,"Sdate=#1 Period=#2 NULL=BLANK",,$D40,"NTM"),G40)</f>
        <v>7.0839925161214996</v>
      </c>
      <c r="H40" s="765" t="str" cm="1">
        <f t="array" aca="1" ref="H40" ca="1">IF(Reuters=1,_xll.TR(H$7,H$6,"Sdate=#1 Period=#2 NULL=BLANK",,$D40,"NTM"),H40)</f>
        <v/>
      </c>
      <c r="I40" s="765" cm="1">
        <f t="array" aca="1" ref="I40" ca="1">IF(Reuters=1,_xll.TR(I$7,I$6,"Sdate=#1 Period=#2 NULL=BLANK",,$D40,"NTM"),I40)</f>
        <v>7.1404314795366801</v>
      </c>
      <c r="J40" s="765" cm="1">
        <f t="array" aca="1" ref="J40" ca="1">IF(Reuters=1,_xll.TR(J$7,J$6,"Sdate=#1 Period=#2 NULL=BLANK",,$D40,"NTM"),J40)</f>
        <v>9.2597604030010405</v>
      </c>
      <c r="K40" s="765" cm="1">
        <f t="array" aca="1" ref="K40" ca="1">IF(Reuters=1,_xll.TR(K$7,K$6,"Sdate=#1 Period=#2 NULL=BLANK",,$D40,"NTM"),K40)</f>
        <v>10.3448585974613</v>
      </c>
      <c r="L40" s="765" cm="1">
        <f t="array" aca="1" ref="L40" ca="1">IF(Reuters=1,_xll.TR(L$7,L$6,"Sdate=#1 Period=#2 NULL=BLANK",,$D40,"NTM"),L40)</f>
        <v>7.2295657705564196</v>
      </c>
      <c r="M40" s="765" cm="1">
        <f t="array" aca="1" ref="M40" ca="1">IF(Reuters=1,_xll.TR(M$7,M$6,"Sdate=#1 Period=#2 NULL=BLANK",,$D40,"NTM"),M40)</f>
        <v>7.7207561321127001</v>
      </c>
      <c r="O40" s="971">
        <f t="shared" si="12"/>
        <v>43190</v>
      </c>
      <c r="P40" s="1002">
        <f t="shared" ca="1" si="13"/>
        <v>8.2991238614303207</v>
      </c>
      <c r="Q40" s="1002">
        <f t="shared" ca="1" si="14"/>
        <v>9.2461479850569592</v>
      </c>
      <c r="R40" s="1002">
        <f t="shared" ca="1" si="15"/>
        <v>7.0839925161214996</v>
      </c>
      <c r="S40" s="1002">
        <f t="shared" ca="1" si="25"/>
        <v>9.3145021312226106</v>
      </c>
      <c r="T40" s="1002">
        <f t="shared" ca="1" si="16"/>
        <v>8.8991238614303203</v>
      </c>
      <c r="U40" s="1006">
        <f t="shared" ca="1" si="17"/>
        <v>0.94702412362663857</v>
      </c>
      <c r="V40" s="1006">
        <f t="shared" ca="1" si="18"/>
        <v>2.1621554689354596</v>
      </c>
      <c r="W40" s="1006">
        <f t="shared" ca="1" si="19"/>
        <v>-6.8354146165651386E-2</v>
      </c>
      <c r="Y40" s="765">
        <f ca="1">'Other Pulls'!AT40</f>
        <v>12.272225000000001</v>
      </c>
      <c r="Z40" s="1034">
        <f ca="1">'Other Pulls'!AU40</f>
        <v>19.95</v>
      </c>
      <c r="AL40" s="1002">
        <f t="shared" ca="1" si="20"/>
        <v>-6.8354146165651386E-2</v>
      </c>
      <c r="AM40" s="1002">
        <f t="shared" ca="1" si="21"/>
        <v>2.1621554689354596</v>
      </c>
      <c r="AN40" s="1002"/>
      <c r="AO40" s="1002">
        <f t="shared" ca="1" si="22"/>
        <v>2.1057165055202791</v>
      </c>
      <c r="AP40" s="1002"/>
      <c r="AQ40" s="1002">
        <f t="shared" ca="1" si="23"/>
        <v>-1.0987106124043411</v>
      </c>
      <c r="AR40" s="1002">
        <f t="shared" ca="1" si="24"/>
        <v>2.0165822145005396</v>
      </c>
      <c r="AS40" s="1002"/>
    </row>
    <row r="41" spans="3:45" ht="11.25" customHeight="1">
      <c r="C41" s="972">
        <f t="shared" si="11"/>
        <v>43281</v>
      </c>
      <c r="D41" s="974">
        <f t="shared" si="9"/>
        <v>43326</v>
      </c>
      <c r="E41" s="765" cm="1">
        <f t="array" aca="1" ref="E41" ca="1">IF(Reuters=1,_xll.TR(E$7,E$6,"Sdate=#1 Period=#2 NULL=BLANK",,$D41,"NTM"),E41)</f>
        <v>8.5354105219265808</v>
      </c>
      <c r="F41" s="765" cm="1">
        <f t="array" aca="1" ref="F41" ca="1">IF(Reuters=1,_xll.TR(F$7,F$6,"Sdate=#1 Period=#2 NULL=BLANK",,$D41,"NTM"),F41)</f>
        <v>8.9296832089248497</v>
      </c>
      <c r="G41" s="765" cm="1">
        <f t="array" aca="1" ref="G41" ca="1">IF(Reuters=1,_xll.TR(G$7,G$6,"Sdate=#1 Period=#2 NULL=BLANK",,$D41,"NTM"),G41)</f>
        <v>6.5494497305664101</v>
      </c>
      <c r="H41" s="765" t="str" cm="1">
        <f t="array" aca="1" ref="H41" ca="1">IF(Reuters=1,_xll.TR(H$7,H$6,"Sdate=#1 Period=#2 NULL=BLANK",,$D41,"NTM"),H41)</f>
        <v/>
      </c>
      <c r="I41" s="765" cm="1">
        <f t="array" aca="1" ref="I41" ca="1">IF(Reuters=1,_xll.TR(I$7,I$6,"Sdate=#1 Period=#2 NULL=BLANK",,$D41,"NTM"),I41)</f>
        <v>6.9057205918735098</v>
      </c>
      <c r="J41" s="765" cm="1">
        <f t="array" aca="1" ref="J41" ca="1">IF(Reuters=1,_xll.TR(J$7,J$6,"Sdate=#1 Period=#2 NULL=BLANK",,$D41,"NTM"),J41)</f>
        <v>9.0720588198132699</v>
      </c>
      <c r="K41" s="765" cm="1">
        <f t="array" aca="1" ref="K41" ca="1">IF(Reuters=1,_xll.TR(K$7,K$6,"Sdate=#1 Period=#2 NULL=BLANK",,$D41,"NTM"),K41)</f>
        <v>10.4871230168393</v>
      </c>
      <c r="L41" s="765" cm="1">
        <f t="array" aca="1" ref="L41" ca="1">IF(Reuters=1,_xll.TR(L$7,L$6,"Sdate=#1 Period=#2 NULL=BLANK",,$D41,"NTM"),L41)</f>
        <v>7.1764401109556699</v>
      </c>
      <c r="M41" s="765" cm="1">
        <f t="array" aca="1" ref="M41" ca="1">IF(Reuters=1,_xll.TR(M$7,M$6,"Sdate=#1 Period=#2 NULL=BLANK",,$D41,"NTM"),M41)</f>
        <v>6.5631326680859798</v>
      </c>
      <c r="O41" s="972">
        <f t="shared" si="12"/>
        <v>43281</v>
      </c>
      <c r="P41" s="1002">
        <f t="shared" ca="1" si="13"/>
        <v>7.9548011638655689</v>
      </c>
      <c r="Q41" s="1002">
        <f t="shared" ca="1" si="14"/>
        <v>8.5354105219265808</v>
      </c>
      <c r="R41" s="1002">
        <f t="shared" ca="1" si="15"/>
        <v>6.5494497305664101</v>
      </c>
      <c r="S41" s="1002">
        <f t="shared" ca="1" si="25"/>
        <v>8.9296832089248497</v>
      </c>
      <c r="T41" s="1002">
        <f t="shared" ca="1" si="16"/>
        <v>8.5548011638655694</v>
      </c>
      <c r="U41" s="1006">
        <f t="shared" ca="1" si="17"/>
        <v>0.58060935806101188</v>
      </c>
      <c r="V41" s="1006">
        <f t="shared" ca="1" si="18"/>
        <v>1.9859607913601707</v>
      </c>
      <c r="W41" s="1006">
        <f t="shared" ca="1" si="19"/>
        <v>-0.3942726869982689</v>
      </c>
      <c r="Y41" s="765">
        <f ca="1">'Other Pulls'!AT41</f>
        <v>12.266666666666699</v>
      </c>
      <c r="Z41" s="1034">
        <f ca="1">'Other Pulls'!AU41</f>
        <v>19.220833333333299</v>
      </c>
      <c r="AL41" s="1002">
        <f t="shared" ca="1" si="20"/>
        <v>-0.3942726869982689</v>
      </c>
      <c r="AM41" s="1002">
        <f t="shared" ca="1" si="21"/>
        <v>1.9859607913601707</v>
      </c>
      <c r="AN41" s="1002"/>
      <c r="AO41" s="1002">
        <f t="shared" ca="1" si="22"/>
        <v>1.6296899300530709</v>
      </c>
      <c r="AP41" s="1002"/>
      <c r="AQ41" s="1002">
        <f t="shared" ca="1" si="23"/>
        <v>-1.9517124949127194</v>
      </c>
      <c r="AR41" s="1002">
        <f t="shared" ca="1" si="24"/>
        <v>1.3589704109709109</v>
      </c>
      <c r="AS41" s="1002"/>
    </row>
    <row r="42" spans="3:45" ht="11.25" customHeight="1">
      <c r="C42" s="973">
        <f t="shared" si="11"/>
        <v>43373</v>
      </c>
      <c r="D42" s="974">
        <f t="shared" si="9"/>
        <v>43418</v>
      </c>
      <c r="E42" s="765" cm="1">
        <f t="array" aca="1" ref="E42" ca="1">IF(Reuters=1,_xll.TR(E$7,E$6,"Sdate=#1 Period=#2 NULL=BLANK",,$D42,"NTM"),E42)</f>
        <v>7.5448281157362196</v>
      </c>
      <c r="F42" s="765" cm="1">
        <f t="array" aca="1" ref="F42" ca="1">IF(Reuters=1,_xll.TR(F$7,F$6,"Sdate=#1 Period=#2 NULL=BLANK",,$D42,"NTM"),F42)</f>
        <v>7.5991428892986699</v>
      </c>
      <c r="G42" s="765" cm="1">
        <f t="array" aca="1" ref="G42" ca="1">IF(Reuters=1,_xll.TR(G$7,G$6,"Sdate=#1 Period=#2 NULL=BLANK",,$D42,"NTM"),G42)</f>
        <v>7.4238436947828097</v>
      </c>
      <c r="H42" s="765" t="str" cm="1">
        <f t="array" aca="1" ref="H42" ca="1">IF(Reuters=1,_xll.TR(H$7,H$6,"Sdate=#1 Period=#2 NULL=BLANK",,$D42,"NTM"),H42)</f>
        <v/>
      </c>
      <c r="I42" s="765" cm="1">
        <f t="array" aca="1" ref="I42" ca="1">IF(Reuters=1,_xll.TR(I$7,I$6,"Sdate=#1 Period=#2 NULL=BLANK",,$D42,"NTM"),I42)</f>
        <v>5.9878661128410897</v>
      </c>
      <c r="J42" s="765" cm="1">
        <f t="array" aca="1" ref="J42" ca="1">IF(Reuters=1,_xll.TR(J$7,J$6,"Sdate=#1 Period=#2 NULL=BLANK",,$D42,"NTM"),J42)</f>
        <v>8.1307422517632304</v>
      </c>
      <c r="K42" s="765" cm="1">
        <f t="array" aca="1" ref="K42" ca="1">IF(Reuters=1,_xll.TR(K$7,K$6,"Sdate=#1 Period=#2 NULL=BLANK",,$D42,"NTM"),K42)</f>
        <v>8.8528965154588395</v>
      </c>
      <c r="L42" s="765" cm="1">
        <f t="array" aca="1" ref="L42" ca="1">IF(Reuters=1,_xll.TR(L$7,L$6,"Sdate=#1 Period=#2 NULL=BLANK",,$D42,"NTM"),L42)</f>
        <v>5.6564327096620897</v>
      </c>
      <c r="M42" s="765" cm="1">
        <f t="array" aca="1" ref="M42" ca="1">IF(Reuters=1,_xll.TR(M$7,M$6,"Sdate=#1 Period=#2 NULL=BLANK",,$D42,"NTM"),M42)</f>
        <v>5.2920328122993601</v>
      </c>
      <c r="O42" s="973">
        <f t="shared" si="12"/>
        <v>43373</v>
      </c>
      <c r="P42" s="1002">
        <f t="shared" ca="1" si="13"/>
        <v>6.9918509980151553</v>
      </c>
      <c r="Q42" s="1002">
        <f t="shared" ca="1" si="14"/>
        <v>7.5448281157362196</v>
      </c>
      <c r="R42" s="1002">
        <f t="shared" ca="1" si="15"/>
        <v>7.4238436947828097</v>
      </c>
      <c r="S42" s="1002">
        <f t="shared" ca="1" si="25"/>
        <v>7.5991428892986699</v>
      </c>
      <c r="T42" s="1002">
        <f t="shared" ca="1" si="16"/>
        <v>7.5918509980151549</v>
      </c>
      <c r="U42" s="1006">
        <f t="shared" ca="1" si="17"/>
        <v>0.55297711772106428</v>
      </c>
      <c r="V42" s="1006">
        <f t="shared" ca="1" si="18"/>
        <v>0.12098442095340989</v>
      </c>
      <c r="W42" s="1006">
        <f t="shared" ca="1" si="19"/>
        <v>-5.4314773562450291E-2</v>
      </c>
      <c r="Y42" s="765">
        <f ca="1">'Other Pulls'!AT42</f>
        <v>12.5666666666667</v>
      </c>
      <c r="Z42" s="1034">
        <f ca="1">'Other Pulls'!AU42</f>
        <v>19.8</v>
      </c>
      <c r="AL42" s="1002">
        <f t="shared" ca="1" si="20"/>
        <v>-5.4314773562450291E-2</v>
      </c>
      <c r="AM42" s="1002">
        <f t="shared" ca="1" si="21"/>
        <v>0.12098442095340989</v>
      </c>
      <c r="AN42" s="1002"/>
      <c r="AO42" s="1002">
        <f t="shared" ca="1" si="22"/>
        <v>1.5569620028951299</v>
      </c>
      <c r="AP42" s="1002"/>
      <c r="AQ42" s="1002">
        <f t="shared" ca="1" si="23"/>
        <v>-1.3080683997226199</v>
      </c>
      <c r="AR42" s="1002">
        <f t="shared" ca="1" si="24"/>
        <v>1.8883954060741299</v>
      </c>
      <c r="AS42" s="1002"/>
    </row>
    <row r="43" spans="3:45" ht="11.25" customHeight="1">
      <c r="C43" s="969">
        <f t="shared" si="11"/>
        <v>43465</v>
      </c>
      <c r="D43" s="974">
        <f t="shared" si="9"/>
        <v>43510</v>
      </c>
      <c r="E43" s="765" cm="1">
        <f t="array" aca="1" ref="E43" ca="1">IF(Reuters=1,_xll.TR(E$7,E$6,"Sdate=#1 Period=#2 NULL=BLANK",,$D43,"NTM"),E43)</f>
        <v>7.7196499070828004</v>
      </c>
      <c r="F43" s="765" cm="1">
        <f t="array" aca="1" ref="F43" ca="1">IF(Reuters=1,_xll.TR(F$7,F$6,"Sdate=#1 Period=#2 NULL=BLANK",,$D43,"NTM"),F43)</f>
        <v>7.7935245040986301</v>
      </c>
      <c r="G43" s="765" cm="1">
        <f t="array" aca="1" ref="G43" ca="1">IF(Reuters=1,_xll.TR(G$7,G$6,"Sdate=#1 Period=#2 NULL=BLANK",,$D43,"NTM"),G43)</f>
        <v>7.9925036961179803</v>
      </c>
      <c r="H43" s="765" t="str" cm="1">
        <f t="array" aca="1" ref="H43" ca="1">IF(Reuters=1,_xll.TR(H$7,H$6,"Sdate=#1 Period=#2 NULL=BLANK",,$D43,"NTM"),H43)</f>
        <v/>
      </c>
      <c r="I43" s="765" cm="1">
        <f t="array" aca="1" ref="I43" ca="1">IF(Reuters=1,_xll.TR(I$7,I$6,"Sdate=#1 Period=#2 NULL=BLANK",,$D43,"NTM"),I43)</f>
        <v>6.0324088610704401</v>
      </c>
      <c r="J43" s="765" cm="1">
        <f t="array" aca="1" ref="J43" ca="1">IF(Reuters=1,_xll.TR(J$7,J$6,"Sdate=#1 Period=#2 NULL=BLANK",,$D43,"NTM"),J43)</f>
        <v>6.8167994185015903</v>
      </c>
      <c r="K43" s="765" cm="1">
        <f t="array" aca="1" ref="K43" ca="1">IF(Reuters=1,_xll.TR(K$7,K$6,"Sdate=#1 Period=#2 NULL=BLANK",,$D43,"NTM"),K43)</f>
        <v>8.4498532407750808</v>
      </c>
      <c r="L43" s="765" cm="1">
        <f t="array" aca="1" ref="L43" ca="1">IF(Reuters=1,_xll.TR(L$7,L$6,"Sdate=#1 Period=#2 NULL=BLANK",,$D43,"NTM"),L43)</f>
        <v>5.4819116319725296</v>
      </c>
      <c r="M43" s="765" cm="1">
        <f t="array" aca="1" ref="M43" ca="1">IF(Reuters=1,_xll.TR(M$7,M$6,"Sdate=#1 Period=#2 NULL=BLANK",,$D43,"NTM"),M43)</f>
        <v>5.8084917413530901</v>
      </c>
      <c r="O43" s="969">
        <f t="shared" si="12"/>
        <v>43465</v>
      </c>
      <c r="P43" s="1002">
        <f t="shared" ca="1" si="13"/>
        <v>6.9107847276984762</v>
      </c>
      <c r="Q43" s="1002">
        <f t="shared" ca="1" si="14"/>
        <v>7.7196499070828004</v>
      </c>
      <c r="R43" s="1002">
        <f t="shared" ca="1" si="15"/>
        <v>7.9925036961179803</v>
      </c>
      <c r="S43" s="1002">
        <f t="shared" ca="1" si="25"/>
        <v>7.7935245040986301</v>
      </c>
      <c r="T43" s="1002">
        <f t="shared" ca="1" si="16"/>
        <v>7.5107847276984758</v>
      </c>
      <c r="U43" s="1006">
        <f t="shared" ca="1" si="17"/>
        <v>0.80886517938432423</v>
      </c>
      <c r="V43" s="1006">
        <f t="shared" ca="1" si="18"/>
        <v>-0.27285378903517987</v>
      </c>
      <c r="W43" s="1006">
        <f t="shared" ca="1" si="19"/>
        <v>-7.3874597015829657E-2</v>
      </c>
      <c r="Y43" s="765">
        <f ca="1">'Other Pulls'!AT43</f>
        <v>12.4125</v>
      </c>
      <c r="Z43" s="1034">
        <f ca="1">'Other Pulls'!AU43</f>
        <v>19.649996666666699</v>
      </c>
      <c r="AL43" s="1002">
        <f t="shared" ca="1" si="20"/>
        <v>-7.3874597015829657E-2</v>
      </c>
      <c r="AM43" s="1002">
        <f t="shared" ca="1" si="21"/>
        <v>-0.27285378903517987</v>
      </c>
      <c r="AN43" s="1002"/>
      <c r="AO43" s="1002">
        <f t="shared" ca="1" si="22"/>
        <v>1.6872410460123604</v>
      </c>
      <c r="AP43" s="1002"/>
      <c r="AQ43" s="1002">
        <f t="shared" ca="1" si="23"/>
        <v>-0.73020333369228041</v>
      </c>
      <c r="AR43" s="1002">
        <f t="shared" ca="1" si="24"/>
        <v>2.2377382751102708</v>
      </c>
      <c r="AS43" s="1002"/>
    </row>
    <row r="44" spans="3:45" ht="11.25" customHeight="1">
      <c r="C44" s="971">
        <f t="shared" si="11"/>
        <v>43555</v>
      </c>
      <c r="D44" s="974">
        <f t="shared" si="9"/>
        <v>43600</v>
      </c>
      <c r="E44" s="765" cm="1">
        <f t="array" aca="1" ref="E44" ca="1">IF(Reuters=1,_xll.TR(E$7,E$6,"Sdate=#1 Period=#2 NULL=BLANK",,$D44,"NTM"),E44)</f>
        <v>7.1041326552310702</v>
      </c>
      <c r="F44" s="765" cm="1">
        <f t="array" aca="1" ref="F44" ca="1">IF(Reuters=1,_xll.TR(F$7,F$6,"Sdate=#1 Period=#2 NULL=BLANK",,$D44,"NTM"),F44)</f>
        <v>7.87426662752768</v>
      </c>
      <c r="G44" s="765" cm="1">
        <f t="array" aca="1" ref="G44" ca="1">IF(Reuters=1,_xll.TR(G$7,G$6,"Sdate=#1 Period=#2 NULL=BLANK",,$D44,"NTM"),G44)</f>
        <v>7.8161592062989396</v>
      </c>
      <c r="H44" s="765" cm="1">
        <f t="array" aca="1" ref="H44" ca="1">IF(Reuters=1,_xll.TR(H$7,H$6,"Sdate=#1 Period=#2 NULL=BLANK",,$D44,"NTM"),H44)</f>
        <v>6.8075877019504896</v>
      </c>
      <c r="I44" s="765" cm="1">
        <f t="array" aca="1" ref="I44" ca="1">IF(Reuters=1,_xll.TR(I$7,I$6,"Sdate=#1 Period=#2 NULL=BLANK",,$D44,"NTM"),I44)</f>
        <v>5.8572364089477897</v>
      </c>
      <c r="J44" s="765" cm="1">
        <f t="array" aca="1" ref="J44" ca="1">IF(Reuters=1,_xll.TR(J$7,J$6,"Sdate=#1 Period=#2 NULL=BLANK",,$D44,"NTM"),J44)</f>
        <v>10.028036512297399</v>
      </c>
      <c r="K44" s="765" cm="1">
        <f t="array" aca="1" ref="K44" ca="1">IF(Reuters=1,_xll.TR(K$7,K$6,"Sdate=#1 Period=#2 NULL=BLANK",,$D44,"NTM"),K44)</f>
        <v>8.0918338070828604</v>
      </c>
      <c r="L44" s="765" cm="1">
        <f t="array" aca="1" ref="L44" ca="1">IF(Reuters=1,_xll.TR(L$7,L$6,"Sdate=#1 Period=#2 NULL=BLANK",,$D44,"NTM"),L44)</f>
        <v>5.2806818966205604</v>
      </c>
      <c r="M44" s="765" cm="1">
        <f t="array" aca="1" ref="M44" ca="1">IF(Reuters=1,_xll.TR(M$7,M$6,"Sdate=#1 Period=#2 NULL=BLANK",,$D44,"NTM"),M44)</f>
        <v>5.7557630794599302</v>
      </c>
      <c r="O44" s="971">
        <f t="shared" si="12"/>
        <v>43555</v>
      </c>
      <c r="P44" s="1002">
        <f t="shared" ca="1" si="13"/>
        <v>7.1889456550232067</v>
      </c>
      <c r="Q44" s="1002">
        <f t="shared" ca="1" si="14"/>
        <v>7.1041326552310702</v>
      </c>
      <c r="R44" s="1002">
        <f t="shared" ca="1" si="15"/>
        <v>7.8161592062989396</v>
      </c>
      <c r="S44" s="1002">
        <f t="shared" ca="1" si="25"/>
        <v>7.87426662752768</v>
      </c>
      <c r="T44" s="1002">
        <f t="shared" ca="1" si="16"/>
        <v>7.7889456550232063</v>
      </c>
      <c r="U44" s="1006">
        <f t="shared" ca="1" si="17"/>
        <v>-8.4812999792136523E-2</v>
      </c>
      <c r="V44" s="1006">
        <f t="shared" ca="1" si="18"/>
        <v>-0.71202655106786938</v>
      </c>
      <c r="W44" s="1006">
        <f t="shared" ca="1" si="19"/>
        <v>-0.77013397229660985</v>
      </c>
      <c r="Y44" s="765">
        <f ca="1">'Other Pulls'!AT44</f>
        <v>12.016666666666699</v>
      </c>
      <c r="Z44" s="1034">
        <f ca="1">'Other Pulls'!AU44</f>
        <v>19.783329999999999</v>
      </c>
      <c r="AL44" s="1002">
        <f t="shared" ca="1" si="20"/>
        <v>-0.77013397229660985</v>
      </c>
      <c r="AM44" s="1002">
        <f t="shared" ca="1" si="21"/>
        <v>-0.71202655106786938</v>
      </c>
      <c r="AN44" s="1002"/>
      <c r="AO44" s="1002">
        <f t="shared" ca="1" si="22"/>
        <v>1.2468962462832804</v>
      </c>
      <c r="AP44" s="1002"/>
      <c r="AQ44" s="1002">
        <f t="shared" ca="1" si="23"/>
        <v>-0.98770115185179019</v>
      </c>
      <c r="AR44" s="1002">
        <f t="shared" ca="1" si="24"/>
        <v>1.8234507586105098</v>
      </c>
      <c r="AS44" s="1002"/>
    </row>
    <row r="45" spans="3:45" ht="11.25" customHeight="1">
      <c r="C45" s="972">
        <f t="shared" si="11"/>
        <v>43646</v>
      </c>
      <c r="D45" s="974">
        <f t="shared" si="9"/>
        <v>43691</v>
      </c>
      <c r="E45" s="765" cm="1">
        <f t="array" aca="1" ref="E45" ca="1">IF(Reuters=1,_xll.TR(E$7,E$6,"Sdate=#1 Period=#2 NULL=BLANK",,$D45,"NTM"),E45)</f>
        <v>6.8293388553292402</v>
      </c>
      <c r="F45" s="765" cm="1">
        <f t="array" aca="1" ref="F45" ca="1">IF(Reuters=1,_xll.TR(F$7,F$6,"Sdate=#1 Period=#2 NULL=BLANK",,$D45,"NTM"),F45)</f>
        <v>8.4923617759156595</v>
      </c>
      <c r="G45" s="765" cm="1">
        <f t="array" aca="1" ref="G45" ca="1">IF(Reuters=1,_xll.TR(G$7,G$6,"Sdate=#1 Period=#2 NULL=BLANK",,$D45,"NTM"),G45)</f>
        <v>7.8974402251650204</v>
      </c>
      <c r="H45" s="765" cm="1">
        <f t="array" aca="1" ref="H45" ca="1">IF(Reuters=1,_xll.TR(H$7,H$6,"Sdate=#1 Period=#2 NULL=BLANK",,$D45,"NTM"),H45)</f>
        <v>6.2567009047385902</v>
      </c>
      <c r="I45" s="765" cm="1">
        <f t="array" aca="1" ref="I45" ca="1">IF(Reuters=1,_xll.TR(I$7,I$6,"Sdate=#1 Period=#2 NULL=BLANK",,$D45,"NTM"),I45)</f>
        <v>5.2301489134082502</v>
      </c>
      <c r="J45" s="765" cm="1">
        <f t="array" aca="1" ref="J45" ca="1">IF(Reuters=1,_xll.TR(J$7,J$6,"Sdate=#1 Period=#2 NULL=BLANK",,$D45,"NTM"),J45)</f>
        <v>10.896386398731501</v>
      </c>
      <c r="K45" s="765" cm="1">
        <f t="array" aca="1" ref="K45" ca="1">IF(Reuters=1,_xll.TR(K$7,K$6,"Sdate=#1 Period=#2 NULL=BLANK",,$D45,"NTM"),K45)</f>
        <v>8.2665823209227405</v>
      </c>
      <c r="L45" s="765" cm="1">
        <f t="array" aca="1" ref="L45" ca="1">IF(Reuters=1,_xll.TR(L$7,L$6,"Sdate=#1 Period=#2 NULL=BLANK",,$D45,"NTM"),L45)</f>
        <v>5.5166759803668803</v>
      </c>
      <c r="M45" s="765" cm="1">
        <f t="array" aca="1" ref="M45" ca="1">IF(Reuters=1,_xll.TR(M$7,M$6,"Sdate=#1 Period=#2 NULL=BLANK",,$D45,"NTM"),M45)</f>
        <v>6.2177899090236499</v>
      </c>
      <c r="O45" s="972">
        <f t="shared" si="12"/>
        <v>43646</v>
      </c>
      <c r="P45" s="1002">
        <f t="shared" ca="1" si="13"/>
        <v>7.3467608035340373</v>
      </c>
      <c r="Q45" s="1002">
        <f t="shared" ca="1" si="14"/>
        <v>6.8293388553292402</v>
      </c>
      <c r="R45" s="1002">
        <f t="shared" ca="1" si="15"/>
        <v>7.8974402251650204</v>
      </c>
      <c r="S45" s="1002">
        <f t="shared" ca="1" si="25"/>
        <v>8.4923617759156595</v>
      </c>
      <c r="T45" s="1002">
        <f t="shared" ca="1" si="16"/>
        <v>7.9467608035340369</v>
      </c>
      <c r="U45" s="1006">
        <f t="shared" ca="1" si="17"/>
        <v>-0.51742194820479703</v>
      </c>
      <c r="V45" s="1006">
        <f t="shared" ca="1" si="18"/>
        <v>-1.0681013698357802</v>
      </c>
      <c r="W45" s="1006">
        <f t="shared" ca="1" si="19"/>
        <v>-1.6630229205864193</v>
      </c>
      <c r="Y45" s="765">
        <f ca="1">'Other Pulls'!AT45</f>
        <v>11.824999999999999</v>
      </c>
      <c r="Z45" s="1034">
        <f ca="1">'Other Pulls'!AU45</f>
        <v>19.887499999999999</v>
      </c>
      <c r="AL45" s="1002">
        <f t="shared" ca="1" si="20"/>
        <v>-1.6630229205864193</v>
      </c>
      <c r="AM45" s="1002">
        <f t="shared" ca="1" si="21"/>
        <v>-1.0681013698357802</v>
      </c>
      <c r="AN45" s="1002">
        <f t="shared" ref="AN45:AN60" ca="1" si="26">$E45-H45</f>
        <v>0.57263795059065004</v>
      </c>
      <c r="AO45" s="1002">
        <f t="shared" ca="1" si="22"/>
        <v>1.5991899419209901</v>
      </c>
      <c r="AP45" s="1002"/>
      <c r="AQ45" s="1002">
        <f t="shared" ca="1" si="23"/>
        <v>-1.4372434655935002</v>
      </c>
      <c r="AR45" s="1002">
        <f t="shared" ca="1" si="24"/>
        <v>1.3126628749623599</v>
      </c>
      <c r="AS45" s="1002"/>
    </row>
    <row r="46" spans="3:45" ht="11.25" customHeight="1">
      <c r="C46" s="973">
        <f t="shared" si="11"/>
        <v>43738</v>
      </c>
      <c r="D46" s="974">
        <f t="shared" si="9"/>
        <v>43783</v>
      </c>
      <c r="E46" s="765" cm="1">
        <f t="array" aca="1" ref="E46" ca="1">IF(Reuters=1,_xll.TR(E$7,E$6,"Sdate=#1 Period=#2 NULL=BLANK",,$D46,"NTM"),E46)</f>
        <v>8.0806416947550908</v>
      </c>
      <c r="F46" s="765" cm="1">
        <f t="array" aca="1" ref="F46" ca="1">IF(Reuters=1,_xll.TR(F$7,F$6,"Sdate=#1 Period=#2 NULL=BLANK",,$D46,"NTM"),F46)</f>
        <v>9.6078171384473592</v>
      </c>
      <c r="G46" s="765" cm="1">
        <f t="array" aca="1" ref="G46" ca="1">IF(Reuters=1,_xll.TR(G$7,G$6,"Sdate=#1 Period=#2 NULL=BLANK",,$D46,"NTM"),G46)</f>
        <v>8.9565500841877803</v>
      </c>
      <c r="H46" s="765" cm="1">
        <f t="array" aca="1" ref="H46" ca="1">IF(Reuters=1,_xll.TR(H$7,H$6,"Sdate=#1 Period=#2 NULL=BLANK",,$D46,"NTM"),H46)</f>
        <v>7.0781147747508903</v>
      </c>
      <c r="I46" s="765" cm="1">
        <f t="array" aca="1" ref="I46" ca="1">IF(Reuters=1,_xll.TR(I$7,I$6,"Sdate=#1 Period=#2 NULL=BLANK",,$D46,"NTM"),I46)</f>
        <v>6.8148184103694902</v>
      </c>
      <c r="J46" s="765" cm="1">
        <f t="array" aca="1" ref="J46" ca="1">IF(Reuters=1,_xll.TR(J$7,J$6,"Sdate=#1 Period=#2 NULL=BLANK",,$D46,"NTM"),J46)</f>
        <v>11.4867829324446</v>
      </c>
      <c r="K46" s="765" cm="1">
        <f t="array" aca="1" ref="K46" ca="1">IF(Reuters=1,_xll.TR(K$7,K$6,"Sdate=#1 Period=#2 NULL=BLANK",,$D46,"NTM"),K46)</f>
        <v>11.7238614448422</v>
      </c>
      <c r="L46" s="765" cm="1">
        <f t="array" aca="1" ref="L46" ca="1">IF(Reuters=1,_xll.TR(L$7,L$6,"Sdate=#1 Period=#2 NULL=BLANK",,$D46,"NTM"),L46)</f>
        <v>8.1668153058829596</v>
      </c>
      <c r="M46" s="765" cm="1">
        <f t="array" aca="1" ref="M46" ca="1">IF(Reuters=1,_xll.TR(M$7,M$6,"Sdate=#1 Period=#2 NULL=BLANK",,$D46,"NTM"),M46)</f>
        <v>7.2473041491463697</v>
      </c>
      <c r="O46" s="973">
        <f t="shared" si="12"/>
        <v>43738</v>
      </c>
      <c r="P46" s="1002">
        <f t="shared" ca="1" si="13"/>
        <v>8.8852580300089574</v>
      </c>
      <c r="Q46" s="1002">
        <f t="shared" ca="1" si="14"/>
        <v>8.0806416947550908</v>
      </c>
      <c r="R46" s="1002">
        <f t="shared" ca="1" si="15"/>
        <v>8.9565500841877803</v>
      </c>
      <c r="S46" s="1002">
        <f t="shared" ca="1" si="25"/>
        <v>9.6078171384473592</v>
      </c>
      <c r="T46" s="1002">
        <f t="shared" ca="1" si="16"/>
        <v>9.4852580300089571</v>
      </c>
      <c r="U46" s="1006">
        <f t="shared" ca="1" si="17"/>
        <v>-0.80461633525386667</v>
      </c>
      <c r="V46" s="1006">
        <f t="shared" ca="1" si="18"/>
        <v>-0.87590838943268956</v>
      </c>
      <c r="W46" s="1006">
        <f t="shared" ca="1" si="19"/>
        <v>-1.5271754436922684</v>
      </c>
      <c r="Y46" s="765">
        <f ca="1">'Other Pulls'!AT46</f>
        <v>11.15</v>
      </c>
      <c r="Z46" s="1034">
        <f ca="1">'Other Pulls'!AU46</f>
        <v>19.3333333333333</v>
      </c>
      <c r="AL46" s="1002">
        <f t="shared" ca="1" si="20"/>
        <v>-1.5271754436922684</v>
      </c>
      <c r="AM46" s="1002">
        <f t="shared" ca="1" si="21"/>
        <v>-0.87590838943268956</v>
      </c>
      <c r="AN46" s="1002">
        <f t="shared" ca="1" si="26"/>
        <v>1.0025269200042004</v>
      </c>
      <c r="AO46" s="1002">
        <f t="shared" ca="1" si="22"/>
        <v>1.2658232843856005</v>
      </c>
      <c r="AP46" s="1002"/>
      <c r="AQ46" s="1002">
        <f t="shared" ca="1" si="23"/>
        <v>-3.6432197500871091</v>
      </c>
      <c r="AR46" s="1002">
        <f t="shared" ca="1" si="24"/>
        <v>-8.617361112786881E-2</v>
      </c>
      <c r="AS46" s="1002"/>
    </row>
    <row r="47" spans="3:45" ht="11.25" customHeight="1">
      <c r="C47" s="969">
        <f t="shared" si="11"/>
        <v>43830</v>
      </c>
      <c r="D47" s="974">
        <f t="shared" si="9"/>
        <v>43875</v>
      </c>
      <c r="E47" s="765" cm="1">
        <f t="array" aca="1" ref="E47" ca="1">IF(Reuters=1,_xll.TR(E$7,E$6,"Sdate=#1 Period=#2 NULL=BLANK",,$D47,"NTM"),E47)</f>
        <v>8.1025042109024508</v>
      </c>
      <c r="F47" s="765" cm="1">
        <f t="array" aca="1" ref="F47" ca="1">IF(Reuters=1,_xll.TR(F$7,F$6,"Sdate=#1 Period=#2 NULL=BLANK",,$D47,"NTM"),F47)</f>
        <v>8.8249935636539192</v>
      </c>
      <c r="G47" s="765" cm="1">
        <f t="array" aca="1" ref="G47" ca="1">IF(Reuters=1,_xll.TR(G$7,G$6,"Sdate=#1 Period=#2 NULL=BLANK",,$D47,"NTM"),G47)</f>
        <v>8.4287509151522393</v>
      </c>
      <c r="H47" s="765" cm="1">
        <f t="array" aca="1" ref="H47" ca="1">IF(Reuters=1,_xll.TR(H$7,H$6,"Sdate=#1 Period=#2 NULL=BLANK",,$D47,"NTM"),H47)</f>
        <v>6.8679294504435999</v>
      </c>
      <c r="I47" s="765" cm="1">
        <f t="array" aca="1" ref="I47" ca="1">IF(Reuters=1,_xll.TR(I$7,I$6,"Sdate=#1 Period=#2 NULL=BLANK",,$D47,"NTM"),I47)</f>
        <v>6.6161280821414898</v>
      </c>
      <c r="J47" s="765" cm="1">
        <f t="array" aca="1" ref="J47" ca="1">IF(Reuters=1,_xll.TR(J$7,J$6,"Sdate=#1 Period=#2 NULL=BLANK",,$D47,"NTM"),J47)</f>
        <v>9.9936024426812509</v>
      </c>
      <c r="K47" s="765" cm="1">
        <f t="array" aca="1" ref="K47" ca="1">IF(Reuters=1,_xll.TR(K$7,K$6,"Sdate=#1 Period=#2 NULL=BLANK",,$D47,"NTM"),K47)</f>
        <v>13.1195324277727</v>
      </c>
      <c r="L47" s="765" cm="1">
        <f t="array" aca="1" ref="L47" ca="1">IF(Reuters=1,_xll.TR(L$7,L$6,"Sdate=#1 Period=#2 NULL=BLANK",,$D47,"NTM"),L47)</f>
        <v>7.8634431969832299</v>
      </c>
      <c r="M47" s="765" cm="1">
        <f t="array" aca="1" ref="M47" ca="1">IF(Reuters=1,_xll.TR(M$7,M$6,"Sdate=#1 Period=#2 NULL=BLANK",,$D47,"NTM"),M47)</f>
        <v>6.7320675937804202</v>
      </c>
      <c r="O47" s="969">
        <f t="shared" si="12"/>
        <v>43830</v>
      </c>
      <c r="P47" s="1002">
        <f t="shared" ca="1" si="13"/>
        <v>8.5558059590761051</v>
      </c>
      <c r="Q47" s="1002">
        <f t="shared" ca="1" si="14"/>
        <v>8.1025042109024508</v>
      </c>
      <c r="R47" s="1002">
        <f t="shared" ca="1" si="15"/>
        <v>8.4287509151522393</v>
      </c>
      <c r="S47" s="1002">
        <f t="shared" ca="1" si="25"/>
        <v>8.8249935636539192</v>
      </c>
      <c r="T47" s="1002">
        <f t="shared" ca="1" si="16"/>
        <v>9.1558059590761047</v>
      </c>
      <c r="U47" s="1006">
        <f t="shared" ca="1" si="17"/>
        <v>-0.45330174817365432</v>
      </c>
      <c r="V47" s="1006">
        <f t="shared" ca="1" si="18"/>
        <v>-0.32624670424978852</v>
      </c>
      <c r="W47" s="1006">
        <f t="shared" ca="1" si="19"/>
        <v>-0.72248935275146842</v>
      </c>
      <c r="Y47" s="765">
        <f ca="1">'Other Pulls'!AT47</f>
        <v>10.5375</v>
      </c>
      <c r="Z47" s="1034">
        <f ca="1">'Other Pulls'!AU47</f>
        <v>19.280555833333299</v>
      </c>
      <c r="AL47" s="1002">
        <f t="shared" ca="1" si="20"/>
        <v>-0.72248935275146842</v>
      </c>
      <c r="AM47" s="1002">
        <f t="shared" ca="1" si="21"/>
        <v>-0.32624670424978852</v>
      </c>
      <c r="AN47" s="1002">
        <f t="shared" ca="1" si="26"/>
        <v>1.2345747604588508</v>
      </c>
      <c r="AO47" s="1002">
        <f t="shared" ca="1" si="22"/>
        <v>1.4863761287609609</v>
      </c>
      <c r="AP47" s="1002"/>
      <c r="AQ47" s="1002">
        <f t="shared" ca="1" si="23"/>
        <v>-5.0170282168702496</v>
      </c>
      <c r="AR47" s="1002">
        <f t="shared" ca="1" si="24"/>
        <v>0.23906101391922085</v>
      </c>
      <c r="AS47" s="1002"/>
    </row>
    <row r="48" spans="3:45" ht="11.25" customHeight="1">
      <c r="C48" s="971">
        <f t="shared" si="11"/>
        <v>43921</v>
      </c>
      <c r="D48" s="974">
        <f t="shared" si="9"/>
        <v>43966</v>
      </c>
      <c r="E48" s="765" cm="1">
        <f t="array" aca="1" ref="E48" ca="1">IF(Reuters=1,_xll.TR(E$7,E$6,"Sdate=#1 Period=#2 NULL=BLANK",,$D48,"NTM"),E48)</f>
        <v>7.7360333434325597</v>
      </c>
      <c r="F48" s="765" cm="1">
        <f t="array" aca="1" ref="F48" ca="1">IF(Reuters=1,_xll.TR(F$7,F$6,"Sdate=#1 Period=#2 NULL=BLANK",,$D48,"NTM"),F48)</f>
        <v>8.5236365642680898</v>
      </c>
      <c r="G48" s="765" cm="1">
        <f t="array" aca="1" ref="G48" ca="1">IF(Reuters=1,_xll.TR(G$7,G$6,"Sdate=#1 Period=#2 NULL=BLANK",,$D48,"NTM"),G48)</f>
        <v>7.7833295329462597</v>
      </c>
      <c r="H48" s="765" cm="1">
        <f t="array" aca="1" ref="H48" ca="1">IF(Reuters=1,_xll.TR(H$7,H$6,"Sdate=#1 Period=#2 NULL=BLANK",,$D48,"NTM"),H48)</f>
        <v>7.1380942331501096</v>
      </c>
      <c r="I48" s="765" cm="1">
        <f t="array" aca="1" ref="I48" ca="1">IF(Reuters=1,_xll.TR(I$7,I$6,"Sdate=#1 Period=#2 NULL=BLANK",,$D48,"NTM"),I48)</f>
        <v>7.0902724690180099</v>
      </c>
      <c r="J48" s="765" cm="1">
        <f t="array" aca="1" ref="J48" ca="1">IF(Reuters=1,_xll.TR(J$7,J$6,"Sdate=#1 Period=#2 NULL=BLANK",,$D48,"NTM"),J48)</f>
        <v>10.1679282825252</v>
      </c>
      <c r="K48" s="765" cm="1">
        <f t="array" aca="1" ref="K48" ca="1">IF(Reuters=1,_xll.TR(K$7,K$6,"Sdate=#1 Period=#2 NULL=BLANK",,$D48,"NTM"),K48)</f>
        <v>6.3614658435631997</v>
      </c>
      <c r="L48" s="765" cm="1">
        <f t="array" aca="1" ref="L48" ca="1">IF(Reuters=1,_xll.TR(L$7,L$6,"Sdate=#1 Period=#2 NULL=BLANK",,$D48,"NTM"),L48)</f>
        <v>6.7487223072337699</v>
      </c>
      <c r="M48" s="765" cm="1">
        <f t="array" aca="1" ref="M48" ca="1">IF(Reuters=1,_xll.TR(M$7,M$6,"Sdate=#1 Period=#2 NULL=BLANK",,$D48,"NTM"),M48)</f>
        <v>7.1091764709527698</v>
      </c>
      <c r="O48" s="971">
        <f t="shared" si="12"/>
        <v>43921</v>
      </c>
      <c r="P48" s="1002">
        <f t="shared" ca="1" si="13"/>
        <v>7.6153282129571762</v>
      </c>
      <c r="Q48" s="1002">
        <f t="shared" ca="1" si="14"/>
        <v>7.7360333434325597</v>
      </c>
      <c r="R48" s="1002">
        <f t="shared" ca="1" si="15"/>
        <v>7.7833295329462597</v>
      </c>
      <c r="S48" s="1002">
        <f t="shared" ca="1" si="25"/>
        <v>8.5236365642680898</v>
      </c>
      <c r="T48" s="1002">
        <f t="shared" ca="1" si="16"/>
        <v>8.2153282129571767</v>
      </c>
      <c r="U48" s="1006">
        <f t="shared" ca="1" si="17"/>
        <v>0.12070513047538345</v>
      </c>
      <c r="V48" s="1006">
        <f t="shared" ca="1" si="18"/>
        <v>-4.7296189513700071E-2</v>
      </c>
      <c r="W48" s="1006">
        <f t="shared" ca="1" si="19"/>
        <v>-0.78760322083553014</v>
      </c>
      <c r="Y48" s="765">
        <f ca="1">'Other Pulls'!AT48</f>
        <v>11.466666666666701</v>
      </c>
      <c r="Z48" s="1034">
        <f ca="1">'Other Pulls'!AU48</f>
        <v>18.827774999999999</v>
      </c>
      <c r="AL48" s="1002">
        <f t="shared" ca="1" si="20"/>
        <v>-0.78760322083553014</v>
      </c>
      <c r="AM48" s="1002">
        <f t="shared" ca="1" si="21"/>
        <v>-4.7296189513700071E-2</v>
      </c>
      <c r="AN48" s="1002">
        <f t="shared" ca="1" si="26"/>
        <v>0.59793911028245006</v>
      </c>
      <c r="AO48" s="1002">
        <f t="shared" ca="1" si="22"/>
        <v>0.64576087441454977</v>
      </c>
      <c r="AP48" s="1002"/>
      <c r="AQ48" s="1002">
        <f t="shared" ca="1" si="23"/>
        <v>1.37456749986936</v>
      </c>
      <c r="AR48" s="1002">
        <f t="shared" ca="1" si="24"/>
        <v>0.98731103619878979</v>
      </c>
      <c r="AS48" s="1002"/>
    </row>
    <row r="49" spans="3:45" ht="11.25" customHeight="1">
      <c r="C49" s="972">
        <f t="shared" si="11"/>
        <v>44012</v>
      </c>
      <c r="D49" s="974">
        <f t="shared" si="9"/>
        <v>44057</v>
      </c>
      <c r="E49" s="765" cm="1">
        <f t="array" aca="1" ref="E49" ca="1">IF(Reuters=1,_xll.TR(E$7,E$6,"Sdate=#1 Period=#2 NULL=BLANK",,$D49,"NTM"),E49)</f>
        <v>8.5137936424066005</v>
      </c>
      <c r="F49" s="765" cm="1">
        <f t="array" aca="1" ref="F49" ca="1">IF(Reuters=1,_xll.TR(F$7,F$6,"Sdate=#1 Period=#2 NULL=BLANK",,$D49,"NTM"),F49)</f>
        <v>10.2149931736712</v>
      </c>
      <c r="G49" s="765" cm="1">
        <f t="array" aca="1" ref="G49" ca="1">IF(Reuters=1,_xll.TR(G$7,G$6,"Sdate=#1 Period=#2 NULL=BLANK",,$D49,"NTM"),G49)</f>
        <v>8.8966084027665193</v>
      </c>
      <c r="H49" s="765" cm="1">
        <f t="array" aca="1" ref="H49" ca="1">IF(Reuters=1,_xll.TR(H$7,H$6,"Sdate=#1 Period=#2 NULL=BLANK",,$D49,"NTM"),H49)</f>
        <v>8.7633145536679606</v>
      </c>
      <c r="I49" s="765" cm="1">
        <f t="array" aca="1" ref="I49" ca="1">IF(Reuters=1,_xll.TR(I$7,I$6,"Sdate=#1 Period=#2 NULL=BLANK",,$D49,"NTM"),I49)</f>
        <v>7.8123924009288102</v>
      </c>
      <c r="J49" s="765" cm="1">
        <f t="array" aca="1" ref="J49" ca="1">IF(Reuters=1,_xll.TR(J$7,J$6,"Sdate=#1 Period=#2 NULL=BLANK",,$D49,"NTM"),J49)</f>
        <v>11.512848111198</v>
      </c>
      <c r="K49" s="765" cm="1">
        <f t="array" aca="1" ref="K49" ca="1">IF(Reuters=1,_xll.TR(K$7,K$6,"Sdate=#1 Period=#2 NULL=BLANK",,$D49,"NTM"),K49)</f>
        <v>5.5244673219029199</v>
      </c>
      <c r="L49" s="765" cm="1">
        <f t="array" aca="1" ref="L49" ca="1">IF(Reuters=1,_xll.TR(L$7,L$6,"Sdate=#1 Period=#2 NULL=BLANK",,$D49,"NTM"),L49)</f>
        <v>8.8574234010890702</v>
      </c>
      <c r="M49" s="765" cm="1">
        <f t="array" aca="1" ref="M49" ca="1">IF(Reuters=1,_xll.TR(M$7,M$6,"Sdate=#1 Period=#2 NULL=BLANK",,$D49,"NTM"),M49)</f>
        <v>8.7328053829263794</v>
      </c>
      <c r="O49" s="972">
        <f t="shared" si="12"/>
        <v>44012</v>
      </c>
      <c r="P49" s="1002">
        <f t="shared" ca="1" si="13"/>
        <v>8.7893565935188569</v>
      </c>
      <c r="Q49" s="1002">
        <f t="shared" ca="1" si="14"/>
        <v>8.5137936424066005</v>
      </c>
      <c r="R49" s="1002">
        <f t="shared" ca="1" si="15"/>
        <v>8.8966084027665193</v>
      </c>
      <c r="S49" s="1002">
        <f t="shared" ca="1" si="25"/>
        <v>10.2149931736712</v>
      </c>
      <c r="T49" s="1002">
        <f t="shared" ca="1" si="16"/>
        <v>9.3893565935188565</v>
      </c>
      <c r="U49" s="1006">
        <f t="shared" ca="1" si="17"/>
        <v>-0.27556295111225637</v>
      </c>
      <c r="V49" s="1006">
        <f t="shared" ca="1" si="18"/>
        <v>-0.38281476035991879</v>
      </c>
      <c r="W49" s="1006">
        <f t="shared" ca="1" si="19"/>
        <v>-1.7011995312645993</v>
      </c>
      <c r="Y49" s="765">
        <f ca="1">'Other Pulls'!AT49</f>
        <v>8.80833333333333</v>
      </c>
      <c r="Z49" s="1034">
        <f ca="1">'Other Pulls'!AU49</f>
        <v>15.091666666666701</v>
      </c>
      <c r="AL49" s="1002">
        <f t="shared" ca="1" si="20"/>
        <v>-1.7011995312645993</v>
      </c>
      <c r="AM49" s="1002">
        <f t="shared" ca="1" si="21"/>
        <v>-0.38281476035991879</v>
      </c>
      <c r="AN49" s="1002">
        <f t="shared" ca="1" si="26"/>
        <v>-0.24952091126136011</v>
      </c>
      <c r="AO49" s="1002">
        <f t="shared" ca="1" si="22"/>
        <v>0.70140124147779037</v>
      </c>
      <c r="AP49" s="1002"/>
      <c r="AQ49" s="1002">
        <f t="shared" ca="1" si="23"/>
        <v>2.9893263205036806</v>
      </c>
      <c r="AR49" s="1002">
        <f t="shared" ca="1" si="24"/>
        <v>-0.3436297586824697</v>
      </c>
      <c r="AS49" s="1002"/>
    </row>
    <row r="50" spans="3:45" ht="11.25" customHeight="1">
      <c r="C50" s="973">
        <f t="shared" si="11"/>
        <v>44104</v>
      </c>
      <c r="D50" s="974">
        <f t="shared" si="9"/>
        <v>44149</v>
      </c>
      <c r="E50" s="765" cm="1">
        <f t="array" aca="1" ref="E50" ca="1">IF(Reuters=1,_xll.TR(E$7,E$6,"Sdate=#1 Period=#2 NULL=BLANK",,$D50,"NTM"),E50)</f>
        <v>9.4849104948247795</v>
      </c>
      <c r="F50" s="765" cm="1">
        <f t="array" aca="1" ref="F50" ca="1">IF(Reuters=1,_xll.TR(F$7,F$6,"Sdate=#1 Period=#2 NULL=BLANK",,$D50,"NTM"),F50)</f>
        <v>11.6035812903928</v>
      </c>
      <c r="G50" s="765" cm="1">
        <f t="array" aca="1" ref="G50" ca="1">IF(Reuters=1,_xll.TR(G$7,G$6,"Sdate=#1 Period=#2 NULL=BLANK",,$D50,"NTM"),G50)</f>
        <v>8.4769870682224795</v>
      </c>
      <c r="H50" s="765" cm="1">
        <f t="array" aca="1" ref="H50" ca="1">IF(Reuters=1,_xll.TR(H$7,H$6,"Sdate=#1 Period=#2 NULL=BLANK",,$D50,"NTM"),H50)</f>
        <v>8.1106390783534401</v>
      </c>
      <c r="I50" s="765" cm="1">
        <f t="array" aca="1" ref="I50" ca="1">IF(Reuters=1,_xll.TR(I$7,I$6,"Sdate=#1 Period=#2 NULL=BLANK",,$D50,"NTM"),I50)</f>
        <v>8.0734728848752706</v>
      </c>
      <c r="J50" s="765" cm="1">
        <f t="array" aca="1" ref="J50" ca="1">IF(Reuters=1,_xll.TR(J$7,J$6,"Sdate=#1 Period=#2 NULL=BLANK",,$D50,"NTM"),J50)</f>
        <v>12.8069219921456</v>
      </c>
      <c r="K50" s="765" cm="1">
        <f t="array" aca="1" ref="K50" ca="1">IF(Reuters=1,_xll.TR(K$7,K$6,"Sdate=#1 Period=#2 NULL=BLANK",,$D50,"NTM"),K50)</f>
        <v>9.7336204654455205</v>
      </c>
      <c r="L50" s="765" cm="1">
        <f t="array" aca="1" ref="L50" ca="1">IF(Reuters=1,_xll.TR(L$7,L$6,"Sdate=#1 Period=#2 NULL=BLANK",,$D50,"NTM"),L50)</f>
        <v>7.9031256698938703</v>
      </c>
      <c r="M50" s="765" cm="1">
        <f t="array" aca="1" ref="M50" ca="1">IF(Reuters=1,_xll.TR(M$7,M$6,"Sdate=#1 Period=#2 NULL=BLANK",,$D50,"NTM"),M50)</f>
        <v>8.9235596185822299</v>
      </c>
      <c r="O50" s="973">
        <f t="shared" si="12"/>
        <v>44104</v>
      </c>
      <c r="P50" s="1002">
        <f t="shared" ca="1" si="13"/>
        <v>9.4539885084889015</v>
      </c>
      <c r="Q50" s="1002">
        <f t="shared" ca="1" si="14"/>
        <v>9.4849104948247795</v>
      </c>
      <c r="R50" s="1002">
        <f t="shared" ca="1" si="15"/>
        <v>8.4769870682224795</v>
      </c>
      <c r="S50" s="1002">
        <f t="shared" ca="1" si="25"/>
        <v>11.6035812903928</v>
      </c>
      <c r="T50" s="1002">
        <f t="shared" ca="1" si="16"/>
        <v>10.053988508488901</v>
      </c>
      <c r="U50" s="1006">
        <f t="shared" ca="1" si="17"/>
        <v>3.092198633587806E-2</v>
      </c>
      <c r="V50" s="1006">
        <f t="shared" ca="1" si="18"/>
        <v>1.0079234266023001</v>
      </c>
      <c r="W50" s="1006">
        <f t="shared" ca="1" si="19"/>
        <v>-2.1186707955680202</v>
      </c>
      <c r="Y50" s="765">
        <f ca="1">'Other Pulls'!AT50</f>
        <v>8.8444466666666699</v>
      </c>
      <c r="Z50" s="1034">
        <f ca="1">'Other Pulls'!AU50</f>
        <v>16.649999999999999</v>
      </c>
      <c r="AL50" s="1002">
        <f t="shared" ca="1" si="20"/>
        <v>-2.1186707955680202</v>
      </c>
      <c r="AM50" s="1002">
        <f t="shared" ca="1" si="21"/>
        <v>1.0079234266023001</v>
      </c>
      <c r="AN50" s="1002">
        <f t="shared" ca="1" si="26"/>
        <v>1.3742714164713394</v>
      </c>
      <c r="AO50" s="1002">
        <f t="shared" ca="1" si="22"/>
        <v>1.411437609949509</v>
      </c>
      <c r="AP50" s="1002"/>
      <c r="AQ50" s="1002">
        <f t="shared" ca="1" si="23"/>
        <v>-0.24870997062074096</v>
      </c>
      <c r="AR50" s="1002">
        <f t="shared" ca="1" si="24"/>
        <v>1.5817848249309092</v>
      </c>
      <c r="AS50" s="1002"/>
    </row>
    <row r="51" spans="3:45">
      <c r="C51" s="969">
        <f t="shared" si="11"/>
        <v>44196</v>
      </c>
      <c r="D51" s="974">
        <f t="shared" si="9"/>
        <v>44241</v>
      </c>
      <c r="E51" s="765" cm="1">
        <f t="array" aca="1" ref="E51" ca="1">IF(Reuters=1,_xll.TR(E$7,E$6,"Sdate=#1 Period=#2 NULL=BLANK",,$D51,"NTM"),E51)</f>
        <v>9.8442805486113105</v>
      </c>
      <c r="F51" s="765" cm="1">
        <f t="array" aca="1" ref="F51" ca="1">IF(Reuters=1,_xll.TR(F$7,F$6,"Sdate=#1 Period=#2 NULL=BLANK",,$D51,"NTM"),F51)</f>
        <v>10.024387493356899</v>
      </c>
      <c r="G51" s="765" cm="1">
        <f t="array" aca="1" ref="G51" ca="1">IF(Reuters=1,_xll.TR(G$7,G$6,"Sdate=#1 Period=#2 NULL=BLANK",,$D51,"NTM"),G51)</f>
        <v>8.8725018858468694</v>
      </c>
      <c r="H51" s="765" cm="1">
        <f t="array" aca="1" ref="H51" ca="1">IF(Reuters=1,_xll.TR(H$7,H$6,"Sdate=#1 Period=#2 NULL=BLANK",,$D51,"NTM"),H51)</f>
        <v>7.63776557868092</v>
      </c>
      <c r="I51" s="765" cm="1">
        <f t="array" aca="1" ref="I51" ca="1">IF(Reuters=1,_xll.TR(I$7,I$6,"Sdate=#1 Period=#2 NULL=BLANK",,$D51,"NTM"),I51)</f>
        <v>7.7058426015905397</v>
      </c>
      <c r="J51" s="765" cm="1">
        <f t="array" aca="1" ref="J51" ca="1">IF(Reuters=1,_xll.TR(J$7,J$6,"Sdate=#1 Period=#2 NULL=BLANK",,$D51,"NTM"),J51)</f>
        <v>15.051721126721599</v>
      </c>
      <c r="K51" s="765" cm="1">
        <f t="array" aca="1" ref="K51" ca="1">IF(Reuters=1,_xll.TR(K$7,K$6,"Sdate=#1 Period=#2 NULL=BLANK",,$D51,"NTM"),K51)</f>
        <v>10.3904782137223</v>
      </c>
      <c r="L51" s="765" cm="1">
        <f t="array" aca="1" ref="L51" ca="1">IF(Reuters=1,_xll.TR(L$7,L$6,"Sdate=#1 Period=#2 NULL=BLANK",,$D51,"NTM"),L51)</f>
        <v>7.8854594778868004</v>
      </c>
      <c r="M51" s="765" cm="1">
        <f t="array" aca="1" ref="M51" ca="1">IF(Reuters=1,_xll.TR(M$7,M$6,"Sdate=#1 Period=#2 NULL=BLANK",,$D51,"NTM"),M51)</f>
        <v>9.2873817244923096</v>
      </c>
      <c r="O51" s="969">
        <f t="shared" si="12"/>
        <v>44196</v>
      </c>
      <c r="P51" s="1002">
        <f t="shared" ca="1" si="13"/>
        <v>9.60694226278728</v>
      </c>
      <c r="Q51" s="1002">
        <f t="shared" ca="1" si="14"/>
        <v>9.8442805486113105</v>
      </c>
      <c r="R51" s="1002">
        <f t="shared" ca="1" si="15"/>
        <v>8.8725018858468694</v>
      </c>
      <c r="S51" s="1002">
        <f t="shared" ca="1" si="25"/>
        <v>10.024387493356899</v>
      </c>
      <c r="T51" s="1002">
        <f t="shared" ca="1" si="16"/>
        <v>10.20694226278728</v>
      </c>
      <c r="U51" s="1006">
        <f t="shared" ca="1" si="17"/>
        <v>0.23733828582403049</v>
      </c>
      <c r="V51" s="1006">
        <f t="shared" ca="1" si="18"/>
        <v>0.97177866276444114</v>
      </c>
      <c r="W51" s="1006">
        <f t="shared" ca="1" si="19"/>
        <v>-0.18010694474558875</v>
      </c>
      <c r="Y51" s="765">
        <f ca="1">'Other Pulls'!AT51</f>
        <v>9.5944441666666709</v>
      </c>
      <c r="Z51" s="1034">
        <f ca="1">'Other Pulls'!AU51</f>
        <v>16.5777808333333</v>
      </c>
      <c r="AL51" s="1003">
        <f t="shared" ca="1" si="20"/>
        <v>-0.18010694474558875</v>
      </c>
      <c r="AM51" s="1003">
        <f t="shared" ca="1" si="21"/>
        <v>0.97177866276444114</v>
      </c>
      <c r="AN51" s="1003">
        <f t="shared" ca="1" si="26"/>
        <v>2.2065149699303905</v>
      </c>
      <c r="AO51" s="1003">
        <f t="shared" ca="1" si="22"/>
        <v>2.1384379470207708</v>
      </c>
      <c r="AP51" s="1003"/>
      <c r="AQ51" s="1003">
        <f t="shared" ca="1" si="23"/>
        <v>-0.54619766511098966</v>
      </c>
      <c r="AR51" s="1003">
        <f t="shared" ca="1" si="24"/>
        <v>1.9588210707245102</v>
      </c>
      <c r="AS51" s="1003"/>
    </row>
    <row r="52" spans="3:45">
      <c r="C52" s="971">
        <f t="shared" si="11"/>
        <v>44286</v>
      </c>
      <c r="D52" s="974">
        <f t="shared" si="9"/>
        <v>44331</v>
      </c>
      <c r="E52" s="765" cm="1">
        <f t="array" aca="1" ref="E52" ca="1">IF(Reuters=1,_xll.TR(E$7,E$6,"Sdate=#1 Period=#2 NULL=BLANK",,$D52,"NTM"),E52)</f>
        <v>10.271528513511701</v>
      </c>
      <c r="F52" s="765" cm="1">
        <f t="array" aca="1" ref="F52" ca="1">IF(Reuters=1,_xll.TR(F$7,F$6,"Sdate=#1 Period=#2 NULL=BLANK",,$D52,"NTM"),F52)</f>
        <v>10.105019303900599</v>
      </c>
      <c r="G52" s="765" cm="1">
        <f t="array" aca="1" ref="G52" ca="1">IF(Reuters=1,_xll.TR(G$7,G$6,"Sdate=#1 Period=#2 NULL=BLANK",,$D52,"NTM"),G52)</f>
        <v>8.2831737899536009</v>
      </c>
      <c r="H52" s="765" cm="1">
        <f t="array" aca="1" ref="H52" ca="1">IF(Reuters=1,_xll.TR(H$7,H$6,"Sdate=#1 Period=#2 NULL=BLANK",,$D52,"NTM"),H52)</f>
        <v>6.9239209207180297</v>
      </c>
      <c r="I52" s="765" cm="1">
        <f t="array" aca="1" ref="I52" ca="1">IF(Reuters=1,_xll.TR(I$7,I$6,"Sdate=#1 Period=#2 NULL=BLANK",,$D52,"NTM"),I52)</f>
        <v>7.0250936849198098</v>
      </c>
      <c r="J52" s="765" cm="1">
        <f t="array" aca="1" ref="J52" ca="1">IF(Reuters=1,_xll.TR(J$7,J$6,"Sdate=#1 Period=#2 NULL=BLANK",,$D52,"NTM"),J52)</f>
        <v>12.174991893522501</v>
      </c>
      <c r="K52" s="765" cm="1">
        <f t="array" aca="1" ref="K52" ca="1">IF(Reuters=1,_xll.TR(K$7,K$6,"Sdate=#1 Period=#2 NULL=BLANK",,$D52,"NTM"),K52)</f>
        <v>10.663492570231901</v>
      </c>
      <c r="L52" s="765" cm="1">
        <f t="array" aca="1" ref="L52" ca="1">IF(Reuters=1,_xll.TR(L$7,L$6,"Sdate=#1 Period=#2 NULL=BLANK",,$D52,"NTM"),L52)</f>
        <v>6.8020072407491901</v>
      </c>
      <c r="M52" s="765" cm="1">
        <f t="array" aca="1" ref="M52" ca="1">IF(Reuters=1,_xll.TR(M$7,M$6,"Sdate=#1 Period=#2 NULL=BLANK",,$D52,"NTM"),M52)</f>
        <v>7.15114040297905</v>
      </c>
      <c r="O52" s="971">
        <f t="shared" si="12"/>
        <v>44286</v>
      </c>
      <c r="P52" s="1002">
        <f t="shared" ca="1" si="13"/>
        <v>8.6411049758718352</v>
      </c>
      <c r="Q52" s="1002">
        <f t="shared" ca="1" si="14"/>
        <v>10.271528513511701</v>
      </c>
      <c r="R52" s="1002">
        <f t="shared" ca="1" si="15"/>
        <v>8.2831737899536009</v>
      </c>
      <c r="S52" s="1002">
        <f t="shared" ca="1" si="25"/>
        <v>10.105019303900599</v>
      </c>
      <c r="T52" s="1002">
        <f t="shared" ca="1" si="16"/>
        <v>9.2411049758718349</v>
      </c>
      <c r="U52" s="1006">
        <f t="shared" ca="1" si="17"/>
        <v>1.6304235376398655</v>
      </c>
      <c r="V52" s="1006">
        <f t="shared" ca="1" si="18"/>
        <v>1.9883547235580998</v>
      </c>
      <c r="W52" s="1006">
        <f t="shared" ca="1" si="19"/>
        <v>0.16650920961110138</v>
      </c>
      <c r="Y52" s="765">
        <f ca="1">'Other Pulls'!AT52</f>
        <v>10.450003333333299</v>
      </c>
      <c r="Z52" s="1034">
        <f ca="1">'Other Pulls'!AU52</f>
        <v>15.661108333333299</v>
      </c>
      <c r="AL52" s="1003">
        <f t="shared" ca="1" si="20"/>
        <v>0.16650920961110138</v>
      </c>
      <c r="AM52" s="1003">
        <f t="shared" ca="1" si="21"/>
        <v>1.9883547235580998</v>
      </c>
      <c r="AN52" s="1003">
        <f t="shared" ca="1" si="26"/>
        <v>3.347607592793671</v>
      </c>
      <c r="AO52" s="1003">
        <f t="shared" ca="1" si="22"/>
        <v>3.2464348285918909</v>
      </c>
      <c r="AP52" s="1003"/>
      <c r="AQ52" s="1003">
        <f t="shared" ca="1" si="23"/>
        <v>-0.39196405672019985</v>
      </c>
      <c r="AR52" s="1003">
        <f t="shared" ca="1" si="24"/>
        <v>3.4695212727625107</v>
      </c>
      <c r="AS52" s="1003"/>
    </row>
    <row r="53" spans="3:45">
      <c r="C53" s="972">
        <f t="shared" si="11"/>
        <v>44377</v>
      </c>
      <c r="D53" s="974">
        <f t="shared" si="9"/>
        <v>44422</v>
      </c>
      <c r="E53" s="765" cm="1">
        <f t="array" aca="1" ref="E53" ca="1">IF(Reuters=1,_xll.TR(E$7,E$6,"Sdate=#1 Period=#2 NULL=BLANK",,$D53,"NTM"),E53)</f>
        <v>9.1276133775656394</v>
      </c>
      <c r="F53" s="765" cm="1">
        <f t="array" aca="1" ref="F53" ca="1">IF(Reuters=1,_xll.TR(F$7,F$6,"Sdate=#1 Period=#2 NULL=BLANK",,$D53,"NTM"),F53)</f>
        <v>8.9261359696164195</v>
      </c>
      <c r="G53" s="765" cm="1">
        <f t="array" aca="1" ref="G53" ca="1">IF(Reuters=1,_xll.TR(G$7,G$6,"Sdate=#1 Period=#2 NULL=BLANK",,$D53,"NTM"),G53)</f>
        <v>7.4810006167214</v>
      </c>
      <c r="H53" s="765" cm="1">
        <f t="array" aca="1" ref="H53" ca="1">IF(Reuters=1,_xll.TR(H$7,H$6,"Sdate=#1 Period=#2 NULL=BLANK",,$D53,"NTM"),H53)</f>
        <v>5.8296738160087997</v>
      </c>
      <c r="I53" s="765" cm="1">
        <f t="array" aca="1" ref="I53" ca="1">IF(Reuters=1,_xll.TR(I$7,I$6,"Sdate=#1 Period=#2 NULL=BLANK",,$D53,"NTM"),I53)</f>
        <v>5.6238141697110899</v>
      </c>
      <c r="J53" s="765" cm="1">
        <f t="array" aca="1" ref="J53" ca="1">IF(Reuters=1,_xll.TR(J$7,J$6,"Sdate=#1 Period=#2 NULL=BLANK",,$D53,"NTM"),J53)</f>
        <v>10.656712730241599</v>
      </c>
      <c r="K53" s="765" cm="1">
        <f t="array" aca="1" ref="K53" ca="1">IF(Reuters=1,_xll.TR(K$7,K$6,"Sdate=#1 Period=#2 NULL=BLANK",,$D53,"NTM"),K53)</f>
        <v>9.4572590663950091</v>
      </c>
      <c r="L53" s="765" cm="1">
        <f t="array" aca="1" ref="L53" ca="1">IF(Reuters=1,_xll.TR(L$7,L$6,"Sdate=#1 Period=#2 NULL=BLANK",,$D53,"NTM"),L53)</f>
        <v>5.5722583913685897</v>
      </c>
      <c r="M53" s="765" cm="1">
        <f t="array" aca="1" ref="M53" ca="1">IF(Reuters=1,_xll.TR(M$7,M$6,"Sdate=#1 Period=#2 NULL=BLANK",,$D53,"NTM"),M53)</f>
        <v>4.7941582369517004</v>
      </c>
      <c r="O53" s="972">
        <f t="shared" si="12"/>
        <v>44377</v>
      </c>
      <c r="P53" s="1002">
        <f t="shared" ca="1" si="13"/>
        <v>7.292626624626827</v>
      </c>
      <c r="Q53" s="1002">
        <f t="shared" ca="1" si="14"/>
        <v>9.1276133775656394</v>
      </c>
      <c r="R53" s="1002">
        <f t="shared" ca="1" si="15"/>
        <v>7.4810006167214</v>
      </c>
      <c r="S53" s="1002">
        <f t="shared" ca="1" si="25"/>
        <v>8.9261359696164195</v>
      </c>
      <c r="T53" s="1002">
        <f t="shared" ca="1" si="16"/>
        <v>7.8926266246268266</v>
      </c>
      <c r="U53" s="1006">
        <f t="shared" ca="1" si="17"/>
        <v>1.8349867529388124</v>
      </c>
      <c r="V53" s="1006">
        <f t="shared" ca="1" si="18"/>
        <v>1.6466127608442394</v>
      </c>
      <c r="W53" s="1006">
        <f t="shared" ca="1" si="19"/>
        <v>0.20147740794921987</v>
      </c>
      <c r="Y53" s="765">
        <f ca="1">'Other Pulls'!AT53</f>
        <v>11.7972208333333</v>
      </c>
      <c r="Z53" s="1034">
        <f ca="1">'Other Pulls'!AU53</f>
        <v>20.279166666666701</v>
      </c>
      <c r="AL53" s="1003">
        <f t="shared" ca="1" si="20"/>
        <v>0.20147740794921987</v>
      </c>
      <c r="AM53" s="1003">
        <f t="shared" ca="1" si="21"/>
        <v>1.6466127608442394</v>
      </c>
      <c r="AN53" s="1003">
        <f t="shared" ca="1" si="26"/>
        <v>3.2979395615568396</v>
      </c>
      <c r="AO53" s="1003">
        <f t="shared" ca="1" si="22"/>
        <v>3.5037992078545495</v>
      </c>
      <c r="AP53" s="1003"/>
      <c r="AQ53" s="1003">
        <f t="shared" ca="1" si="23"/>
        <v>-0.32964568882936973</v>
      </c>
      <c r="AR53" s="1003">
        <f t="shared" ca="1" si="24"/>
        <v>3.5553549861970497</v>
      </c>
      <c r="AS53" s="1003"/>
    </row>
    <row r="54" spans="3:45">
      <c r="C54" s="973">
        <f t="shared" si="11"/>
        <v>44469</v>
      </c>
      <c r="D54" s="974">
        <f t="shared" si="9"/>
        <v>44514</v>
      </c>
      <c r="E54" s="765" cm="1">
        <f t="array" aca="1" ref="E54" ca="1">IF(Reuters=1,_xll.TR(E$7,E$6,"Sdate=#1 Period=#2 NULL=BLANK",,$D54,"NTM"),E54)</f>
        <v>9.2449286711192098</v>
      </c>
      <c r="F54" s="765" cm="1">
        <f t="array" aca="1" ref="F54" ca="1">IF(Reuters=1,_xll.TR(F$7,F$6,"Sdate=#1 Period=#2 NULL=BLANK",,$D54,"NTM"),F54)</f>
        <v>8.5933641281883109</v>
      </c>
      <c r="G54" s="765" cm="1">
        <f t="array" aca="1" ref="G54" ca="1">IF(Reuters=1,_xll.TR(G$7,G$6,"Sdate=#1 Period=#2 NULL=BLANK",,$D54,"NTM"),G54)</f>
        <v>7.0134191941254498</v>
      </c>
      <c r="H54" s="765" cm="1">
        <f t="array" aca="1" ref="H54" ca="1">IF(Reuters=1,_xll.TR(H$7,H$6,"Sdate=#1 Period=#2 NULL=BLANK",,$D54,"NTM"),H54)</f>
        <v>5.5671660663270002</v>
      </c>
      <c r="I54" s="765" cm="1">
        <f t="array" aca="1" ref="I54" ca="1">IF(Reuters=1,_xll.TR(I$7,I$6,"Sdate=#1 Period=#2 NULL=BLANK",,$D54,"NTM"),I54)</f>
        <v>5.3548545033412296</v>
      </c>
      <c r="J54" s="765" cm="1">
        <f t="array" aca="1" ref="J54" ca="1">IF(Reuters=1,_xll.TR(J$7,J$6,"Sdate=#1 Period=#2 NULL=BLANK",,$D54,"NTM"),J54)</f>
        <v>11.502701068827401</v>
      </c>
      <c r="K54" s="765" cm="1">
        <f t="array" aca="1" ref="K54" ca="1">IF(Reuters=1,_xll.TR(K$7,K$6,"Sdate=#1 Period=#2 NULL=BLANK",,$D54,"NTM"),K54)</f>
        <v>10.7563839283254</v>
      </c>
      <c r="L54" s="765" cm="1">
        <f t="array" aca="1" ref="L54" ca="1">IF(Reuters=1,_xll.TR(L$7,L$6,"Sdate=#1 Period=#2 NULL=BLANK",,$D54,"NTM"),L54)</f>
        <v>6.2063029061506496</v>
      </c>
      <c r="M54" s="765" cm="1">
        <f t="array" aca="1" ref="M54" ca="1">IF(Reuters=1,_xll.TR(M$7,M$6,"Sdate=#1 Period=#2 NULL=BLANK",,$D54,"NTM"),M54)</f>
        <v>4.7564757836018297</v>
      </c>
      <c r="O54" s="973">
        <f t="shared" si="12"/>
        <v>44469</v>
      </c>
      <c r="P54" s="1002">
        <f t="shared" ca="1" si="13"/>
        <v>7.4688334473609084</v>
      </c>
      <c r="Q54" s="1002">
        <f t="shared" ca="1" si="14"/>
        <v>9.2449286711192098</v>
      </c>
      <c r="R54" s="1002">
        <f t="shared" ca="1" si="15"/>
        <v>7.0134191941254498</v>
      </c>
      <c r="S54" s="1002">
        <f t="shared" ca="1" si="25"/>
        <v>8.5933641281883109</v>
      </c>
      <c r="T54" s="1002">
        <f t="shared" ca="1" si="16"/>
        <v>8.0688334473609089</v>
      </c>
      <c r="U54" s="1006">
        <f t="shared" ca="1" si="17"/>
        <v>1.7760952237583014</v>
      </c>
      <c r="V54" s="1006">
        <f t="shared" ca="1" si="18"/>
        <v>2.23150947699376</v>
      </c>
      <c r="W54" s="1006">
        <f t="shared" ca="1" si="19"/>
        <v>0.65156454293089894</v>
      </c>
      <c r="Y54" s="765">
        <f ca="1">'Other Pulls'!AT54</f>
        <v>11.17778</v>
      </c>
      <c r="Z54" s="1034">
        <f ca="1">'Other Pulls'!AU54</f>
        <v>21.1</v>
      </c>
      <c r="AL54" s="1003">
        <f t="shared" ca="1" si="20"/>
        <v>0.65156454293089894</v>
      </c>
      <c r="AM54" s="1003">
        <f t="shared" ca="1" si="21"/>
        <v>2.23150947699376</v>
      </c>
      <c r="AN54" s="1003">
        <f t="shared" ca="1" si="26"/>
        <v>3.6777626047922096</v>
      </c>
      <c r="AO54" s="1003">
        <f t="shared" ca="1" si="22"/>
        <v>3.8900741677779802</v>
      </c>
      <c r="AP54" s="1003"/>
      <c r="AQ54" s="1003">
        <f t="shared" ca="1" si="23"/>
        <v>-1.5114552572061903</v>
      </c>
      <c r="AR54" s="1003">
        <f t="shared" ca="1" si="24"/>
        <v>3.0386257649685602</v>
      </c>
      <c r="AS54" s="1003"/>
    </row>
    <row r="55" spans="3:45">
      <c r="C55" s="969">
        <f t="shared" si="11"/>
        <v>44561</v>
      </c>
      <c r="D55" s="974">
        <f t="shared" si="9"/>
        <v>44606</v>
      </c>
      <c r="E55" s="765" cm="1">
        <f t="array" aca="1" ref="E55" ca="1">IF(Reuters=1,_xll.TR(E$7,E$6,"Sdate=#1 Period=#2 NULL=BLANK",,$D55,"NTM"),E55)</f>
        <v>9.3087136255806993</v>
      </c>
      <c r="F55" s="765" cm="1">
        <f t="array" aca="1" ref="F55" ca="1">IF(Reuters=1,_xll.TR(F$7,F$6,"Sdate=#1 Period=#2 NULL=BLANK",,$D55,"NTM"),F55)</f>
        <v>8.3329857326987202</v>
      </c>
      <c r="G55" s="765" cm="1">
        <f t="array" aca="1" ref="G55" ca="1">IF(Reuters=1,_xll.TR(G$7,G$6,"Sdate=#1 Period=#2 NULL=BLANK",,$D55,"NTM"),G55)</f>
        <v>7.2495152440428203</v>
      </c>
      <c r="H55" s="765" cm="1">
        <f t="array" aca="1" ref="H55" ca="1">IF(Reuters=1,_xll.TR(H$7,H$6,"Sdate=#1 Period=#2 NULL=BLANK",,$D55,"NTM"),H55)</f>
        <v>5.7086142801296704</v>
      </c>
      <c r="I55" s="765" cm="1">
        <f t="array" aca="1" ref="I55" ca="1">IF(Reuters=1,_xll.TR(I$7,I$6,"Sdate=#1 Period=#2 NULL=BLANK",,$D55,"NTM"),I55)</f>
        <v>5.7337046233334101</v>
      </c>
      <c r="J55" s="765" cm="1">
        <f t="array" aca="1" ref="J55" ca="1">IF(Reuters=1,_xll.TR(J$7,J$6,"Sdate=#1 Period=#2 NULL=BLANK",,$D55,"NTM"),J55)</f>
        <v>11.2248851386253</v>
      </c>
      <c r="K55" s="765" cm="1">
        <f t="array" aca="1" ref="K55" ca="1">IF(Reuters=1,_xll.TR(K$7,K$6,"Sdate=#1 Period=#2 NULL=BLANK",,$D55,"NTM"),K55)</f>
        <v>9.5114507653931106</v>
      </c>
      <c r="L55" s="765" cm="1">
        <f t="array" aca="1" ref="L55" ca="1">IF(Reuters=1,_xll.TR(L$7,L$6,"Sdate=#1 Period=#2 NULL=BLANK",,$D55,"NTM"),L55)</f>
        <v>6.4527309413302696</v>
      </c>
      <c r="M55" s="765" cm="1">
        <f t="array" aca="1" ref="M55" ca="1">IF(Reuters=1,_xll.TR(M$7,M$6,"Sdate=#1 Period=#2 NULL=BLANK",,$D55,"NTM"),M55)</f>
        <v>4.4680155131980896</v>
      </c>
      <c r="O55" s="969">
        <f t="shared" si="12"/>
        <v>44561</v>
      </c>
      <c r="P55" s="1002">
        <f t="shared" ca="1" si="13"/>
        <v>7.3352377798439248</v>
      </c>
      <c r="Q55" s="1002">
        <f t="shared" ca="1" si="14"/>
        <v>9.3087136255806993</v>
      </c>
      <c r="R55" s="1002">
        <f t="shared" ca="1" si="15"/>
        <v>7.2495152440428203</v>
      </c>
      <c r="S55" s="1002">
        <f t="shared" ca="1" si="25"/>
        <v>8.3329857326987202</v>
      </c>
      <c r="T55" s="1002">
        <f t="shared" ca="1" si="16"/>
        <v>7.9352377798439244</v>
      </c>
      <c r="U55" s="1006">
        <f t="shared" ca="1" si="17"/>
        <v>1.9734758457367745</v>
      </c>
      <c r="V55" s="1006">
        <f t="shared" ca="1" si="18"/>
        <v>2.0591983815378789</v>
      </c>
      <c r="W55" s="1006">
        <f t="shared" ca="1" si="19"/>
        <v>0.97572789288197903</v>
      </c>
      <c r="Y55" s="765">
        <f ca="1">'Other Pulls'!AT55</f>
        <v>12.3388891666667</v>
      </c>
      <c r="Z55" s="1034">
        <f ca="1">'Other Pulls'!AU55</f>
        <v>20.537500000000001</v>
      </c>
      <c r="AL55" s="1003">
        <f t="shared" ca="1" si="20"/>
        <v>0.97572789288197903</v>
      </c>
      <c r="AM55" s="1003">
        <f t="shared" ca="1" si="21"/>
        <v>2.0591983815378789</v>
      </c>
      <c r="AN55" s="1003">
        <f t="shared" ca="1" si="26"/>
        <v>3.6000993454510288</v>
      </c>
      <c r="AO55" s="1003">
        <f t="shared" ca="1" si="22"/>
        <v>3.5750090022472891</v>
      </c>
      <c r="AP55" s="1003"/>
      <c r="AQ55" s="1003">
        <f t="shared" ca="1" si="23"/>
        <v>-0.20273713981241137</v>
      </c>
      <c r="AR55" s="1003">
        <f t="shared" ca="1" si="24"/>
        <v>2.8559826842504297</v>
      </c>
      <c r="AS55" s="1003"/>
    </row>
    <row r="56" spans="3:45">
      <c r="C56" s="971">
        <f t="shared" si="11"/>
        <v>44651</v>
      </c>
      <c r="D56" s="974">
        <f t="shared" si="9"/>
        <v>44696</v>
      </c>
      <c r="E56" s="765" cm="1">
        <f t="array" aca="1" ref="E56" ca="1">IF(Reuters=1,_xll.TR(E$7,E$6,"Sdate=#1 Period=#2 NULL=BLANK",,$D56,"NTM"),E56)</f>
        <v>8.3097007763091906</v>
      </c>
      <c r="F56" s="765" cm="1">
        <f t="array" aca="1" ref="F56" ca="1">IF(Reuters=1,_xll.TR(F$7,F$6,"Sdate=#1 Period=#2 NULL=BLANK",,$D56,"NTM"),F56)</f>
        <v>7.0486361998093399</v>
      </c>
      <c r="G56" s="765" cm="1">
        <f t="array" aca="1" ref="G56" ca="1">IF(Reuters=1,_xll.TR(G$7,G$6,"Sdate=#1 Period=#2 NULL=BLANK",,$D56,"NTM"),G56)</f>
        <v>5.9463012519511897</v>
      </c>
      <c r="H56" s="765" cm="1">
        <f t="array" aca="1" ref="H56" ca="1">IF(Reuters=1,_xll.TR(H$7,H$6,"Sdate=#1 Period=#2 NULL=BLANK",,$D56,"NTM"),H56)</f>
        <v>5.5176290568054203</v>
      </c>
      <c r="I56" s="765" cm="1">
        <f t="array" aca="1" ref="I56" ca="1">IF(Reuters=1,_xll.TR(I$7,I$6,"Sdate=#1 Period=#2 NULL=BLANK",,$D56,"NTM"),I56)</f>
        <v>5.3062075447522297</v>
      </c>
      <c r="J56" s="765" cm="1">
        <f t="array" aca="1" ref="J56" ca="1">IF(Reuters=1,_xll.TR(J$7,J$6,"Sdate=#1 Period=#2 NULL=BLANK",,$D56,"NTM"),J56)</f>
        <v>12.122583228175801</v>
      </c>
      <c r="K56" s="765" cm="1">
        <f t="array" aca="1" ref="K56" ca="1">IF(Reuters=1,_xll.TR(K$7,K$6,"Sdate=#1 Period=#2 NULL=BLANK",,$D56,"NTM"),K56)</f>
        <v>8.4221422880121892</v>
      </c>
      <c r="L56" s="765" cm="1">
        <f t="array" aca="1" ref="L56" ca="1">IF(Reuters=1,_xll.TR(L$7,L$6,"Sdate=#1 Period=#2 NULL=BLANK",,$D56,"NTM"),L56)</f>
        <v>5.3549706056366801</v>
      </c>
      <c r="M56" s="765" cm="1">
        <f t="array" aca="1" ref="M56" ca="1">IF(Reuters=1,_xll.TR(M$7,M$6,"Sdate=#1 Period=#2 NULL=BLANK",,$D56,"NTM"),M56)</f>
        <v>4.7754302213112201</v>
      </c>
      <c r="O56" s="971">
        <f t="shared" si="12"/>
        <v>44651</v>
      </c>
      <c r="P56" s="1002">
        <f t="shared" ca="1" si="13"/>
        <v>6.8117375495567583</v>
      </c>
      <c r="Q56" s="1002">
        <f t="shared" ca="1" si="14"/>
        <v>8.3097007763091906</v>
      </c>
      <c r="R56" s="1002">
        <f t="shared" ca="1" si="15"/>
        <v>5.9463012519511897</v>
      </c>
      <c r="S56" s="1002">
        <f t="shared" ca="1" si="25"/>
        <v>7.0486361998093399</v>
      </c>
      <c r="T56" s="1002">
        <f t="shared" ca="1" si="16"/>
        <v>7.4117375495567579</v>
      </c>
      <c r="U56" s="1006">
        <f t="shared" ca="1" si="17"/>
        <v>1.4979632267524323</v>
      </c>
      <c r="V56" s="1006">
        <f t="shared" ca="1" si="18"/>
        <v>2.3633995243580008</v>
      </c>
      <c r="W56" s="1006">
        <f t="shared" ca="1" si="19"/>
        <v>1.2610645764998507</v>
      </c>
      <c r="Y56" s="765">
        <f ca="1">'Other Pulls'!AT56</f>
        <v>13.827775000000001</v>
      </c>
      <c r="Z56" s="1034">
        <f ca="1">'Other Pulls'!AU56</f>
        <v>20.6666666666667</v>
      </c>
      <c r="AL56" s="1003">
        <f t="shared" ca="1" si="20"/>
        <v>1.2610645764998507</v>
      </c>
      <c r="AM56" s="1003">
        <f t="shared" ca="1" si="21"/>
        <v>2.3633995243580008</v>
      </c>
      <c r="AN56" s="1003">
        <f t="shared" ca="1" si="26"/>
        <v>2.7920717195037703</v>
      </c>
      <c r="AO56" s="1003">
        <f t="shared" ca="1" si="22"/>
        <v>3.0034932315569609</v>
      </c>
      <c r="AP56" s="1003"/>
      <c r="AQ56" s="1003">
        <f t="shared" ca="1" si="23"/>
        <v>-0.11244151170299865</v>
      </c>
      <c r="AR56" s="1003">
        <f t="shared" ca="1" si="24"/>
        <v>2.9547301706725104</v>
      </c>
      <c r="AS56" s="1003"/>
    </row>
    <row r="57" spans="3:45">
      <c r="C57" s="972">
        <f t="shared" si="11"/>
        <v>44742</v>
      </c>
      <c r="D57" s="974">
        <f t="shared" si="9"/>
        <v>44787</v>
      </c>
      <c r="E57" s="765" cm="1">
        <f t="array" aca="1" ref="E57" ca="1">IF(Reuters=1,_xll.TR(E$7,E$6,"Sdate=#1 Period=#2 NULL=BLANK",,$D57,"NTM"),E57)</f>
        <v>7.8880948363602297</v>
      </c>
      <c r="F57" s="765" cm="1">
        <f t="array" aca="1" ref="F57" ca="1">IF(Reuters=1,_xll.TR(F$7,F$6,"Sdate=#1 Period=#2 NULL=BLANK",,$D57,"NTM"),F57)</f>
        <v>5.9366347276011897</v>
      </c>
      <c r="G57" s="765" cm="1">
        <f t="array" aca="1" ref="G57" ca="1">IF(Reuters=1,_xll.TR(G$7,G$6,"Sdate=#1 Period=#2 NULL=BLANK",,$D57,"NTM"),G57)</f>
        <v>6.0303691244003303</v>
      </c>
      <c r="H57" s="765" cm="1">
        <f t="array" aca="1" ref="H57" ca="1">IF(Reuters=1,_xll.TR(H$7,H$6,"Sdate=#1 Period=#2 NULL=BLANK",,$D57,"NTM"),H57)</f>
        <v>5.2172138573368603</v>
      </c>
      <c r="I57" s="765" cm="1">
        <f t="array" aca="1" ref="I57" ca="1">IF(Reuters=1,_xll.TR(I$7,I$6,"Sdate=#1 Period=#2 NULL=BLANK",,$D57,"NTM"),I57)</f>
        <v>5.1703640281036103</v>
      </c>
      <c r="J57" s="765" cm="1">
        <f t="array" aca="1" ref="J57" ca="1">IF(Reuters=1,_xll.TR(J$7,J$6,"Sdate=#1 Period=#2 NULL=BLANK",,$D57,"NTM"),J57)</f>
        <v>12.0704694937957</v>
      </c>
      <c r="K57" s="765" cm="1">
        <f t="array" aca="1" ref="K57" ca="1">IF(Reuters=1,_xll.TR(K$7,K$6,"Sdate=#1 Period=#2 NULL=BLANK",,$D57,"NTM"),K57)</f>
        <v>8.5025787891329596</v>
      </c>
      <c r="L57" s="765" cm="1">
        <f t="array" aca="1" ref="L57" ca="1">IF(Reuters=1,_xll.TR(L$7,L$6,"Sdate=#1 Period=#2 NULL=BLANK",,$D57,"NTM"),L57)</f>
        <v>5.0210555542059003</v>
      </c>
      <c r="M57" s="765" cm="1">
        <f t="array" aca="1" ref="M57" ca="1">IF(Reuters=1,_xll.TR(M$7,M$6,"Sdate=#1 Period=#2 NULL=BLANK",,$D57,"NTM"),M57)</f>
        <v>4.0918582307153297</v>
      </c>
      <c r="O57" s="972">
        <f t="shared" si="12"/>
        <v>44742</v>
      </c>
      <c r="P57" s="1002">
        <f t="shared" ca="1" si="13"/>
        <v>6.5050679756614853</v>
      </c>
      <c r="Q57" s="1002">
        <f t="shared" ca="1" si="14"/>
        <v>7.8880948363602297</v>
      </c>
      <c r="R57" s="1002">
        <f t="shared" ca="1" si="15"/>
        <v>6.0303691244003303</v>
      </c>
      <c r="S57" s="1002">
        <f t="shared" ca="1" si="25"/>
        <v>5.9366347276011897</v>
      </c>
      <c r="T57" s="1002">
        <f t="shared" ca="1" si="16"/>
        <v>7.105067975661485</v>
      </c>
      <c r="U57" s="1006">
        <f t="shared" ca="1" si="17"/>
        <v>1.3830268606987444</v>
      </c>
      <c r="V57" s="1006">
        <f t="shared" ca="1" si="18"/>
        <v>1.8577257119598993</v>
      </c>
      <c r="W57" s="1006">
        <f t="shared" ca="1" si="19"/>
        <v>1.95146010875904</v>
      </c>
      <c r="Y57" s="765">
        <f ca="1">'Other Pulls'!AT57</f>
        <v>14.6458333333333</v>
      </c>
      <c r="Z57" s="1034">
        <f ca="1">'Other Pulls'!AU57</f>
        <v>18.212499999999999</v>
      </c>
      <c r="AL57" s="1003">
        <f t="shared" ca="1" si="20"/>
        <v>1.95146010875904</v>
      </c>
      <c r="AM57" s="1003">
        <f t="shared" ca="1" si="21"/>
        <v>1.8577257119598993</v>
      </c>
      <c r="AN57" s="1003">
        <f t="shared" ca="1" si="26"/>
        <v>2.6708809790233694</v>
      </c>
      <c r="AO57" s="1003">
        <f t="shared" ca="1" si="22"/>
        <v>2.7177308082566194</v>
      </c>
      <c r="AP57" s="1003"/>
      <c r="AQ57" s="1003">
        <f t="shared" ca="1" si="23"/>
        <v>-0.61448395277272994</v>
      </c>
      <c r="AR57" s="1003">
        <f t="shared" ca="1" si="24"/>
        <v>2.8670392821543293</v>
      </c>
      <c r="AS57" s="1003"/>
    </row>
    <row r="58" spans="3:45">
      <c r="C58" s="973">
        <f t="shared" si="11"/>
        <v>44834</v>
      </c>
      <c r="D58" s="974">
        <f t="shared" si="9"/>
        <v>44879</v>
      </c>
      <c r="E58" s="765" cm="1">
        <f t="array" aca="1" ref="E58" ca="1">IF(Reuters=1,_xll.TR(E$7,E$6,"Sdate=#1 Period=#2 NULL=BLANK",,$D58,"NTM"),E58)</f>
        <v>8.0898627834786403</v>
      </c>
      <c r="F58" s="765" cm="1">
        <f t="array" aca="1" ref="F58" ca="1">IF(Reuters=1,_xll.TR(F$7,F$6,"Sdate=#1 Period=#2 NULL=BLANK",,$D58,"NTM"),F58)</f>
        <v>4.7586257730608503</v>
      </c>
      <c r="G58" s="765" cm="1">
        <f t="array" aca="1" ref="G58" ca="1">IF(Reuters=1,_xll.TR(G$7,G$6,"Sdate=#1 Period=#2 NULL=BLANK",,$D58,"NTM"),G58)</f>
        <v>7.1368550051145601</v>
      </c>
      <c r="H58" s="765" cm="1">
        <f t="array" aca="1" ref="H58" ca="1">IF(Reuters=1,_xll.TR(H$7,H$6,"Sdate=#1 Period=#2 NULL=BLANK",,$D58,"NTM"),H58)</f>
        <v>6.4801135057196397</v>
      </c>
      <c r="I58" s="765" cm="1">
        <f t="array" aca="1" ref="I58" ca="1">IF(Reuters=1,_xll.TR(I$7,I$6,"Sdate=#1 Period=#2 NULL=BLANK",,$D58,"NTM"),I58)</f>
        <v>6.8018743625990101</v>
      </c>
      <c r="J58" s="765" cm="1">
        <f t="array" aca="1" ref="J58" ca="1">IF(Reuters=1,_xll.TR(J$7,J$6,"Sdate=#1 Period=#2 NULL=BLANK",,$D58,"NTM"),J58)</f>
        <v>14.049192409800201</v>
      </c>
      <c r="K58" s="765" cm="1">
        <f t="array" aca="1" ref="K58" ca="1">IF(Reuters=1,_xll.TR(K$7,K$6,"Sdate=#1 Period=#2 NULL=BLANK",,$D58,"NTM"),K58)</f>
        <v>10.3206076882411</v>
      </c>
      <c r="L58" s="765" cm="1">
        <f t="array" aca="1" ref="L58" ca="1">IF(Reuters=1,_xll.TR(L$7,L$6,"Sdate=#1 Period=#2 NULL=BLANK",,$D58,"NTM"),L58)</f>
        <v>6.6139054172892999</v>
      </c>
      <c r="M58" s="765" cm="1">
        <f t="array" aca="1" ref="M58" ca="1">IF(Reuters=1,_xll.TR(M$7,M$6,"Sdate=#1 Period=#2 NULL=BLANK",,$D58,"NTM"),M58)</f>
        <v>5.56636981959445</v>
      </c>
      <c r="O58" s="973">
        <f t="shared" si="12"/>
        <v>44834</v>
      </c>
      <c r="P58" s="1002">
        <f t="shared" ca="1" si="13"/>
        <v>7.7159429976773888</v>
      </c>
      <c r="Q58" s="1002">
        <f t="shared" ca="1" si="14"/>
        <v>8.0898627834786403</v>
      </c>
      <c r="R58" s="1002">
        <f t="shared" ca="1" si="15"/>
        <v>7.1368550051145601</v>
      </c>
      <c r="S58" s="1002">
        <f t="shared" ca="1" si="25"/>
        <v>4.7586257730608503</v>
      </c>
      <c r="T58" s="1002">
        <f t="shared" ca="1" si="16"/>
        <v>8.3159429976773893</v>
      </c>
      <c r="U58" s="1006">
        <f t="shared" ca="1" si="17"/>
        <v>0.37391978580125151</v>
      </c>
      <c r="V58" s="1006">
        <f t="shared" ca="1" si="18"/>
        <v>0.95300777836408024</v>
      </c>
      <c r="W58" s="1006">
        <f t="shared" ca="1" si="19"/>
        <v>3.33123701041779</v>
      </c>
      <c r="Y58" s="765">
        <f ca="1">'Other Pulls'!AT58</f>
        <v>17.033333333333299</v>
      </c>
      <c r="Z58" s="1034">
        <f ca="1">'Other Pulls'!AU58</f>
        <v>18.149999999999999</v>
      </c>
      <c r="AL58" s="1003">
        <f t="shared" ca="1" si="20"/>
        <v>3.33123701041779</v>
      </c>
      <c r="AM58" s="1003">
        <f t="shared" ca="1" si="21"/>
        <v>0.95300777836408024</v>
      </c>
      <c r="AN58" s="1003">
        <f t="shared" ca="1" si="26"/>
        <v>1.6097492777590006</v>
      </c>
      <c r="AO58" s="1003">
        <f t="shared" ca="1" si="22"/>
        <v>1.2879884208796302</v>
      </c>
      <c r="AP58" s="1003"/>
      <c r="AQ58" s="1003">
        <f t="shared" ca="1" si="23"/>
        <v>-2.2307449047624601</v>
      </c>
      <c r="AR58" s="1003">
        <f t="shared" ca="1" si="24"/>
        <v>1.4759573661893404</v>
      </c>
      <c r="AS58" s="1003"/>
    </row>
    <row r="59" spans="3:45">
      <c r="C59" s="969">
        <f t="shared" si="11"/>
        <v>44926</v>
      </c>
      <c r="D59" s="974">
        <f t="shared" si="9"/>
        <v>44971</v>
      </c>
      <c r="E59" s="765" cm="1">
        <f t="array" aca="1" ref="E59" ca="1">IF(Reuters=1,_xll.TR(E$7,E$6,"Sdate=#1 Period=#2 NULL=BLANK",,$D59,"NTM"),E59)</f>
        <v>8.2746410890455397</v>
      </c>
      <c r="F59" s="765" cm="1">
        <f t="array" aca="1" ref="F59" ca="1">IF(Reuters=1,_xll.TR(F$7,F$6,"Sdate=#1 Period=#2 NULL=BLANK",,$D59,"NTM"),F59)</f>
        <v>5.2515122000512404</v>
      </c>
      <c r="G59" s="765" cm="1">
        <f t="array" aca="1" ref="G59" ca="1">IF(Reuters=1,_xll.TR(G$7,G$6,"Sdate=#1 Period=#2 NULL=BLANK",,$D59,"NTM"),G59)</f>
        <v>7.0614903688472204</v>
      </c>
      <c r="H59" s="765" cm="1">
        <f t="array" aca="1" ref="H59" ca="1">IF(Reuters=1,_xll.TR(H$7,H$6,"Sdate=#1 Period=#2 NULL=BLANK",,$D59,"NTM"),H59)</f>
        <v>8.0676748768117807</v>
      </c>
      <c r="I59" s="765" cm="1">
        <f t="array" aca="1" ref="I59" ca="1">IF(Reuters=1,_xll.TR(I$7,I$6,"Sdate=#1 Period=#2 NULL=BLANK",,$D59,"NTM"),I59)</f>
        <v>7.6727749262231901</v>
      </c>
      <c r="J59" s="765" cm="1">
        <f t="array" aca="1" ref="J59" ca="1">IF(Reuters=1,_xll.TR(J$7,J$6,"Sdate=#1 Period=#2 NULL=BLANK",,$D59,"NTM"),J59)</f>
        <v>14.2358017273475</v>
      </c>
      <c r="K59" s="765" cm="1">
        <f t="array" aca="1" ref="K59" ca="1">IF(Reuters=1,_xll.TR(K$7,K$6,"Sdate=#1 Period=#2 NULL=BLANK",,$D59,"NTM"),K59)</f>
        <v>11.125886694019201</v>
      </c>
      <c r="L59" s="765" cm="1">
        <f t="array" aca="1" ref="L59" ca="1">IF(Reuters=1,_xll.TR(L$7,L$6,"Sdate=#1 Period=#2 NULL=BLANK",,$D59,"NTM"),L59)</f>
        <v>6.96533103944705</v>
      </c>
      <c r="M59" s="765" cm="1">
        <f t="array" aca="1" ref="M59" ca="1">IF(Reuters=1,_xll.TR(M$7,M$6,"Sdate=#1 Period=#2 NULL=BLANK",,$D59,"NTM"),M59)</f>
        <v>6.3167381814598</v>
      </c>
      <c r="O59" s="969">
        <f t="shared" si="12"/>
        <v>44926</v>
      </c>
      <c r="P59" s="1002">
        <f t="shared" ca="1" si="13"/>
        <v>8.3371512517758735</v>
      </c>
      <c r="Q59" s="1002">
        <f t="shared" ca="1" si="14"/>
        <v>8.2746410890455397</v>
      </c>
      <c r="R59" s="1002">
        <f t="shared" ca="1" si="15"/>
        <v>7.0614903688472204</v>
      </c>
      <c r="S59" s="1002">
        <f t="shared" ca="1" si="25"/>
        <v>5.2515122000512404</v>
      </c>
      <c r="T59" s="1002">
        <f t="shared" ca="1" si="16"/>
        <v>8.9371512517758731</v>
      </c>
      <c r="U59" s="1006">
        <f t="shared" ca="1" si="17"/>
        <v>-6.2510162730333718E-2</v>
      </c>
      <c r="V59" s="1006">
        <f t="shared" ca="1" si="18"/>
        <v>1.2131507201983194</v>
      </c>
      <c r="W59" s="1006">
        <f t="shared" ca="1" si="19"/>
        <v>3.0231288889942993</v>
      </c>
      <c r="Y59" s="1002">
        <f ca="1">'Other Pulls'!AT59</f>
        <v>13.491666666666699</v>
      </c>
      <c r="Z59" s="1003">
        <f ca="1">'Other Pulls'!AU59</f>
        <v>15.7708333333333</v>
      </c>
      <c r="AL59" s="1003">
        <f t="shared" ca="1" si="20"/>
        <v>3.0231288889942993</v>
      </c>
      <c r="AM59" s="1003">
        <f t="shared" ca="1" si="21"/>
        <v>1.2131507201983194</v>
      </c>
      <c r="AN59" s="1003">
        <f t="shared" ca="1" si="26"/>
        <v>0.20696621223375899</v>
      </c>
      <c r="AO59" s="1003">
        <f t="shared" ca="1" si="22"/>
        <v>0.60186616282234962</v>
      </c>
      <c r="AP59" s="1003"/>
      <c r="AQ59" s="1003">
        <f t="shared" ca="1" si="23"/>
        <v>-2.851245604973661</v>
      </c>
      <c r="AR59" s="1003">
        <f t="shared" ca="1" si="24"/>
        <v>1.3093100495984897</v>
      </c>
      <c r="AS59" s="1003"/>
    </row>
    <row r="60" spans="3:45">
      <c r="C60" s="971">
        <f t="shared" si="11"/>
        <v>45016</v>
      </c>
      <c r="D60" s="974">
        <f>+C60+6</f>
        <v>45022</v>
      </c>
      <c r="E60" s="765" cm="1">
        <f t="array" aca="1" ref="E60" ca="1">IF(Reuters=1,_xll.TR(E$7,E$6,"Sdate=#1 Period=#2 NULL=BLANK",,$D60,"NTM"),E60)</f>
        <v>7.7168043757585503</v>
      </c>
      <c r="F60" s="765" cm="1">
        <f t="array" aca="1" ref="F60" ca="1">IF(Reuters=1,_xll.TR(F$7,F$6,"Sdate=#1 Period=#2 NULL=BLANK",,$D60,"NTM"),F60)</f>
        <v>8.6954848777734899</v>
      </c>
      <c r="G60" s="765" cm="1">
        <f t="array" aca="1" ref="G60" ca="1">IF(Reuters=1,_xll.TR(G$7,G$6,"Sdate=#1 Period=#2 NULL=BLANK",,$D60,"NTM"),G60)</f>
        <v>6.6084970490499799</v>
      </c>
      <c r="H60" s="765" cm="1">
        <f t="array" aca="1" ref="H60" ca="1">IF(Reuters=1,_xll.TR(H$7,H$6,"Sdate=#1 Period=#2 NULL=BLANK",,$D60,"NTM"),H60)</f>
        <v>7.2781938659212901</v>
      </c>
      <c r="I60" s="765" cm="1">
        <f t="array" aca="1" ref="I60" ca="1">IF(Reuters=1,_xll.TR(I$7,I$6,"Sdate=#1 Period=#2 NULL=BLANK",,$D60,"NTM"),I60)</f>
        <v>7.1186282920001096</v>
      </c>
      <c r="J60" s="765" cm="1">
        <f t="array" aca="1" ref="J60" ca="1">IF(Reuters=1,_xll.TR(J$7,J$6,"Sdate=#1 Period=#2 NULL=BLANK",,$D60,"NTM"),J60)</f>
        <v>10.9166233865969</v>
      </c>
      <c r="K60" s="765" cm="1">
        <f t="array" aca="1" ref="K60" ca="1">IF(Reuters=1,_xll.TR(K$7,K$6,"Sdate=#1 Period=#2 NULL=BLANK",,$D60,"NTM"),K60)</f>
        <v>9.3630776465076906</v>
      </c>
      <c r="L60" s="765" cm="1">
        <f t="array" aca="1" ref="L60" ca="1">IF(Reuters=1,_xll.TR(L$7,L$6,"Sdate=#1 Period=#2 NULL=BLANK",,$D60,"NTM"),L60)</f>
        <v>6.8502132192201497</v>
      </c>
      <c r="M60" s="765" cm="1">
        <f t="array" aca="1" ref="M60" ca="1">IF(Reuters=1,_xll.TR(M$7,M$6,"Sdate=#1 Period=#2 NULL=BLANK",,$D60,"NTM"),M60)</f>
        <v>5.7712276653031003</v>
      </c>
      <c r="O60" s="971">
        <f t="shared" si="12"/>
        <v>45016</v>
      </c>
      <c r="P60" s="1002">
        <f t="shared" ca="1" si="13"/>
        <v>7.8252432502965892</v>
      </c>
      <c r="Q60" s="1002">
        <f t="shared" ca="1" si="14"/>
        <v>7.7168043757585503</v>
      </c>
      <c r="R60" s="1002">
        <f t="shared" ca="1" si="15"/>
        <v>6.6084970490499799</v>
      </c>
      <c r="S60" s="1002">
        <f t="shared" ca="1" si="25"/>
        <v>8.6954848777734899</v>
      </c>
      <c r="T60" s="1002">
        <f t="shared" ca="1" si="16"/>
        <v>8.4252432502965888</v>
      </c>
      <c r="U60" s="1006">
        <f t="shared" ca="1" si="17"/>
        <v>-0.10843887453803891</v>
      </c>
      <c r="V60" s="1006">
        <f t="shared" ca="1" si="18"/>
        <v>1.1083073267085704</v>
      </c>
      <c r="W60" s="1006">
        <f t="shared" ca="1" si="19"/>
        <v>-0.97868050201493961</v>
      </c>
      <c r="Y60" s="1002">
        <f ca="1">'Other Pulls'!AT60</f>
        <v>12.775</v>
      </c>
      <c r="Z60" s="1003">
        <f ca="1">'Other Pulls'!AU60</f>
        <v>11.7</v>
      </c>
      <c r="AL60" s="1003">
        <f t="shared" ca="1" si="20"/>
        <v>-0.97868050201493961</v>
      </c>
      <c r="AM60" s="1003">
        <f t="shared" ca="1" si="21"/>
        <v>1.1083073267085704</v>
      </c>
      <c r="AN60" s="1003">
        <f t="shared" ca="1" si="26"/>
        <v>0.43861050983726013</v>
      </c>
      <c r="AO60" s="1003">
        <f t="shared" ca="1" si="22"/>
        <v>0.59817608375844067</v>
      </c>
      <c r="AP60" s="1003"/>
      <c r="AQ60" s="1003">
        <f t="shared" ca="1" si="23"/>
        <v>-1.6462732707491403</v>
      </c>
      <c r="AR60" s="1003">
        <f t="shared" ca="1" si="24"/>
        <v>0.86659115653840058</v>
      </c>
      <c r="AS60" s="1003"/>
    </row>
    <row r="61" spans="3:45">
      <c r="C61" s="779"/>
      <c r="D61" s="778"/>
      <c r="AL61" s="1002"/>
      <c r="AM61" s="1002"/>
      <c r="AN61" s="1002"/>
      <c r="AO61" s="1002"/>
    </row>
    <row r="62" spans="3:45">
      <c r="C62" s="780"/>
      <c r="D62" s="778"/>
    </row>
  </sheetData>
  <pageMargins left="0.7" right="0.7" top="0.75" bottom="0.75" header="0.3" footer="0.3"/>
  <pageSetup orientation="portrait" horizontalDpi="300" verticalDpi="300" r:id="rId1"/>
  <ignoredErrors>
    <ignoredError sqref="AN45:AN60" evalError="1"/>
    <ignoredError sqref="P20:P6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8F2A-ADB6-4704-A928-0228B0659F80}">
  <sheetPr codeName="Sheet5">
    <pageSetUpPr fitToPage="1"/>
  </sheetPr>
  <dimension ref="A1:AQ410"/>
  <sheetViews>
    <sheetView showGridLines="0" zoomScaleNormal="100" zoomScaleSheetLayoutView="100" workbookViewId="0">
      <pane xSplit="4" ySplit="7" topLeftCell="W263" activePane="bottomRight" state="frozen"/>
      <selection pane="topRight" activeCell="E1" sqref="E1"/>
      <selection pane="bottomLeft" activeCell="A8" sqref="A8"/>
      <selection pane="bottomRight" activeCell="X275" sqref="X275"/>
    </sheetView>
  </sheetViews>
  <sheetFormatPr defaultColWidth="9.19921875" defaultRowHeight="12.75" customHeight="1" outlineLevelRow="1" outlineLevelCol="1"/>
  <cols>
    <col min="1" max="2" width="1.796875" style="217" customWidth="1"/>
    <col min="3" max="3" width="30.796875" style="217" customWidth="1"/>
    <col min="4" max="4" width="13.46484375" style="217" customWidth="1"/>
    <col min="5" max="20" width="13.46484375" style="217" hidden="1" customWidth="1" outlineLevel="1"/>
    <col min="21" max="21" width="13.46484375" style="217" customWidth="1" collapsed="1"/>
    <col min="22" max="28" width="10.796875" style="217" customWidth="1"/>
    <col min="29" max="31" width="10.796875" style="217" bestFit="1" customWidth="1"/>
    <col min="32" max="32" width="9.19921875" style="217" customWidth="1"/>
    <col min="33" max="36" width="10.796875" style="217" bestFit="1" customWidth="1"/>
    <col min="37" max="16384" width="9.19921875" style="217"/>
  </cols>
  <sheetData>
    <row r="1" spans="1:43" ht="11.25" customHeight="1">
      <c r="A1" s="219" t="s">
        <v>652</v>
      </c>
      <c r="E1" s="219"/>
    </row>
    <row r="2" spans="1:43" ht="11.25" customHeight="1" outlineLevel="1">
      <c r="I2" s="285">
        <v>0</v>
      </c>
      <c r="J2" s="284" t="s">
        <v>563</v>
      </c>
    </row>
    <row r="3" spans="1:43" s="227" customFormat="1" ht="11.25" customHeight="1" outlineLevel="1">
      <c r="C3" s="233"/>
      <c r="D3" s="233"/>
      <c r="E3" s="283" t="s">
        <v>1110</v>
      </c>
      <c r="F3" s="283" t="s">
        <v>1109</v>
      </c>
      <c r="G3" s="283" t="s">
        <v>562</v>
      </c>
      <c r="H3" s="283" t="s">
        <v>561</v>
      </c>
      <c r="I3" s="283" t="s">
        <v>560</v>
      </c>
      <c r="J3" s="283" t="s">
        <v>559</v>
      </c>
      <c r="K3" s="283" t="s">
        <v>558</v>
      </c>
      <c r="L3" s="283" t="s">
        <v>557</v>
      </c>
      <c r="M3" s="283" t="s">
        <v>556</v>
      </c>
      <c r="N3" s="283" t="s">
        <v>555</v>
      </c>
      <c r="O3" s="283" t="s">
        <v>554</v>
      </c>
      <c r="P3" s="282" t="s">
        <v>553</v>
      </c>
      <c r="Q3" s="281" t="s">
        <v>552</v>
      </c>
      <c r="R3" s="281" t="s">
        <v>551</v>
      </c>
      <c r="S3" s="281" t="s">
        <v>550</v>
      </c>
      <c r="T3" s="281" t="s">
        <v>549</v>
      </c>
      <c r="U3" s="233"/>
      <c r="V3" s="280" t="s">
        <v>548</v>
      </c>
      <c r="W3" s="280" t="s">
        <v>547</v>
      </c>
      <c r="X3" s="280" t="s">
        <v>546</v>
      </c>
      <c r="Y3" s="280" t="s">
        <v>545</v>
      </c>
      <c r="Z3" s="280" t="s">
        <v>544</v>
      </c>
      <c r="AA3" s="280" t="s">
        <v>543</v>
      </c>
      <c r="AB3" s="280" t="s">
        <v>542</v>
      </c>
      <c r="AC3" s="280" t="s">
        <v>541</v>
      </c>
      <c r="AD3" s="280" t="s">
        <v>540</v>
      </c>
      <c r="AE3" s="280" t="s">
        <v>539</v>
      </c>
      <c r="AF3" s="280"/>
      <c r="AH3" s="217" t="s">
        <v>538</v>
      </c>
      <c r="AI3" s="217" t="s">
        <v>537</v>
      </c>
      <c r="AJ3" s="217" t="s">
        <v>536</v>
      </c>
    </row>
    <row r="4" spans="1:43" s="227" customFormat="1" ht="11.25" customHeight="1">
      <c r="C4" s="233"/>
      <c r="D4" s="233"/>
      <c r="E4" s="233"/>
      <c r="F4" s="233"/>
      <c r="G4" s="233"/>
      <c r="H4" s="233"/>
      <c r="I4" s="233"/>
      <c r="J4" s="233"/>
      <c r="K4" s="233"/>
      <c r="L4" s="233"/>
      <c r="M4" s="233"/>
      <c r="N4" s="233"/>
      <c r="O4" s="233"/>
      <c r="P4" s="233"/>
      <c r="Q4" s="233"/>
      <c r="R4" s="233"/>
      <c r="S4" s="233"/>
      <c r="T4" s="233"/>
      <c r="U4" s="233"/>
      <c r="V4" s="233"/>
    </row>
    <row r="5" spans="1:43" s="227" customFormat="1" ht="11.25" customHeight="1">
      <c r="C5" s="233"/>
      <c r="D5" s="233"/>
      <c r="E5" s="233"/>
      <c r="F5" s="233"/>
      <c r="G5" s="233"/>
      <c r="H5" s="233"/>
      <c r="I5" s="233"/>
      <c r="J5" s="233"/>
      <c r="K5" s="233"/>
      <c r="L5" s="233"/>
      <c r="M5" s="233"/>
      <c r="N5" s="233"/>
      <c r="O5" s="233"/>
      <c r="P5" s="233"/>
      <c r="Q5" s="233"/>
      <c r="R5" s="233"/>
      <c r="S5" s="233"/>
      <c r="T5" s="233"/>
      <c r="U5" s="233"/>
      <c r="V5" s="233"/>
    </row>
    <row r="6" spans="1:43" ht="11.25" customHeight="1">
      <c r="B6" s="279" t="s">
        <v>14</v>
      </c>
      <c r="C6" s="279" t="s">
        <v>0</v>
      </c>
      <c r="D6" s="278"/>
      <c r="E6" s="277">
        <f>+YEAR($H$7)</f>
        <v>2017</v>
      </c>
      <c r="F6" s="276">
        <f>+YEAR($H$7)</f>
        <v>2017</v>
      </c>
      <c r="G6" s="275">
        <f>+YEAR($H$7)</f>
        <v>2017</v>
      </c>
      <c r="H6" s="274">
        <f>+YEAR($H$7)</f>
        <v>2017</v>
      </c>
      <c r="I6" s="277">
        <f>+YEAR($L$7)</f>
        <v>2018</v>
      </c>
      <c r="J6" s="276">
        <f>+YEAR($L$7)</f>
        <v>2018</v>
      </c>
      <c r="K6" s="275">
        <f>+YEAR($L$7)</f>
        <v>2018</v>
      </c>
      <c r="L6" s="274">
        <f>+YEAR($L$7)</f>
        <v>2018</v>
      </c>
      <c r="M6" s="277">
        <f>+YEAR($P$7)</f>
        <v>2019</v>
      </c>
      <c r="N6" s="276">
        <f>+YEAR($P$7)</f>
        <v>2019</v>
      </c>
      <c r="O6" s="275">
        <f>+YEAR($P$7)</f>
        <v>2019</v>
      </c>
      <c r="P6" s="274">
        <f>+YEAR($P$7)</f>
        <v>2019</v>
      </c>
      <c r="Q6" s="277">
        <f>+YEAR($T$7)</f>
        <v>2020</v>
      </c>
      <c r="R6" s="276">
        <f>+YEAR($T$7)</f>
        <v>2020</v>
      </c>
      <c r="S6" s="275">
        <f>+YEAR($T$7)</f>
        <v>2020</v>
      </c>
      <c r="T6" s="274">
        <f>+YEAR($T$7)</f>
        <v>2020</v>
      </c>
      <c r="U6" s="273"/>
      <c r="V6" s="272">
        <f t="shared" ref="V6:AE6" si="0">YEAR(V7)</f>
        <v>2013</v>
      </c>
      <c r="W6" s="272">
        <f t="shared" si="0"/>
        <v>2014</v>
      </c>
      <c r="X6" s="272">
        <f t="shared" si="0"/>
        <v>2015</v>
      </c>
      <c r="Y6" s="272">
        <f t="shared" si="0"/>
        <v>2016</v>
      </c>
      <c r="Z6" s="272">
        <f t="shared" si="0"/>
        <v>2017</v>
      </c>
      <c r="AA6" s="272">
        <f t="shared" si="0"/>
        <v>2018</v>
      </c>
      <c r="AB6" s="272">
        <f t="shared" si="0"/>
        <v>2019</v>
      </c>
      <c r="AC6" s="272">
        <f t="shared" si="0"/>
        <v>2020</v>
      </c>
      <c r="AD6" s="272">
        <f t="shared" si="0"/>
        <v>2021</v>
      </c>
      <c r="AE6" s="272">
        <f t="shared" si="0"/>
        <v>2022</v>
      </c>
      <c r="AF6" s="271" t="s">
        <v>535</v>
      </c>
      <c r="AG6" s="270" t="s">
        <v>534</v>
      </c>
      <c r="AH6" s="711">
        <f>YEAR(AH7)</f>
        <v>2023</v>
      </c>
      <c r="AI6" s="711">
        <f>YEAR(AI7)</f>
        <v>2024</v>
      </c>
      <c r="AJ6" s="711">
        <f>YEAR(AJ7)</f>
        <v>2025</v>
      </c>
    </row>
    <row r="7" spans="1:43" s="263" customFormat="1" ht="11.25" customHeight="1">
      <c r="B7" s="269"/>
      <c r="C7" s="269" t="s">
        <v>13</v>
      </c>
      <c r="D7" s="266"/>
      <c r="E7" s="266">
        <v>42825</v>
      </c>
      <c r="F7" s="266">
        <f t="shared" ref="F7:T7" si="1">+EOMONTH(E7,3)</f>
        <v>42916</v>
      </c>
      <c r="G7" s="266">
        <f t="shared" si="1"/>
        <v>43008</v>
      </c>
      <c r="H7" s="266">
        <f t="shared" si="1"/>
        <v>43100</v>
      </c>
      <c r="I7" s="266">
        <f t="shared" si="1"/>
        <v>43190</v>
      </c>
      <c r="J7" s="266">
        <f t="shared" si="1"/>
        <v>43281</v>
      </c>
      <c r="K7" s="266">
        <f t="shared" si="1"/>
        <v>43373</v>
      </c>
      <c r="L7" s="266">
        <f t="shared" si="1"/>
        <v>43465</v>
      </c>
      <c r="M7" s="266">
        <f t="shared" si="1"/>
        <v>43555</v>
      </c>
      <c r="N7" s="266">
        <f t="shared" si="1"/>
        <v>43646</v>
      </c>
      <c r="O7" s="266">
        <f t="shared" si="1"/>
        <v>43738</v>
      </c>
      <c r="P7" s="266">
        <f t="shared" si="1"/>
        <v>43830</v>
      </c>
      <c r="Q7" s="266">
        <f t="shared" si="1"/>
        <v>43921</v>
      </c>
      <c r="R7" s="266">
        <f t="shared" si="1"/>
        <v>44012</v>
      </c>
      <c r="S7" s="266">
        <f t="shared" si="1"/>
        <v>44104</v>
      </c>
      <c r="T7" s="266">
        <f t="shared" si="1"/>
        <v>44196</v>
      </c>
      <c r="U7" s="261"/>
      <c r="V7" s="268">
        <v>41639</v>
      </c>
      <c r="W7" s="267">
        <f t="shared" ref="W7:AE7" si="2">EOMONTH(V7,12)</f>
        <v>42004</v>
      </c>
      <c r="X7" s="267">
        <f t="shared" si="2"/>
        <v>42369</v>
      </c>
      <c r="Y7" s="267">
        <f t="shared" si="2"/>
        <v>42735</v>
      </c>
      <c r="Z7" s="267">
        <f t="shared" si="2"/>
        <v>43100</v>
      </c>
      <c r="AA7" s="267">
        <f t="shared" si="2"/>
        <v>43465</v>
      </c>
      <c r="AB7" s="267">
        <f t="shared" si="2"/>
        <v>43830</v>
      </c>
      <c r="AC7" s="267">
        <f t="shared" si="2"/>
        <v>44196</v>
      </c>
      <c r="AD7" s="267">
        <f t="shared" si="2"/>
        <v>44561</v>
      </c>
      <c r="AE7" s="266">
        <f t="shared" si="2"/>
        <v>44926</v>
      </c>
      <c r="AF7" s="265" t="s">
        <v>533</v>
      </c>
      <c r="AG7" s="264">
        <f>+AE7</f>
        <v>44926</v>
      </c>
      <c r="AH7" s="264">
        <f>EOMONTH(AE7,12)</f>
        <v>45291</v>
      </c>
      <c r="AI7" s="264">
        <f>EOMONTH(AH7,12)</f>
        <v>45657</v>
      </c>
      <c r="AJ7" s="264">
        <f>EOMONTH(AI7,12)</f>
        <v>46022</v>
      </c>
    </row>
    <row r="8" spans="1:43" ht="11.25" customHeight="1">
      <c r="B8" s="261"/>
      <c r="C8" s="261"/>
      <c r="D8" s="261"/>
      <c r="E8" s="261"/>
      <c r="F8" s="261"/>
      <c r="G8" s="261"/>
      <c r="H8" s="261"/>
      <c r="I8" s="261"/>
      <c r="K8" s="261"/>
      <c r="L8" s="261"/>
      <c r="M8" s="261"/>
      <c r="N8" s="261"/>
      <c r="O8" s="244"/>
      <c r="P8" s="261"/>
      <c r="Q8" s="261"/>
      <c r="R8" s="261"/>
      <c r="S8" s="261"/>
      <c r="T8" s="261"/>
      <c r="U8" s="261"/>
      <c r="V8" s="261"/>
      <c r="W8" s="261"/>
      <c r="X8" s="261"/>
      <c r="Y8" s="261"/>
      <c r="Z8" s="261"/>
      <c r="AA8" s="261"/>
      <c r="AB8" s="261"/>
      <c r="AC8" s="261"/>
      <c r="AD8" s="261"/>
      <c r="AE8" s="261"/>
      <c r="AF8" s="262"/>
      <c r="AG8" s="261"/>
      <c r="AH8" s="261"/>
      <c r="AI8" s="261"/>
      <c r="AJ8" s="261"/>
    </row>
    <row r="9" spans="1:43" s="227" customFormat="1" ht="11.25" customHeight="1">
      <c r="B9" s="231" t="s">
        <v>14</v>
      </c>
      <c r="C9" s="232" t="s">
        <v>532</v>
      </c>
      <c r="D9" s="231"/>
      <c r="E9" s="232"/>
      <c r="F9" s="232"/>
      <c r="G9" s="232"/>
      <c r="H9" s="232"/>
      <c r="I9" s="232"/>
      <c r="J9" s="232"/>
      <c r="K9" s="232"/>
      <c r="L9" s="232"/>
      <c r="M9" s="232"/>
      <c r="N9" s="232"/>
      <c r="O9" s="232"/>
      <c r="P9" s="232"/>
      <c r="Q9" s="232"/>
      <c r="R9" s="232"/>
      <c r="S9" s="232"/>
      <c r="T9" s="232"/>
      <c r="U9" s="233"/>
      <c r="V9" s="232"/>
      <c r="W9" s="231"/>
      <c r="X9" s="231"/>
      <c r="Y9" s="231"/>
      <c r="Z9" s="231"/>
      <c r="AA9" s="231"/>
      <c r="AB9" s="231"/>
      <c r="AC9" s="231"/>
      <c r="AD9" s="231"/>
      <c r="AE9" s="231"/>
      <c r="AF9" s="231"/>
      <c r="AG9" s="231"/>
      <c r="AH9" s="231"/>
      <c r="AI9" s="231"/>
      <c r="AJ9" s="231"/>
    </row>
    <row r="10" spans="1:43" ht="11.25" customHeight="1">
      <c r="D10" s="217" t="s">
        <v>531</v>
      </c>
      <c r="F10" s="217" t="s">
        <v>1112</v>
      </c>
      <c r="H10" s="43"/>
    </row>
    <row r="11" spans="1:43" ht="11.25" customHeight="1">
      <c r="C11" s="428" t="s">
        <v>691</v>
      </c>
      <c r="V11" s="256"/>
      <c r="AK11" s="230"/>
    </row>
    <row r="12" spans="1:43" ht="11.25" customHeight="1">
      <c r="A12" s="217" t="s">
        <v>1198</v>
      </c>
      <c r="C12" s="229" t="str">
        <f ca="1">IFERROR(IF(BB_Switch=1,_xll.BDP($D12,$C$270),C12), "NA ")</f>
        <v>DuPont de Nemours Inc</v>
      </c>
      <c r="D12" s="240" t="s">
        <v>565</v>
      </c>
      <c r="E12" s="244" t="str">
        <f ca="1">IFERROR(IF(BB_Switch=1,IF(_xll.BDP($D12,$D$10, "EQY_FUND_RELATIVE_PERIOD", E$3)="#N/A N/A","NA  ",(_xll.BDP($D12,$D$10, "EQY_FUND_RELATIVE_PERIOD", E$3))),E12),"NA ")</f>
        <v xml:space="preserve">NA  </v>
      </c>
      <c r="F12" s="244" t="str">
        <f ca="1">IFERROR(IF(BB_Switch=1,IF(_xll.BDP($D12,$D$10, "EQY_FUND_RELATIVE_PERIOD", F$3)="#N/A N/A","NA  ",(_xll.BDP($D12,$D$10, "EQY_FUND_RELATIVE_PERIOD", F$3))),F12),"NA ")</f>
        <v xml:space="preserve">NA  </v>
      </c>
      <c r="G12" s="244">
        <f ca="1">IFERROR(IF(BB_Switch=1,IF(_xll.BDP($D12,$D$10, "EQY_FUND_RELATIVE_PERIOD", G$3)="#N/A N/A","NA  ",(_xll.BDP($D12,$D$10, "EQY_FUND_RELATIVE_PERIOD", G$3))),G12),"NA ")</f>
        <v>14.850784653145169</v>
      </c>
      <c r="H12" s="244">
        <f ca="1">IFERROR(IF(BB_Switch=1,IF(_xll.BDP($D12,$D$10, "EQY_FUND_RELATIVE_PERIOD", H$3)="#N/A N/A","NA  ",(_xll.BDP($D12,$D$10, "EQY_FUND_RELATIVE_PERIOD", H$3))),H12),"NA ")</f>
        <v>14.912025071135384</v>
      </c>
      <c r="I12" s="244">
        <f ca="1">IFERROR(IF(BB_Switch=1,IF(_xll.BDP($D12,$D$10, "EQY_FUND_RELATIVE_PERIOD", I$3)="#N/A N/A","NA  ",(_xll.BDP($D12,$D$10, "EQY_FUND_RELATIVE_PERIOD", I$3))),I12),"NA ")</f>
        <v>12.478698922693912</v>
      </c>
      <c r="J12" s="244">
        <f ca="1">IFERROR(IF(BB_Switch=1,IF(_xll.BDP($D12,$D$10, "EQY_FUND_RELATIVE_PERIOD", J$3)="#N/A N/A","NA  ",(_xll.BDP($D12,$D$10, "EQY_FUND_RELATIVE_PERIOD", J$3))),J12),"NA ")</f>
        <v>15.116008042094393</v>
      </c>
      <c r="K12" s="244">
        <f ca="1">IFERROR(IF(BB_Switch=1,IF(_xll.BDP($D12,$D$10, "EQY_FUND_RELATIVE_PERIOD", K$3)="#N/A N/A","NA  ",(_xll.BDP($D12,$D$10, "EQY_FUND_RELATIVE_PERIOD", K$3))),K12),"NA ")</f>
        <v>15.899677445472701</v>
      </c>
      <c r="L12" s="244">
        <f ca="1">IFERROR(IF(BB_Switch=1,IF(_xll.BDP($D12,$D$10, "EQY_FUND_RELATIVE_PERIOD", L$3)="#N/A N/A","NA  ",(_xll.BDP($D12,$D$10, "EQY_FUND_RELATIVE_PERIOD", L$3))),L12),"NA ")</f>
        <v>12.415938528607128</v>
      </c>
      <c r="M12" s="244">
        <f ca="1">IFERROR(IF(BB_Switch=1,IF(_xll.BDP($D12,$D$10, "EQY_FUND_RELATIVE_PERIOD", M$3)="#N/A N/A","NA  ",(_xll.BDP($D12,$D$10, "EQY_FUND_RELATIVE_PERIOD", M$3))),M12),"NA ")</f>
        <v>15.074191400222677</v>
      </c>
      <c r="N12" s="244">
        <f ca="1">IFERROR(IF(BB_Switch=1,IF(_xll.BDP($D12,$D$10, "EQY_FUND_RELATIVE_PERIOD", N$3)="#N/A N/A","NA  ",(_xll.BDP($D12,$D$10, "EQY_FUND_RELATIVE_PERIOD", N$3))),N12),"NA ")</f>
        <v>7.5645551212129716</v>
      </c>
      <c r="O12" s="244">
        <f ca="1">IFERROR(IF(BB_Switch=1,IF(_xll.BDP($D12,$D$10, "EQY_FUND_RELATIVE_PERIOD", O$3)="#N/A N/A","NA  ",(_xll.BDP($D12,$D$10, "EQY_FUND_RELATIVE_PERIOD", O$3))),O12),"NA ")</f>
        <v>7.9051337249460483</v>
      </c>
      <c r="P12" s="257">
        <f ca="1">IFERROR(IF(BB_Switch=1,IF(_xll.BDP($D12,$F$10, "BEST_FPERIOD_OVERRIDE", P$3)="#N/A N/A","NA  ",(_xll.BDP($D12,$F$10, "BEST_FPERIOD_OVERRIDE", P$3))),P12),"NM ")</f>
        <v>7.7858381378534842</v>
      </c>
      <c r="Q12" s="257">
        <f ca="1">IFERROR(IF(BB_Switch=1,IF(_xll.BDP($D12,$F$10, "BEST_FPERIOD_OVERRIDE", Q$3)="#N/A N/A","NA  ",(_xll.BDP($D12,$F$10, "BEST_FPERIOD_OVERRIDE", Q$3))),Q12),"NM ")</f>
        <v>7.7450537335556788</v>
      </c>
      <c r="R12" s="257">
        <f ca="1">IFERROR(IF(BB_Switch=1,IF(_xll.BDP($D12,$F$10, "BEST_FPERIOD_OVERRIDE", R$3)="#N/A N/A","NA  ",(_xll.BDP($D12,$F$10, "BEST_FPERIOD_OVERRIDE", R$3))),R12),"NM ")</f>
        <v>7.6407840019010527</v>
      </c>
      <c r="S12" s="257">
        <f ca="1">IFERROR(IF(BB_Switch=1,IF(_xll.BDP($D12,$F$10, "BEST_FPERIOD_OVERRIDE", S$3)="#N/A N/A","NA  ",(_xll.BDP($D12,$F$10, "BEST_FPERIOD_OVERRIDE", S$3))),S12),"NM ")</f>
        <v>7.5598055794185468</v>
      </c>
      <c r="T12" s="257">
        <f ca="1">IFERROR(IF(BB_Switch=1,IF(_xll.BDP($D12,$F$10, "BEST_FPERIOD_OVERRIDE", T$3)="#N/A N/A","NA  ",(_xll.BDP($D12,$F$10, "BEST_FPERIOD_OVERRIDE", T$3))),T12),"NM ")</f>
        <v>7.440115161439607</v>
      </c>
      <c r="U12" s="227" t="s">
        <v>1198</v>
      </c>
      <c r="V12" s="244" t="str">
        <f ca="1">IFERROR(IF(BB_Switch=1,IF(_xll.BDP($D12,$D$10, "EQY_FUND_RELATIVE_PERIOD", V$3)="#N/A N/A","NA  ",(_xll.BDP($D12,$D$10, "EQY_FUND_RELATIVE_PERIOD", V$3))),V12),"NA ")</f>
        <v xml:space="preserve">NA  </v>
      </c>
      <c r="W12" s="244" t="str">
        <f ca="1">IFERROR(IF(BB_Switch=1,IF(_xll.BDP($D12,$D$10, "EQY_FUND_RELATIVE_PERIOD", W$3)="#N/A N/A","NA  ",(_xll.BDP($D12,$D$10, "EQY_FUND_RELATIVE_PERIOD", W$3))),W12),"NA ")</f>
        <v xml:space="preserve">NA  </v>
      </c>
      <c r="X12" s="244" t="str">
        <f ca="1">IFERROR(IF(BB_Switch=1,IF(_xll.BDP($D12,$D$10, "EQY_FUND_RELATIVE_PERIOD", X$3)="#N/A N/A","NA  ",(_xll.BDP($D12,$D$10, "EQY_FUND_RELATIVE_PERIOD", X$3))),X12),"NA ")</f>
        <v xml:space="preserve">NA  </v>
      </c>
      <c r="Y12" s="244" t="str">
        <f ca="1">IFERROR(IF(BB_Switch=1,IF(_xll.BDP($D12,$D$10, "EQY_FUND_RELATIVE_PERIOD", Y$3)="#N/A N/A","NA  ",(_xll.BDP($D12,$D$10, "EQY_FUND_RELATIVE_PERIOD", Y$3))),Y12),"NA ")</f>
        <v xml:space="preserve">NA  </v>
      </c>
      <c r="Z12" s="244" t="str">
        <f ca="1">IFERROR(IF(BB_Switch=1,IF(_xll.BDP($D12,$D$10, "EQY_FUND_RELATIVE_PERIOD", Z$3)="#N/A N/A","NA  ",(_xll.BDP($D12,$D$10, "EQY_FUND_RELATIVE_PERIOD", Z$3))),Z12),"NA ")</f>
        <v xml:space="preserve">NA  </v>
      </c>
      <c r="AA12" s="244" t="str">
        <f ca="1">IFERROR(IF(BB_Switch=1,IF(_xll.BDP($D12,$D$10, "EQY_FUND_RELATIVE_PERIOD", AA$3)="#N/A N/A","NA  ",(_xll.BDP($D12,$D$10, "EQY_FUND_RELATIVE_PERIOD", AA$3))),AA12),"NA ")</f>
        <v xml:space="preserve">NA  </v>
      </c>
      <c r="AB12" s="244">
        <f ca="1">IFERROR(IF(BB_Switch=1,IF(_xll.BDP($D12,$D$10, "EQY_FUND_RELATIVE_PERIOD", AB$3)="#N/A N/A","NA  ",(_xll.BDP($D12,$D$10, "EQY_FUND_RELATIVE_PERIOD", AB$3))),AB12),"NA ")</f>
        <v>9.1739136834480544</v>
      </c>
      <c r="AC12" s="244">
        <f ca="1">IFERROR(IF(BB_Switch=1,IF(_xll.BDP($D12,$D$10, "EQY_FUND_RELATIVE_PERIOD", AC$3)="#N/A N/A","NA  ",(_xll.BDP($D12,$D$10, "EQY_FUND_RELATIVE_PERIOD", AC$3))),AC12),"NA ")</f>
        <v>40.622636499170284</v>
      </c>
      <c r="AD12" s="244">
        <f ca="1">IFERROR(IF(BB_Switch=1,IF(_xll.BDP($D12,$D$10, "EQY_FUND_RELATIVE_PERIOD", AD$3)="#N/A N/A","NA  ",(_xll.BDP($D12,$D$10, "EQY_FUND_RELATIVE_PERIOD", AD$3))),AD12),"NA ")</f>
        <v>16.510470706831004</v>
      </c>
      <c r="AE12" s="244">
        <f ca="1">IFERROR(IF(BB_Switch=1,IF(_xll.BDP($D12,$D$10, "EQY_FUND_RELATIVE_PERIOD", AE$3)="#N/A N/A","NA  ",(_xll.BDP($D12,$D$10, "EQY_FUND_RELATIVE_PERIOD", AE$3))),AE12),"NA ")</f>
        <v>10.426444837016664</v>
      </c>
      <c r="AF12" s="236">
        <f t="shared" ref="AF12:AF18" ca="1" si="3">IFERROR(+AVERAGEIFS(V12:AE12,V12:AE12,"&gt;="&amp;$AL$18,V12:AE12,"&lt;="&amp;$AL$17),"NA  ")</f>
        <v>9.8001792602323583</v>
      </c>
      <c r="AG12" s="257">
        <f t="shared" ref="AG12:AG18" ca="1" si="4">IFERROR(AG293/AG333,"NA  ")</f>
        <v>5.1469260935107553</v>
      </c>
      <c r="AH12" s="257">
        <f ca="1">IFERROR(IF(BB_Switch=1,IF(_xll.BDP($D12,$F$10, "BEST_FPERIOD_OVERRIDE", AH$3)="#N/A N/A","NA  ",(_xll.BDP($D12,$F$10, "BEST_FPERIOD_OVERRIDE", AH$3))),AH12),"NM ")</f>
        <v>7.7567916838395243</v>
      </c>
      <c r="AI12" s="257">
        <f ca="1">IFERROR(IF(BB_Switch=1,IF(_xll.BDP($D12,$F$10, "BEST_FPERIOD_OVERRIDE", AI$3)="#N/A N/A","NA  ",(_xll.BDP($D12,$F$10, "BEST_FPERIOD_OVERRIDE", AI$3))),AI12),"NM ")</f>
        <v>7.3883172475620356</v>
      </c>
      <c r="AJ12" s="257">
        <f ca="1">IFERROR(IF(BB_Switch=1,IF(_xll.BDP($D12,$F$10, "BEST_FPERIOD_OVERRIDE", AJ$3)="#N/A N/A","NA  ",(_xll.BDP($D12,$F$10, "BEST_FPERIOD_OVERRIDE", AJ$3))),AJ12),"NM ")</f>
        <v>6.8295956051446716</v>
      </c>
    </row>
    <row r="13" spans="1:43" ht="11.25" customHeight="1">
      <c r="C13" s="229" t="str">
        <f ca="1">IFERROR(IF(BB_Switch=1,_xll.BDP($D13,$C$270),C13), "NA ")</f>
        <v>PolyOne Corp</v>
      </c>
      <c r="D13" s="240" t="s">
        <v>566</v>
      </c>
      <c r="E13" s="244">
        <f ca="1">IFERROR(IF(BB_Switch=1,IF(_xll.BDP($D13,$D$10, "EQY_FUND_RELATIVE_PERIOD", E$3)="#N/A N/A","NA  ",(_xll.BDP($D13,$D$10, "EQY_FUND_RELATIVE_PERIOD", E$3))),E13),"NA ")</f>
        <v>9.5344993964797293</v>
      </c>
      <c r="F13" s="244">
        <f ca="1">IFERROR(IF(BB_Switch=1,IF(_xll.BDP($D13,$D$10, "EQY_FUND_RELATIVE_PERIOD", F$3)="#N/A N/A","NA  ",(_xll.BDP($D13,$D$10, "EQY_FUND_RELATIVE_PERIOD", F$3))),F13),"NA ")</f>
        <v>10.686854050866488</v>
      </c>
      <c r="G13" s="244">
        <f ca="1">IFERROR(IF(BB_Switch=1,IF(_xll.BDP($D13,$D$10, "EQY_FUND_RELATIVE_PERIOD", G$3)="#N/A N/A","NA  ",(_xll.BDP($D13,$D$10, "EQY_FUND_RELATIVE_PERIOD", G$3))),G13),"NA ")</f>
        <v>10.803704035856079</v>
      </c>
      <c r="H13" s="244">
        <f ca="1">IFERROR(IF(BB_Switch=1,IF(_xll.BDP($D13,$D$10, "EQY_FUND_RELATIVE_PERIOD", H$3)="#N/A N/A","NA  ",(_xll.BDP($D13,$D$10, "EQY_FUND_RELATIVE_PERIOD", H$3))),H13),"NA ")</f>
        <v>11.832829428067525</v>
      </c>
      <c r="I13" s="244">
        <f ca="1">IFERROR(IF(BB_Switch=1,IF(_xll.BDP($D13,$D$10, "EQY_FUND_RELATIVE_PERIOD", I$3)="#N/A N/A","NA  ",(_xll.BDP($D13,$D$10, "EQY_FUND_RELATIVE_PERIOD", I$3))),I13),"NA ")</f>
        <v>11.41424390141756</v>
      </c>
      <c r="J13" s="244">
        <f ca="1">IFERROR(IF(BB_Switch=1,IF(_xll.BDP($D13,$D$10, "EQY_FUND_RELATIVE_PERIOD", J$3)="#N/A N/A","NA  ",(_xll.BDP($D13,$D$10, "EQY_FUND_RELATIVE_PERIOD", J$3))),J13),"NA ")</f>
        <v>11.417047102269365</v>
      </c>
      <c r="K13" s="244">
        <f ca="1">IFERROR(IF(BB_Switch=1,IF(_xll.BDP($D13,$D$10, "EQY_FUND_RELATIVE_PERIOD", K$3)="#N/A N/A","NA  ",(_xll.BDP($D13,$D$10, "EQY_FUND_RELATIVE_PERIOD", K$3))),K13),"NA ")</f>
        <v>12.061136242263757</v>
      </c>
      <c r="L13" s="244">
        <f ca="1">IFERROR(IF(BB_Switch=1,IF(_xll.BDP($D13,$D$10, "EQY_FUND_RELATIVE_PERIOD", L$3)="#N/A N/A","NA  ",(_xll.BDP($D13,$D$10, "EQY_FUND_RELATIVE_PERIOD", L$3))),L13),"NA ")</f>
        <v>9.553089119737562</v>
      </c>
      <c r="M13" s="244">
        <f ca="1">IFERROR(IF(BB_Switch=1,IF(_xll.BDP($D13,$D$10, "EQY_FUND_RELATIVE_PERIOD", M$3)="#N/A N/A","NA  ",(_xll.BDP($D13,$D$10, "EQY_FUND_RELATIVE_PERIOD", M$3))),M13),"NA ")</f>
        <v>9.930436412315931</v>
      </c>
      <c r="N13" s="244">
        <f ca="1">IFERROR(IF(BB_Switch=1,IF(_xll.BDP($D13,$D$10, "EQY_FUND_RELATIVE_PERIOD", N$3)="#N/A N/A","NA  ",(_xll.BDP($D13,$D$10, "EQY_FUND_RELATIVE_PERIOD", N$3))),N13),"NA ")</f>
        <v>9.9867451706800736</v>
      </c>
      <c r="O13" s="244">
        <f ca="1">IFERROR(IF(BB_Switch=1,IF(_xll.BDP($D13,$D$10, "EQY_FUND_RELATIVE_PERIOD", O$3)="#N/A N/A","NA  ",(_xll.BDP($D13,$D$10, "EQY_FUND_RELATIVE_PERIOD", O$3))),O13),"NA ")</f>
        <v>10.040607294296278</v>
      </c>
      <c r="P13" s="257">
        <f ca="1">IFERROR(IF(BB_Switch=1,IF(_xll.BDP($D13,$F$10, "BEST_FPERIOD_OVERRIDE", P$3)="#N/A N/A","NA  ",(_xll.BDP($D13,$F$10, "BEST_FPERIOD_OVERRIDE", P$3))),P13),"NM ")</f>
        <v>6.3116693235431462</v>
      </c>
      <c r="Q13" s="257">
        <f ca="1">IFERROR(IF(BB_Switch=1,IF(_xll.BDP($D13,$F$10, "BEST_FPERIOD_OVERRIDE", Q$3)="#N/A N/A","NA  ",(_xll.BDP($D13,$F$10, "BEST_FPERIOD_OVERRIDE", Q$3))),Q13),"NM ")</f>
        <v>6.074473096950161</v>
      </c>
      <c r="R13" s="257">
        <f ca="1">IFERROR(IF(BB_Switch=1,IF(_xll.BDP($D13,$F$10, "BEST_FPERIOD_OVERRIDE", R$3)="#N/A N/A","NA  ",(_xll.BDP($D13,$F$10, "BEST_FPERIOD_OVERRIDE", R$3))),R13),"NM ")</f>
        <v>5.9096248944638763</v>
      </c>
      <c r="S13" s="257">
        <f ca="1">IFERROR(IF(BB_Switch=1,IF(_xll.BDP($D13,$F$10, "BEST_FPERIOD_OVERRIDE", S$3)="#N/A N/A","NA  ",(_xll.BDP($D13,$F$10, "BEST_FPERIOD_OVERRIDE", S$3))),S13),"NM ")</f>
        <v>5.7219082097395777</v>
      </c>
      <c r="T13" s="257">
        <f ca="1">IFERROR(IF(BB_Switch=1,IF(_xll.BDP($D13,$F$10, "BEST_FPERIOD_OVERRIDE", T$3)="#N/A N/A","NA  ",(_xll.BDP($D13,$F$10, "BEST_FPERIOD_OVERRIDE", T$3))),T13),"NM ")</f>
        <v>5.6709143518518514</v>
      </c>
      <c r="U13" s="227" t="s">
        <v>1353</v>
      </c>
      <c r="V13" s="244">
        <f ca="1">IFERROR(IF(BB_Switch=1,IF(_xll.BDP($D13,$D$10, "EQY_FUND_RELATIVE_PERIOD", V$3)="#N/A N/A","NA  ",(_xll.BDP($D13,$D$10, "EQY_FUND_RELATIVE_PERIOD", V$3))),V13),"NA ")</f>
        <v>5.2288809723386418</v>
      </c>
      <c r="W13" s="244">
        <f ca="1">IFERROR(IF(BB_Switch=1,IF(_xll.BDP($D13,$D$10, "EQY_FUND_RELATIVE_PERIOD", W$3)="#N/A N/A","NA  ",(_xll.BDP($D13,$D$10, "EQY_FUND_RELATIVE_PERIOD", W$3))),W13),"NA ")</f>
        <v>5.0301665034280125</v>
      </c>
      <c r="X13" s="244">
        <f ca="1">IFERROR(IF(BB_Switch=1,IF(_xll.BDP($D13,$D$10, "EQY_FUND_RELATIVE_PERIOD", X$3)="#N/A N/A","NA  ",(_xll.BDP($D13,$D$10, "EQY_FUND_RELATIVE_PERIOD", X$3))),X13),"NA ")</f>
        <v>9.6347412008281577</v>
      </c>
      <c r="Y13" s="244">
        <f ca="1">IFERROR(IF(BB_Switch=1,IF(_xll.BDP($D13,$D$10, "EQY_FUND_RELATIVE_PERIOD", Y$3)="#N/A N/A","NA  ",(_xll.BDP($D13,$D$10, "EQY_FUND_RELATIVE_PERIOD", Y$3))),Y13),"NA ")</f>
        <v>9.1010842273453552</v>
      </c>
      <c r="Z13" s="244">
        <f ca="1">IFERROR(IF(BB_Switch=1,IF(_xll.BDP($D13,$D$10, "EQY_FUND_RELATIVE_PERIOD", Z$3)="#N/A N/A","NA  ",(_xll.BDP($D13,$D$10, "EQY_FUND_RELATIVE_PERIOD", Z$3))),Z13),"NA ")</f>
        <v>10.948559768299102</v>
      </c>
      <c r="AA13" s="244">
        <f ca="1">IFERROR(IF(BB_Switch=1,IF(_xll.BDP($D13,$D$10, "EQY_FUND_RELATIVE_PERIOD", AA$3)="#N/A N/A","NA  ",(_xll.BDP($D13,$D$10, "EQY_FUND_RELATIVE_PERIOD", AA$3))),AA13),"NA ")</f>
        <v>8.7519647663322715</v>
      </c>
      <c r="AB13" s="244">
        <f ca="1">IFERROR(IF(BB_Switch=1,IF(_xll.BDP($D13,$D$10, "EQY_FUND_RELATIVE_PERIOD", AB$3)="#N/A N/A","NA  ",(_xll.BDP($D13,$D$10, "EQY_FUND_RELATIVE_PERIOD", AB$3))),AB13),"NA ")</f>
        <v>9.2012768031189083</v>
      </c>
      <c r="AC13" s="244">
        <f ca="1">IFERROR(IF(BB_Switch=1,IF(_xll.BDP($D13,$D$10, "EQY_FUND_RELATIVE_PERIOD", AC$3)="#N/A N/A","NA  ",(_xll.BDP($D13,$D$10, "EQY_FUND_RELATIVE_PERIOD", AC$3))),AC13),"NA ")</f>
        <v>12.998754497647388</v>
      </c>
      <c r="AD13" s="244">
        <f ca="1">IFERROR(IF(BB_Switch=1,IF(_xll.BDP($D13,$D$10, "EQY_FUND_RELATIVE_PERIOD", AD$3)="#N/A N/A","NA  ",(_xll.BDP($D13,$D$10, "EQY_FUND_RELATIVE_PERIOD", AD$3))),AD13),"NA ")</f>
        <v>10.418962432915924</v>
      </c>
      <c r="AE13" s="244">
        <f ca="1">IFERROR(IF(BB_Switch=1,IF(_xll.BDP($D13,$D$10, "EQY_FUND_RELATIVE_PERIOD", AE$3)="#N/A N/A","NA  ",(_xll.BDP($D13,$D$10, "EQY_FUND_RELATIVE_PERIOD", AE$3))),AE13),"NA ")</f>
        <v>10.125738235294119</v>
      </c>
      <c r="AF13" s="235">
        <f t="shared" ca="1" si="3"/>
        <v>10.147635241472653</v>
      </c>
      <c r="AG13" s="257">
        <f t="shared" ca="1" si="4"/>
        <v>5.9519648329411758</v>
      </c>
      <c r="AH13" s="257">
        <f ca="1">IFERROR(IF(BB_Switch=1,IF(_xll.BDP($D13,$F$10, "BEST_FPERIOD_OVERRIDE", AH$3)="#N/A N/A","NA  ",(_xll.BDP($D13,$F$10, "BEST_FPERIOD_OVERRIDE", AH$3))),AH13),"NM ")</f>
        <v>5.7361934281039719</v>
      </c>
      <c r="AI13" s="257">
        <f ca="1">IFERROR(IF(BB_Switch=1,IF(_xll.BDP($D13,$F$10, "BEST_FPERIOD_OVERRIDE", AI$3)="#N/A N/A","NA  ",(_xll.BDP($D13,$F$10, "BEST_FPERIOD_OVERRIDE", AI$3))),AI13),"NM ")</f>
        <v>5.2124148936170211</v>
      </c>
      <c r="AJ13" s="257">
        <f ca="1">IFERROR(IF(BB_Switch=1,IF(_xll.BDP($D13,$F$10, "BEST_FPERIOD_OVERRIDE", AJ$3)="#N/A N/A","NA  ",(_xll.BDP($D13,$F$10, "BEST_FPERIOD_OVERRIDE", AJ$3))),AJ13),"NM ")</f>
        <v>5.5572764108918609</v>
      </c>
      <c r="AL13" s="256"/>
    </row>
    <row r="14" spans="1:43" ht="11.25" customHeight="1">
      <c r="C14" s="229" t="str">
        <f ca="1">IFERROR(IF(BB_Switch=1,_xll.BDP($D14,$C$270),C14), "NA ")</f>
        <v>Olin Corp</v>
      </c>
      <c r="D14" s="240" t="s">
        <v>660</v>
      </c>
      <c r="E14" s="244">
        <f ca="1">IFERROR(IF(BB_Switch=1,IF(_xll.BDP($D14,$D$10, "EQY_FUND_RELATIVE_PERIOD", E$3)="#N/A N/A","NA  ",(_xll.BDP($D14,$D$10, "EQY_FUND_RELATIVE_PERIOD", E$3))),E14),"NA ")</f>
        <v>10.544243896657976</v>
      </c>
      <c r="F14" s="244">
        <f ca="1">IFERROR(IF(BB_Switch=1,IF(_xll.BDP($D14,$D$10, "EQY_FUND_RELATIVE_PERIOD", F$3)="#N/A N/A","NA  ",(_xll.BDP($D14,$D$10, "EQY_FUND_RELATIVE_PERIOD", F$3))),F14),"NA ")</f>
        <v>10.132674739239899</v>
      </c>
      <c r="G14" s="244">
        <f ca="1">IFERROR(IF(BB_Switch=1,IF(_xll.BDP($D14,$D$10, "EQY_FUND_RELATIVE_PERIOD", G$3)="#N/A N/A","NA  ",(_xll.BDP($D14,$D$10, "EQY_FUND_RELATIVE_PERIOD", G$3))),G14),"NA ")</f>
        <v>10.535447117044539</v>
      </c>
      <c r="H14" s="244">
        <f ca="1">IFERROR(IF(BB_Switch=1,IF(_xll.BDP($D14,$D$10, "EQY_FUND_RELATIVE_PERIOD", H$3)="#N/A N/A","NA  ",(_xll.BDP($D14,$D$10, "EQY_FUND_RELATIVE_PERIOD", H$3))),H14),"NA ")</f>
        <v>10.232297578612906</v>
      </c>
      <c r="I14" s="244">
        <f ca="1">IFERROR(IF(BB_Switch=1,IF(_xll.BDP($D14,$D$10, "EQY_FUND_RELATIVE_PERIOD", I$3)="#N/A N/A","NA  ",(_xll.BDP($D14,$D$10, "EQY_FUND_RELATIVE_PERIOD", I$3))),I14),"NA ")</f>
        <v>9.1203987993138931</v>
      </c>
      <c r="J14" s="244">
        <f ca="1">IFERROR(IF(BB_Switch=1,IF(_xll.BDP($D14,$D$10, "EQY_FUND_RELATIVE_PERIOD", J$3)="#N/A N/A","NA  ",(_xll.BDP($D14,$D$10, "EQY_FUND_RELATIVE_PERIOD", J$3))),J14),"NA ")</f>
        <v>7.4171496048687429</v>
      </c>
      <c r="K14" s="244">
        <f ca="1">IFERROR(IF(BB_Switch=1,IF(_xll.BDP($D14,$D$10, "EQY_FUND_RELATIVE_PERIOD", K$3)="#N/A N/A","NA  ",(_xll.BDP($D14,$D$10, "EQY_FUND_RELATIVE_PERIOD", K$3))),K14),"NA ")</f>
        <v>6.0354362416107383</v>
      </c>
      <c r="L14" s="244">
        <f ca="1">IFERROR(IF(BB_Switch=1,IF(_xll.BDP($D14,$D$10, "EQY_FUND_RELATIVE_PERIOD", L$3)="#N/A N/A","NA  ",(_xll.BDP($D14,$D$10, "EQY_FUND_RELATIVE_PERIOD", L$3))),L14),"NA ")</f>
        <v>5.0464484723761274</v>
      </c>
      <c r="M14" s="244">
        <f ca="1">IFERROR(IF(BB_Switch=1,IF(_xll.BDP($D14,$D$10, "EQY_FUND_RELATIVE_PERIOD", M$3)="#N/A N/A","NA  ",(_xll.BDP($D14,$D$10, "EQY_FUND_RELATIVE_PERIOD", M$3))),M14),"NA ")</f>
        <v>5.085566732785491</v>
      </c>
      <c r="N14" s="244">
        <f ca="1">IFERROR(IF(BB_Switch=1,IF(_xll.BDP($D14,$D$10, "EQY_FUND_RELATIVE_PERIOD", N$3)="#N/A N/A","NA  ",(_xll.BDP($D14,$D$10, "EQY_FUND_RELATIVE_PERIOD", N$3))),N14),"NA ")</f>
        <v>5.5267079422667411</v>
      </c>
      <c r="O14" s="244">
        <f ca="1">IFERROR(IF(BB_Switch=1,IF(_xll.BDP($D14,$D$10, "EQY_FUND_RELATIVE_PERIOD", O$3)="#N/A N/A","NA  ",(_xll.BDP($D14,$D$10, "EQY_FUND_RELATIVE_PERIOD", O$3))),O14),"NA ")</f>
        <v>5.5630521489971345</v>
      </c>
      <c r="P14" s="257">
        <f ca="1">IFERROR(IF(BB_Switch=1,IF(_xll.BDP($D14,$F$10, "BEST_FPERIOD_OVERRIDE", P$3)="#N/A N/A","NA  ",(_xll.BDP($D14,$F$10, "BEST_FPERIOD_OVERRIDE", P$3))),P14),"NM ")</f>
        <v>6.2437311554031814</v>
      </c>
      <c r="Q14" s="257">
        <f ca="1">IFERROR(IF(BB_Switch=1,IF(_xll.BDP($D14,$F$10, "BEST_FPERIOD_OVERRIDE", Q$3)="#N/A N/A","NA  ",(_xll.BDP($D14,$F$10, "BEST_FPERIOD_OVERRIDE", Q$3))),Q14),"NM ")</f>
        <v>5.9441257926750346</v>
      </c>
      <c r="R14" s="257">
        <f ca="1">IFERROR(IF(BB_Switch=1,IF(_xll.BDP($D14,$F$10, "BEST_FPERIOD_OVERRIDE", R$3)="#N/A N/A","NA  ",(_xll.BDP($D14,$F$10, "BEST_FPERIOD_OVERRIDE", R$3))),R14),"NM ")</f>
        <v>5.4291087470449169</v>
      </c>
      <c r="S14" s="257">
        <f ca="1">IFERROR(IF(BB_Switch=1,IF(_xll.BDP($D14,$F$10, "BEST_FPERIOD_OVERRIDE", S$3)="#N/A N/A","NA  ",(_xll.BDP($D14,$F$10, "BEST_FPERIOD_OVERRIDE", S$3))),S14),"NM ")</f>
        <v>5.0373173941653864</v>
      </c>
      <c r="T14" s="257">
        <f ca="1">IFERROR(IF(BB_Switch=1,IF(_xll.BDP($D14,$F$10, "BEST_FPERIOD_OVERRIDE", T$3)="#N/A N/A","NA  ",(_xll.BDP($D14,$F$10, "BEST_FPERIOD_OVERRIDE", T$3))),T14),"NM ")</f>
        <v>4.9437877401646837</v>
      </c>
      <c r="U14" s="227" t="s">
        <v>1354</v>
      </c>
      <c r="V14" s="244">
        <f ca="1">IFERROR(IF(BB_Switch=1,IF(_xll.BDP($D14,$D$10, "EQY_FUND_RELATIVE_PERIOD", V$3)="#N/A N/A","NA  ",(_xll.BDP($D14,$D$10, "EQY_FUND_RELATIVE_PERIOD", V$3))),V14),"NA ")</f>
        <v>8.5092640283239938</v>
      </c>
      <c r="W14" s="244">
        <f ca="1">IFERROR(IF(BB_Switch=1,IF(_xll.BDP($D14,$D$10, "EQY_FUND_RELATIVE_PERIOD", W$3)="#N/A N/A","NA  ",(_xll.BDP($D14,$D$10, "EQY_FUND_RELATIVE_PERIOD", W$3))),W14),"NA ")</f>
        <v>11.463904761904761</v>
      </c>
      <c r="X14" s="244">
        <f ca="1">IFERROR(IF(BB_Switch=1,IF(_xll.BDP($D14,$D$10, "EQY_FUND_RELATIVE_PERIOD", X$3)="#N/A N/A","NA  ",(_xll.BDP($D14,$D$10, "EQY_FUND_RELATIVE_PERIOD", X$3))),X14),"NA ")</f>
        <v>5.7057507507507506</v>
      </c>
      <c r="Y14" s="244">
        <f ca="1">IFERROR(IF(BB_Switch=1,IF(_xll.BDP($D14,$D$10, "EQY_FUND_RELATIVE_PERIOD", Y$3)="#N/A N/A","NA  ",(_xll.BDP($D14,$D$10, "EQY_FUND_RELATIVE_PERIOD", Y$3))),Y14),"NA ")</f>
        <v>6.3347311063728968</v>
      </c>
      <c r="Z14" s="244">
        <f ca="1">IFERROR(IF(BB_Switch=1,IF(_xll.BDP($D14,$D$10, "EQY_FUND_RELATIVE_PERIOD", Z$3)="#N/A N/A","NA  ",(_xll.BDP($D14,$D$10, "EQY_FUND_RELATIVE_PERIOD", Z$3))),Z14),"NA ")</f>
        <v>5.9516866812227089</v>
      </c>
      <c r="AA14" s="244">
        <f ca="1">IFERROR(IF(BB_Switch=1,IF(_xll.BDP($D14,$D$10, "EQY_FUND_RELATIVE_PERIOD", AA$3)="#N/A N/A","NA  ",(_xll.BDP($D14,$D$10, "EQY_FUND_RELATIVE_PERIOD", AA$3))),AA14),"NA ")</f>
        <v>15.356894379844961</v>
      </c>
      <c r="AB14" s="244">
        <f ca="1">IFERROR(IF(BB_Switch=1,IF(_xll.BDP($D14,$D$10, "EQY_FUND_RELATIVE_PERIOD", AB$3)="#N/A N/A","NA  ",(_xll.BDP($D14,$D$10, "EQY_FUND_RELATIVE_PERIOD", AB$3))),AB14),"NA ")</f>
        <v>9.0575103342388097</v>
      </c>
      <c r="AC14" s="244">
        <f ca="1">IFERROR(IF(BB_Switch=1,IF(_xll.BDP($D14,$D$10, "EQY_FUND_RELATIVE_PERIOD", AC$3)="#N/A N/A","NA  ",(_xll.BDP($D14,$D$10, "EQY_FUND_RELATIVE_PERIOD", AC$3))),AC14),"NA ")</f>
        <v>10.286394977420422</v>
      </c>
      <c r="AD14" s="244">
        <f ca="1">IFERROR(IF(BB_Switch=1,IF(_xll.BDP($D14,$D$10, "EQY_FUND_RELATIVE_PERIOD", AD$3)="#N/A N/A","NA  ",(_xll.BDP($D14,$D$10, "EQY_FUND_RELATIVE_PERIOD", AD$3))),AD14),"NA ")</f>
        <v>5.0464484723761274</v>
      </c>
      <c r="AE14" s="244">
        <f ca="1">IFERROR(IF(BB_Switch=1,IF(_xll.BDP($D14,$D$10, "EQY_FUND_RELATIVE_PERIOD", AE$3)="#N/A N/A","NA  ",(_xll.BDP($D14,$D$10, "EQY_FUND_RELATIVE_PERIOD", AE$3))),AE14),"NA ")</f>
        <v>5.9549521531100469</v>
      </c>
      <c r="AF14" s="235">
        <f t="shared" ca="1" si="3"/>
        <v>9.8292685254719956</v>
      </c>
      <c r="AG14" s="257">
        <f t="shared" ca="1" si="4"/>
        <v>5.2888242478316325</v>
      </c>
      <c r="AH14" s="257">
        <f ca="1">IFERROR(IF(BB_Switch=1,IF(_xll.BDP($D14,$F$10, "BEST_FPERIOD_OVERRIDE", AH$3)="#N/A N/A","NA  ",(_xll.BDP($D14,$F$10, "BEST_FPERIOD_OVERRIDE", AH$3))),AH14),"NM ")</f>
        <v>5.9830968375610771</v>
      </c>
      <c r="AI14" s="257">
        <f ca="1">IFERROR(IF(BB_Switch=1,IF(_xll.BDP($D14,$F$10, "BEST_FPERIOD_OVERRIDE", AI$3)="#N/A N/A","NA  ",(_xll.BDP($D14,$F$10, "BEST_FPERIOD_OVERRIDE", AI$3))),AI14),"NM ")</f>
        <v>4.7848556477749451</v>
      </c>
      <c r="AJ14" s="257">
        <f ca="1">IFERROR(IF(BB_Switch=1,IF(_xll.BDP($D14,$F$10, "BEST_FPERIOD_OVERRIDE", AJ$3)="#N/A N/A","NA  ",(_xll.BDP($D14,$F$10, "BEST_FPERIOD_OVERRIDE", AJ$3))),AJ14),"NM ")</f>
        <v>4.2925476635514022</v>
      </c>
      <c r="AK14" s="227"/>
      <c r="AL14" s="227"/>
      <c r="AM14" s="227"/>
      <c r="AO14" s="227"/>
      <c r="AP14" s="227"/>
      <c r="AQ14" s="227"/>
    </row>
    <row r="15" spans="1:43" ht="11.25" customHeight="1">
      <c r="B15" s="217" t="s">
        <v>14</v>
      </c>
      <c r="C15" s="229" t="str">
        <f ca="1">IFERROR(IF(BB_Switch=1,_xll.BDP($D15,$C$270),C15), "NA ")</f>
        <v>LyondellBasell Industries NV</v>
      </c>
      <c r="D15" s="240" t="s">
        <v>568</v>
      </c>
      <c r="E15" s="244">
        <f ca="1">IFERROR(IF(BB_Switch=1,IF(_xll.BDP($D15,$D$10, "EQY_FUND_RELATIVE_PERIOD", E$3)="#N/A N/A","NA  ",(_xll.BDP($D15,$D$10, "EQY_FUND_RELATIVE_PERIOD", E$3))),E15),"NA ")</f>
        <v>7.4036299340536917</v>
      </c>
      <c r="F15" s="244">
        <f ca="1">IFERROR(IF(BB_Switch=1,IF(_xll.BDP($D15,$D$10, "EQY_FUND_RELATIVE_PERIOD", F$3)="#N/A N/A","NA  ",(_xll.BDP($D15,$D$10, "EQY_FUND_RELATIVE_PERIOD", F$3))),F15),"NA ")</f>
        <v>6.5948048791826457</v>
      </c>
      <c r="G15" s="244">
        <f ca="1">IFERROR(IF(BB_Switch=1,IF(_xll.BDP($D15,$D$10, "EQY_FUND_RELATIVE_PERIOD", G$3)="#N/A N/A","NA  ",(_xll.BDP($D15,$D$10, "EQY_FUND_RELATIVE_PERIOD", G$3))),G15),"NA ")</f>
        <v>7.3641053692812042</v>
      </c>
      <c r="H15" s="244">
        <f ca="1">IFERROR(IF(BB_Switch=1,IF(_xll.BDP($D15,$D$10, "EQY_FUND_RELATIVE_PERIOD", H$3)="#N/A N/A","NA  ",(_xll.BDP($D15,$D$10, "EQY_FUND_RELATIVE_PERIOD", H$3))),H15),"NA ")</f>
        <v>7.5923894991963046</v>
      </c>
      <c r="I15" s="244">
        <f ca="1">IFERROR(IF(BB_Switch=1,IF(_xll.BDP($D15,$D$10, "EQY_FUND_RELATIVE_PERIOD", I$3)="#N/A N/A","NA  ",(_xll.BDP($D15,$D$10, "EQY_FUND_RELATIVE_PERIOD", I$3))),I15),"NA ")</f>
        <v>6.9448440581711433</v>
      </c>
      <c r="J15" s="244">
        <f ca="1">IFERROR(IF(BB_Switch=1,IF(_xll.BDP($D15,$D$10, "EQY_FUND_RELATIVE_PERIOD", J$3)="#N/A N/A","NA  ",(_xll.BDP($D15,$D$10, "EQY_FUND_RELATIVE_PERIOD", J$3))),J15),"NA ")</f>
        <v>6.9955220531631754</v>
      </c>
      <c r="K15" s="244">
        <f ca="1">IFERROR(IF(BB_Switch=1,IF(_xll.BDP($D15,$D$10, "EQY_FUND_RELATIVE_PERIOD", K$3)="#N/A N/A","NA  ",(_xll.BDP($D15,$D$10, "EQY_FUND_RELATIVE_PERIOD", K$3))),K15),"NA ")</f>
        <v>6.6848932524882771</v>
      </c>
      <c r="L15" s="244">
        <f ca="1">IFERROR(IF(BB_Switch=1,IF(_xll.BDP($D15,$D$10, "EQY_FUND_RELATIVE_PERIOD", L$3)="#N/A N/A","NA  ",(_xll.BDP($D15,$D$10, "EQY_FUND_RELATIVE_PERIOD", L$3))),L15),"NA ")</f>
        <v>6.0420067729197857</v>
      </c>
      <c r="M15" s="244">
        <f ca="1">IFERROR(IF(BB_Switch=1,IF(_xll.BDP($D15,$D$10, "EQY_FUND_RELATIVE_PERIOD", M$3)="#N/A N/A","NA  ",(_xll.BDP($D15,$D$10, "EQY_FUND_RELATIVE_PERIOD", M$3))),M15),"NA ")</f>
        <v>6.4901838163352403</v>
      </c>
      <c r="N15" s="244">
        <f ca="1">IFERROR(IF(BB_Switch=1,IF(_xll.BDP($D15,$D$10, "EQY_FUND_RELATIVE_PERIOD", N$3)="#N/A N/A","NA  ",(_xll.BDP($D15,$D$10, "EQY_FUND_RELATIVE_PERIOD", N$3))),N15),"NA ")</f>
        <v>7.0391532601187139</v>
      </c>
      <c r="O15" s="244">
        <f ca="1">IFERROR(IF(BB_Switch=1,IF(_xll.BDP($D15,$D$10, "EQY_FUND_RELATIVE_PERIOD", O$3)="#N/A N/A","NA  ",(_xll.BDP($D15,$D$10, "EQY_FUND_RELATIVE_PERIOD", O$3))),O15),"NA ")</f>
        <v>7.3190480724013609</v>
      </c>
      <c r="P15" s="257">
        <f ca="1">IFERROR(IF(BB_Switch=1,IF(_xll.BDP($D15,$F$10, "BEST_FPERIOD_OVERRIDE", P$3)="#N/A N/A","NA  ",(_xll.BDP($D15,$F$10, "BEST_FPERIOD_OVERRIDE", P$3))),P15),"NM ")</f>
        <v>4.159966536321182</v>
      </c>
      <c r="Q15" s="257">
        <f ca="1">IFERROR(IF(BB_Switch=1,IF(_xll.BDP($D15,$F$10, "BEST_FPERIOD_OVERRIDE", Q$3)="#N/A N/A","NA  ",(_xll.BDP($D15,$F$10, "BEST_FPERIOD_OVERRIDE", Q$3))),Q15),"NM ")</f>
        <v>4.1259785226634786</v>
      </c>
      <c r="R15" s="257">
        <f ca="1">IFERROR(IF(BB_Switch=1,IF(_xll.BDP($D15,$F$10, "BEST_FPERIOD_OVERRIDE", R$3)="#N/A N/A","NA  ",(_xll.BDP($D15,$F$10, "BEST_FPERIOD_OVERRIDE", R$3))),R15),"NM ")</f>
        <v>4.0504768594246467</v>
      </c>
      <c r="S15" s="257">
        <f ca="1">IFERROR(IF(BB_Switch=1,IF(_xll.BDP($D15,$F$10, "BEST_FPERIOD_OVERRIDE", S$3)="#N/A N/A","NA  ",(_xll.BDP($D15,$F$10, "BEST_FPERIOD_OVERRIDE", S$3))),S15),"NM ")</f>
        <v>3.9748893928820652</v>
      </c>
      <c r="T15" s="257">
        <f ca="1">IFERROR(IF(BB_Switch=1,IF(_xll.BDP($D15,$F$10, "BEST_FPERIOD_OVERRIDE", T$3)="#N/A N/A","NA  ",(_xll.BDP($D15,$F$10, "BEST_FPERIOD_OVERRIDE", T$3))),T15),"NM ")</f>
        <v>3.9041441485900892</v>
      </c>
      <c r="U15" s="227" t="s">
        <v>1355</v>
      </c>
      <c r="V15" s="244">
        <f ca="1">IFERROR(IF(BB_Switch=1,IF(_xll.BDP($D15,$D$10, "EQY_FUND_RELATIVE_PERIOD", V$3)="#N/A N/A","NA  ",(_xll.BDP($D15,$D$10, "EQY_FUND_RELATIVE_PERIOD", V$3))),V15),"NA ")</f>
        <v>5.0922555099976137</v>
      </c>
      <c r="W15" s="244">
        <f ca="1">IFERROR(IF(BB_Switch=1,IF(_xll.BDP($D15,$D$10, "EQY_FUND_RELATIVE_PERIOD", W$3)="#N/A N/A","NA  ",(_xll.BDP($D15,$D$10, "EQY_FUND_RELATIVE_PERIOD", W$3))),W15),"NA ")</f>
        <v>3.9426237426694768</v>
      </c>
      <c r="X15" s="244">
        <f ca="1">IFERROR(IF(BB_Switch=1,IF(_xll.BDP($D15,$D$10, "EQY_FUND_RELATIVE_PERIOD", X$3)="#N/A N/A","NA  ",(_xll.BDP($D15,$D$10, "EQY_FUND_RELATIVE_PERIOD", X$3))),X15),"NA ")</f>
        <v>6.1581322489857406</v>
      </c>
      <c r="Y15" s="244">
        <f ca="1">IFERROR(IF(BB_Switch=1,IF(_xll.BDP($D15,$D$10, "EQY_FUND_RELATIVE_PERIOD", Y$3)="#N/A N/A","NA  ",(_xll.BDP($D15,$D$10, "EQY_FUND_RELATIVE_PERIOD", Y$3))),Y15),"NA ")</f>
        <v>7.4460710213883425</v>
      </c>
      <c r="Z15" s="244">
        <f ca="1">IFERROR(IF(BB_Switch=1,IF(_xll.BDP($D15,$D$10, "EQY_FUND_RELATIVE_PERIOD", Z$3)="#N/A N/A","NA  ",(_xll.BDP($D15,$D$10, "EQY_FUND_RELATIVE_PERIOD", Z$3))),Z15),"NA ")</f>
        <v>6.4316725085454269</v>
      </c>
      <c r="AA15" s="244">
        <f ca="1">IFERROR(IF(BB_Switch=1,IF(_xll.BDP($D15,$D$10, "EQY_FUND_RELATIVE_PERIOD", AA$3)="#N/A N/A","NA  ",(_xll.BDP($D15,$D$10, "EQY_FUND_RELATIVE_PERIOD", AA$3))),AA15),"NA ")</f>
        <v>6.1812025381643183</v>
      </c>
      <c r="AB15" s="244">
        <f ca="1">IFERROR(IF(BB_Switch=1,IF(_xll.BDP($D15,$D$10, "EQY_FUND_RELATIVE_PERIOD", AB$3)="#N/A N/A","NA  ",(_xll.BDP($D15,$D$10, "EQY_FUND_RELATIVE_PERIOD", AB$3))),AB15),"NA ")</f>
        <v>6.8345797264368953</v>
      </c>
      <c r="AC15" s="244">
        <f ca="1">IFERROR(IF(BB_Switch=1,IF(_xll.BDP($D15,$D$10, "EQY_FUND_RELATIVE_PERIOD", AC$3)="#N/A N/A","NA  ",(_xll.BDP($D15,$D$10, "EQY_FUND_RELATIVE_PERIOD", AC$3))),AC15),"NA ")</f>
        <v>7.5563239039656755</v>
      </c>
      <c r="AD15" s="244">
        <f ca="1">IFERROR(IF(BB_Switch=1,IF(_xll.BDP($D15,$D$10, "EQY_FUND_RELATIVE_PERIOD", AD$3)="#N/A N/A","NA  ",(_xll.BDP($D15,$D$10, "EQY_FUND_RELATIVE_PERIOD", AD$3))),AD15),"NA ")</f>
        <v>6.0754239251436468</v>
      </c>
      <c r="AE15" s="244">
        <f ca="1">IFERROR(IF(BB_Switch=1,IF(_xll.BDP($D15,$D$10, "EQY_FUND_RELATIVE_PERIOD", AE$3)="#N/A N/A","NA  ",(_xll.BDP($D15,$D$10, "EQY_FUND_RELATIVE_PERIOD", AE$3))),AE15),"NA ")</f>
        <v>7.4685103055566833</v>
      </c>
      <c r="AF15" s="235">
        <f t="shared" ca="1" si="3"/>
        <v>7.3263712393368996</v>
      </c>
      <c r="AG15" s="257">
        <f t="shared" ca="1" si="4"/>
        <v>4.2644176952565003</v>
      </c>
      <c r="AH15" s="257">
        <f ca="1">IFERROR(IF(BB_Switch=1,IF(_xll.BDP($D15,$F$10, "BEST_FPERIOD_OVERRIDE", AH$3)="#N/A N/A","NA  ",(_xll.BDP($D15,$F$10, "BEST_FPERIOD_OVERRIDE", AH$3))),AH15),"NM ")</f>
        <v>4.1722761986103194</v>
      </c>
      <c r="AI15" s="257">
        <f ca="1">IFERROR(IF(BB_Switch=1,IF(_xll.BDP($D15,$F$10, "BEST_FPERIOD_OVERRIDE", AI$3)="#N/A N/A","NA  ",(_xll.BDP($D15,$F$10, "BEST_FPERIOD_OVERRIDE", AI$3))),AI15),"NM ")</f>
        <v>3.9083660301809928</v>
      </c>
      <c r="AJ15" s="257">
        <f ca="1">IFERROR(IF(BB_Switch=1,IF(_xll.BDP($D15,$F$10, "BEST_FPERIOD_OVERRIDE", AJ$3)="#N/A N/A","NA  ",(_xll.BDP($D15,$F$10, "BEST_FPERIOD_OVERRIDE", AJ$3))),AJ15),"NM ")</f>
        <v>3.8408742414025623</v>
      </c>
      <c r="AK15" s="227"/>
      <c r="AL15" s="227"/>
      <c r="AM15" s="227"/>
    </row>
    <row r="16" spans="1:43" ht="11.25" customHeight="1">
      <c r="C16" s="229" t="str">
        <f ca="1">IFERROR(IF(BB_Switch=1,_xll.BDP($D16,$C$270),C16), "NA ")</f>
        <v>Westlake Chemical Corp</v>
      </c>
      <c r="D16" s="240" t="s">
        <v>659</v>
      </c>
      <c r="E16" s="244">
        <f ca="1">IFERROR(IF(BB_Switch=1,IF(_xll.BDP($D16,$D$10, "EQY_FUND_RELATIVE_PERIOD", E$3)="#N/A N/A","NA  ",(_xll.BDP($D16,$D$10, "EQY_FUND_RELATIVE_PERIOD", E$3))),E16),"NA ")</f>
        <v>10.076673901897253</v>
      </c>
      <c r="F16" s="244">
        <f ca="1">IFERROR(IF(BB_Switch=1,IF(_xll.BDP($D16,$D$10, "EQY_FUND_RELATIVE_PERIOD", F$3)="#N/A N/A","NA  ",(_xll.BDP($D16,$D$10, "EQY_FUND_RELATIVE_PERIOD", F$3))),F16),"NA ")</f>
        <v>9.2591605327118867</v>
      </c>
      <c r="G16" s="244">
        <f ca="1">IFERROR(IF(BB_Switch=1,IF(_xll.BDP($D16,$D$10, "EQY_FUND_RELATIVE_PERIOD", G$3)="#N/A N/A","NA  ",(_xll.BDP($D16,$D$10, "EQY_FUND_RELATIVE_PERIOD", G$3))),G16),"NA ")</f>
        <v>8.8643128138446574</v>
      </c>
      <c r="H16" s="244">
        <f ca="1">IFERROR(IF(BB_Switch=1,IF(_xll.BDP($D16,$D$10, "EQY_FUND_RELATIVE_PERIOD", H$3)="#N/A N/A","NA  ",(_xll.BDP($D16,$D$10, "EQY_FUND_RELATIVE_PERIOD", H$3))),H16),"NA ")</f>
        <v>8.856355225654033</v>
      </c>
      <c r="I16" s="244">
        <f ca="1">IFERROR(IF(BB_Switch=1,IF(_xll.BDP($D16,$D$10, "EQY_FUND_RELATIVE_PERIOD", I$3)="#N/A N/A","NA  ",(_xll.BDP($D16,$D$10, "EQY_FUND_RELATIVE_PERIOD", I$3))),I16),"NA ")</f>
        <v>8.3888349488281264</v>
      </c>
      <c r="J16" s="244">
        <f ca="1">IFERROR(IF(BB_Switch=1,IF(_xll.BDP($D16,$D$10, "EQY_FUND_RELATIVE_PERIOD", J$3)="#N/A N/A","NA  ",(_xll.BDP($D16,$D$10, "EQY_FUND_RELATIVE_PERIOD", J$3))),J16),"NA ")</f>
        <v>7.5282623742980066</v>
      </c>
      <c r="K16" s="244">
        <f ca="1">IFERROR(IF(BB_Switch=1,IF(_xll.BDP($D16,$D$10, "EQY_FUND_RELATIVE_PERIOD", K$3)="#N/A N/A","NA  ",(_xll.BDP($D16,$D$10, "EQY_FUND_RELATIVE_PERIOD", K$3))),K16),"NA ")</f>
        <v>5.8612622379239374</v>
      </c>
      <c r="L16" s="244">
        <f ca="1">IFERROR(IF(BB_Switch=1,IF(_xll.BDP($D16,$D$10, "EQY_FUND_RELATIVE_PERIOD", L$3)="#N/A N/A","NA  ",(_xll.BDP($D16,$D$10, "EQY_FUND_RELATIVE_PERIOD", L$3))),L16),"NA ")</f>
        <v>5.1618108112452656</v>
      </c>
      <c r="M16" s="244">
        <f ca="1">IFERROR(IF(BB_Switch=1,IF(_xll.BDP($D16,$D$10, "EQY_FUND_RELATIVE_PERIOD", M$3)="#N/A N/A","NA  ",(_xll.BDP($D16,$D$10, "EQY_FUND_RELATIVE_PERIOD", M$3))),M16),"NA ")</f>
        <v>5.7886601618959652</v>
      </c>
      <c r="N16" s="244">
        <f ca="1">IFERROR(IF(BB_Switch=1,IF(_xll.BDP($D16,$D$10, "EQY_FUND_RELATIVE_PERIOD", N$3)="#N/A N/A","NA  ",(_xll.BDP($D16,$D$10, "EQY_FUND_RELATIVE_PERIOD", N$3))),N16),"NA ")</f>
        <v>6.5340608754186924</v>
      </c>
      <c r="O16" s="244">
        <f ca="1">IFERROR(IF(BB_Switch=1,IF(_xll.BDP($D16,$D$10, "EQY_FUND_RELATIVE_PERIOD", O$3)="#N/A N/A","NA  ",(_xll.BDP($D16,$D$10, "EQY_FUND_RELATIVE_PERIOD", O$3))),O16),"NA ")</f>
        <v>6.6681259947325104</v>
      </c>
      <c r="P16" s="257">
        <f ca="1">IFERROR(IF(BB_Switch=1,IF(_xll.BDP($D16,$F$10, "BEST_FPERIOD_OVERRIDE", P$3)="#N/A N/A","NA  ",(_xll.BDP($D16,$F$10, "BEST_FPERIOD_OVERRIDE", P$3))),P16),"NM ")</f>
        <v>4.83568889782482</v>
      </c>
      <c r="Q16" s="257">
        <f ca="1">IFERROR(IF(BB_Switch=1,IF(_xll.BDP($D16,$F$10, "BEST_FPERIOD_OVERRIDE", Q$3)="#N/A N/A","NA  ",(_xll.BDP($D16,$F$10, "BEST_FPERIOD_OVERRIDE", Q$3))),Q16),"NM ")</f>
        <v>4.8373637357190535</v>
      </c>
      <c r="R16" s="257">
        <f ca="1">IFERROR(IF(BB_Switch=1,IF(_xll.BDP($D16,$F$10, "BEST_FPERIOD_OVERRIDE", R$3)="#N/A N/A","NA  ",(_xll.BDP($D16,$F$10, "BEST_FPERIOD_OVERRIDE", R$3))),R16),"NM ")</f>
        <v>4.7428036658489141</v>
      </c>
      <c r="S16" s="257">
        <f ca="1">IFERROR(IF(BB_Switch=1,IF(_xll.BDP($D16,$F$10, "BEST_FPERIOD_OVERRIDE", S$3)="#N/A N/A","NA  ",(_xll.BDP($D16,$F$10, "BEST_FPERIOD_OVERRIDE", S$3))),S16),"NM ")</f>
        <v>4.6904520294288163</v>
      </c>
      <c r="T16" s="257">
        <f ca="1">IFERROR(IF(BB_Switch=1,IF(_xll.BDP($D16,$F$10, "BEST_FPERIOD_OVERRIDE", T$3)="#N/A N/A","NA  ",(_xll.BDP($D16,$F$10, "BEST_FPERIOD_OVERRIDE", T$3))),T16),"NM ")</f>
        <v>4.6855733759861371</v>
      </c>
      <c r="U16" s="227" t="s">
        <v>1356</v>
      </c>
      <c r="V16" s="244">
        <f ca="1">IFERROR(IF(BB_Switch=1,IF(_xll.BDP($D16,$D$10, "EQY_FUND_RELATIVE_PERIOD", V$3)="#N/A N/A","NA  ",(_xll.BDP($D16,$D$10, "EQY_FUND_RELATIVE_PERIOD", V$3))),V16),"NA ")</f>
        <v>5.974948423139133</v>
      </c>
      <c r="W16" s="244">
        <f ca="1">IFERROR(IF(BB_Switch=1,IF(_xll.BDP($D16,$D$10, "EQY_FUND_RELATIVE_PERIOD", W$3)="#N/A N/A","NA  ",(_xll.BDP($D16,$D$10, "EQY_FUND_RELATIVE_PERIOD", W$3))),W16),"NA ")</f>
        <v>4.4208523207457668</v>
      </c>
      <c r="X16" s="244">
        <f ca="1">IFERROR(IF(BB_Switch=1,IF(_xll.BDP($D16,$D$10, "EQY_FUND_RELATIVE_PERIOD", X$3)="#N/A N/A","NA  ",(_xll.BDP($D16,$D$10, "EQY_FUND_RELATIVE_PERIOD", X$3))),X16),"NA ")</f>
        <v>6.7587865704072412</v>
      </c>
      <c r="Y16" s="244">
        <f ca="1">IFERROR(IF(BB_Switch=1,IF(_xll.BDP($D16,$D$10, "EQY_FUND_RELATIVE_PERIOD", Y$3)="#N/A N/A","NA  ",(_xll.BDP($D16,$D$10, "EQY_FUND_RELATIVE_PERIOD", Y$3))),Y16),"NA ")</f>
        <v>7.3420111703874387</v>
      </c>
      <c r="Z16" s="244">
        <f ca="1">IFERROR(IF(BB_Switch=1,IF(_xll.BDP($D16,$D$10, "EQY_FUND_RELATIVE_PERIOD", Z$3)="#N/A N/A","NA  ",(_xll.BDP($D16,$D$10, "EQY_FUND_RELATIVE_PERIOD", Z$3))),Z16),"NA ")</f>
        <v>6.14192131208035</v>
      </c>
      <c r="AA16" s="244">
        <f ca="1">IFERROR(IF(BB_Switch=1,IF(_xll.BDP($D16,$D$10, "EQY_FUND_RELATIVE_PERIOD", AA$3)="#N/A N/A","NA  ",(_xll.BDP($D16,$D$10, "EQY_FUND_RELATIVE_PERIOD", AA$3))),AA16),"NA ")</f>
        <v>5.8988593443043458</v>
      </c>
      <c r="AB16" s="244">
        <f ca="1">IFERROR(IF(BB_Switch=1,IF(_xll.BDP($D16,$D$10, "EQY_FUND_RELATIVE_PERIOD", AB$3)="#N/A N/A","NA  ",(_xll.BDP($D16,$D$10, "EQY_FUND_RELATIVE_PERIOD", AB$3))),AB16),"NA ")</f>
        <v>10.061571618221601</v>
      </c>
      <c r="AC16" s="244">
        <f ca="1">IFERROR(IF(BB_Switch=1,IF(_xll.BDP($D16,$D$10, "EQY_FUND_RELATIVE_PERIOD", AC$3)="#N/A N/A","NA  ",(_xll.BDP($D16,$D$10, "EQY_FUND_RELATIVE_PERIOD", AC$3))),AC16),"NA ")</f>
        <v>8.8374817994938759</v>
      </c>
      <c r="AD16" s="244">
        <f ca="1">IFERROR(IF(BB_Switch=1,IF(_xll.BDP($D16,$D$10, "EQY_FUND_RELATIVE_PERIOD", AD$3)="#N/A N/A","NA  ",(_xll.BDP($D16,$D$10, "EQY_FUND_RELATIVE_PERIOD", AD$3))),AD16),"NA ")</f>
        <v>5.1618108112452656</v>
      </c>
      <c r="AE16" s="244">
        <f ca="1">IFERROR(IF(BB_Switch=1,IF(_xll.BDP($D16,$D$10, "EQY_FUND_RELATIVE_PERIOD", AE$3)="#N/A N/A","NA  ",(_xll.BDP($D16,$D$10, "EQY_FUND_RELATIVE_PERIOD", AE$3))),AE16),"NA ")</f>
        <v>8.1085406158482147</v>
      </c>
      <c r="AF16" s="235">
        <f t="shared" ca="1" si="3"/>
        <v>8.2216783548716741</v>
      </c>
      <c r="AG16" s="257">
        <f t="shared" ca="1" si="4"/>
        <v>4.8106451097640308</v>
      </c>
      <c r="AH16" s="257">
        <f ca="1">IFERROR(IF(BB_Switch=1,IF(_xll.BDP($D16,$F$10, "BEST_FPERIOD_OVERRIDE", AH$3)="#N/A N/A","NA  ",(_xll.BDP($D16,$F$10, "BEST_FPERIOD_OVERRIDE", AH$3))),AH16),"NM ")</f>
        <v>4.8589864402136698</v>
      </c>
      <c r="AI16" s="257">
        <f ca="1">IFERROR(IF(BB_Switch=1,IF(_xll.BDP($D16,$F$10, "BEST_FPERIOD_OVERRIDE", AI$3)="#N/A N/A","NA  ",(_xll.BDP($D16,$F$10, "BEST_FPERIOD_OVERRIDE", AI$3))),AI16),"NM ")</f>
        <v>4.5612934747669565</v>
      </c>
      <c r="AJ16" s="257">
        <f ca="1">IFERROR(IF(BB_Switch=1,IF(_xll.BDP($D16,$F$10, "BEST_FPERIOD_OVERRIDE", AJ$3)="#N/A N/A","NA  ",(_xll.BDP($D16,$F$10, "BEST_FPERIOD_OVERRIDE", AJ$3))),AJ16),"NM ")</f>
        <v>4.3823915997529346</v>
      </c>
      <c r="AK16" s="227"/>
      <c r="AL16" s="227"/>
      <c r="AM16" s="227"/>
    </row>
    <row r="17" spans="2:43" ht="11.25" customHeight="1">
      <c r="C17" s="229" t="str">
        <f ca="1">IFERROR(IF(BB_Switch=1,_xll.BDP($D17,$C$270),C17), "NA ")</f>
        <v>Kraton Corp</v>
      </c>
      <c r="D17" s="240" t="s">
        <v>692</v>
      </c>
      <c r="E17" s="244">
        <f ca="1">IFERROR(IF(BB_Switch=1,IF(_xll.BDP($D17,$D$10, "EQY_FUND_RELATIVE_PERIOD", E$3)="#N/A N/A","NA  ",(_xll.BDP($D17,$D$10, "EQY_FUND_RELATIVE_PERIOD", E$3))),E17),"NA ")</f>
        <v>7.4869440243752168</v>
      </c>
      <c r="F17" s="244">
        <f ca="1">IFERROR(IF(BB_Switch=1,IF(_xll.BDP($D17,$D$10, "EQY_FUND_RELATIVE_PERIOD", F$3)="#N/A N/A","NA  ",(_xll.BDP($D17,$D$10, "EQY_FUND_RELATIVE_PERIOD", F$3))),F17),"NA ")</f>
        <v>7.4283157591717925</v>
      </c>
      <c r="G17" s="244">
        <f ca="1">IFERROR(IF(BB_Switch=1,IF(_xll.BDP($D17,$D$10, "EQY_FUND_RELATIVE_PERIOD", G$3)="#N/A N/A","NA  ",(_xll.BDP($D17,$D$10, "EQY_FUND_RELATIVE_PERIOD", G$3))),G17),"NA ")</f>
        <v>7.9276383961223962</v>
      </c>
      <c r="H17" s="244">
        <f ca="1">IFERROR(IF(BB_Switch=1,IF(_xll.BDP($D17,$D$10, "EQY_FUND_RELATIVE_PERIOD", H$3)="#N/A N/A","NA  ",(_xll.BDP($D17,$D$10, "EQY_FUND_RELATIVE_PERIOD", H$3))),H17),"NA ")</f>
        <v>8.5034717123820798</v>
      </c>
      <c r="I17" s="244">
        <f ca="1">IFERROR(IF(BB_Switch=1,IF(_xll.BDP($D17,$D$10, "EQY_FUND_RELATIVE_PERIOD", I$3)="#N/A N/A","NA  ",(_xll.BDP($D17,$D$10, "EQY_FUND_RELATIVE_PERIOD", I$3))),I17),"NA ")</f>
        <v>8.9218096485859846</v>
      </c>
      <c r="J17" s="244">
        <f ca="1">IFERROR(IF(BB_Switch=1,IF(_xll.BDP($D17,$D$10, "EQY_FUND_RELATIVE_PERIOD", J$3)="#N/A N/A","NA  ",(_xll.BDP($D17,$D$10, "EQY_FUND_RELATIVE_PERIOD", J$3))),J17),"NA ")</f>
        <v>8.9002159486603922</v>
      </c>
      <c r="K17" s="244">
        <f ca="1">IFERROR(IF(BB_Switch=1,IF(_xll.BDP($D17,$D$10, "EQY_FUND_RELATIVE_PERIOD", K$3)="#N/A N/A","NA  ",(_xll.BDP($D17,$D$10, "EQY_FUND_RELATIVE_PERIOD", K$3))),K17),"NA ")</f>
        <v>8.2376888562702959</v>
      </c>
      <c r="L17" s="244">
        <f ca="1">IFERROR(IF(BB_Switch=1,IF(_xll.BDP($D17,$D$10, "EQY_FUND_RELATIVE_PERIOD", L$3)="#N/A N/A","NA  ",(_xll.BDP($D17,$D$10, "EQY_FUND_RELATIVE_PERIOD", L$3))),L17),"NA ")</f>
        <v>5.7658642743973836</v>
      </c>
      <c r="M17" s="244">
        <f ca="1">IFERROR(IF(BB_Switch=1,IF(_xll.BDP($D17,$D$10, "EQY_FUND_RELATIVE_PERIOD", M$3)="#N/A N/A","NA  ",(_xll.BDP($D17,$D$10, "EQY_FUND_RELATIVE_PERIOD", M$3))),M17),"NA ")</f>
        <v>6.8339578371427745</v>
      </c>
      <c r="N17" s="244">
        <f ca="1">IFERROR(IF(BB_Switch=1,IF(_xll.BDP($D17,$D$10, "EQY_FUND_RELATIVE_PERIOD", N$3)="#N/A N/A","NA  ",(_xll.BDP($D17,$D$10, "EQY_FUND_RELATIVE_PERIOD", N$3))),N17),"NA ")</f>
        <v>6.668984623204981</v>
      </c>
      <c r="O17" s="244">
        <f ca="1">IFERROR(IF(BB_Switch=1,IF(_xll.BDP($D17,$D$10, "EQY_FUND_RELATIVE_PERIOD", O$3)="#N/A N/A","NA  ",(_xll.BDP($D17,$D$10, "EQY_FUND_RELATIVE_PERIOD", O$3))),O17),"NA ")</f>
        <v>7.2426166200409599</v>
      </c>
      <c r="P17" s="257">
        <f ca="1">IFERROR(IF(BB_Switch=1,IF(_xll.BDP($D17,$F$10, "BEST_FPERIOD_OVERRIDE", P$3)="#N/A N/A","NA  ",(_xll.BDP($D17,$F$10, "BEST_FPERIOD_OVERRIDE", P$3))),P17),"NM ")</f>
        <v>7.5474445779945514</v>
      </c>
      <c r="Q17" s="257">
        <f ca="1">IFERROR(IF(BB_Switch=1,IF(_xll.BDP($D17,$F$10, "BEST_FPERIOD_OVERRIDE", Q$3)="#N/A N/A","NA  ",(_xll.BDP($D17,$F$10, "BEST_FPERIOD_OVERRIDE", Q$3))),Q17),"NM ")</f>
        <v>7.6437887454351472</v>
      </c>
      <c r="R17" s="257">
        <f ca="1">IFERROR(IF(BB_Switch=1,IF(_xll.BDP($D17,$F$10, "BEST_FPERIOD_OVERRIDE", R$3)="#N/A N/A","NA  ",(_xll.BDP($D17,$F$10, "BEST_FPERIOD_OVERRIDE", R$3))),R17),"NM ")</f>
        <v>7.6450104121128364</v>
      </c>
      <c r="S17" s="257">
        <f ca="1">IFERROR(IF(BB_Switch=1,IF(_xll.BDP($D17,$F$10, "BEST_FPERIOD_OVERRIDE", S$3)="#N/A N/A","NA  ",(_xll.BDP($D17,$F$10, "BEST_FPERIOD_OVERRIDE", S$3))),S17),"NM ")</f>
        <v>7.3435139320982357</v>
      </c>
      <c r="T17" s="257">
        <f ca="1">IFERROR(IF(BB_Switch=1,IF(_xll.BDP($D17,$F$10, "BEST_FPERIOD_OVERRIDE", T$3)="#N/A N/A","NA  ",(_xll.BDP($D17,$F$10, "BEST_FPERIOD_OVERRIDE", T$3))),T17),"NM ")</f>
        <v>7.0516621645644806</v>
      </c>
      <c r="U17" s="227" t="s">
        <v>1357</v>
      </c>
      <c r="V17" s="244">
        <f ca="1">IFERROR(IF(BB_Switch=1,IF(_xll.BDP($D17,$D$10, "EQY_FUND_RELATIVE_PERIOD", V$3)="#N/A N/A","NA  ",(_xll.BDP($D17,$D$10, "EQY_FUND_RELATIVE_PERIOD", V$3))),V17),"NA ")</f>
        <v>6.6062598522102984</v>
      </c>
      <c r="W17" s="244">
        <f ca="1">IFERROR(IF(BB_Switch=1,IF(_xll.BDP($D17,$D$10, "EQY_FUND_RELATIVE_PERIOD", W$3)="#N/A N/A","NA  ",(_xll.BDP($D17,$D$10, "EQY_FUND_RELATIVE_PERIOD", W$3))),W17),"NA ")</f>
        <v>5.0727071928809222</v>
      </c>
      <c r="X17" s="244">
        <f ca="1">IFERROR(IF(BB_Switch=1,IF(_xll.BDP($D17,$D$10, "EQY_FUND_RELATIVE_PERIOD", X$3)="#N/A N/A","NA  ",(_xll.BDP($D17,$D$10, "EQY_FUND_RELATIVE_PERIOD", X$3))),X17),"NA ")</f>
        <v>9.5470117403052104</v>
      </c>
      <c r="Y17" s="244">
        <f ca="1">IFERROR(IF(BB_Switch=1,IF(_xll.BDP($D17,$D$10, "EQY_FUND_RELATIVE_PERIOD", Y$3)="#N/A N/A","NA  ",(_xll.BDP($D17,$D$10, "EQY_FUND_RELATIVE_PERIOD", Y$3))),Y17),"NA ")</f>
        <v>10.453909009407978</v>
      </c>
      <c r="Z17" s="244">
        <f ca="1">IFERROR(IF(BB_Switch=1,IF(_xll.BDP($D17,$D$10, "EQY_FUND_RELATIVE_PERIOD", Z$3)="#N/A N/A","NA  ",(_xll.BDP($D17,$D$10, "EQY_FUND_RELATIVE_PERIOD", Z$3))),Z17),"NA ")</f>
        <v>7.8507165288020335</v>
      </c>
      <c r="AA17" s="244">
        <f ca="1">IFERROR(IF(BB_Switch=1,IF(_xll.BDP($D17,$D$10, "EQY_FUND_RELATIVE_PERIOD", AA$3)="#N/A N/A","NA  ",(_xll.BDP($D17,$D$10, "EQY_FUND_RELATIVE_PERIOD", AA$3))),AA17),"NA ")</f>
        <v>8.3041253730226288</v>
      </c>
      <c r="AB17" s="244">
        <f ca="1">IFERROR(IF(BB_Switch=1,IF(_xll.BDP($D17,$D$10, "EQY_FUND_RELATIVE_PERIOD", AB$3)="#N/A N/A","NA  ",(_xll.BDP($D17,$D$10, "EQY_FUND_RELATIVE_PERIOD", AB$3))),AB17),"NA ")</f>
        <v>8.3932902815164496</v>
      </c>
      <c r="AC17" s="244">
        <f ca="1">IFERROR(IF(BB_Switch=1,IF(_xll.BDP($D17,$D$10, "EQY_FUND_RELATIVE_PERIOD", AC$3)="#N/A N/A","NA  ",(_xll.BDP($D17,$D$10, "EQY_FUND_RELATIVE_PERIOD", AC$3))),AC17),"NA ")</f>
        <v>8.1563613716567005</v>
      </c>
      <c r="AD17" s="244">
        <f ca="1">IFERROR(IF(BB_Switch=1,IF(_xll.BDP($D17,$D$10, "EQY_FUND_RELATIVE_PERIOD", AD$3)="#N/A N/A","NA  ",(_xll.BDP($D17,$D$10, "EQY_FUND_RELATIVE_PERIOD", AD$3))),AD17),"NA ")</f>
        <v>5.9426294677112361</v>
      </c>
      <c r="AE17" s="244">
        <f ca="1">IFERROR(IF(BB_Switch=1,IF(_xll.BDP($D17,$D$10, "EQY_FUND_RELATIVE_PERIOD", AE$3)="#N/A N/A","NA  ",(_xll.BDP($D17,$D$10, "EQY_FUND_RELATIVE_PERIOD", AE$3))),AE17),"NA ")</f>
        <v>6.5029241570688754</v>
      </c>
      <c r="AF17" s="235">
        <f t="shared" ca="1" si="3"/>
        <v>8.2268247892487718</v>
      </c>
      <c r="AG17" s="257">
        <f t="shared" ca="1" si="4"/>
        <v>5.3459790822915103</v>
      </c>
      <c r="AH17" s="257">
        <f ca="1">IFERROR(IF(BB_Switch=1,IF(_xll.BDP($D17,$F$10, "BEST_FPERIOD_OVERRIDE", AH$3)="#N/A N/A","NA  ",(_xll.BDP($D17,$F$10, "BEST_FPERIOD_OVERRIDE", AH$3))),AH17),"NM ")</f>
        <v>7.9333951219512198</v>
      </c>
      <c r="AI17" s="257">
        <f ca="1">IFERROR(IF(BB_Switch=1,IF(_xll.BDP($D17,$F$10, "BEST_FPERIOD_OVERRIDE", AI$3)="#N/A N/A","NA  ",(_xll.BDP($D17,$F$10, "BEST_FPERIOD_OVERRIDE", AI$3))),AI17),"NM ")</f>
        <v>6.5977525354969577</v>
      </c>
      <c r="AJ17" s="257">
        <f ca="1">IFERROR(IF(BB_Switch=1,IF(_xll.BDP($D17,$F$10, "BEST_FPERIOD_OVERRIDE", AJ$3)="#N/A N/A","NA  ",(_xll.BDP($D17,$F$10, "BEST_FPERIOD_OVERRIDE", AJ$3))),AJ17),"NM ")</f>
        <v>6.4537539682539684</v>
      </c>
      <c r="AK17" s="227"/>
      <c r="AL17" s="258">
        <v>13</v>
      </c>
      <c r="AM17" s="217" t="s">
        <v>529</v>
      </c>
      <c r="AO17" s="227"/>
      <c r="AP17" s="227"/>
      <c r="AQ17" s="227"/>
    </row>
    <row r="18" spans="2:43" ht="11.25" customHeight="1">
      <c r="B18" s="217" t="s">
        <v>14</v>
      </c>
      <c r="C18" s="229" t="str">
        <f ca="1">IFERROR(IF(BB_Switch=1,_xll.BDP($D18,$C$270),C18), "NA ")</f>
        <v>Dow Inc</v>
      </c>
      <c r="D18" s="240" t="s">
        <v>694</v>
      </c>
      <c r="E18" s="244" t="str">
        <f ca="1">IFERROR(IF(BB_Switch=1,IF(_xll.BDP($D18,$D$10, "EQY_FUND_RELATIVE_PERIOD", E$3)="#N/A N/A","NA  ",(_xll.BDP($D18,$D$10, "EQY_FUND_RELATIVE_PERIOD", E$3))),E18),"NA ")</f>
        <v xml:space="preserve">NA  </v>
      </c>
      <c r="F18" s="244" t="str">
        <f ca="1">IFERROR(IF(BB_Switch=1,IF(_xll.BDP($D18,$D$10, "EQY_FUND_RELATIVE_PERIOD", F$3)="#N/A N/A","NA  ",(_xll.BDP($D18,$D$10, "EQY_FUND_RELATIVE_PERIOD", F$3))),F18),"NA ")</f>
        <v xml:space="preserve">NA  </v>
      </c>
      <c r="G18" s="244" t="str">
        <f ca="1">IFERROR(IF(BB_Switch=1,IF(_xll.BDP($D18,$D$10, "EQY_FUND_RELATIVE_PERIOD", G$3)="#N/A N/A","NA  ",(_xll.BDP($D18,$D$10, "EQY_FUND_RELATIVE_PERIOD", G$3))),G18),"NA ")</f>
        <v xml:space="preserve">NA  </v>
      </c>
      <c r="H18" s="244" t="str">
        <f ca="1">IFERROR(IF(BB_Switch=1,IF(_xll.BDP($D18,$D$10, "EQY_FUND_RELATIVE_PERIOD", H$3)="#N/A N/A","NA  ",(_xll.BDP($D18,$D$10, "EQY_FUND_RELATIVE_PERIOD", H$3))),H18),"NA ")</f>
        <v xml:space="preserve">NA  </v>
      </c>
      <c r="I18" s="244" t="str">
        <f ca="1">IFERROR(IF(BB_Switch=1,IF(_xll.BDP($D18,$D$10, "EQY_FUND_RELATIVE_PERIOD", I$3)="#N/A N/A","NA  ",(_xll.BDP($D18,$D$10, "EQY_FUND_RELATIVE_PERIOD", I$3))),I18),"NA ")</f>
        <v xml:space="preserve">NA  </v>
      </c>
      <c r="J18" s="244" t="str">
        <f ca="1">IFERROR(IF(BB_Switch=1,IF(_xll.BDP($D18,$D$10, "EQY_FUND_RELATIVE_PERIOD", J$3)="#N/A N/A","NA  ",(_xll.BDP($D18,$D$10, "EQY_FUND_RELATIVE_PERIOD", J$3))),J18),"NA ")</f>
        <v xml:space="preserve">NA  </v>
      </c>
      <c r="K18" s="244" t="str">
        <f ca="1">IFERROR(IF(BB_Switch=1,IF(_xll.BDP($D18,$D$10, "EQY_FUND_RELATIVE_PERIOD", K$3)="#N/A N/A","NA  ",(_xll.BDP($D18,$D$10, "EQY_FUND_RELATIVE_PERIOD", K$3))),K18),"NA ")</f>
        <v xml:space="preserve">NA  </v>
      </c>
      <c r="L18" s="244" t="str">
        <f ca="1">IFERROR(IF(BB_Switch=1,IF(_xll.BDP($D18,$D$10, "EQY_FUND_RELATIVE_PERIOD", L$3)="#N/A N/A","NA  ",(_xll.BDP($D18,$D$10, "EQY_FUND_RELATIVE_PERIOD", L$3))),L18),"NA ")</f>
        <v xml:space="preserve">NA  </v>
      </c>
      <c r="M18" s="244" t="str">
        <f ca="1">IFERROR(IF(BB_Switch=1,IF(_xll.BDP($D18,$D$10, "EQY_FUND_RELATIVE_PERIOD", M$3)="#N/A N/A","NA  ",(_xll.BDP($D18,$D$10, "EQY_FUND_RELATIVE_PERIOD", M$3))),M18),"NA ")</f>
        <v xml:space="preserve">NA  </v>
      </c>
      <c r="N18" s="244">
        <f ca="1">IFERROR(IF(BB_Switch=1,IF(_xll.BDP($D18,$D$10, "EQY_FUND_RELATIVE_PERIOD", N$3)="#N/A N/A","NA  ",(_xll.BDP($D18,$D$10, "EQY_FUND_RELATIVE_PERIOD", N$3))),N18),"NA ")</f>
        <v>6.7049016852720174</v>
      </c>
      <c r="O18" s="244">
        <f ca="1">IFERROR(IF(BB_Switch=1,IF(_xll.BDP($D18,$D$10, "EQY_FUND_RELATIVE_PERIOD", O$3)="#N/A N/A","NA  ",(_xll.BDP($D18,$D$10, "EQY_FUND_RELATIVE_PERIOD", O$3))),O18),"NA ")</f>
        <v>6.5729768202624443</v>
      </c>
      <c r="P18" s="257">
        <f ca="1">IFERROR(IF(BB_Switch=1,IF(_xll.BDP($D18,$F$10, "BEST_FPERIOD_OVERRIDE", P$3)="#N/A N/A","NA  ",(_xll.BDP($D18,$F$10, "BEST_FPERIOD_OVERRIDE", P$3))),P18),"NM ")</f>
        <v>4.7310962776433465</v>
      </c>
      <c r="Q18" s="257">
        <f ca="1">IFERROR(IF(BB_Switch=1,IF(_xll.BDP($D18,$F$10, "BEST_FPERIOD_OVERRIDE", Q$3)="#N/A N/A","NA  ",(_xll.BDP($D18,$F$10, "BEST_FPERIOD_OVERRIDE", Q$3))),Q18),"NM ")</f>
        <v>4.7230449078232777</v>
      </c>
      <c r="R18" s="257">
        <f ca="1">IFERROR(IF(BB_Switch=1,IF(_xll.BDP($D18,$F$10, "BEST_FPERIOD_OVERRIDE", R$3)="#N/A N/A","NA  ",(_xll.BDP($D18,$F$10, "BEST_FPERIOD_OVERRIDE", R$3))),R18),"NM ")</f>
        <v>4.6520149160051689</v>
      </c>
      <c r="S18" s="257">
        <f ca="1">IFERROR(IF(BB_Switch=1,IF(_xll.BDP($D18,$F$10, "BEST_FPERIOD_OVERRIDE", S$3)="#N/A N/A","NA  ",(_xll.BDP($D18,$F$10, "BEST_FPERIOD_OVERRIDE", S$3))),S18),"NM ")</f>
        <v>4.5122412261853606</v>
      </c>
      <c r="T18" s="257">
        <f ca="1">IFERROR(IF(BB_Switch=1,IF(_xll.BDP($D18,$F$10, "BEST_FPERIOD_OVERRIDE", T$3)="#N/A N/A","NA  ",(_xll.BDP($D18,$F$10, "BEST_FPERIOD_OVERRIDE", T$3))),T18),"NM ")</f>
        <v>4.4100599908998639</v>
      </c>
      <c r="U18" s="227" t="s">
        <v>1358</v>
      </c>
      <c r="V18" s="244" t="str">
        <f ca="1">IFERROR(IF(BB_Switch=1,IF(_xll.BDP($D18,$D$10, "EQY_FUND_RELATIVE_PERIOD", V$3)="#N/A N/A","NA  ",(_xll.BDP($D18,$D$10, "EQY_FUND_RELATIVE_PERIOD", V$3))),V18),"NA ")</f>
        <v xml:space="preserve">NA  </v>
      </c>
      <c r="W18" s="244" t="str">
        <f ca="1">IFERROR(IF(BB_Switch=1,IF(_xll.BDP($D18,$D$10, "EQY_FUND_RELATIVE_PERIOD", W$3)="#N/A N/A","NA  ",(_xll.BDP($D18,$D$10, "EQY_FUND_RELATIVE_PERIOD", W$3))),W18),"NA ")</f>
        <v xml:space="preserve">NA  </v>
      </c>
      <c r="X18" s="244" t="str">
        <f ca="1">IFERROR(IF(BB_Switch=1,IF(_xll.BDP($D18,$D$10, "EQY_FUND_RELATIVE_PERIOD", X$3)="#N/A N/A","NA  ",(_xll.BDP($D18,$D$10, "EQY_FUND_RELATIVE_PERIOD", X$3))),X18),"NA ")</f>
        <v xml:space="preserve">NA  </v>
      </c>
      <c r="Y18" s="244" t="str">
        <f ca="1">IFERROR(IF(BB_Switch=1,IF(_xll.BDP($D18,$D$10, "EQY_FUND_RELATIVE_PERIOD", Y$3)="#N/A N/A","NA  ",(_xll.BDP($D18,$D$10, "EQY_FUND_RELATIVE_PERIOD", Y$3))),Y18),"NA ")</f>
        <v xml:space="preserve">NA  </v>
      </c>
      <c r="Z18" s="244" t="str">
        <f ca="1">IFERROR(IF(BB_Switch=1,IF(_xll.BDP($D18,$D$10, "EQY_FUND_RELATIVE_PERIOD", Z$3)="#N/A N/A","NA  ",(_xll.BDP($D18,$D$10, "EQY_FUND_RELATIVE_PERIOD", Z$3))),Z18),"NA ")</f>
        <v xml:space="preserve">NA  </v>
      </c>
      <c r="AA18" s="244" t="str">
        <f ca="1">IFERROR(IF(BB_Switch=1,IF(_xll.BDP($D18,$D$10, "EQY_FUND_RELATIVE_PERIOD", AA$3)="#N/A N/A","NA  ",(_xll.BDP($D18,$D$10, "EQY_FUND_RELATIVE_PERIOD", AA$3))),AA18),"NA ")</f>
        <v xml:space="preserve">NA  </v>
      </c>
      <c r="AB18" s="244" t="str">
        <f ca="1">IFERROR(IF(BB_Switch=1,IF(_xll.BDP($D18,$D$10, "EQY_FUND_RELATIVE_PERIOD", AB$3)="#N/A N/A","NA  ",(_xll.BDP($D18,$D$10, "EQY_FUND_RELATIVE_PERIOD", AB$3))),AB18),"NA ")</f>
        <v xml:space="preserve">NA  </v>
      </c>
      <c r="AC18" s="244" t="str">
        <f ca="1">IFERROR(IF(BB_Switch=1,IF(_xll.BDP($D18,$D$10, "EQY_FUND_RELATIVE_PERIOD", AC$3)="#N/A N/A","NA  ",(_xll.BDP($D18,$D$10, "EQY_FUND_RELATIVE_PERIOD", AC$3))),AC18),"NA ")</f>
        <v xml:space="preserve">NA  </v>
      </c>
      <c r="AD18" s="244" t="str">
        <f ca="1">IFERROR(IF(BB_Switch=1,IF(_xll.BDP($D18,$D$10, "EQY_FUND_RELATIVE_PERIOD", AD$3)="#N/A N/A","NA  ",(_xll.BDP($D18,$D$10, "EQY_FUND_RELATIVE_PERIOD", AD$3))),AD18),"NA ")</f>
        <v xml:space="preserve">NA  </v>
      </c>
      <c r="AE18" s="244">
        <f ca="1">IFERROR(IF(BB_Switch=1,IF(_xll.BDP($D18,$D$10, "EQY_FUND_RELATIVE_PERIOD", AE$3)="#N/A N/A","NA  ",(_xll.BDP($D18,$D$10, "EQY_FUND_RELATIVE_PERIOD", AE$3))),AE18),"NA ")</f>
        <v>7.9493725798050523</v>
      </c>
      <c r="AF18" s="235">
        <f t="shared" ca="1" si="3"/>
        <v>7.9493725798050523</v>
      </c>
      <c r="AG18" s="257">
        <f t="shared" ca="1" si="4"/>
        <v>4.6172779355281204</v>
      </c>
      <c r="AH18" s="257">
        <f ca="1">IFERROR(IF(BB_Switch=1,IF(_xll.BDP($D18,$F$10, "BEST_FPERIOD_OVERRIDE", AH$3)="#N/A N/A","NA  ",(_xll.BDP($D18,$F$10, "BEST_FPERIOD_OVERRIDE", AH$3))),AH18),"NM ")</f>
        <v>4.7712747652226604</v>
      </c>
      <c r="AI18" s="257">
        <f ca="1">IFERROR(IF(BB_Switch=1,IF(_xll.BDP($D18,$F$10, "BEST_FPERIOD_OVERRIDE", AI$3)="#N/A N/A","NA  ",(_xll.BDP($D18,$F$10, "BEST_FPERIOD_OVERRIDE", AI$3))),AI18),"NM ")</f>
        <v>4.3864547203053315</v>
      </c>
      <c r="AJ18" s="257">
        <f ca="1">IFERROR(IF(BB_Switch=1,IF(_xll.BDP($D18,$F$10, "BEST_FPERIOD_OVERRIDE", AJ$3)="#N/A N/A","NA  ",(_xll.BDP($D18,$F$10, "BEST_FPERIOD_OVERRIDE", AJ$3))),AJ18),"NM ")</f>
        <v>4.1386804107836559</v>
      </c>
      <c r="AK18" s="227"/>
      <c r="AL18" s="258">
        <v>6.5</v>
      </c>
      <c r="AM18" s="217" t="s">
        <v>530</v>
      </c>
      <c r="AO18" s="227"/>
      <c r="AP18" s="227"/>
      <c r="AQ18" s="227"/>
    </row>
    <row r="19" spans="2:43" ht="11.25" customHeight="1">
      <c r="C19" s="229"/>
      <c r="D19" s="240"/>
      <c r="E19" s="244"/>
      <c r="F19" s="244"/>
      <c r="G19" s="244"/>
      <c r="H19" s="244"/>
      <c r="I19" s="244"/>
      <c r="J19" s="244"/>
      <c r="K19" s="244"/>
      <c r="L19" s="244"/>
      <c r="M19" s="244"/>
      <c r="N19" s="244"/>
      <c r="O19" s="244"/>
      <c r="P19" s="257"/>
      <c r="Q19" s="257"/>
      <c r="R19" s="257"/>
      <c r="S19" s="257"/>
      <c r="T19" s="257"/>
      <c r="U19" s="227"/>
      <c r="V19" s="244"/>
      <c r="W19" s="244"/>
      <c r="X19" s="244"/>
      <c r="Y19" s="244"/>
      <c r="Z19" s="244"/>
      <c r="AA19" s="244"/>
      <c r="AB19" s="244"/>
      <c r="AC19" s="244"/>
      <c r="AD19" s="244"/>
      <c r="AE19" s="244"/>
      <c r="AF19" s="235"/>
      <c r="AG19" s="257"/>
      <c r="AH19" s="257"/>
      <c r="AI19" s="257"/>
      <c r="AJ19" s="257"/>
      <c r="AK19" s="227"/>
      <c r="AL19" s="227"/>
      <c r="AM19" s="227"/>
      <c r="AO19" s="227"/>
      <c r="AP19" s="227"/>
      <c r="AQ19" s="227"/>
    </row>
    <row r="20" spans="2:43" ht="11.25" customHeight="1">
      <c r="C20" s="440" t="s">
        <v>690</v>
      </c>
      <c r="D20" s="240"/>
      <c r="E20" s="244"/>
      <c r="F20" s="244"/>
      <c r="G20" s="244"/>
      <c r="H20" s="244"/>
      <c r="I20" s="244"/>
      <c r="J20" s="244"/>
      <c r="K20" s="244"/>
      <c r="L20" s="244"/>
      <c r="M20" s="244"/>
      <c r="N20" s="244"/>
      <c r="O20" s="244"/>
      <c r="P20" s="257"/>
      <c r="Q20" s="257"/>
      <c r="R20" s="257"/>
      <c r="S20" s="257"/>
      <c r="T20" s="257"/>
      <c r="U20" s="227" t="s">
        <v>690</v>
      </c>
      <c r="V20" s="244"/>
      <c r="W20" s="244"/>
      <c r="X20" s="244"/>
      <c r="Y20" s="244"/>
      <c r="Z20" s="244"/>
      <c r="AA20" s="244"/>
      <c r="AB20" s="244"/>
      <c r="AC20" s="244"/>
      <c r="AD20" s="244"/>
      <c r="AE20" s="244"/>
      <c r="AF20" s="235"/>
      <c r="AG20" s="257"/>
      <c r="AH20" s="257"/>
      <c r="AI20" s="257"/>
      <c r="AJ20" s="257"/>
    </row>
    <row r="21" spans="2:43" ht="11.25" customHeight="1">
      <c r="C21" s="229" t="str">
        <f ca="1">IFERROR(IF(BB_Switch=1,_xll.BDP($D21,$C$270),C21), "NA ")</f>
        <v>Eastman Chemical Co</v>
      </c>
      <c r="D21" s="240" t="s">
        <v>564</v>
      </c>
      <c r="E21" s="244">
        <f ca="1">IFERROR(IF(BB_Switch=1,IF(_xll.BDP($D21,$D$10, "EQY_FUND_RELATIVE_PERIOD", E$3)="#N/A N/A","NA  ",(_xll.BDP($D21,$D$10, "EQY_FUND_RELATIVE_PERIOD", E$3))),E21),"NA ")</f>
        <v>8.8331210869938062</v>
      </c>
      <c r="F21" s="244">
        <f ca="1">IFERROR(IF(BB_Switch=1,IF(_xll.BDP($D21,$D$10, "EQY_FUND_RELATIVE_PERIOD", F$3)="#N/A N/A","NA  ",(_xll.BDP($D21,$D$10, "EQY_FUND_RELATIVE_PERIOD", F$3))),F21),"NA ")</f>
        <v>8.7735046039925724</v>
      </c>
      <c r="G21" s="244">
        <f ca="1">IFERROR(IF(BB_Switch=1,IF(_xll.BDP($D21,$D$10, "EQY_FUND_RELATIVE_PERIOD", G$3)="#N/A N/A","NA  ",(_xll.BDP($D21,$D$10, "EQY_FUND_RELATIVE_PERIOD", G$3))),G21),"NA ")</f>
        <v>8.8905218231108076</v>
      </c>
      <c r="H21" s="244">
        <f ca="1">IFERROR(IF(BB_Switch=1,IF(_xll.BDP($D21,$D$10, "EQY_FUND_RELATIVE_PERIOD", H$3)="#N/A N/A","NA  ",(_xll.BDP($D21,$D$10, "EQY_FUND_RELATIVE_PERIOD", H$3))),H21),"NA ")</f>
        <v>8.8486621133393335</v>
      </c>
      <c r="I21" s="244">
        <f ca="1">IFERROR(IF(BB_Switch=1,IF(_xll.BDP($D21,$D$10, "EQY_FUND_RELATIVE_PERIOD", I$3)="#N/A N/A","NA  ",(_xll.BDP($D21,$D$10, "EQY_FUND_RELATIVE_PERIOD", I$3))),I21),"NA ")</f>
        <v>9.5356575009707036</v>
      </c>
      <c r="J21" s="244">
        <f ca="1">IFERROR(IF(BB_Switch=1,IF(_xll.BDP($D21,$D$10, "EQY_FUND_RELATIVE_PERIOD", J$3)="#N/A N/A","NA  ",(_xll.BDP($D21,$D$10, "EQY_FUND_RELATIVE_PERIOD", J$3))),J21),"NA ")</f>
        <v>8.9374840734686831</v>
      </c>
      <c r="K21" s="244">
        <f ca="1">IFERROR(IF(BB_Switch=1,IF(_xll.BDP($D21,$D$10, "EQY_FUND_RELATIVE_PERIOD", K$3)="#N/A N/A","NA  ",(_xll.BDP($D21,$D$10, "EQY_FUND_RELATIVE_PERIOD", K$3))),K21),"NA ")</f>
        <v>8.6006775739152985</v>
      </c>
      <c r="L21" s="244">
        <f ca="1">IFERROR(IF(BB_Switch=1,IF(_xll.BDP($D21,$D$10, "EQY_FUND_RELATIVE_PERIOD", L$3)="#N/A N/A","NA  ",(_xll.BDP($D21,$D$10, "EQY_FUND_RELATIVE_PERIOD", L$3))),L21),"NA ")</f>
        <v>7.2351345968524292</v>
      </c>
      <c r="M21" s="244">
        <f ca="1">IFERROR(IF(BB_Switch=1,IF(_xll.BDP($D21,$D$10, "EQY_FUND_RELATIVE_PERIOD", M$3)="#N/A N/A","NA  ",(_xll.BDP($D21,$D$10, "EQY_FUND_RELATIVE_PERIOD", M$3))),M21),"NA ")</f>
        <v>7.7596584850932242</v>
      </c>
      <c r="N21" s="244">
        <f ca="1">IFERROR(IF(BB_Switch=1,IF(_xll.BDP($D21,$D$10, "EQY_FUND_RELATIVE_PERIOD", N$3)="#N/A N/A","NA  ",(_xll.BDP($D21,$D$10, "EQY_FUND_RELATIVE_PERIOD", N$3))),N21),"NA ")</f>
        <v>7.9522551978149707</v>
      </c>
      <c r="O21" s="244">
        <f ca="1">IFERROR(IF(BB_Switch=1,IF(_xll.BDP($D21,$D$10, "EQY_FUND_RELATIVE_PERIOD", O$3)="#N/A N/A","NA  ",(_xll.BDP($D21,$D$10, "EQY_FUND_RELATIVE_PERIOD", O$3))),O21),"NA ")</f>
        <v>7.8876184850628626</v>
      </c>
      <c r="P21" s="257">
        <f ca="1">IFERROR(IF(BB_Switch=1,IF(_xll.BDP($D21,$F$10, "BEST_FPERIOD_OVERRIDE", P$3)="#N/A N/A","NA  ",(_xll.BDP($D21,$F$10, "BEST_FPERIOD_OVERRIDE", P$3))),P21),"NM ")</f>
        <v>5.699060781996609</v>
      </c>
      <c r="Q21" s="257">
        <f ca="1">IFERROR(IF(BB_Switch=1,IF(_xll.BDP($D21,$F$10, "BEST_FPERIOD_OVERRIDE", Q$3)="#N/A N/A","NA  ",(_xll.BDP($D21,$F$10, "BEST_FPERIOD_OVERRIDE", Q$3))),Q21),"NM ")</f>
        <v>5.630498477157361</v>
      </c>
      <c r="R21" s="257">
        <f ca="1">IFERROR(IF(BB_Switch=1,IF(_xll.BDP($D21,$F$10, "BEST_FPERIOD_OVERRIDE", R$3)="#N/A N/A","NA  ",(_xll.BDP($D21,$F$10, "BEST_FPERIOD_OVERRIDE", R$3))),R21),"NM ")</f>
        <v>5.5270032373489517</v>
      </c>
      <c r="S21" s="257">
        <f ca="1">IFERROR(IF(BB_Switch=1,IF(_xll.BDP($D21,$F$10, "BEST_FPERIOD_OVERRIDE", S$3)="#N/A N/A","NA  ",(_xll.BDP($D21,$F$10, "BEST_FPERIOD_OVERRIDE", S$3))),S21),"NM ")</f>
        <v>5.3703135984321051</v>
      </c>
      <c r="T21" s="257">
        <f ca="1">IFERROR(IF(BB_Switch=1,IF(_xll.BDP($D21,$F$10, "BEST_FPERIOD_OVERRIDE", T$3)="#N/A N/A","NA  ",(_xll.BDP($D21,$F$10, "BEST_FPERIOD_OVERRIDE", T$3))),T21),"NM ")</f>
        <v>5.2643958234456578</v>
      </c>
      <c r="U21" s="227" t="s">
        <v>1359</v>
      </c>
      <c r="V21" s="244">
        <f ca="1">IFERROR(IF(BB_Switch=1,IF(_xll.BDP($D21,$D$10, "EQY_FUND_RELATIVE_PERIOD", V$3)="#N/A N/A","NA  ",(_xll.BDP($D21,$D$10, "EQY_FUND_RELATIVE_PERIOD", V$3))),V21),"NA ")</f>
        <v>5.9542051231116018</v>
      </c>
      <c r="W21" s="244">
        <f ca="1">IFERROR(IF(BB_Switch=1,IF(_xll.BDP($D21,$D$10, "EQY_FUND_RELATIVE_PERIOD", W$3)="#N/A N/A","NA  ",(_xll.BDP($D21,$D$10, "EQY_FUND_RELATIVE_PERIOD", W$3))),W21),"NA ")</f>
        <v>2.6195837116939082</v>
      </c>
      <c r="X21" s="244">
        <f ca="1">IFERROR(IF(BB_Switch=1,IF(_xll.BDP($D21,$D$10, "EQY_FUND_RELATIVE_PERIOD", X$3)="#N/A N/A","NA  ",(_xll.BDP($D21,$D$10, "EQY_FUND_RELATIVE_PERIOD", X$3))),X21),"NA ")</f>
        <v>8.8203070082115715</v>
      </c>
      <c r="Y21" s="244">
        <f ca="1">IFERROR(IF(BB_Switch=1,IF(_xll.BDP($D21,$D$10, "EQY_FUND_RELATIVE_PERIOD", Y$3)="#N/A N/A","NA  ",(_xll.BDP($D21,$D$10, "EQY_FUND_RELATIVE_PERIOD", Y$3))),Y21),"NA ")</f>
        <v>8.1007912762845855</v>
      </c>
      <c r="Z21" s="244">
        <f ca="1">IFERROR(IF(BB_Switch=1,IF(_xll.BDP($D21,$D$10, "EQY_FUND_RELATIVE_PERIOD", Z$3)="#N/A N/A","NA  ",(_xll.BDP($D21,$D$10, "EQY_FUND_RELATIVE_PERIOD", Z$3))),Z21),"NA ")</f>
        <v>9.2742146282282878</v>
      </c>
      <c r="AA21" s="244">
        <f ca="1">IFERROR(IF(BB_Switch=1,IF(_xll.BDP($D21,$D$10, "EQY_FUND_RELATIVE_PERIOD", AA$3)="#N/A N/A","NA  ",(_xll.BDP($D21,$D$10, "EQY_FUND_RELATIVE_PERIOD", AA$3))),AA21),"NA ")</f>
        <v>7.3489973761656442</v>
      </c>
      <c r="AB21" s="244">
        <f ca="1">IFERROR(IF(BB_Switch=1,IF(_xll.BDP($D21,$D$10, "EQY_FUND_RELATIVE_PERIOD", AB$3)="#N/A N/A","NA  ",(_xll.BDP($D21,$D$10, "EQY_FUND_RELATIVE_PERIOD", AB$3))),AB21),"NA ")</f>
        <v>8.1087170789898053</v>
      </c>
      <c r="AC21" s="244">
        <f ca="1">IFERROR(IF(BB_Switch=1,IF(_xll.BDP($D21,$D$10, "EQY_FUND_RELATIVE_PERIOD", AC$3)="#N/A N/A","NA  ",(_xll.BDP($D21,$D$10, "EQY_FUND_RELATIVE_PERIOD", AC$3))),AC21),"NA ")</f>
        <v>8.801131251495077</v>
      </c>
      <c r="AD21" s="244">
        <f ca="1">IFERROR(IF(BB_Switch=1,IF(_xll.BDP($D21,$D$10, "EQY_FUND_RELATIVE_PERIOD", AD$3)="#N/A N/A","NA  ",(_xll.BDP($D21,$D$10, "EQY_FUND_RELATIVE_PERIOD", AD$3))),AD21),"NA ")</f>
        <v>7.2545404115958867</v>
      </c>
      <c r="AE21" s="244">
        <f ca="1">IFERROR(IF(BB_Switch=1,IF(_xll.BDP($D21,$D$10, "EQY_FUND_RELATIVE_PERIOD", AE$3)="#N/A N/A","NA  ",(_xll.BDP($D21,$D$10, "EQY_FUND_RELATIVE_PERIOD", AE$3))),AE21),"NA ")</f>
        <v>7.7563147813719082</v>
      </c>
      <c r="AF21" s="235">
        <f ca="1">IFERROR(+AVERAGEIFS(V21:AE21,V21:AE21,"&gt;="&amp;$AL$18,V21:AE21,"&lt;="&amp;$AL$17),"NA  ")</f>
        <v>8.1831267265428469</v>
      </c>
      <c r="AG21" s="257">
        <f ca="1">IFERROR(AG302/AG342,"NA  ")</f>
        <v>5.2674203315258978</v>
      </c>
      <c r="AH21" s="257">
        <f ca="1">IFERROR(IF(BB_Switch=1,IF(_xll.BDP($D21,$F$10, "BEST_FPERIOD_OVERRIDE", AH$3)="#N/A N/A","NA  ",(_xll.BDP($D21,$F$10, "BEST_FPERIOD_OVERRIDE", AH$3))),AH21),"NM ")</f>
        <v>5.6381314195410743</v>
      </c>
      <c r="AI21" s="257">
        <f ca="1">IFERROR(IF(BB_Switch=1,IF(_xll.BDP($D21,$F$10, "BEST_FPERIOD_OVERRIDE", AI$3)="#N/A N/A","NA  ",(_xll.BDP($D21,$F$10, "BEST_FPERIOD_OVERRIDE", AI$3))),AI21),"NM ")</f>
        <v>5.4270077260408822</v>
      </c>
      <c r="AJ21" s="257">
        <f ca="1">IFERROR(IF(BB_Switch=1,IF(_xll.BDP($D21,$F$10, "BEST_FPERIOD_OVERRIDE", AJ$3)="#N/A N/A","NA  ",(_xll.BDP($D21,$F$10, "BEST_FPERIOD_OVERRIDE", AJ$3))),AJ21),"NM ")</f>
        <v>5.1202109740284616</v>
      </c>
      <c r="AK21" s="256"/>
      <c r="AL21" s="227">
        <f>+AL18*AVERAGE(DCF!I8:M8)</f>
        <v>13212.461224701809</v>
      </c>
      <c r="AM21" s="227">
        <f ca="1">+AF21*AVERAGE(DCF!I8:M8)</f>
        <v>16633.729934041294</v>
      </c>
      <c r="AN21" s="227">
        <f ca="1">+MAX(V21:AE21)*AVERAGE(DCF!I8:M8)</f>
        <v>18851.569410004391</v>
      </c>
    </row>
    <row r="22" spans="2:43" ht="11.25" customHeight="1">
      <c r="B22" s="217" t="s">
        <v>14</v>
      </c>
      <c r="C22" s="229" t="str">
        <f ca="1">IFERROR(IF(BB_Switch=1,_xll.BDP($D22,$C$270),C22), "NA ")</f>
        <v>Celanese Corp</v>
      </c>
      <c r="D22" s="240" t="s">
        <v>567</v>
      </c>
      <c r="E22" s="244">
        <f ca="1">IFERROR(IF(BB_Switch=1,IF(_xll.BDP($D22,$D$10, "EQY_FUND_RELATIVE_PERIOD", E$3)="#N/A N/A","NA  ",(_xll.BDP($D22,$D$10, "EQY_FUND_RELATIVE_PERIOD", E$3))),E22),"NA ")</f>
        <v>11.961769143006991</v>
      </c>
      <c r="F22" s="244">
        <f ca="1">IFERROR(IF(BB_Switch=1,IF(_xll.BDP($D22,$D$10, "EQY_FUND_RELATIVE_PERIOD", F$3)="#N/A N/A","NA  ",(_xll.BDP($D22,$D$10, "EQY_FUND_RELATIVE_PERIOD", F$3))),F22),"NA ")</f>
        <v>12.721613431571539</v>
      </c>
      <c r="G22" s="244">
        <f ca="1">IFERROR(IF(BB_Switch=1,IF(_xll.BDP($D22,$D$10, "EQY_FUND_RELATIVE_PERIOD", G$3)="#N/A N/A","NA  ",(_xll.BDP($D22,$D$10, "EQY_FUND_RELATIVE_PERIOD", G$3))),G22),"NA ")</f>
        <v>13.672518051010181</v>
      </c>
      <c r="H22" s="244">
        <f ca="1">IFERROR(IF(BB_Switch=1,IF(_xll.BDP($D22,$D$10, "EQY_FUND_RELATIVE_PERIOD", H$3)="#N/A N/A","NA  ",(_xll.BDP($D22,$D$10, "EQY_FUND_RELATIVE_PERIOD", H$3))),H22),"NA ")</f>
        <v>13.450390375826476</v>
      </c>
      <c r="I22" s="244">
        <f ca="1">IFERROR(IF(BB_Switch=1,IF(_xll.BDP($D22,$D$10, "EQY_FUND_RELATIVE_PERIOD", I$3)="#N/A N/A","NA  ",(_xll.BDP($D22,$D$10, "EQY_FUND_RELATIVE_PERIOD", I$3))),I22),"NA ")</f>
        <v>11.96128857278393</v>
      </c>
      <c r="J22" s="244">
        <f ca="1">IFERROR(IF(BB_Switch=1,IF(_xll.BDP($D22,$D$10, "EQY_FUND_RELATIVE_PERIOD", J$3)="#N/A N/A","NA  ",(_xll.BDP($D22,$D$10, "EQY_FUND_RELATIVE_PERIOD", J$3))),J22),"NA ")</f>
        <v>11.481833658415095</v>
      </c>
      <c r="K22" s="244">
        <f ca="1">IFERROR(IF(BB_Switch=1,IF(_xll.BDP($D22,$D$10, "EQY_FUND_RELATIVE_PERIOD", K$3)="#N/A N/A","NA  ",(_xll.BDP($D22,$D$10, "EQY_FUND_RELATIVE_PERIOD", K$3))),K22),"NA ")</f>
        <v>10.711677585280375</v>
      </c>
      <c r="L22" s="244">
        <f ca="1">IFERROR(IF(BB_Switch=1,IF(_xll.BDP($D22,$D$10, "EQY_FUND_RELATIVE_PERIOD", L$3)="#N/A N/A","NA  ",(_xll.BDP($D22,$D$10, "EQY_FUND_RELATIVE_PERIOD", L$3))),L22),"NA ")</f>
        <v>7.876332037082018</v>
      </c>
      <c r="M22" s="244">
        <f ca="1">IFERROR(IF(BB_Switch=1,IF(_xll.BDP($D22,$D$10, "EQY_FUND_RELATIVE_PERIOD", M$3)="#N/A N/A","NA  ",(_xll.BDP($D22,$D$10, "EQY_FUND_RELATIVE_PERIOD", M$3))),M22),"NA ")</f>
        <v>8.5338868844165354</v>
      </c>
      <c r="N22" s="244">
        <f ca="1">IFERROR(IF(BB_Switch=1,IF(_xll.BDP($D22,$D$10, "EQY_FUND_RELATIVE_PERIOD", N$3)="#N/A N/A","NA  ",(_xll.BDP($D22,$D$10, "EQY_FUND_RELATIVE_PERIOD", N$3))),N22),"NA ")</f>
        <v>9.4179680296823634</v>
      </c>
      <c r="O22" s="244">
        <f ca="1">IFERROR(IF(BB_Switch=1,IF(_xll.BDP($D22,$D$10, "EQY_FUND_RELATIVE_PERIOD", O$3)="#N/A N/A","NA  ",(_xll.BDP($D22,$D$10, "EQY_FUND_RELATIVE_PERIOD", O$3))),O22),"NA ")</f>
        <v>10.61289107789983</v>
      </c>
      <c r="P22" s="257">
        <f ca="1">IFERROR(IF(BB_Switch=1,IF(_xll.BDP($D22,$F$10, "BEST_FPERIOD_OVERRIDE", P$3)="#N/A N/A","NA  ",(_xll.BDP($D22,$F$10, "BEST_FPERIOD_OVERRIDE", P$3))),P22),"NM ")</f>
        <v>6.4185336780714417</v>
      </c>
      <c r="Q22" s="257">
        <f ca="1">IFERROR(IF(BB_Switch=1,IF(_xll.BDP($D22,$F$10, "BEST_FPERIOD_OVERRIDE", Q$3)="#N/A N/A","NA  ",(_xll.BDP($D22,$F$10, "BEST_FPERIOD_OVERRIDE", Q$3))),Q22),"NM ")</f>
        <v>6.2222569087496735</v>
      </c>
      <c r="R22" s="257">
        <f ca="1">IFERROR(IF(BB_Switch=1,IF(_xll.BDP($D22,$F$10, "BEST_FPERIOD_OVERRIDE", R$3)="#N/A N/A","NA  ",(_xll.BDP($D22,$F$10, "BEST_FPERIOD_OVERRIDE", R$3))),R22),"NM ")</f>
        <v>6.0694689487344027</v>
      </c>
      <c r="S22" s="257">
        <f ca="1">IFERROR(IF(BB_Switch=1,IF(_xll.BDP($D22,$F$10, "BEST_FPERIOD_OVERRIDE", S$3)="#N/A N/A","NA  ",(_xll.BDP($D22,$F$10, "BEST_FPERIOD_OVERRIDE", S$3))),S22),"NM ")</f>
        <v>5.9173502014442487</v>
      </c>
      <c r="T22" s="257">
        <f ca="1">IFERROR(IF(BB_Switch=1,IF(_xll.BDP($D22,$F$10, "BEST_FPERIOD_OVERRIDE", T$3)="#N/A N/A","NA  ",(_xll.BDP($D22,$F$10, "BEST_FPERIOD_OVERRIDE", T$3))),T22),"NM ")</f>
        <v>5.838280938123753</v>
      </c>
      <c r="U22" s="227" t="s">
        <v>1360</v>
      </c>
      <c r="V22" s="244">
        <f ca="1">IFERROR(IF(BB_Switch=1,IF(_xll.BDP($D22,$D$10, "EQY_FUND_RELATIVE_PERIOD", V$3)="#N/A N/A","NA  ",(_xll.BDP($D22,$D$10, "EQY_FUND_RELATIVE_PERIOD", V$3))),V22),"NA ")</f>
        <v>9.6207533764301321</v>
      </c>
      <c r="W22" s="244">
        <f ca="1">IFERROR(IF(BB_Switch=1,IF(_xll.BDP($D22,$D$10, "EQY_FUND_RELATIVE_PERIOD", W$3)="#N/A N/A","NA  ",(_xll.BDP($D22,$D$10, "EQY_FUND_RELATIVE_PERIOD", W$3))),W22),"NA ")</f>
        <v>8.3615026481545449</v>
      </c>
      <c r="X22" s="244">
        <f ca="1">IFERROR(IF(BB_Switch=1,IF(_xll.BDP($D22,$D$10, "EQY_FUND_RELATIVE_PERIOD", X$3)="#N/A N/A","NA  ",(_xll.BDP($D22,$D$10, "EQY_FUND_RELATIVE_PERIOD", X$3))),X22),"NA ")</f>
        <v>9.4597490910802478</v>
      </c>
      <c r="Y22" s="244">
        <f ca="1">IFERROR(IF(BB_Switch=1,IF(_xll.BDP($D22,$D$10, "EQY_FUND_RELATIVE_PERIOD", Y$3)="#N/A N/A","NA  ",(_xll.BDP($D22,$D$10, "EQY_FUND_RELATIVE_PERIOD", Y$3))),Y22),"NA ")</f>
        <v>9.7271704960798555</v>
      </c>
      <c r="Z22" s="244">
        <f ca="1">IFERROR(IF(BB_Switch=1,IF(_xll.BDP($D22,$D$10, "EQY_FUND_RELATIVE_PERIOD", Z$3)="#N/A N/A","NA  ",(_xll.BDP($D22,$D$10, "EQY_FUND_RELATIVE_PERIOD", Z$3))),Z22),"NA ")</f>
        <v>9.3866278903973512</v>
      </c>
      <c r="AA22" s="244">
        <f ca="1">IFERROR(IF(BB_Switch=1,IF(_xll.BDP($D22,$D$10, "EQY_FUND_RELATIVE_PERIOD", AA$3)="#N/A N/A","NA  ",(_xll.BDP($D22,$D$10, "EQY_FUND_RELATIVE_PERIOD", AA$3))),AA22),"NA ")</f>
        <v>9.4462055651917165</v>
      </c>
      <c r="AB22" s="244">
        <f ca="1">IFERROR(IF(BB_Switch=1,IF(_xll.BDP($D22,$D$10, "EQY_FUND_RELATIVE_PERIOD", AB$3)="#N/A N/A","NA  ",(_xll.BDP($D22,$D$10, "EQY_FUND_RELATIVE_PERIOD", AB$3))),AB22),"NA ")</f>
        <v>10.175314913137399</v>
      </c>
      <c r="AC22" s="244">
        <f ca="1">IFERROR(IF(BB_Switch=1,IF(_xll.BDP($D22,$D$10, "EQY_FUND_RELATIVE_PERIOD", AC$3)="#N/A N/A","NA  ",(_xll.BDP($D22,$D$10, "EQY_FUND_RELATIVE_PERIOD", AC$3))),AC22),"NA ")</f>
        <v>14.620464985756097</v>
      </c>
      <c r="AD22" s="244">
        <f ca="1">IFERROR(IF(BB_Switch=1,IF(_xll.BDP($D22,$D$10, "EQY_FUND_RELATIVE_PERIOD", AD$3)="#N/A N/A","NA  ",(_xll.BDP($D22,$D$10, "EQY_FUND_RELATIVE_PERIOD", AD$3))),AD22),"NA ")</f>
        <v>7.8187805503810015</v>
      </c>
      <c r="AE22" s="244">
        <f ca="1">IFERROR(IF(BB_Switch=1,IF(_xll.BDP($D22,$D$10, "EQY_FUND_RELATIVE_PERIOD", AE$3)="#N/A N/A","NA  ",(_xll.BDP($D22,$D$10, "EQY_FUND_RELATIVE_PERIOD", AE$3))),AE22),"NA ")</f>
        <v>11.665194446006231</v>
      </c>
      <c r="AF22" s="235">
        <f ca="1">IFERROR(+AVERAGEIFS(V22:AE22,V22:AE22,"&gt;="&amp;$AL$18,V22:AE22,"&lt;="&amp;$AL$17),"NA  ")</f>
        <v>9.51792210853983</v>
      </c>
      <c r="AG22" s="257">
        <f ca="1">IFERROR(AG303/AG343,"NA  ")</f>
        <v>6.5982908156011071</v>
      </c>
      <c r="AH22" s="257">
        <f ca="1">IFERROR(IF(BB_Switch=1,IF(_xll.BDP($D22,$F$10, "BEST_FPERIOD_OVERRIDE", AH$3)="#N/A N/A","NA  ",(_xll.BDP($D22,$F$10, "BEST_FPERIOD_OVERRIDE", AH$3))),AH22),"NM ")</f>
        <v>6.1875927815123966</v>
      </c>
      <c r="AI22" s="257">
        <f ca="1">IFERROR(IF(BB_Switch=1,IF(_xll.BDP($D22,$F$10, "BEST_FPERIOD_OVERRIDE", AI$3)="#N/A N/A","NA  ",(_xll.BDP($D22,$F$10, "BEST_FPERIOD_OVERRIDE", AI$3))),AI22),"NM ")</f>
        <v>5.9135279251958561</v>
      </c>
      <c r="AJ22" s="257">
        <f ca="1">IFERROR(IF(BB_Switch=1,IF(_xll.BDP($D22,$F$10, "BEST_FPERIOD_OVERRIDE", AJ$3)="#N/A N/A","NA  ",(_xll.BDP($D22,$F$10, "BEST_FPERIOD_OVERRIDE", AJ$3))),AJ22),"NM ")</f>
        <v>5.4203914755617335</v>
      </c>
      <c r="AL22" s="227">
        <f ca="1">+DCF!$E$48</f>
        <v>-5316.42</v>
      </c>
      <c r="AM22" s="227">
        <f ca="1">+DCF!$E$48</f>
        <v>-5316.42</v>
      </c>
      <c r="AN22" s="227">
        <f ca="1">+DCF!$E$48</f>
        <v>-5316.42</v>
      </c>
    </row>
    <row r="23" spans="2:43" ht="11.25" customHeight="1">
      <c r="B23" s="217" t="s">
        <v>14</v>
      </c>
      <c r="C23" s="229" t="str">
        <f ca="1">IFERROR(IF(BB_Switch=1,_xll.BDP($D23,$C$270),C23), "NA ")</f>
        <v>BASF SE</v>
      </c>
      <c r="D23" s="240" t="s">
        <v>693</v>
      </c>
      <c r="E23" s="244">
        <f ca="1">IFERROR(IF(BB_Switch=1,IF(_xll.BDP($D23,$D$10, "EQY_FUND_RELATIVE_PERIOD", E$3)="#N/A N/A","NA  ",(_xll.BDP($D23,$D$10, "EQY_FUND_RELATIVE_PERIOD", E$3))),E23),"NA ")</f>
        <v>8.8745289489784778</v>
      </c>
      <c r="F23" s="244">
        <f ca="1">IFERROR(IF(BB_Switch=1,IF(_xll.BDP($D23,$D$10, "EQY_FUND_RELATIVE_PERIOD", F$3)="#N/A N/A","NA  ",(_xll.BDP($D23,$D$10, "EQY_FUND_RELATIVE_PERIOD", F$3))),F23),"NA ")</f>
        <v>7.7883372124088588</v>
      </c>
      <c r="G23" s="244">
        <f ca="1">IFERROR(IF(BB_Switch=1,IF(_xll.BDP($D23,$D$10, "EQY_FUND_RELATIVE_PERIOD", G$3)="#N/A N/A","NA  ",(_xll.BDP($D23,$D$10, "EQY_FUND_RELATIVE_PERIOD", G$3))),G23),"NA ")</f>
        <v>7.9913284378658638</v>
      </c>
      <c r="H23" s="244">
        <f ca="1">IFERROR(IF(BB_Switch=1,IF(_xll.BDP($D23,$D$10, "EQY_FUND_RELATIVE_PERIOD", H$3)="#N/A N/A","NA  ",(_xll.BDP($D23,$D$10, "EQY_FUND_RELATIVE_PERIOD", H$3))),H23),"NA ")</f>
        <v>8.4020195904006947</v>
      </c>
      <c r="I23" s="244">
        <f ca="1">IFERROR(IF(BB_Switch=1,IF(_xll.BDP($D23,$D$10, "EQY_FUND_RELATIVE_PERIOD", I$3)="#N/A N/A","NA  ",(_xll.BDP($D23,$D$10, "EQY_FUND_RELATIVE_PERIOD", I$3))),I23),"NA ")</f>
        <v>7.6359216804008065</v>
      </c>
      <c r="J23" s="244">
        <f ca="1">IFERROR(IF(BB_Switch=1,IF(_xll.BDP($D23,$D$10, "EQY_FUND_RELATIVE_PERIOD", J$3)="#N/A N/A","NA  ",(_xll.BDP($D23,$D$10, "EQY_FUND_RELATIVE_PERIOD", J$3))),J23),"NA ")</f>
        <v>7.9232519381370805</v>
      </c>
      <c r="K23" s="244">
        <f ca="1">IFERROR(IF(BB_Switch=1,IF(_xll.BDP($D23,$D$10, "EQY_FUND_RELATIVE_PERIOD", K$3)="#N/A N/A","NA  ",(_xll.BDP($D23,$D$10, "EQY_FUND_RELATIVE_PERIOD", K$3))),K23),"NA ")</f>
        <v>8.1936004740033059</v>
      </c>
      <c r="L23" s="244">
        <f ca="1">IFERROR(IF(BB_Switch=1,IF(_xll.BDP($D23,$D$10, "EQY_FUND_RELATIVE_PERIOD", L$3)="#N/A N/A","NA  ",(_xll.BDP($D23,$D$10, "EQY_FUND_RELATIVE_PERIOD", L$3))),L23),"NA ")</f>
        <v>7.7559036429683434</v>
      </c>
      <c r="M23" s="244">
        <f ca="1">IFERROR(IF(BB_Switch=1,IF(_xll.BDP($D23,$D$10, "EQY_FUND_RELATIVE_PERIOD", M$3)="#N/A N/A","NA  ",(_xll.BDP($D23,$D$10, "EQY_FUND_RELATIVE_PERIOD", M$3))),M23),"NA ")</f>
        <v>8.926075195384783</v>
      </c>
      <c r="N23" s="244">
        <f ca="1">IFERROR(IF(BB_Switch=1,IF(_xll.BDP($D23,$D$10, "EQY_FUND_RELATIVE_PERIOD", N$3)="#N/A N/A","NA  ",(_xll.BDP($D23,$D$10, "EQY_FUND_RELATIVE_PERIOD", N$3))),N23),"NA ")</f>
        <v>9.3882362533939467</v>
      </c>
      <c r="O23" s="244">
        <f ca="1">IFERROR(IF(BB_Switch=1,IF(_xll.BDP($D23,$D$10, "EQY_FUND_RELATIVE_PERIOD", O$3)="#N/A N/A","NA  ",(_xll.BDP($D23,$D$10, "EQY_FUND_RELATIVE_PERIOD", O$3))),O23),"NA ")</f>
        <v>9.2608459112277384</v>
      </c>
      <c r="P23" s="257">
        <f ca="1">IFERROR(IF(BB_Switch=1,IF(_xll.BDP($D23,$F$10, "BEST_FPERIOD_OVERRIDE", P$3)="#N/A N/A","NA  ",(_xll.BDP($D23,$F$10, "BEST_FPERIOD_OVERRIDE", P$3))),P23),"NM ")</f>
        <v>6.9762844756762812</v>
      </c>
      <c r="Q23" s="257">
        <f ca="1">IFERROR(IF(BB_Switch=1,IF(_xll.BDP($D23,$F$10, "BEST_FPERIOD_OVERRIDE", Q$3)="#N/A N/A","NA  ",(_xll.BDP($D23,$F$10, "BEST_FPERIOD_OVERRIDE", Q$3))),Q23),"NM ")</f>
        <v>6.6822727328468945</v>
      </c>
      <c r="R23" s="257" t="str">
        <f ca="1">IFERROR(IF(BB_Switch=1,IF(_xll.BDP($D23,$F$10, "BEST_FPERIOD_OVERRIDE", R$3)="#N/A N/A","NA  ",(_xll.BDP($D23,$F$10, "BEST_FPERIOD_OVERRIDE", R$3))),R23),"NM ")</f>
        <v xml:space="preserve">NA  </v>
      </c>
      <c r="S23" s="257" t="str">
        <f ca="1">IFERROR(IF(BB_Switch=1,IF(_xll.BDP($D23,$F$10, "BEST_FPERIOD_OVERRIDE", S$3)="#N/A N/A","NA  ",(_xll.BDP($D23,$F$10, "BEST_FPERIOD_OVERRIDE", S$3))),S23),"NM ")</f>
        <v xml:space="preserve">NA  </v>
      </c>
      <c r="T23" s="257" t="str">
        <f ca="1">IFERROR(IF(BB_Switch=1,IF(_xll.BDP($D23,$F$10, "BEST_FPERIOD_OVERRIDE", T$3)="#N/A N/A","NA  ",(_xll.BDP($D23,$F$10, "BEST_FPERIOD_OVERRIDE", T$3))),T23),"NM ")</f>
        <v xml:space="preserve">NA  </v>
      </c>
      <c r="U23" s="227" t="s">
        <v>1361</v>
      </c>
      <c r="V23" s="244">
        <f ca="1">IFERROR(IF(BB_Switch=1,IF(_xll.BDP($D23,$D$10, "EQY_FUND_RELATIVE_PERIOD", V$3)="#N/A N/A","NA  ",(_xll.BDP($D23,$D$10, "EQY_FUND_RELATIVE_PERIOD", V$3))),V23),"NA ")</f>
        <v>6.0952828301810857</v>
      </c>
      <c r="W23" s="244">
        <f ca="1">IFERROR(IF(BB_Switch=1,IF(_xll.BDP($D23,$D$10, "EQY_FUND_RELATIVE_PERIOD", W$3)="#N/A N/A","NA  ",(_xll.BDP($D23,$D$10, "EQY_FUND_RELATIVE_PERIOD", W$3))),W23),"NA ")</f>
        <v>5.2913795697343167</v>
      </c>
      <c r="X23" s="244">
        <f ca="1">IFERROR(IF(BB_Switch=1,IF(_xll.BDP($D23,$D$10, "EQY_FUND_RELATIVE_PERIOD", X$3)="#N/A N/A","NA  ",(_xll.BDP($D23,$D$10, "EQY_FUND_RELATIVE_PERIOD", X$3))),X23),"NA ")</f>
        <v>8.0224388279606629</v>
      </c>
      <c r="Y23" s="244">
        <f ca="1">IFERROR(IF(BB_Switch=1,IF(_xll.BDP($D23,$D$10, "EQY_FUND_RELATIVE_PERIOD", Y$3)="#N/A N/A","NA  ",(_xll.BDP($D23,$D$10, "EQY_FUND_RELATIVE_PERIOD", Y$3))),Y23),"NA ")</f>
        <v>8.0402090915905848</v>
      </c>
      <c r="Z23" s="244">
        <f ca="1">IFERROR(IF(BB_Switch=1,IF(_xll.BDP($D23,$D$10, "EQY_FUND_RELATIVE_PERIOD", Z$3)="#N/A N/A","NA  ",(_xll.BDP($D23,$D$10, "EQY_FUND_RELATIVE_PERIOD", Z$3))),Z23),"NA ")</f>
        <v>6.9219007006285311</v>
      </c>
      <c r="AA23" s="244">
        <f ca="1">IFERROR(IF(BB_Switch=1,IF(_xll.BDP($D23,$D$10, "EQY_FUND_RELATIVE_PERIOD", AA$3)="#N/A N/A","NA  ",(_xll.BDP($D23,$D$10, "EQY_FUND_RELATIVE_PERIOD", AA$3))),AA23),"NA ")</f>
        <v>6.98690276202883</v>
      </c>
      <c r="AB23" s="244">
        <f ca="1">IFERROR(IF(BB_Switch=1,IF(_xll.BDP($D23,$D$10, "EQY_FUND_RELATIVE_PERIOD", AB$3)="#N/A N/A","NA  ",(_xll.BDP($D23,$D$10, "EQY_FUND_RELATIVE_PERIOD", AB$3))),AB23),"NA ")</f>
        <v>8.9547812731038974</v>
      </c>
      <c r="AC23" s="244">
        <f ca="1">IFERROR(IF(BB_Switch=1,IF(_xll.BDP($D23,$D$10, "EQY_FUND_RELATIVE_PERIOD", AC$3)="#N/A N/A","NA  ",(_xll.BDP($D23,$D$10, "EQY_FUND_RELATIVE_PERIOD", AC$3))),AC23),"NA ")</f>
        <v>8.4020195904006947</v>
      </c>
      <c r="AD23" s="244">
        <f ca="1">IFERROR(IF(BB_Switch=1,IF(_xll.BDP($D23,$D$10, "EQY_FUND_RELATIVE_PERIOD", AD$3)="#N/A N/A","NA  ",(_xll.BDP($D23,$D$10, "EQY_FUND_RELATIVE_PERIOD", AD$3))),AD23),"NA ")</f>
        <v>7.8045026754673632</v>
      </c>
      <c r="AE23" s="244">
        <f ca="1">IFERROR(IF(BB_Switch=1,IF(_xll.BDP($D23,$D$10, "EQY_FUND_RELATIVE_PERIOD", AE$3)="#N/A N/A","NA  ",(_xll.BDP($D23,$D$10, "EQY_FUND_RELATIVE_PERIOD", AE$3))),AE23),"NA ")</f>
        <v>9.3100935282791681</v>
      </c>
      <c r="AF23" s="235">
        <f ca="1">IFERROR(+AVERAGEIFS(V23:AE23,V23:AE23,"&gt;="&amp;$AL$18,V23:AE23,"&lt;="&amp;$AL$17),"NA  ")</f>
        <v>8.0553560561824664</v>
      </c>
      <c r="AG23" s="257">
        <f ca="1">IFERROR(AG304/AG344,"NA  ")</f>
        <v>6.6314461968090539</v>
      </c>
      <c r="AH23" s="257">
        <f ca="1">IFERROR(IF(BB_Switch=1,IF(_xll.BDP($D23,$F$10, "BEST_FPERIOD_OVERRIDE", AH$3)="#N/A N/A","NA  ",(_xll.BDP($D23,$F$10, "BEST_FPERIOD_OVERRIDE", AH$3))),AH23),"NM ")</f>
        <v>6.5344277491305913</v>
      </c>
      <c r="AI23" s="257">
        <f ca="1">IFERROR(IF(BB_Switch=1,IF(_xll.BDP($D23,$F$10, "BEST_FPERIOD_OVERRIDE", AI$3)="#N/A N/A","NA  ",(_xll.BDP($D23,$F$10, "BEST_FPERIOD_OVERRIDE", AI$3))),AI23),"NM ")</f>
        <v>5.9667925520262868</v>
      </c>
      <c r="AJ23" s="257">
        <f ca="1">IFERROR(IF(BB_Switch=1,IF(_xll.BDP($D23,$F$10, "BEST_FPERIOD_OVERRIDE", AJ$3)="#N/A N/A","NA  ",(_xll.BDP($D23,$F$10, "BEST_FPERIOD_OVERRIDE", AJ$3))),AJ23),"NM ")</f>
        <v>5.4856866814030605</v>
      </c>
      <c r="AL23" s="335">
        <f ca="1">+SUM(AL21:AL22)</f>
        <v>7896.0412247018085</v>
      </c>
      <c r="AM23" s="335">
        <f ca="1">+SUM(AM21:AM22)</f>
        <v>11317.309934041294</v>
      </c>
      <c r="AN23" s="335">
        <f ca="1">+SUM(AN21:AN22)</f>
        <v>13535.149410004391</v>
      </c>
    </row>
    <row r="24" spans="2:43" ht="11.25" customHeight="1">
      <c r="C24" s="229" t="str">
        <f ca="1">IFERROR(IF(BB_Switch=1,_xll.BDP($D24,$C$270),C24), "NA ")</f>
        <v>Trinseo SA</v>
      </c>
      <c r="D24" s="240" t="s">
        <v>695</v>
      </c>
      <c r="E24" s="244">
        <f ca="1">IFERROR(IF(BB_Switch=1,IF(_xll.BDP($D24,$D$10, "EQY_FUND_RELATIVE_PERIOD", E$3)="#N/A N/A","NA  ",(_xll.BDP($D24,$D$10, "EQY_FUND_RELATIVE_PERIOD", E$3))),E24),"NA ")</f>
        <v>7.1483579392541321</v>
      </c>
      <c r="F24" s="244">
        <f ca="1">IFERROR(IF(BB_Switch=1,IF(_xll.BDP($D24,$D$10, "EQY_FUND_RELATIVE_PERIOD", F$3)="#N/A N/A","NA  ",(_xll.BDP($D24,$D$10, "EQY_FUND_RELATIVE_PERIOD", F$3))),F24),"NA ")</f>
        <v>8.1976670633586011</v>
      </c>
      <c r="G24" s="244">
        <f ca="1">IFERROR(IF(BB_Switch=1,IF(_xll.BDP($D24,$D$10, "EQY_FUND_RELATIVE_PERIOD", G$3)="#N/A N/A","NA  ",(_xll.BDP($D24,$D$10, "EQY_FUND_RELATIVE_PERIOD", G$3))),G24),"NA ")</f>
        <v>7.8794049286176522</v>
      </c>
      <c r="H24" s="244">
        <f ca="1">IFERROR(IF(BB_Switch=1,IF(_xll.BDP($D24,$D$10, "EQY_FUND_RELATIVE_PERIOD", H$3)="#N/A N/A","NA  ",(_xll.BDP($D24,$D$10, "EQY_FUND_RELATIVE_PERIOD", H$3))),H24),"NA ")</f>
        <v>7.8496910603229439</v>
      </c>
      <c r="I24" s="244">
        <f ca="1">IFERROR(IF(BB_Switch=1,IF(_xll.BDP($D24,$D$10, "EQY_FUND_RELATIVE_PERIOD", I$3)="#N/A N/A","NA  ",(_xll.BDP($D24,$D$10, "EQY_FUND_RELATIVE_PERIOD", I$3))),I24),"NA ")</f>
        <v>8.1848741221405419</v>
      </c>
      <c r="J24" s="244">
        <f ca="1">IFERROR(IF(BB_Switch=1,IF(_xll.BDP($D24,$D$10, "EQY_FUND_RELATIVE_PERIOD", J$3)="#N/A N/A","NA  ",(_xll.BDP($D24,$D$10, "EQY_FUND_RELATIVE_PERIOD", J$3))),J24),"NA ")</f>
        <v>7.2273250239693185</v>
      </c>
      <c r="K24" s="244">
        <f ca="1">IFERROR(IF(BB_Switch=1,IF(_xll.BDP($D24,$D$10, "EQY_FUND_RELATIVE_PERIOD", K$3)="#N/A N/A","NA  ",(_xll.BDP($D24,$D$10, "EQY_FUND_RELATIVE_PERIOD", K$3))),K24),"NA ")</f>
        <v>8.0185950413223139</v>
      </c>
      <c r="L24" s="244">
        <f ca="1">IFERROR(IF(BB_Switch=1,IF(_xll.BDP($D24,$D$10, "EQY_FUND_RELATIVE_PERIOD", L$3)="#N/A N/A","NA  ",(_xll.BDP($D24,$D$10, "EQY_FUND_RELATIVE_PERIOD", L$3))),L24),"NA ")</f>
        <v>6.1400234356690895</v>
      </c>
      <c r="M24" s="244">
        <f ca="1">IFERROR(IF(BB_Switch=1,IF(_xll.BDP($D24,$D$10, "EQY_FUND_RELATIVE_PERIOD", M$3)="#N/A N/A","NA  ",(_xll.BDP($D24,$D$10, "EQY_FUND_RELATIVE_PERIOD", M$3))),M24),"NA ")</f>
        <v>6.9062165058949621</v>
      </c>
      <c r="N24" s="244">
        <f ca="1">IFERROR(IF(BB_Switch=1,IF(_xll.BDP($D24,$D$10, "EQY_FUND_RELATIVE_PERIOD", N$3)="#N/A N/A","NA  ",(_xll.BDP($D24,$D$10, "EQY_FUND_RELATIVE_PERIOD", N$3))),N24),"NA ")</f>
        <v>8.0211702479338864</v>
      </c>
      <c r="O24" s="244">
        <f ca="1">IFERROR(IF(BB_Switch=1,IF(_xll.BDP($D24,$D$10, "EQY_FUND_RELATIVE_PERIOD", O$3)="#N/A N/A","NA  ",(_xll.BDP($D24,$D$10, "EQY_FUND_RELATIVE_PERIOD", O$3))),O24),"NA ")</f>
        <v>9.5676752624076702</v>
      </c>
      <c r="P24" s="257">
        <f ca="1">IFERROR(IF(BB_Switch=1,IF(_xll.BDP($D24,$F$10, "BEST_FPERIOD_OVERRIDE", P$3)="#N/A N/A","NA  ",(_xll.BDP($D24,$F$10, "BEST_FPERIOD_OVERRIDE", P$3))),P24),"NM ")</f>
        <v>4.2036672509980963</v>
      </c>
      <c r="Q24" s="257">
        <f ca="1">IFERROR(IF(BB_Switch=1,IF(_xll.BDP($D24,$F$10, "BEST_FPERIOD_OVERRIDE", Q$3)="#N/A N/A","NA  ",(_xll.BDP($D24,$F$10, "BEST_FPERIOD_OVERRIDE", Q$3))),Q24),"NM ")</f>
        <v>4.0032766805422995</v>
      </c>
      <c r="R24" s="257">
        <f ca="1">IFERROR(IF(BB_Switch=1,IF(_xll.BDP($D24,$F$10, "BEST_FPERIOD_OVERRIDE", R$3)="#N/A N/A","NA  ",(_xll.BDP($D24,$F$10, "BEST_FPERIOD_OVERRIDE", R$3))),R24),"NM ")</f>
        <v>3.557243093922652</v>
      </c>
      <c r="S24" s="257">
        <f ca="1">IFERROR(IF(BB_Switch=1,IF(_xll.BDP($D24,$F$10, "BEST_FPERIOD_OVERRIDE", S$3)="#N/A N/A","NA  ",(_xll.BDP($D24,$F$10, "BEST_FPERIOD_OVERRIDE", S$3))),S24),"NM ")</f>
        <v>3.4431069518716577</v>
      </c>
      <c r="T24" s="257">
        <f ca="1">IFERROR(IF(BB_Switch=1,IF(_xll.BDP($D24,$F$10, "BEST_FPERIOD_OVERRIDE", T$3)="#N/A N/A","NA  ",(_xll.BDP($D24,$F$10, "BEST_FPERIOD_OVERRIDE", T$3))),T24),"NM ")</f>
        <v>3.4126938274680452</v>
      </c>
      <c r="U24" s="227" t="s">
        <v>914</v>
      </c>
      <c r="V24" s="244" t="str">
        <f ca="1">IFERROR(IF(BB_Switch=1,IF(_xll.BDP($D24,$D$10, "EQY_FUND_RELATIVE_PERIOD", V$3)="#N/A N/A","NA  ",(_xll.BDP($D24,$D$10, "EQY_FUND_RELATIVE_PERIOD", V$3))),V24),"NA ")</f>
        <v xml:space="preserve">NA  </v>
      </c>
      <c r="W24" s="244" t="str">
        <f ca="1">IFERROR(IF(BB_Switch=1,IF(_xll.BDP($D24,$D$10, "EQY_FUND_RELATIVE_PERIOD", W$3)="#N/A N/A","NA  ",(_xll.BDP($D24,$D$10, "EQY_FUND_RELATIVE_PERIOD", W$3))),W24),"NA ")</f>
        <v xml:space="preserve">NA  </v>
      </c>
      <c r="X24" s="244" t="str">
        <f ca="1">IFERROR(IF(BB_Switch=1,IF(_xll.BDP($D24,$D$10, "EQY_FUND_RELATIVE_PERIOD", X$3)="#N/A N/A","NA  ",(_xll.BDP($D24,$D$10, "EQY_FUND_RELATIVE_PERIOD", X$3))),X24),"NA ")</f>
        <v xml:space="preserve">NA  </v>
      </c>
      <c r="Y24" s="244" t="str">
        <f ca="1">IFERROR(IF(BB_Switch=1,IF(_xll.BDP($D24,$D$10, "EQY_FUND_RELATIVE_PERIOD", Y$3)="#N/A N/A","NA  ",(_xll.BDP($D24,$D$10, "EQY_FUND_RELATIVE_PERIOD", Y$3))),Y24),"NA ")</f>
        <v xml:space="preserve">NA  </v>
      </c>
      <c r="Z24" s="244">
        <f ca="1">IFERROR(IF(BB_Switch=1,IF(_xll.BDP($D24,$D$10, "EQY_FUND_RELATIVE_PERIOD", Z$3)="#N/A N/A","NA  ",(_xll.BDP($D24,$D$10, "EQY_FUND_RELATIVE_PERIOD", Z$3))),Z24),"NA ")</f>
        <v>6.3321382908877295</v>
      </c>
      <c r="AA24" s="244">
        <f ca="1">IFERROR(IF(BB_Switch=1,IF(_xll.BDP($D24,$D$10, "EQY_FUND_RELATIVE_PERIOD", AA$3)="#N/A N/A","NA  ",(_xll.BDP($D24,$D$10, "EQY_FUND_RELATIVE_PERIOD", AA$3))),AA24),"NA ")</f>
        <v>5.8920962066003479</v>
      </c>
      <c r="AB24" s="244">
        <f ca="1">IFERROR(IF(BB_Switch=1,IF(_xll.BDP($D24,$D$10, "EQY_FUND_RELATIVE_PERIOD", AB$3)="#N/A N/A","NA  ",(_xll.BDP($D24,$D$10, "EQY_FUND_RELATIVE_PERIOD", AB$3))),AB24),"NA ")</f>
        <v>7.3408139717027128</v>
      </c>
      <c r="AC24" s="244">
        <f ca="1">IFERROR(IF(BB_Switch=1,IF(_xll.BDP($D24,$D$10, "EQY_FUND_RELATIVE_PERIOD", AC$3)="#N/A N/A","NA  ",(_xll.BDP($D24,$D$10, "EQY_FUND_RELATIVE_PERIOD", AC$3))),AC24),"NA ")</f>
        <v>7.8223205308666808</v>
      </c>
      <c r="AD24" s="244">
        <f ca="1">IFERROR(IF(BB_Switch=1,IF(_xll.BDP($D24,$D$10, "EQY_FUND_RELATIVE_PERIOD", AD$3)="#N/A N/A","NA  ",(_xll.BDP($D24,$D$10, "EQY_FUND_RELATIVE_PERIOD", AD$3))),AD24),"NA ")</f>
        <v>6.0562829403606111</v>
      </c>
      <c r="AE24" s="244">
        <f ca="1">IFERROR(IF(BB_Switch=1,IF(_xll.BDP($D24,$D$10, "EQY_FUND_RELATIVE_PERIOD", AE$3)="#N/A N/A","NA  ",(_xll.BDP($D24,$D$10, "EQY_FUND_RELATIVE_PERIOD", AE$3))),AE24),"NA ")</f>
        <v>9.3720903716216206</v>
      </c>
      <c r="AF24" s="234">
        <f ca="1">IFERROR(+AVERAGEIFS(V24:AE24,V24:AE24,"&gt;="&amp;$AL$18,V24:AE24,"&lt;="&amp;$AL$17),"NA  ")</f>
        <v>8.1784082913970053</v>
      </c>
      <c r="AG24" s="257">
        <f ca="1">IFERROR(AG305/AG345,"NA  ")</f>
        <v>3.8252476019329156</v>
      </c>
      <c r="AH24" s="257">
        <f ca="1">IFERROR(IF(BB_Switch=1,IF(_xll.BDP($D24,$F$10, "BEST_FPERIOD_OVERRIDE", AH$3)="#N/A N/A","NA  ",(_xll.BDP($D24,$F$10, "BEST_FPERIOD_OVERRIDE", AH$3))),AH24),"NM ")</f>
        <v>3.9950051654655274</v>
      </c>
      <c r="AI24" s="257">
        <f ca="1">IFERROR(IF(BB_Switch=1,IF(_xll.BDP($D24,$F$10, "BEST_FPERIOD_OVERRIDE", AI$3)="#N/A N/A","NA  ",(_xll.BDP($D24,$F$10, "BEST_FPERIOD_OVERRIDE", AI$3))),AI24),"NM ")</f>
        <v>3.4051675582480754</v>
      </c>
      <c r="AJ24" s="257">
        <f ca="1">IFERROR(IF(BB_Switch=1,IF(_xll.BDP($D24,$F$10, "BEST_FPERIOD_OVERRIDE", AJ$3)="#N/A N/A","NA  ",(_xll.BDP($D24,$F$10, "BEST_FPERIOD_OVERRIDE", AJ$3))),AJ24),"NM ")</f>
        <v>3.1369598051157124</v>
      </c>
      <c r="AL24" s="227">
        <f>DCF!E38</f>
        <v>124.9</v>
      </c>
      <c r="AM24" s="227">
        <f>AL24</f>
        <v>124.9</v>
      </c>
      <c r="AN24" s="227">
        <f>AM24</f>
        <v>124.9</v>
      </c>
    </row>
    <row r="25" spans="2:43" ht="11.25" customHeight="1">
      <c r="C25" s="229"/>
      <c r="D25" s="242"/>
      <c r="E25" s="244"/>
      <c r="F25" s="244"/>
      <c r="G25" s="244"/>
      <c r="H25" s="244"/>
      <c r="I25" s="244"/>
      <c r="J25" s="244"/>
      <c r="K25" s="244"/>
      <c r="L25" s="244"/>
      <c r="M25" s="244"/>
      <c r="N25" s="244"/>
      <c r="O25" s="257"/>
      <c r="P25" s="257"/>
      <c r="Q25" s="257"/>
      <c r="R25" s="257"/>
      <c r="S25" s="257"/>
      <c r="T25" s="257"/>
      <c r="U25" s="227"/>
      <c r="V25" s="244"/>
      <c r="W25" s="244"/>
      <c r="X25" s="244"/>
      <c r="Y25" s="244"/>
      <c r="Z25" s="244"/>
      <c r="AA25" s="244"/>
      <c r="AB25" s="244"/>
      <c r="AC25" s="244"/>
      <c r="AD25" s="244"/>
      <c r="AE25" s="244"/>
      <c r="AF25" s="244"/>
      <c r="AG25" s="260"/>
      <c r="AH25" s="244"/>
      <c r="AI25" s="244"/>
      <c r="AJ25" s="244"/>
      <c r="AK25" s="227"/>
      <c r="AL25" s="340">
        <f ca="1">+AL23/AL24</f>
        <v>63.218904921551704</v>
      </c>
      <c r="AM25" s="340">
        <f ca="1">+AM23/AM24</f>
        <v>90.610968246927882</v>
      </c>
      <c r="AN25" s="340">
        <f ca="1">+AN23/AN24</f>
        <v>108.36788959170849</v>
      </c>
    </row>
    <row r="26" spans="2:43" ht="11.25" customHeight="1">
      <c r="C26" s="224" t="s">
        <v>482</v>
      </c>
      <c r="D26" s="223"/>
      <c r="E26" s="250">
        <f t="shared" ref="E26:T26" ca="1" si="5">AVERAGE(E12:E18,E21:E24)</f>
        <v>9.0959742524108069</v>
      </c>
      <c r="F26" s="250">
        <f t="shared" ca="1" si="5"/>
        <v>9.064770252500475</v>
      </c>
      <c r="G26" s="250">
        <f t="shared" ca="1" si="5"/>
        <v>9.8779765625898541</v>
      </c>
      <c r="H26" s="250">
        <f t="shared" ca="1" si="5"/>
        <v>10.048013165493767</v>
      </c>
      <c r="I26" s="250">
        <f t="shared" ca="1" si="5"/>
        <v>9.4586572155306605</v>
      </c>
      <c r="J26" s="250">
        <f t="shared" ca="1" si="5"/>
        <v>9.2944099819344252</v>
      </c>
      <c r="K26" s="250">
        <f t="shared" ca="1" si="5"/>
        <v>9.0304644950550994</v>
      </c>
      <c r="L26" s="250">
        <f t="shared" ca="1" si="5"/>
        <v>7.2992551691855141</v>
      </c>
      <c r="M26" s="250">
        <f t="shared" ca="1" si="5"/>
        <v>8.1328833431487588</v>
      </c>
      <c r="N26" s="250">
        <f t="shared" ca="1" si="5"/>
        <v>7.709521673363577</v>
      </c>
      <c r="O26" s="250">
        <f t="shared" ca="1" si="5"/>
        <v>8.0582355829340759</v>
      </c>
      <c r="P26" s="250">
        <f t="shared" ca="1" si="5"/>
        <v>5.9011800993932857</v>
      </c>
      <c r="Q26" s="250">
        <f t="shared" ca="1" si="5"/>
        <v>5.7847393940107326</v>
      </c>
      <c r="R26" s="250">
        <f t="shared" ca="1" si="5"/>
        <v>5.5223538776807413</v>
      </c>
      <c r="S26" s="250">
        <f t="shared" ca="1" si="5"/>
        <v>5.3570898515665997</v>
      </c>
      <c r="T26" s="291">
        <f t="shared" ca="1" si="5"/>
        <v>5.2621627522534169</v>
      </c>
      <c r="U26" s="219"/>
      <c r="V26" s="293">
        <f t="shared" ref="V26:AJ26" ca="1" si="6">AVERAGE(V12:V18,V21:V24)</f>
        <v>6.6352312644665616</v>
      </c>
      <c r="W26" s="250">
        <f t="shared" ca="1" si="6"/>
        <v>5.775340056401463</v>
      </c>
      <c r="X26" s="250">
        <f t="shared" ca="1" si="6"/>
        <v>8.013364679816199</v>
      </c>
      <c r="Y26" s="250">
        <f t="shared" ca="1" si="6"/>
        <v>8.3182471748571309</v>
      </c>
      <c r="Z26" s="250">
        <f t="shared" ca="1" si="6"/>
        <v>7.6932709232323901</v>
      </c>
      <c r="AA26" s="250">
        <f t="shared" ca="1" si="6"/>
        <v>8.2408053679616735</v>
      </c>
      <c r="AB26" s="250">
        <f t="shared" ca="1" si="6"/>
        <v>8.7301769683914525</v>
      </c>
      <c r="AC26" s="250">
        <f t="shared" ca="1" si="6"/>
        <v>12.810388940787291</v>
      </c>
      <c r="AD26" s="250">
        <f t="shared" ca="1" si="6"/>
        <v>7.8089852394028068</v>
      </c>
      <c r="AE26" s="250">
        <f t="shared" ca="1" si="6"/>
        <v>8.6036523646344154</v>
      </c>
      <c r="AF26" s="250">
        <f t="shared" ca="1" si="6"/>
        <v>8.6760130157365047</v>
      </c>
      <c r="AG26" s="250">
        <f t="shared" ca="1" si="6"/>
        <v>5.2498581766357004</v>
      </c>
      <c r="AH26" s="250">
        <f t="shared" ca="1" si="6"/>
        <v>5.7788337810138222</v>
      </c>
      <c r="AI26" s="250">
        <f t="shared" ca="1" si="6"/>
        <v>5.2319954828377577</v>
      </c>
      <c r="AJ26" s="291">
        <f t="shared" ca="1" si="6"/>
        <v>4.9689426214445485</v>
      </c>
    </row>
    <row r="27" spans="2:43" ht="11.25" customHeight="1">
      <c r="C27" s="221" t="s">
        <v>481</v>
      </c>
      <c r="D27" s="220"/>
      <c r="E27" s="249">
        <f t="shared" ref="E27:T27" ca="1" si="7">MEDIAN(E12:E18,E21:E24)</f>
        <v>8.8745289489784778</v>
      </c>
      <c r="F27" s="249">
        <f t="shared" ca="1" si="7"/>
        <v>8.7735046039925724</v>
      </c>
      <c r="G27" s="249">
        <f t="shared" ca="1" si="7"/>
        <v>8.8774173184777325</v>
      </c>
      <c r="H27" s="249">
        <f t="shared" ca="1" si="7"/>
        <v>8.8525086694966824</v>
      </c>
      <c r="I27" s="249">
        <f t="shared" ca="1" si="7"/>
        <v>9.0211042239499388</v>
      </c>
      <c r="J27" s="249">
        <f t="shared" ca="1" si="7"/>
        <v>8.4117339433987368</v>
      </c>
      <c r="K27" s="249">
        <f t="shared" ca="1" si="7"/>
        <v>8.2156446651368</v>
      </c>
      <c r="L27" s="249">
        <f t="shared" ca="1" si="7"/>
        <v>6.6875790162607593</v>
      </c>
      <c r="M27" s="249">
        <f t="shared" ca="1" si="7"/>
        <v>7.3329374954940931</v>
      </c>
      <c r="N27" s="249">
        <f t="shared" ca="1" si="7"/>
        <v>7.5645551212129716</v>
      </c>
      <c r="O27" s="249">
        <f t="shared" ca="1" si="7"/>
        <v>7.8876184850628626</v>
      </c>
      <c r="P27" s="249">
        <f t="shared" ca="1" si="7"/>
        <v>6.2437311554031814</v>
      </c>
      <c r="Q27" s="249">
        <f t="shared" ca="1" si="7"/>
        <v>5.9441257926750346</v>
      </c>
      <c r="R27" s="249">
        <f t="shared" ca="1" si="7"/>
        <v>5.4780559921969338</v>
      </c>
      <c r="S27" s="249">
        <f t="shared" ca="1" si="7"/>
        <v>5.2038154962987457</v>
      </c>
      <c r="T27" s="292">
        <f t="shared" ca="1" si="7"/>
        <v>5.1040917818051703</v>
      </c>
      <c r="U27" s="219"/>
      <c r="V27" s="294">
        <f t="shared" ref="V27:AJ27" ca="1" si="8">MEDIAN(V12:V18,V21:V24)</f>
        <v>6.0351156266601098</v>
      </c>
      <c r="W27" s="249">
        <f t="shared" ca="1" si="8"/>
        <v>5.0514368481544674</v>
      </c>
      <c r="X27" s="249">
        <f t="shared" ca="1" si="8"/>
        <v>8.4213729180861172</v>
      </c>
      <c r="Y27" s="249">
        <f t="shared" ca="1" si="8"/>
        <v>8.0705001839375861</v>
      </c>
      <c r="Z27" s="249">
        <f t="shared" ca="1" si="8"/>
        <v>6.9219007006285311</v>
      </c>
      <c r="AA27" s="249">
        <f t="shared" ca="1" si="8"/>
        <v>7.3489973761656442</v>
      </c>
      <c r="AB27" s="249">
        <f t="shared" ca="1" si="8"/>
        <v>9.0061458036713535</v>
      </c>
      <c r="AC27" s="249">
        <f t="shared" ca="1" si="8"/>
        <v>8.8193065254944756</v>
      </c>
      <c r="AD27" s="249">
        <f t="shared" ca="1" si="8"/>
        <v>6.6649821683697663</v>
      </c>
      <c r="AE27" s="249">
        <f t="shared" ca="1" si="8"/>
        <v>8.1085406158482147</v>
      </c>
      <c r="AF27" s="249">
        <f t="shared" ca="1" si="8"/>
        <v>8.2216783548716741</v>
      </c>
      <c r="AG27" s="249">
        <f t="shared" ca="1" si="8"/>
        <v>5.2674203315258978</v>
      </c>
      <c r="AH27" s="249">
        <f t="shared" ca="1" si="8"/>
        <v>5.7361934281039719</v>
      </c>
      <c r="AI27" s="249">
        <f t="shared" ca="1" si="8"/>
        <v>5.2124148936170211</v>
      </c>
      <c r="AJ27" s="292">
        <f t="shared" ca="1" si="8"/>
        <v>5.1202109740284616</v>
      </c>
    </row>
    <row r="28" spans="2:43" ht="11.25" customHeight="1"/>
    <row r="29" spans="2:43" ht="11.25" customHeight="1">
      <c r="B29" s="231" t="s">
        <v>14</v>
      </c>
      <c r="C29" s="232" t="s">
        <v>528</v>
      </c>
      <c r="D29" s="232"/>
      <c r="E29" s="232"/>
      <c r="F29" s="232"/>
      <c r="G29" s="232"/>
      <c r="H29" s="232"/>
      <c r="I29" s="232"/>
      <c r="J29" s="232"/>
      <c r="K29" s="232"/>
      <c r="L29" s="232"/>
      <c r="M29" s="232"/>
      <c r="N29" s="232"/>
      <c r="O29" s="232"/>
      <c r="P29" s="232"/>
      <c r="Q29" s="232"/>
      <c r="R29" s="232"/>
      <c r="S29" s="232"/>
      <c r="T29" s="232"/>
      <c r="U29" s="233"/>
      <c r="V29" s="232"/>
      <c r="W29" s="231"/>
      <c r="X29" s="231"/>
      <c r="Y29" s="231"/>
      <c r="Z29" s="231"/>
      <c r="AA29" s="231"/>
      <c r="AB29" s="231"/>
      <c r="AC29" s="231"/>
      <c r="AD29" s="231"/>
      <c r="AE29" s="231"/>
      <c r="AF29" s="231"/>
      <c r="AG29" s="231"/>
      <c r="AH29" s="231"/>
      <c r="AI29" s="231"/>
      <c r="AJ29" s="231"/>
    </row>
    <row r="30" spans="2:43" s="227" customFormat="1" ht="11.25" customHeight="1">
      <c r="B30" s="217"/>
      <c r="C30" s="217"/>
      <c r="D30" s="217" t="s">
        <v>527</v>
      </c>
      <c r="E30" s="217"/>
      <c r="F30" s="217" t="s">
        <v>526</v>
      </c>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30"/>
    </row>
    <row r="31" spans="2:43" ht="11.25" customHeight="1">
      <c r="C31" s="428" t="str">
        <f>C11</f>
        <v>Commodity Chemicals</v>
      </c>
      <c r="V31" s="256"/>
      <c r="W31" s="256"/>
      <c r="AK31" s="230"/>
    </row>
    <row r="32" spans="2:43" ht="11.25" customHeight="1">
      <c r="C32" s="229" t="str">
        <f ca="1">IFERROR(IF(BB_Switch=1,_xll.BDP($D32,$C$270),C32), "NA ")</f>
        <v>DuPont de Nemours Inc</v>
      </c>
      <c r="D32" s="227" t="str">
        <f t="shared" ref="D32:D38" si="9">+D12</f>
        <v>DD US EQUITY</v>
      </c>
      <c r="E32" s="244" t="str">
        <f ca="1">IFERROR(IF(BB_Switch=1,IF(_xll.BDP($D32,$D$30, "EQY_FUND_RELATIVE_PERIOD", E$3)="#N/A N/A","NA  ",(_xll.BDP($D32,$D$30, "EQY_FUND_RELATIVE_PERIOD", E$3))),E32),"NA ")</f>
        <v xml:space="preserve">NA  </v>
      </c>
      <c r="F32" s="244" t="str">
        <f ca="1">IFERROR(IF(BB_Switch=1,IF(_xll.BDP($D32,$D$30, "EQY_FUND_RELATIVE_PERIOD", F$3)="#N/A N/A","NA  ",(_xll.BDP($D32,$D$30, "EQY_FUND_RELATIVE_PERIOD", F$3))),F32),"NA ")</f>
        <v xml:space="preserve">NA  </v>
      </c>
      <c r="G32" s="244">
        <f ca="1">IFERROR(IF(BB_Switch=1,IF(_xll.BDP($D32,$D$30, "EQY_FUND_RELATIVE_PERIOD", G$3)="#N/A N/A","NA  ",(_xll.BDP($D32,$D$30, "EQY_FUND_RELATIVE_PERIOD", G$3))),G32),"NA ")</f>
        <v>2.7667852544660252</v>
      </c>
      <c r="H32" s="244">
        <f ca="1">IFERROR(IF(BB_Switch=1,IF(_xll.BDP($D32,$D$30, "EQY_FUND_RELATIVE_PERIOD", H$3)="#N/A N/A","NA  ",(_xll.BDP($D32,$D$30, "EQY_FUND_RELATIVE_PERIOD", H$3))),H32),"NA ")</f>
        <v>2.6961900967633023</v>
      </c>
      <c r="I32" s="244">
        <f ca="1">IFERROR(IF(BB_Switch=1,IF(_xll.BDP($D32,$D$30, "EQY_FUND_RELATIVE_PERIOD", I$3)="#N/A N/A","NA  ",(_xll.BDP($D32,$D$30, "EQY_FUND_RELATIVE_PERIOD", I$3))),I32),"NA ")</f>
        <v>2.2335564494133706</v>
      </c>
      <c r="J32" s="244">
        <f ca="1">IFERROR(IF(BB_Switch=1,IF(_xll.BDP($D32,$D$30, "EQY_FUND_RELATIVE_PERIOD", J$3)="#N/A N/A","NA  ",(_xll.BDP($D32,$D$30, "EQY_FUND_RELATIVE_PERIOD", J$3))),J32),"NA ")</f>
        <v>2.8382088459115864</v>
      </c>
      <c r="K32" s="244">
        <f ca="1">IFERROR(IF(BB_Switch=1,IF(_xll.BDP($D32,$D$30, "EQY_FUND_RELATIVE_PERIOD", K$3)="#N/A N/A","NA  ",(_xll.BDP($D32,$D$30, "EQY_FUND_RELATIVE_PERIOD", K$3))),K32),"NA ")</f>
        <v>3.3331370652033008</v>
      </c>
      <c r="L32" s="244">
        <f ca="1">IFERROR(IF(BB_Switch=1,IF(_xll.BDP($D32,$D$30, "EQY_FUND_RELATIVE_PERIOD", L$3)="#N/A N/A","NA  ",(_xll.BDP($D32,$D$30, "EQY_FUND_RELATIVE_PERIOD", L$3))),L32),"NA ")</f>
        <v>3.2984925116901063</v>
      </c>
      <c r="M32" s="244">
        <f ca="1">IFERROR(IF(BB_Switch=1,IF(_xll.BDP($D32,$D$30, "EQY_FUND_RELATIVE_PERIOD", M$3)="#N/A N/A","NA  ",(_xll.BDP($D32,$D$30, "EQY_FUND_RELATIVE_PERIOD", M$3))),M32),"NA ")</f>
        <v>4.230283915294712</v>
      </c>
      <c r="N32" s="244">
        <f ca="1">IFERROR(IF(BB_Switch=1,IF(_xll.BDP($D32,$D$30, "EQY_FUND_RELATIVE_PERIOD", N$3)="#N/A N/A","NA  ",(_xll.BDP($D32,$D$30, "EQY_FUND_RELATIVE_PERIOD", N$3))),N32),"NA ")</f>
        <v>2.0072974824500096</v>
      </c>
      <c r="O32" s="244">
        <f ca="1">IFERROR(IF(BB_Switch=1,IF(_xll.BDP($D32,$D$30, "EQY_FUND_RELATIVE_PERIOD", O$3)="#N/A N/A","NA  ",(_xll.BDP($D32,$D$30, "EQY_FUND_RELATIVE_PERIOD", O$3))),O32),"NA ")</f>
        <v>1.9333175655277777</v>
      </c>
      <c r="P32" s="257">
        <f ca="1">IFERROR(IF(BB_Switch=1,IF(_xll.BDP($D32,$F$30, "BEST_FPERIOD_OVERRIDE", P$3)="#N/A N/A","NA  ",(_xll.BDP($D32,$F$30, "BEST_FPERIOD_OVERRIDE", P$3))),P32),"NM ")</f>
        <v>1.9875026442751231</v>
      </c>
      <c r="Q32" s="257">
        <f ca="1">IFERROR(IF(BB_Switch=1,IF(_xll.BDP($D32,$F$30, "BEST_FPERIOD_OVERRIDE", Q$3)="#N/A N/A","NA  ",(_xll.BDP($D32,$F$30, "BEST_FPERIOD_OVERRIDE", Q$3))),Q32),"NM ")</f>
        <v>1.9726418672269459</v>
      </c>
      <c r="R32" s="257">
        <f ca="1">IFERROR(IF(BB_Switch=1,IF(_xll.BDP($D32,$F$30, "BEST_FPERIOD_OVERRIDE", R$3)="#N/A N/A","NA  ",(_xll.BDP($D32,$F$30, "BEST_FPERIOD_OVERRIDE", R$3))),R32),"NM ")</f>
        <v>1.9606068698549701</v>
      </c>
      <c r="S32" s="257">
        <f ca="1">IFERROR(IF(BB_Switch=1,IF(_xll.BDP($D32,$F$30, "BEST_FPERIOD_OVERRIDE", S$3)="#N/A N/A","NA  ",(_xll.BDP($D32,$F$30, "BEST_FPERIOD_OVERRIDE", S$3))),S32),"NM ")</f>
        <v>1.9425084027803414</v>
      </c>
      <c r="T32" s="257">
        <f ca="1">IFERROR(IF(BB_Switch=1,IF(_xll.BDP($D32,$F$30, "BEST_FPERIOD_OVERRIDE", T$3)="#N/A N/A","NA  ",(_xll.BDP($D32,$F$30, "BEST_FPERIOD_OVERRIDE", T$3))),T32),"NM ")</f>
        <v>1.9220411693114403</v>
      </c>
      <c r="U32" s="227"/>
      <c r="V32" s="244" t="str">
        <f ca="1">IFERROR(IF(BB_Switch=1,IF(_xll.BDP($D32,$D$30, "EQY_FUND_RELATIVE_PERIOD", V$3)="#N/A N/A","NA  ",(_xll.BDP($D32,$D$30, "EQY_FUND_RELATIVE_PERIOD", V$3))),V32),"NA ")</f>
        <v xml:space="preserve">NA  </v>
      </c>
      <c r="W32" s="244" t="str">
        <f ca="1">IFERROR(IF(BB_Switch=1,IF(_xll.BDP($D32,$D$30, "EQY_FUND_RELATIVE_PERIOD", W$3)="#N/A N/A","NA  ",(_xll.BDP($D32,$D$30, "EQY_FUND_RELATIVE_PERIOD", W$3))),W32),"NA ")</f>
        <v xml:space="preserve">NA  </v>
      </c>
      <c r="X32" s="244" t="str">
        <f ca="1">IFERROR(IF(BB_Switch=1,IF(_xll.BDP($D32,$D$30, "EQY_FUND_RELATIVE_PERIOD", X$3)="#N/A N/A","NA  ",(_xll.BDP($D32,$D$30, "EQY_FUND_RELATIVE_PERIOD", X$3))),X32),"NA ")</f>
        <v xml:space="preserve">NA  </v>
      </c>
      <c r="Y32" s="244" t="str">
        <f ca="1">IFERROR(IF(BB_Switch=1,IF(_xll.BDP($D32,$D$30, "EQY_FUND_RELATIVE_PERIOD", Y$3)="#N/A N/A","NA  ",(_xll.BDP($D32,$D$30, "EQY_FUND_RELATIVE_PERIOD", Y$3))),Y32),"NA ")</f>
        <v xml:space="preserve">NA  </v>
      </c>
      <c r="Z32" s="244" t="str">
        <f ca="1">IFERROR(IF(BB_Switch=1,IF(_xll.BDP($D32,$D$30, "EQY_FUND_RELATIVE_PERIOD", Z$3)="#N/A N/A","NA  ",(_xll.BDP($D32,$D$30, "EQY_FUND_RELATIVE_PERIOD", Z$3))),Z32),"NA ")</f>
        <v xml:space="preserve">NA  </v>
      </c>
      <c r="AA32" s="244" t="str">
        <f ca="1">IFERROR(IF(BB_Switch=1,IF(_xll.BDP($D32,$D$30, "EQY_FUND_RELATIVE_PERIOD", AA$3)="#N/A N/A","NA  ",(_xll.BDP($D32,$D$30, "EQY_FUND_RELATIVE_PERIOD", AA$3))),AA32),"NA ")</f>
        <v xml:space="preserve">NA  </v>
      </c>
      <c r="AB32" s="244">
        <f ca="1">IFERROR(IF(BB_Switch=1,IF(_xll.BDP($D32,$D$30, "EQY_FUND_RELATIVE_PERIOD", AB$3)="#N/A N/A","NA  ",(_xll.BDP($D32,$D$30, "EQY_FUND_RELATIVE_PERIOD", AB$3))),AB32),"NA ")</f>
        <v>1.203191376261743</v>
      </c>
      <c r="AC32" s="244">
        <f ca="1">IFERROR(IF(BB_Switch=1,IF(_xll.BDP($D32,$D$30, "EQY_FUND_RELATIVE_PERIOD", AC$3)="#N/A N/A","NA  ",(_xll.BDP($D32,$D$30, "EQY_FUND_RELATIVE_PERIOD", AC$3))),AC32),"NA ")</f>
        <v>16.023527967972925</v>
      </c>
      <c r="AD32" s="244">
        <f ca="1">IFERROR(IF(BB_Switch=1,IF(_xll.BDP($D32,$D$30, "EQY_FUND_RELATIVE_PERIOD", AD$3)="#N/A N/A","NA  ",(_xll.BDP($D32,$D$30, "EQY_FUND_RELATIVE_PERIOD", AD$3))),AD32),"NA ")</f>
        <v>5.6216274740042014</v>
      </c>
      <c r="AE32" s="244">
        <f ca="1">IFERROR(IF(BB_Switch=1,IF(_xll.BDP($D32,$D$30, "EQY_FUND_RELATIVE_PERIOD", AE$3)="#N/A N/A","NA  ",(_xll.BDP($D32,$D$30, "EQY_FUND_RELATIVE_PERIOD", AE$3))),AE32),"NA ")</f>
        <v>2.9958095731498697</v>
      </c>
      <c r="AF32" s="236">
        <f t="shared" ref="AF32:AF38" ca="1" si="10">IFERROR(+AVERAGEIFS(V32:AE32,V32:AE32,"&gt;="&amp;$AL$32,V32:AE32,"&lt;="&amp;$AL$33),"NA  ")</f>
        <v>2.0995004747058061</v>
      </c>
      <c r="AG32" s="244">
        <f t="shared" ref="AG32:AG38" ca="1" si="11">AG293/AG313</f>
        <v>1.1848282323971242</v>
      </c>
      <c r="AH32" s="257">
        <f ca="1">IFERROR(IF(BB_Switch=1,IF(_xll.BDP($D32,$F$30, "BEST_FPERIOD_OVERRIDE", AH$3)="#N/A N/A","NA  ",(_xll.BDP($D32,$F$30, "BEST_FPERIOD_OVERRIDE", AH$3))),AH32),"NM ")</f>
        <v>1.9785789697425524</v>
      </c>
      <c r="AI32" s="257">
        <f ca="1">IFERROR(IF(BB_Switch=1,IF(_xll.BDP($D32,$F$30, "BEST_FPERIOD_OVERRIDE", AI$3)="#N/A N/A","NA  ",(_xll.BDP($D32,$F$30, "BEST_FPERIOD_OVERRIDE", AI$3))),AI32),"NM ")</f>
        <v>1.9152643804382818</v>
      </c>
      <c r="AJ32" s="257">
        <f ca="1">IFERROR(IF(BB_Switch=1,IF(_xll.BDP($D32,$F$30, "BEST_FPERIOD_OVERRIDE", AJ$3)="#N/A N/A","NA  ",(_xll.BDP($D32,$F$30, "BEST_FPERIOD_OVERRIDE", AJ$3))),AJ32),"NM ")</f>
        <v>1.8484222815028177</v>
      </c>
      <c r="AK32" s="230"/>
      <c r="AL32" s="258">
        <v>0.5</v>
      </c>
      <c r="AM32" s="217" t="s">
        <v>530</v>
      </c>
    </row>
    <row r="33" spans="3:39" ht="11.25" customHeight="1">
      <c r="C33" s="229" t="str">
        <f ca="1">IFERROR(IF(BB_Switch=1,_xll.BDP($D33,$C$270),C33), "NA ")</f>
        <v>PolyOne Corp</v>
      </c>
      <c r="D33" s="227" t="str">
        <f t="shared" si="9"/>
        <v>POL US EQUITY</v>
      </c>
      <c r="E33" s="244">
        <f ca="1">IFERROR(IF(BB_Switch=1,IF(_xll.BDP($D33,$D$30, "EQY_FUND_RELATIVE_PERIOD", E$3)="#N/A N/A","NA  ",(_xll.BDP($D33,$D$30, "EQY_FUND_RELATIVE_PERIOD", E$3))),E33),"NA ")</f>
        <v>1.3106595586069953</v>
      </c>
      <c r="F33" s="244">
        <f ca="1">IFERROR(IF(BB_Switch=1,IF(_xll.BDP($D33,$D$30, "EQY_FUND_RELATIVE_PERIOD", F$3)="#N/A N/A","NA  ",(_xll.BDP($D33,$D$30, "EQY_FUND_RELATIVE_PERIOD", F$3))),F33),"NA ")</f>
        <v>1.4344606049995083</v>
      </c>
      <c r="G33" s="244">
        <f ca="1">IFERROR(IF(BB_Switch=1,IF(_xll.BDP($D33,$D$30, "EQY_FUND_RELATIVE_PERIOD", G$3)="#N/A N/A","NA  ",(_xll.BDP($D33,$D$30, "EQY_FUND_RELATIVE_PERIOD", G$3))),G33),"NA ")</f>
        <v>1.3936470428123298</v>
      </c>
      <c r="H33" s="244">
        <f ca="1">IFERROR(IF(BB_Switch=1,IF(_xll.BDP($D33,$D$30, "EQY_FUND_RELATIVE_PERIOD", H$3)="#N/A N/A","NA  ",(_xll.BDP($D33,$D$30, "EQY_FUND_RELATIVE_PERIOD", H$3))),H33),"NA ")</f>
        <v>1.4540543050868451</v>
      </c>
      <c r="I33" s="244">
        <f ca="1">IFERROR(IF(BB_Switch=1,IF(_xll.BDP($D33,$D$30, "EQY_FUND_RELATIVE_PERIOD", I$3)="#N/A N/A","NA  ",(_xll.BDP($D33,$D$30, "EQY_FUND_RELATIVE_PERIOD", I$3))),I33),"NA ")</f>
        <v>1.3762946721722444</v>
      </c>
      <c r="J33" s="244">
        <f ca="1">IFERROR(IF(BB_Switch=1,IF(_xll.BDP($D33,$D$30, "EQY_FUND_RELATIVE_PERIOD", J$3)="#N/A N/A","NA  ",(_xll.BDP($D33,$D$30, "EQY_FUND_RELATIVE_PERIOD", J$3))),J33),"NA ")</f>
        <v>1.3472481138873527</v>
      </c>
      <c r="K33" s="244">
        <f ca="1">IFERROR(IF(BB_Switch=1,IF(_xll.BDP($D33,$D$30, "EQY_FUND_RELATIVE_PERIOD", K$3)="#N/A N/A","NA  ",(_xll.BDP($D33,$D$30, "EQY_FUND_RELATIVE_PERIOD", K$3))),K33),"NA ")</f>
        <v>1.3885085715839807</v>
      </c>
      <c r="L33" s="244">
        <f ca="1">IFERROR(IF(BB_Switch=1,IF(_xll.BDP($D33,$D$30, "EQY_FUND_RELATIVE_PERIOD", L$3)="#N/A N/A","NA  ",(_xll.BDP($D33,$D$30, "EQY_FUND_RELATIVE_PERIOD", L$3))),L33),"NA ")</f>
        <v>1.0844127230411174</v>
      </c>
      <c r="M33" s="244">
        <f ca="1">IFERROR(IF(BB_Switch=1,IF(_xll.BDP($D33,$D$30, "EQY_FUND_RELATIVE_PERIOD", M$3)="#N/A N/A","NA  ",(_xll.BDP($D33,$D$30, "EQY_FUND_RELATIVE_PERIOD", M$3))),M33),"NA ")</f>
        <v>1.1515828365623446</v>
      </c>
      <c r="N33" s="244">
        <f ca="1">IFERROR(IF(BB_Switch=1,IF(_xll.BDP($D33,$D$30, "EQY_FUND_RELATIVE_PERIOD", N$3)="#N/A N/A","NA  ",(_xll.BDP($D33,$D$30, "EQY_FUND_RELATIVE_PERIOD", N$3))),N33),"NA ")</f>
        <v>1.1757713876253972</v>
      </c>
      <c r="O33" s="244">
        <f ca="1">IFERROR(IF(BB_Switch=1,IF(_xll.BDP($D33,$D$30, "EQY_FUND_RELATIVE_PERIOD", O$3)="#N/A N/A","NA  ",(_xll.BDP($D33,$D$30, "EQY_FUND_RELATIVE_PERIOD", O$3))),O33),"NA ")</f>
        <v>1.1934270683123569</v>
      </c>
      <c r="P33" s="257">
        <f ca="1">IFERROR(IF(BB_Switch=1,IF(_xll.BDP($D33,$F$30, "BEST_FPERIOD_OVERRIDE", P$3)="#N/A N/A","NA  ",(_xll.BDP($D33,$F$30, "BEST_FPERIOD_OVERRIDE", P$3))),P33),"NM ")</f>
        <v>0.67526885882529997</v>
      </c>
      <c r="Q33" s="257">
        <f ca="1">IFERROR(IF(BB_Switch=1,IF(_xll.BDP($D33,$F$30, "BEST_FPERIOD_OVERRIDE", Q$3)="#N/A N/A","NA  ",(_xll.BDP($D33,$F$30, "BEST_FPERIOD_OVERRIDE", Q$3))),Q33),"NM ")</f>
        <v>0.65999927596898678</v>
      </c>
      <c r="R33" s="257">
        <f ca="1">IFERROR(IF(BB_Switch=1,IF(_xll.BDP($D33,$F$30, "BEST_FPERIOD_OVERRIDE", R$3)="#N/A N/A","NA  ",(_xll.BDP($D33,$F$30, "BEST_FPERIOD_OVERRIDE", R$3))),R33),"NM ")</f>
        <v>0.65692842071092361</v>
      </c>
      <c r="S33" s="257">
        <f ca="1">IFERROR(IF(BB_Switch=1,IF(_xll.BDP($D33,$F$30, "BEST_FPERIOD_OVERRIDE", S$3)="#N/A N/A","NA  ",(_xll.BDP($D33,$F$30, "BEST_FPERIOD_OVERRIDE", S$3))),S33),"NM ")</f>
        <v>0.65614734870063784</v>
      </c>
      <c r="T33" s="257">
        <f ca="1">IFERROR(IF(BB_Switch=1,IF(_xll.BDP($D33,$F$30, "BEST_FPERIOD_OVERRIDE", T$3)="#N/A N/A","NA  ",(_xll.BDP($D33,$F$30, "BEST_FPERIOD_OVERRIDE", T$3))),T33),"NM ")</f>
        <v>0.67511859883236036</v>
      </c>
      <c r="U33" s="227"/>
      <c r="V33" s="244">
        <f ca="1">IFERROR(IF(BB_Switch=1,IF(_xll.BDP($D33,$D$30, "EQY_FUND_RELATIVE_PERIOD", V$3)="#N/A N/A","NA  ",(_xll.BDP($D33,$D$30, "EQY_FUND_RELATIVE_PERIOD", V$3))),V33),"NA ")</f>
        <v>0.47584232808268823</v>
      </c>
      <c r="W33" s="244">
        <f ca="1">IFERROR(IF(BB_Switch=1,IF(_xll.BDP($D33,$D$30, "EQY_FUND_RELATIVE_PERIOD", W$3)="#N/A N/A","NA  ",(_xll.BDP($D33,$D$30, "EQY_FUND_RELATIVE_PERIOD", W$3))),W33),"NA ")</f>
        <v>0.53806181246726037</v>
      </c>
      <c r="X33" s="244">
        <f ca="1">IFERROR(IF(BB_Switch=1,IF(_xll.BDP($D33,$D$30, "EQY_FUND_RELATIVE_PERIOD", X$3)="#N/A N/A","NA  ",(_xll.BDP($D33,$D$30, "EQY_FUND_RELATIVE_PERIOD", X$3))),X33),"NA ")</f>
        <v>0.81333543064876956</v>
      </c>
      <c r="Y33" s="244">
        <f ca="1">IFERROR(IF(BB_Switch=1,IF(_xll.BDP($D33,$D$30, "EQY_FUND_RELATIVE_PERIOD", Y$3)="#N/A N/A","NA  ",(_xll.BDP($D33,$D$30, "EQY_FUND_RELATIVE_PERIOD", Y$3))),Y33),"NA ")</f>
        <v>1.0572722210436996</v>
      </c>
      <c r="Z33" s="244">
        <f ca="1">IFERROR(IF(BB_Switch=1,IF(_xll.BDP($D33,$D$30, "EQY_FUND_RELATIVE_PERIOD", Z$3)="#N/A N/A","NA  ",(_xll.BDP($D33,$D$30, "EQY_FUND_RELATIVE_PERIOD", Z$3))),Z33),"NA ")</f>
        <v>1.0841514795984875</v>
      </c>
      <c r="AA33" s="244">
        <f ca="1">IFERROR(IF(BB_Switch=1,IF(_xll.BDP($D33,$D$30, "EQY_FUND_RELATIVE_PERIOD", AA$3)="#N/A N/A","NA  ",(_xll.BDP($D33,$D$30, "EQY_FUND_RELATIVE_PERIOD", AA$3))),AA33),"NA ")</f>
        <v>1.0590146849834201</v>
      </c>
      <c r="AB33" s="244">
        <f ca="1">IFERROR(IF(BB_Switch=1,IF(_xll.BDP($D33,$D$30, "EQY_FUND_RELATIVE_PERIOD", AB$3)="#N/A N/A","NA  ",(_xll.BDP($D33,$D$30, "EQY_FUND_RELATIVE_PERIOD", AB$3))),AB33),"NA ")</f>
        <v>1.285035050704417</v>
      </c>
      <c r="AC33" s="244">
        <f ca="1">IFERROR(IF(BB_Switch=1,IF(_xll.BDP($D33,$D$30, "EQY_FUND_RELATIVE_PERIOD", AC$3)="#N/A N/A","NA  ",(_xll.BDP($D33,$D$30, "EQY_FUND_RELATIVE_PERIOD", AC$3))),AC33),"NA ")</f>
        <v>1.4540543050868451</v>
      </c>
      <c r="AD33" s="244">
        <f ca="1">IFERROR(IF(BB_Switch=1,IF(_xll.BDP($D33,$D$30, "EQY_FUND_RELATIVE_PERIOD", AD$3)="#N/A N/A","NA  ",(_xll.BDP($D33,$D$30, "EQY_FUND_RELATIVE_PERIOD", AD$3))),AD33),"NA ")</f>
        <v>1.2129538354737939</v>
      </c>
      <c r="AE33" s="244">
        <f ca="1">IFERROR(IF(BB_Switch=1,IF(_xll.BDP($D33,$D$30, "EQY_FUND_RELATIVE_PERIOD", AE$3)="#N/A N/A","NA  ",(_xll.BDP($D33,$D$30, "EQY_FUND_RELATIVE_PERIOD", AE$3))),AE33),"NA ")</f>
        <v>1.2026237468124499</v>
      </c>
      <c r="AF33" s="235">
        <f t="shared" ca="1" si="10"/>
        <v>1.078500285202127</v>
      </c>
      <c r="AG33" s="244">
        <f t="shared" ca="1" si="11"/>
        <v>0.63886476928905156</v>
      </c>
      <c r="AH33" s="257">
        <f ca="1">IFERROR(IF(BB_Switch=1,IF(_xll.BDP($D33,$F$30, "BEST_FPERIOD_OVERRIDE", AH$3)="#N/A N/A","NA  ",(_xll.BDP($D33,$F$30, "BEST_FPERIOD_OVERRIDE", AH$3))),AH33),"NM ")</f>
        <v>0.65422064171987393</v>
      </c>
      <c r="AI33" s="257">
        <f ca="1">IFERROR(IF(BB_Switch=1,IF(_xll.BDP($D33,$F$30, "BEST_FPERIOD_OVERRIDE", AI$3)="#N/A N/A","NA  ",(_xll.BDP($D33,$F$30, "BEST_FPERIOD_OVERRIDE", AI$3))),AI33),"NM ")</f>
        <v>0.59158605568954181</v>
      </c>
      <c r="AJ33" s="257">
        <f ca="1">IFERROR(IF(BB_Switch=1,IF(_xll.BDP($D33,$F$30, "BEST_FPERIOD_OVERRIDE", AJ$3)="#N/A N/A","NA  ",(_xll.BDP($D33,$F$30, "BEST_FPERIOD_OVERRIDE", AJ$3))),AJ33),"NM ")</f>
        <v>0.55306586499043453</v>
      </c>
      <c r="AK33" s="259"/>
      <c r="AL33" s="258">
        <v>4</v>
      </c>
      <c r="AM33" s="226" t="s">
        <v>529</v>
      </c>
    </row>
    <row r="34" spans="3:39" ht="11.25" customHeight="1">
      <c r="C34" s="229" t="str">
        <f ca="1">IFERROR(IF(BB_Switch=1,_xll.BDP($D34,$C$270),C34), "NA ")</f>
        <v>Olin Corp</v>
      </c>
      <c r="D34" s="227" t="str">
        <f t="shared" si="9"/>
        <v>OLN US EQUITY</v>
      </c>
      <c r="E34" s="244">
        <f ca="1">IFERROR(IF(BB_Switch=1,IF(_xll.BDP($D34,$D$30, "EQY_FUND_RELATIVE_PERIOD", E$3)="#N/A N/A","NA  ",(_xll.BDP($D34,$D$30, "EQY_FUND_RELATIVE_PERIOD", E$3))),E34),"NA ")</f>
        <v>1.5421150879625618</v>
      </c>
      <c r="F34" s="244">
        <f ca="1">IFERROR(IF(BB_Switch=1,IF(_xll.BDP($D34,$D$30, "EQY_FUND_RELATIVE_PERIOD", F$3)="#N/A N/A","NA  ",(_xll.BDP($D34,$D$30, "EQY_FUND_RELATIVE_PERIOD", F$3))),F34),"NA ")</f>
        <v>1.424757923128793</v>
      </c>
      <c r="G34" s="244">
        <f ca="1">IFERROR(IF(BB_Switch=1,IF(_xll.BDP($D34,$D$30, "EQY_FUND_RELATIVE_PERIOD", G$3)="#N/A N/A","NA  ",(_xll.BDP($D34,$D$30, "EQY_FUND_RELATIVE_PERIOD", G$3))),G34),"NA ")</f>
        <v>1.5170610851479898</v>
      </c>
      <c r="H34" s="244">
        <f ca="1">IFERROR(IF(BB_Switch=1,IF(_xll.BDP($D34,$D$30, "EQY_FUND_RELATIVE_PERIOD", H$3)="#N/A N/A","NA  ",(_xll.BDP($D34,$D$30, "EQY_FUND_RELATIVE_PERIOD", H$3))),H34),"NA ")</f>
        <v>1.4898567417522814</v>
      </c>
      <c r="I34" s="244">
        <f ca="1">IFERROR(IF(BB_Switch=1,IF(_xll.BDP($D34,$D$30, "EQY_FUND_RELATIVE_PERIOD", I$3)="#N/A N/A","NA  ",(_xll.BDP($D34,$D$30, "EQY_FUND_RELATIVE_PERIOD", I$3))),I34),"NA ")</f>
        <v>1.3268931311997005</v>
      </c>
      <c r="J34" s="244">
        <f ca="1">IFERROR(IF(BB_Switch=1,IF(_xll.BDP($D34,$D$30, "EQY_FUND_RELATIVE_PERIOD", J$3)="#N/A N/A","NA  ",(_xll.BDP($D34,$D$30, "EQY_FUND_RELATIVE_PERIOD", J$3))),J34),"NA ")</f>
        <v>1.2346775534890753</v>
      </c>
      <c r="K34" s="244">
        <f ca="1">IFERROR(IF(BB_Switch=1,IF(_xll.BDP($D34,$D$30, "EQY_FUND_RELATIVE_PERIOD", K$3)="#N/A N/A","NA  ",(_xll.BDP($D34,$D$30, "EQY_FUND_RELATIVE_PERIOD", K$3))),K34),"NA ")</f>
        <v>1.0769043428076757</v>
      </c>
      <c r="L34" s="244">
        <f ca="1">IFERROR(IF(BB_Switch=1,IF(_xll.BDP($D34,$D$30, "EQY_FUND_RELATIVE_PERIOD", L$3)="#N/A N/A","NA  ",(_xll.BDP($D34,$D$30, "EQY_FUND_RELATIVE_PERIOD", L$3))),L34),"NA ")</f>
        <v>0.91787952952016238</v>
      </c>
      <c r="M34" s="244">
        <f ca="1">IFERROR(IF(BB_Switch=1,IF(_xll.BDP($D34,$D$30, "EQY_FUND_RELATIVE_PERIOD", M$3)="#N/A N/A","NA  ",(_xll.BDP($D34,$D$30, "EQY_FUND_RELATIVE_PERIOD", M$3))),M34),"NA ")</f>
        <v>1.0573831968420431</v>
      </c>
      <c r="N34" s="244">
        <f ca="1">IFERROR(IF(BB_Switch=1,IF(_xll.BDP($D34,$D$30, "EQY_FUND_RELATIVE_PERIOD", N$3)="#N/A N/A","NA  ",(_xll.BDP($D34,$D$30, "EQY_FUND_RELATIVE_PERIOD", N$3))),N34),"NA ")</f>
        <v>1.0531453176428152</v>
      </c>
      <c r="O34" s="244">
        <f ca="1">IFERROR(IF(BB_Switch=1,IF(_xll.BDP($D34,$D$30, "EQY_FUND_RELATIVE_PERIOD", O$3)="#N/A N/A","NA  ",(_xll.BDP($D34,$D$30, "EQY_FUND_RELATIVE_PERIOD", O$3))),O34),"NA ")</f>
        <v>1.0178964752512623</v>
      </c>
      <c r="P34" s="257">
        <f ca="1">IFERROR(IF(BB_Switch=1,IF(_xll.BDP($D34,$F$30, "BEST_FPERIOD_OVERRIDE", P$3)="#N/A N/A","NA  ",(_xll.BDP($D34,$F$30, "BEST_FPERIOD_OVERRIDE", P$3))),P34),"NM ")</f>
        <v>0.85963270101240452</v>
      </c>
      <c r="Q34" s="257">
        <f ca="1">IFERROR(IF(BB_Switch=1,IF(_xll.BDP($D34,$F$30, "BEST_FPERIOD_OVERRIDE", Q$3)="#N/A N/A","NA  ",(_xll.BDP($D34,$F$30, "BEST_FPERIOD_OVERRIDE", Q$3))),Q34),"NM ")</f>
        <v>0.84470350564468211</v>
      </c>
      <c r="R34" s="257">
        <f ca="1">IFERROR(IF(BB_Switch=1,IF(_xll.BDP($D34,$F$30, "BEST_FPERIOD_OVERRIDE", R$3)="#N/A N/A","NA  ",(_xll.BDP($D34,$F$30, "BEST_FPERIOD_OVERRIDE", R$3))),R34),"NM ")</f>
        <v>0.83549357368305543</v>
      </c>
      <c r="S34" s="257">
        <f ca="1">IFERROR(IF(BB_Switch=1,IF(_xll.BDP($D34,$F$30, "BEST_FPERIOD_OVERRIDE", S$3)="#N/A N/A","NA  ",(_xll.BDP($D34,$F$30, "BEST_FPERIOD_OVERRIDE", S$3))),S34),"NM ")</f>
        <v>0.82904820990870465</v>
      </c>
      <c r="T34" s="257">
        <f ca="1">IFERROR(IF(BB_Switch=1,IF(_xll.BDP($D34,$F$30, "BEST_FPERIOD_OVERRIDE", T$3)="#N/A N/A","NA  ",(_xll.BDP($D34,$F$30, "BEST_FPERIOD_OVERRIDE", T$3))),T34),"NM ")</f>
        <v>0.8192023302452951</v>
      </c>
      <c r="U34" s="227"/>
      <c r="V34" s="244">
        <f ca="1">IFERROR(IF(BB_Switch=1,IF(_xll.BDP($D34,$D$30, "EQY_FUND_RELATIVE_PERIOD", V$3)="#N/A N/A","NA  ",(_xll.BDP($D34,$D$30, "EQY_FUND_RELATIVE_PERIOD", V$3))),V34),"NA ")</f>
        <v>1.0532622036446182</v>
      </c>
      <c r="W34" s="244">
        <f ca="1">IFERROR(IF(BB_Switch=1,IF(_xll.BDP($D34,$D$30, "EQY_FUND_RELATIVE_PERIOD", W$3)="#N/A N/A","NA  ",(_xll.BDP($D34,$D$30, "EQY_FUND_RELATIVE_PERIOD", W$3))),W34),"NA ")</f>
        <v>0.9206899189230533</v>
      </c>
      <c r="X34" s="244">
        <f ca="1">IFERROR(IF(BB_Switch=1,IF(_xll.BDP($D34,$D$30, "EQY_FUND_RELATIVE_PERIOD", X$3)="#N/A N/A","NA  ",(_xll.BDP($D34,$D$30, "EQY_FUND_RELATIVE_PERIOD", X$3))),X34),"NA ")</f>
        <v>1.0436297889870463</v>
      </c>
      <c r="Y34" s="244">
        <f ca="1">IFERROR(IF(BB_Switch=1,IF(_xll.BDP($D34,$D$30, "EQY_FUND_RELATIVE_PERIOD", Y$3)="#N/A N/A","NA  ",(_xll.BDP($D34,$D$30, "EQY_FUND_RELATIVE_PERIOD", Y$3))),Y34),"NA ")</f>
        <v>1.0631769383697813</v>
      </c>
      <c r="Z34" s="244">
        <f ca="1">IFERROR(IF(BB_Switch=1,IF(_xll.BDP($D34,$D$30, "EQY_FUND_RELATIVE_PERIOD", Z$3)="#N/A N/A","NA  ",(_xll.BDP($D34,$D$30, "EQY_FUND_RELATIVE_PERIOD", Z$3))),Z34),"NA ")</f>
        <v>0.97300464037122991</v>
      </c>
      <c r="AA34" s="244">
        <f ca="1">IFERROR(IF(BB_Switch=1,IF(_xll.BDP($D34,$D$30, "EQY_FUND_RELATIVE_PERIOD", AA$3)="#N/A N/A","NA  ",(_xll.BDP($D34,$D$30, "EQY_FUND_RELATIVE_PERIOD", AA$3))),AA34),"NA ")</f>
        <v>2.2208961603139015</v>
      </c>
      <c r="AB34" s="244">
        <f ca="1">IFERROR(IF(BB_Switch=1,IF(_xll.BDP($D34,$D$30, "EQY_FUND_RELATIVE_PERIOD", AB$3)="#N/A N/A","NA  ",(_xll.BDP($D34,$D$30, "EQY_FUND_RELATIVE_PERIOD", AB$3))),AB34),"NA ")</f>
        <v>1.3816513530068821</v>
      </c>
      <c r="AC34" s="244">
        <f ca="1">IFERROR(IF(BB_Switch=1,IF(_xll.BDP($D34,$D$30, "EQY_FUND_RELATIVE_PERIOD", AC$3)="#N/A N/A","NA  ",(_xll.BDP($D34,$D$30, "EQY_FUND_RELATIVE_PERIOD", AC$3))),AC34),"NA ")</f>
        <v>1.4898567417522814</v>
      </c>
      <c r="AD34" s="244">
        <f ca="1">IFERROR(IF(BB_Switch=1,IF(_xll.BDP($D34,$D$30, "EQY_FUND_RELATIVE_PERIOD", AD$3)="#N/A N/A","NA  ",(_xll.BDP($D34,$D$30, "EQY_FUND_RELATIVE_PERIOD", AD$3))),AD34),"NA ")</f>
        <v>0.91787952952016238</v>
      </c>
      <c r="AE34" s="244">
        <f ca="1">IFERROR(IF(BB_Switch=1,IF(_xll.BDP($D34,$D$30, "EQY_FUND_RELATIVE_PERIOD", AE$3)="#N/A N/A","NA  ",(_xll.BDP($D34,$D$30, "EQY_FUND_RELATIVE_PERIOD", AE$3))),AE34),"NA ")</f>
        <v>1.0184819967266774</v>
      </c>
      <c r="AF34" s="235">
        <f t="shared" ca="1" si="10"/>
        <v>1.2082529271615632</v>
      </c>
      <c r="AG34" s="244">
        <f t="shared" ca="1" si="11"/>
        <v>0.81435774997708665</v>
      </c>
      <c r="AH34" s="257">
        <f ca="1">IFERROR(IF(BB_Switch=1,IF(_xll.BDP($D34,$F$30, "BEST_FPERIOD_OVERRIDE", AH$3)="#N/A N/A","NA  ",(_xll.BDP($D34,$F$30, "BEST_FPERIOD_OVERRIDE", AH$3))),AH34),"NM ")</f>
        <v>0.84168341893851373</v>
      </c>
      <c r="AI34" s="257">
        <f ca="1">IFERROR(IF(BB_Switch=1,IF(_xll.BDP($D34,$F$30, "BEST_FPERIOD_OVERRIDE", AI$3)="#N/A N/A","NA  ",(_xll.BDP($D34,$F$30, "BEST_FPERIOD_OVERRIDE", AI$3))),AI34),"NM ")</f>
        <v>0.77369750120508141</v>
      </c>
      <c r="AJ34" s="257">
        <f ca="1">IFERROR(IF(BB_Switch=1,IF(_xll.BDP($D34,$F$30, "BEST_FPERIOD_OVERRIDE", AJ$3)="#N/A N/A","NA  ",(_xll.BDP($D34,$F$30, "BEST_FPERIOD_OVERRIDE", AJ$3))),AJ34),"NM ")</f>
        <v>0.76703036842916594</v>
      </c>
      <c r="AK34" s="238"/>
      <c r="AM34" s="226"/>
    </row>
    <row r="35" spans="3:39" ht="11.25" customHeight="1">
      <c r="C35" s="229" t="str">
        <f ca="1">IFERROR(IF(BB_Switch=1,_xll.BDP($D35,$C$270),C35), "NA ")</f>
        <v>LyondellBasell Industries NV</v>
      </c>
      <c r="D35" s="227" t="str">
        <f t="shared" si="9"/>
        <v>LYB US EQUITY</v>
      </c>
      <c r="E35" s="244">
        <f ca="1">IFERROR(IF(BB_Switch=1,IF(_xll.BDP($D35,$D$30, "EQY_FUND_RELATIVE_PERIOD", E$3)="#N/A N/A","NA  ",(_xll.BDP($D35,$D$30, "EQY_FUND_RELATIVE_PERIOD", E$3))),E35),"NA ")</f>
        <v>1.4294018272419826</v>
      </c>
      <c r="F35" s="244">
        <f ca="1">IFERROR(IF(BB_Switch=1,IF(_xll.BDP($D35,$D$30, "EQY_FUND_RELATIVE_PERIOD", F$3)="#N/A N/A","NA  ",(_xll.BDP($D35,$D$30, "EQY_FUND_RELATIVE_PERIOD", F$3))),F35),"NA ")</f>
        <v>1.27044699409892</v>
      </c>
      <c r="G35" s="244">
        <f ca="1">IFERROR(IF(BB_Switch=1,IF(_xll.BDP($D35,$D$30, "EQY_FUND_RELATIVE_PERIOD", G$3)="#N/A N/A","NA  ",(_xll.BDP($D35,$D$30, "EQY_FUND_RELATIVE_PERIOD", G$3))),G35),"NA ")</f>
        <v>1.3744282954450688</v>
      </c>
      <c r="H35" s="244">
        <f ca="1">IFERROR(IF(BB_Switch=1,IF(_xll.BDP($D35,$D$30, "EQY_FUND_RELATIVE_PERIOD", H$3)="#N/A N/A","NA  ",(_xll.BDP($D35,$D$30, "EQY_FUND_RELATIVE_PERIOD", H$3))),H35),"NA ")</f>
        <v>1.4300130436515484</v>
      </c>
      <c r="I35" s="244">
        <f ca="1">IFERROR(IF(BB_Switch=1,IF(_xll.BDP($D35,$D$30, "EQY_FUND_RELATIVE_PERIOD", I$3)="#N/A N/A","NA  ",(_xll.BDP($D35,$D$30, "EQY_FUND_RELATIVE_PERIOD", I$3))),I35),"NA ")</f>
        <v>1.320879444133888</v>
      </c>
      <c r="J35" s="244">
        <f ca="1">IFERROR(IF(BB_Switch=1,IF(_xll.BDP($D35,$D$30, "EQY_FUND_RELATIVE_PERIOD", J$3)="#N/A N/A","NA  ",(_xll.BDP($D35,$D$30, "EQY_FUND_RELATIVE_PERIOD", J$3))),J35),"NA ")</f>
        <v>1.2784714447573358</v>
      </c>
      <c r="K35" s="244">
        <f ca="1">IFERROR(IF(BB_Switch=1,IF(_xll.BDP($D35,$D$30, "EQY_FUND_RELATIVE_PERIOD", K$3)="#N/A N/A","NA  ",(_xll.BDP($D35,$D$30, "EQY_FUND_RELATIVE_PERIOD", K$3))),K35),"NA ")</f>
        <v>1.1981151164648651</v>
      </c>
      <c r="L35" s="244">
        <f ca="1">IFERROR(IF(BB_Switch=1,IF(_xll.BDP($D35,$D$30, "EQY_FUND_RELATIVE_PERIOD", L$3)="#N/A N/A","NA  ",(_xll.BDP($D35,$D$30, "EQY_FUND_RELATIVE_PERIOD", L$3))),L35),"NA ")</f>
        <v>1.0138686885642498</v>
      </c>
      <c r="M35" s="244">
        <f ca="1">IFERROR(IF(BB_Switch=1,IF(_xll.BDP($D35,$D$30, "EQY_FUND_RELATIVE_PERIOD", M$3)="#N/A N/A","NA  ",(_xll.BDP($D35,$D$30, "EQY_FUND_RELATIVE_PERIOD", M$3))),M35),"NA ")</f>
        <v>1.1040909835654347</v>
      </c>
      <c r="N35" s="244">
        <f ca="1">IFERROR(IF(BB_Switch=1,IF(_xll.BDP($D35,$D$30, "EQY_FUND_RELATIVE_PERIOD", N$3)="#N/A N/A","NA  ",(_xll.BDP($D35,$D$30, "EQY_FUND_RELATIVE_PERIOD", N$3))),N35),"NA ")</f>
        <v>1.1583271704864748</v>
      </c>
      <c r="O35" s="244">
        <f ca="1">IFERROR(IF(BB_Switch=1,IF(_xll.BDP($D35,$D$30, "EQY_FUND_RELATIVE_PERIOD", O$3)="#N/A N/A","NA  ",(_xll.BDP($D35,$D$30, "EQY_FUND_RELATIVE_PERIOD", O$3))),O35),"NA ")</f>
        <v>1.2148826407441282</v>
      </c>
      <c r="P35" s="257">
        <f ca="1">IFERROR(IF(BB_Switch=1,IF(_xll.BDP($D35,$F$30, "BEST_FPERIOD_OVERRIDE", P$3)="#N/A N/A","NA  ",(_xll.BDP($D35,$F$30, "BEST_FPERIOD_OVERRIDE", P$3))),P35),"NM ")</f>
        <v>0.73096756618426084</v>
      </c>
      <c r="Q35" s="257">
        <f ca="1">IFERROR(IF(BB_Switch=1,IF(_xll.BDP($D35,$F$30, "BEST_FPERIOD_OVERRIDE", Q$3)="#N/A N/A","NA  ",(_xll.BDP($D35,$F$30, "BEST_FPERIOD_OVERRIDE", Q$3))),Q35),"NM ")</f>
        <v>0.73731253607120073</v>
      </c>
      <c r="R35" s="257">
        <f ca="1">IFERROR(IF(BB_Switch=1,IF(_xll.BDP($D35,$F$30, "BEST_FPERIOD_OVERRIDE", R$3)="#N/A N/A","NA  ",(_xll.BDP($D35,$F$30, "BEST_FPERIOD_OVERRIDE", R$3))),R35),"NM ")</f>
        <v>0.72933885806091214</v>
      </c>
      <c r="S35" s="257">
        <f ca="1">IFERROR(IF(BB_Switch=1,IF(_xll.BDP($D35,$F$30, "BEST_FPERIOD_OVERRIDE", S$3)="#N/A N/A","NA  ",(_xll.BDP($D35,$F$30, "BEST_FPERIOD_OVERRIDE", S$3))),S35),"NM ")</f>
        <v>0.71676319797590615</v>
      </c>
      <c r="T35" s="257">
        <f ca="1">IFERROR(IF(BB_Switch=1,IF(_xll.BDP($D35,$F$30, "BEST_FPERIOD_OVERRIDE", T$3)="#N/A N/A","NA  ",(_xll.BDP($D35,$F$30, "BEST_FPERIOD_OVERRIDE", T$3))),T35),"NM ")</f>
        <v>0.73071659854079241</v>
      </c>
      <c r="U35" s="227"/>
      <c r="V35" s="244">
        <f ca="1">IFERROR(IF(BB_Switch=1,IF(_xll.BDP($D35,$D$30, "EQY_FUND_RELATIVE_PERIOD", V$3)="#N/A N/A","NA  ",(_xll.BDP($D35,$D$30, "EQY_FUND_RELATIVE_PERIOD", V$3))),V35),"NA ")</f>
        <v>0.51861784263808897</v>
      </c>
      <c r="W35" s="244">
        <f ca="1">IFERROR(IF(BB_Switch=1,IF(_xll.BDP($D35,$D$30, "EQY_FUND_RELATIVE_PERIOD", W$3)="#N/A N/A","NA  ",(_xll.BDP($D35,$D$30, "EQY_FUND_RELATIVE_PERIOD", W$3))),W35),"NA ")</f>
        <v>0.44660648750575938</v>
      </c>
      <c r="X35" s="244">
        <f ca="1">IFERROR(IF(BB_Switch=1,IF(_xll.BDP($D35,$D$30, "EQY_FUND_RELATIVE_PERIOD", X$3)="#N/A N/A","NA  ",(_xll.BDP($D35,$D$30, "EQY_FUND_RELATIVE_PERIOD", X$3))),X35),"NA ")</f>
        <v>0.76175520190531854</v>
      </c>
      <c r="Y35" s="244">
        <f ca="1">IFERROR(IF(BB_Switch=1,IF(_xll.BDP($D35,$D$30, "EQY_FUND_RELATIVE_PERIOD", Y$3)="#N/A N/A","NA  ",(_xll.BDP($D35,$D$30, "EQY_FUND_RELATIVE_PERIOD", Y$3))),Y35),"NA ")</f>
        <v>1.0321955834651173</v>
      </c>
      <c r="Z35" s="244">
        <f ca="1">IFERROR(IF(BB_Switch=1,IF(_xll.BDP($D35,$D$30, "EQY_FUND_RELATIVE_PERIOD", Z$3)="#N/A N/A","NA  ",(_xll.BDP($D35,$D$30, "EQY_FUND_RELATIVE_PERIOD", Z$3))),Z35),"NA ")</f>
        <v>0.94526181426021749</v>
      </c>
      <c r="AA35" s="244">
        <f ca="1">IFERROR(IF(BB_Switch=1,IF(_xll.BDP($D35,$D$30, "EQY_FUND_RELATIVE_PERIOD", AA$3)="#N/A N/A","NA  ",(_xll.BDP($D35,$D$30, "EQY_FUND_RELATIVE_PERIOD", AA$3))),AA35),"NA ")</f>
        <v>1.3536899647502671</v>
      </c>
      <c r="AB35" s="244">
        <f ca="1">IFERROR(IF(BB_Switch=1,IF(_xll.BDP($D35,$D$30, "EQY_FUND_RELATIVE_PERIOD", AB$3)="#N/A N/A","NA  ",(_xll.BDP($D35,$D$30, "EQY_FUND_RELATIVE_PERIOD", AB$3))),AB35),"NA ")</f>
        <v>1.4269641323092213</v>
      </c>
      <c r="AC35" s="244">
        <f ca="1">IFERROR(IF(BB_Switch=1,IF(_xll.BDP($D35,$D$30, "EQY_FUND_RELATIVE_PERIOD", AC$3)="#N/A N/A","NA  ",(_xll.BDP($D35,$D$30, "EQY_FUND_RELATIVE_PERIOD", AC$3))),AC35),"NA ")</f>
        <v>1.4300130436515484</v>
      </c>
      <c r="AD35" s="244">
        <f ca="1">IFERROR(IF(BB_Switch=1,IF(_xll.BDP($D35,$D$30, "EQY_FUND_RELATIVE_PERIOD", AD$3)="#N/A N/A","NA  ",(_xll.BDP($D35,$D$30, "EQY_FUND_RELATIVE_PERIOD", AD$3))),AD35),"NA ")</f>
        <v>1.0138686885642498</v>
      </c>
      <c r="AE35" s="244">
        <f ca="1">IFERROR(IF(BB_Switch=1,IF(_xll.BDP($D35,$D$30, "EQY_FUND_RELATIVE_PERIOD", AE$3)="#N/A N/A","NA  ",(_xll.BDP($D35,$D$30, "EQY_FUND_RELATIVE_PERIOD", AE$3))),AE35),"NA ")</f>
        <v>1.2710253090056729</v>
      </c>
      <c r="AF35" s="235">
        <f t="shared" ca="1" si="10"/>
        <v>1.0837101756166334</v>
      </c>
      <c r="AG35" s="244">
        <f t="shared" ca="1" si="11"/>
        <v>0.698968109004521</v>
      </c>
      <c r="AH35" s="257">
        <f ca="1">IFERROR(IF(BB_Switch=1,IF(_xll.BDP($D35,$F$30, "BEST_FPERIOD_OVERRIDE", AH$3)="#N/A N/A","NA  ",(_xll.BDP($D35,$F$30, "BEST_FPERIOD_OVERRIDE", AH$3))),AH35),"NM ")</f>
        <v>0.74695692735504349</v>
      </c>
      <c r="AI35" s="257">
        <f ca="1">IFERROR(IF(BB_Switch=1,IF(_xll.BDP($D35,$F$30, "BEST_FPERIOD_OVERRIDE", AI$3)="#N/A N/A","NA  ",(_xll.BDP($D35,$F$30, "BEST_FPERIOD_OVERRIDE", AI$3))),AI35),"NM ")</f>
        <v>0.72977120488737635</v>
      </c>
      <c r="AJ35" s="257">
        <f ca="1">IFERROR(IF(BB_Switch=1,IF(_xll.BDP($D35,$F$30, "BEST_FPERIOD_OVERRIDE", AJ$3)="#N/A N/A","NA  ",(_xll.BDP($D35,$F$30, "BEST_FPERIOD_OVERRIDE", AJ$3))),AJ35),"NM ")</f>
        <v>0.71557168547760452</v>
      </c>
      <c r="AK35" s="238"/>
      <c r="AM35" s="226"/>
    </row>
    <row r="36" spans="3:39" ht="11.25" customHeight="1">
      <c r="C36" s="229" t="str">
        <f ca="1">IFERROR(IF(BB_Switch=1,_xll.BDP($D36,$C$270),C36), "NA ")</f>
        <v>Westlake Chemical Corp</v>
      </c>
      <c r="D36" s="227" t="str">
        <f t="shared" si="9"/>
        <v>WLK US EQUITY</v>
      </c>
      <c r="E36" s="244">
        <f ca="1">IFERROR(IF(BB_Switch=1,IF(_xll.BDP($D36,$D$30, "EQY_FUND_RELATIVE_PERIOD", E$3)="#N/A N/A","NA  ",(_xll.BDP($D36,$D$30, "EQY_FUND_RELATIVE_PERIOD", E$3))),E36),"NA ")</f>
        <v>2.0063455222721154</v>
      </c>
      <c r="F36" s="244">
        <f ca="1">IFERROR(IF(BB_Switch=1,IF(_xll.BDP($D36,$D$30, "EQY_FUND_RELATIVE_PERIOD", F$3)="#N/A N/A","NA  ",(_xll.BDP($D36,$D$30, "EQY_FUND_RELATIVE_PERIOD", F$3))),F36),"NA ")</f>
        <v>1.7309135848535453</v>
      </c>
      <c r="G36" s="244">
        <f ca="1">IFERROR(IF(BB_Switch=1,IF(_xll.BDP($D36,$D$30, "EQY_FUND_RELATIVE_PERIOD", G$3)="#N/A N/A","NA  ",(_xll.BDP($D36,$D$30, "EQY_FUND_RELATIVE_PERIOD", G$3))),G36),"NA ")</f>
        <v>1.7872125999108506</v>
      </c>
      <c r="H36" s="244">
        <f ca="1">IFERROR(IF(BB_Switch=1,IF(_xll.BDP($D36,$D$30, "EQY_FUND_RELATIVE_PERIOD", H$3)="#N/A N/A","NA  ",(_xll.BDP($D36,$D$30, "EQY_FUND_RELATIVE_PERIOD", H$3))),H36),"NA ")</f>
        <v>2.062921693526925</v>
      </c>
      <c r="I36" s="244">
        <f ca="1">IFERROR(IF(BB_Switch=1,IF(_xll.BDP($D36,$D$30, "EQY_FUND_RELATIVE_PERIOD", I$3)="#N/A N/A","NA  ",(_xll.BDP($D36,$D$30, "EQY_FUND_RELATIVE_PERIOD", I$3))),I36),"NA ")</f>
        <v>2.0829696866149372</v>
      </c>
      <c r="J36" s="244">
        <f ca="1">IFERROR(IF(BB_Switch=1,IF(_xll.BDP($D36,$D$30, "EQY_FUND_RELATIVE_PERIOD", J$3)="#N/A N/A","NA  ",(_xll.BDP($D36,$D$30, "EQY_FUND_RELATIVE_PERIOD", J$3))),J36),"NA ")</f>
        <v>1.9546570228657101</v>
      </c>
      <c r="K36" s="244">
        <f ca="1">IFERROR(IF(BB_Switch=1,IF(_xll.BDP($D36,$D$30, "EQY_FUND_RELATIVE_PERIOD", K$3)="#N/A N/A","NA  ",(_xll.BDP($D36,$D$30, "EQY_FUND_RELATIVE_PERIOD", K$3))),K36),"NA ")</f>
        <v>1.514441745868208</v>
      </c>
      <c r="L36" s="244">
        <f ca="1">IFERROR(IF(BB_Switch=1,IF(_xll.BDP($D36,$D$30, "EQY_FUND_RELATIVE_PERIOD", L$3)="#N/A N/A","NA  ",(_xll.BDP($D36,$D$30, "EQY_FUND_RELATIVE_PERIOD", L$3))),L36),"NA ")</f>
        <v>1.2625065933236828</v>
      </c>
      <c r="M36" s="244">
        <f ca="1">IFERROR(IF(BB_Switch=1,IF(_xll.BDP($D36,$D$30, "EQY_FUND_RELATIVE_PERIOD", M$3)="#N/A N/A","NA  ",(_xll.BDP($D36,$D$30, "EQY_FUND_RELATIVE_PERIOD", M$3))),M36),"NA ")</f>
        <v>1.3992096302021151</v>
      </c>
      <c r="N36" s="244">
        <f ca="1">IFERROR(IF(BB_Switch=1,IF(_xll.BDP($D36,$D$30, "EQY_FUND_RELATIVE_PERIOD", N$3)="#N/A N/A","NA  ",(_xll.BDP($D36,$D$30, "EQY_FUND_RELATIVE_PERIOD", N$3))),N36),"NA ")</f>
        <v>1.4365775840836204</v>
      </c>
      <c r="O36" s="244">
        <f ca="1">IFERROR(IF(BB_Switch=1,IF(_xll.BDP($D36,$D$30, "EQY_FUND_RELATIVE_PERIOD", O$3)="#N/A N/A","NA  ",(_xll.BDP($D36,$D$30, "EQY_FUND_RELATIVE_PERIOD", O$3))),O36),"NA ")</f>
        <v>1.3781874018274605</v>
      </c>
      <c r="P36" s="257">
        <f ca="1">IFERROR(IF(BB_Switch=1,IF(_xll.BDP($D36,$F$30, "BEST_FPERIOD_OVERRIDE", P$3)="#N/A N/A","NA  ",(_xll.BDP($D36,$F$30, "BEST_FPERIOD_OVERRIDE", P$3))),P36),"NM ")</f>
        <v>0.93499073697393942</v>
      </c>
      <c r="Q36" s="257">
        <f ca="1">IFERROR(IF(BB_Switch=1,IF(_xll.BDP($D36,$F$30, "BEST_FPERIOD_OVERRIDE", Q$3)="#N/A N/A","NA  ",(_xll.BDP($D36,$F$30, "BEST_FPERIOD_OVERRIDE", Q$3))),Q36),"NM ")</f>
        <v>0.92982054546752224</v>
      </c>
      <c r="R36" s="257">
        <f ca="1">IFERROR(IF(BB_Switch=1,IF(_xll.BDP($D36,$F$30, "BEST_FPERIOD_OVERRIDE", R$3)="#N/A N/A","NA  ",(_xll.BDP($D36,$F$30, "BEST_FPERIOD_OVERRIDE", R$3))),R36),"NM ")</f>
        <v>0.93217614565250728</v>
      </c>
      <c r="S36" s="257">
        <f ca="1">IFERROR(IF(BB_Switch=1,IF(_xll.BDP($D36,$F$30, "BEST_FPERIOD_OVERRIDE", S$3)="#N/A N/A","NA  ",(_xll.BDP($D36,$F$30, "BEST_FPERIOD_OVERRIDE", S$3))),S36),"NM ")</f>
        <v>0.94314197358209406</v>
      </c>
      <c r="T36" s="257">
        <f ca="1">IFERROR(IF(BB_Switch=1,IF(_xll.BDP($D36,$F$30, "BEST_FPERIOD_OVERRIDE", T$3)="#N/A N/A","NA  ",(_xll.BDP($D36,$F$30, "BEST_FPERIOD_OVERRIDE", T$3))),T36),"NM ")</f>
        <v>0.9583802745053247</v>
      </c>
      <c r="U36" s="227"/>
      <c r="V36" s="244">
        <f ca="1">IFERROR(IF(BB_Switch=1,IF(_xll.BDP($D36,$D$30, "EQY_FUND_RELATIVE_PERIOD", V$3)="#N/A N/A","NA  ",(_xll.BDP($D36,$D$30, "EQY_FUND_RELATIVE_PERIOD", V$3))),V36),"NA ")</f>
        <v>0.95035939666818747</v>
      </c>
      <c r="W36" s="244">
        <f ca="1">IFERROR(IF(BB_Switch=1,IF(_xll.BDP($D36,$D$30, "EQY_FUND_RELATIVE_PERIOD", W$3)="#N/A N/A","NA  ",(_xll.BDP($D36,$D$30, "EQY_FUND_RELATIVE_PERIOD", W$3))),W36),"NA ")</f>
        <v>0.72343446966833991</v>
      </c>
      <c r="X36" s="244">
        <f ca="1">IFERROR(IF(BB_Switch=1,IF(_xll.BDP($D36,$D$30, "EQY_FUND_RELATIVE_PERIOD", X$3)="#N/A N/A","NA  ",(_xll.BDP($D36,$D$30, "EQY_FUND_RELATIVE_PERIOD", X$3))),X36),"NA ")</f>
        <v>1.4433316694767715</v>
      </c>
      <c r="Y36" s="244">
        <f ca="1">IFERROR(IF(BB_Switch=1,IF(_xll.BDP($D36,$D$30, "EQY_FUND_RELATIVE_PERIOD", Y$3)="#N/A N/A","NA  ",(_xll.BDP($D36,$D$30, "EQY_FUND_RELATIVE_PERIOD", Y$3))),Y36),"NA ")</f>
        <v>2.1813687466178866</v>
      </c>
      <c r="Z36" s="244">
        <f ca="1">IFERROR(IF(BB_Switch=1,IF(_xll.BDP($D36,$D$30, "EQY_FUND_RELATIVE_PERIOD", Z$3)="#N/A N/A","NA  ",(_xll.BDP($D36,$D$30, "EQY_FUND_RELATIVE_PERIOD", Z$3))),Z36),"NA ")</f>
        <v>1.8780200515519718</v>
      </c>
      <c r="AA36" s="244">
        <f ca="1">IFERROR(IF(BB_Switch=1,IF(_xll.BDP($D36,$D$30, "EQY_FUND_RELATIVE_PERIOD", AA$3)="#N/A N/A","NA  ",(_xll.BDP($D36,$D$30, "EQY_FUND_RELATIVE_PERIOD", AA$3))),AA36),"NA ")</f>
        <v>1.5560093514626727</v>
      </c>
      <c r="AB36" s="244">
        <f ca="1">IFERROR(IF(BB_Switch=1,IF(_xll.BDP($D36,$D$30, "EQY_FUND_RELATIVE_PERIOD", AB$3)="#N/A N/A","NA  ",(_xll.BDP($D36,$D$30, "EQY_FUND_RELATIVE_PERIOD", AB$3))),AB36),"NA ")</f>
        <v>2.1288668081107169</v>
      </c>
      <c r="AC36" s="244">
        <f ca="1">IFERROR(IF(BB_Switch=1,IF(_xll.BDP($D36,$D$30, "EQY_FUND_RELATIVE_PERIOD", AC$3)="#N/A N/A","NA  ",(_xll.BDP($D36,$D$30, "EQY_FUND_RELATIVE_PERIOD", AC$3))),AC36),"NA ")</f>
        <v>2.062921693526925</v>
      </c>
      <c r="AD36" s="244">
        <f ca="1">IFERROR(IF(BB_Switch=1,IF(_xll.BDP($D36,$D$30, "EQY_FUND_RELATIVE_PERIOD", AD$3)="#N/A N/A","NA  ",(_xll.BDP($D36,$D$30, "EQY_FUND_RELATIVE_PERIOD", AD$3))),AD36),"NA ")</f>
        <v>1.2625065933236828</v>
      </c>
      <c r="AE36" s="244">
        <f ca="1">IFERROR(IF(BB_Switch=1,IF(_xll.BDP($D36,$D$30, "EQY_FUND_RELATIVE_PERIOD", AE$3)="#N/A N/A","NA  ",(_xll.BDP($D36,$D$30, "EQY_FUND_RELATIVE_PERIOD", AE$3))),AE36),"NA ")</f>
        <v>1.5661729102796256</v>
      </c>
      <c r="AF36" s="235">
        <f t="shared" ca="1" si="10"/>
        <v>1.575299169068678</v>
      </c>
      <c r="AG36" s="244">
        <f t="shared" ca="1" si="11"/>
        <v>0.92918102144740089</v>
      </c>
      <c r="AH36" s="257">
        <f ca="1">IFERROR(IF(BB_Switch=1,IF(_xll.BDP($D36,$F$30, "BEST_FPERIOD_OVERRIDE", AH$3)="#N/A N/A","NA  ",(_xll.BDP($D36,$F$30, "BEST_FPERIOD_OVERRIDE", AH$3))),AH36),"NM ")</f>
        <v>0.93186222048334932</v>
      </c>
      <c r="AI36" s="257">
        <f ca="1">IFERROR(IF(BB_Switch=1,IF(_xll.BDP($D36,$F$30, "BEST_FPERIOD_OVERRIDE", AI$3)="#N/A N/A","NA  ",(_xll.BDP($D36,$F$30, "BEST_FPERIOD_OVERRIDE", AI$3))),AI36),"NM ")</f>
        <v>0.9093709515523255</v>
      </c>
      <c r="AJ36" s="257">
        <f ca="1">IFERROR(IF(BB_Switch=1,IF(_xll.BDP($D36,$F$30, "BEST_FPERIOD_OVERRIDE", AJ$3)="#N/A N/A","NA  ",(_xll.BDP($D36,$F$30, "BEST_FPERIOD_OVERRIDE", AJ$3))),AJ36),"NM ")</f>
        <v>0.87470631366054741</v>
      </c>
      <c r="AK36" s="238"/>
      <c r="AM36" s="226"/>
    </row>
    <row r="37" spans="3:39" ht="11.25" customHeight="1">
      <c r="C37" s="229" t="str">
        <f ca="1">IFERROR(IF(BB_Switch=1,_xll.BDP($D37,$C$270),C37), "NA ")</f>
        <v>Kraton Corp</v>
      </c>
      <c r="D37" s="227" t="str">
        <f t="shared" si="9"/>
        <v>KRA US EQUITY</v>
      </c>
      <c r="E37" s="244">
        <f ca="1">IFERROR(IF(BB_Switch=1,IF(_xll.BDP($D37,$D$30, "EQY_FUND_RELATIVE_PERIOD", E$3)="#N/A N/A","NA  ",(_xll.BDP($D37,$D$30, "EQY_FUND_RELATIVE_PERIOD", E$3))),E37),"NA ")</f>
        <v>1.5000050047522704</v>
      </c>
      <c r="F37" s="244">
        <f ca="1">IFERROR(IF(BB_Switch=1,IF(_xll.BDP($D37,$D$30, "EQY_FUND_RELATIVE_PERIOD", F$3)="#N/A N/A","NA  ",(_xll.BDP($D37,$D$30, "EQY_FUND_RELATIVE_PERIOD", F$3))),F37),"NA ")</f>
        <v>1.5040100767575635</v>
      </c>
      <c r="G37" s="244">
        <f ca="1">IFERROR(IF(BB_Switch=1,IF(_xll.BDP($D37,$D$30, "EQY_FUND_RELATIVE_PERIOD", G$3)="#N/A N/A","NA  ",(_xll.BDP($D37,$D$30, "EQY_FUND_RELATIVE_PERIOD", G$3))),G37),"NA ")</f>
        <v>1.5210025861604026</v>
      </c>
      <c r="H37" s="244">
        <f ca="1">IFERROR(IF(BB_Switch=1,IF(_xll.BDP($D37,$D$30, "EQY_FUND_RELATIVE_PERIOD", H$3)="#N/A N/A","NA  ",(_xll.BDP($D37,$D$30, "EQY_FUND_RELATIVE_PERIOD", H$3))),H37),"NA ")</f>
        <v>1.5716111871174814</v>
      </c>
      <c r="I37" s="244">
        <f ca="1">IFERROR(IF(BB_Switch=1,IF(_xll.BDP($D37,$D$30, "EQY_FUND_RELATIVE_PERIOD", I$3)="#N/A N/A","NA  ",(_xll.BDP($D37,$D$30, "EQY_FUND_RELATIVE_PERIOD", I$3))),I37),"NA ")</f>
        <v>1.5490371385428425</v>
      </c>
      <c r="J37" s="244">
        <f ca="1">IFERROR(IF(BB_Switch=1,IF(_xll.BDP($D37,$D$30, "EQY_FUND_RELATIVE_PERIOD", J$3)="#N/A N/A","NA  ",(_xll.BDP($D37,$D$30, "EQY_FUND_RELATIVE_PERIOD", J$3))),J37),"NA ")</f>
        <v>1.5327996772569215</v>
      </c>
      <c r="K37" s="244">
        <f ca="1">IFERROR(IF(BB_Switch=1,IF(_xll.BDP($D37,$D$30, "EQY_FUND_RELATIVE_PERIOD", K$3)="#N/A N/A","NA  ",(_xll.BDP($D37,$D$30, "EQY_FUND_RELATIVE_PERIOD", K$3))),K37),"NA ")</f>
        <v>1.5095718575942598</v>
      </c>
      <c r="L37" s="244">
        <f ca="1">IFERROR(IF(BB_Switch=1,IF(_xll.BDP($D37,$D$30, "EQY_FUND_RELATIVE_PERIOD", L$3)="#N/A N/A","NA  ",(_xll.BDP($D37,$D$30, "EQY_FUND_RELATIVE_PERIOD", L$3))),L37),"NA ")</f>
        <v>1.0818130562839423</v>
      </c>
      <c r="M37" s="244">
        <f ca="1">IFERROR(IF(BB_Switch=1,IF(_xll.BDP($D37,$D$30, "EQY_FUND_RELATIVE_PERIOD", M$3)="#N/A N/A","NA  ",(_xll.BDP($D37,$D$30, "EQY_FUND_RELATIVE_PERIOD", M$3))),M37),"NA ")</f>
        <v>1.3356348546620176</v>
      </c>
      <c r="N37" s="244">
        <f ca="1">IFERROR(IF(BB_Switch=1,IF(_xll.BDP($D37,$D$30, "EQY_FUND_RELATIVE_PERIOD", N$3)="#N/A N/A","NA  ",(_xll.BDP($D37,$D$30, "EQY_FUND_RELATIVE_PERIOD", N$3))),N37),"NA ")</f>
        <v>1.3374918585920266</v>
      </c>
      <c r="O37" s="244">
        <f ca="1">IFERROR(IF(BB_Switch=1,IF(_xll.BDP($D37,$D$30, "EQY_FUND_RELATIVE_PERIOD", O$3)="#N/A N/A","NA  ",(_xll.BDP($D37,$D$30, "EQY_FUND_RELATIVE_PERIOD", O$3))),O37),"NA ")</f>
        <v>1.3695654812753735</v>
      </c>
      <c r="P37" s="257">
        <f ca="1">IFERROR(IF(BB_Switch=1,IF(_xll.BDP($D37,$F$30, "BEST_FPERIOD_OVERRIDE", P$3)="#N/A N/A","NA  ",(_xll.BDP($D37,$F$30, "BEST_FPERIOD_OVERRIDE", P$3))),P37),"NM ")</f>
        <v>1.0508142244022072</v>
      </c>
      <c r="Q37" s="257">
        <f ca="1">IFERROR(IF(BB_Switch=1,IF(_xll.BDP($D37,$F$30, "BEST_FPERIOD_OVERRIDE", Q$3)="#N/A N/A","NA  ",(_xll.BDP($D37,$F$30, "BEST_FPERIOD_OVERRIDE", Q$3))),Q37),"NM ")</f>
        <v>1.0577861441135628</v>
      </c>
      <c r="R37" s="257">
        <f ca="1">IFERROR(IF(BB_Switch=1,IF(_xll.BDP($D37,$F$30, "BEST_FPERIOD_OVERRIDE", R$3)="#N/A N/A","NA  ",(_xll.BDP($D37,$F$30, "BEST_FPERIOD_OVERRIDE", R$3))),R37),"NM ")</f>
        <v>1.09688192</v>
      </c>
      <c r="S37" s="257">
        <f ca="1">IFERROR(IF(BB_Switch=1,IF(_xll.BDP($D37,$F$30, "BEST_FPERIOD_OVERRIDE", S$3)="#N/A N/A","NA  ",(_xll.BDP($D37,$F$30, "BEST_FPERIOD_OVERRIDE", S$3))),S37),"NM ")</f>
        <v>1.1201816993464051</v>
      </c>
      <c r="T37" s="257">
        <f ca="1">IFERROR(IF(BB_Switch=1,IF(_xll.BDP($D37,$F$30, "BEST_FPERIOD_OVERRIDE", T$3)="#N/A N/A","NA  ",(_xll.BDP($D37,$F$30, "BEST_FPERIOD_OVERRIDE", T$3))),T37),"NM ")</f>
        <v>1.1450663103390679</v>
      </c>
      <c r="U37" s="227"/>
      <c r="V37" s="244">
        <f ca="1">IFERROR(IF(BB_Switch=1,IF(_xll.BDP($D37,$D$30, "EQY_FUND_RELATIVE_PERIOD", V$3)="#N/A N/A","NA  ",(_xll.BDP($D37,$D$30, "EQY_FUND_RELATIVE_PERIOD", V$3))),V37),"NA ")</f>
        <v>1.026880354926023</v>
      </c>
      <c r="W37" s="244">
        <f ca="1">IFERROR(IF(BB_Switch=1,IF(_xll.BDP($D37,$D$30, "EQY_FUND_RELATIVE_PERIOD", W$3)="#N/A N/A","NA  ",(_xll.BDP($D37,$D$30, "EQY_FUND_RELATIVE_PERIOD", W$3))),W37),"NA ")</f>
        <v>0.66462786586795353</v>
      </c>
      <c r="X37" s="244">
        <f ca="1">IFERROR(IF(BB_Switch=1,IF(_xll.BDP($D37,$D$30, "EQY_FUND_RELATIVE_PERIOD", X$3)="#N/A N/A","NA  ",(_xll.BDP($D37,$D$30, "EQY_FUND_RELATIVE_PERIOD", X$3))),X37),"NA ")</f>
        <v>0.70511685575797445</v>
      </c>
      <c r="Y37" s="244">
        <f ca="1">IFERROR(IF(BB_Switch=1,IF(_xll.BDP($D37,$D$30, "EQY_FUND_RELATIVE_PERIOD", Y$3)="#N/A N/A","NA  ",(_xll.BDP($D37,$D$30, "EQY_FUND_RELATIVE_PERIOD", Y$3))),Y37),"NA ")</f>
        <v>0.74902687132242252</v>
      </c>
      <c r="Z37" s="244">
        <f ca="1">IFERROR(IF(BB_Switch=1,IF(_xll.BDP($D37,$D$30, "EQY_FUND_RELATIVE_PERIOD", Z$3)="#N/A N/A","NA  ",(_xll.BDP($D37,$D$30, "EQY_FUND_RELATIVE_PERIOD", Z$3))),Z37),"NA ")</f>
        <v>0.81068086600408151</v>
      </c>
      <c r="AA37" s="244">
        <f ca="1">IFERROR(IF(BB_Switch=1,IF(_xll.BDP($D37,$D$30, "EQY_FUND_RELATIVE_PERIOD", AA$3)="#N/A N/A","NA  ",(_xll.BDP($D37,$D$30, "EQY_FUND_RELATIVE_PERIOD", AA$3))),AA37),"NA ")</f>
        <v>0.85797775234722495</v>
      </c>
      <c r="AB37" s="244">
        <f ca="1">IFERROR(IF(BB_Switch=1,IF(_xll.BDP($D37,$D$30, "EQY_FUND_RELATIVE_PERIOD", AB$3)="#N/A N/A","NA  ",(_xll.BDP($D37,$D$30, "EQY_FUND_RELATIVE_PERIOD", AB$3))),AB37),"NA ")</f>
        <v>1.4516638916027944</v>
      </c>
      <c r="AC37" s="244">
        <f ca="1">IFERROR(IF(BB_Switch=1,IF(_xll.BDP($D37,$D$30, "EQY_FUND_RELATIVE_PERIOD", AC$3)="#N/A N/A","NA  ",(_xll.BDP($D37,$D$30, "EQY_FUND_RELATIVE_PERIOD", AC$3))),AC37),"NA ")</f>
        <v>1.5716111871174814</v>
      </c>
      <c r="AD37" s="244">
        <f ca="1">IFERROR(IF(BB_Switch=1,IF(_xll.BDP($D37,$D$30, "EQY_FUND_RELATIVE_PERIOD", AD$3)="#N/A N/A","NA  ",(_xll.BDP($D37,$D$30, "EQY_FUND_RELATIVE_PERIOD", AD$3))),AD37),"NA ")</f>
        <v>1.0818130562839423</v>
      </c>
      <c r="AE37" s="244">
        <f ca="1">IFERROR(IF(BB_Switch=1,IF(_xll.BDP($D37,$D$30, "EQY_FUND_RELATIVE_PERIOD", AE$3)="#N/A N/A","NA  ",(_xll.BDP($D37,$D$30, "EQY_FUND_RELATIVE_PERIOD", AE$3))),AE37),"NA ")</f>
        <v>1.2519392874006061</v>
      </c>
      <c r="AF37" s="235">
        <f t="shared" ca="1" si="10"/>
        <v>1.0171337988630504</v>
      </c>
      <c r="AG37" s="244">
        <f t="shared" ca="1" si="11"/>
        <v>0.94981375119427891</v>
      </c>
      <c r="AH37" s="257">
        <f ca="1">IFERROR(IF(BB_Switch=1,IF(_xll.BDP($D37,$F$30, "BEST_FPERIOD_OVERRIDE", AH$3)="#N/A N/A","NA  ",(_xll.BDP($D37,$F$30, "BEST_FPERIOD_OVERRIDE", AH$3))),AH37),"NM ")</f>
        <v>1.0576229558778154</v>
      </c>
      <c r="AI37" s="257">
        <f ca="1">IFERROR(IF(BB_Switch=1,IF(_xll.BDP($D37,$F$30, "BEST_FPERIOD_OVERRIDE", AI$3)="#N/A N/A","NA  ",(_xll.BDP($D37,$F$30, "BEST_FPERIOD_OVERRIDE", AI$3))),AI37),"NM ")</f>
        <v>1.0372994401573612</v>
      </c>
      <c r="AJ37" s="257">
        <f ca="1">IFERROR(IF(BB_Switch=1,IF(_xll.BDP($D37,$F$30, "BEST_FPERIOD_OVERRIDE", AJ$3)="#N/A N/A","NA  ",(_xll.BDP($D37,$F$30, "BEST_FPERIOD_OVERRIDE", AJ$3))),AJ37),"NM ")</f>
        <v>1.0799483301827346</v>
      </c>
      <c r="AK37" s="238"/>
      <c r="AM37" s="226"/>
    </row>
    <row r="38" spans="3:39" ht="11.25" customHeight="1">
      <c r="C38" s="229" t="str">
        <f ca="1">IFERROR(IF(BB_Switch=1,_xll.BDP($D38,$C$270),C38), "NA ")</f>
        <v>Dow Inc</v>
      </c>
      <c r="D38" s="227" t="str">
        <f t="shared" si="9"/>
        <v>DOW US EQUITY</v>
      </c>
      <c r="E38" s="244" t="str">
        <f ca="1">IFERROR(IF(BB_Switch=1,IF(_xll.BDP($D38,$D$30, "EQY_FUND_RELATIVE_PERIOD", E$3)="#N/A N/A","NA  ",(_xll.BDP($D38,$D$30, "EQY_FUND_RELATIVE_PERIOD", E$3))),E38),"NA ")</f>
        <v xml:space="preserve">NA  </v>
      </c>
      <c r="F38" s="244" t="str">
        <f ca="1">IFERROR(IF(BB_Switch=1,IF(_xll.BDP($D38,$D$30, "EQY_FUND_RELATIVE_PERIOD", F$3)="#N/A N/A","NA  ",(_xll.BDP($D38,$D$30, "EQY_FUND_RELATIVE_PERIOD", F$3))),F38),"NA ")</f>
        <v xml:space="preserve">NA  </v>
      </c>
      <c r="G38" s="244" t="str">
        <f ca="1">IFERROR(IF(BB_Switch=1,IF(_xll.BDP($D38,$D$30, "EQY_FUND_RELATIVE_PERIOD", G$3)="#N/A N/A","NA  ",(_xll.BDP($D38,$D$30, "EQY_FUND_RELATIVE_PERIOD", G$3))),G38),"NA ")</f>
        <v xml:space="preserve">NA  </v>
      </c>
      <c r="H38" s="244" t="str">
        <f ca="1">IFERROR(IF(BB_Switch=1,IF(_xll.BDP($D38,$D$30, "EQY_FUND_RELATIVE_PERIOD", H$3)="#N/A N/A","NA  ",(_xll.BDP($D38,$D$30, "EQY_FUND_RELATIVE_PERIOD", H$3))),H38),"NA ")</f>
        <v xml:space="preserve">NA  </v>
      </c>
      <c r="I38" s="244" t="str">
        <f ca="1">IFERROR(IF(BB_Switch=1,IF(_xll.BDP($D38,$D$30, "EQY_FUND_RELATIVE_PERIOD", I$3)="#N/A N/A","NA  ",(_xll.BDP($D38,$D$30, "EQY_FUND_RELATIVE_PERIOD", I$3))),I38),"NA ")</f>
        <v xml:space="preserve">NA  </v>
      </c>
      <c r="J38" s="244" t="str">
        <f ca="1">IFERROR(IF(BB_Switch=1,IF(_xll.BDP($D38,$D$30, "EQY_FUND_RELATIVE_PERIOD", J$3)="#N/A N/A","NA  ",(_xll.BDP($D38,$D$30, "EQY_FUND_RELATIVE_PERIOD", J$3))),J38),"NA ")</f>
        <v xml:space="preserve">NA  </v>
      </c>
      <c r="K38" s="244" t="str">
        <f ca="1">IFERROR(IF(BB_Switch=1,IF(_xll.BDP($D38,$D$30, "EQY_FUND_RELATIVE_PERIOD", K$3)="#N/A N/A","NA  ",(_xll.BDP($D38,$D$30, "EQY_FUND_RELATIVE_PERIOD", K$3))),K38),"NA ")</f>
        <v xml:space="preserve">NA  </v>
      </c>
      <c r="L38" s="244" t="str">
        <f ca="1">IFERROR(IF(BB_Switch=1,IF(_xll.BDP($D38,$D$30, "EQY_FUND_RELATIVE_PERIOD", L$3)="#N/A N/A","NA  ",(_xll.BDP($D38,$D$30, "EQY_FUND_RELATIVE_PERIOD", L$3))),L38),"NA ")</f>
        <v xml:space="preserve">NA  </v>
      </c>
      <c r="M38" s="244" t="str">
        <f ca="1">IFERROR(IF(BB_Switch=1,IF(_xll.BDP($D38,$D$30, "EQY_FUND_RELATIVE_PERIOD", M$3)="#N/A N/A","NA  ",(_xll.BDP($D38,$D$30, "EQY_FUND_RELATIVE_PERIOD", M$3))),M38),"NA ")</f>
        <v xml:space="preserve">NA  </v>
      </c>
      <c r="N38" s="244">
        <f ca="1">IFERROR(IF(BB_Switch=1,IF(_xll.BDP($D38,$D$30, "EQY_FUND_RELATIVE_PERIOD", N$3)="#N/A N/A","NA  ",(_xll.BDP($D38,$D$30, "EQY_FUND_RELATIVE_PERIOD", N$3))),N38),"NA ")</f>
        <v>1.1793422591799692</v>
      </c>
      <c r="O38" s="244">
        <f ca="1">IFERROR(IF(BB_Switch=1,IF(_xll.BDP($D38,$D$30, "EQY_FUND_RELATIVE_PERIOD", O$3)="#N/A N/A","NA  ",(_xll.BDP($D38,$D$30, "EQY_FUND_RELATIVE_PERIOD", O$3))),O38),"NA ")</f>
        <v>1.1924153934742276</v>
      </c>
      <c r="P38" s="257">
        <f ca="1">IFERROR(IF(BB_Switch=1,IF(_xll.BDP($D38,$F$30, "BEST_FPERIOD_OVERRIDE", P$3)="#N/A N/A","NA  ",(_xll.BDP($D38,$F$30, "BEST_FPERIOD_OVERRIDE", P$3))),P38),"NM ")</f>
        <v>0.81727886137511985</v>
      </c>
      <c r="Q38" s="257">
        <f ca="1">IFERROR(IF(BB_Switch=1,IF(_xll.BDP($D38,$F$30, "BEST_FPERIOD_OVERRIDE", Q$3)="#N/A N/A","NA  ",(_xll.BDP($D38,$F$30, "BEST_FPERIOD_OVERRIDE", Q$3))),Q38),"NM ")</f>
        <v>0.81128752607403409</v>
      </c>
      <c r="R38" s="257">
        <f ca="1">IFERROR(IF(BB_Switch=1,IF(_xll.BDP($D38,$F$30, "BEST_FPERIOD_OVERRIDE", R$3)="#N/A N/A","NA  ",(_xll.BDP($D38,$F$30, "BEST_FPERIOD_OVERRIDE", R$3))),R38),"NM ")</f>
        <v>0.80510874938127808</v>
      </c>
      <c r="S38" s="257">
        <f ca="1">IFERROR(IF(BB_Switch=1,IF(_xll.BDP($D38,$F$30, "BEST_FPERIOD_OVERRIDE", S$3)="#N/A N/A","NA  ",(_xll.BDP($D38,$F$30, "BEST_FPERIOD_OVERRIDE", S$3))),S38),"NM ")</f>
        <v>0.78868008755438235</v>
      </c>
      <c r="T38" s="257">
        <f ca="1">IFERROR(IF(BB_Switch=1,IF(_xll.BDP($D38,$F$30, "BEST_FPERIOD_OVERRIDE", T$3)="#N/A N/A","NA  ",(_xll.BDP($D38,$F$30, "BEST_FPERIOD_OVERRIDE", T$3))),T38),"NM ")</f>
        <v>0.77824411344030253</v>
      </c>
      <c r="U38" s="227"/>
      <c r="V38" s="244" t="str">
        <f ca="1">IFERROR(IF(BB_Switch=1,IF(_xll.BDP($D38,$D$30, "EQY_FUND_RELATIVE_PERIOD", V$3)="#N/A N/A","NA  ",(_xll.BDP($D38,$D$30, "EQY_FUND_RELATIVE_PERIOD", V$3))),V38),"NA ")</f>
        <v xml:space="preserve">NA  </v>
      </c>
      <c r="W38" s="244" t="str">
        <f ca="1">IFERROR(IF(BB_Switch=1,IF(_xll.BDP($D38,$D$30, "EQY_FUND_RELATIVE_PERIOD", W$3)="#N/A N/A","NA  ",(_xll.BDP($D38,$D$30, "EQY_FUND_RELATIVE_PERIOD", W$3))),W38),"NA ")</f>
        <v xml:space="preserve">NA  </v>
      </c>
      <c r="X38" s="244" t="str">
        <f ca="1">IFERROR(IF(BB_Switch=1,IF(_xll.BDP($D38,$D$30, "EQY_FUND_RELATIVE_PERIOD", X$3)="#N/A N/A","NA  ",(_xll.BDP($D38,$D$30, "EQY_FUND_RELATIVE_PERIOD", X$3))),X38),"NA ")</f>
        <v xml:space="preserve">NA  </v>
      </c>
      <c r="Y38" s="244" t="str">
        <f ca="1">IFERROR(IF(BB_Switch=1,IF(_xll.BDP($D38,$D$30, "EQY_FUND_RELATIVE_PERIOD", Y$3)="#N/A N/A","NA  ",(_xll.BDP($D38,$D$30, "EQY_FUND_RELATIVE_PERIOD", Y$3))),Y38),"NA ")</f>
        <v xml:space="preserve">NA  </v>
      </c>
      <c r="Z38" s="244" t="str">
        <f ca="1">IFERROR(IF(BB_Switch=1,IF(_xll.BDP($D38,$D$30, "EQY_FUND_RELATIVE_PERIOD", Z$3)="#N/A N/A","NA  ",(_xll.BDP($D38,$D$30, "EQY_FUND_RELATIVE_PERIOD", Z$3))),Z38),"NA ")</f>
        <v xml:space="preserve">NA  </v>
      </c>
      <c r="AA38" s="244" t="str">
        <f ca="1">IFERROR(IF(BB_Switch=1,IF(_xll.BDP($D38,$D$30, "EQY_FUND_RELATIVE_PERIOD", AA$3)="#N/A N/A","NA  ",(_xll.BDP($D38,$D$30, "EQY_FUND_RELATIVE_PERIOD", AA$3))),AA38),"NA ")</f>
        <v xml:space="preserve">NA  </v>
      </c>
      <c r="AB38" s="244" t="str">
        <f ca="1">IFERROR(IF(BB_Switch=1,IF(_xll.BDP($D38,$D$30, "EQY_FUND_RELATIVE_PERIOD", AB$3)="#N/A N/A","NA  ",(_xll.BDP($D38,$D$30, "EQY_FUND_RELATIVE_PERIOD", AB$3))),AB38),"NA ")</f>
        <v xml:space="preserve">NA  </v>
      </c>
      <c r="AC38" s="244" t="str">
        <f ca="1">IFERROR(IF(BB_Switch=1,IF(_xll.BDP($D38,$D$30, "EQY_FUND_RELATIVE_PERIOD", AC$3)="#N/A N/A","NA  ",(_xll.BDP($D38,$D$30, "EQY_FUND_RELATIVE_PERIOD", AC$3))),AC38),"NA ")</f>
        <v xml:space="preserve">NA  </v>
      </c>
      <c r="AD38" s="244" t="str">
        <f ca="1">IFERROR(IF(BB_Switch=1,IF(_xll.BDP($D38,$D$30, "EQY_FUND_RELATIVE_PERIOD", AD$3)="#N/A N/A","NA  ",(_xll.BDP($D38,$D$30, "EQY_FUND_RELATIVE_PERIOD", AD$3))),AD38),"NA ")</f>
        <v xml:space="preserve">NA  </v>
      </c>
      <c r="AE38" s="244">
        <f ca="1">IFERROR(IF(BB_Switch=1,IF(_xll.BDP($D38,$D$30, "EQY_FUND_RELATIVE_PERIOD", AE$3)="#N/A N/A","NA  ",(_xll.BDP($D38,$D$30, "EQY_FUND_RELATIVE_PERIOD", AE$3))),AE38),"NA ")</f>
        <v>1.3481229743498404</v>
      </c>
      <c r="AF38" s="235">
        <f t="shared" ca="1" si="10"/>
        <v>1.3481229743498404</v>
      </c>
      <c r="AG38" s="244">
        <f t="shared" ca="1" si="11"/>
        <v>0.78282608842271728</v>
      </c>
      <c r="AH38" s="257">
        <f ca="1">IFERROR(IF(BB_Switch=1,IF(_xll.BDP($D38,$F$30, "BEST_FPERIOD_OVERRIDE", AH$3)="#N/A N/A","NA  ",(_xll.BDP($D38,$F$30, "BEST_FPERIOD_OVERRIDE", AH$3))),AH38),"NM ")</f>
        <v>0.81726826487092086</v>
      </c>
      <c r="AI38" s="257">
        <f ca="1">IFERROR(IF(BB_Switch=1,IF(_xll.BDP($D38,$F$30, "BEST_FPERIOD_OVERRIDE", AI$3)="#N/A N/A","NA  ",(_xll.BDP($D38,$F$30, "BEST_FPERIOD_OVERRIDE", AI$3))),AI38),"NM ")</f>
        <v>0.78853436734078475</v>
      </c>
      <c r="AJ38" s="257">
        <f ca="1">IFERROR(IF(BB_Switch=1,IF(_xll.BDP($D38,$F$30, "BEST_FPERIOD_OVERRIDE", AJ$3)="#N/A N/A","NA  ",(_xll.BDP($D38,$F$30, "BEST_FPERIOD_OVERRIDE", AJ$3))),AJ38),"NM ")</f>
        <v>0.76073069567059814</v>
      </c>
      <c r="AK38" s="238"/>
      <c r="AM38" s="226"/>
    </row>
    <row r="39" spans="3:39" ht="11.25" customHeight="1">
      <c r="C39" s="229"/>
      <c r="D39" s="227"/>
      <c r="E39" s="244"/>
      <c r="F39" s="244"/>
      <c r="G39" s="244"/>
      <c r="H39" s="244"/>
      <c r="I39" s="244"/>
      <c r="J39" s="244"/>
      <c r="K39" s="244"/>
      <c r="L39" s="244"/>
      <c r="M39" s="244"/>
      <c r="N39" s="244"/>
      <c r="O39" s="244"/>
      <c r="P39" s="257"/>
      <c r="Q39" s="257"/>
      <c r="R39" s="257"/>
      <c r="S39" s="257"/>
      <c r="T39" s="257"/>
      <c r="U39" s="227"/>
      <c r="V39" s="244"/>
      <c r="W39" s="244"/>
      <c r="X39" s="244"/>
      <c r="Y39" s="244"/>
      <c r="Z39" s="244"/>
      <c r="AA39" s="244"/>
      <c r="AB39" s="244"/>
      <c r="AC39" s="244"/>
      <c r="AD39" s="244"/>
      <c r="AE39" s="244"/>
      <c r="AF39" s="235"/>
      <c r="AG39" s="244"/>
      <c r="AH39" s="257"/>
      <c r="AI39" s="257"/>
      <c r="AJ39" s="257"/>
      <c r="AK39" s="238"/>
      <c r="AM39" s="226"/>
    </row>
    <row r="40" spans="3:39" ht="11.25" customHeight="1">
      <c r="C40" s="440" t="s">
        <v>690</v>
      </c>
      <c r="D40" s="227"/>
      <c r="E40" s="244"/>
      <c r="F40" s="244"/>
      <c r="G40" s="244"/>
      <c r="H40" s="244"/>
      <c r="I40" s="244"/>
      <c r="J40" s="244"/>
      <c r="K40" s="244"/>
      <c r="L40" s="244"/>
      <c r="M40" s="244"/>
      <c r="N40" s="244"/>
      <c r="O40" s="244"/>
      <c r="P40" s="257"/>
      <c r="Q40" s="257"/>
      <c r="R40" s="257"/>
      <c r="S40" s="257"/>
      <c r="T40" s="257"/>
      <c r="U40" s="227"/>
      <c r="V40" s="244"/>
      <c r="W40" s="244"/>
      <c r="X40" s="244"/>
      <c r="Y40" s="244"/>
      <c r="Z40" s="244"/>
      <c r="AA40" s="244"/>
      <c r="AB40" s="244"/>
      <c r="AC40" s="244"/>
      <c r="AD40" s="244"/>
      <c r="AE40" s="244"/>
      <c r="AF40" s="235"/>
      <c r="AG40" s="244"/>
      <c r="AH40" s="257"/>
      <c r="AI40" s="257"/>
      <c r="AJ40" s="257"/>
      <c r="AK40" s="238"/>
      <c r="AM40" s="226"/>
    </row>
    <row r="41" spans="3:39" ht="11.25" customHeight="1">
      <c r="C41" s="229" t="str">
        <f ca="1">IFERROR(IF(BB_Switch=1,_xll.BDP($D41,$C$270),C41), "NA ")</f>
        <v>Eastman Chemical Co</v>
      </c>
      <c r="D41" s="227" t="str">
        <f>+D21</f>
        <v>EMN US EQUITY</v>
      </c>
      <c r="E41" s="244">
        <f ca="1">IFERROR(IF(BB_Switch=1,IF(_xll.BDP($D41,$D$30, "EQY_FUND_RELATIVE_PERIOD", E$3)="#N/A N/A","NA  ",(_xll.BDP($D41,$D$30, "EQY_FUND_RELATIVE_PERIOD", E$3))),E41),"NA ")</f>
        <v>2.0430546734545452</v>
      </c>
      <c r="F41" s="244">
        <f ca="1">IFERROR(IF(BB_Switch=1,IF(_xll.BDP($D41,$D$30, "EQY_FUND_RELATIVE_PERIOD", F$3)="#N/A N/A","NA  ",(_xll.BDP($D41,$D$30, "EQY_FUND_RELATIVE_PERIOD", F$3))),F41),"NA ")</f>
        <v>2.0548144957051213</v>
      </c>
      <c r="G41" s="244">
        <f ca="1">IFERROR(IF(BB_Switch=1,IF(_xll.BDP($D41,$D$30, "EQY_FUND_RELATIVE_PERIOD", G$3)="#N/A N/A","NA  ",(_xll.BDP($D41,$D$30, "EQY_FUND_RELATIVE_PERIOD", G$3))),G41),"NA ")</f>
        <v>2.0882057658122668</v>
      </c>
      <c r="H41" s="244">
        <f ca="1">IFERROR(IF(BB_Switch=1,IF(_xll.BDP($D41,$D$30, "EQY_FUND_RELATIVE_PERIOD", H$3)="#N/A N/A","NA  ",(_xll.BDP($D41,$D$30, "EQY_FUND_RELATIVE_PERIOD", H$3))),H41),"NA ")</f>
        <v>2.0590352095339828</v>
      </c>
      <c r="I41" s="244">
        <f ca="1">IFERROR(IF(BB_Switch=1,IF(_xll.BDP($D41,$D$30, "EQY_FUND_RELATIVE_PERIOD", I$3)="#N/A N/A","NA  ",(_xll.BDP($D41,$D$30, "EQY_FUND_RELATIVE_PERIOD", I$3))),I41),"NA ")</f>
        <v>2.2133409829209376</v>
      </c>
      <c r="J41" s="244">
        <f ca="1">IFERROR(IF(BB_Switch=1,IF(_xll.BDP($D41,$D$30, "EQY_FUND_RELATIVE_PERIOD", J$3)="#N/A N/A","NA  ",(_xll.BDP($D41,$D$30, "EQY_FUND_RELATIVE_PERIOD", J$3))),J41),"NA ")</f>
        <v>2.0577101571437098</v>
      </c>
      <c r="K41" s="244">
        <f ca="1">IFERROR(IF(BB_Switch=1,IF(_xll.BDP($D41,$D$30, "EQY_FUND_RELATIVE_PERIOD", K$3)="#N/A N/A","NA  ",(_xll.BDP($D41,$D$30, "EQY_FUND_RELATIVE_PERIOD", K$3))),K41),"NA ")</f>
        <v>1.9632995862720728</v>
      </c>
      <c r="L41" s="244">
        <f ca="1">IFERROR(IF(BB_Switch=1,IF(_xll.BDP($D41,$D$30, "EQY_FUND_RELATIVE_PERIOD", L$3)="#N/A N/A","NA  ",(_xll.BDP($D41,$D$30, "EQY_FUND_RELATIVE_PERIOD", L$3))),L41),"NA ")</f>
        <v>1.598700315312777</v>
      </c>
      <c r="M41" s="244">
        <f ca="1">IFERROR(IF(BB_Switch=1,IF(_xll.BDP($D41,$D$30, "EQY_FUND_RELATIVE_PERIOD", M$3)="#N/A N/A","NA  ",(_xll.BDP($D41,$D$30, "EQY_FUND_RELATIVE_PERIOD", M$3))),M41),"NA ")</f>
        <v>1.7194164660137041</v>
      </c>
      <c r="N41" s="244">
        <f ca="1">IFERROR(IF(BB_Switch=1,IF(_xll.BDP($D41,$D$30, "EQY_FUND_RELATIVE_PERIOD", N$3)="#N/A N/A","NA  ",(_xll.BDP($D41,$D$30, "EQY_FUND_RELATIVE_PERIOD", N$3))),N41),"NA ")</f>
        <v>1.7696359332195326</v>
      </c>
      <c r="O41" s="244">
        <f ca="1">IFERROR(IF(BB_Switch=1,IF(_xll.BDP($D41,$D$30, "EQY_FUND_RELATIVE_PERIOD", O$3)="#N/A N/A","NA  ",(_xll.BDP($D41,$D$30, "EQY_FUND_RELATIVE_PERIOD", O$3))),O41),"NA ")</f>
        <v>1.727191341286531</v>
      </c>
      <c r="P41" s="257">
        <f ca="1">IFERROR(IF(BB_Switch=1,IF(_xll.BDP($D41,$F$30, "BEST_FPERIOD_OVERRIDE", P$3)="#N/A N/A","NA  ",(_xll.BDP($D41,$F$30, "BEST_FPERIOD_OVERRIDE", P$3))),P41),"NM ")</f>
        <v>1.2341504710193771</v>
      </c>
      <c r="Q41" s="257">
        <f ca="1">IFERROR(IF(BB_Switch=1,IF(_xll.BDP($D41,$F$30, "BEST_FPERIOD_OVERRIDE", Q$3)="#N/A N/A","NA  ",(_xll.BDP($D41,$F$30, "BEST_FPERIOD_OVERRIDE", Q$3))),Q41),"NM ")</f>
        <v>1.2293207866855334</v>
      </c>
      <c r="R41" s="257">
        <f ca="1">IFERROR(IF(BB_Switch=1,IF(_xll.BDP($D41,$F$30, "BEST_FPERIOD_OVERRIDE", R$3)="#N/A N/A","NA  ",(_xll.BDP($D41,$F$30, "BEST_FPERIOD_OVERRIDE", R$3))),R41),"NM ")</f>
        <v>1.2184817555595255</v>
      </c>
      <c r="S41" s="257">
        <f ca="1">IFERROR(IF(BB_Switch=1,IF(_xll.BDP($D41,$F$30, "BEST_FPERIOD_OVERRIDE", S$3)="#N/A N/A","NA  ",(_xll.BDP($D41,$F$30, "BEST_FPERIOD_OVERRIDE", S$3))),S41),"NM ")</f>
        <v>1.2068930971840186</v>
      </c>
      <c r="T41" s="257">
        <f ca="1">IFERROR(IF(BB_Switch=1,IF(_xll.BDP($D41,$F$30, "BEST_FPERIOD_OVERRIDE", T$3)="#N/A N/A","NA  ",(_xll.BDP($D41,$F$30, "BEST_FPERIOD_OVERRIDE", T$3))),T41),"NM ")</f>
        <v>1.1950624629457101</v>
      </c>
      <c r="U41" s="227"/>
      <c r="V41" s="244">
        <f ca="1">IFERROR(IF(BB_Switch=1,IF(_xll.BDP($D41,$D$30, "EQY_FUND_RELATIVE_PERIOD", V$3)="#N/A N/A","NA  ",(_xll.BDP($D41,$D$30, "EQY_FUND_RELATIVE_PERIOD", V$3))),V41),"NA ")</f>
        <v>1.2033694261006505</v>
      </c>
      <c r="W41" s="244">
        <f ca="1">IFERROR(IF(BB_Switch=1,IF(_xll.BDP($D41,$D$30, "EQY_FUND_RELATIVE_PERIOD", W$3)="#N/A N/A","NA  ",(_xll.BDP($D41,$D$30, "EQY_FUND_RELATIVE_PERIOD", W$3))),W41),"NA ")</f>
        <v>0.49121756421565904</v>
      </c>
      <c r="X41" s="244">
        <f ca="1">IFERROR(IF(BB_Switch=1,IF(_xll.BDP($D41,$D$30, "EQY_FUND_RELATIVE_PERIOD", X$3)="#N/A N/A","NA  ",(_xll.BDP($D41,$D$30, "EQY_FUND_RELATIVE_PERIOD", X$3))),X41),"NA ")</f>
        <v>1.8626938152369783</v>
      </c>
      <c r="Y41" s="244">
        <f ca="1">IFERROR(IF(BB_Switch=1,IF(_xll.BDP($D41,$D$30, "EQY_FUND_RELATIVE_PERIOD", Y$3)="#N/A N/A","NA  ",(_xll.BDP($D41,$D$30, "EQY_FUND_RELATIVE_PERIOD", Y$3))),Y41),"NA ")</f>
        <v>1.7535830527486631</v>
      </c>
      <c r="Z41" s="244">
        <f ca="1">IFERROR(IF(BB_Switch=1,IF(_xll.BDP($D41,$D$30, "EQY_FUND_RELATIVE_PERIOD", Z$3)="#N/A N/A","NA  ",(_xll.BDP($D41,$D$30, "EQY_FUND_RELATIVE_PERIOD", Z$3))),Z41),"NA ")</f>
        <v>1.9615348457940589</v>
      </c>
      <c r="AA41" s="244">
        <f ca="1">IFERROR(IF(BB_Switch=1,IF(_xll.BDP($D41,$D$30, "EQY_FUND_RELATIVE_PERIOD", AA$3)="#N/A N/A","NA  ",(_xll.BDP($D41,$D$30, "EQY_FUND_RELATIVE_PERIOD", AA$3))),AA41),"NA ")</f>
        <v>1.7382267840391792</v>
      </c>
      <c r="AB41" s="244">
        <f ca="1">IFERROR(IF(BB_Switch=1,IF(_xll.BDP($D41,$D$30, "EQY_FUND_RELATIVE_PERIOD", AB$3)="#N/A N/A","NA  ",(_xll.BDP($D41,$D$30, "EQY_FUND_RELATIVE_PERIOD", AB$3))),AB41),"NA ")</f>
        <v>1.9425634387722024</v>
      </c>
      <c r="AC41" s="244">
        <f ca="1">IFERROR(IF(BB_Switch=1,IF(_xll.BDP($D41,$D$30, "EQY_FUND_RELATIVE_PERIOD", AC$3)="#N/A N/A","NA  ",(_xll.BDP($D41,$D$30, "EQY_FUND_RELATIVE_PERIOD", AC$3))),AC41),"NA ")</f>
        <v>2.0590352095339828</v>
      </c>
      <c r="AD41" s="244">
        <f ca="1">IFERROR(IF(BB_Switch=1,IF(_xll.BDP($D41,$D$30, "EQY_FUND_RELATIVE_PERIOD", AD$3)="#N/A N/A","NA  ",(_xll.BDP($D41,$D$30, "EQY_FUND_RELATIVE_PERIOD", AD$3))),AD41),"NA ")</f>
        <v>1.598700315312777</v>
      </c>
      <c r="AE41" s="244">
        <f ca="1">IFERROR(IF(BB_Switch=1,IF(_xll.BDP($D41,$D$30, "EQY_FUND_RELATIVE_PERIOD", AE$3)="#N/A N/A","NA  ",(_xll.BDP($D41,$D$30, "EQY_FUND_RELATIVE_PERIOD", AE$3))),AE41),"NA ")</f>
        <v>1.7924924594500162</v>
      </c>
      <c r="AF41" s="235">
        <f ca="1">IFERROR(+AVERAGEIFS(V41:AE41,V41:AE41,"&gt;="&amp;$AL$32,V41:AE41,"&lt;="&amp;$AL$33),"NA  ")</f>
        <v>1.7680221496653901</v>
      </c>
      <c r="AG41" s="244">
        <f ca="1">AG302/AG322</f>
        <v>1.2173063485883748</v>
      </c>
      <c r="AH41" s="257">
        <f ca="1">IFERROR(IF(BB_Switch=1,IF(_xll.BDP($D41,$F$30, "BEST_FPERIOD_OVERRIDE", AH$3)="#N/A N/A","NA  ",(_xll.BDP($D41,$F$30, "BEST_FPERIOD_OVERRIDE", AH$3))),AH41),"NM ")</f>
        <v>1.2274213150688684</v>
      </c>
      <c r="AI41" s="257">
        <f ca="1">IFERROR(IF(BB_Switch=1,IF(_xll.BDP($D41,$F$30, "BEST_FPERIOD_OVERRIDE", AI$3)="#N/A N/A","NA  ",(_xll.BDP($D41,$F$30, "BEST_FPERIOD_OVERRIDE", AI$3))),AI41),"NM ")</f>
        <v>1.1994463545458189</v>
      </c>
      <c r="AJ41" s="257">
        <f ca="1">IFERROR(IF(BB_Switch=1,IF(_xll.BDP($D41,$F$30, "BEST_FPERIOD_OVERRIDE", AJ$3)="#N/A N/A","NA  ",(_xll.BDP($D41,$F$30, "BEST_FPERIOD_OVERRIDE", AJ$3))),AJ41),"NM ")</f>
        <v>1.1627408139971223</v>
      </c>
      <c r="AK41" s="238"/>
      <c r="AM41" s="226"/>
    </row>
    <row r="42" spans="3:39" ht="11.25" customHeight="1">
      <c r="C42" s="229" t="str">
        <f ca="1">IFERROR(IF(BB_Switch=1,_xll.BDP($D42,$C$270),C42), "NA ")</f>
        <v>Celanese Corp</v>
      </c>
      <c r="D42" s="227" t="str">
        <f>+D22</f>
        <v>CE US EQUITY</v>
      </c>
      <c r="E42" s="244">
        <f ca="1">IFERROR(IF(BB_Switch=1,IF(_xll.BDP($D42,$D$30, "EQY_FUND_RELATIVE_PERIOD", E$3)="#N/A N/A","NA  ",(_xll.BDP($D42,$D$30, "EQY_FUND_RELATIVE_PERIOD", E$3))),E42),"NA ")</f>
        <v>2.8216269954270525</v>
      </c>
      <c r="F42" s="244">
        <f ca="1">IFERROR(IF(BB_Switch=1,IF(_xll.BDP($D42,$D$30, "EQY_FUND_RELATIVE_PERIOD", F$3)="#N/A N/A","NA  ",(_xll.BDP($D42,$D$30, "EQY_FUND_RELATIVE_PERIOD", F$3))),F42),"NA ")</f>
        <v>2.8977637718575244</v>
      </c>
      <c r="G42" s="244">
        <f ca="1">IFERROR(IF(BB_Switch=1,IF(_xll.BDP($D42,$D$30, "EQY_FUND_RELATIVE_PERIOD", G$3)="#N/A N/A","NA  ",(_xll.BDP($D42,$D$30, "EQY_FUND_RELATIVE_PERIOD", G$3))),G42),"NA ")</f>
        <v>2.9805062395254356</v>
      </c>
      <c r="H42" s="244">
        <f ca="1">IFERROR(IF(BB_Switch=1,IF(_xll.BDP($D42,$D$30, "EQY_FUND_RELATIVE_PERIOD", H$3)="#N/A N/A","NA  ",(_xll.BDP($D42,$D$30, "EQY_FUND_RELATIVE_PERIOD", H$3))),H42),"NA ")</f>
        <v>2.928855363596091</v>
      </c>
      <c r="I42" s="244">
        <f ca="1">IFERROR(IF(BB_Switch=1,IF(_xll.BDP($D42,$D$30, "EQY_FUND_RELATIVE_PERIOD", I$3)="#N/A N/A","NA  ",(_xll.BDP($D42,$D$30, "EQY_FUND_RELATIVE_PERIOD", I$3))),I42),"NA ")</f>
        <v>2.6490951992484657</v>
      </c>
      <c r="J42" s="244">
        <f ca="1">IFERROR(IF(BB_Switch=1,IF(_xll.BDP($D42,$D$30, "EQY_FUND_RELATIVE_PERIOD", J$3)="#N/A N/A","NA  ",(_xll.BDP($D42,$D$30, "EQY_FUND_RELATIVE_PERIOD", J$3))),J42),"NA ")</f>
        <v>2.6635709829121681</v>
      </c>
      <c r="K42" s="244">
        <f ca="1">IFERROR(IF(BB_Switch=1,IF(_xll.BDP($D42,$D$30, "EQY_FUND_RELATIVE_PERIOD", K$3)="#N/A N/A","NA  ",(_xll.BDP($D42,$D$30, "EQY_FUND_RELATIVE_PERIOD", K$3))),K42),"NA ")</f>
        <v>2.5978739235019126</v>
      </c>
      <c r="L42" s="244">
        <f ca="1">IFERROR(IF(BB_Switch=1,IF(_xll.BDP($D42,$D$30, "EQY_FUND_RELATIVE_PERIOD", L$3)="#N/A N/A","NA  ",(_xll.BDP($D42,$D$30, "EQY_FUND_RELATIVE_PERIOD", L$3))),L42),"NA ")</f>
        <v>2.0937503192914044</v>
      </c>
      <c r="M42" s="244">
        <f ca="1">IFERROR(IF(BB_Switch=1,IF(_xll.BDP($D42,$D$30, "EQY_FUND_RELATIVE_PERIOD", M$3)="#N/A N/A","NA  ",(_xll.BDP($D42,$D$30, "EQY_FUND_RELATIVE_PERIOD", M$3))),M42),"NA ")</f>
        <v>2.3327503699213272</v>
      </c>
      <c r="N42" s="244">
        <f ca="1">IFERROR(IF(BB_Switch=1,IF(_xll.BDP($D42,$D$30, "EQY_FUND_RELATIVE_PERIOD", N$3)="#N/A N/A","NA  ",(_xll.BDP($D42,$D$30, "EQY_FUND_RELATIVE_PERIOD", N$3))),N42),"NA ")</f>
        <v>2.5518933999406435</v>
      </c>
      <c r="O42" s="244">
        <f ca="1">IFERROR(IF(BB_Switch=1,IF(_xll.BDP($D42,$D$30, "EQY_FUND_RELATIVE_PERIOD", O$3)="#N/A N/A","NA  ",(_xll.BDP($D42,$D$30, "EQY_FUND_RELATIVE_PERIOD", O$3))),O42),"NA ")</f>
        <v>2.8451097991867567</v>
      </c>
      <c r="P42" s="257">
        <f ca="1">IFERROR(IF(BB_Switch=1,IF(_xll.BDP($D42,$F$30, "BEST_FPERIOD_OVERRIDE", P$3)="#N/A N/A","NA  ",(_xll.BDP($D42,$F$30, "BEST_FPERIOD_OVERRIDE", P$3))),P42),"NM ")</f>
        <v>1.866583466497487</v>
      </c>
      <c r="Q42" s="257">
        <f ca="1">IFERROR(IF(BB_Switch=1,IF(_xll.BDP($D42,$F$30, "BEST_FPERIOD_OVERRIDE", Q$3)="#N/A N/A","NA  ",(_xll.BDP($D42,$F$30, "BEST_FPERIOD_OVERRIDE", Q$3))),Q42),"NM ")</f>
        <v>1.8561191901963792</v>
      </c>
      <c r="R42" s="257">
        <f ca="1">IFERROR(IF(BB_Switch=1,IF(_xll.BDP($D42,$F$30, "BEST_FPERIOD_OVERRIDE", R$3)="#N/A N/A","NA  ",(_xll.BDP($D42,$F$30, "BEST_FPERIOD_OVERRIDE", R$3))),R42),"NM ")</f>
        <v>1.8285946650715355</v>
      </c>
      <c r="S42" s="257">
        <f ca="1">IFERROR(IF(BB_Switch=1,IF(_xll.BDP($D42,$F$30, "BEST_FPERIOD_OVERRIDE", S$3)="#N/A N/A","NA  ",(_xll.BDP($D42,$F$30, "BEST_FPERIOD_OVERRIDE", S$3))),S42),"NM ")</f>
        <v>1.8035802307417976</v>
      </c>
      <c r="T42" s="257">
        <f ca="1">IFERROR(IF(BB_Switch=1,IF(_xll.BDP($D42,$F$30, "BEST_FPERIOD_OVERRIDE", T$3)="#N/A N/A","NA  ",(_xll.BDP($D42,$F$30, "BEST_FPERIOD_OVERRIDE", T$3))),T42),"NM ")</f>
        <v>1.7892647256336012</v>
      </c>
      <c r="U42" s="227"/>
      <c r="V42" s="244">
        <f ca="1">IFERROR(IF(BB_Switch=1,IF(_xll.BDP($D42,$D$30, "EQY_FUND_RELATIVE_PERIOD", V$3)="#N/A N/A","NA  ",(_xll.BDP($D42,$D$30, "EQY_FUND_RELATIVE_PERIOD", V$3))),V42),"NA ")</f>
        <v>1.4891196506944915</v>
      </c>
      <c r="W42" s="244">
        <f ca="1">IFERROR(IF(BB_Switch=1,IF(_xll.BDP($D42,$D$30, "EQY_FUND_RELATIVE_PERIOD", W$3)="#N/A N/A","NA  ",(_xll.BDP($D42,$D$30, "EQY_FUND_RELATIVE_PERIOD", W$3))),W42),"NA ")</f>
        <v>1.3599959948203459</v>
      </c>
      <c r="X42" s="244">
        <f ca="1">IFERROR(IF(BB_Switch=1,IF(_xll.BDP($D42,$D$30, "EQY_FUND_RELATIVE_PERIOD", X$3)="#N/A N/A","NA  ",(_xll.BDP($D42,$D$30, "EQY_FUND_RELATIVE_PERIOD", X$3))),X42),"NA ")</f>
        <v>1.43267000880804</v>
      </c>
      <c r="Y42" s="244">
        <f ca="1">IFERROR(IF(BB_Switch=1,IF(_xll.BDP($D42,$D$30, "EQY_FUND_RELATIVE_PERIOD", Y$3)="#N/A N/A","NA  ",(_xll.BDP($D42,$D$30, "EQY_FUND_RELATIVE_PERIOD", Y$3))),Y42),"NA ")</f>
        <v>1.6465962959569893</v>
      </c>
      <c r="Z42" s="244">
        <f ca="1">IFERROR(IF(BB_Switch=1,IF(_xll.BDP($D42,$D$30, "EQY_FUND_RELATIVE_PERIOD", Z$3)="#N/A N/A","NA  ",(_xll.BDP($D42,$D$30, "EQY_FUND_RELATIVE_PERIOD", Z$3))),Z42),"NA ")</f>
        <v>1.66701653801823</v>
      </c>
      <c r="AA42" s="244">
        <f ca="1">IFERROR(IF(BB_Switch=1,IF(_xll.BDP($D42,$D$30, "EQY_FUND_RELATIVE_PERIOD", AA$3)="#N/A N/A","NA  ",(_xll.BDP($D42,$D$30, "EQY_FUND_RELATIVE_PERIOD", AA$3))),AA42),"NA ")</f>
        <v>2.1709291605586887</v>
      </c>
      <c r="AB42" s="244">
        <f ca="1">IFERROR(IF(BB_Switch=1,IF(_xll.BDP($D42,$D$30, "EQY_FUND_RELATIVE_PERIOD", AB$3)="#N/A N/A","NA  ",(_xll.BDP($D42,$D$30, "EQY_FUND_RELATIVE_PERIOD", AB$3))),AB42),"NA ")</f>
        <v>2.5697909810317312</v>
      </c>
      <c r="AC42" s="244">
        <f ca="1">IFERROR(IF(BB_Switch=1,IF(_xll.BDP($D42,$D$30, "EQY_FUND_RELATIVE_PERIOD", AC$3)="#N/A N/A","NA  ",(_xll.BDP($D42,$D$30, "EQY_FUND_RELATIVE_PERIOD", AC$3))),AC42),"NA ")</f>
        <v>2.928855363596091</v>
      </c>
      <c r="AD42" s="244">
        <f ca="1">IFERROR(IF(BB_Switch=1,IF(_xll.BDP($D42,$D$30, "EQY_FUND_RELATIVE_PERIOD", AD$3)="#N/A N/A","NA  ",(_xll.BDP($D42,$D$30, "EQY_FUND_RELATIVE_PERIOD", AD$3))),AD42),"NA ")</f>
        <v>2.0937503192914044</v>
      </c>
      <c r="AE42" s="244">
        <f ca="1">IFERROR(IF(BB_Switch=1,IF(_xll.BDP($D42,$D$30, "EQY_FUND_RELATIVE_PERIOD", AE$3)="#N/A N/A","NA  ",(_xll.BDP($D42,$D$30, "EQY_FUND_RELATIVE_PERIOD", AE$3))),AE42),"NA ")</f>
        <v>2.9732629960044465</v>
      </c>
      <c r="AF42" s="235">
        <f ca="1">IFERROR(+AVERAGEIFS(V42:AE42,V42:AE42,"&gt;="&amp;$AL$32,V42:AE42,"&lt;="&amp;$AL$33),"NA  ")</f>
        <v>2.0331987308780457</v>
      </c>
      <c r="AG42" s="244">
        <f ca="1">AG303/AG323</f>
        <v>1.8913633352644112</v>
      </c>
      <c r="AH42" s="257">
        <f ca="1">IFERROR(IF(BB_Switch=1,IF(_xll.BDP($D42,$F$30, "BEST_FPERIOD_OVERRIDE", AH$3)="#N/A N/A","NA  ",(_xll.BDP($D42,$F$30, "BEST_FPERIOD_OVERRIDE", AH$3))),AH42),"NM ")</f>
        <v>1.855147463468833</v>
      </c>
      <c r="AI42" s="257">
        <f ca="1">IFERROR(IF(BB_Switch=1,IF(_xll.BDP($D42,$F$30, "BEST_FPERIOD_OVERRIDE", AI$3)="#N/A N/A","NA  ",(_xll.BDP($D42,$F$30, "BEST_FPERIOD_OVERRIDE", AI$3))),AI42),"NM ")</f>
        <v>1.8033420967400764</v>
      </c>
      <c r="AJ42" s="257">
        <f ca="1">IFERROR(IF(BB_Switch=1,IF(_xll.BDP($D42,$F$30, "BEST_FPERIOD_OVERRIDE", AJ$3)="#N/A N/A","NA  ",(_xll.BDP($D42,$F$30, "BEST_FPERIOD_OVERRIDE", AJ$3))),AJ42),"NM ")</f>
        <v>1.6822507856915854</v>
      </c>
      <c r="AK42" s="238"/>
      <c r="AM42" s="226"/>
    </row>
    <row r="43" spans="3:39" ht="11.25" customHeight="1">
      <c r="C43" s="229" t="str">
        <f ca="1">IFERROR(IF(BB_Switch=1,_xll.BDP($D43,$C$270),C43), "NA ")</f>
        <v>BASF SE</v>
      </c>
      <c r="D43" s="227" t="str">
        <f>+D23</f>
        <v>BAS GR EQUITY</v>
      </c>
      <c r="E43" s="244">
        <f ca="1">IFERROR(IF(BB_Switch=1,IF(_xll.BDP($D43,$D$30, "EQY_FUND_RELATIVE_PERIOD", E$3)="#N/A N/A","NA  ",(_xll.BDP($D43,$D$30, "EQY_FUND_RELATIVE_PERIOD", E$3))),E43),"NA ")</f>
        <v>1.7015405855955466</v>
      </c>
      <c r="F43" s="244">
        <f ca="1">IFERROR(IF(BB_Switch=1,IF(_xll.BDP($D43,$D$30, "EQY_FUND_RELATIVE_PERIOD", F$3)="#N/A N/A","NA  ",(_xll.BDP($D43,$D$30, "EQY_FUND_RELATIVE_PERIOD", F$3))),F43),"NA ")</f>
        <v>1.5154566814233861</v>
      </c>
      <c r="G43" s="244">
        <f ca="1">IFERROR(IF(BB_Switch=1,IF(_xll.BDP($D43,$D$30, "EQY_FUND_RELATIVE_PERIOD", G$3)="#N/A N/A","NA  ",(_xll.BDP($D43,$D$30, "EQY_FUND_RELATIVE_PERIOD", G$3))),G43),"NA ")</f>
        <v>1.5707338416778986</v>
      </c>
      <c r="H43" s="244">
        <f ca="1">IFERROR(IF(BB_Switch=1,IF(_xll.BDP($D43,$D$30, "EQY_FUND_RELATIVE_PERIOD", H$3)="#N/A N/A","NA  ",(_xll.BDP($D43,$D$30, "EQY_FUND_RELATIVE_PERIOD", H$3))),H43),"NA ")</f>
        <v>1.5789039313258089</v>
      </c>
      <c r="I43" s="244">
        <f ca="1">IFERROR(IF(BB_Switch=1,IF(_xll.BDP($D43,$D$30, "EQY_FUND_RELATIVE_PERIOD", I$3)="#N/A N/A","NA  ",(_xll.BDP($D43,$D$30, "EQY_FUND_RELATIVE_PERIOD", I$3))),I43),"NA ")</f>
        <v>1.4328638505310696</v>
      </c>
      <c r="J43" s="244">
        <f ca="1">IFERROR(IF(BB_Switch=1,IF(_xll.BDP($D43,$D$30, "EQY_FUND_RELATIVE_PERIOD", J$3)="#N/A N/A","NA  ",(_xll.BDP($D43,$D$30, "EQY_FUND_RELATIVE_PERIOD", J$3))),J43),"NA ")</f>
        <v>1.4461908159500247</v>
      </c>
      <c r="K43" s="244">
        <f ca="1">IFERROR(IF(BB_Switch=1,IF(_xll.BDP($D43,$D$30, "EQY_FUND_RELATIVE_PERIOD", K$3)="#N/A N/A","NA  ",(_xll.BDP($D43,$D$30, "EQY_FUND_RELATIVE_PERIOD", K$3))),K43),"NA ")</f>
        <v>1.431250557766367</v>
      </c>
      <c r="L43" s="244">
        <f ca="1">IFERROR(IF(BB_Switch=1,IF(_xll.BDP($D43,$D$30, "EQY_FUND_RELATIVE_PERIOD", L$3)="#N/A N/A","NA  ",(_xll.BDP($D43,$D$30, "EQY_FUND_RELATIVE_PERIOD", L$3))),L43),"NA ")</f>
        <v>1.1923116330275227</v>
      </c>
      <c r="M43" s="244">
        <f ca="1">IFERROR(IF(BB_Switch=1,IF(_xll.BDP($D43,$D$30, "EQY_FUND_RELATIVE_PERIOD", M$3)="#N/A N/A","NA  ",(_xll.BDP($D43,$D$30, "EQY_FUND_RELATIVE_PERIOD", M$3))),M43),"NA ")</f>
        <v>1.2985155310995693</v>
      </c>
      <c r="N43" s="244">
        <f ca="1">IFERROR(IF(BB_Switch=1,IF(_xll.BDP($D43,$D$30, "EQY_FUND_RELATIVE_PERIOD", N$3)="#N/A N/A","NA  ",(_xll.BDP($D43,$D$30, "EQY_FUND_RELATIVE_PERIOD", N$3))),N43),"NA ")</f>
        <v>1.2550780757451983</v>
      </c>
      <c r="O43" s="244">
        <f ca="1">IFERROR(IF(BB_Switch=1,IF(_xll.BDP($D43,$D$30, "EQY_FUND_RELATIVE_PERIOD", O$3)="#N/A N/A","NA  ",(_xll.BDP($D43,$D$30, "EQY_FUND_RELATIVE_PERIOD", O$3))),O43),"NA ")</f>
        <v>1.263397999763483</v>
      </c>
      <c r="P43" s="257">
        <f ca="1">IFERROR(IF(BB_Switch=1,IF(_xll.BDP($D43,$F$30, "BEST_FPERIOD_OVERRIDE", P$3)="#N/A N/A","NA  ",(_xll.BDP($D43,$F$30, "BEST_FPERIOD_OVERRIDE", P$3))),P43),"NM ")</f>
        <v>0.90046258716991112</v>
      </c>
      <c r="Q43" s="257">
        <f ca="1">IFERROR(IF(BB_Switch=1,IF(_xll.BDP($D43,$F$30, "BEST_FPERIOD_OVERRIDE", Q$3)="#N/A N/A","NA  ",(_xll.BDP($D43,$F$30, "BEST_FPERIOD_OVERRIDE", Q$3))),Q43),"NM ")</f>
        <v>0.89588058891711264</v>
      </c>
      <c r="R43" s="257" t="str">
        <f ca="1">IFERROR(IF(BB_Switch=1,IF(_xll.BDP($D43,$F$30, "BEST_FPERIOD_OVERRIDE", R$3)="#N/A N/A","NA  ",(_xll.BDP($D43,$F$30, "BEST_FPERIOD_OVERRIDE", R$3))),R43),"NM ")</f>
        <v xml:space="preserve">NA  </v>
      </c>
      <c r="S43" s="257" t="str">
        <f ca="1">IFERROR(IF(BB_Switch=1,IF(_xll.BDP($D43,$F$30, "BEST_FPERIOD_OVERRIDE", S$3)="#N/A N/A","NA  ",(_xll.BDP($D43,$F$30, "BEST_FPERIOD_OVERRIDE", S$3))),S43),"NM ")</f>
        <v xml:space="preserve">NA  </v>
      </c>
      <c r="T43" s="257" t="str">
        <f ca="1">IFERROR(IF(BB_Switch=1,IF(_xll.BDP($D43,$F$30, "BEST_FPERIOD_OVERRIDE", T$3)="#N/A N/A","NA  ",(_xll.BDP($D43,$F$30, "BEST_FPERIOD_OVERRIDE", T$3))),T43),"NM ")</f>
        <v xml:space="preserve">NA  </v>
      </c>
      <c r="U43" s="227"/>
      <c r="V43" s="244">
        <f ca="1">IFERROR(IF(BB_Switch=1,IF(_xll.BDP($D43,$D$30, "EQY_FUND_RELATIVE_PERIOD", V$3)="#N/A N/A","NA  ",(_xll.BDP($D43,$D$30, "EQY_FUND_RELATIVE_PERIOD", V$3))),V43),"NA ")</f>
        <v>1.0908392909648834</v>
      </c>
      <c r="W43" s="244">
        <f ca="1">IFERROR(IF(BB_Switch=1,IF(_xll.BDP($D43,$D$30, "EQY_FUND_RELATIVE_PERIOD", W$3)="#N/A N/A","NA  ",(_xll.BDP($D43,$D$30, "EQY_FUND_RELATIVE_PERIOD", W$3))),W43),"NA ")</f>
        <v>0.84003179476250733</v>
      </c>
      <c r="X43" s="244">
        <f ca="1">IFERROR(IF(BB_Switch=1,IF(_xll.BDP($D43,$D$30, "EQY_FUND_RELATIVE_PERIOD", X$3)="#N/A N/A","NA  ",(_xll.BDP($D43,$D$30, "EQY_FUND_RELATIVE_PERIOD", X$3))),X43),"NA ")</f>
        <v>1.0744188755992736</v>
      </c>
      <c r="Y43" s="244">
        <f ca="1">IFERROR(IF(BB_Switch=1,IF(_xll.BDP($D43,$D$30, "EQY_FUND_RELATIVE_PERIOD", Y$3)="#N/A N/A","NA  ",(_xll.BDP($D43,$D$30, "EQY_FUND_RELATIVE_PERIOD", Y$3))),Y43),"NA ")</f>
        <v>1.1404960458283429</v>
      </c>
      <c r="Z43" s="244">
        <f ca="1">IFERROR(IF(BB_Switch=1,IF(_xll.BDP($D43,$D$30, "EQY_FUND_RELATIVE_PERIOD", Z$3)="#N/A N/A","NA  ",(_xll.BDP($D43,$D$30, "EQY_FUND_RELATIVE_PERIOD", Z$3))),Z43),"NA ")</f>
        <v>1.0549644960945026</v>
      </c>
      <c r="AA43" s="244">
        <f ca="1">IFERROR(IF(BB_Switch=1,IF(_xll.BDP($D43,$D$30, "EQY_FUND_RELATIVE_PERIOD", AA$3)="#N/A N/A","NA  ",(_xll.BDP($D43,$D$30, "EQY_FUND_RELATIVE_PERIOD", AA$3))),AA43),"NA ")</f>
        <v>1.1145483007520334</v>
      </c>
      <c r="AB43" s="244">
        <f ca="1">IFERROR(IF(BB_Switch=1,IF(_xll.BDP($D43,$D$30, "EQY_FUND_RELATIVE_PERIOD", AB$3)="#N/A N/A","NA  ",(_xll.BDP($D43,$D$30, "EQY_FUND_RELATIVE_PERIOD", AB$3))),AB43),"NA ")</f>
        <v>1.6728558378304084</v>
      </c>
      <c r="AC43" s="244">
        <f ca="1">IFERROR(IF(BB_Switch=1,IF(_xll.BDP($D43,$D$30, "EQY_FUND_RELATIVE_PERIOD", AC$3)="#N/A N/A","NA  ",(_xll.BDP($D43,$D$30, "EQY_FUND_RELATIVE_PERIOD", AC$3))),AC43),"NA ")</f>
        <v>1.5789039313258089</v>
      </c>
      <c r="AD43" s="244">
        <f ca="1">IFERROR(IF(BB_Switch=1,IF(_xll.BDP($D43,$D$30, "EQY_FUND_RELATIVE_PERIOD", AD$3)="#N/A N/A","NA  ",(_xll.BDP($D43,$D$30, "EQY_FUND_RELATIVE_PERIOD", AD$3))),AD43),"NA ")</f>
        <v>1.2409185173962141</v>
      </c>
      <c r="AE43" s="244">
        <f ca="1">IFERROR(IF(BB_Switch=1,IF(_xll.BDP($D43,$D$30, "EQY_FUND_RELATIVE_PERIOD", AE$3)="#N/A N/A","NA  ",(_xll.BDP($D43,$D$30, "EQY_FUND_RELATIVE_PERIOD", AE$3))),AE43),"NA ")</f>
        <v>1.3426148095100816</v>
      </c>
      <c r="AF43" s="235">
        <f ca="1">IFERROR(+AVERAGEIFS(V43:AE43,V43:AE43,"&gt;="&amp;$AL$32,V43:AE43,"&lt;="&amp;$AL$33),"NA  ")</f>
        <v>1.2150591900064054</v>
      </c>
      <c r="AG43" s="244">
        <f ca="1">AG304/AG324</f>
        <v>0.91864915704329353</v>
      </c>
      <c r="AH43" s="257">
        <f ca="1">IFERROR(IF(BB_Switch=1,IF(_xll.BDP($D43,$F$30, "BEST_FPERIOD_OVERRIDE", AH$3)="#N/A N/A","NA  ",(_xll.BDP($D43,$F$30, "BEST_FPERIOD_OVERRIDE", AH$3))),AH43),"NM ")</f>
        <v>0.89004921433471629</v>
      </c>
      <c r="AI43" s="257">
        <f ca="1">IFERROR(IF(BB_Switch=1,IF(_xll.BDP($D43,$F$30, "BEST_FPERIOD_OVERRIDE", AI$3)="#N/A N/A","NA  ",(_xll.BDP($D43,$F$30, "BEST_FPERIOD_OVERRIDE", AI$3))),AI43),"NM ")</f>
        <v>0.86579377220772413</v>
      </c>
      <c r="AJ43" s="257">
        <f ca="1">IFERROR(IF(BB_Switch=1,IF(_xll.BDP($D43,$F$30, "BEST_FPERIOD_OVERRIDE", AJ$3)="#N/A N/A","NA  ",(_xll.BDP($D43,$F$30, "BEST_FPERIOD_OVERRIDE", AJ$3))),AJ43),"NM ")</f>
        <v>0.8434739056795918</v>
      </c>
      <c r="AK43" s="238"/>
      <c r="AM43" s="226"/>
    </row>
    <row r="44" spans="3:39" ht="11.25" customHeight="1">
      <c r="C44" s="229" t="str">
        <f ca="1">IFERROR(IF(BB_Switch=1,_xll.BDP($D44,$C$270),C44), "NA ")</f>
        <v>Trinseo SA</v>
      </c>
      <c r="D44" s="227" t="str">
        <f>+D24</f>
        <v>TSE US EQUITY</v>
      </c>
      <c r="E44" s="244">
        <f ca="1">IFERROR(IF(BB_Switch=1,IF(_xll.BDP($D44,$D$30, "EQY_FUND_RELATIVE_PERIOD", E$3)="#N/A N/A","NA  ",(_xll.BDP($D44,$D$30, "EQY_FUND_RELATIVE_PERIOD", E$3))),E44),"NA ")</f>
        <v>0.94690267154287611</v>
      </c>
      <c r="F44" s="244">
        <f ca="1">IFERROR(IF(BB_Switch=1,IF(_xll.BDP($D44,$D$30, "EQY_FUND_RELATIVE_PERIOD", F$3)="#N/A N/A","NA  ",(_xll.BDP($D44,$D$30, "EQY_FUND_RELATIVE_PERIOD", F$3))),F44),"NA ")</f>
        <v>0.92682033344708237</v>
      </c>
      <c r="G44" s="244">
        <f ca="1">IFERROR(IF(BB_Switch=1,IF(_xll.BDP($D44,$D$30, "EQY_FUND_RELATIVE_PERIOD", G$3)="#N/A N/A","NA  ",(_xll.BDP($D44,$D$30, "EQY_FUND_RELATIVE_PERIOD", G$3))),G44),"NA ")</f>
        <v>0.88810478471031651</v>
      </c>
      <c r="H44" s="244">
        <f ca="1">IFERROR(IF(BB_Switch=1,IF(_xll.BDP($D44,$D$30, "EQY_FUND_RELATIVE_PERIOD", H$3)="#N/A N/A","NA  ",(_xll.BDP($D44,$D$30, "EQY_FUND_RELATIVE_PERIOD", H$3))),H44),"NA ")</f>
        <v>0.87454165720567723</v>
      </c>
      <c r="I44" s="244">
        <f ca="1">IFERROR(IF(BB_Switch=1,IF(_xll.BDP($D44,$D$30, "EQY_FUND_RELATIVE_PERIOD", I$3)="#N/A N/A","NA  ",(_xll.BDP($D44,$D$30, "EQY_FUND_RELATIVE_PERIOD", I$3))),I44),"NA ")</f>
        <v>0.89265206485711723</v>
      </c>
      <c r="J44" s="244">
        <f ca="1">IFERROR(IF(BB_Switch=1,IF(_xll.BDP($D44,$D$30, "EQY_FUND_RELATIVE_PERIOD", J$3)="#N/A N/A","NA  ",(_xll.BDP($D44,$D$30, "EQY_FUND_RELATIVE_PERIOD", J$3))),J44),"NA ")</f>
        <v>0.82716279682219185</v>
      </c>
      <c r="K44" s="244">
        <f ca="1">IFERROR(IF(BB_Switch=1,IF(_xll.BDP($D44,$D$30, "EQY_FUND_RELATIVE_PERIOD", K$3)="#N/A N/A","NA  ",(_xll.BDP($D44,$D$30, "EQY_FUND_RELATIVE_PERIOD", K$3))),K44),"NA ")</f>
        <v>0.87453054917698569</v>
      </c>
      <c r="L44" s="244">
        <f ca="1">IFERROR(IF(BB_Switch=1,IF(_xll.BDP($D44,$D$30, "EQY_FUND_RELATIVE_PERIOD", L$3)="#N/A N/A","NA  ",(_xll.BDP($D44,$D$30, "EQY_FUND_RELATIVE_PERIOD", L$3))),L44),"NA ")</f>
        <v>0.56673257046442715</v>
      </c>
      <c r="M44" s="244">
        <f ca="1">IFERROR(IF(BB_Switch=1,IF(_xll.BDP($D44,$D$30, "EQY_FUND_RELATIVE_PERIOD", M$3)="#N/A N/A","NA  ",(_xll.BDP($D44,$D$30, "EQY_FUND_RELATIVE_PERIOD", M$3))),M44),"NA ")</f>
        <v>0.57092858408647884</v>
      </c>
      <c r="N44" s="244">
        <f ca="1">IFERROR(IF(BB_Switch=1,IF(_xll.BDP($D44,$D$30, "EQY_FUND_RELATIVE_PERIOD", N$3)="#N/A N/A","NA  ",(_xll.BDP($D44,$D$30, "EQY_FUND_RELATIVE_PERIOD", N$3))),N44),"NA ")</f>
        <v>0.57367221486665398</v>
      </c>
      <c r="O44" s="244">
        <f ca="1">IFERROR(IF(BB_Switch=1,IF(_xll.BDP($D44,$D$30, "EQY_FUND_RELATIVE_PERIOD", O$3)="#N/A N/A","NA  ",(_xll.BDP($D44,$D$30, "EQY_FUND_RELATIVE_PERIOD", O$3))),O44),"NA ")</f>
        <v>0.62275430161943324</v>
      </c>
      <c r="P44" s="257">
        <f ca="1">IFERROR(IF(BB_Switch=1,IF(_xll.BDP($D44,$F$30, "BEST_FPERIOD_OVERRIDE", P$3)="#N/A N/A","NA  ",(_xll.BDP($D44,$F$30, "BEST_FPERIOD_OVERRIDE", P$3))),P44),"NM ")</f>
        <v>0.3658593080948821</v>
      </c>
      <c r="Q44" s="257">
        <f ca="1">IFERROR(IF(BB_Switch=1,IF(_xll.BDP($D44,$F$30, "BEST_FPERIOD_OVERRIDE", Q$3)="#N/A N/A","NA  ",(_xll.BDP($D44,$F$30, "BEST_FPERIOD_OVERRIDE", Q$3))),Q44),"NM ")</f>
        <v>0.36442272019497662</v>
      </c>
      <c r="R44" s="257" t="str">
        <f ca="1">IFERROR(IF(BB_Switch=1,IF(_xll.BDP($D44,$F$30, "BEST_FPERIOD_OVERRIDE", R$3)="#N/A N/A","NA  ",(_xll.BDP($D44,$F$30, "BEST_FPERIOD_OVERRIDE", R$3))),R44),"NM ")</f>
        <v xml:space="preserve">NA  </v>
      </c>
      <c r="S44" s="257" t="str">
        <f ca="1">IFERROR(IF(BB_Switch=1,IF(_xll.BDP($D44,$F$30, "BEST_FPERIOD_OVERRIDE", S$3)="#N/A N/A","NA  ",(_xll.BDP($D44,$F$30, "BEST_FPERIOD_OVERRIDE", S$3))),S44),"NM ")</f>
        <v xml:space="preserve">NA  </v>
      </c>
      <c r="T44" s="257" t="str">
        <f ca="1">IFERROR(IF(BB_Switch=1,IF(_xll.BDP($D44,$F$30, "BEST_FPERIOD_OVERRIDE", T$3)="#N/A N/A","NA  ",(_xll.BDP($D44,$F$30, "BEST_FPERIOD_OVERRIDE", T$3))),T44),"NM ")</f>
        <v xml:space="preserve">NA  </v>
      </c>
      <c r="U44" s="227"/>
      <c r="V44" s="244" t="str">
        <f ca="1">IFERROR(IF(BB_Switch=1,IF(_xll.BDP($D44,$D$30, "EQY_FUND_RELATIVE_PERIOD", V$3)="#N/A N/A","NA  ",(_xll.BDP($D44,$D$30, "EQY_FUND_RELATIVE_PERIOD", V$3))),V44),"NA ")</f>
        <v xml:space="preserve">NA  </v>
      </c>
      <c r="W44" s="244" t="str">
        <f ca="1">IFERROR(IF(BB_Switch=1,IF(_xll.BDP($D44,$D$30, "EQY_FUND_RELATIVE_PERIOD", W$3)="#N/A N/A","NA  ",(_xll.BDP($D44,$D$30, "EQY_FUND_RELATIVE_PERIOD", W$3))),W44),"NA ")</f>
        <v xml:space="preserve">NA  </v>
      </c>
      <c r="X44" s="244" t="str">
        <f ca="1">IFERROR(IF(BB_Switch=1,IF(_xll.BDP($D44,$D$30, "EQY_FUND_RELATIVE_PERIOD", X$3)="#N/A N/A","NA  ",(_xll.BDP($D44,$D$30, "EQY_FUND_RELATIVE_PERIOD", X$3))),X44),"NA ")</f>
        <v xml:space="preserve">NA  </v>
      </c>
      <c r="Y44" s="244" t="str">
        <f ca="1">IFERROR(IF(BB_Switch=1,IF(_xll.BDP($D44,$D$30, "EQY_FUND_RELATIVE_PERIOD", Y$3)="#N/A N/A","NA  ",(_xll.BDP($D44,$D$30, "EQY_FUND_RELATIVE_PERIOD", Y$3))),Y44),"NA ")</f>
        <v xml:space="preserve">NA  </v>
      </c>
      <c r="Z44" s="244">
        <f ca="1">IFERROR(IF(BB_Switch=1,IF(_xll.BDP($D44,$D$30, "EQY_FUND_RELATIVE_PERIOD", Z$3)="#N/A N/A","NA  ",(_xll.BDP($D44,$D$30, "EQY_FUND_RELATIVE_PERIOD", Z$3))),Z44),"NA ")</f>
        <v>0.35734622396699195</v>
      </c>
      <c r="AA44" s="244">
        <f ca="1">IFERROR(IF(BB_Switch=1,IF(_xll.BDP($D44,$D$30, "EQY_FUND_RELATIVE_PERIOD", AA$3)="#N/A N/A","NA  ",(_xll.BDP($D44,$D$30, "EQY_FUND_RELATIVE_PERIOD", AA$3))),AA44),"NA ")</f>
        <v>0.53536028834548277</v>
      </c>
      <c r="AB44" s="244">
        <f ca="1">IFERROR(IF(BB_Switch=1,IF(_xll.BDP($D44,$D$30, "EQY_FUND_RELATIVE_PERIOD", AB$3)="#N/A N/A","NA  ",(_xll.BDP($D44,$D$30, "EQY_FUND_RELATIVE_PERIOD", AB$3))),AB44),"NA ")</f>
        <v>0.89525103589302046</v>
      </c>
      <c r="AC44" s="244">
        <f ca="1">IFERROR(IF(BB_Switch=1,IF(_xll.BDP($D44,$D$30, "EQY_FUND_RELATIVE_PERIOD", AC$3)="#N/A N/A","NA  ",(_xll.BDP($D44,$D$30, "EQY_FUND_RELATIVE_PERIOD", AC$3))),AC44),"NA ")</f>
        <v>0.87453969110406682</v>
      </c>
      <c r="AD44" s="244">
        <f ca="1">IFERROR(IF(BB_Switch=1,IF(_xll.BDP($D44,$D$30, "EQY_FUND_RELATIVE_PERIOD", AD$3)="#N/A N/A","NA  ",(_xll.BDP($D44,$D$30, "EQY_FUND_RELATIVE_PERIOD", AD$3))),AD44),"NA ")</f>
        <v>0.56674482997317643</v>
      </c>
      <c r="AE44" s="244">
        <f ca="1">IFERROR(IF(BB_Switch=1,IF(_xll.BDP($D44,$D$30, "EQY_FUND_RELATIVE_PERIOD", AE$3)="#N/A N/A","NA  ",(_xll.BDP($D44,$D$30, "EQY_FUND_RELATIVE_PERIOD", AE$3))),AE44),"NA ")</f>
        <v>0.58777239260554048</v>
      </c>
      <c r="AF44" s="234">
        <f ca="1">IFERROR(+AVERAGEIFS(V44:AE44,V44:AE44,"&gt;="&amp;$AL$32,V44:AE44,"&lt;="&amp;$AL$33),"NA  ")</f>
        <v>0.69193364758425735</v>
      </c>
      <c r="AG44" s="244">
        <f ca="1">AG305/AG325</f>
        <v>0.35640714718999944</v>
      </c>
      <c r="AH44" s="257">
        <f ca="1">IFERROR(IF(BB_Switch=1,IF(_xll.BDP($D44,$F$30, "BEST_FPERIOD_OVERRIDE", AH$3)="#N/A N/A","NA  ",(_xll.BDP($D44,$F$30, "BEST_FPERIOD_OVERRIDE", AH$3))),AH44),"NM ")</f>
        <v>0.36224010767160159</v>
      </c>
      <c r="AI44" s="257">
        <f ca="1">IFERROR(IF(BB_Switch=1,IF(_xll.BDP($D44,$F$30, "BEST_FPERIOD_OVERRIDE", AI$3)="#N/A N/A","NA  ",(_xll.BDP($D44,$F$30, "BEST_FPERIOD_OVERRIDE", AI$3))),AI44),"NM ")</f>
        <v>0.33484000995272456</v>
      </c>
      <c r="AJ44" s="257">
        <f ca="1">IFERROR(IF(BB_Switch=1,IF(_xll.BDP($D44,$F$30, "BEST_FPERIOD_OVERRIDE", AJ$3)="#N/A N/A","NA  ",(_xll.BDP($D44,$F$30, "BEST_FPERIOD_OVERRIDE", AJ$3))),AJ44),"NM ")</f>
        <v>0.3234597634842804</v>
      </c>
      <c r="AK44" s="238"/>
      <c r="AM44" s="226"/>
    </row>
    <row r="45" spans="3:39" ht="11.25" customHeight="1">
      <c r="C45" s="229"/>
      <c r="D45" s="227"/>
      <c r="E45" s="244"/>
      <c r="F45" s="244"/>
      <c r="G45" s="244"/>
      <c r="H45" s="244"/>
      <c r="I45" s="244"/>
      <c r="J45" s="244"/>
      <c r="K45" s="244"/>
      <c r="L45" s="244"/>
      <c r="M45" s="244"/>
      <c r="N45" s="244"/>
      <c r="O45" s="244"/>
      <c r="P45" s="257"/>
      <c r="Q45" s="257"/>
      <c r="R45" s="257"/>
      <c r="S45" s="257"/>
      <c r="T45" s="257"/>
      <c r="U45" s="227"/>
      <c r="V45" s="244"/>
      <c r="W45" s="244"/>
      <c r="X45" s="244"/>
      <c r="Y45" s="244"/>
      <c r="Z45" s="244"/>
      <c r="AA45" s="244"/>
      <c r="AB45" s="244"/>
      <c r="AC45" s="244"/>
      <c r="AD45" s="244"/>
      <c r="AE45" s="244"/>
      <c r="AF45" s="244"/>
      <c r="AG45" s="244"/>
      <c r="AH45" s="257"/>
      <c r="AI45" s="257"/>
      <c r="AJ45" s="257"/>
      <c r="AK45" s="238"/>
      <c r="AM45" s="226"/>
    </row>
    <row r="46" spans="3:39" ht="11.25" customHeight="1">
      <c r="C46" s="224" t="s">
        <v>482</v>
      </c>
      <c r="D46" s="223"/>
      <c r="E46" s="250">
        <f t="shared" ref="E46:T46" ca="1" si="12">AVERAGE(E32:E38,E41:E44)</f>
        <v>1.7001835474284386</v>
      </c>
      <c r="F46" s="250">
        <f t="shared" ca="1" si="12"/>
        <v>1.6399382740301605</v>
      </c>
      <c r="G46" s="250">
        <f t="shared" ca="1" si="12"/>
        <v>1.7887687495668587</v>
      </c>
      <c r="H46" s="250">
        <f t="shared" ca="1" si="12"/>
        <v>1.8145983229559945</v>
      </c>
      <c r="I46" s="250">
        <f t="shared" ca="1" si="12"/>
        <v>1.7077582619634577</v>
      </c>
      <c r="J46" s="250">
        <f t="shared" ca="1" si="12"/>
        <v>1.7180697410996078</v>
      </c>
      <c r="K46" s="250">
        <f t="shared" ca="1" si="12"/>
        <v>1.6887633316239625</v>
      </c>
      <c r="L46" s="250">
        <f t="shared" ca="1" si="12"/>
        <v>1.4110467940519391</v>
      </c>
      <c r="M46" s="250">
        <f t="shared" ca="1" si="12"/>
        <v>1.619979636824975</v>
      </c>
      <c r="N46" s="250">
        <f t="shared" ca="1" si="12"/>
        <v>1.4089302439847584</v>
      </c>
      <c r="O46" s="250">
        <f t="shared" ca="1" si="12"/>
        <v>1.4325586789335267</v>
      </c>
      <c r="P46" s="250">
        <f t="shared" ca="1" si="12"/>
        <v>1.0385010387118192</v>
      </c>
      <c r="Q46" s="250">
        <f t="shared" ca="1" si="12"/>
        <v>1.0326631533237214</v>
      </c>
      <c r="R46" s="250">
        <f t="shared" ca="1" si="12"/>
        <v>1.118178995330523</v>
      </c>
      <c r="S46" s="250">
        <f t="shared" ca="1" si="12"/>
        <v>1.1118826941971429</v>
      </c>
      <c r="T46" s="291">
        <f t="shared" ca="1" si="12"/>
        <v>1.1125662870882103</v>
      </c>
      <c r="U46" s="219"/>
      <c r="V46" s="293">
        <f t="shared" ref="V46:AJ46" ca="1" si="13">AVERAGE(V32:V38,V41:V44)</f>
        <v>0.97603631171495386</v>
      </c>
      <c r="W46" s="250">
        <f t="shared" ca="1" si="13"/>
        <v>0.74808323852885983</v>
      </c>
      <c r="X46" s="250">
        <f t="shared" ca="1" si="13"/>
        <v>1.1421189558025215</v>
      </c>
      <c r="Y46" s="250">
        <f t="shared" ca="1" si="13"/>
        <v>1.3279644694191128</v>
      </c>
      <c r="Z46" s="250">
        <f t="shared" ca="1" si="13"/>
        <v>1.1924423284066412</v>
      </c>
      <c r="AA46" s="250">
        <f t="shared" ca="1" si="13"/>
        <v>1.4007391608392079</v>
      </c>
      <c r="AB46" s="250">
        <f t="shared" ca="1" si="13"/>
        <v>1.5957833905523138</v>
      </c>
      <c r="AC46" s="250">
        <f t="shared" ca="1" si="13"/>
        <v>3.1473319134667954</v>
      </c>
      <c r="AD46" s="250">
        <f t="shared" ca="1" si="13"/>
        <v>1.6610763159143604</v>
      </c>
      <c r="AE46" s="250">
        <f t="shared" ca="1" si="13"/>
        <v>1.5773016777540754</v>
      </c>
      <c r="AF46" s="250">
        <f t="shared" ca="1" si="13"/>
        <v>1.3744303202819812</v>
      </c>
      <c r="AG46" s="250">
        <f t="shared" ca="1" si="13"/>
        <v>0.94386960998347824</v>
      </c>
      <c r="AH46" s="250">
        <f t="shared" ca="1" si="13"/>
        <v>1.0330046817756446</v>
      </c>
      <c r="AI46" s="250">
        <f t="shared" ca="1" si="13"/>
        <v>0.99535873951973597</v>
      </c>
      <c r="AJ46" s="291">
        <f t="shared" ca="1" si="13"/>
        <v>0.96467280079695295</v>
      </c>
    </row>
    <row r="47" spans="3:39" ht="11.25" customHeight="1">
      <c r="C47" s="221" t="s">
        <v>481</v>
      </c>
      <c r="D47" s="220"/>
      <c r="E47" s="249">
        <f t="shared" ref="E47:T47" ca="1" si="14">MEDIAN(E32:E38,E41:E44)</f>
        <v>1.5421150879625618</v>
      </c>
      <c r="F47" s="249">
        <f t="shared" ca="1" si="14"/>
        <v>1.5040100767575635</v>
      </c>
      <c r="G47" s="249">
        <f t="shared" ca="1" si="14"/>
        <v>1.5458682139191506</v>
      </c>
      <c r="H47" s="249">
        <f t="shared" ca="1" si="14"/>
        <v>1.5752575592216451</v>
      </c>
      <c r="I47" s="249">
        <f t="shared" ca="1" si="14"/>
        <v>1.4909504945369561</v>
      </c>
      <c r="J47" s="249">
        <f t="shared" ca="1" si="14"/>
        <v>1.489495246603473</v>
      </c>
      <c r="K47" s="249">
        <f t="shared" ca="1" si="14"/>
        <v>1.4704112076803133</v>
      </c>
      <c r="L47" s="249">
        <f t="shared" ca="1" si="14"/>
        <v>1.13836217803432</v>
      </c>
      <c r="M47" s="249">
        <f t="shared" ca="1" si="14"/>
        <v>1.3170751928807936</v>
      </c>
      <c r="N47" s="249">
        <f t="shared" ca="1" si="14"/>
        <v>1.2550780757451983</v>
      </c>
      <c r="O47" s="249">
        <f t="shared" ca="1" si="14"/>
        <v>1.263397999763483</v>
      </c>
      <c r="P47" s="249">
        <f t="shared" ca="1" si="14"/>
        <v>0.90046258716991112</v>
      </c>
      <c r="Q47" s="249">
        <f t="shared" ca="1" si="14"/>
        <v>0.89588058891711264</v>
      </c>
      <c r="R47" s="249">
        <f t="shared" ca="1" si="14"/>
        <v>0.93217614565250728</v>
      </c>
      <c r="S47" s="249">
        <f t="shared" ca="1" si="14"/>
        <v>0.94314197358209406</v>
      </c>
      <c r="T47" s="292">
        <f t="shared" ca="1" si="14"/>
        <v>0.9583802745053247</v>
      </c>
      <c r="U47" s="219"/>
      <c r="V47" s="294">
        <f t="shared" ref="V47:AJ47" ca="1" si="15">MEDIAN(V32:V38,V41:V44)</f>
        <v>1.0400712792853206</v>
      </c>
      <c r="W47" s="249">
        <f t="shared" ca="1" si="15"/>
        <v>0.69403116776814677</v>
      </c>
      <c r="X47" s="249">
        <f t="shared" ca="1" si="15"/>
        <v>1.0590243322931601</v>
      </c>
      <c r="Y47" s="249">
        <f t="shared" ca="1" si="15"/>
        <v>1.101836492099062</v>
      </c>
      <c r="Z47" s="249">
        <f t="shared" ca="1" si="15"/>
        <v>1.0549644960945026</v>
      </c>
      <c r="AA47" s="249">
        <f t="shared" ca="1" si="15"/>
        <v>1.3536899647502671</v>
      </c>
      <c r="AB47" s="249">
        <f t="shared" ca="1" si="15"/>
        <v>1.4393140119560077</v>
      </c>
      <c r="AC47" s="249">
        <f t="shared" ca="1" si="15"/>
        <v>1.5752575592216451</v>
      </c>
      <c r="AD47" s="249">
        <f t="shared" ca="1" si="15"/>
        <v>1.226936176435004</v>
      </c>
      <c r="AE47" s="249">
        <f t="shared" ca="1" si="15"/>
        <v>1.3426148095100816</v>
      </c>
      <c r="AF47" s="249">
        <f t="shared" ca="1" si="15"/>
        <v>1.2150591900064054</v>
      </c>
      <c r="AG47" s="249">
        <f t="shared" ca="1" si="15"/>
        <v>0.91864915704329353</v>
      </c>
      <c r="AH47" s="249">
        <f t="shared" ca="1" si="15"/>
        <v>0.89004921433471629</v>
      </c>
      <c r="AI47" s="249">
        <f t="shared" ca="1" si="15"/>
        <v>0.86579377220772413</v>
      </c>
      <c r="AJ47" s="292">
        <f t="shared" ca="1" si="15"/>
        <v>0.8434739056795918</v>
      </c>
    </row>
    <row r="48" spans="3:39" ht="11.25" customHeight="1">
      <c r="C48" s="219"/>
      <c r="D48" s="219"/>
      <c r="E48" s="239"/>
      <c r="F48" s="239"/>
      <c r="G48" s="239"/>
      <c r="H48" s="239"/>
      <c r="I48" s="239"/>
      <c r="J48" s="239"/>
      <c r="K48" s="239"/>
      <c r="L48" s="239"/>
      <c r="M48" s="239"/>
      <c r="N48" s="239"/>
      <c r="O48" s="239"/>
      <c r="P48" s="239"/>
      <c r="Q48" s="239"/>
      <c r="R48" s="239"/>
      <c r="S48" s="239"/>
      <c r="T48" s="239"/>
      <c r="U48" s="219"/>
      <c r="V48" s="239"/>
      <c r="W48" s="239"/>
      <c r="X48" s="239"/>
      <c r="Y48" s="239"/>
      <c r="Z48" s="239"/>
      <c r="AA48" s="239"/>
      <c r="AB48" s="239"/>
      <c r="AC48" s="239"/>
      <c r="AD48" s="239"/>
      <c r="AE48" s="239"/>
      <c r="AF48" s="239"/>
      <c r="AG48" s="239"/>
      <c r="AH48" s="239"/>
      <c r="AI48" s="239"/>
      <c r="AJ48" s="239"/>
    </row>
    <row r="49" spans="2:39" ht="11.25" customHeight="1">
      <c r="B49" s="231" t="s">
        <v>14</v>
      </c>
      <c r="C49" s="232" t="s">
        <v>522</v>
      </c>
      <c r="D49" s="232"/>
      <c r="E49" s="232"/>
      <c r="F49" s="232"/>
      <c r="G49" s="232"/>
      <c r="H49" s="232"/>
      <c r="I49" s="232"/>
      <c r="J49" s="232"/>
      <c r="K49" s="232"/>
      <c r="L49" s="232"/>
      <c r="M49" s="232"/>
      <c r="N49" s="232"/>
      <c r="O49" s="232"/>
      <c r="P49" s="232"/>
      <c r="Q49" s="232"/>
      <c r="R49" s="232"/>
      <c r="S49" s="232"/>
      <c r="T49" s="232"/>
      <c r="U49" s="233"/>
      <c r="V49" s="232"/>
      <c r="W49" s="231"/>
      <c r="X49" s="231"/>
      <c r="Y49" s="231"/>
      <c r="Z49" s="231"/>
      <c r="AA49" s="231"/>
      <c r="AB49" s="231"/>
      <c r="AC49" s="231"/>
      <c r="AD49" s="231"/>
      <c r="AE49" s="231"/>
      <c r="AF49" s="231"/>
      <c r="AG49" s="231"/>
      <c r="AH49" s="231"/>
      <c r="AI49" s="231"/>
      <c r="AJ49" s="231"/>
    </row>
    <row r="50" spans="2:39" ht="11.25" customHeight="1">
      <c r="D50" s="217" t="s">
        <v>521</v>
      </c>
      <c r="F50" s="217" t="s">
        <v>520</v>
      </c>
      <c r="X50" s="217" t="s">
        <v>520</v>
      </c>
      <c r="AK50" s="256"/>
    </row>
    <row r="51" spans="2:39" ht="11.25" customHeight="1">
      <c r="C51" s="428" t="str">
        <f>+C11</f>
        <v>Commodity Chemicals</v>
      </c>
    </row>
    <row r="52" spans="2:39" ht="11.25" customHeight="1">
      <c r="C52" s="229" t="str">
        <f ca="1">IFERROR(IF(BB_Switch=1,_xll.BDP($D52,$C$270),C52), "NA ")</f>
        <v>DuPont de Nemours Inc</v>
      </c>
      <c r="D52" s="227" t="str">
        <f t="shared" ref="D52:D58" si="16">D12</f>
        <v>DD US EQUITY</v>
      </c>
      <c r="E52" s="244">
        <f ca="1">IFERROR(IF(BB_Switch=1,IF(_xll.BDP($D52,$D$50, "EQY_FUND_RELATIVE_PERIOD", E$3)="#N/A N/A","NA  ",(_xll.BDP($D52,$D$50, "EQY_FUND_RELATIVE_PERIOD", E$3))),E52),"NA ")</f>
        <v>27.075062350621632</v>
      </c>
      <c r="F52" s="244">
        <f ca="1">IFERROR(IF(BB_Switch=1,IF(_xll.BDP($D52,$D$50, "EQY_FUND_RELATIVE_PERIOD", F$3)="#N/A N/A","NA  ",(_xll.BDP($D52,$D$50, "EQY_FUND_RELATIVE_PERIOD", F$3))),F52),"NA ")</f>
        <v>25.615417825357842</v>
      </c>
      <c r="G52" s="244">
        <f ca="1">IFERROR(IF(BB_Switch=1,IF(_xll.BDP($D52,$D$50, "EQY_FUND_RELATIVE_PERIOD", G$3)="#N/A N/A","NA  ",(_xll.BDP($D52,$D$50, "EQY_FUND_RELATIVE_PERIOD", G$3))),G52),"NA ")</f>
        <v>26.174595859022414</v>
      </c>
      <c r="H52" s="244">
        <f ca="1">IFERROR(IF(BB_Switch=1,IF(_xll.BDP($D52,$D$50, "EQY_FUND_RELATIVE_PERIOD", H$3)="#N/A N/A","NA  ",(_xll.BDP($D52,$D$50, "EQY_FUND_RELATIVE_PERIOD", H$3))),H52),"NA ")</f>
        <v>24.730102632356569</v>
      </c>
      <c r="I52" s="244">
        <f ca="1">IFERROR(IF(BB_Switch=1,IF(_xll.BDP($D52,$D$50, "EQY_FUND_RELATIVE_PERIOD", I$3)="#N/A N/A","NA  ",(_xll.BDP($D52,$D$50, "EQY_FUND_RELATIVE_PERIOD", I$3))),I52),"NA ")</f>
        <v>19.553261229851334</v>
      </c>
      <c r="J52" s="244">
        <f ca="1">IFERROR(IF(BB_Switch=1,IF(_xll.BDP($D52,$D$50, "EQY_FUND_RELATIVE_PERIOD", J$3)="#N/A N/A","NA  ",(_xll.BDP($D52,$D$50, "EQY_FUND_RELATIVE_PERIOD", J$3))),J52),"NA ")</f>
        <v>26.425925628978721</v>
      </c>
      <c r="K52" s="244">
        <f ca="1">IFERROR(IF(BB_Switch=1,IF(_xll.BDP($D52,$D$50, "EQY_FUND_RELATIVE_PERIOD", K$3)="#N/A N/A","NA  ",(_xll.BDP($D52,$D$50, "EQY_FUND_RELATIVE_PERIOD", K$3))),K52),"NA ")</f>
        <v>31.008746192616826</v>
      </c>
      <c r="L52" s="244">
        <f ca="1">IFERROR(IF(BB_Switch=1,IF(_xll.BDP($D52,$D$50, "EQY_FUND_RELATIVE_PERIOD", L$3)="#N/A N/A","NA  ",(_xll.BDP($D52,$D$50, "EQY_FUND_RELATIVE_PERIOD", L$3))),L52),"NA ")</f>
        <v>32.096582626194241</v>
      </c>
      <c r="M52" s="244">
        <f ca="1">IFERROR(IF(BB_Switch=1,IF(_xll.BDP($D52,$D$50, "EQY_FUND_RELATIVE_PERIOD", M$3)="#N/A N/A","NA  ",(_xll.BDP($D52,$D$50, "EQY_FUND_RELATIVE_PERIOD", M$3))),M52),"NA ")</f>
        <v>39.434265129043474</v>
      </c>
      <c r="N52" s="244">
        <f ca="1">IFERROR(IF(BB_Switch=1,IF(_xll.BDP($D52,$D$50, "EQY_FUND_RELATIVE_PERIOD", N$3)="#N/A N/A","NA  ",(_xll.BDP($D52,$D$50, "EQY_FUND_RELATIVE_PERIOD", N$3))),N52),"NA ")</f>
        <v>16.925710633024057</v>
      </c>
      <c r="O52" s="244">
        <f ca="1">IFERROR(IF(BB_Switch=1,IF(_xll.BDP($D52,$D$50, "EQY_FUND_RELATIVE_PERIOD", O$3)="#N/A N/A","NA  ",(_xll.BDP($D52,$D$50, "EQY_FUND_RELATIVE_PERIOD", O$3))),O52),"NA ")</f>
        <v>15.323761198201849</v>
      </c>
      <c r="P52" s="257">
        <f ca="1">IFERROR(IF(BB_Switch=1,IF(_xll.BDP($D52,$F$50, "BEST_FPERIOD_OVERRIDE", P$3)="#N/A N/A","NA  ",(_xll.BDP($D52,$F$50, "BEST_FPERIOD_OVERRIDE", P$3))),P52),"NM ")</f>
        <v>9.4248761695101813</v>
      </c>
      <c r="Q52" s="257">
        <f ca="1">IFERROR(IF(BB_Switch=1,IF(_xll.BDP($D52,$F$50, "BEST_FPERIOD_OVERRIDE", Q$3)="#N/A N/A","NA  ",(_xll.BDP($D52,$F$50, "BEST_FPERIOD_OVERRIDE", Q$3))),Q52),"NM ")</f>
        <v>9.3451568894952253</v>
      </c>
      <c r="R52" s="257">
        <f ca="1">IFERROR(IF(BB_Switch=1,IF(_xll.BDP($D52,$F$50, "BEST_FPERIOD_OVERRIDE", R$3)="#N/A N/A","NA  ",(_xll.BDP($D52,$F$50, "BEST_FPERIOD_OVERRIDE", R$3))),R52),"NM ")</f>
        <v>9.056054997355897</v>
      </c>
      <c r="S52" s="257">
        <f ca="1">IFERROR(IF(BB_Switch=1,IF(_xll.BDP($D52,$F$50, "BEST_FPERIOD_OVERRIDE", S$3)="#N/A N/A","NA  ",(_xll.BDP($D52,$F$50, "BEST_FPERIOD_OVERRIDE", S$3))),S52),"NM ")</f>
        <v>8.9355596138794677</v>
      </c>
      <c r="T52" s="257">
        <f ca="1">IFERROR(IF(BB_Switch=1,IF(_xll.BDP($D52,$F$50, "BEST_FPERIOD_OVERRIDE", T$3)="#N/A N/A","NA  ",(_xll.BDP($D52,$F$50, "BEST_FPERIOD_OVERRIDE", T$3))),T52),"NM ")</f>
        <v>8.7461695607763019</v>
      </c>
      <c r="U52" s="227"/>
      <c r="V52" s="244" t="str">
        <f ca="1">IFERROR(IF(BB_Switch=1,IF(_xll.BDP($D52,$D$50, "EQY_FUND_RELATIVE_PERIOD", V$3)="#N/A N/A","NA  ",(_xll.BDP($D52,$D$50, "EQY_FUND_RELATIVE_PERIOD", V$3))),V52),"NA ")</f>
        <v xml:space="preserve">NA  </v>
      </c>
      <c r="W52" s="244" t="str">
        <f ca="1">IFERROR(IF(BB_Switch=1,IF(_xll.BDP($D52,$D$50, "EQY_FUND_RELATIVE_PERIOD", W$3)="#N/A N/A","NA  ",(_xll.BDP($D52,$D$50, "EQY_FUND_RELATIVE_PERIOD", W$3))),W52),"NA ")</f>
        <v xml:space="preserve">NA  </v>
      </c>
      <c r="X52" s="244" t="str">
        <f ca="1">IFERROR(IF(BB_Switch=1,IF(_xll.BDP($D52,$D$50, "EQY_FUND_RELATIVE_PERIOD", X$3)="#N/A N/A","NA  ",(_xll.BDP($D52,$D$50, "EQY_FUND_RELATIVE_PERIOD", X$3))),X52),"NA ")</f>
        <v xml:space="preserve">NA  </v>
      </c>
      <c r="Y52" s="244" t="str">
        <f ca="1">IFERROR(IF(BB_Switch=1,IF(_xll.BDP($D52,$D$50, "EQY_FUND_RELATIVE_PERIOD", Y$3)="#N/A N/A","NA  ",(_xll.BDP($D52,$D$50, "EQY_FUND_RELATIVE_PERIOD", Y$3))),Y52),"NA ")</f>
        <v xml:space="preserve">NA  </v>
      </c>
      <c r="Z52" s="244" t="str">
        <f ca="1">IFERROR(IF(BB_Switch=1,IF(_xll.BDP($D52,$D$50, "EQY_FUND_RELATIVE_PERIOD", Z$3)="#N/A N/A","NA  ",(_xll.BDP($D52,$D$50, "EQY_FUND_RELATIVE_PERIOD", Z$3))),Z52),"NA ")</f>
        <v xml:space="preserve">NA  </v>
      </c>
      <c r="AA52" s="244">
        <f ca="1">IFERROR(IF(BB_Switch=1,IF(_xll.BDP($D52,$D$50, "EQY_FUND_RELATIVE_PERIOD", AA$3)="#N/A N/A","NA  ",(_xll.BDP($D52,$D$50, "EQY_FUND_RELATIVE_PERIOD", AA$3))),AA52),"NA ")</f>
        <v>12.56557077543094</v>
      </c>
      <c r="AB52" s="244">
        <f ca="1">IFERROR(IF(BB_Switch=1,IF(_xll.BDP($D52,$D$50, "EQY_FUND_RELATIVE_PERIOD", AB$3)="#N/A N/A","NA  ",(_xll.BDP($D52,$D$50, "EQY_FUND_RELATIVE_PERIOD", AB$3))),AB52),"NA ")</f>
        <v>23.264380452716225</v>
      </c>
      <c r="AC52" s="244">
        <f ca="1">IFERROR(IF(BB_Switch=1,IF(_xll.BDP($D52,$D$50, "EQY_FUND_RELATIVE_PERIOD", AC$3)="#N/A N/A","NA  ",(_xll.BDP($D52,$D$50, "EQY_FUND_RELATIVE_PERIOD", AC$3))),AC52),"NA ")</f>
        <v>93.531462791629181</v>
      </c>
      <c r="AD52" s="244">
        <f ca="1">IFERROR(IF(BB_Switch=1,IF(_xll.BDP($D52,$D$50, "EQY_FUND_RELATIVE_PERIOD", AD$3)="#N/A N/A","NA  ",(_xll.BDP($D52,$D$50, "EQY_FUND_RELATIVE_PERIOD", AD$3))),AD52),"NA ")</f>
        <v>67.697659316719466</v>
      </c>
      <c r="AE52" s="244">
        <f ca="1">IFERROR(IF(BB_Switch=1,IF(_xll.BDP($D52,$D$50, "EQY_FUND_RELATIVE_PERIOD", AE$3)="#N/A N/A","NA  ",(_xll.BDP($D52,$D$50, "EQY_FUND_RELATIVE_PERIOD", AE$3))),AE52),"NA ")</f>
        <v>25.485353067412333</v>
      </c>
      <c r="AF52" s="236">
        <f ca="1">IFERROR(+AVERAGEIFS(V52:AE52,V52:AE52,"&gt;="&amp;$AL$57,V52:AE52,"&lt;="&amp;$AL$58),"NA  ")</f>
        <v>17.914975614073583</v>
      </c>
      <c r="AG52" s="244">
        <f ca="1">IFERROR(IF(BB_Switch=1,IF(_xll.BDP($D52,$D$50)="#N/A N/A","NA  ",(_xll.BDP($D52,$D$50))),AG52),"NA ")</f>
        <v>7.9017294012597601</v>
      </c>
      <c r="AH52" s="257">
        <f ca="1">IFERROR(IF(BB_Switch=1,IF(_xll.BDP($D52,$X$50, "BEST_FPERIOD_OVERRIDE", AH$3)="#N/A N/A","NA  ",(_xll.BDP($D52,$X$50, "BEST_FPERIOD_OVERRIDE", AH$3))),AH52),"NM ")</f>
        <v>9.3298828657041675</v>
      </c>
      <c r="AI52" s="257">
        <f ca="1">IFERROR(IF(BB_Switch=1,IF(_xll.BDP($D52,$X$50, "BEST_FPERIOD_OVERRIDE", AI$3)="#N/A N/A","NA  ",(_xll.BDP($D52,$X$50, "BEST_FPERIOD_OVERRIDE", AI$3))),AI52),"NM ")</f>
        <v>8.2689521970062767</v>
      </c>
      <c r="AJ52" s="257">
        <f ca="1">IFERROR(IF(BB_Switch=1,IF(_xll.BDP($D52,$X$50, "BEST_FPERIOD_OVERRIDE", AJ$3)="#N/A N/A","NA  ",(_xll.BDP($D52,$X$50, "BEST_FPERIOD_OVERRIDE", AJ$3))),AJ52),"NM ")</f>
        <v>7.3926181739693506</v>
      </c>
      <c r="AK52" s="256"/>
    </row>
    <row r="53" spans="2:39" ht="11.25" customHeight="1">
      <c r="C53" s="229" t="str">
        <f ca="1">IFERROR(IF(BB_Switch=1,_xll.BDP($D53,$C$270),C53), "NA ")</f>
        <v>PolyOne Corp</v>
      </c>
      <c r="D53" s="227" t="str">
        <f t="shared" si="16"/>
        <v>POL US EQUITY</v>
      </c>
      <c r="E53" s="244">
        <f ca="1">IFERROR(IF(BB_Switch=1,IF(_xll.BDP($D53,$D$50, "EQY_FUND_RELATIVE_PERIOD", E$3)="#N/A N/A","NA  ",(_xll.BDP($D53,$D$50, "EQY_FUND_RELATIVE_PERIOD", E$3))),E53),"NA ")</f>
        <v>16.239589441837357</v>
      </c>
      <c r="F53" s="244">
        <f ca="1">IFERROR(IF(BB_Switch=1,IF(_xll.BDP($D53,$D$50, "EQY_FUND_RELATIVE_PERIOD", F$3)="#N/A N/A","NA  ",(_xll.BDP($D53,$D$50, "EQY_FUND_RELATIVE_PERIOD", F$3))),F53),"NA ")</f>
        <v>18.258031130084465</v>
      </c>
      <c r="G53" s="244">
        <f ca="1">IFERROR(IF(BB_Switch=1,IF(_xll.BDP($D53,$D$50, "EQY_FUND_RELATIVE_PERIOD", G$3)="#N/A N/A","NA  ",(_xll.BDP($D53,$D$50, "EQY_FUND_RELATIVE_PERIOD", G$3))),G53),"NA ")</f>
        <v>18.623715345141228</v>
      </c>
      <c r="H53" s="244">
        <f ca="1">IFERROR(IF(BB_Switch=1,IF(_xll.BDP($D53,$D$50, "EQY_FUND_RELATIVE_PERIOD", H$3)="#N/A N/A","NA  ",(_xll.BDP($D53,$D$50, "EQY_FUND_RELATIVE_PERIOD", H$3))),H53),"NA ")</f>
        <v>20.360736075713852</v>
      </c>
      <c r="I53" s="244">
        <f ca="1">IFERROR(IF(BB_Switch=1,IF(_xll.BDP($D53,$D$50, "EQY_FUND_RELATIVE_PERIOD", I$3)="#N/A N/A","NA  ",(_xll.BDP($D53,$D$50, "EQY_FUND_RELATIVE_PERIOD", I$3))),I53),"NA ")</f>
        <v>18.804291199397131</v>
      </c>
      <c r="J53" s="244">
        <f ca="1">IFERROR(IF(BB_Switch=1,IF(_xll.BDP($D53,$D$50, "EQY_FUND_RELATIVE_PERIOD", J$3)="#N/A N/A","NA  ",(_xll.BDP($D53,$D$50, "EQY_FUND_RELATIVE_PERIOD", J$3))),J53),"NA ")</f>
        <v>18.378624324674856</v>
      </c>
      <c r="K53" s="244">
        <f ca="1">IFERROR(IF(BB_Switch=1,IF(_xll.BDP($D53,$D$50, "EQY_FUND_RELATIVE_PERIOD", K$3)="#N/A N/A","NA  ",(_xll.BDP($D53,$D$50, "EQY_FUND_RELATIVE_PERIOD", K$3))),K53),"NA ")</f>
        <v>20.07735199382066</v>
      </c>
      <c r="L53" s="244">
        <f ca="1">IFERROR(IF(BB_Switch=1,IF(_xll.BDP($D53,$D$50, "EQY_FUND_RELATIVE_PERIOD", L$3)="#N/A N/A","NA  ",(_xll.BDP($D53,$D$50, "EQY_FUND_RELATIVE_PERIOD", L$3))),L53),"NA ")</f>
        <v>14.086463302792962</v>
      </c>
      <c r="M53" s="244">
        <f ca="1">IFERROR(IF(BB_Switch=1,IF(_xll.BDP($D53,$D$50, "EQY_FUND_RELATIVE_PERIOD", M$3)="#N/A N/A","NA  ",(_xll.BDP($D53,$D$50, "EQY_FUND_RELATIVE_PERIOD", M$3))),M53),"NA ")</f>
        <v>14.755663133899461</v>
      </c>
      <c r="N53" s="244">
        <f ca="1">IFERROR(IF(BB_Switch=1,IF(_xll.BDP($D53,$D$50, "EQY_FUND_RELATIVE_PERIOD", N$3)="#N/A N/A","NA  ",(_xll.BDP($D53,$D$50, "EQY_FUND_RELATIVE_PERIOD", N$3))),N53),"NA ")</f>
        <v>15.616899883681707</v>
      </c>
      <c r="O53" s="244">
        <f ca="1">IFERROR(IF(BB_Switch=1,IF(_xll.BDP($D53,$D$50, "EQY_FUND_RELATIVE_PERIOD", O$3)="#N/A N/A","NA  ",(_xll.BDP($D53,$D$50, "EQY_FUND_RELATIVE_PERIOD", O$3))),O53),"NA ")</f>
        <v>15.99938060590855</v>
      </c>
      <c r="P53" s="257">
        <f ca="1">IFERROR(IF(BB_Switch=1,IF(_xll.BDP($D53,$F$50, "BEST_FPERIOD_OVERRIDE", P$3)="#N/A N/A","NA  ",(_xll.BDP($D53,$F$50, "BEST_FPERIOD_OVERRIDE", P$3))),P53),"NM ")</f>
        <v>8.8734030197444831</v>
      </c>
      <c r="Q53" s="257">
        <f ca="1">IFERROR(IF(BB_Switch=1,IF(_xll.BDP($D53,$F$50, "BEST_FPERIOD_OVERRIDE", Q$3)="#N/A N/A","NA  ",(_xll.BDP($D53,$F$50, "BEST_FPERIOD_OVERRIDE", Q$3))),Q53),"NM ")</f>
        <v>8.4513274336283182</v>
      </c>
      <c r="R53" s="257">
        <f ca="1">IFERROR(IF(BB_Switch=1,IF(_xll.BDP($D53,$F$50, "BEST_FPERIOD_OVERRIDE", R$3)="#N/A N/A","NA  ",(_xll.BDP($D53,$F$50, "BEST_FPERIOD_OVERRIDE", R$3))),R53),"NM ")</f>
        <v>8.3542919628212129</v>
      </c>
      <c r="S53" s="257">
        <f ca="1">IFERROR(IF(BB_Switch=1,IF(_xll.BDP($D53,$F$50, "BEST_FPERIOD_OVERRIDE", S$3)="#N/A N/A","NA  ",(_xll.BDP($D53,$F$50, "BEST_FPERIOD_OVERRIDE", S$3))),S53),"NM ")</f>
        <v>8.2505399568034541</v>
      </c>
      <c r="T53" s="257">
        <f ca="1">IFERROR(IF(BB_Switch=1,IF(_xll.BDP($D53,$F$50, "BEST_FPERIOD_OVERRIDE", T$3)="#N/A N/A","NA  ",(_xll.BDP($D53,$F$50, "BEST_FPERIOD_OVERRIDE", T$3))),T53),"NM ")</f>
        <v>8.3224400871459689</v>
      </c>
      <c r="U53" s="227"/>
      <c r="V53" s="244">
        <f ca="1">IFERROR(IF(BB_Switch=1,IF(_xll.BDP($D53,$D$50, "EQY_FUND_RELATIVE_PERIOD", V$3)="#N/A N/A","NA  ",(_xll.BDP($D53,$D$50, "EQY_FUND_RELATIVE_PERIOD", V$3))),V53),"NA ")</f>
        <v>6.4118063480476328</v>
      </c>
      <c r="W53" s="244">
        <f ca="1">IFERROR(IF(BB_Switch=1,IF(_xll.BDP($D53,$D$50, "EQY_FUND_RELATIVE_PERIOD", W$3)="#N/A N/A","NA  ",(_xll.BDP($D53,$D$50, "EQY_FUND_RELATIVE_PERIOD", W$3))),W53),"NA ")</f>
        <v>10.916865470190816</v>
      </c>
      <c r="X53" s="244">
        <f ca="1">IFERROR(IF(BB_Switch=1,IF(_xll.BDP($D53,$D$50, "EQY_FUND_RELATIVE_PERIOD", X$3)="#N/A N/A","NA  ",(_xll.BDP($D53,$D$50, "EQY_FUND_RELATIVE_PERIOD", X$3))),X53),"NA ")</f>
        <v>24.38063399200048</v>
      </c>
      <c r="Y53" s="244">
        <f ca="1">IFERROR(IF(BB_Switch=1,IF(_xll.BDP($D53,$D$50, "EQY_FUND_RELATIVE_PERIOD", Y$3)="#N/A N/A","NA  ",(_xll.BDP($D53,$D$50, "EQY_FUND_RELATIVE_PERIOD", Y$3))),Y53),"NA ")</f>
        <v>20.451897253370948</v>
      </c>
      <c r="Z53" s="244">
        <f ca="1">IFERROR(IF(BB_Switch=1,IF(_xll.BDP($D53,$D$50, "EQY_FUND_RELATIVE_PERIOD", Z$3)="#N/A N/A","NA  ",(_xll.BDP($D53,$D$50, "EQY_FUND_RELATIVE_PERIOD", Z$3))),Z53),"NA ")</f>
        <v>26.726375075875126</v>
      </c>
      <c r="AA53" s="244">
        <f ca="1">IFERROR(IF(BB_Switch=1,IF(_xll.BDP($D53,$D$50, "EQY_FUND_RELATIVE_PERIOD", AA$3)="#N/A N/A","NA  ",(_xll.BDP($D53,$D$50, "EQY_FUND_RELATIVE_PERIOD", AA$3))),AA53),"NA ")</f>
        <v>19.393453854448953</v>
      </c>
      <c r="AB53" s="244">
        <f ca="1">IFERROR(IF(BB_Switch=1,IF(_xll.BDP($D53,$D$50, "EQY_FUND_RELATIVE_PERIOD", AB$3)="#N/A N/A","NA  ",(_xll.BDP($D53,$D$50, "EQY_FUND_RELATIVE_PERIOD", AB$3))),AB53),"NA ")</f>
        <v>15.591847857824147</v>
      </c>
      <c r="AC53" s="244">
        <f ca="1">IFERROR(IF(BB_Switch=1,IF(_xll.BDP($D53,$D$50, "EQY_FUND_RELATIVE_PERIOD", AC$3)="#N/A N/A","NA  ",(_xll.BDP($D53,$D$50, "EQY_FUND_RELATIVE_PERIOD", AC$3))),AC53),"NA ")</f>
        <v>23.137054870988315</v>
      </c>
      <c r="AD53" s="244">
        <f ca="1">IFERROR(IF(BB_Switch=1,IF(_xll.BDP($D53,$D$50, "EQY_FUND_RELATIVE_PERIOD", AD$3)="#N/A N/A","NA  ",(_xll.BDP($D53,$D$50, "EQY_FUND_RELATIVE_PERIOD", AD$3))),AD53),"NA ")</f>
        <v>18.966649203201783</v>
      </c>
      <c r="AE53" s="244">
        <f ca="1">IFERROR(IF(BB_Switch=1,IF(_xll.BDP($D53,$D$50, "EQY_FUND_RELATIVE_PERIOD", AE$3)="#N/A N/A","NA  ",(_xll.BDP($D53,$D$50, "EQY_FUND_RELATIVE_PERIOD", AE$3))),AE53),"NA ")</f>
        <v>21.793125835605547</v>
      </c>
      <c r="AF53" s="235">
        <f t="shared" ref="AF53:AF64" ca="1" si="17">IFERROR(+AVERAGEIFS(V53:AE53,V53:AE53,"&gt;="&amp;$AL$57,V53:AE53,"&lt;="&amp;$AL$58),"NA  ")</f>
        <v>17.89370385396429</v>
      </c>
      <c r="AG53" s="244">
        <f ca="1">IFERROR(IF(BB_Switch=1,IF(_xll.BDP($D53,$D$50)="#N/A N/A","NA  ",(_xll.BDP($D53,$D$50))),AG53),"NA ")</f>
        <v>7.1166619003216436</v>
      </c>
      <c r="AH53" s="257">
        <f ca="1">IFERROR(IF(BB_Switch=1,IF(_xll.BDP($D53,$X$50, "BEST_FPERIOD_OVERRIDE", AH$3)="#N/A N/A","NA  ",(_xll.BDP($D53,$X$50, "BEST_FPERIOD_OVERRIDE", AH$3))),AH53),"NM ")</f>
        <v>8.4466556108347159</v>
      </c>
      <c r="AI53" s="257">
        <f ca="1">IFERROR(IF(BB_Switch=1,IF(_xll.BDP($D53,$X$50, "BEST_FPERIOD_OVERRIDE", AI$3)="#N/A N/A","NA  ",(_xll.BDP($D53,$X$50, "BEST_FPERIOD_OVERRIDE", AI$3))),AI53),"NM ")</f>
        <v>7.0188332567753786</v>
      </c>
      <c r="AJ53" s="257">
        <f ca="1">IFERROR(IF(BB_Switch=1,IF(_xll.BDP($D53,$X$50, "BEST_FPERIOD_OVERRIDE", AJ$3)="#N/A N/A","NA  ",(_xll.BDP($D53,$X$50, "BEST_FPERIOD_OVERRIDE", AJ$3))),AJ53),"NM ")</f>
        <v>5.7769376181474481</v>
      </c>
    </row>
    <row r="54" spans="2:39" ht="11.25" customHeight="1">
      <c r="C54" s="229" t="str">
        <f ca="1">IFERROR(IF(BB_Switch=1,_xll.BDP($D54,$C$270),C54), "NA ")</f>
        <v>Olin Corp</v>
      </c>
      <c r="D54" s="227" t="str">
        <f t="shared" si="16"/>
        <v>OLN US EQUITY</v>
      </c>
      <c r="E54" s="244">
        <f ca="1">IFERROR(IF(BB_Switch=1,IF(_xll.BDP($D54,$D$50, "EQY_FUND_RELATIVE_PERIOD", E$3)="#N/A N/A","NA  ",(_xll.BDP($D54,$D$50, "EQY_FUND_RELATIVE_PERIOD", E$3))),E54),"NA ")</f>
        <v>54.43756407220139</v>
      </c>
      <c r="F54" s="244">
        <f ca="1">IFERROR(IF(BB_Switch=1,IF(_xll.BDP($D54,$D$50, "EQY_FUND_RELATIVE_PERIOD", F$3)="#N/A N/A","NA  ",(_xll.BDP($D54,$D$50, "EQY_FUND_RELATIVE_PERIOD", F$3))),F54),"NA ")</f>
        <v>57.751542488771065</v>
      </c>
      <c r="G54" s="244">
        <f ca="1">IFERROR(IF(BB_Switch=1,IF(_xll.BDP($D54,$D$50, "EQY_FUND_RELATIVE_PERIOD", G$3)="#N/A N/A","NA  ",(_xll.BDP($D54,$D$50, "EQY_FUND_RELATIVE_PERIOD", G$3))),G54),"NA ")</f>
        <v>48.532133231687439</v>
      </c>
      <c r="H54" s="244">
        <f ca="1">IFERROR(IF(BB_Switch=1,IF(_xll.BDP($D54,$D$50, "EQY_FUND_RELATIVE_PERIOD", H$3)="#N/A N/A","NA  ",(_xll.BDP($D54,$D$50, "EQY_FUND_RELATIVE_PERIOD", H$3))),H54),"NA ")</f>
        <v>10.278872929383448</v>
      </c>
      <c r="I54" s="244">
        <f ca="1">IFERROR(IF(BB_Switch=1,IF(_xll.BDP($D54,$D$50, "EQY_FUND_RELATIVE_PERIOD", I$3)="#N/A N/A","NA  ",(_xll.BDP($D54,$D$50, "EQY_FUND_RELATIVE_PERIOD", I$3))),I54),"NA ")</f>
        <v>8.8228352045930993</v>
      </c>
      <c r="J54" s="244">
        <f ca="1">IFERROR(IF(BB_Switch=1,IF(_xll.BDP($D54,$D$50, "EQY_FUND_RELATIVE_PERIOD", J$3)="#N/A N/A","NA  ",(_xll.BDP($D54,$D$50, "EQY_FUND_RELATIVE_PERIOD", J$3))),J54),"NA ")</f>
        <v>7.247501416316215</v>
      </c>
      <c r="K54" s="244">
        <f ca="1">IFERROR(IF(BB_Switch=1,IF(_xll.BDP($D54,$D$50, "EQY_FUND_RELATIVE_PERIOD", K$3)="#N/A N/A","NA  ",(_xll.BDP($D54,$D$50, "EQY_FUND_RELATIVE_PERIOD", K$3))),K54),"NA ")</f>
        <v>5.8268235370997123</v>
      </c>
      <c r="L54" s="244">
        <f ca="1">IFERROR(IF(BB_Switch=1,IF(_xll.BDP($D54,$D$50, "EQY_FUND_RELATIVE_PERIOD", L$3)="#N/A N/A","NA  ",(_xll.BDP($D54,$D$50, "EQY_FUND_RELATIVE_PERIOD", L$3))),L54),"NA ")</f>
        <v>10.693515135498163</v>
      </c>
      <c r="M54" s="244">
        <f ca="1">IFERROR(IF(BB_Switch=1,IF(_xll.BDP($D54,$D$50, "EQY_FUND_RELATIVE_PERIOD", M$3)="#N/A N/A","NA  ",(_xll.BDP($D54,$D$50, "EQY_FUND_RELATIVE_PERIOD", M$3))),M54),"NA ")</f>
        <v>11.397195718515862</v>
      </c>
      <c r="N54" s="244">
        <f ca="1">IFERROR(IF(BB_Switch=1,IF(_xll.BDP($D54,$D$50, "EQY_FUND_RELATIVE_PERIOD", N$3)="#N/A N/A","NA  ",(_xll.BDP($D54,$D$50, "EQY_FUND_RELATIVE_PERIOD", N$3))),N54),"NA ")</f>
        <v>14.89050955989743</v>
      </c>
      <c r="O54" s="244">
        <f ca="1">IFERROR(IF(BB_Switch=1,IF(_xll.BDP($D54,$D$50, "EQY_FUND_RELATIVE_PERIOD", O$3)="#N/A N/A","NA  ",(_xll.BDP($D54,$D$50, "EQY_FUND_RELATIVE_PERIOD", O$3))),O54),"NA ")</f>
        <v>17.360531499348983</v>
      </c>
      <c r="P54" s="257" t="str">
        <f ca="1">IFERROR(IF(BB_Switch=1,IF(_xll.BDP($D54,$F$50, "BEST_FPERIOD_OVERRIDE", P$3)="#N/A N/A","NA  ",(_xll.BDP($D54,$F$50, "BEST_FPERIOD_OVERRIDE", P$3))),P54),"NM ")</f>
        <v xml:space="preserve">NA  </v>
      </c>
      <c r="Q54" s="257" t="str">
        <f ca="1">IFERROR(IF(BB_Switch=1,IF(_xll.BDP($D54,$F$50, "BEST_FPERIOD_OVERRIDE", Q$3)="#N/A N/A","NA  ",(_xll.BDP($D54,$F$50, "BEST_FPERIOD_OVERRIDE", Q$3))),Q54),"NM ")</f>
        <v xml:space="preserve">NA  </v>
      </c>
      <c r="R54" s="257">
        <f ca="1">IFERROR(IF(BB_Switch=1,IF(_xll.BDP($D54,$F$50, "BEST_FPERIOD_OVERRIDE", R$3)="#N/A N/A","NA  ",(_xll.BDP($D54,$F$50, "BEST_FPERIOD_OVERRIDE", R$3))),R54),"NM ")</f>
        <v>43.644859813084111</v>
      </c>
      <c r="S54" s="257">
        <f ca="1">IFERROR(IF(BB_Switch=1,IF(_xll.BDP($D54,$F$50, "BEST_FPERIOD_OVERRIDE", S$3)="#N/A N/A","NA  ",(_xll.BDP($D54,$F$50, "BEST_FPERIOD_OVERRIDE", S$3))),S54),"NM ")</f>
        <v>17.296296296296294</v>
      </c>
      <c r="T54" s="257">
        <f ca="1">IFERROR(IF(BB_Switch=1,IF(_xll.BDP($D54,$F$50, "BEST_FPERIOD_OVERRIDE", T$3)="#N/A N/A","NA  ",(_xll.BDP($D54,$F$50, "BEST_FPERIOD_OVERRIDE", T$3))),T54),"NM ")</f>
        <v>14.259541984732824</v>
      </c>
      <c r="U54" s="227"/>
      <c r="V54" s="244">
        <f ca="1">IFERROR(IF(BB_Switch=1,IF(_xll.BDP($D54,$D$50, "EQY_FUND_RELATIVE_PERIOD", V$3)="#N/A N/A","NA  ",(_xll.BDP($D54,$D$50, "EQY_FUND_RELATIVE_PERIOD", V$3))),V54),"NA ")</f>
        <v>18.137799545494321</v>
      </c>
      <c r="W54" s="244">
        <f ca="1">IFERROR(IF(BB_Switch=1,IF(_xll.BDP($D54,$D$50, "EQY_FUND_RELATIVE_PERIOD", W$3)="#N/A N/A","NA  ",(_xll.BDP($D54,$D$50, "EQY_FUND_RELATIVE_PERIOD", W$3))),W54),"NA ")</f>
        <v>11.858659265414898</v>
      </c>
      <c r="X54" s="244">
        <f ca="1">IFERROR(IF(BB_Switch=1,IF(_xll.BDP($D54,$D$50, "EQY_FUND_RELATIVE_PERIOD", X$3)="#N/A N/A","NA  ",(_xll.BDP($D54,$D$50, "EQY_FUND_RELATIVE_PERIOD", X$3))),X54),"NA ")</f>
        <v>10.334415758476231</v>
      </c>
      <c r="Y54" s="244">
        <f ca="1">IFERROR(IF(BB_Switch=1,IF(_xll.BDP($D54,$D$50, "EQY_FUND_RELATIVE_PERIOD", Y$3)="#N/A N/A","NA  ",(_xll.BDP($D54,$D$50, "EQY_FUND_RELATIVE_PERIOD", Y$3))),Y54),"NA ")</f>
        <v>14.044465214999585</v>
      </c>
      <c r="Z54" s="244">
        <f ca="1">IFERROR(IF(BB_Switch=1,IF(_xll.BDP($D54,$D$50, "EQY_FUND_RELATIVE_PERIOD", Z$3)="#N/A N/A","NA  ",(_xll.BDP($D54,$D$50, "EQY_FUND_RELATIVE_PERIOD", Z$3))),Z54),"NA ")</f>
        <v>15.030516503203474</v>
      </c>
      <c r="AA54" s="244">
        <f ca="1">IFERROR(IF(BB_Switch=1,IF(_xll.BDP($D54,$D$50, "EQY_FUND_RELATIVE_PERIOD", AA$3)="#N/A N/A","NA  ",(_xll.BDP($D54,$D$50, "EQY_FUND_RELATIVE_PERIOD", AA$3))),AA54),"NA ")</f>
        <v>24.614629874973087</v>
      </c>
      <c r="AB54" s="244">
        <f ca="1">IFERROR(IF(BB_Switch=1,IF(_xll.BDP($D54,$D$50, "EQY_FUND_RELATIVE_PERIOD", AB$3)="#N/A N/A","NA  ",(_xll.BDP($D54,$D$50, "EQY_FUND_RELATIVE_PERIOD", AB$3))),AB54),"NA ")</f>
        <v>42.101421518906186</v>
      </c>
      <c r="AC54" s="244">
        <f ca="1">IFERROR(IF(BB_Switch=1,IF(_xll.BDP($D54,$D$50, "EQY_FUND_RELATIVE_PERIOD", AC$3)="#N/A N/A","NA  ",(_xll.BDP($D54,$D$50, "EQY_FUND_RELATIVE_PERIOD", AC$3))),AC54),"NA ")</f>
        <v>10.276892646620468</v>
      </c>
      <c r="AD54" s="244">
        <f ca="1">IFERROR(IF(BB_Switch=1,IF(_xll.BDP($D54,$D$50, "EQY_FUND_RELATIVE_PERIOD", AD$3)="#N/A N/A","NA  ",(_xll.BDP($D54,$D$50, "EQY_FUND_RELATIVE_PERIOD", AD$3))),AD54),"NA ")</f>
        <v>10.696233872541953</v>
      </c>
      <c r="AE54" s="244">
        <f ca="1">IFERROR(IF(BB_Switch=1,IF(_xll.BDP($D54,$D$50, "EQY_FUND_RELATIVE_PERIOD", AE$3)="#N/A N/A","NA  ",(_xll.BDP($D54,$D$50, "EQY_FUND_RELATIVE_PERIOD", AE$3))),AE54),"NA ")</f>
        <v>28.644683048657768</v>
      </c>
      <c r="AF54" s="235">
        <f t="shared" ca="1" si="17"/>
        <v>14.374201585215502</v>
      </c>
      <c r="AG54" s="244">
        <f ca="1">IFERROR(IF(BB_Switch=1,IF(_xll.BDP($D54,$D$50)="#N/A N/A","NA  ",(_xll.BDP($D54,$D$50))),AG54),"NA ")</f>
        <v>15.807734877867293</v>
      </c>
      <c r="AH54" s="257" t="str">
        <f ca="1">IFERROR(IF(BB_Switch=1,IF(_xll.BDP($D54,$X$50, "BEST_FPERIOD_OVERRIDE", AH$3)="#N/A N/A","NA  ",(_xll.BDP($D54,$X$50, "BEST_FPERIOD_OVERRIDE", AH$3))),AH54),"NM ")</f>
        <v xml:space="preserve">NA  </v>
      </c>
      <c r="AI54" s="257">
        <f ca="1">IFERROR(IF(BB_Switch=1,IF(_xll.BDP($D54,$X$50, "BEST_FPERIOD_OVERRIDE", AI$3)="#N/A N/A","NA  ",(_xll.BDP($D54,$X$50, "BEST_FPERIOD_OVERRIDE", AI$3))),AI54),"NM ")</f>
        <v>10.649942987457241</v>
      </c>
      <c r="AJ54" s="257">
        <f ca="1">IFERROR(IF(BB_Switch=1,IF(_xll.BDP($D54,$X$50, "BEST_FPERIOD_OVERRIDE", AJ$3)="#N/A N/A","NA  ",(_xll.BDP($D54,$X$50, "BEST_FPERIOD_OVERRIDE", AJ$3))),AJ54),"NM ")</f>
        <v>7.184615384615384</v>
      </c>
    </row>
    <row r="55" spans="2:39" ht="11.25" customHeight="1">
      <c r="C55" s="229" t="str">
        <f ca="1">IFERROR(IF(BB_Switch=1,_xll.BDP($D55,$C$270),C55), "NA ")</f>
        <v>LyondellBasell Industries NV</v>
      </c>
      <c r="D55" s="227" t="str">
        <f t="shared" si="16"/>
        <v>LYB US EQUITY</v>
      </c>
      <c r="E55" s="244">
        <f ca="1">IFERROR(IF(BB_Switch=1,IF(_xll.BDP($D55,$D$50, "EQY_FUND_RELATIVE_PERIOD", E$3)="#N/A N/A","NA  ",(_xll.BDP($D55,$D$50, "EQY_FUND_RELATIVE_PERIOD", E$3))),E55),"NA ")</f>
        <v>10.187984457151028</v>
      </c>
      <c r="F55" s="244">
        <f ca="1">IFERROR(IF(BB_Switch=1,IF(_xll.BDP($D55,$D$50, "EQY_FUND_RELATIVE_PERIOD", F$3)="#N/A N/A","NA  ",(_xll.BDP($D55,$D$50, "EQY_FUND_RELATIVE_PERIOD", F$3))),F55),"NA ")</f>
        <v>9.1522434872010674</v>
      </c>
      <c r="G55" s="244">
        <f ca="1">IFERROR(IF(BB_Switch=1,IF(_xll.BDP($D55,$D$50, "EQY_FUND_RELATIVE_PERIOD", G$3)="#N/A N/A","NA  ",(_xll.BDP($D55,$D$50, "EQY_FUND_RELATIVE_PERIOD", G$3))),G55),"NA ")</f>
        <v>10.605223680281361</v>
      </c>
      <c r="H55" s="244">
        <f ca="1">IFERROR(IF(BB_Switch=1,IF(_xll.BDP($D55,$D$50, "EQY_FUND_RELATIVE_PERIOD", H$3)="#N/A N/A","NA  ",(_xll.BDP($D55,$D$50, "EQY_FUND_RELATIVE_PERIOD", H$3))),H55),"NA ")</f>
        <v>10.851653121281487</v>
      </c>
      <c r="I55" s="244">
        <f ca="1">IFERROR(IF(BB_Switch=1,IF(_xll.BDP($D55,$D$50, "EQY_FUND_RELATIVE_PERIOD", I$3)="#N/A N/A","NA  ",(_xll.BDP($D55,$D$50, "EQY_FUND_RELATIVE_PERIOD", I$3))),I55),"NA ")</f>
        <v>9.550277539126272</v>
      </c>
      <c r="J55" s="244">
        <f ca="1">IFERROR(IF(BB_Switch=1,IF(_xll.BDP($D55,$D$50, "EQY_FUND_RELATIVE_PERIOD", J$3)="#N/A N/A","NA  ",(_xll.BDP($D55,$D$50, "EQY_FUND_RELATIVE_PERIOD", J$3))),J55),"NA ")</f>
        <v>9.4897929652860196</v>
      </c>
      <c r="K55" s="244">
        <f ca="1">IFERROR(IF(BB_Switch=1,IF(_xll.BDP($D55,$D$50, "EQY_FUND_RELATIVE_PERIOD", K$3)="#N/A N/A","NA  ",(_xll.BDP($D55,$D$50, "EQY_FUND_RELATIVE_PERIOD", K$3))),K55),"NA ")</f>
        <v>8.4550982403069082</v>
      </c>
      <c r="L55" s="244">
        <f ca="1">IFERROR(IF(BB_Switch=1,IF(_xll.BDP($D55,$D$50, "EQY_FUND_RELATIVE_PERIOD", L$3)="#N/A N/A","NA  ",(_xll.BDP($D55,$D$50, "EQY_FUND_RELATIVE_PERIOD", L$3))),L55),"NA ")</f>
        <v>7.3923456332269399</v>
      </c>
      <c r="M55" s="244">
        <f ca="1">IFERROR(IF(BB_Switch=1,IF(_xll.BDP($D55,$D$50, "EQY_FUND_RELATIVE_PERIOD", M$3)="#N/A N/A","NA  ",(_xll.BDP($D55,$D$50, "EQY_FUND_RELATIVE_PERIOD", M$3))),M55),"NA ")</f>
        <v>8.1144735262405945</v>
      </c>
      <c r="N55" s="244">
        <f ca="1">IFERROR(IF(BB_Switch=1,IF(_xll.BDP($D55,$D$50, "EQY_FUND_RELATIVE_PERIOD", N$3)="#N/A N/A","NA  ",(_xll.BDP($D55,$D$50, "EQY_FUND_RELATIVE_PERIOD", N$3))),N55),"NA ")</f>
        <v>8.8136200258381407</v>
      </c>
      <c r="O55" s="244">
        <f ca="1">IFERROR(IF(BB_Switch=1,IF(_xll.BDP($D55,$D$50, "EQY_FUND_RELATIVE_PERIOD", O$3)="#N/A N/A","NA  ",(_xll.BDP($D55,$D$50, "EQY_FUND_RELATIVE_PERIOD", O$3))),O55),"NA ")</f>
        <v>9.3977341240580738</v>
      </c>
      <c r="P55" s="257">
        <f ca="1">IFERROR(IF(BB_Switch=1,IF(_xll.BDP($D55,$F$50, "BEST_FPERIOD_OVERRIDE", P$3)="#N/A N/A","NA  ",(_xll.BDP($D55,$F$50, "BEST_FPERIOD_OVERRIDE", P$3))),P55),"NM ")</f>
        <v>3.8907469342251946</v>
      </c>
      <c r="Q55" s="257">
        <f ca="1">IFERROR(IF(BB_Switch=1,IF(_xll.BDP($D55,$F$50, "BEST_FPERIOD_OVERRIDE", Q$3)="#N/A N/A","NA  ",(_xll.BDP($D55,$F$50, "BEST_FPERIOD_OVERRIDE", Q$3))),Q55),"NM ")</f>
        <v>3.9390519187358919</v>
      </c>
      <c r="R55" s="257">
        <f ca="1">IFERROR(IF(BB_Switch=1,IF(_xll.BDP($D55,$F$50, "BEST_FPERIOD_OVERRIDE", R$3)="#N/A N/A","NA  ",(_xll.BDP($D55,$F$50, "BEST_FPERIOD_OVERRIDE", R$3))),R55),"NM ")</f>
        <v>3.8137908425308709</v>
      </c>
      <c r="S55" s="257">
        <f ca="1">IFERROR(IF(BB_Switch=1,IF(_xll.BDP($D55,$F$50, "BEST_FPERIOD_OVERRIDE", S$3)="#N/A N/A","NA  ",(_xll.BDP($D55,$F$50, "BEST_FPERIOD_OVERRIDE", S$3))),S55),"NM ")</f>
        <v>3.6282357833454619</v>
      </c>
      <c r="T55" s="257">
        <f ca="1">IFERROR(IF(BB_Switch=1,IF(_xll.BDP($D55,$F$50, "BEST_FPERIOD_OVERRIDE", T$3)="#N/A N/A","NA  ",(_xll.BDP($D55,$F$50, "BEST_FPERIOD_OVERRIDE", T$3))),T55),"NM ")</f>
        <v>3.4588701684836471</v>
      </c>
      <c r="U55" s="227"/>
      <c r="V55" s="244">
        <f ca="1">IFERROR(IF(BB_Switch=1,IF(_xll.BDP($D55,$D$50, "EQY_FUND_RELATIVE_PERIOD", V$3)="#N/A N/A","NA  ",(_xll.BDP($D55,$D$50, "EQY_FUND_RELATIVE_PERIOD", V$3))),V55),"NA ")</f>
        <v>3.7208022482298611</v>
      </c>
      <c r="W55" s="244">
        <f ca="1">IFERROR(IF(BB_Switch=1,IF(_xll.BDP($D55,$D$50, "EQY_FUND_RELATIVE_PERIOD", W$3)="#N/A N/A","NA  ",(_xll.BDP($D55,$D$50, "EQY_FUND_RELATIVE_PERIOD", W$3))),W55),"NA ")</f>
        <v>6.4112683616042183</v>
      </c>
      <c r="X55" s="244">
        <f ca="1">IFERROR(IF(BB_Switch=1,IF(_xll.BDP($D55,$D$50, "EQY_FUND_RELATIVE_PERIOD", X$3)="#N/A N/A","NA  ",(_xll.BDP($D55,$D$50, "EQY_FUND_RELATIVE_PERIOD", X$3))),X55),"NA ")</f>
        <v>10.821876910391106</v>
      </c>
      <c r="Y55" s="244">
        <f ca="1">IFERROR(IF(BB_Switch=1,IF(_xll.BDP($D55,$D$50, "EQY_FUND_RELATIVE_PERIOD", Y$3)="#N/A N/A","NA  ",(_xll.BDP($D55,$D$50, "EQY_FUND_RELATIVE_PERIOD", Y$3))),Y55),"NA ")</f>
        <v>11.871733812895384</v>
      </c>
      <c r="Z55" s="244">
        <f ca="1">IFERROR(IF(BB_Switch=1,IF(_xll.BDP($D55,$D$50, "EQY_FUND_RELATIVE_PERIOD", Z$3)="#N/A N/A","NA  ",(_xll.BDP($D55,$D$50, "EQY_FUND_RELATIVE_PERIOD", Z$3))),Z55),"NA ")</f>
        <v>8.9976479633683883</v>
      </c>
      <c r="AA55" s="244">
        <f ca="1">IFERROR(IF(BB_Switch=1,IF(_xll.BDP($D55,$D$50, "EQY_FUND_RELATIVE_PERIOD", AA$3)="#N/A N/A","NA  ",(_xll.BDP($D55,$D$50, "EQY_FUND_RELATIVE_PERIOD", AA$3))),AA55),"NA ")</f>
        <v>9.0520833333333339</v>
      </c>
      <c r="AB55" s="244">
        <f ca="1">IFERROR(IF(BB_Switch=1,IF(_xll.BDP($D55,$D$50, "EQY_FUND_RELATIVE_PERIOD", AB$3)="#N/A N/A","NA  ",(_xll.BDP($D55,$D$50, "EQY_FUND_RELATIVE_PERIOD", AB$3))),AB55),"NA ")</f>
        <v>9.4242775013557427</v>
      </c>
      <c r="AC55" s="244">
        <f ca="1">IFERROR(IF(BB_Switch=1,IF(_xll.BDP($D55,$D$50, "EQY_FUND_RELATIVE_PERIOD", AC$3)="#N/A N/A","NA  ",(_xll.BDP($D55,$D$50, "EQY_FUND_RELATIVE_PERIOD", AC$3))),AC55),"NA ")</f>
        <v>10.778819541437047</v>
      </c>
      <c r="AD55" s="244">
        <f ca="1">IFERROR(IF(BB_Switch=1,IF(_xll.BDP($D55,$D$50, "EQY_FUND_RELATIVE_PERIOD", AD$3)="#N/A N/A","NA  ",(_xll.BDP($D55,$D$50, "EQY_FUND_RELATIVE_PERIOD", AD$3))),AD55),"NA ")</f>
        <v>7.3735000522245251</v>
      </c>
      <c r="AE55" s="244">
        <f ca="1">IFERROR(IF(BB_Switch=1,IF(_xll.BDP($D55,$D$50, "EQY_FUND_RELATIVE_PERIOD", AE$3)="#N/A N/A","NA  ",(_xll.BDP($D55,$D$50, "EQY_FUND_RELATIVE_PERIOD", AE$3))),AE55),"NA ")</f>
        <v>9.8300641191110785</v>
      </c>
      <c r="AF55" s="235">
        <f t="shared" ca="1" si="17"/>
        <v>9.395696843968981</v>
      </c>
      <c r="AG55" s="244">
        <f ca="1">IFERROR(IF(BB_Switch=1,IF(_xll.BDP($D55,$D$50)="#N/A N/A","NA  ",(_xll.BDP($D55,$D$50))),AG55),"NA ")</f>
        <v>3.6371891975984658</v>
      </c>
      <c r="AH55" s="257">
        <f ca="1">IFERROR(IF(BB_Switch=1,IF(_xll.BDP($D55,$X$50, "BEST_FPERIOD_OVERRIDE", AH$3)="#N/A N/A","NA  ",(_xll.BDP($D55,$X$50, "BEST_FPERIOD_OVERRIDE", AH$3))),AH55),"NM ")</f>
        <v>3.8907469342251946</v>
      </c>
      <c r="AI55" s="257">
        <f ca="1">IFERROR(IF(BB_Switch=1,IF(_xll.BDP($D55,$X$50, "BEST_FPERIOD_OVERRIDE", AI$3)="#N/A N/A","NA  ",(_xll.BDP($D55,$X$50, "BEST_FPERIOD_OVERRIDE", AI$3))),AI55),"NM ")</f>
        <v>3.5061281896724932</v>
      </c>
      <c r="AJ55" s="257">
        <f ca="1">IFERROR(IF(BB_Switch=1,IF(_xll.BDP($D55,$X$50, "BEST_FPERIOD_OVERRIDE", AJ$3)="#N/A N/A","NA  ",(_xll.BDP($D55,$X$50, "BEST_FPERIOD_OVERRIDE", AJ$3))),AJ55),"NM ")</f>
        <v>3.2986767485822304</v>
      </c>
    </row>
    <row r="56" spans="2:39" ht="11.25" customHeight="1">
      <c r="C56" s="229" t="str">
        <f ca="1">IFERROR(IF(BB_Switch=1,_xll.BDP($D56,$C$270),C56), "NA ")</f>
        <v>Westlake Chemical Corp</v>
      </c>
      <c r="D56" s="227" t="str">
        <f t="shared" si="16"/>
        <v>WLK US EQUITY</v>
      </c>
      <c r="E56" s="244">
        <f ca="1">IFERROR(IF(BB_Switch=1,IF(_xll.BDP($D56,$D$50, "EQY_FUND_RELATIVE_PERIOD", E$3)="#N/A N/A","NA  ",(_xll.BDP($D56,$D$50, "EQY_FUND_RELATIVE_PERIOD", E$3))),E56),"NA ")</f>
        <v>18.645982658812677</v>
      </c>
      <c r="F56" s="244">
        <f ca="1">IFERROR(IF(BB_Switch=1,IF(_xll.BDP($D56,$D$50, "EQY_FUND_RELATIVE_PERIOD", F$3)="#N/A N/A","NA  ",(_xll.BDP($D56,$D$50, "EQY_FUND_RELATIVE_PERIOD", F$3))),F56),"NA ")</f>
        <v>18.790398932003782</v>
      </c>
      <c r="G56" s="244">
        <f ca="1">IFERROR(IF(BB_Switch=1,IF(_xll.BDP($D56,$D$50, "EQY_FUND_RELATIVE_PERIOD", G$3)="#N/A N/A","NA  ",(_xll.BDP($D56,$D$50, "EQY_FUND_RELATIVE_PERIOD", G$3))),G56),"NA ")</f>
        <v>20.27983685336206</v>
      </c>
      <c r="H56" s="244">
        <f ca="1">IFERROR(IF(BB_Switch=1,IF(_xll.BDP($D56,$D$50, "EQY_FUND_RELATIVE_PERIOD", H$3)="#N/A N/A","NA  ",(_xll.BDP($D56,$D$50, "EQY_FUND_RELATIVE_PERIOD", H$3))),H56),"NA ")</f>
        <v>18.786076965250608</v>
      </c>
      <c r="I56" s="244">
        <f ca="1">IFERROR(IF(BB_Switch=1,IF(_xll.BDP($D56,$D$50, "EQY_FUND_RELATIVE_PERIOD", I$3)="#N/A N/A","NA  ",(_xll.BDP($D56,$D$50, "EQY_FUND_RELATIVE_PERIOD", I$3))),I56),"NA ")</f>
        <v>16.356272729921514</v>
      </c>
      <c r="J56" s="244">
        <f ca="1">IFERROR(IF(BB_Switch=1,IF(_xll.BDP($D56,$D$50, "EQY_FUND_RELATIVE_PERIOD", J$3)="#N/A N/A","NA  ",(_xll.BDP($D56,$D$50, "EQY_FUND_RELATIVE_PERIOD", J$3))),J56),"NA ")</f>
        <v>13.783596636356755</v>
      </c>
      <c r="K56" s="244">
        <f ca="1">IFERROR(IF(BB_Switch=1,IF(_xll.BDP($D56,$D$50, "EQY_FUND_RELATIVE_PERIOD", K$3)="#N/A N/A","NA  ",(_xll.BDP($D56,$D$50, "EQY_FUND_RELATIVE_PERIOD", K$3))),K56),"NA ")</f>
        <v>9.7884189259568686</v>
      </c>
      <c r="L56" s="244">
        <f ca="1">IFERROR(IF(BB_Switch=1,IF(_xll.BDP($D56,$D$50, "EQY_FUND_RELATIVE_PERIOD", L$3)="#N/A N/A","NA  ",(_xll.BDP($D56,$D$50, "EQY_FUND_RELATIVE_PERIOD", L$3))),L56),"NA ")</f>
        <v>8.3163234334689733</v>
      </c>
      <c r="M56" s="244">
        <f ca="1">IFERROR(IF(BB_Switch=1,IF(_xll.BDP($D56,$D$50, "EQY_FUND_RELATIVE_PERIOD", M$3)="#N/A N/A","NA  ",(_xll.BDP($D56,$D$50, "EQY_FUND_RELATIVE_PERIOD", M$3))),M56),"NA ")</f>
        <v>10.401559038274241</v>
      </c>
      <c r="N56" s="244">
        <f ca="1">IFERROR(IF(BB_Switch=1,IF(_xll.BDP($D56,$D$50, "EQY_FUND_RELATIVE_PERIOD", N$3)="#N/A N/A","NA  ",(_xll.BDP($D56,$D$50, "EQY_FUND_RELATIVE_PERIOD", N$3))),N56),"NA ")</f>
        <v>12.865917358800909</v>
      </c>
      <c r="O56" s="244">
        <f ca="1">IFERROR(IF(BB_Switch=1,IF(_xll.BDP($D56,$D$50, "EQY_FUND_RELATIVE_PERIOD", O$3)="#N/A N/A","NA  ",(_xll.BDP($D56,$D$50, "EQY_FUND_RELATIVE_PERIOD", O$3))),O56),"NA ")</f>
        <v>15.108955353636491</v>
      </c>
      <c r="P56" s="257">
        <f ca="1">IFERROR(IF(BB_Switch=1,IF(_xll.BDP($D56,$F$50, "BEST_FPERIOD_OVERRIDE", P$3)="#N/A N/A","NA  ",(_xll.BDP($D56,$F$50, "BEST_FPERIOD_OVERRIDE", P$3))),P56),"NM ")</f>
        <v>9.1178266178266174</v>
      </c>
      <c r="Q56" s="257">
        <f ca="1">IFERROR(IF(BB_Switch=1,IF(_xll.BDP($D56,$F$50, "BEST_FPERIOD_OVERRIDE", Q$3)="#N/A N/A","NA  ",(_xll.BDP($D56,$F$50, "BEST_FPERIOD_OVERRIDE", Q$3))),Q56),"NM ")</f>
        <v>9.4705136334812945</v>
      </c>
      <c r="R56" s="257">
        <f ca="1">IFERROR(IF(BB_Switch=1,IF(_xll.BDP($D56,$F$50, "BEST_FPERIOD_OVERRIDE", R$3)="#N/A N/A","NA  ",(_xll.BDP($D56,$F$50, "BEST_FPERIOD_OVERRIDE", R$3))),R56),"NM ")</f>
        <v>8.7723935389133629</v>
      </c>
      <c r="S56" s="257">
        <f ca="1">IFERROR(IF(BB_Switch=1,IF(_xll.BDP($D56,$F$50, "BEST_FPERIOD_OVERRIDE", S$3)="#N/A N/A","NA  ",(_xll.BDP($D56,$F$50, "BEST_FPERIOD_OVERRIDE", S$3))),S56),"NM ")</f>
        <v>8.2719468291332046</v>
      </c>
      <c r="T56" s="257">
        <f ca="1">IFERROR(IF(BB_Switch=1,IF(_xll.BDP($D56,$F$50, "BEST_FPERIOD_OVERRIDE", T$3)="#N/A N/A","NA  ",(_xll.BDP($D56,$F$50, "BEST_FPERIOD_OVERRIDE", T$3))),T56),"NM ")</f>
        <v>8.1278911564625851</v>
      </c>
      <c r="U56" s="227"/>
      <c r="V56" s="244">
        <f ca="1">IFERROR(IF(BB_Switch=1,IF(_xll.BDP($D56,$D$50, "EQY_FUND_RELATIVE_PERIOD", V$3)="#N/A N/A","NA  ",(_xll.BDP($D56,$D$50, "EQY_FUND_RELATIVE_PERIOD", V$3))),V56),"NA ")</f>
        <v>13.114997438547775</v>
      </c>
      <c r="W56" s="244">
        <f ca="1">IFERROR(IF(BB_Switch=1,IF(_xll.BDP($D56,$D$50, "EQY_FUND_RELATIVE_PERIOD", W$3)="#N/A N/A","NA  ",(_xll.BDP($D56,$D$50, "EQY_FUND_RELATIVE_PERIOD", W$3))),W56),"NA ")</f>
        <v>10.037761339751782</v>
      </c>
      <c r="X56" s="244">
        <f ca="1">IFERROR(IF(BB_Switch=1,IF(_xll.BDP($D56,$D$50, "EQY_FUND_RELATIVE_PERIOD", X$3)="#N/A N/A","NA  ",(_xll.BDP($D56,$D$50, "EQY_FUND_RELATIVE_PERIOD", X$3))),X56),"NA ")</f>
        <v>13.948578819232575</v>
      </c>
      <c r="Y56" s="244">
        <f ca="1">IFERROR(IF(BB_Switch=1,IF(_xll.BDP($D56,$D$50, "EQY_FUND_RELATIVE_PERIOD", Y$3)="#N/A N/A","NA  ",(_xll.BDP($D56,$D$50, "EQY_FUND_RELATIVE_PERIOD", Y$3))),Y56),"NA ")</f>
        <v>13.347708517624724</v>
      </c>
      <c r="Z56" s="244">
        <f ca="1">IFERROR(IF(BB_Switch=1,IF(_xll.BDP($D56,$D$50, "EQY_FUND_RELATIVE_PERIOD", Z$3)="#N/A N/A","NA  ",(_xll.BDP($D56,$D$50, "EQY_FUND_RELATIVE_PERIOD", Z$3))),Z56),"NA ")</f>
        <v>11.773972870715841</v>
      </c>
      <c r="AA56" s="244">
        <f ca="1">IFERROR(IF(BB_Switch=1,IF(_xll.BDP($D56,$D$50, "EQY_FUND_RELATIVE_PERIOD", AA$3)="#N/A N/A","NA  ",(_xll.BDP($D56,$D$50, "EQY_FUND_RELATIVE_PERIOD", AA$3))),AA56),"NA ")</f>
        <v>11.491923285065281</v>
      </c>
      <c r="AB56" s="244">
        <f ca="1">IFERROR(IF(BB_Switch=1,IF(_xll.BDP($D56,$D$50, "EQY_FUND_RELATIVE_PERIOD", AB$3)="#N/A N/A","NA  ",(_xll.BDP($D56,$D$50, "EQY_FUND_RELATIVE_PERIOD", AB$3))),AB56),"NA ")</f>
        <v>16.68824106416076</v>
      </c>
      <c r="AC56" s="244">
        <f ca="1">IFERROR(IF(BB_Switch=1,IF(_xll.BDP($D56,$D$50, "EQY_FUND_RELATIVE_PERIOD", AC$3)="#N/A N/A","NA  ",(_xll.BDP($D56,$D$50, "EQY_FUND_RELATIVE_PERIOD", AC$3))),AC56),"NA ")</f>
        <v>18.710452368611893</v>
      </c>
      <c r="AD56" s="244">
        <f ca="1">IFERROR(IF(BB_Switch=1,IF(_xll.BDP($D56,$D$50, "EQY_FUND_RELATIVE_PERIOD", AD$3)="#N/A N/A","NA  ",(_xll.BDP($D56,$D$50, "EQY_FUND_RELATIVE_PERIOD", AD$3))),AD56),"NA ")</f>
        <v>8.2682651562785825</v>
      </c>
      <c r="AE56" s="244">
        <f ca="1">IFERROR(IF(BB_Switch=1,IF(_xll.BDP($D56,$D$50, "EQY_FUND_RELATIVE_PERIOD", AE$3)="#N/A N/A","NA  ",(_xll.BDP($D56,$D$50, "EQY_FUND_RELATIVE_PERIOD", AE$3))),AE56),"NA ")</f>
        <v>18.569701500320704</v>
      </c>
      <c r="AF56" s="235">
        <f t="shared" ca="1" si="17"/>
        <v>13.595160236030996</v>
      </c>
      <c r="AG56" s="244">
        <f ca="1">IFERROR(IF(BB_Switch=1,IF(_xll.BDP($D56,$D$50)="#N/A N/A","NA  ",(_xll.BDP($D56,$D$50))),AG56),"NA ")</f>
        <v>7.6584777549644603</v>
      </c>
      <c r="AH56" s="257">
        <f ca="1">IFERROR(IF(BB_Switch=1,IF(_xll.BDP($D56,$X$50, "BEST_FPERIOD_OVERRIDE", AH$3)="#N/A N/A","NA  ",(_xll.BDP($D56,$X$50, "BEST_FPERIOD_OVERRIDE", AH$3))),AH56),"NM ")</f>
        <v>9.431638774865803</v>
      </c>
      <c r="AI56" s="257">
        <f ca="1">IFERROR(IF(BB_Switch=1,IF(_xll.BDP($D56,$X$50, "BEST_FPERIOD_OVERRIDE", AI$3)="#N/A N/A","NA  ",(_xll.BDP($D56,$X$50, "BEST_FPERIOD_OVERRIDE", AI$3))),AI56),"NM ")</f>
        <v>7.4303482587064673</v>
      </c>
      <c r="AJ56" s="257">
        <f ca="1">IFERROR(IF(BB_Switch=1,IF(_xll.BDP($D56,$X$50, "BEST_FPERIOD_OVERRIDE", AJ$3)="#N/A N/A","NA  ",(_xll.BDP($D56,$X$50, "BEST_FPERIOD_OVERRIDE", AJ$3))),AJ56),"NM ")</f>
        <v>6.9159527668441774</v>
      </c>
    </row>
    <row r="57" spans="2:39" ht="11.25" customHeight="1">
      <c r="C57" s="229" t="str">
        <f ca="1">IFERROR(IF(BB_Switch=1,_xll.BDP($D57,$C$270),C57), "NA ")</f>
        <v>Kraton Corp</v>
      </c>
      <c r="D57" s="227" t="str">
        <f t="shared" si="16"/>
        <v>KRA US EQUITY</v>
      </c>
      <c r="E57" s="244">
        <f ca="1">IFERROR(IF(BB_Switch=1,IF(_xll.BDP($D57,$D$50, "EQY_FUND_RELATIVE_PERIOD", E$3)="#N/A N/A","NA  ",(_xll.BDP($D57,$D$50, "EQY_FUND_RELATIVE_PERIOD", E$3))),E57),"NA ")</f>
        <v>12.916971279373369</v>
      </c>
      <c r="F57" s="244">
        <f ca="1">IFERROR(IF(BB_Switch=1,IF(_xll.BDP($D57,$D$50, "EQY_FUND_RELATIVE_PERIOD", F$3)="#N/A N/A","NA  ",(_xll.BDP($D57,$D$50, "EQY_FUND_RELATIVE_PERIOD", F$3))),F57),"NA ")</f>
        <v>12.2820813206447</v>
      </c>
      <c r="G57" s="244">
        <f ca="1">IFERROR(IF(BB_Switch=1,IF(_xll.BDP($D57,$D$50, "EQY_FUND_RELATIVE_PERIOD", G$3)="#N/A N/A","NA  ",(_xll.BDP($D57,$D$50, "EQY_FUND_RELATIVE_PERIOD", G$3))),G57),"NA ")</f>
        <v>16.802337369661394</v>
      </c>
      <c r="H57" s="244">
        <f ca="1">IFERROR(IF(BB_Switch=1,IF(_xll.BDP($D57,$D$50, "EQY_FUND_RELATIVE_PERIOD", H$3)="#N/A N/A","NA  ",(_xll.BDP($D57,$D$50, "EQY_FUND_RELATIVE_PERIOD", H$3))),H57),"NA ")</f>
        <v>8.2650867430891211</v>
      </c>
      <c r="I57" s="244">
        <f ca="1">IFERROR(IF(BB_Switch=1,IF(_xll.BDP($D57,$D$50, "EQY_FUND_RELATIVE_PERIOD", I$3)="#N/A N/A","NA  ",(_xll.BDP($D57,$D$50, "EQY_FUND_RELATIVE_PERIOD", I$3))),I57),"NA ")</f>
        <v>8.4911368975581976</v>
      </c>
      <c r="J57" s="244">
        <f ca="1">IFERROR(IF(BB_Switch=1,IF(_xll.BDP($D57,$D$50, "EQY_FUND_RELATIVE_PERIOD", J$3)="#N/A N/A","NA  ",(_xll.BDP($D57,$D$50, "EQY_FUND_RELATIVE_PERIOD", J$3))),J57),"NA ")</f>
        <v>8.3144558185062785</v>
      </c>
      <c r="K57" s="244">
        <f ca="1">IFERROR(IF(BB_Switch=1,IF(_xll.BDP($D57,$D$50, "EQY_FUND_RELATIVE_PERIOD", K$3)="#N/A N/A","NA  ",(_xll.BDP($D57,$D$50, "EQY_FUND_RELATIVE_PERIOD", K$3))),K57),"NA ")</f>
        <v>7.1879777375447516</v>
      </c>
      <c r="L57" s="244">
        <f ca="1">IFERROR(IF(BB_Switch=1,IF(_xll.BDP($D57,$D$50, "EQY_FUND_RELATIVE_PERIOD", L$3)="#N/A N/A","NA  ",(_xll.BDP($D57,$D$50, "EQY_FUND_RELATIVE_PERIOD", L$3))),L57),"NA ")</f>
        <v>6.1018540248767899</v>
      </c>
      <c r="M57" s="244">
        <f ca="1">IFERROR(IF(BB_Switch=1,IF(_xll.BDP($D57,$D$50, "EQY_FUND_RELATIVE_PERIOD", M$3)="#N/A N/A","NA  ",(_xll.BDP($D57,$D$50, "EQY_FUND_RELATIVE_PERIOD", M$3))),M57),"NA ")</f>
        <v>8.929740865468931</v>
      </c>
      <c r="N57" s="244">
        <f ca="1">IFERROR(IF(BB_Switch=1,IF(_xll.BDP($D57,$D$50, "EQY_FUND_RELATIVE_PERIOD", N$3)="#N/A N/A","NA  ",(_xll.BDP($D57,$D$50, "EQY_FUND_RELATIVE_PERIOD", N$3))),N57),"NA ")</f>
        <v>7.2546302847074635</v>
      </c>
      <c r="O57" s="244">
        <f ca="1">IFERROR(IF(BB_Switch=1,IF(_xll.BDP($D57,$D$50, "EQY_FUND_RELATIVE_PERIOD", O$3)="#N/A N/A","NA  ",(_xll.BDP($D57,$D$50, "EQY_FUND_RELATIVE_PERIOD", O$3))),O57),"NA ")</f>
        <v>10.354230772684071</v>
      </c>
      <c r="P57" s="257">
        <f ca="1">IFERROR(IF(BB_Switch=1,IF(_xll.BDP($D57,$F$50, "BEST_FPERIOD_OVERRIDE", P$3)="#N/A N/A","NA  ",(_xll.BDP($D57,$F$50, "BEST_FPERIOD_OVERRIDE", P$3))),P57),"NM ")</f>
        <v>18.735632183908049</v>
      </c>
      <c r="Q57" s="257">
        <f ca="1">IFERROR(IF(BB_Switch=1,IF(_xll.BDP($D57,$F$50, "BEST_FPERIOD_OVERRIDE", Q$3)="#N/A N/A","NA  ",(_xll.BDP($D57,$F$50, "BEST_FPERIOD_OVERRIDE", Q$3))),Q57),"NM ")</f>
        <v>14.954128440366972</v>
      </c>
      <c r="R57" s="257">
        <f ca="1">IFERROR(IF(BB_Switch=1,IF(_xll.BDP($D57,$F$50, "BEST_FPERIOD_OVERRIDE", R$3)="#N/A N/A","NA  ",(_xll.BDP($D57,$F$50, "BEST_FPERIOD_OVERRIDE", R$3))),R57),"NM ")</f>
        <v>11.609686609686609</v>
      </c>
      <c r="S57" s="257">
        <f ca="1">IFERROR(IF(BB_Switch=1,IF(_xll.BDP($D57,$F$50, "BEST_FPERIOD_OVERRIDE", S$3)="#N/A N/A","NA  ",(_xll.BDP($D57,$F$50, "BEST_FPERIOD_OVERRIDE", S$3))),S57),"NM ")</f>
        <v>8.2573454913880457</v>
      </c>
      <c r="T57" s="257">
        <f ca="1">IFERROR(IF(BB_Switch=1,IF(_xll.BDP($D57,$F$50, "BEST_FPERIOD_OVERRIDE", T$3)="#N/A N/A","NA  ",(_xll.BDP($D57,$F$50, "BEST_FPERIOD_OVERRIDE", T$3))),T57),"NM ")</f>
        <v>6.25</v>
      </c>
      <c r="U57" s="227"/>
      <c r="V57" s="244">
        <f ca="1">IFERROR(IF(BB_Switch=1,IF(_xll.BDP($D57,$D$50, "EQY_FUND_RELATIVE_PERIOD", V$3)="#N/A N/A","NA  ",(_xll.BDP($D57,$D$50, "EQY_FUND_RELATIVE_PERIOD", V$3))),V57),"NA ")</f>
        <v>9.6649192784068205</v>
      </c>
      <c r="W57" s="244">
        <f ca="1">IFERROR(IF(BB_Switch=1,IF(_xll.BDP($D57,$D$50, "EQY_FUND_RELATIVE_PERIOD", W$3)="#N/A N/A","NA  ",(_xll.BDP($D57,$D$50, "EQY_FUND_RELATIVE_PERIOD", W$3))),W57),"NA ")</f>
        <v>6.9863741612909447</v>
      </c>
      <c r="X57" s="244" t="str">
        <f ca="1">IFERROR(IF(BB_Switch=1,IF(_xll.BDP($D57,$D$50, "EQY_FUND_RELATIVE_PERIOD", X$3)="#N/A N/A","NA  ",(_xll.BDP($D57,$D$50, "EQY_FUND_RELATIVE_PERIOD", X$3))),X57),"NA ")</f>
        <v xml:space="preserve">NA  </v>
      </c>
      <c r="Y57" s="244">
        <f ca="1">IFERROR(IF(BB_Switch=1,IF(_xll.BDP($D57,$D$50, "EQY_FUND_RELATIVE_PERIOD", Y$3)="#N/A N/A","NA  ",(_xll.BDP($D57,$D$50, "EQY_FUND_RELATIVE_PERIOD", Y$3))),Y57),"NA ")</f>
        <v>205.21358237923113</v>
      </c>
      <c r="Z57" s="244">
        <f ca="1">IFERROR(IF(BB_Switch=1,IF(_xll.BDP($D57,$D$50, "EQY_FUND_RELATIVE_PERIOD", Z$3)="#N/A N/A","NA  ",(_xll.BDP($D57,$D$50, "EQY_FUND_RELATIVE_PERIOD", Z$3))),Z57),"NA ")</f>
        <v>22.354838709677416</v>
      </c>
      <c r="AA57" s="244">
        <f ca="1">IFERROR(IF(BB_Switch=1,IF(_xll.BDP($D57,$D$50, "EQY_FUND_RELATIVE_PERIOD", AA$3)="#N/A N/A","NA  ",(_xll.BDP($D57,$D$50, "EQY_FUND_RELATIVE_PERIOD", AA$3))),AA57),"NA ")</f>
        <v>20.381018290154042</v>
      </c>
      <c r="AB57" s="244">
        <f ca="1">IFERROR(IF(BB_Switch=1,IF(_xll.BDP($D57,$D$50, "EQY_FUND_RELATIVE_PERIOD", AB$3)="#N/A N/A","NA  ",(_xll.BDP($D57,$D$50, "EQY_FUND_RELATIVE_PERIOD", AB$3))),AB57),"NA ")</f>
        <v>21.253731343283579</v>
      </c>
      <c r="AC57" s="244">
        <f ca="1">IFERROR(IF(BB_Switch=1,IF(_xll.BDP($D57,$D$50, "EQY_FUND_RELATIVE_PERIOD", AC$3)="#N/A N/A","NA  ",(_xll.BDP($D57,$D$50, "EQY_FUND_RELATIVE_PERIOD", AC$3))),AC57),"NA ")</f>
        <v>7.9132496251596978</v>
      </c>
      <c r="AD57" s="244">
        <f ca="1">IFERROR(IF(BB_Switch=1,IF(_xll.BDP($D57,$D$50, "EQY_FUND_RELATIVE_PERIOD", AD$3)="#N/A N/A","NA  ",(_xll.BDP($D57,$D$50, "EQY_FUND_RELATIVE_PERIOD", AD$3))),AD57),"NA ")</f>
        <v>6.6733379675958107</v>
      </c>
      <c r="AE57" s="244">
        <f ca="1">IFERROR(IF(BB_Switch=1,IF(_xll.BDP($D57,$D$50, "EQY_FUND_RELATIVE_PERIOD", AE$3)="#N/A N/A","NA  ",(_xll.BDP($D57,$D$50, "EQY_FUND_RELATIVE_PERIOD", AE$3))),AE57),"NA ")</f>
        <v>11.909751179333476</v>
      </c>
      <c r="AF57" s="235">
        <f t="shared" ca="1" si="17"/>
        <v>13.392152569362722</v>
      </c>
      <c r="AG57" s="244">
        <f ca="1">IFERROR(IF(BB_Switch=1,IF(_xll.BDP($D57,$D$50)="#N/A N/A","NA  ",(_xll.BDP($D57,$D$50))),AG57),"NA ")</f>
        <v>3.7973437316243608</v>
      </c>
      <c r="AH57" s="257">
        <f ca="1">IFERROR(IF(BB_Switch=1,IF(_xll.BDP($D57,$X$50, "BEST_FPERIOD_OVERRIDE", AH$3)="#N/A N/A","NA  ",(_xll.BDP($D57,$X$50, "BEST_FPERIOD_OVERRIDE", AH$3))),AH57),"NM ")</f>
        <v>9.5657276995305178</v>
      </c>
      <c r="AI57" s="257">
        <f ca="1">IFERROR(IF(BB_Switch=1,IF(_xll.BDP($D57,$X$50, "BEST_FPERIOD_OVERRIDE", AI$3)="#N/A N/A","NA  ",(_xll.BDP($D57,$X$50, "BEST_FPERIOD_OVERRIDE", AI$3))),AI57),"NM ")</f>
        <v>3.873574144486692</v>
      </c>
      <c r="AJ57" s="257">
        <f ca="1">IFERROR(IF(BB_Switch=1,IF(_xll.BDP($D57,$X$50, "BEST_FPERIOD_OVERRIDE", AJ$3)="#N/A N/A","NA  ",(_xll.BDP($D57,$X$50, "BEST_FPERIOD_OVERRIDE", AJ$3))),AJ57),"NM ")</f>
        <v>4.4054054054054053</v>
      </c>
      <c r="AL57" s="258">
        <v>5</v>
      </c>
      <c r="AM57" s="217" t="s">
        <v>530</v>
      </c>
    </row>
    <row r="58" spans="2:39" ht="11.25" customHeight="1">
      <c r="C58" s="229" t="str">
        <f ca="1">IFERROR(IF(BB_Switch=1,_xll.BDP($D58,$C$270),C58), "NA ")</f>
        <v>Dow Inc</v>
      </c>
      <c r="D58" s="227" t="str">
        <f t="shared" si="16"/>
        <v>DOW US EQUITY</v>
      </c>
      <c r="E58" s="244" t="str">
        <f ca="1">IFERROR(IF(BB_Switch=1,IF(_xll.BDP($D58,$D$50, "EQY_FUND_RELATIVE_PERIOD", E$3)="#N/A N/A","NA  ",(_xll.BDP($D58,$D$50, "EQY_FUND_RELATIVE_PERIOD", E$3))),E58),"NA ")</f>
        <v xml:space="preserve">NA  </v>
      </c>
      <c r="F58" s="244" t="str">
        <f ca="1">IFERROR(IF(BB_Switch=1,IF(_xll.BDP($D58,$D$50, "EQY_FUND_RELATIVE_PERIOD", F$3)="#N/A N/A","NA  ",(_xll.BDP($D58,$D$50, "EQY_FUND_RELATIVE_PERIOD", F$3))),F58),"NA ")</f>
        <v xml:space="preserve">NA  </v>
      </c>
      <c r="G58" s="244" t="str">
        <f ca="1">IFERROR(IF(BB_Switch=1,IF(_xll.BDP($D58,$D$50, "EQY_FUND_RELATIVE_PERIOD", G$3)="#N/A N/A","NA  ",(_xll.BDP($D58,$D$50, "EQY_FUND_RELATIVE_PERIOD", G$3))),G58),"NA ")</f>
        <v xml:space="preserve">NA  </v>
      </c>
      <c r="H58" s="244" t="str">
        <f ca="1">IFERROR(IF(BB_Switch=1,IF(_xll.BDP($D58,$D$50, "EQY_FUND_RELATIVE_PERIOD", H$3)="#N/A N/A","NA  ",(_xll.BDP($D58,$D$50, "EQY_FUND_RELATIVE_PERIOD", H$3))),H58),"NA ")</f>
        <v xml:space="preserve">NA  </v>
      </c>
      <c r="I58" s="244" t="str">
        <f ca="1">IFERROR(IF(BB_Switch=1,IF(_xll.BDP($D58,$D$50, "EQY_FUND_RELATIVE_PERIOD", I$3)="#N/A N/A","NA  ",(_xll.BDP($D58,$D$50, "EQY_FUND_RELATIVE_PERIOD", I$3))),I58),"NA ")</f>
        <v xml:space="preserve">NA  </v>
      </c>
      <c r="J58" s="244" t="str">
        <f ca="1">IFERROR(IF(BB_Switch=1,IF(_xll.BDP($D58,$D$50, "EQY_FUND_RELATIVE_PERIOD", J$3)="#N/A N/A","NA  ",(_xll.BDP($D58,$D$50, "EQY_FUND_RELATIVE_PERIOD", J$3))),J58),"NA ")</f>
        <v xml:space="preserve">NA  </v>
      </c>
      <c r="K58" s="244" t="str">
        <f ca="1">IFERROR(IF(BB_Switch=1,IF(_xll.BDP($D58,$D$50, "EQY_FUND_RELATIVE_PERIOD", K$3)="#N/A N/A","NA  ",(_xll.BDP($D58,$D$50, "EQY_FUND_RELATIVE_PERIOD", K$3))),K58),"NA ")</f>
        <v xml:space="preserve">NA  </v>
      </c>
      <c r="L58" s="244" t="str">
        <f ca="1">IFERROR(IF(BB_Switch=1,IF(_xll.BDP($D58,$D$50, "EQY_FUND_RELATIVE_PERIOD", L$3)="#N/A N/A","NA  ",(_xll.BDP($D58,$D$50, "EQY_FUND_RELATIVE_PERIOD", L$3))),L58),"NA ")</f>
        <v xml:space="preserve">NA  </v>
      </c>
      <c r="M58" s="244">
        <f ca="1">IFERROR(IF(BB_Switch=1,IF(_xll.BDP($D58,$D$50, "EQY_FUND_RELATIVE_PERIOD", M$3)="#N/A N/A","NA  ",(_xll.BDP($D58,$D$50, "EQY_FUND_RELATIVE_PERIOD", M$3))),M58),"NA ")</f>
        <v>11.481252846407836</v>
      </c>
      <c r="N58" s="244">
        <f ca="1">IFERROR(IF(BB_Switch=1,IF(_xll.BDP($D58,$D$50, "EQY_FUND_RELATIVE_PERIOD", N$3)="#N/A N/A","NA  ",(_xll.BDP($D58,$D$50, "EQY_FUND_RELATIVE_PERIOD", N$3))),N58),"NA ")</f>
        <v>12.354519333782983</v>
      </c>
      <c r="O58" s="244">
        <f ca="1">IFERROR(IF(BB_Switch=1,IF(_xll.BDP($D58,$D$50, "EQY_FUND_RELATIVE_PERIOD", O$3)="#N/A N/A","NA  ",(_xll.BDP($D58,$D$50, "EQY_FUND_RELATIVE_PERIOD", O$3))),O58),"NA ")</f>
        <v>11.387491109870528</v>
      </c>
      <c r="P58" s="257">
        <f ca="1">IFERROR(IF(BB_Switch=1,IF(_xll.BDP($D58,$F$50, "BEST_FPERIOD_OVERRIDE", P$3)="#N/A N/A","NA  ",(_xll.BDP($D58,$F$50, "BEST_FPERIOD_OVERRIDE", P$3))),P58),"NM ")</f>
        <v>7.6575008701705531</v>
      </c>
      <c r="Q58" s="257">
        <f ca="1">IFERROR(IF(BB_Switch=1,IF(_xll.BDP($D58,$F$50, "BEST_FPERIOD_OVERRIDE", Q$3)="#N/A N/A","NA  ",(_xll.BDP($D58,$F$50, "BEST_FPERIOD_OVERRIDE", Q$3))),Q58),"NM ")</f>
        <v>7.6521739130434785</v>
      </c>
      <c r="R58" s="257">
        <f ca="1">IFERROR(IF(BB_Switch=1,IF(_xll.BDP($D58,$F$50, "BEST_FPERIOD_OVERRIDE", R$3)="#N/A N/A","NA  ",(_xll.BDP($D58,$F$50, "BEST_FPERIOD_OVERRIDE", R$3))),R58),"NM ")</f>
        <v>7.2344623479118715</v>
      </c>
      <c r="S58" s="257">
        <f ca="1">IFERROR(IF(BB_Switch=1,IF(_xll.BDP($D58,$F$50, "BEST_FPERIOD_OVERRIDE", S$3)="#N/A N/A","NA  ",(_xll.BDP($D58,$F$50, "BEST_FPERIOD_OVERRIDE", S$3))),S58),"NM ")</f>
        <v>6.6445182724252492</v>
      </c>
      <c r="T58" s="257">
        <f ca="1">IFERROR(IF(BB_Switch=1,IF(_xll.BDP($D58,$F$50, "BEST_FPERIOD_OVERRIDE", T$3)="#N/A N/A","NA  ",(_xll.BDP($D58,$F$50, "BEST_FPERIOD_OVERRIDE", T$3))),T58),"NM ")</f>
        <v>6.2146892655367232</v>
      </c>
      <c r="U58" s="227"/>
      <c r="V58" s="244" t="str">
        <f ca="1">IFERROR(IF(BB_Switch=1,IF(_xll.BDP($D58,$D$50, "EQY_FUND_RELATIVE_PERIOD", V$3)="#N/A N/A","NA  ",(_xll.BDP($D58,$D$50, "EQY_FUND_RELATIVE_PERIOD", V$3))),V58),"NA ")</f>
        <v xml:space="preserve">NA  </v>
      </c>
      <c r="W58" s="244" t="str">
        <f ca="1">IFERROR(IF(BB_Switch=1,IF(_xll.BDP($D58,$D$50, "EQY_FUND_RELATIVE_PERIOD", W$3)="#N/A N/A","NA  ",(_xll.BDP($D58,$D$50, "EQY_FUND_RELATIVE_PERIOD", W$3))),W58),"NA ")</f>
        <v xml:space="preserve">NA  </v>
      </c>
      <c r="X58" s="244" t="str">
        <f ca="1">IFERROR(IF(BB_Switch=1,IF(_xll.BDP($D58,$D$50, "EQY_FUND_RELATIVE_PERIOD", X$3)="#N/A N/A","NA  ",(_xll.BDP($D58,$D$50, "EQY_FUND_RELATIVE_PERIOD", X$3))),X58),"NA ")</f>
        <v xml:space="preserve">NA  </v>
      </c>
      <c r="Y58" s="244" t="str">
        <f ca="1">IFERROR(IF(BB_Switch=1,IF(_xll.BDP($D58,$D$50, "EQY_FUND_RELATIVE_PERIOD", Y$3)="#N/A N/A","NA  ",(_xll.BDP($D58,$D$50, "EQY_FUND_RELATIVE_PERIOD", Y$3))),Y58),"NA ")</f>
        <v xml:space="preserve">NA  </v>
      </c>
      <c r="Z58" s="244" t="str">
        <f ca="1">IFERROR(IF(BB_Switch=1,IF(_xll.BDP($D58,$D$50, "EQY_FUND_RELATIVE_PERIOD", Z$3)="#N/A N/A","NA  ",(_xll.BDP($D58,$D$50, "EQY_FUND_RELATIVE_PERIOD", Z$3))),Z58),"NA ")</f>
        <v xml:space="preserve">NA  </v>
      </c>
      <c r="AA58" s="244" t="str">
        <f ca="1">IFERROR(IF(BB_Switch=1,IF(_xll.BDP($D58,$D$50, "EQY_FUND_RELATIVE_PERIOD", AA$3)="#N/A N/A","NA  ",(_xll.BDP($D58,$D$50, "EQY_FUND_RELATIVE_PERIOD", AA$3))),AA58),"NA ")</f>
        <v xml:space="preserve">NA  </v>
      </c>
      <c r="AB58" s="244" t="str">
        <f ca="1">IFERROR(IF(BB_Switch=1,IF(_xll.BDP($D58,$D$50, "EQY_FUND_RELATIVE_PERIOD", AB$3)="#N/A N/A","NA  ",(_xll.BDP($D58,$D$50, "EQY_FUND_RELATIVE_PERIOD", AB$3))),AB58),"NA ")</f>
        <v xml:space="preserve">NA  </v>
      </c>
      <c r="AC58" s="244" t="str">
        <f ca="1">IFERROR(IF(BB_Switch=1,IF(_xll.BDP($D58,$D$50, "EQY_FUND_RELATIVE_PERIOD", AC$3)="#N/A N/A","NA  ",(_xll.BDP($D58,$D$50, "EQY_FUND_RELATIVE_PERIOD", AC$3))),AC58),"NA ")</f>
        <v xml:space="preserve">NA  </v>
      </c>
      <c r="AD58" s="244" t="str">
        <f ca="1">IFERROR(IF(BB_Switch=1,IF(_xll.BDP($D58,$D$50, "EQY_FUND_RELATIVE_PERIOD", AD$3)="#N/A N/A","NA  ",(_xll.BDP($D58,$D$50, "EQY_FUND_RELATIVE_PERIOD", AD$3))),AD58),"NA ")</f>
        <v xml:space="preserve">NA  </v>
      </c>
      <c r="AE58" s="244">
        <f ca="1">IFERROR(IF(BB_Switch=1,IF(_xll.BDP($D58,$D$50, "EQY_FUND_RELATIVE_PERIOD", AE$3)="#N/A N/A","NA  ",(_xll.BDP($D58,$D$50, "EQY_FUND_RELATIVE_PERIOD", AE$3))),AE58),"NA ")</f>
        <v>15.818225381820977</v>
      </c>
      <c r="AF58" s="235">
        <f t="shared" ca="1" si="17"/>
        <v>15.818225381820977</v>
      </c>
      <c r="AG58" s="244">
        <f ca="1">IFERROR(IF(BB_Switch=1,IF(_xll.BDP($D58,$D$50)="#N/A N/A","NA  ",(_xll.BDP($D58,$D$50))),AG58),"NA ")</f>
        <v>5.559500554686533</v>
      </c>
      <c r="AH58" s="257">
        <f ca="1">IFERROR(IF(BB_Switch=1,IF(_xll.BDP($D58,$X$50, "BEST_FPERIOD_OVERRIDE", AH$3)="#N/A N/A","NA  ",(_xll.BDP($D58,$X$50, "BEST_FPERIOD_OVERRIDE", AH$3))),AH58),"NM ")</f>
        <v>7.3949579831932768</v>
      </c>
      <c r="AI58" s="257">
        <f ca="1">IFERROR(IF(BB_Switch=1,IF(_xll.BDP($D58,$X$50, "BEST_FPERIOD_OVERRIDE", AI$3)="#N/A N/A","NA  ",(_xll.BDP($D58,$X$50, "BEST_FPERIOD_OVERRIDE", AI$3))),AI58),"NM ")</f>
        <v>6.1179087875417126</v>
      </c>
      <c r="AJ58" s="257">
        <f ca="1">IFERROR(IF(BB_Switch=1,IF(_xll.BDP($D58,$X$50, "BEST_FPERIOD_OVERRIDE", AJ$3)="#N/A N/A","NA  ",(_xll.BDP($D58,$X$50, "BEST_FPERIOD_OVERRIDE", AJ$3))),AJ58),"NM ")</f>
        <v>5.4617676266137032</v>
      </c>
      <c r="AL58" s="258">
        <v>25</v>
      </c>
      <c r="AM58" s="226" t="s">
        <v>529</v>
      </c>
    </row>
    <row r="59" spans="2:39" ht="11.25" customHeight="1">
      <c r="C59" s="229"/>
      <c r="D59" s="227"/>
      <c r="E59" s="244"/>
      <c r="F59" s="244"/>
      <c r="G59" s="244"/>
      <c r="H59" s="244"/>
      <c r="I59" s="244"/>
      <c r="J59" s="244"/>
      <c r="K59" s="244"/>
      <c r="L59" s="244"/>
      <c r="M59" s="244"/>
      <c r="N59" s="244"/>
      <c r="O59" s="244"/>
      <c r="P59" s="257"/>
      <c r="Q59" s="257"/>
      <c r="R59" s="257"/>
      <c r="S59" s="257"/>
      <c r="T59" s="257"/>
      <c r="U59" s="227"/>
      <c r="V59" s="244"/>
      <c r="W59" s="244"/>
      <c r="X59" s="244"/>
      <c r="Y59" s="244"/>
      <c r="Z59" s="244"/>
      <c r="AA59" s="244"/>
      <c r="AB59" s="244"/>
      <c r="AC59" s="244"/>
      <c r="AD59" s="244"/>
      <c r="AE59" s="244"/>
      <c r="AF59" s="235"/>
      <c r="AG59" s="244"/>
      <c r="AH59" s="257"/>
      <c r="AI59" s="257"/>
      <c r="AJ59" s="257"/>
    </row>
    <row r="60" spans="2:39" ht="11.25" customHeight="1">
      <c r="C60" s="440" t="str">
        <f>+C20</f>
        <v>Specialty Chemicals</v>
      </c>
      <c r="D60" s="227"/>
      <c r="E60" s="244"/>
      <c r="F60" s="244"/>
      <c r="G60" s="244"/>
      <c r="H60" s="244"/>
      <c r="I60" s="244"/>
      <c r="J60" s="244"/>
      <c r="K60" s="244"/>
      <c r="L60" s="244"/>
      <c r="M60" s="244"/>
      <c r="N60" s="244"/>
      <c r="O60" s="244"/>
      <c r="P60" s="257"/>
      <c r="Q60" s="257"/>
      <c r="R60" s="257"/>
      <c r="S60" s="257"/>
      <c r="T60" s="257"/>
      <c r="U60" s="227"/>
      <c r="V60" s="244"/>
      <c r="W60" s="244"/>
      <c r="X60" s="244"/>
      <c r="Y60" s="244"/>
      <c r="Z60" s="244"/>
      <c r="AA60" s="244"/>
      <c r="AB60" s="244"/>
      <c r="AC60" s="244"/>
      <c r="AD60" s="244"/>
      <c r="AE60" s="244"/>
      <c r="AF60" s="235"/>
      <c r="AG60" s="244"/>
      <c r="AH60" s="257"/>
      <c r="AI60" s="257"/>
      <c r="AJ60" s="257"/>
    </row>
    <row r="61" spans="2:39" ht="11.25" customHeight="1">
      <c r="C61" s="229" t="str">
        <f ca="1">IFERROR(IF(BB_Switch=1,_xll.BDP($D61,$C$270),C61), "NA ")</f>
        <v>Eastman Chemical Co</v>
      </c>
      <c r="D61" s="227" t="str">
        <f>D21</f>
        <v>EMN US EQUITY</v>
      </c>
      <c r="E61" s="244">
        <f ca="1">IFERROR(IF(BB_Switch=1,IF(_xll.BDP($D61,$D$50, "EQY_FUND_RELATIVE_PERIOD", E$3)="#N/A N/A","NA  ",(_xll.BDP($D61,$D$50, "EQY_FUND_RELATIVE_PERIOD", E$3))),E61),"NA ")</f>
        <v>11.717423315410123</v>
      </c>
      <c r="F61" s="244">
        <f ca="1">IFERROR(IF(BB_Switch=1,IF(_xll.BDP($D61,$D$50, "EQY_FUND_RELATIVE_PERIOD", F$3)="#N/A N/A","NA  ",(_xll.BDP($D61,$D$50, "EQY_FUND_RELATIVE_PERIOD", F$3))),F61),"NA ")</f>
        <v>11.578094724502275</v>
      </c>
      <c r="G61" s="244">
        <f ca="1">IFERROR(IF(BB_Switch=1,IF(_xll.BDP($D61,$D$50, "EQY_FUND_RELATIVE_PERIOD", G$3)="#N/A N/A","NA  ",(_xll.BDP($D61,$D$50, "EQY_FUND_RELATIVE_PERIOD", G$3))),G61),"NA ")</f>
        <v>11.911944024262507</v>
      </c>
      <c r="H61" s="244">
        <f ca="1">IFERROR(IF(BB_Switch=1,IF(_xll.BDP($D61,$D$50, "EQY_FUND_RELATIVE_PERIOD", H$3)="#N/A N/A","NA  ",(_xll.BDP($D61,$D$50, "EQY_FUND_RELATIVE_PERIOD", H$3))),H61),"NA ")</f>
        <v>12.024059020685561</v>
      </c>
      <c r="I61" s="244">
        <f ca="1">IFERROR(IF(BB_Switch=1,IF(_xll.BDP($D61,$D$50, "EQY_FUND_RELATIVE_PERIOD", I$3)="#N/A N/A","NA  ",(_xll.BDP($D61,$D$50, "EQY_FUND_RELATIVE_PERIOD", I$3))),I61),"NA ")</f>
        <v>13.113983595472234</v>
      </c>
      <c r="J61" s="244">
        <f ca="1">IFERROR(IF(BB_Switch=1,IF(_xll.BDP($D61,$D$50, "EQY_FUND_RELATIVE_PERIOD", J$3)="#N/A N/A","NA  ",(_xll.BDP($D61,$D$50, "EQY_FUND_RELATIVE_PERIOD", J$3))),J61),"NA ")</f>
        <v>12.090955043927687</v>
      </c>
      <c r="K61" s="244">
        <f ca="1">IFERROR(IF(BB_Switch=1,IF(_xll.BDP($D61,$D$50, "EQY_FUND_RELATIVE_PERIOD", K$3)="#N/A N/A","NA  ",(_xll.BDP($D61,$D$50, "EQY_FUND_RELATIVE_PERIOD", K$3))),K61),"NA ")</f>
        <v>11.381616738919481</v>
      </c>
      <c r="L61" s="244">
        <f ca="1">IFERROR(IF(BB_Switch=1,IF(_xll.BDP($D61,$D$50, "EQY_FUND_RELATIVE_PERIOD", L$3)="#N/A N/A","NA  ",(_xll.BDP($D61,$D$50, "EQY_FUND_RELATIVE_PERIOD", L$3))),L61),"NA ")</f>
        <v>8.9390155198475849</v>
      </c>
      <c r="M61" s="244">
        <f ca="1">IFERROR(IF(BB_Switch=1,IF(_xll.BDP($D61,$D$50, "EQY_FUND_RELATIVE_PERIOD", M$3)="#N/A N/A","NA  ",(_xll.BDP($D61,$D$50, "EQY_FUND_RELATIVE_PERIOD", M$3))),M61),"NA ")</f>
        <v>9.8408309147342852</v>
      </c>
      <c r="N61" s="244">
        <f ca="1">IFERROR(IF(BB_Switch=1,IF(_xll.BDP($D61,$D$50, "EQY_FUND_RELATIVE_PERIOD", N$3)="#N/A N/A","NA  ",(_xll.BDP($D61,$D$50, "EQY_FUND_RELATIVE_PERIOD", N$3))),N61),"NA ")</f>
        <v>10.403781132142056</v>
      </c>
      <c r="O61" s="244">
        <f ca="1">IFERROR(IF(BB_Switch=1,IF(_xll.BDP($D61,$D$50, "EQY_FUND_RELATIVE_PERIOD", O$3)="#N/A N/A","NA  ",(_xll.BDP($D61,$D$50, "EQY_FUND_RELATIVE_PERIOD", O$3))),O61),"NA ")</f>
        <v>10.423599379130156</v>
      </c>
      <c r="P61" s="257">
        <f ca="1">IFERROR(IF(BB_Switch=1,IF(_xll.BDP($D61,$F$50, "BEST_FPERIOD_OVERRIDE", P$3)="#N/A N/A","NA  ",(_xll.BDP($D61,$F$50, "BEST_FPERIOD_OVERRIDE", P$3))),P61),"NM ")</f>
        <v>5.7059326868225888</v>
      </c>
      <c r="Q61" s="257">
        <f ca="1">IFERROR(IF(BB_Switch=1,IF(_xll.BDP($D61,$F$50, "BEST_FPERIOD_OVERRIDE", Q$3)="#N/A N/A","NA  ",(_xll.BDP($D61,$F$50, "BEST_FPERIOD_OVERRIDE", Q$3))),Q61),"NM ")</f>
        <v>5.4815728181942722</v>
      </c>
      <c r="R61" s="257">
        <f ca="1">IFERROR(IF(BB_Switch=1,IF(_xll.BDP($D61,$F$50, "BEST_FPERIOD_OVERRIDE", R$3)="#N/A N/A","NA  ",(_xll.BDP($D61,$F$50, "BEST_FPERIOD_OVERRIDE", R$3))),R61),"NM ")</f>
        <v>5.3021468327590773</v>
      </c>
      <c r="S61" s="257">
        <f ca="1">IFERROR(IF(BB_Switch=1,IF(_xll.BDP($D61,$F$50, "BEST_FPERIOD_OVERRIDE", S$3)="#N/A N/A","NA  ",(_xll.BDP($D61,$F$50, "BEST_FPERIOD_OVERRIDE", S$3))),S61),"NM ")</f>
        <v>5.0428535417191833</v>
      </c>
      <c r="T61" s="257">
        <f ca="1">IFERROR(IF(BB_Switch=1,IF(_xll.BDP($D61,$F$50, "BEST_FPERIOD_OVERRIDE", T$3)="#N/A N/A","NA  ",(_xll.BDP($D61,$F$50, "BEST_FPERIOD_OVERRIDE", T$3))),T61),"NM ")</f>
        <v>4.8774838473729121</v>
      </c>
      <c r="U61" s="227"/>
      <c r="V61" s="244">
        <f ca="1">IFERROR(IF(BB_Switch=1,IF(_xll.BDP($D61,$D$50, "EQY_FUND_RELATIVE_PERIOD", V$3)="#N/A N/A","NA  ",(_xll.BDP($D61,$D$50, "EQY_FUND_RELATIVE_PERIOD", V$3))),V61),"NA ")</f>
        <v>23.753412010389575</v>
      </c>
      <c r="W61" s="244">
        <f ca="1">IFERROR(IF(BB_Switch=1,IF(_xll.BDP($D61,$D$50, "EQY_FUND_RELATIVE_PERIOD", W$3)="#N/A N/A","NA  ",(_xll.BDP($D61,$D$50, "EQY_FUND_RELATIVE_PERIOD", W$3))),W61),"NA ")</f>
        <v>4.3351258734762554</v>
      </c>
      <c r="X61" s="244">
        <f ca="1">IFERROR(IF(BB_Switch=1,IF(_xll.BDP($D61,$D$50, "EQY_FUND_RELATIVE_PERIOD", X$3)="#N/A N/A","NA  ",(_xll.BDP($D61,$D$50, "EQY_FUND_RELATIVE_PERIOD", X$3))),X61),"NA ")</f>
        <v>12.661105827122785</v>
      </c>
      <c r="Y61" s="244">
        <f ca="1">IFERROR(IF(BB_Switch=1,IF(_xll.BDP($D61,$D$50, "EQY_FUND_RELATIVE_PERIOD", Y$3)="#N/A N/A","NA  ",(_xll.BDP($D61,$D$50, "EQY_FUND_RELATIVE_PERIOD", Y$3))),Y61),"NA ")</f>
        <v>12.537275869006441</v>
      </c>
      <c r="Z61" s="244">
        <f ca="1">IFERROR(IF(BB_Switch=1,IF(_xll.BDP($D61,$D$50, "EQY_FUND_RELATIVE_PERIOD", Z$3)="#N/A N/A","NA  ",(_xll.BDP($D61,$D$50, "EQY_FUND_RELATIVE_PERIOD", Z$3))),Z61),"NA ")</f>
        <v>10.896430334593379</v>
      </c>
      <c r="AA61" s="244">
        <f ca="1">IFERROR(IF(BB_Switch=1,IF(_xll.BDP($D61,$D$50, "EQY_FUND_RELATIVE_PERIOD", AA$3)="#N/A N/A","NA  ",(_xll.BDP($D61,$D$50, "EQY_FUND_RELATIVE_PERIOD", AA$3))),AA61),"NA ")</f>
        <v>9.3047154412379864</v>
      </c>
      <c r="AB61" s="244">
        <f ca="1">IFERROR(IF(BB_Switch=1,IF(_xll.BDP($D61,$D$50, "EQY_FUND_RELATIVE_PERIOD", AB$3)="#N/A N/A","NA  ",(_xll.BDP($D61,$D$50, "EQY_FUND_RELATIVE_PERIOD", AB$3))),AB61),"NA ")</f>
        <v>11.135552438739284</v>
      </c>
      <c r="AC61" s="244">
        <f ca="1">IFERROR(IF(BB_Switch=1,IF(_xll.BDP($D61,$D$50, "EQY_FUND_RELATIVE_PERIOD", AC$3)="#N/A N/A","NA  ",(_xll.BDP($D61,$D$50, "EQY_FUND_RELATIVE_PERIOD", AC$3))),AC61),"NA ")</f>
        <v>12.981473374807534</v>
      </c>
      <c r="AD61" s="244">
        <f ca="1">IFERROR(IF(BB_Switch=1,IF(_xll.BDP($D61,$D$50, "EQY_FUND_RELATIVE_PERIOD", AD$3)="#N/A N/A","NA  ",(_xll.BDP($D61,$D$50, "EQY_FUND_RELATIVE_PERIOD", AD$3))),AD61),"NA ")</f>
        <v>8.9008589675880181</v>
      </c>
      <c r="AE61" s="244">
        <f ca="1">IFERROR(IF(BB_Switch=1,IF(_xll.BDP($D61,$D$50, "EQY_FUND_RELATIVE_PERIOD", AE$3)="#N/A N/A","NA  ",(_xll.BDP($D61,$D$50, "EQY_FUND_RELATIVE_PERIOD", AE$3))),AE61),"NA ")</f>
        <v>10.506201124160871</v>
      </c>
      <c r="AF61" s="235">
        <f t="shared" ca="1" si="17"/>
        <v>12.519669487516209</v>
      </c>
      <c r="AG61" s="244">
        <f ca="1">IFERROR(IF(BB_Switch=1,IF(_xll.BDP($D61,$D$50)="#N/A N/A","NA  ",(_xll.BDP($D61,$D$50))),AG61),"NA ")</f>
        <v>5.6176515185046529</v>
      </c>
      <c r="AH61" s="257">
        <f ca="1">IFERROR(IF(BB_Switch=1,IF(_xll.BDP($D61,$X$50, "BEST_FPERIOD_OVERRIDE", AH$3)="#N/A N/A","NA  ",(_xll.BDP($D61,$X$50, "BEST_FPERIOD_OVERRIDE", AH$3))),AH61),"NM ")</f>
        <v>5.4613704613704606</v>
      </c>
      <c r="AI61" s="257">
        <f ca="1">IFERROR(IF(BB_Switch=1,IF(_xll.BDP($D61,$X$50, "BEST_FPERIOD_OVERRIDE", AI$3)="#N/A N/A","NA  ",(_xll.BDP($D61,$X$50, "BEST_FPERIOD_OVERRIDE", AI$3))),AI61),"NM ")</f>
        <v>4.950507300173224</v>
      </c>
      <c r="AJ61" s="257">
        <f ca="1">IFERROR(IF(BB_Switch=1,IF(_xll.BDP($D61,$X$50, "BEST_FPERIOD_OVERRIDE", AJ$3)="#N/A N/A","NA  ",(_xll.BDP($D61,$X$50, "BEST_FPERIOD_OVERRIDE", AJ$3))),AJ61),"NM ")</f>
        <v>4.414165931156222</v>
      </c>
      <c r="AK61" s="340">
        <f ca="1">+AL57*AVERAGE(Financials!AQ116:AU116)</f>
        <v>31.135755332488458</v>
      </c>
      <c r="AL61" s="340">
        <f ca="1">+AF61*AVERAGE(Financials!AQ116:AU116)</f>
        <v>77.961873201385174</v>
      </c>
      <c r="AM61" s="340">
        <f ca="1">13*AVERAGE(Financials!AQ116:AU116)</f>
        <v>80.952963864469993</v>
      </c>
    </row>
    <row r="62" spans="2:39" ht="11.25" customHeight="1">
      <c r="C62" s="229" t="str">
        <f ca="1">IFERROR(IF(BB_Switch=1,_xll.BDP($D62,$C$270),C62), "NA ")</f>
        <v>Celanese Corp</v>
      </c>
      <c r="D62" s="227" t="str">
        <f>D22</f>
        <v>CE US EQUITY</v>
      </c>
      <c r="E62" s="244">
        <f ca="1">IFERROR(IF(BB_Switch=1,IF(_xll.BDP($D62,$D$50, "EQY_FUND_RELATIVE_PERIOD", E$3)="#N/A N/A","NA  ",(_xll.BDP($D62,$D$50, "EQY_FUND_RELATIVE_PERIOD", E$3))),E62),"NA ")</f>
        <v>15.39559482084308</v>
      </c>
      <c r="F62" s="244">
        <f ca="1">IFERROR(IF(BB_Switch=1,IF(_xll.BDP($D62,$D$50, "EQY_FUND_RELATIVE_PERIOD", F$3)="#N/A N/A","NA  ",(_xll.BDP($D62,$D$50, "EQY_FUND_RELATIVE_PERIOD", F$3))),F62),"NA ")</f>
        <v>15.696567851365703</v>
      </c>
      <c r="G62" s="244">
        <f ca="1">IFERROR(IF(BB_Switch=1,IF(_xll.BDP($D62,$D$50, "EQY_FUND_RELATIVE_PERIOD", G$3)="#N/A N/A","NA  ",(_xll.BDP($D62,$D$50, "EQY_FUND_RELATIVE_PERIOD", G$3))),G62),"NA ")</f>
        <v>16.64173943603863</v>
      </c>
      <c r="H62" s="244">
        <f ca="1">IFERROR(IF(BB_Switch=1,IF(_xll.BDP($D62,$D$50, "EQY_FUND_RELATIVE_PERIOD", H$3)="#N/A N/A","NA  ",(_xll.BDP($D62,$D$50, "EQY_FUND_RELATIVE_PERIOD", H$3))),H62),"NA ")</f>
        <v>16.162623646033108</v>
      </c>
      <c r="I62" s="244">
        <f ca="1">IFERROR(IF(BB_Switch=1,IF(_xll.BDP($D62,$D$50, "EQY_FUND_RELATIVE_PERIOD", I$3)="#N/A N/A","NA  ",(_xll.BDP($D62,$D$50, "EQY_FUND_RELATIVE_PERIOD", I$3))),I62),"NA ")</f>
        <v>11.927545369247454</v>
      </c>
      <c r="J62" s="244">
        <f ca="1">IFERROR(IF(BB_Switch=1,IF(_xll.BDP($D62,$D$50, "EQY_FUND_RELATIVE_PERIOD", J$3)="#N/A N/A","NA  ",(_xll.BDP($D62,$D$50, "EQY_FUND_RELATIVE_PERIOD", J$3))),J62),"NA ")</f>
        <v>11.671636693246459</v>
      </c>
      <c r="K62" s="244">
        <f ca="1">IFERROR(IF(BB_Switch=1,IF(_xll.BDP($D62,$D$50, "EQY_FUND_RELATIVE_PERIOD", K$3)="#N/A N/A","NA  ",(_xll.BDP($D62,$D$50, "EQY_FUND_RELATIVE_PERIOD", K$3))),K62),"NA ")</f>
        <v>10.890204480784186</v>
      </c>
      <c r="L62" s="244">
        <f ca="1">IFERROR(IF(BB_Switch=1,IF(_xll.BDP($D62,$D$50, "EQY_FUND_RELATIVE_PERIOD", L$3)="#N/A N/A","NA  ",(_xll.BDP($D62,$D$50, "EQY_FUND_RELATIVE_PERIOD", L$3))),L62),"NA ")</f>
        <v>8.2937849065836069</v>
      </c>
      <c r="M62" s="244">
        <f ca="1">IFERROR(IF(BB_Switch=1,IF(_xll.BDP($D62,$D$50, "EQY_FUND_RELATIVE_PERIOD", M$3)="#N/A N/A","NA  ",(_xll.BDP($D62,$D$50, "EQY_FUND_RELATIVE_PERIOD", M$3))),M62),"NA ")</f>
        <v>9.2374992821991846</v>
      </c>
      <c r="N62" s="244">
        <f ca="1">IFERROR(IF(BB_Switch=1,IF(_xll.BDP($D62,$D$50, "EQY_FUND_RELATIVE_PERIOD", N$3)="#N/A N/A","NA  ",(_xll.BDP($D62,$D$50, "EQY_FUND_RELATIVE_PERIOD", N$3))),N62),"NA ")</f>
        <v>10.649447359870608</v>
      </c>
      <c r="O62" s="244">
        <f ca="1">IFERROR(IF(BB_Switch=1,IF(_xll.BDP($D62,$D$50, "EQY_FUND_RELATIVE_PERIOD", O$3)="#N/A N/A","NA  ",(_xll.BDP($D62,$D$50, "EQY_FUND_RELATIVE_PERIOD", O$3))),O62),"NA ")</f>
        <v>12.500369266366627</v>
      </c>
      <c r="P62" s="257">
        <f ca="1">IFERROR(IF(BB_Switch=1,IF(_xll.BDP($D62,$F$50, "BEST_FPERIOD_OVERRIDE", P$3)="#N/A N/A","NA  ",(_xll.BDP($D62,$F$50, "BEST_FPERIOD_OVERRIDE", P$3))),P62),"NM ")</f>
        <v>6.5618178209962297</v>
      </c>
      <c r="Q62" s="257">
        <f ca="1">IFERROR(IF(BB_Switch=1,IF(_xll.BDP($D62,$F$50, "BEST_FPERIOD_OVERRIDE", Q$3)="#N/A N/A","NA  ",(_xll.BDP($D62,$F$50, "BEST_FPERIOD_OVERRIDE", Q$3))),Q62),"NM ")</f>
        <v>6.2569779543949275</v>
      </c>
      <c r="R62" s="257">
        <f ca="1">IFERROR(IF(BB_Switch=1,IF(_xll.BDP($D62,$F$50, "BEST_FPERIOD_OVERRIDE", R$3)="#N/A N/A","NA  ",(_xll.BDP($D62,$F$50, "BEST_FPERIOD_OVERRIDE", R$3))),R62),"NM ")</f>
        <v>6.0014520373899627</v>
      </c>
      <c r="S62" s="257">
        <f ca="1">IFERROR(IF(BB_Switch=1,IF(_xll.BDP($D62,$F$50, "BEST_FPERIOD_OVERRIDE", S$3)="#N/A N/A","NA  ",(_xll.BDP($D62,$F$50, "BEST_FPERIOD_OVERRIDE", S$3))),S62),"NM ")</f>
        <v>5.731495926503726</v>
      </c>
      <c r="T62" s="257">
        <f ca="1">IFERROR(IF(BB_Switch=1,IF(_xll.BDP($D62,$F$50, "BEST_FPERIOD_OVERRIDE", T$3)="#N/A N/A","NA  ",(_xll.BDP($D62,$F$50, "BEST_FPERIOD_OVERRIDE", T$3))),T62),"NM ")</f>
        <v>5.6051873198847257</v>
      </c>
      <c r="U62" s="227"/>
      <c r="V62" s="244">
        <f ca="1">IFERROR(IF(BB_Switch=1,IF(_xll.BDP($D62,$D$50, "EQY_FUND_RELATIVE_PERIOD", V$3)="#N/A N/A","NA  ",(_xll.BDP($D62,$D$50, "EQY_FUND_RELATIVE_PERIOD", V$3))),V62),"NA ")</f>
        <v>13.191508859330197</v>
      </c>
      <c r="W62" s="244">
        <f ca="1">IFERROR(IF(BB_Switch=1,IF(_xll.BDP($D62,$D$50, "EQY_FUND_RELATIVE_PERIOD", W$3)="#N/A N/A","NA  ",(_xll.BDP($D62,$D$50, "EQY_FUND_RELATIVE_PERIOD", W$3))),W62),"NA ")</f>
        <v>10.503339383370701</v>
      </c>
      <c r="X62" s="244">
        <f ca="1">IFERROR(IF(BB_Switch=1,IF(_xll.BDP($D62,$D$50, "EQY_FUND_RELATIVE_PERIOD", X$3)="#N/A N/A","NA  ",(_xll.BDP($D62,$D$50, "EQY_FUND_RELATIVE_PERIOD", X$3))),X62),"NA ")</f>
        <v>10.601386441367167</v>
      </c>
      <c r="Y62" s="244">
        <f ca="1">IFERROR(IF(BB_Switch=1,IF(_xll.BDP($D62,$D$50, "EQY_FUND_RELATIVE_PERIOD", Y$3)="#N/A N/A","NA  ",(_xll.BDP($D62,$D$50, "EQY_FUND_RELATIVE_PERIOD", Y$3))),Y62),"NA ")</f>
        <v>13.9940997576144</v>
      </c>
      <c r="Z62" s="244">
        <f ca="1">IFERROR(IF(BB_Switch=1,IF(_xll.BDP($D62,$D$50, "EQY_FUND_RELATIVE_PERIOD", Z$3)="#N/A N/A","NA  ",(_xll.BDP($D62,$D$50, "EQY_FUND_RELATIVE_PERIOD", Z$3))),Z62),"NA ")</f>
        <v>12.832102341794474</v>
      </c>
      <c r="AA62" s="244">
        <f ca="1">IFERROR(IF(BB_Switch=1,IF(_xll.BDP($D62,$D$50, "EQY_FUND_RELATIVE_PERIOD", AA$3)="#N/A N/A","NA  ",(_xll.BDP($D62,$D$50, "EQY_FUND_RELATIVE_PERIOD", AA$3))),AA62),"NA ")</f>
        <v>14.526551571847099</v>
      </c>
      <c r="AB62" s="244">
        <f ca="1">IFERROR(IF(BB_Switch=1,IF(_xll.BDP($D62,$D$50, "EQY_FUND_RELATIVE_PERIOD", AB$3)="#N/A N/A","NA  ",(_xll.BDP($D62,$D$50, "EQY_FUND_RELATIVE_PERIOD", AB$3))),AB62),"NA ")</f>
        <v>11.577162730593072</v>
      </c>
      <c r="AC62" s="244">
        <f ca="1">IFERROR(IF(BB_Switch=1,IF(_xll.BDP($D62,$D$50, "EQY_FUND_RELATIVE_PERIOD", AC$3)="#N/A N/A","NA  ",(_xll.BDP($D62,$D$50, "EQY_FUND_RELATIVE_PERIOD", AC$3))),AC62),"NA ")</f>
        <v>15.443681330568047</v>
      </c>
      <c r="AD62" s="244">
        <f ca="1">IFERROR(IF(BB_Switch=1,IF(_xll.BDP($D62,$D$50, "EQY_FUND_RELATIVE_PERIOD", AD$3)="#N/A N/A","NA  ",(_xll.BDP($D62,$D$50, "EQY_FUND_RELATIVE_PERIOD", AD$3))),AD62),"NA ")</f>
        <v>8.1495724169265813</v>
      </c>
      <c r="AE62" s="244">
        <f ca="1">IFERROR(IF(BB_Switch=1,IF(_xll.BDP($D62,$D$50, "EQY_FUND_RELATIVE_PERIOD", AE$3)="#N/A N/A","NA  ",(_xll.BDP($D62,$D$50, "EQY_FUND_RELATIVE_PERIOD", AE$3))),AE62),"NA ")</f>
        <v>12.881257550554384</v>
      </c>
      <c r="AF62" s="235">
        <f t="shared" ca="1" si="17"/>
        <v>12.370066238396612</v>
      </c>
      <c r="AG62" s="244">
        <f ca="1">IFERROR(IF(BB_Switch=1,IF(_xll.BDP($D62,$D$50)="#N/A N/A","NA  ",(_xll.BDP($D62,$D$50))),AG62),"NA ")</f>
        <v>6.94655232849935</v>
      </c>
      <c r="AH62" s="257">
        <f ca="1">IFERROR(IF(BB_Switch=1,IF(_xll.BDP($D62,$X$50, "BEST_FPERIOD_OVERRIDE", AH$3)="#N/A N/A","NA  ",(_xll.BDP($D62,$X$50, "BEST_FPERIOD_OVERRIDE", AH$3))),AH62),"NM ")</f>
        <v>6.2706239332448321</v>
      </c>
      <c r="AI62" s="257">
        <f ca="1">IFERROR(IF(BB_Switch=1,IF(_xll.BDP($D62,$X$50, "BEST_FPERIOD_OVERRIDE", AI$3)="#N/A N/A","NA  ",(_xll.BDP($D62,$X$50, "BEST_FPERIOD_OVERRIDE", AI$3))),AI62),"NM ")</f>
        <v>5.7599512237609964</v>
      </c>
      <c r="AJ62" s="257">
        <f ca="1">IFERROR(IF(BB_Switch=1,IF(_xll.BDP($D62,$X$50, "BEST_FPERIOD_OVERRIDE", AJ$3)="#N/A N/A","NA  ",(_xll.BDP($D62,$X$50, "BEST_FPERIOD_OVERRIDE", AJ$3))),AJ62),"NM ")</f>
        <v>5.126356589147286</v>
      </c>
    </row>
    <row r="63" spans="2:39" ht="11.25" customHeight="1">
      <c r="C63" s="229" t="str">
        <f ca="1">IFERROR(IF(BB_Switch=1,_xll.BDP($D63,$C$270),C63), "NA ")</f>
        <v>BASF SE</v>
      </c>
      <c r="D63" s="227" t="str">
        <f>D23</f>
        <v>BAS GR EQUITY</v>
      </c>
      <c r="E63" s="244">
        <f ca="1">IFERROR(IF(BB_Switch=1,IF(_xll.BDP($D63,$D$50, "EQY_FUND_RELATIVE_PERIOD", E$3)="#N/A N/A","NA  ",(_xll.BDP($D63,$D$50, "EQY_FUND_RELATIVE_PERIOD", E$3))),E63),"NA ")</f>
        <v>20.088728663314829</v>
      </c>
      <c r="F63" s="244">
        <f ca="1">IFERROR(IF(BB_Switch=1,IF(_xll.BDP($D63,$D$50, "EQY_FUND_RELATIVE_PERIOD", F$3)="#N/A N/A","NA  ",(_xll.BDP($D63,$D$50, "EQY_FUND_RELATIVE_PERIOD", F$3))),F63),"NA ")</f>
        <v>16.609239590720044</v>
      </c>
      <c r="G63" s="244">
        <f ca="1">IFERROR(IF(BB_Switch=1,IF(_xll.BDP($D63,$D$50, "EQY_FUND_RELATIVE_PERIOD", G$3)="#N/A N/A","NA  ",(_xll.BDP($D63,$D$50, "EQY_FUND_RELATIVE_PERIOD", G$3))),G63),"NA ")</f>
        <v>17.092835199278952</v>
      </c>
      <c r="H63" s="244">
        <f ca="1">IFERROR(IF(BB_Switch=1,IF(_xll.BDP($D63,$D$50, "EQY_FUND_RELATIVE_PERIOD", H$3)="#N/A N/A","NA  ",(_xll.BDP($D63,$D$50, "EQY_FUND_RELATIVE_PERIOD", H$3))),H63),"NA ")</f>
        <v>15.790631442806552</v>
      </c>
      <c r="I63" s="244">
        <f ca="1">IFERROR(IF(BB_Switch=1,IF(_xll.BDP($D63,$D$50, "EQY_FUND_RELATIVE_PERIOD", I$3)="#N/A N/A","NA  ",(_xll.BDP($D63,$D$50, "EQY_FUND_RELATIVE_PERIOD", I$3))),I63),"NA ")</f>
        <v>14.350129239862298</v>
      </c>
      <c r="J63" s="244">
        <f ca="1">IFERROR(IF(BB_Switch=1,IF(_xll.BDP($D63,$D$50, "EQY_FUND_RELATIVE_PERIOD", J$3)="#N/A N/A","NA  ",(_xll.BDP($D63,$D$50, "EQY_FUND_RELATIVE_PERIOD", J$3))),J63),"NA ")</f>
        <v>14.33916502654316</v>
      </c>
      <c r="K63" s="244">
        <f ca="1">IFERROR(IF(BB_Switch=1,IF(_xll.BDP($D63,$D$50, "EQY_FUND_RELATIVE_PERIOD", K$3)="#N/A N/A","NA  ",(_xll.BDP($D63,$D$50, "EQY_FUND_RELATIVE_PERIOD", K$3))),K63),"NA ")</f>
        <v>13.974983244280294</v>
      </c>
      <c r="L63" s="244">
        <f ca="1">IFERROR(IF(BB_Switch=1,IF(_xll.BDP($D63,$D$50, "EQY_FUND_RELATIVE_PERIOD", L$3)="#N/A N/A","NA  ",(_xll.BDP($D63,$D$50, "EQY_FUND_RELATIVE_PERIOD", L$3))),L63),"NA ")</f>
        <v>14.174231341290618</v>
      </c>
      <c r="M63" s="244">
        <f ca="1">IFERROR(IF(BB_Switch=1,IF(_xll.BDP($D63,$D$50, "EQY_FUND_RELATIVE_PERIOD", M$3)="#N/A N/A","NA  ",(_xll.BDP($D63,$D$50, "EQY_FUND_RELATIVE_PERIOD", M$3))),M63),"NA ")</f>
        <v>17.028219899284753</v>
      </c>
      <c r="N63" s="244">
        <f ca="1">IFERROR(IF(BB_Switch=1,IF(_xll.BDP($D63,$D$50, "EQY_FUND_RELATIVE_PERIOD", N$3)="#N/A N/A","NA  ",(_xll.BDP($D63,$D$50, "EQY_FUND_RELATIVE_PERIOD", N$3))),N63),"NA ")</f>
        <v>23.170631894059724</v>
      </c>
      <c r="O63" s="244">
        <f ca="1">IFERROR(IF(BB_Switch=1,IF(_xll.BDP($D63,$D$50, "EQY_FUND_RELATIVE_PERIOD", O$3)="#N/A N/A","NA  ",(_xll.BDP($D63,$D$50, "EQY_FUND_RELATIVE_PERIOD", O$3))),O63),"NA ")</f>
        <v>23.762156972177284</v>
      </c>
      <c r="P63" s="257">
        <f ca="1">IFERROR(IF(BB_Switch=1,IF(_xll.BDP($D63,$F$50, "BEST_FPERIOD_OVERRIDE", P$3)="#N/A N/A","NA  ",(_xll.BDP($D63,$F$50, "BEST_FPERIOD_OVERRIDE", P$3))),P63),"NM ")</f>
        <v>12.275798525798525</v>
      </c>
      <c r="Q63" s="257">
        <f ca="1">IFERROR(IF(BB_Switch=1,IF(_xll.BDP($D63,$F$50, "BEST_FPERIOD_OVERRIDE", Q$3)="#N/A N/A","NA  ",(_xll.BDP($D63,$F$50, "BEST_FPERIOD_OVERRIDE", Q$3))),Q63),"NM ")</f>
        <v>11.449441420796333</v>
      </c>
      <c r="R63" s="257" t="str">
        <f ca="1">IFERROR(IF(BB_Switch=1,IF(_xll.BDP($D63,$F$50, "BEST_FPERIOD_OVERRIDE", R$3)="#N/A N/A","NA  ",(_xll.BDP($D63,$F$50, "BEST_FPERIOD_OVERRIDE", R$3))),R63),"NM ")</f>
        <v xml:space="preserve">NA  </v>
      </c>
      <c r="S63" s="257" t="str">
        <f ca="1">IFERROR(IF(BB_Switch=1,IF(_xll.BDP($D63,$F$50, "BEST_FPERIOD_OVERRIDE", S$3)="#N/A N/A","NA  ",(_xll.BDP($D63,$F$50, "BEST_FPERIOD_OVERRIDE", S$3))),S63),"NM ")</f>
        <v xml:space="preserve">NA  </v>
      </c>
      <c r="T63" s="257" t="str">
        <f ca="1">IFERROR(IF(BB_Switch=1,IF(_xll.BDP($D63,$F$50, "BEST_FPERIOD_OVERRIDE", T$3)="#N/A N/A","NA  ",(_xll.BDP($D63,$F$50, "BEST_FPERIOD_OVERRIDE", T$3))),T63),"NM ")</f>
        <v xml:space="preserve">NA  </v>
      </c>
      <c r="U63" s="227"/>
      <c r="V63" s="244">
        <f ca="1">IFERROR(IF(BB_Switch=1,IF(_xll.BDP($D63,$D$50, "EQY_FUND_RELATIVE_PERIOD", V$3)="#N/A N/A","NA  ",(_xll.BDP($D63,$D$50, "EQY_FUND_RELATIVE_PERIOD", V$3))),V63),"NA ")</f>
        <v>12.036290322580646</v>
      </c>
      <c r="W63" s="244">
        <f ca="1">IFERROR(IF(BB_Switch=1,IF(_xll.BDP($D63,$D$50, "EQY_FUND_RELATIVE_PERIOD", W$3)="#N/A N/A","NA  ",(_xll.BDP($D63,$D$50, "EQY_FUND_RELATIVE_PERIOD", W$3))),W63),"NA ")</f>
        <v>7.9955489614243325</v>
      </c>
      <c r="X63" s="244">
        <f ca="1">IFERROR(IF(BB_Switch=1,IF(_xll.BDP($D63,$D$50, "EQY_FUND_RELATIVE_PERIOD", X$3)="#N/A N/A","NA  ",(_xll.BDP($D63,$D$50, "EQY_FUND_RELATIVE_PERIOD", X$3))),X63),"NA ")</f>
        <v>13.552380952380954</v>
      </c>
      <c r="Y63" s="244">
        <f ca="1">IFERROR(IF(BB_Switch=1,IF(_xll.BDP($D63,$D$50, "EQY_FUND_RELATIVE_PERIOD", Y$3)="#N/A N/A","NA  ",(_xll.BDP($D63,$D$50, "EQY_FUND_RELATIVE_PERIOD", Y$3))),Y63),"NA ")</f>
        <v>14.844827586206897</v>
      </c>
      <c r="Z63" s="244">
        <f ca="1">IFERROR(IF(BB_Switch=1,IF(_xll.BDP($D63,$D$50, "EQY_FUND_RELATIVE_PERIOD", Z$3)="#N/A N/A","NA  ",(_xll.BDP($D63,$D$50, "EQY_FUND_RELATIVE_PERIOD", Z$3))),Z63),"NA ")</f>
        <v>12.456327985739749</v>
      </c>
      <c r="AA63" s="244">
        <f ca="1">IFERROR(IF(BB_Switch=1,IF(_xll.BDP($D63,$D$50, "EQY_FUND_RELATIVE_PERIOD", AA$3)="#N/A N/A","NA  ",(_xll.BDP($D63,$D$50, "EQY_FUND_RELATIVE_PERIOD", AA$3))),AA63),"NA ")</f>
        <v>16.294930875576036</v>
      </c>
      <c r="AB63" s="244">
        <f ca="1">IFERROR(IF(BB_Switch=1,IF(_xll.BDP($D63,$D$50, "EQY_FUND_RELATIVE_PERIOD", AB$3)="#N/A N/A","NA  ",(_xll.BDP($D63,$D$50, "EQY_FUND_RELATIVE_PERIOD", AB$3))),AB63),"NA ")</f>
        <v>19.979638009049776</v>
      </c>
      <c r="AC63" s="244">
        <f ca="1">IFERROR(IF(BB_Switch=1,IF(_xll.BDP($D63,$D$50, "EQY_FUND_RELATIVE_PERIOD", AC$3)="#N/A N/A","NA  ",(_xll.BDP($D63,$D$50, "EQY_FUND_RELATIVE_PERIOD", AC$3))),AC63),"NA ")</f>
        <v>15.70890410958904</v>
      </c>
      <c r="AD63" s="244">
        <f ca="1">IFERROR(IF(BB_Switch=1,IF(_xll.BDP($D63,$D$50, "EQY_FUND_RELATIVE_PERIOD", AD$3)="#N/A N/A","NA  ",(_xll.BDP($D63,$D$50, "EQY_FUND_RELATIVE_PERIOD", AD$3))),AD63),"NA ")</f>
        <v>14.178403755868546</v>
      </c>
      <c r="AE63" s="244">
        <f ca="1">IFERROR(IF(BB_Switch=1,IF(_xll.BDP($D63,$D$50, "EQY_FUND_RELATIVE_PERIOD", AE$3)="#N/A N/A","NA  ",(_xll.BDP($D63,$D$50, "EQY_FUND_RELATIVE_PERIOD", AE$3))),AE63),"NA ")</f>
        <v>24.761029411764703</v>
      </c>
      <c r="AF63" s="235">
        <f t="shared" ca="1" si="17"/>
        <v>15.180828197018068</v>
      </c>
      <c r="AG63" s="244">
        <f ca="1">IFERROR(IF(BB_Switch=1,IF(_xll.BDP($D63,$D$50)="#N/A N/A","NA  ",(_xll.BDP($D63,$D$50))),AG63),"NA ")</f>
        <v>14.656149301569833</v>
      </c>
      <c r="AH63" s="257">
        <f ca="1">IFERROR(IF(BB_Switch=1,IF(_xll.BDP($D63,$X$50, "BEST_FPERIOD_OVERRIDE", AH$3)="#N/A N/A","NA  ",(_xll.BDP($D63,$X$50, "BEST_FPERIOD_OVERRIDE", AH$3))),AH63),"NM ")</f>
        <v>10.658666666666667</v>
      </c>
      <c r="AI63" s="257">
        <f ca="1">IFERROR(IF(BB_Switch=1,IF(_xll.BDP($D63,$X$50, "BEST_FPERIOD_OVERRIDE", AI$3)="#N/A N/A","NA  ",(_xll.BDP($D63,$X$50, "BEST_FPERIOD_OVERRIDE", AI$3))),AI63),"NM ")</f>
        <v>9.1283984464244909</v>
      </c>
      <c r="AJ63" s="257">
        <f ca="1">IFERROR(IF(BB_Switch=1,IF(_xll.BDP($D63,$X$50, "BEST_FPERIOD_OVERRIDE", AJ$3)="#N/A N/A","NA  ",(_xll.BDP($D63,$X$50, "BEST_FPERIOD_OVERRIDE", AJ$3))),AJ63),"NM ")</f>
        <v>8.1405295315682284</v>
      </c>
    </row>
    <row r="64" spans="2:39" ht="11.25" customHeight="1">
      <c r="C64" s="229" t="str">
        <f ca="1">IFERROR(IF(BB_Switch=1,_xll.BDP($D64,$C$270),C64), "NA ")</f>
        <v>Trinseo SA</v>
      </c>
      <c r="D64" s="227" t="str">
        <f>D24</f>
        <v>TSE US EQUITY</v>
      </c>
      <c r="E64" s="244">
        <f ca="1">IFERROR(IF(BB_Switch=1,IF(_xll.BDP($D64,$D$50, "EQY_FUND_RELATIVE_PERIOD", E$3)="#N/A N/A","NA  ",(_xll.BDP($D64,$D$50, "EQY_FUND_RELATIVE_PERIOD", E$3))),E64),"NA ")</f>
        <v>8.3232497142371606</v>
      </c>
      <c r="F64" s="244">
        <f ca="1">IFERROR(IF(BB_Switch=1,IF(_xll.BDP($D64,$D$50, "EQY_FUND_RELATIVE_PERIOD", F$3)="#N/A N/A","NA  ",(_xll.BDP($D64,$D$50, "EQY_FUND_RELATIVE_PERIOD", F$3))),F64),"NA ")</f>
        <v>9.489856006975252</v>
      </c>
      <c r="G64" s="244">
        <f ca="1">IFERROR(IF(BB_Switch=1,IF(_xll.BDP($D64,$D$50, "EQY_FUND_RELATIVE_PERIOD", G$3)="#N/A N/A","NA  ",(_xll.BDP($D64,$D$50, "EQY_FUND_RELATIVE_PERIOD", G$3))),G64),"NA ")</f>
        <v>9.0344708822773434</v>
      </c>
      <c r="H64" s="244">
        <f ca="1">IFERROR(IF(BB_Switch=1,IF(_xll.BDP($D64,$D$50, "EQY_FUND_RELATIVE_PERIOD", H$3)="#N/A N/A","NA  ",(_xll.BDP($D64,$D$50, "EQY_FUND_RELATIVE_PERIOD", H$3))),H64),"NA ")</f>
        <v>9.0293678323174245</v>
      </c>
      <c r="I64" s="244">
        <f ca="1">IFERROR(IF(BB_Switch=1,IF(_xll.BDP($D64,$D$50, "EQY_FUND_RELATIVE_PERIOD", I$3)="#N/A N/A","NA  ",(_xll.BDP($D64,$D$50, "EQY_FUND_RELATIVE_PERIOD", I$3))),I64),"NA ")</f>
        <v>8.8941513117942321</v>
      </c>
      <c r="J64" s="244">
        <f ca="1">IFERROR(IF(BB_Switch=1,IF(_xll.BDP($D64,$D$50, "EQY_FUND_RELATIVE_PERIOD", J$3)="#N/A N/A","NA  ",(_xll.BDP($D64,$D$50, "EQY_FUND_RELATIVE_PERIOD", J$3))),J64),"NA ")</f>
        <v>7.6929115485402662</v>
      </c>
      <c r="K64" s="244">
        <f ca="1">IFERROR(IF(BB_Switch=1,IF(_xll.BDP($D64,$D$50, "EQY_FUND_RELATIVE_PERIOD", K$3)="#N/A N/A","NA  ",(_xll.BDP($D64,$D$50, "EQY_FUND_RELATIVE_PERIOD", K$3))),K64),"NA ")</f>
        <v>8.5184574738041121</v>
      </c>
      <c r="L64" s="244">
        <f ca="1">IFERROR(IF(BB_Switch=1,IF(_xll.BDP($D64,$D$50, "EQY_FUND_RELATIVE_PERIOD", L$3)="#N/A N/A","NA  ",(_xll.BDP($D64,$D$50, "EQY_FUND_RELATIVE_PERIOD", L$3))),L64),"NA ")</f>
        <v>6.4472870905962152</v>
      </c>
      <c r="M64" s="244">
        <f ca="1">IFERROR(IF(BB_Switch=1,IF(_xll.BDP($D64,$D$50, "EQY_FUND_RELATIVE_PERIOD", M$3)="#N/A N/A","NA  ",(_xll.BDP($D64,$D$50, "EQY_FUND_RELATIVE_PERIOD", M$3))),M64),"NA ")</f>
        <v>8.3720703298263039</v>
      </c>
      <c r="N64" s="244">
        <f ca="1">IFERROR(IF(BB_Switch=1,IF(_xll.BDP($D64,$D$50, "EQY_FUND_RELATIVE_PERIOD", N$3)="#N/A N/A","NA  ",(_xll.BDP($D64,$D$50, "EQY_FUND_RELATIVE_PERIOD", N$3))),N64),"NA ")</f>
        <v>10.32506645206916</v>
      </c>
      <c r="O64" s="244">
        <f ca="1">IFERROR(IF(BB_Switch=1,IF(_xll.BDP($D64,$D$50, "EQY_FUND_RELATIVE_PERIOD", O$3)="#N/A N/A","NA  ",(_xll.BDP($D64,$D$50, "EQY_FUND_RELATIVE_PERIOD", O$3))),O64),"NA ")</f>
        <v>14.583362335945662</v>
      </c>
      <c r="P64" s="257">
        <f ca="1">IFERROR(IF(BB_Switch=1,IF(_xll.BDP($D64,$F$50, "BEST_FPERIOD_OVERRIDE", P$3)="#N/A N/A","NA  ",(_xll.BDP($D64,$F$50, "BEST_FPERIOD_OVERRIDE", P$3))),P64),"NM ")</f>
        <v>6.9017288444040039</v>
      </c>
      <c r="Q64" s="257">
        <f ca="1">IFERROR(IF(BB_Switch=1,IF(_xll.BDP($D64,$F$50, "BEST_FPERIOD_OVERRIDE", Q$3)="#N/A N/A","NA  ",(_xll.BDP($D64,$F$50, "BEST_FPERIOD_OVERRIDE", Q$3))),Q64),"NM ")</f>
        <v>6.3366750208855471</v>
      </c>
      <c r="R64" s="257">
        <f ca="1">IFERROR(IF(BB_Switch=1,IF(_xll.BDP($D64,$F$50, "BEST_FPERIOD_OVERRIDE", R$3)="#N/A N/A","NA  ",(_xll.BDP($D64,$F$50, "BEST_FPERIOD_OVERRIDE", R$3))),R64),"NM ")</f>
        <v>4.8668591594481869</v>
      </c>
      <c r="S64" s="257">
        <f ca="1">IFERROR(IF(BB_Switch=1,IF(_xll.BDP($D64,$F$50, "BEST_FPERIOD_OVERRIDE", S$3)="#N/A N/A","NA  ",(_xll.BDP($D64,$F$50, "BEST_FPERIOD_OVERRIDE", S$3))),S64),"NM ")</f>
        <v>4.3983763409683965</v>
      </c>
      <c r="T64" s="257">
        <f ca="1">IFERROR(IF(BB_Switch=1,IF(_xll.BDP($D64,$F$50, "BEST_FPERIOD_OVERRIDE", T$3)="#N/A N/A","NA  ",(_xll.BDP($D64,$F$50, "BEST_FPERIOD_OVERRIDE", T$3))),T64),"NM ")</f>
        <v>4.1267682263329704</v>
      </c>
      <c r="U64" s="227"/>
      <c r="V64" s="244" t="str">
        <f ca="1">IFERROR(IF(BB_Switch=1,IF(_xll.BDP($D64,$D$50, "EQY_FUND_RELATIVE_PERIOD", V$3)="#N/A N/A","NA  ",(_xll.BDP($D64,$D$50, "EQY_FUND_RELATIVE_PERIOD", V$3))),V64),"NA ")</f>
        <v xml:space="preserve">NA  </v>
      </c>
      <c r="W64" s="244" t="str">
        <f ca="1">IFERROR(IF(BB_Switch=1,IF(_xll.BDP($D64,$D$50, "EQY_FUND_RELATIVE_PERIOD", W$3)="#N/A N/A","NA  ",(_xll.BDP($D64,$D$50, "EQY_FUND_RELATIVE_PERIOD", W$3))),W64),"NA ")</f>
        <v xml:space="preserve">NA  </v>
      </c>
      <c r="X64" s="244" t="str">
        <f ca="1">IFERROR(IF(BB_Switch=1,IF(_xll.BDP($D64,$D$50, "EQY_FUND_RELATIVE_PERIOD", X$3)="#N/A N/A","NA  ",(_xll.BDP($D64,$D$50, "EQY_FUND_RELATIVE_PERIOD", X$3))),X64),"NA ")</f>
        <v xml:space="preserve">NA  </v>
      </c>
      <c r="Y64" s="244" t="str">
        <f ca="1">IFERROR(IF(BB_Switch=1,IF(_xll.BDP($D64,$D$50, "EQY_FUND_RELATIVE_PERIOD", Y$3)="#N/A N/A","NA  ",(_xll.BDP($D64,$D$50, "EQY_FUND_RELATIVE_PERIOD", Y$3))),Y64),"NA ")</f>
        <v xml:space="preserve">NA  </v>
      </c>
      <c r="Z64" s="244" t="str">
        <f ca="1">IFERROR(IF(BB_Switch=1,IF(_xll.BDP($D64,$D$50, "EQY_FUND_RELATIVE_PERIOD", Z$3)="#N/A N/A","NA  ",(_xll.BDP($D64,$D$50, "EQY_FUND_RELATIVE_PERIOD", Z$3))),Z64),"NA ")</f>
        <v xml:space="preserve">NA  </v>
      </c>
      <c r="AA64" s="244">
        <f ca="1">IFERROR(IF(BB_Switch=1,IF(_xll.BDP($D64,$D$50, "EQY_FUND_RELATIVE_PERIOD", AA$3)="#N/A N/A","NA  ",(_xll.BDP($D64,$D$50, "EQY_FUND_RELATIVE_PERIOD", AA$3))),AA64),"NA ")</f>
        <v>6.9926827278504913</v>
      </c>
      <c r="AB64" s="244">
        <f ca="1">IFERROR(IF(BB_Switch=1,IF(_xll.BDP($D64,$D$50, "EQY_FUND_RELATIVE_PERIOD", AB$3)="#N/A N/A","NA  ",(_xll.BDP($D64,$D$50, "EQY_FUND_RELATIVE_PERIOD", AB$3))),AB64),"NA ")</f>
        <v>8.6614597612387545</v>
      </c>
      <c r="AC64" s="244">
        <f ca="1">IFERROR(IF(BB_Switch=1,IF(_xll.BDP($D64,$D$50, "EQY_FUND_RELATIVE_PERIOD", AC$3)="#N/A N/A","NA  ",(_xll.BDP($D64,$D$50, "EQY_FUND_RELATIVE_PERIOD", AC$3))),AC64),"NA ")</f>
        <v>9.0384698941142005</v>
      </c>
      <c r="AD64" s="244">
        <f ca="1">IFERROR(IF(BB_Switch=1,IF(_xll.BDP($D64,$D$50, "EQY_FUND_RELATIVE_PERIOD", AD$3)="#N/A N/A","NA  ",(_xll.BDP($D64,$D$50, "EQY_FUND_RELATIVE_PERIOD", AD$3))),AD64),"NA ")</f>
        <v>6.2850833061844646</v>
      </c>
      <c r="AE64" s="244">
        <f ca="1">IFERROR(IF(BB_Switch=1,IF(_xll.BDP($D64,$D$50, "EQY_FUND_RELATIVE_PERIOD", AE$3)="#N/A N/A","NA  ",(_xll.BDP($D64,$D$50, "EQY_FUND_RELATIVE_PERIOD", AE$3))),AE64),"NA ")</f>
        <v>12.912758888496366</v>
      </c>
      <c r="AF64" s="234">
        <f t="shared" ca="1" si="17"/>
        <v>8.7780909155768558</v>
      </c>
      <c r="AG64" s="244">
        <f ca="1">IFERROR(IF(BB_Switch=1,IF(_xll.BDP($D64,$D$50)="#N/A N/A","NA  ",(_xll.BDP($D64,$D$50))),AG64),"NA ")</f>
        <v>5.274076428665925</v>
      </c>
      <c r="AH64" s="257">
        <f ca="1">IFERROR(IF(BB_Switch=1,IF(_xll.BDP($D64,$X$50, "BEST_FPERIOD_OVERRIDE", AH$3)="#N/A N/A","NA  ",(_xll.BDP($D64,$X$50, "BEST_FPERIOD_OVERRIDE", AH$3))),AH64),"NM ")</f>
        <v>5.9466875735005873</v>
      </c>
      <c r="AI64" s="257">
        <f ca="1">IFERROR(IF(BB_Switch=1,IF(_xll.BDP($D64,$X$50, "BEST_FPERIOD_OVERRIDE", AI$3)="#N/A N/A","NA  ",(_xll.BDP($D64,$X$50, "BEST_FPERIOD_OVERRIDE", AI$3))),AI64),"NM ")</f>
        <v>4.4098837209302326</v>
      </c>
      <c r="AJ64" s="257">
        <f ca="1">IFERROR(IF(BB_Switch=1,IF(_xll.BDP($D64,$X$50, "BEST_FPERIOD_OVERRIDE", AJ$3)="#N/A N/A","NA  ",(_xll.BDP($D64,$X$50, "BEST_FPERIOD_OVERRIDE", AJ$3))),AJ64),"NM ")</f>
        <v>3.9402597402597404</v>
      </c>
    </row>
    <row r="65" spans="2:39" ht="11.25" customHeight="1">
      <c r="C65" s="229"/>
      <c r="D65" s="227"/>
      <c r="E65" s="227"/>
      <c r="F65" s="227"/>
      <c r="G65" s="227"/>
      <c r="H65" s="227"/>
      <c r="I65" s="227"/>
      <c r="J65" s="227"/>
      <c r="K65" s="227"/>
      <c r="L65" s="227"/>
      <c r="M65" s="227"/>
      <c r="N65" s="227"/>
      <c r="O65" s="227"/>
      <c r="P65" s="227"/>
      <c r="Q65" s="227"/>
      <c r="R65" s="227"/>
      <c r="S65" s="227"/>
      <c r="T65" s="227"/>
      <c r="U65" s="227"/>
      <c r="V65" s="244"/>
      <c r="W65" s="244"/>
      <c r="X65" s="244"/>
      <c r="Y65" s="244"/>
      <c r="Z65" s="244"/>
      <c r="AA65" s="244"/>
      <c r="AB65" s="244"/>
      <c r="AC65" s="244"/>
      <c r="AD65" s="244"/>
      <c r="AE65" s="244"/>
      <c r="AF65" s="244"/>
      <c r="AG65" s="244"/>
      <c r="AH65" s="244"/>
      <c r="AI65" s="244"/>
      <c r="AJ65" s="244"/>
    </row>
    <row r="66" spans="2:39" ht="11.25" customHeight="1">
      <c r="C66" s="224" t="s">
        <v>482</v>
      </c>
      <c r="D66" s="223"/>
      <c r="E66" s="250">
        <f t="shared" ref="E66:T66" ca="1" si="18">AVERAGE(E52:E58,E61:E64)</f>
        <v>19.502815077380266</v>
      </c>
      <c r="F66" s="250">
        <f t="shared" ca="1" si="18"/>
        <v>19.522347335762621</v>
      </c>
      <c r="G66" s="250">
        <f t="shared" ca="1" si="18"/>
        <v>19.569883188101329</v>
      </c>
      <c r="H66" s="250">
        <f t="shared" ca="1" si="18"/>
        <v>14.627921040891772</v>
      </c>
      <c r="I66" s="250">
        <f t="shared" ca="1" si="18"/>
        <v>12.986388431682377</v>
      </c>
      <c r="J66" s="250">
        <f t="shared" ca="1" si="18"/>
        <v>12.943456510237642</v>
      </c>
      <c r="K66" s="250">
        <f t="shared" ca="1" si="18"/>
        <v>12.710967856513381</v>
      </c>
      <c r="L66" s="250">
        <f t="shared" ca="1" si="18"/>
        <v>11.654140301437611</v>
      </c>
      <c r="M66" s="250">
        <f t="shared" ca="1" si="18"/>
        <v>13.54479733489954</v>
      </c>
      <c r="N66" s="250">
        <f t="shared" ca="1" si="18"/>
        <v>13.024612174352205</v>
      </c>
      <c r="O66" s="250">
        <f t="shared" ca="1" si="18"/>
        <v>14.200142965211661</v>
      </c>
      <c r="P66" s="250">
        <f t="shared" ca="1" si="18"/>
        <v>8.9145263673406419</v>
      </c>
      <c r="Q66" s="250">
        <f t="shared" ca="1" si="18"/>
        <v>8.3337019443022271</v>
      </c>
      <c r="R66" s="250">
        <f t="shared" ca="1" si="18"/>
        <v>10.865599814190116</v>
      </c>
      <c r="S66" s="250">
        <f t="shared" ca="1" si="18"/>
        <v>7.6457168052462494</v>
      </c>
      <c r="T66" s="291">
        <f t="shared" ca="1" si="18"/>
        <v>6.9989041616728658</v>
      </c>
      <c r="U66" s="219"/>
      <c r="V66" s="293">
        <f t="shared" ref="V66:AJ66" ca="1" si="19">AVERAGE(V52:V58,V61:V64)</f>
        <v>12.503942006378354</v>
      </c>
      <c r="W66" s="250">
        <f t="shared" ca="1" si="19"/>
        <v>8.6306178520654928</v>
      </c>
      <c r="X66" s="250">
        <f t="shared" ca="1" si="19"/>
        <v>13.757196957281613</v>
      </c>
      <c r="Y66" s="250">
        <f t="shared" ca="1" si="19"/>
        <v>38.288198798868692</v>
      </c>
      <c r="Z66" s="250">
        <f t="shared" ca="1" si="19"/>
        <v>15.133526473120982</v>
      </c>
      <c r="AA66" s="250">
        <f t="shared" ca="1" si="19"/>
        <v>14.461756002991724</v>
      </c>
      <c r="AB66" s="250">
        <f t="shared" ca="1" si="19"/>
        <v>17.967771267786752</v>
      </c>
      <c r="AC66" s="250">
        <f t="shared" ca="1" si="19"/>
        <v>21.752046055352544</v>
      </c>
      <c r="AD66" s="250">
        <f t="shared" ca="1" si="19"/>
        <v>15.718956401512974</v>
      </c>
      <c r="AE66" s="250">
        <f t="shared" ca="1" si="19"/>
        <v>17.555650100658017</v>
      </c>
      <c r="AF66" s="250">
        <f t="shared" ca="1" si="19"/>
        <v>13.748433720267711</v>
      </c>
      <c r="AG66" s="250">
        <f t="shared" ca="1" si="19"/>
        <v>7.6339151814147499</v>
      </c>
      <c r="AH66" s="250">
        <f t="shared" ca="1" si="19"/>
        <v>7.6396958503136219</v>
      </c>
      <c r="AI66" s="250">
        <f t="shared" ca="1" si="19"/>
        <v>6.4649480466304743</v>
      </c>
      <c r="AJ66" s="291">
        <f t="shared" ca="1" si="19"/>
        <v>5.6415714105735608</v>
      </c>
    </row>
    <row r="67" spans="2:39" ht="11.25" customHeight="1">
      <c r="C67" s="221" t="s">
        <v>481</v>
      </c>
      <c r="D67" s="220"/>
      <c r="E67" s="249">
        <f t="shared" ref="E67:T67" ca="1" si="20">MEDIAN(E52:E58,E61:E64)</f>
        <v>15.817592131340218</v>
      </c>
      <c r="F67" s="249">
        <f t="shared" ca="1" si="20"/>
        <v>16.152903721042875</v>
      </c>
      <c r="G67" s="249">
        <f t="shared" ca="1" si="20"/>
        <v>16.947586284470173</v>
      </c>
      <c r="H67" s="249">
        <f t="shared" ca="1" si="20"/>
        <v>13.907345231746056</v>
      </c>
      <c r="I67" s="249">
        <f t="shared" ca="1" si="20"/>
        <v>12.520764482359844</v>
      </c>
      <c r="J67" s="249">
        <f t="shared" ca="1" si="20"/>
        <v>11.881295868587074</v>
      </c>
      <c r="K67" s="249">
        <f t="shared" ca="1" si="20"/>
        <v>10.339311703370527</v>
      </c>
      <c r="L67" s="249">
        <f t="shared" ca="1" si="20"/>
        <v>8.62766947665828</v>
      </c>
      <c r="M67" s="249">
        <f t="shared" ca="1" si="20"/>
        <v>10.401559038274241</v>
      </c>
      <c r="N67" s="249">
        <f t="shared" ca="1" si="20"/>
        <v>12.354519333782983</v>
      </c>
      <c r="O67" s="249">
        <f t="shared" ca="1" si="20"/>
        <v>14.583362335945662</v>
      </c>
      <c r="P67" s="249">
        <f t="shared" ca="1" si="20"/>
        <v>8.265451944957519</v>
      </c>
      <c r="Q67" s="249">
        <f t="shared" ca="1" si="20"/>
        <v>8.0517506733358992</v>
      </c>
      <c r="R67" s="249">
        <f t="shared" ca="1" si="20"/>
        <v>7.7943771553665417</v>
      </c>
      <c r="S67" s="249">
        <f t="shared" ca="1" si="20"/>
        <v>7.4475291146143512</v>
      </c>
      <c r="T67" s="292">
        <f t="shared" ca="1" si="20"/>
        <v>6.2323446327683616</v>
      </c>
      <c r="U67" s="219"/>
      <c r="V67" s="294">
        <f t="shared" ref="V67:AJ67" ca="1" si="21">MEDIAN(V52:V58,V61:V64)</f>
        <v>12.575643880564211</v>
      </c>
      <c r="W67" s="249">
        <f t="shared" ca="1" si="21"/>
        <v>9.0166551505880577</v>
      </c>
      <c r="X67" s="249">
        <f t="shared" ca="1" si="21"/>
        <v>12.661105827122785</v>
      </c>
      <c r="Y67" s="249">
        <f t="shared" ca="1" si="21"/>
        <v>14.019282486306992</v>
      </c>
      <c r="Z67" s="249">
        <f t="shared" ca="1" si="21"/>
        <v>12.644215163767111</v>
      </c>
      <c r="AA67" s="249">
        <f t="shared" ca="1" si="21"/>
        <v>13.54606117363902</v>
      </c>
      <c r="AB67" s="249">
        <f t="shared" ca="1" si="21"/>
        <v>16.140044460992453</v>
      </c>
      <c r="AC67" s="249">
        <f t="shared" ca="1" si="21"/>
        <v>14.212577352687791</v>
      </c>
      <c r="AD67" s="249">
        <f t="shared" ca="1" si="21"/>
        <v>8.5845620619333012</v>
      </c>
      <c r="AE67" s="249">
        <f t="shared" ca="1" si="21"/>
        <v>15.818225381820977</v>
      </c>
      <c r="AF67" s="249">
        <f t="shared" ca="1" si="21"/>
        <v>13.595160236030996</v>
      </c>
      <c r="AG67" s="249">
        <f t="shared" ca="1" si="21"/>
        <v>6.94655232849935</v>
      </c>
      <c r="AH67" s="249">
        <f t="shared" ca="1" si="21"/>
        <v>7.9208067970139968</v>
      </c>
      <c r="AI67" s="249">
        <f t="shared" ca="1" si="21"/>
        <v>6.1179087875417126</v>
      </c>
      <c r="AJ67" s="292">
        <f t="shared" ca="1" si="21"/>
        <v>5.4617676266137032</v>
      </c>
    </row>
    <row r="68" spans="2:39" ht="11.25" customHeight="1">
      <c r="AK68" s="230"/>
    </row>
    <row r="69" spans="2:39" ht="11.25" customHeight="1">
      <c r="B69" s="231" t="s">
        <v>14</v>
      </c>
      <c r="C69" s="232" t="s">
        <v>519</v>
      </c>
      <c r="D69" s="232"/>
      <c r="E69" s="232"/>
      <c r="F69" s="232"/>
      <c r="G69" s="232"/>
      <c r="H69" s="232"/>
      <c r="I69" s="232"/>
      <c r="J69" s="232"/>
      <c r="K69" s="232"/>
      <c r="L69" s="232"/>
      <c r="M69" s="232"/>
      <c r="N69" s="232"/>
      <c r="O69" s="232"/>
      <c r="P69" s="232"/>
      <c r="Q69" s="232"/>
      <c r="R69" s="232"/>
      <c r="S69" s="232"/>
      <c r="T69" s="232"/>
      <c r="U69" s="233"/>
      <c r="V69" s="232"/>
      <c r="W69" s="231"/>
      <c r="X69" s="231"/>
      <c r="Y69" s="231"/>
      <c r="Z69" s="231"/>
      <c r="AA69" s="231"/>
      <c r="AB69" s="231"/>
      <c r="AC69" s="231"/>
      <c r="AD69" s="231"/>
      <c r="AE69" s="231"/>
      <c r="AF69" s="231"/>
      <c r="AG69" s="231"/>
      <c r="AH69" s="231"/>
      <c r="AI69" s="231"/>
      <c r="AJ69" s="231"/>
    </row>
    <row r="70" spans="2:39" ht="11.25" customHeight="1">
      <c r="D70" s="217" t="s">
        <v>518</v>
      </c>
      <c r="V70" s="217" t="s">
        <v>517</v>
      </c>
    </row>
    <row r="71" spans="2:39" ht="11.25" customHeight="1">
      <c r="C71" s="428" t="str">
        <f>+C11</f>
        <v>Commodity Chemicals</v>
      </c>
    </row>
    <row r="72" spans="2:39" ht="11.25" customHeight="1">
      <c r="C72" s="229" t="str">
        <f ca="1">IFERROR(IF(BB_Switch=1,_xll.BDP($D72,$C$270),C72), "NA ")</f>
        <v>DuPont de Nemours Inc</v>
      </c>
      <c r="D72" s="227" t="str">
        <f t="shared" ref="D72:D78" si="22">+D12</f>
        <v>DD US EQUITY</v>
      </c>
      <c r="E72" s="244" t="str">
        <f ca="1">IFERROR(IF(BB_Switch=1,IF(_xll.BDP($D72,$D$70, "EQY_FUND_RELATIVE_PERIOD", E$3)="#N/A N/A","NA  ",(_xll.BDP($D72,$D$70, "EQY_FUND_RELATIVE_PERIOD", E$3))),E72),"NA ")</f>
        <v xml:space="preserve">NA  </v>
      </c>
      <c r="F72" s="244" t="str">
        <f ca="1">IFERROR(IF(BB_Switch=1,IF(_xll.BDP($D72,$D$70, "EQY_FUND_RELATIVE_PERIOD", F$3)="#N/A N/A","NA  ",(_xll.BDP($D72,$D$70, "EQY_FUND_RELATIVE_PERIOD", F$3))),F72),"NA ")</f>
        <v xml:space="preserve">NA  </v>
      </c>
      <c r="G72" s="244" t="str">
        <f ca="1">IFERROR(IF(BB_Switch=1,IF(_xll.BDP($D72,$D$70, "EQY_FUND_RELATIVE_PERIOD", G$3)="#N/A N/A","NA  ",(_xll.BDP($D72,$D$70, "EQY_FUND_RELATIVE_PERIOD", G$3))),G72),"NA ")</f>
        <v xml:space="preserve">NA  </v>
      </c>
      <c r="H72" s="244" t="str">
        <f ca="1">IFERROR(IF(BB_Switch=1,IF(_xll.BDP($D72,$D$70, "EQY_FUND_RELATIVE_PERIOD", H$3)="#N/A N/A","NA  ",(_xll.BDP($D72,$D$70, "EQY_FUND_RELATIVE_PERIOD", H$3))),H72),"NA ")</f>
        <v xml:space="preserve">NA  </v>
      </c>
      <c r="I72" s="244" t="str">
        <f ca="1">IFERROR(IF(BB_Switch=1,IF(_xll.BDP($D72,$D$70, "EQY_FUND_RELATIVE_PERIOD", I$3)="#N/A N/A","NA  ",(_xll.BDP($D72,$D$70, "EQY_FUND_RELATIVE_PERIOD", I$3))),I72),"NA ")</f>
        <v xml:space="preserve">NA  </v>
      </c>
      <c r="J72" s="244" t="str">
        <f ca="1">IFERROR(IF(BB_Switch=1,IF(_xll.BDP($D72,$D$70, "EQY_FUND_RELATIVE_PERIOD", J$3)="#N/A N/A","NA  ",(_xll.BDP($D72,$D$70, "EQY_FUND_RELATIVE_PERIOD", J$3))),J72),"NA ")</f>
        <v xml:space="preserve">NA  </v>
      </c>
      <c r="K72" s="244" t="str">
        <f ca="1">IFERROR(IF(BB_Switch=1,IF(_xll.BDP($D72,$D$70, "EQY_FUND_RELATIVE_PERIOD", K$3)="#N/A N/A","NA  ",(_xll.BDP($D72,$D$70, "EQY_FUND_RELATIVE_PERIOD", K$3))),K72),"NA ")</f>
        <v xml:space="preserve">NA  </v>
      </c>
      <c r="L72" s="244">
        <f ca="1">IFERROR(IF(BB_Switch=1,IF(_xll.BDP($D72,$D$70, "EQY_FUND_RELATIVE_PERIOD", L$3)="#N/A N/A","NA  ",(_xll.BDP($D72,$D$70, "EQY_FUND_RELATIVE_PERIOD", L$3))),L72),"NA ")</f>
        <v>147.57328162331561</v>
      </c>
      <c r="M72" s="244">
        <f ca="1">IFERROR(IF(BB_Switch=1,IF(_xll.BDP($D72,$D$70, "EQY_FUND_RELATIVE_PERIOD", M$3)="#N/A N/A","NA  ",(_xll.BDP($D72,$D$70, "EQY_FUND_RELATIVE_PERIOD", M$3))),M72),"NA ")</f>
        <v>47.387478907437739</v>
      </c>
      <c r="N72" s="244">
        <f ca="1">IFERROR(IF(BB_Switch=1,IF(_xll.BDP($D72,$D$70, "EQY_FUND_RELATIVE_PERIOD", N$3)="#N/A N/A","NA  ",(_xll.BDP($D72,$D$70, "EQY_FUND_RELATIVE_PERIOD", N$3))),N72),"NA ")</f>
        <v>103.34144108944356</v>
      </c>
      <c r="O72" s="244">
        <f ca="1">IFERROR(IF(BB_Switch=1,IF(_xll.BDP($D72,$D$70, "EQY_FUND_RELATIVE_PERIOD", O$3)="#N/A N/A","NA  ",(_xll.BDP($D72,$D$70, "EQY_FUND_RELATIVE_PERIOD", O$3))),O72),"NA ")</f>
        <v>22.20729039879415</v>
      </c>
      <c r="P72" s="244" t="str">
        <f ca="1">IFERROR(IF(BB_Switch=1,IF(_xll.BDP($D72,$D$70, "EQY_FUND_RELATIVE_PERIOD", P$3)="#N/A N/A","NA  ",(_xll.BDP($D72,$D$70, "EQY_FUND_RELATIVE_PERIOD", P$3))),P72),"NA ")</f>
        <v xml:space="preserve">NA  </v>
      </c>
      <c r="Q72" s="244"/>
      <c r="R72" s="244"/>
      <c r="S72" s="244"/>
      <c r="T72" s="244"/>
      <c r="U72" s="227"/>
      <c r="V72" s="244" t="str">
        <f ca="1">IFERROR(IF(BB_Switch=1,IF(_xll.BDP($D72,$D$70, "EQY_FUND_RELATIVE_PERIOD", V$3)="#N/A N/A","NA  ",(_xll.BDP($D72,$D$70, "EQY_FUND_RELATIVE_PERIOD", V$3))),V72),"NA ")</f>
        <v xml:space="preserve">NA  </v>
      </c>
      <c r="W72" s="244" t="str">
        <f ca="1">IFERROR(IF(BB_Switch=1,IF(_xll.BDP($D72,$D$70, "EQY_FUND_RELATIVE_PERIOD", W$3)="#N/A N/A","NA  ",(_xll.BDP($D72,$D$70, "EQY_FUND_RELATIVE_PERIOD", W$3))),W72),"NA ")</f>
        <v xml:space="preserve">NA  </v>
      </c>
      <c r="X72" s="244" t="str">
        <f ca="1">IFERROR(IF(BB_Switch=1,IF(_xll.BDP($D72,$D$70, "EQY_FUND_RELATIVE_PERIOD", X$3)="#N/A N/A","NA  ",(_xll.BDP($D72,$D$70, "EQY_FUND_RELATIVE_PERIOD", X$3))),X72),"NA ")</f>
        <v xml:space="preserve">NA  </v>
      </c>
      <c r="Y72" s="244" t="str">
        <f ca="1">IFERROR(IF(BB_Switch=1,IF(_xll.BDP($D72,$D$70, "EQY_FUND_RELATIVE_PERIOD", Y$3)="#N/A N/A","NA  ",(_xll.BDP($D72,$D$70, "EQY_FUND_RELATIVE_PERIOD", Y$3))),Y72),"NA ")</f>
        <v xml:space="preserve">NA  </v>
      </c>
      <c r="Z72" s="244" t="str">
        <f ca="1">IFERROR(IF(BB_Switch=1,IF(_xll.BDP($D72,$D$70, "EQY_FUND_RELATIVE_PERIOD", Z$3)="#N/A N/A","NA  ",(_xll.BDP($D72,$D$70, "EQY_FUND_RELATIVE_PERIOD", Z$3))),Z72),"NA ")</f>
        <v xml:space="preserve">NA  </v>
      </c>
      <c r="AA72" s="244" t="str">
        <f ca="1">IFERROR(IF(BB_Switch=1,IF(_xll.BDP($D72,$D$70, "EQY_FUND_RELATIVE_PERIOD", AA$3)="#N/A N/A","NA  ",(_xll.BDP($D72,$D$70, "EQY_FUND_RELATIVE_PERIOD", AA$3))),AA72),"NA ")</f>
        <v xml:space="preserve">NA  </v>
      </c>
      <c r="AB72" s="244" t="str">
        <f ca="1">IFERROR(IF(BB_Switch=1,IF(_xll.BDP($D72,$D$70, "EQY_FUND_RELATIVE_PERIOD", AB$3)="#N/A N/A","NA  ",(_xll.BDP($D72,$D$70, "EQY_FUND_RELATIVE_PERIOD", AB$3))),AB72),"NA ")</f>
        <v xml:space="preserve">NA  </v>
      </c>
      <c r="AC72" s="244" t="str">
        <f ca="1">IFERROR(IF(BB_Switch=1,IF(_xll.BDP($D72,$D$70, "EQY_FUND_RELATIVE_PERIOD", AC$3)="#N/A N/A","NA  ",(_xll.BDP($D72,$D$70, "EQY_FUND_RELATIVE_PERIOD", AC$3))),AC72),"NA ")</f>
        <v xml:space="preserve">NA  </v>
      </c>
      <c r="AD72" s="244">
        <f ca="1">IFERROR(IF(BB_Switch=1,IF(_xll.BDP($D72,$D$70, "EQY_FUND_RELATIVE_PERIOD", AD$3)="#N/A N/A","NA  ",(_xll.BDP($D72,$D$70, "EQY_FUND_RELATIVE_PERIOD", AD$3))),AD72),"NA ")</f>
        <v>137.64832556778856</v>
      </c>
      <c r="AE72" s="244" t="str">
        <f ca="1">IFERROR(IF(BB_Switch=1,IF(_xll.BDP($D72,$D$70, "EQY_FUND_RELATIVE_PERIOD", AE$3)="#N/A N/A","NA  ",(_xll.BDP($D72,$D$70, "EQY_FUND_RELATIVE_PERIOD", AE$3))),AE72),"NA ")</f>
        <v xml:space="preserve">NA  </v>
      </c>
      <c r="AF72" s="236" t="str">
        <f ca="1">IFERROR(+AVERAGEIFS(V72:AE72,V72:AE72,"&gt;="&amp;$AL$75,V72:AE72,"&lt;="&amp;$AL$76),"NA  ")</f>
        <v xml:space="preserve">NA  </v>
      </c>
      <c r="AG72" s="244" t="str">
        <f ca="1">IFERROR(IF(BB_Switch=1,IF(_xll.BDP($D72,$V$70)="#N/A N/A","NA  ",(_xll.BDP($D72,$V$70))),AG72),"NA ")</f>
        <v xml:space="preserve">NA  </v>
      </c>
      <c r="AH72" s="244"/>
      <c r="AI72" s="244"/>
      <c r="AJ72" s="244"/>
    </row>
    <row r="73" spans="2:39" ht="11.25" customHeight="1">
      <c r="C73" s="229" t="str">
        <f ca="1">IFERROR(IF(BB_Switch=1,_xll.BDP($D73,$C$270),C73), "NA ")</f>
        <v>PolyOne Corp</v>
      </c>
      <c r="D73" s="227" t="str">
        <f t="shared" si="22"/>
        <v>POL US EQUITY</v>
      </c>
      <c r="E73" s="244">
        <f ca="1">IFERROR(IF(BB_Switch=1,IF(_xll.BDP($D73,$D$70, "EQY_FUND_RELATIVE_PERIOD", E$3)="#N/A N/A","NA  ",(_xll.BDP($D73,$D$70, "EQY_FUND_RELATIVE_PERIOD", E$3))),E73),"NA ")</f>
        <v>19.461352004869831</v>
      </c>
      <c r="F73" s="244">
        <f ca="1">IFERROR(IF(BB_Switch=1,IF(_xll.BDP($D73,$D$70, "EQY_FUND_RELATIVE_PERIOD", F$3)="#N/A N/A","NA  ",(_xll.BDP($D73,$D$70, "EQY_FUND_RELATIVE_PERIOD", F$3))),F73),"NA ")</f>
        <v>23.373823185069227</v>
      </c>
      <c r="G73" s="244">
        <f ca="1">IFERROR(IF(BB_Switch=1,IF(_xll.BDP($D73,$D$70, "EQY_FUND_RELATIVE_PERIOD", G$3)="#N/A N/A","NA  ",(_xll.BDP($D73,$D$70, "EQY_FUND_RELATIVE_PERIOD", G$3))),G73),"NA ")</f>
        <v>25.675571368674795</v>
      </c>
      <c r="H73" s="244">
        <f ca="1">IFERROR(IF(BB_Switch=1,IF(_xll.BDP($D73,$D$70, "EQY_FUND_RELATIVE_PERIOD", H$3)="#N/A N/A","NA  ",(_xll.BDP($D73,$D$70, "EQY_FUND_RELATIVE_PERIOD", H$3))),H73),"NA ")</f>
        <v>31.183544714600455</v>
      </c>
      <c r="I73" s="244">
        <f ca="1">IFERROR(IF(BB_Switch=1,IF(_xll.BDP($D73,$D$70, "EQY_FUND_RELATIVE_PERIOD", I$3)="#N/A N/A","NA  ",(_xll.BDP($D73,$D$70, "EQY_FUND_RELATIVE_PERIOD", I$3))),I73),"NA ")</f>
        <v>20.801587226541521</v>
      </c>
      <c r="J73" s="244">
        <f ca="1">IFERROR(IF(BB_Switch=1,IF(_xll.BDP($D73,$D$70, "EQY_FUND_RELATIVE_PERIOD", J$3)="#N/A N/A","NA  ",(_xll.BDP($D73,$D$70, "EQY_FUND_RELATIVE_PERIOD", J$3))),J73),"NA ")</f>
        <v>19.264604139396653</v>
      </c>
      <c r="K73" s="244">
        <f ca="1">IFERROR(IF(BB_Switch=1,IF(_xll.BDP($D73,$D$70, "EQY_FUND_RELATIVE_PERIOD", K$3)="#N/A N/A","NA  ",(_xll.BDP($D73,$D$70, "EQY_FUND_RELATIVE_PERIOD", K$3))),K73),"NA ")</f>
        <v>20.21518617952221</v>
      </c>
      <c r="L73" s="244">
        <f ca="1">IFERROR(IF(BB_Switch=1,IF(_xll.BDP($D73,$D$70, "EQY_FUND_RELATIVE_PERIOD", L$3)="#N/A N/A","NA  ",(_xll.BDP($D73,$D$70, "EQY_FUND_RELATIVE_PERIOD", L$3))),L73),"NA ")</f>
        <v>12.792840539505196</v>
      </c>
      <c r="M73" s="244">
        <f ca="1">IFERROR(IF(BB_Switch=1,IF(_xll.BDP($D73,$D$70, "EQY_FUND_RELATIVE_PERIOD", M$3)="#N/A N/A","NA  ",(_xll.BDP($D73,$D$70, "EQY_FUND_RELATIVE_PERIOD", M$3))),M73),"NA ")</f>
        <v>18.100932534727416</v>
      </c>
      <c r="N73" s="244">
        <f ca="1">IFERROR(IF(BB_Switch=1,IF(_xll.BDP($D73,$D$70, "EQY_FUND_RELATIVE_PERIOD", N$3)="#N/A N/A","NA  ",(_xll.BDP($D73,$D$70, "EQY_FUND_RELATIVE_PERIOD", N$3))),N73),"NA ")</f>
        <v>14.178315547579702</v>
      </c>
      <c r="O73" s="244">
        <f ca="1">IFERROR(IF(BB_Switch=1,IF(_xll.BDP($D73,$D$70, "EQY_FUND_RELATIVE_PERIOD", O$3)="#N/A N/A","NA  ",(_xll.BDP($D73,$D$70, "EQY_FUND_RELATIVE_PERIOD", O$3))),O73),"NA ")</f>
        <v>12.112454504422093</v>
      </c>
      <c r="P73" s="244">
        <f ca="1">IFERROR(IF(BB_Switch=1,IF(_xll.BDP($D73,$D$70, "EQY_FUND_RELATIVE_PERIOD", P$3)="#N/A N/A","NA  ",(_xll.BDP($D73,$D$70, "EQY_FUND_RELATIVE_PERIOD", P$3))),P73),"NA ")</f>
        <v>12.921802936292464</v>
      </c>
      <c r="Q73" s="244"/>
      <c r="R73" s="244"/>
      <c r="S73" s="244"/>
      <c r="T73" s="244"/>
      <c r="U73" s="227"/>
      <c r="V73" s="244">
        <f ca="1">IFERROR(IF(BB_Switch=1,IF(_xll.BDP($D73,$D$70, "EQY_FUND_RELATIVE_PERIOD", V$3)="#N/A N/A","NA  ",(_xll.BDP($D73,$D$70, "EQY_FUND_RELATIVE_PERIOD", V$3))),V73),"NA ")</f>
        <v>11.478963474827243</v>
      </c>
      <c r="W73" s="244">
        <f ca="1">IFERROR(IF(BB_Switch=1,IF(_xll.BDP($D73,$D$70, "EQY_FUND_RELATIVE_PERIOD", W$3)="#N/A N/A","NA  ",(_xll.BDP($D73,$D$70, "EQY_FUND_RELATIVE_PERIOD", W$3))),W73),"NA ")</f>
        <v>57.87554347826088</v>
      </c>
      <c r="X73" s="244">
        <f ca="1">IFERROR(IF(BB_Switch=1,IF(_xll.BDP($D73,$D$70, "EQY_FUND_RELATIVE_PERIOD", X$3)="#N/A N/A","NA  ",(_xll.BDP($D73,$D$70, "EQY_FUND_RELATIVE_PERIOD", X$3))),X73),"NA ")</f>
        <v>36.755999999999993</v>
      </c>
      <c r="Y73" s="244">
        <f ca="1">IFERROR(IF(BB_Switch=1,IF(_xll.BDP($D73,$D$70, "EQY_FUND_RELATIVE_PERIOD", Y$3)="#N/A N/A","NA  ",(_xll.BDP($D73,$D$70, "EQY_FUND_RELATIVE_PERIOD", Y$3))),Y73),"NA ")</f>
        <v>103.55598159509205</v>
      </c>
      <c r="Z73" s="244">
        <f ca="1">IFERROR(IF(BB_Switch=1,IF(_xll.BDP($D73,$D$70, "EQY_FUND_RELATIVE_PERIOD", Z$3)="#N/A N/A","NA  ",(_xll.BDP($D73,$D$70, "EQY_FUND_RELATIVE_PERIOD", Z$3))),Z73),"NA ")</f>
        <v>30.268970588235288</v>
      </c>
      <c r="AA73" s="244">
        <f ca="1">IFERROR(IF(BB_Switch=1,IF(_xll.BDP($D73,$D$70, "EQY_FUND_RELATIVE_PERIOD", AA$3)="#N/A N/A","NA  ",(_xll.BDP($D73,$D$70, "EQY_FUND_RELATIVE_PERIOD", AA$3))),AA73),"NA ")</f>
        <v>20.503882352941176</v>
      </c>
      <c r="AB73" s="244">
        <f ca="1">IFERROR(IF(BB_Switch=1,IF(_xll.BDP($D73,$D$70, "EQY_FUND_RELATIVE_PERIOD", AB$3)="#N/A N/A","NA  ",(_xll.BDP($D73,$D$70, "EQY_FUND_RELATIVE_PERIOD", AB$3))),AB73),"NA ")</f>
        <v>18.745857740585777</v>
      </c>
      <c r="AC73" s="244">
        <f ca="1">IFERROR(IF(BB_Switch=1,IF(_xll.BDP($D73,$D$70, "EQY_FUND_RELATIVE_PERIOD", AC$3)="#N/A N/A","NA  ",(_xll.BDP($D73,$D$70, "EQY_FUND_RELATIVE_PERIOD", AC$3))),AC73),"NA ")</f>
        <v>28.870114006514655</v>
      </c>
      <c r="AD73" s="244">
        <f ca="1">IFERROR(IF(BB_Switch=1,IF(_xll.BDP($D73,$D$70, "EQY_FUND_RELATIVE_PERIOD", AD$3)="#N/A N/A","NA  ",(_xll.BDP($D73,$D$70, "EQY_FUND_RELATIVE_PERIOD", AD$3))),AD73),"NA ")</f>
        <v>12.82734946539111</v>
      </c>
      <c r="AE73" s="244">
        <f ca="1">IFERROR(IF(BB_Switch=1,IF(_xll.BDP($D73,$D$70, "EQY_FUND_RELATIVE_PERIOD", AE$3)="#N/A N/A","NA  ",(_xll.BDP($D73,$D$70, "EQY_FUND_RELATIVE_PERIOD", AE$3))),AE73),"NA ")</f>
        <v>12.962975810132358</v>
      </c>
      <c r="AF73" s="235">
        <f t="shared" ref="AF73:AF84" ca="1" si="23">IFERROR(+AVERAGEIFS(V73:AE73,V73:AE73,"&gt;="&amp;$AL$75,V73:AE73,"&lt;="&amp;$AL$76),"NA  ")</f>
        <v>14.003786622734122</v>
      </c>
      <c r="AG73" s="244">
        <f ca="1">IFERROR(IF(BB_Switch=1,IF(_xll.BDP($D73,$V$70)="#N/A N/A","NA  ",(_xll.BDP($D73,$V$70))),AG73),"NA ")</f>
        <v>5.3668155861934004</v>
      </c>
      <c r="AH73" s="244"/>
      <c r="AI73" s="244"/>
      <c r="AJ73" s="244"/>
    </row>
    <row r="74" spans="2:39" ht="11.25" customHeight="1">
      <c r="C74" s="229" t="str">
        <f ca="1">IFERROR(IF(BB_Switch=1,_xll.BDP($D74,$C$270),C74), "NA ")</f>
        <v>Olin Corp</v>
      </c>
      <c r="D74" s="227" t="str">
        <f t="shared" si="22"/>
        <v>OLN US EQUITY</v>
      </c>
      <c r="E74" s="244">
        <f ca="1">IFERROR(IF(BB_Switch=1,IF(_xll.BDP($D74,$D$70, "EQY_FUND_RELATIVE_PERIOD", E$3)="#N/A N/A","NA  ",(_xll.BDP($D74,$D$70, "EQY_FUND_RELATIVE_PERIOD", E$3))),E74),"NA ")</f>
        <v>14.632978154020291</v>
      </c>
      <c r="F74" s="244">
        <f ca="1">IFERROR(IF(BB_Switch=1,IF(_xll.BDP($D74,$D$70, "EQY_FUND_RELATIVE_PERIOD", F$3)="#N/A N/A","NA  ",(_xll.BDP($D74,$D$70, "EQY_FUND_RELATIVE_PERIOD", F$3))),F74),"NA ")</f>
        <v>14.192199961425391</v>
      </c>
      <c r="G74" s="244">
        <f ca="1">IFERROR(IF(BB_Switch=1,IF(_xll.BDP($D74,$D$70, "EQY_FUND_RELATIVE_PERIOD", G$3)="#N/A N/A","NA  ",(_xll.BDP($D74,$D$70, "EQY_FUND_RELATIVE_PERIOD", G$3))),G74),"NA ")</f>
        <v>15.671239083877259</v>
      </c>
      <c r="H74" s="244">
        <f ca="1">IFERROR(IF(BB_Switch=1,IF(_xll.BDP($D74,$D$70, "EQY_FUND_RELATIVE_PERIOD", H$3)="#N/A N/A","NA  ",(_xll.BDP($D74,$D$70, "EQY_FUND_RELATIVE_PERIOD", H$3))),H74),"NA ")</f>
        <v>16.708921572969082</v>
      </c>
      <c r="I74" s="244">
        <f ca="1">IFERROR(IF(BB_Switch=1,IF(_xll.BDP($D74,$D$70, "EQY_FUND_RELATIVE_PERIOD", I$3)="#N/A N/A","NA  ",(_xll.BDP($D74,$D$70, "EQY_FUND_RELATIVE_PERIOD", I$3))),I74),"NA ")</f>
        <v>15.380233425759437</v>
      </c>
      <c r="J74" s="244">
        <f ca="1">IFERROR(IF(BB_Switch=1,IF(_xll.BDP($D74,$D$70, "EQY_FUND_RELATIVE_PERIOD", J$3)="#N/A N/A","NA  ",(_xll.BDP($D74,$D$70, "EQY_FUND_RELATIVE_PERIOD", J$3))),J74),"NA ")</f>
        <v>13.072460155558312</v>
      </c>
      <c r="K74" s="244">
        <f ca="1">IFERROR(IF(BB_Switch=1,IF(_xll.BDP($D74,$D$70, "EQY_FUND_RELATIVE_PERIOD", K$3)="#N/A N/A","NA  ",(_xll.BDP($D74,$D$70, "EQY_FUND_RELATIVE_PERIOD", K$3))),K74),"NA ")</f>
        <v>10.184502848516169</v>
      </c>
      <c r="L74" s="244">
        <f ca="1">IFERROR(IF(BB_Switch=1,IF(_xll.BDP($D74,$D$70, "EQY_FUND_RELATIVE_PERIOD", L$3)="#N/A N/A","NA  ",(_xll.BDP($D74,$D$70, "EQY_FUND_RELATIVE_PERIOD", L$3))),L74),"NA ")</f>
        <v>6.412841821660173</v>
      </c>
      <c r="M74" s="244">
        <f ca="1">IFERROR(IF(BB_Switch=1,IF(_xll.BDP($D74,$D$70, "EQY_FUND_RELATIVE_PERIOD", M$3)="#N/A N/A","NA  ",(_xll.BDP($D74,$D$70, "EQY_FUND_RELATIVE_PERIOD", M$3))),M74),"NA ")</f>
        <v>7.2311191685770781</v>
      </c>
      <c r="N74" s="244">
        <f ca="1">IFERROR(IF(BB_Switch=1,IF(_xll.BDP($D74,$D$70, "EQY_FUND_RELATIVE_PERIOD", N$3)="#N/A N/A","NA  ",(_xll.BDP($D74,$D$70, "EQY_FUND_RELATIVE_PERIOD", N$3))),N74),"NA ")</f>
        <v>7.6087421963681416</v>
      </c>
      <c r="O74" s="244">
        <f ca="1">IFERROR(IF(BB_Switch=1,IF(_xll.BDP($D74,$D$70, "EQY_FUND_RELATIVE_PERIOD", O$3)="#N/A N/A","NA  ",(_xll.BDP($D74,$D$70, "EQY_FUND_RELATIVE_PERIOD", O$3))),O74),"NA ")</f>
        <v>8.6709850698677897</v>
      </c>
      <c r="P74" s="244">
        <f ca="1">IFERROR(IF(BB_Switch=1,IF(_xll.BDP($D74,$D$70, "EQY_FUND_RELATIVE_PERIOD", P$3)="#N/A N/A","NA  ",(_xll.BDP($D74,$D$70, "EQY_FUND_RELATIVE_PERIOD", P$3))),P74),"NA ")</f>
        <v>11.986542188176664</v>
      </c>
      <c r="Q74" s="244"/>
      <c r="R74" s="244"/>
      <c r="S74" s="244"/>
      <c r="T74" s="244"/>
      <c r="U74" s="227"/>
      <c r="V74" s="244">
        <f ca="1">IFERROR(IF(BB_Switch=1,IF(_xll.BDP($D74,$D$70, "EQY_FUND_RELATIVE_PERIOD", V$3)="#N/A N/A","NA  ",(_xll.BDP($D74,$D$70, "EQY_FUND_RELATIVE_PERIOD", V$3))),V74),"NA ")</f>
        <v>53.814039735099335</v>
      </c>
      <c r="W74" s="244">
        <f ca="1">IFERROR(IF(BB_Switch=1,IF(_xll.BDP($D74,$D$70, "EQY_FUND_RELATIVE_PERIOD", W$3)="#N/A N/A","NA  ",(_xll.BDP($D74,$D$70, "EQY_FUND_RELATIVE_PERIOD", W$3))),W74),"NA ")</f>
        <v>104.8</v>
      </c>
      <c r="X74" s="244">
        <f ca="1">IFERROR(IF(BB_Switch=1,IF(_xll.BDP($D74,$D$70, "EQY_FUND_RELATIVE_PERIOD", X$3)="#N/A N/A","NA  ",(_xll.BDP($D74,$D$70, "EQY_FUND_RELATIVE_PERIOD", X$3))),X74),"NA ")</f>
        <v>73.589744680851069</v>
      </c>
      <c r="Y74" s="244">
        <f ca="1">IFERROR(IF(BB_Switch=1,IF(_xll.BDP($D74,$D$70, "EQY_FUND_RELATIVE_PERIOD", Y$3)="#N/A N/A","NA  ",(_xll.BDP($D74,$D$70, "EQY_FUND_RELATIVE_PERIOD", Y$3))),Y74),"NA ")</f>
        <v>10.190605658709108</v>
      </c>
      <c r="Z74" s="244">
        <f ca="1">IFERROR(IF(BB_Switch=1,IF(_xll.BDP($D74,$D$70, "EQY_FUND_RELATIVE_PERIOD", Z$3)="#N/A N/A","NA  ",(_xll.BDP($D74,$D$70, "EQY_FUND_RELATIVE_PERIOD", Z$3))),Z74),"NA ")</f>
        <v>20.477368421052635</v>
      </c>
      <c r="AA74" s="244">
        <f ca="1">IFERROR(IF(BB_Switch=1,IF(_xll.BDP($D74,$D$70, "EQY_FUND_RELATIVE_PERIOD", AA$3)="#N/A N/A","NA  ",(_xll.BDP($D74,$D$70, "EQY_FUND_RELATIVE_PERIOD", AA$3))),AA74),"NA ")</f>
        <v>20.703990719257547</v>
      </c>
      <c r="AB74" s="244">
        <f ca="1">IFERROR(IF(BB_Switch=1,IF(_xll.BDP($D74,$D$70, "EQY_FUND_RELATIVE_PERIOD", AB$3)="#N/A N/A","NA  ",(_xll.BDP($D74,$D$70, "EQY_FUND_RELATIVE_PERIOD", AB$3))),AB74),"NA ")</f>
        <v>13.009753997539972</v>
      </c>
      <c r="AC74" s="244">
        <f ca="1">IFERROR(IF(BB_Switch=1,IF(_xll.BDP($D74,$D$70, "EQY_FUND_RELATIVE_PERIOD", AC$3)="#N/A N/A","NA  ",(_xll.BDP($D74,$D$70, "EQY_FUND_RELATIVE_PERIOD", AC$3))),AC74),"NA ")</f>
        <v>16.680947813822286</v>
      </c>
      <c r="AD74" s="244">
        <f ca="1">IFERROR(IF(BB_Switch=1,IF(_xll.BDP($D74,$D$70, "EQY_FUND_RELATIVE_PERIOD", AD$3)="#N/A N/A","NA  ",(_xll.BDP($D74,$D$70, "EQY_FUND_RELATIVE_PERIOD", AD$3))),AD74),"NA ")</f>
        <v>6.4185763490241117</v>
      </c>
      <c r="AE74" s="244">
        <f ca="1">IFERROR(IF(BB_Switch=1,IF(_xll.BDP($D74,$D$70, "EQY_FUND_RELATIVE_PERIOD", AE$3)="#N/A N/A","NA  ",(_xll.BDP($D74,$D$70, "EQY_FUND_RELATIVE_PERIOD", AE$3))),AE74),"NA ")</f>
        <v>12.083189469141134</v>
      </c>
      <c r="AF74" s="235">
        <f t="shared" ca="1" si="23"/>
        <v>11.676614657647322</v>
      </c>
      <c r="AG74" s="244">
        <f ca="1">IFERROR(IF(BB_Switch=1,IF(_xll.BDP($D74,$V$70)="#N/A N/A","NA  ",(_xll.BDP($D74,$V$70))),AG74),"NA ")</f>
        <v>6.4901046879171727</v>
      </c>
      <c r="AH74" s="244"/>
      <c r="AI74" s="244"/>
      <c r="AJ74" s="244"/>
    </row>
    <row r="75" spans="2:39" ht="11.25" customHeight="1">
      <c r="C75" s="229" t="str">
        <f ca="1">IFERROR(IF(BB_Switch=1,_xll.BDP($D75,$C$270),C75), "NA ")</f>
        <v>LyondellBasell Industries NV</v>
      </c>
      <c r="D75" s="227" t="str">
        <f t="shared" si="22"/>
        <v>LYB US EQUITY</v>
      </c>
      <c r="E75" s="244">
        <f ca="1">IFERROR(IF(BB_Switch=1,IF(_xll.BDP($D75,$D$70, "EQY_FUND_RELATIVE_PERIOD", E$3)="#N/A N/A","NA  ",(_xll.BDP($D75,$D$70, "EQY_FUND_RELATIVE_PERIOD", E$3))),E75),"NA ")</f>
        <v>13.204529197623996</v>
      </c>
      <c r="F75" s="244">
        <f ca="1">IFERROR(IF(BB_Switch=1,IF(_xll.BDP($D75,$D$70, "EQY_FUND_RELATIVE_PERIOD", F$3)="#N/A N/A","NA  ",(_xll.BDP($D75,$D$70, "EQY_FUND_RELATIVE_PERIOD", F$3))),F75),"NA ")</f>
        <v>10.17096989331233</v>
      </c>
      <c r="G75" s="244">
        <f ca="1">IFERROR(IF(BB_Switch=1,IF(_xll.BDP($D75,$D$70, "EQY_FUND_RELATIVE_PERIOD", G$3)="#N/A N/A","NA  ",(_xll.BDP($D75,$D$70, "EQY_FUND_RELATIVE_PERIOD", G$3))),G75),"NA ")</f>
        <v>10.566017757811306</v>
      </c>
      <c r="H75" s="244">
        <f ca="1">IFERROR(IF(BB_Switch=1,IF(_xll.BDP($D75,$D$70, "EQY_FUND_RELATIVE_PERIOD", H$3)="#N/A N/A","NA  ",(_xll.BDP($D75,$D$70, "EQY_FUND_RELATIVE_PERIOD", H$3))),H75),"NA ")</f>
        <v>11.868265561522216</v>
      </c>
      <c r="I75" s="244">
        <f ca="1">IFERROR(IF(BB_Switch=1,IF(_xll.BDP($D75,$D$70, "EQY_FUND_RELATIVE_PERIOD", I$3)="#N/A N/A","NA  ",(_xll.BDP($D75,$D$70, "EQY_FUND_RELATIVE_PERIOD", I$3))),I75),"NA ")</f>
        <v>10.440493743896759</v>
      </c>
      <c r="J75" s="244">
        <f ca="1">IFERROR(IF(BB_Switch=1,IF(_xll.BDP($D75,$D$70, "EQY_FUND_RELATIVE_PERIOD", J$3)="#N/A N/A","NA  ",(_xll.BDP($D75,$D$70, "EQY_FUND_RELATIVE_PERIOD", J$3))),J75),"NA ")</f>
        <v>10.734816759259456</v>
      </c>
      <c r="K75" s="244">
        <f ca="1">IFERROR(IF(BB_Switch=1,IF(_xll.BDP($D75,$D$70, "EQY_FUND_RELATIVE_PERIOD", K$3)="#N/A N/A","NA  ",(_xll.BDP($D75,$D$70, "EQY_FUND_RELATIVE_PERIOD", K$3))),K75),"NA ")</f>
        <v>10.444421184729222</v>
      </c>
      <c r="L75" s="244">
        <f ca="1">IFERROR(IF(BB_Switch=1,IF(_xll.BDP($D75,$D$70, "EQY_FUND_RELATIVE_PERIOD", L$3)="#N/A N/A","NA  ",(_xll.BDP($D75,$D$70, "EQY_FUND_RELATIVE_PERIOD", L$3))),L75),"NA ")</f>
        <v>9.6145507590317241</v>
      </c>
      <c r="M75" s="244">
        <f ca="1">IFERROR(IF(BB_Switch=1,IF(_xll.BDP($D75,$D$70, "EQY_FUND_RELATIVE_PERIOD", M$3)="#N/A N/A","NA  ",(_xll.BDP($D75,$D$70, "EQY_FUND_RELATIVE_PERIOD", M$3))),M75),"NA ")</f>
        <v>11.45373468163208</v>
      </c>
      <c r="N75" s="244">
        <f ca="1">IFERROR(IF(BB_Switch=1,IF(_xll.BDP($D75,$D$70, "EQY_FUND_RELATIVE_PERIOD", N$3)="#N/A N/A","NA  ",(_xll.BDP($D75,$D$70, "EQY_FUND_RELATIVE_PERIOD", N$3))),N75),"NA ")</f>
        <v>15.066058220852641</v>
      </c>
      <c r="O75" s="244">
        <f ca="1">IFERROR(IF(BB_Switch=1,IF(_xll.BDP($D75,$D$70, "EQY_FUND_RELATIVE_PERIOD", O$3)="#N/A N/A","NA  ",(_xll.BDP($D75,$D$70, "EQY_FUND_RELATIVE_PERIOD", O$3))),O75),"NA ")</f>
        <v>13.522227747398043</v>
      </c>
      <c r="P75" s="244">
        <f ca="1">IFERROR(IF(BB_Switch=1,IF(_xll.BDP($D75,$D$70, "EQY_FUND_RELATIVE_PERIOD", P$3)="#N/A N/A","NA  ",(_xll.BDP($D75,$D$70, "EQY_FUND_RELATIVE_PERIOD", P$3))),P75),"NA ")</f>
        <v>14.369224243221931</v>
      </c>
      <c r="Q75" s="244"/>
      <c r="R75" s="244"/>
      <c r="S75" s="244"/>
      <c r="T75" s="244"/>
      <c r="U75" s="227"/>
      <c r="V75" s="244">
        <f ca="1">IFERROR(IF(BB_Switch=1,IF(_xll.BDP($D75,$D$70, "EQY_FUND_RELATIVE_PERIOD", V$3)="#N/A N/A","NA  ",(_xll.BDP($D75,$D$70, "EQY_FUND_RELATIVE_PERIOD", V$3))),V75),"NA ")</f>
        <v>14.598645598194132</v>
      </c>
      <c r="W75" s="244">
        <f ca="1">IFERROR(IF(BB_Switch=1,IF(_xll.BDP($D75,$D$70, "EQY_FUND_RELATIVE_PERIOD", W$3)="#N/A N/A","NA  ",(_xll.BDP($D75,$D$70, "EQY_FUND_RELATIVE_PERIOD", W$3))),W75),"NA ")</f>
        <v>10.195756906077349</v>
      </c>
      <c r="X75" s="244">
        <f ca="1">IFERROR(IF(BB_Switch=1,IF(_xll.BDP($D75,$D$70, "EQY_FUND_RELATIVE_PERIOD", X$3)="#N/A N/A","NA  ",(_xll.BDP($D75,$D$70, "EQY_FUND_RELATIVE_PERIOD", X$3))),X75),"NA ")</f>
        <v>8.7771854038100354</v>
      </c>
      <c r="Y75" s="244">
        <f ca="1">IFERROR(IF(BB_Switch=1,IF(_xll.BDP($D75,$D$70, "EQY_FUND_RELATIVE_PERIOD", Y$3)="#N/A N/A","NA  ",(_xll.BDP($D75,$D$70, "EQY_FUND_RELATIVE_PERIOD", Y$3))),Y75),"NA ")</f>
        <v>13.878582773365913</v>
      </c>
      <c r="Z75" s="244">
        <f ca="1">IFERROR(IF(BB_Switch=1,IF(_xll.BDP($D75,$D$70, "EQY_FUND_RELATIVE_PERIOD", Z$3)="#N/A N/A","NA  ",(_xll.BDP($D75,$D$70, "EQY_FUND_RELATIVE_PERIOD", Z$3))),Z75),"NA ")</f>
        <v>9.0402330182457682</v>
      </c>
      <c r="AA75" s="244">
        <f ca="1">IFERROR(IF(BB_Switch=1,IF(_xll.BDP($D75,$D$70, "EQY_FUND_RELATIVE_PERIOD", AA$3)="#N/A N/A","NA  ",(_xll.BDP($D75,$D$70, "EQY_FUND_RELATIVE_PERIOD", AA$3))),AA75),"NA ")</f>
        <v>9.179577464788732</v>
      </c>
      <c r="AB75" s="244">
        <f ca="1">IFERROR(IF(BB_Switch=1,IF(_xll.BDP($D75,$D$70, "EQY_FUND_RELATIVE_PERIOD", AB$3)="#N/A N/A","NA  ",(_xll.BDP($D75,$D$70, "EQY_FUND_RELATIVE_PERIOD", AB$3))),AB75),"NA ")</f>
        <v>10.687427891763306</v>
      </c>
      <c r="AC75" s="244">
        <f ca="1">IFERROR(IF(BB_Switch=1,IF(_xll.BDP($D75,$D$70, "EQY_FUND_RELATIVE_PERIOD", AC$3)="#N/A N/A","NA  ",(_xll.BDP($D75,$D$70, "EQY_FUND_RELATIVE_PERIOD", AC$3))),AC75),"NA ")</f>
        <v>11.999825088822082</v>
      </c>
      <c r="AD75" s="244">
        <f ca="1">IFERROR(IF(BB_Switch=1,IF(_xll.BDP($D75,$D$70, "EQY_FUND_RELATIVE_PERIOD", AD$3)="#N/A N/A","NA  ",(_xll.BDP($D75,$D$70, "EQY_FUND_RELATIVE_PERIOD", AD$3))),AD75),"NA ")</f>
        <v>9.6105882352941165</v>
      </c>
      <c r="AE75" s="244">
        <f ca="1">IFERROR(IF(BB_Switch=1,IF(_xll.BDP($D75,$D$70, "EQY_FUND_RELATIVE_PERIOD", AE$3)="#N/A N/A","NA  ",(_xll.BDP($D75,$D$70, "EQY_FUND_RELATIVE_PERIOD", AE$3))),AE75),"NA ")</f>
        <v>14.711707101896781</v>
      </c>
      <c r="AF75" s="235">
        <f t="shared" ca="1" si="23"/>
        <v>11.267952948225822</v>
      </c>
      <c r="AG75" s="244">
        <f ca="1">IFERROR(IF(BB_Switch=1,IF(_xll.BDP($D75,$V$70)="#N/A N/A","NA  ",(_xll.BDP($D75,$V$70))),AG75),"NA ")</f>
        <v>5.3078529637398555</v>
      </c>
      <c r="AH75" s="244"/>
      <c r="AI75" s="244"/>
      <c r="AJ75" s="244"/>
      <c r="AL75" s="258">
        <v>5</v>
      </c>
      <c r="AM75" s="217" t="s">
        <v>530</v>
      </c>
    </row>
    <row r="76" spans="2:39" ht="11.25" customHeight="1">
      <c r="C76" s="229" t="str">
        <f ca="1">IFERROR(IF(BB_Switch=1,_xll.BDP($D76,$C$270),C76), "NA ")</f>
        <v>Westlake Chemical Corp</v>
      </c>
      <c r="D76" s="227" t="str">
        <f t="shared" si="22"/>
        <v>WLK US EQUITY</v>
      </c>
      <c r="E76" s="244">
        <f ca="1">IFERROR(IF(BB_Switch=1,IF(_xll.BDP($D76,$D$70, "EQY_FUND_RELATIVE_PERIOD", E$3)="#N/A N/A","NA  ",(_xll.BDP($D76,$D$70, "EQY_FUND_RELATIVE_PERIOD", E$3))),E76),"NA ")</f>
        <v>31.805960583427961</v>
      </c>
      <c r="F76" s="244">
        <f ca="1">IFERROR(IF(BB_Switch=1,IF(_xll.BDP($D76,$D$70, "EQY_FUND_RELATIVE_PERIOD", F$3)="#N/A N/A","NA  ",(_xll.BDP($D76,$D$70, "EQY_FUND_RELATIVE_PERIOD", F$3))),F76),"NA ")</f>
        <v>24.120611298758504</v>
      </c>
      <c r="G76" s="244">
        <f ca="1">IFERROR(IF(BB_Switch=1,IF(_xll.BDP($D76,$D$70, "EQY_FUND_RELATIVE_PERIOD", G$3)="#N/A N/A","NA  ",(_xll.BDP($D76,$D$70, "EQY_FUND_RELATIVE_PERIOD", G$3))),G76),"NA ")</f>
        <v>15.121688675709214</v>
      </c>
      <c r="H76" s="244">
        <f ca="1">IFERROR(IF(BB_Switch=1,IF(_xll.BDP($D76,$D$70, "EQY_FUND_RELATIVE_PERIOD", H$3)="#N/A N/A","NA  ",(_xll.BDP($D76,$D$70, "EQY_FUND_RELATIVE_PERIOD", H$3))),H76),"NA ")</f>
        <v>14.460282072185162</v>
      </c>
      <c r="I76" s="244">
        <f ca="1">IFERROR(IF(BB_Switch=1,IF(_xll.BDP($D76,$D$70, "EQY_FUND_RELATIVE_PERIOD", I$3)="#N/A N/A","NA  ",(_xll.BDP($D76,$D$70, "EQY_FUND_RELATIVE_PERIOD", I$3))),I76),"NA ")</f>
        <v>14.365878252289226</v>
      </c>
      <c r="J76" s="244">
        <f ca="1">IFERROR(IF(BB_Switch=1,IF(_xll.BDP($D76,$D$70, "EQY_FUND_RELATIVE_PERIOD", J$3)="#N/A N/A","NA  ",(_xll.BDP($D76,$D$70, "EQY_FUND_RELATIVE_PERIOD", J$3))),J76),"NA ")</f>
        <v>14.062097080273245</v>
      </c>
      <c r="K76" s="244">
        <f ca="1">IFERROR(IF(BB_Switch=1,IF(_xll.BDP($D76,$D$70, "EQY_FUND_RELATIVE_PERIOD", K$3)="#N/A N/A","NA  ",(_xll.BDP($D76,$D$70, "EQY_FUND_RELATIVE_PERIOD", K$3))),K76),"NA ")</f>
        <v>10.228344951452527</v>
      </c>
      <c r="L76" s="244">
        <f ca="1">IFERROR(IF(BB_Switch=1,IF(_xll.BDP($D76,$D$70, "EQY_FUND_RELATIVE_PERIOD", L$3)="#N/A N/A","NA  ",(_xll.BDP($D76,$D$70, "EQY_FUND_RELATIVE_PERIOD", L$3))),L76),"NA ")</f>
        <v>12.118663962423915</v>
      </c>
      <c r="M76" s="244">
        <f ca="1">IFERROR(IF(BB_Switch=1,IF(_xll.BDP($D76,$D$70, "EQY_FUND_RELATIVE_PERIOD", M$3)="#N/A N/A","NA  ",(_xll.BDP($D76,$D$70, "EQY_FUND_RELATIVE_PERIOD", M$3))),M76),"NA ")</f>
        <v>15.160379238398127</v>
      </c>
      <c r="N76" s="244">
        <f ca="1">IFERROR(IF(BB_Switch=1,IF(_xll.BDP($D76,$D$70, "EQY_FUND_RELATIVE_PERIOD", N$3)="#N/A N/A","NA  ",(_xll.BDP($D76,$D$70, "EQY_FUND_RELATIVE_PERIOD", N$3))),N76),"NA ")</f>
        <v>17.078033510789524</v>
      </c>
      <c r="O76" s="244">
        <f ca="1">IFERROR(IF(BB_Switch=1,IF(_xll.BDP($D76,$D$70, "EQY_FUND_RELATIVE_PERIOD", O$3)="#N/A N/A","NA  ",(_xll.BDP($D76,$D$70, "EQY_FUND_RELATIVE_PERIOD", O$3))),O76),"NA ")</f>
        <v>19.891434206156461</v>
      </c>
      <c r="P76" s="244">
        <f ca="1">IFERROR(IF(BB_Switch=1,IF(_xll.BDP($D76,$D$70, "EQY_FUND_RELATIVE_PERIOD", P$3)="#N/A N/A","NA  ",(_xll.BDP($D76,$D$70, "EQY_FUND_RELATIVE_PERIOD", P$3))),P76),"NA ")</f>
        <v>17.516179710201389</v>
      </c>
      <c r="Q76" s="244"/>
      <c r="R76" s="244"/>
      <c r="S76" s="244"/>
      <c r="T76" s="244"/>
      <c r="U76" s="227"/>
      <c r="V76" s="244">
        <f ca="1">IFERROR(IF(BB_Switch=1,IF(_xll.BDP($D76,$D$70, "EQY_FUND_RELATIVE_PERIOD", V$3)="#N/A N/A","NA  ",(_xll.BDP($D76,$D$70, "EQY_FUND_RELATIVE_PERIOD", V$3))),V76),"NA ")</f>
        <v>14.986974868482783</v>
      </c>
      <c r="W76" s="244">
        <f ca="1">IFERROR(IF(BB_Switch=1,IF(_xll.BDP($D76,$D$70, "EQY_FUND_RELATIVE_PERIOD", W$3)="#N/A N/A","NA  ",(_xll.BDP($D76,$D$70, "EQY_FUND_RELATIVE_PERIOD", W$3))),W76),"NA ")</f>
        <v>14.305076871444516</v>
      </c>
      <c r="X76" s="244">
        <f ca="1">IFERROR(IF(BB_Switch=1,IF(_xll.BDP($D76,$D$70, "EQY_FUND_RELATIVE_PERIOD", X$3)="#N/A N/A","NA  ",(_xll.BDP($D76,$D$70, "EQY_FUND_RELATIVE_PERIOD", X$3))),X76),"NA ")</f>
        <v>23.342073753691082</v>
      </c>
      <c r="Y76" s="244">
        <f ca="1">IFERROR(IF(BB_Switch=1,IF(_xll.BDP($D76,$D$70, "EQY_FUND_RELATIVE_PERIOD", Y$3)="#N/A N/A","NA  ",(_xll.BDP($D76,$D$70, "EQY_FUND_RELATIVE_PERIOD", Y$3))),Y76),"NA ")</f>
        <v>110.61997449168096</v>
      </c>
      <c r="Z76" s="244">
        <f ca="1">IFERROR(IF(BB_Switch=1,IF(_xll.BDP($D76,$D$70, "EQY_FUND_RELATIVE_PERIOD", Z$3)="#N/A N/A","NA  ",(_xll.BDP($D76,$D$70, "EQY_FUND_RELATIVE_PERIOD", Z$3))),Z76),"NA ")</f>
        <v>13.524270281503215</v>
      </c>
      <c r="AA76" s="244">
        <f ca="1">IFERROR(IF(BB_Switch=1,IF(_xll.BDP($D76,$D$70, "EQY_FUND_RELATIVE_PERIOD", AA$3)="#N/A N/A","NA  ",(_xll.BDP($D76,$D$70, "EQY_FUND_RELATIVE_PERIOD", AA$3))),AA76),"NA ")</f>
        <v>12.190231293713079</v>
      </c>
      <c r="AB76" s="244">
        <f ca="1">IFERROR(IF(BB_Switch=1,IF(_xll.BDP($D76,$D$70, "EQY_FUND_RELATIVE_PERIOD", AB$3)="#N/A N/A","NA  ",(_xll.BDP($D76,$D$70, "EQY_FUND_RELATIVE_PERIOD", AB$3))),AB76),"NA ")</f>
        <v>30.434026028907567</v>
      </c>
      <c r="AC76" s="244">
        <f ca="1">IFERROR(IF(BB_Switch=1,IF(_xll.BDP($D76,$D$70, "EQY_FUND_RELATIVE_PERIOD", AC$3)="#N/A N/A","NA  ",(_xll.BDP($D76,$D$70, "EQY_FUND_RELATIVE_PERIOD", AC$3))),AC76),"NA ")</f>
        <v>14.460192103880127</v>
      </c>
      <c r="AD76" s="244">
        <f ca="1">IFERROR(IF(BB_Switch=1,IF(_xll.BDP($D76,$D$70, "EQY_FUND_RELATIVE_PERIOD", AD$3)="#N/A N/A","NA  ",(_xll.BDP($D76,$D$70, "EQY_FUND_RELATIVE_PERIOD", AD$3))),AD76),"NA ")</f>
        <v>12.111058879646395</v>
      </c>
      <c r="AE76" s="244">
        <f ca="1">IFERROR(IF(BB_Switch=1,IF(_xll.BDP($D76,$D$70, "EQY_FUND_RELATIVE_PERIOD", AE$3)="#N/A N/A","NA  ",(_xll.BDP($D76,$D$70, "EQY_FUND_RELATIVE_PERIOD", AE$3))),AE76),"NA ")</f>
        <v>17.52319485914397</v>
      </c>
      <c r="AF76" s="235">
        <f t="shared" ca="1" si="23"/>
        <v>14.157285593973441</v>
      </c>
      <c r="AG76" s="244">
        <f ca="1">IFERROR(IF(BB_Switch=1,IF(_xll.BDP($D76,$V$70)="#N/A N/A","NA  ",(_xll.BDP($D76,$V$70))),AG76),"NA ")</f>
        <v>7.4584219906468769</v>
      </c>
      <c r="AH76" s="244"/>
      <c r="AI76" s="244"/>
      <c r="AJ76" s="244"/>
      <c r="AL76" s="258">
        <v>20</v>
      </c>
      <c r="AM76" s="226" t="s">
        <v>529</v>
      </c>
    </row>
    <row r="77" spans="2:39" ht="11.25" customHeight="1">
      <c r="C77" s="229" t="str">
        <f ca="1">IFERROR(IF(BB_Switch=1,_xll.BDP($D77,$C$270),C77), "NA ")</f>
        <v>Kraton Corp</v>
      </c>
      <c r="D77" s="227" t="str">
        <f t="shared" si="22"/>
        <v>KRA US EQUITY</v>
      </c>
      <c r="E77" s="244">
        <f ca="1">IFERROR(IF(BB_Switch=1,IF(_xll.BDP($D77,$D$70, "EQY_FUND_RELATIVE_PERIOD", E$3)="#N/A N/A","NA  ",(_xll.BDP($D77,$D$70, "EQY_FUND_RELATIVE_PERIOD", E$3))),E77),"NA ")</f>
        <v>21.586779032209137</v>
      </c>
      <c r="F77" s="244" t="str">
        <f ca="1">IFERROR(IF(BB_Switch=1,IF(_xll.BDP($D77,$D$70, "EQY_FUND_RELATIVE_PERIOD", F$3)="#N/A N/A","NA  ",(_xll.BDP($D77,$D$70, "EQY_FUND_RELATIVE_PERIOD", F$3))),F77),"NA ")</f>
        <v xml:space="preserve">NA  </v>
      </c>
      <c r="G77" s="244">
        <f ca="1">IFERROR(IF(BB_Switch=1,IF(_xll.BDP($D77,$D$70, "EQY_FUND_RELATIVE_PERIOD", G$3)="#N/A N/A","NA  ",(_xll.BDP($D77,$D$70, "EQY_FUND_RELATIVE_PERIOD", G$3))),G77),"NA ")</f>
        <v>51.161645702894248</v>
      </c>
      <c r="H77" s="244">
        <f ca="1">IFERROR(IF(BB_Switch=1,IF(_xll.BDP($D77,$D$70, "EQY_FUND_RELATIVE_PERIOD", H$3)="#N/A N/A","NA  ",(_xll.BDP($D77,$D$70, "EQY_FUND_RELATIVE_PERIOD", H$3))),H77),"NA ")</f>
        <v>10.68836513440578</v>
      </c>
      <c r="I77" s="244">
        <f ca="1">IFERROR(IF(BB_Switch=1,IF(_xll.BDP($D77,$D$70, "EQY_FUND_RELATIVE_PERIOD", I$3)="#N/A N/A","NA  ",(_xll.BDP($D77,$D$70, "EQY_FUND_RELATIVE_PERIOD", I$3))),I77),"NA ")</f>
        <v>8.8957180487799956</v>
      </c>
      <c r="J77" s="244">
        <f ca="1">IFERROR(IF(BB_Switch=1,IF(_xll.BDP($D77,$D$70, "EQY_FUND_RELATIVE_PERIOD", J$3)="#N/A N/A","NA  ",(_xll.BDP($D77,$D$70, "EQY_FUND_RELATIVE_PERIOD", J$3))),J77),"NA ")</f>
        <v>7.8894432765748288</v>
      </c>
      <c r="K77" s="244">
        <f ca="1">IFERROR(IF(BB_Switch=1,IF(_xll.BDP($D77,$D$70, "EQY_FUND_RELATIVE_PERIOD", K$3)="#N/A N/A","NA  ",(_xll.BDP($D77,$D$70, "EQY_FUND_RELATIVE_PERIOD", K$3))),K77),"NA ")</f>
        <v>9.421923243241535</v>
      </c>
      <c r="L77" s="244">
        <f ca="1">IFERROR(IF(BB_Switch=1,IF(_xll.BDP($D77,$D$70, "EQY_FUND_RELATIVE_PERIOD", L$3)="#N/A N/A","NA  ",(_xll.BDP($D77,$D$70, "EQY_FUND_RELATIVE_PERIOD", L$3))),L77),"NA ")</f>
        <v>4.7863258782763518</v>
      </c>
      <c r="M77" s="244">
        <f ca="1">IFERROR(IF(BB_Switch=1,IF(_xll.BDP($D77,$D$70, "EQY_FUND_RELATIVE_PERIOD", M$3)="#N/A N/A","NA  ",(_xll.BDP($D77,$D$70, "EQY_FUND_RELATIVE_PERIOD", M$3))),M77),"NA ")</f>
        <v>10.772836647230902</v>
      </c>
      <c r="N77" s="244">
        <f ca="1">IFERROR(IF(BB_Switch=1,IF(_xll.BDP($D77,$D$70, "EQY_FUND_RELATIVE_PERIOD", N$3)="#N/A N/A","NA  ",(_xll.BDP($D77,$D$70, "EQY_FUND_RELATIVE_PERIOD", N$3))),N77),"NA ")</f>
        <v>7.8886252888907622</v>
      </c>
      <c r="O77" s="244">
        <f ca="1">IFERROR(IF(BB_Switch=1,IF(_xll.BDP($D77,$D$70, "EQY_FUND_RELATIVE_PERIOD", O$3)="#N/A N/A","NA  ",(_xll.BDP($D77,$D$70, "EQY_FUND_RELATIVE_PERIOD", O$3))),O77),"NA ")</f>
        <v>8.7026514621310085</v>
      </c>
      <c r="P77" s="244">
        <f ca="1">IFERROR(IF(BB_Switch=1,IF(_xll.BDP($D77,$D$70, "EQY_FUND_RELATIVE_PERIOD", P$3)="#N/A N/A","NA  ",(_xll.BDP($D77,$D$70, "EQY_FUND_RELATIVE_PERIOD", P$3))),P77),"NA ")</f>
        <v>6.1231662275393832</v>
      </c>
      <c r="Q77" s="227"/>
      <c r="R77" s="227"/>
      <c r="S77" s="227"/>
      <c r="T77" s="227"/>
      <c r="U77" s="227"/>
      <c r="V77" s="244">
        <f ca="1">IFERROR(IF(BB_Switch=1,IF(_xll.BDP($D77,$D$70, "EQY_FUND_RELATIVE_PERIOD", V$3)="#N/A N/A","NA  ",(_xll.BDP($D77,$D$70, "EQY_FUND_RELATIVE_PERIOD", V$3))),V77),"NA ")</f>
        <v>495.6019480519488</v>
      </c>
      <c r="W77" s="244">
        <f ca="1">IFERROR(IF(BB_Switch=1,IF(_xll.BDP($D77,$D$70, "EQY_FUND_RELATIVE_PERIOD", W$3)="#N/A N/A","NA  ",(_xll.BDP($D77,$D$70, "EQY_FUND_RELATIVE_PERIOD", W$3))),W77),"NA ")</f>
        <v>144.54655017921129</v>
      </c>
      <c r="X77" s="244">
        <f ca="1">IFERROR(IF(BB_Switch=1,IF(_xll.BDP($D77,$D$70, "EQY_FUND_RELATIVE_PERIOD", X$3)="#N/A N/A","NA  ",(_xll.BDP($D77,$D$70, "EQY_FUND_RELATIVE_PERIOD", X$3))),X77),"NA ")</f>
        <v>9.4371385886605932</v>
      </c>
      <c r="Y77" s="244">
        <f ca="1">IFERROR(IF(BB_Switch=1,IF(_xll.BDP($D77,$D$70, "EQY_FUND_RELATIVE_PERIOD", Y$3)="#N/A N/A","NA  ",(_xll.BDP($D77,$D$70, "EQY_FUND_RELATIVE_PERIOD", Y$3))),Y77),"NA ")</f>
        <v>30.350049228749583</v>
      </c>
      <c r="Z77" s="244" t="str">
        <f ca="1">IFERROR(IF(BB_Switch=1,IF(_xll.BDP($D77,$D$70, "EQY_FUND_RELATIVE_PERIOD", Z$3)="#N/A N/A","NA  ",(_xll.BDP($D77,$D$70, "EQY_FUND_RELATIVE_PERIOD", Z$3))),Z77),"NA ")</f>
        <v xml:space="preserve">NA  </v>
      </c>
      <c r="AA77" s="244" t="str">
        <f ca="1">IFERROR(IF(BB_Switch=1,IF(_xll.BDP($D77,$D$70, "EQY_FUND_RELATIVE_PERIOD", AA$3)="#N/A N/A","NA  ",(_xll.BDP($D77,$D$70, "EQY_FUND_RELATIVE_PERIOD", AA$3))),AA77),"NA ")</f>
        <v xml:space="preserve">NA  </v>
      </c>
      <c r="AB77" s="244">
        <f ca="1">IFERROR(IF(BB_Switch=1,IF(_xll.BDP($D77,$D$70, "EQY_FUND_RELATIVE_PERIOD", AB$3)="#N/A N/A","NA  ",(_xll.BDP($D77,$D$70, "EQY_FUND_RELATIVE_PERIOD", AB$3))),AB77),"NA ")</f>
        <v>45.532997828044721</v>
      </c>
      <c r="AC77" s="244">
        <f ca="1">IFERROR(IF(BB_Switch=1,IF(_xll.BDP($D77,$D$70, "EQY_FUND_RELATIVE_PERIOD", AC$3)="#N/A N/A","NA  ",(_xll.BDP($D77,$D$70, "EQY_FUND_RELATIVE_PERIOD", AC$3))),AC77),"NA ")</f>
        <v>10.614339175065055</v>
      </c>
      <c r="AD77" s="244">
        <f ca="1">IFERROR(IF(BB_Switch=1,IF(_xll.BDP($D77,$D$70, "EQY_FUND_RELATIVE_PERIOD", AD$3)="#N/A N/A","NA  ",(_xll.BDP($D77,$D$70, "EQY_FUND_RELATIVE_PERIOD", AD$3))),AD77),"NA ")</f>
        <v>4.7743418388293168</v>
      </c>
      <c r="AE77" s="244">
        <f ca="1">IFERROR(IF(BB_Switch=1,IF(_xll.BDP($D77,$D$70, "EQY_FUND_RELATIVE_PERIOD", AE$3)="#N/A N/A","NA  ",(_xll.BDP($D77,$D$70, "EQY_FUND_RELATIVE_PERIOD", AE$3))),AE77),"NA ")</f>
        <v>6.1374574593013893</v>
      </c>
      <c r="AF77" s="235">
        <f t="shared" ca="1" si="23"/>
        <v>8.7296450743423453</v>
      </c>
      <c r="AG77" s="244">
        <f ca="1">IFERROR(IF(BB_Switch=1,IF(_xll.BDP($D77,$V$70)="#N/A N/A","NA  ",(_xll.BDP($D77,$V$70))),AG77),"NA ")</f>
        <v>1.9709242661391559</v>
      </c>
      <c r="AH77" s="244"/>
      <c r="AI77" s="244"/>
      <c r="AJ77" s="244"/>
    </row>
    <row r="78" spans="2:39" ht="11.25" customHeight="1">
      <c r="C78" s="229" t="str">
        <f ca="1">IFERROR(IF(BB_Switch=1,_xll.BDP($D78,$C$270),C78), "NA ")</f>
        <v>Dow Inc</v>
      </c>
      <c r="D78" s="227" t="str">
        <f t="shared" si="22"/>
        <v>DOW US EQUITY</v>
      </c>
      <c r="E78" s="244" t="str">
        <f ca="1">IFERROR(IF(BB_Switch=1,IF(_xll.BDP($D78,$D$70, "EQY_FUND_RELATIVE_PERIOD", E$3)="#N/A N/A","NA  ",(_xll.BDP($D78,$D$70, "EQY_FUND_RELATIVE_PERIOD", E$3))),E78),"NA ")</f>
        <v xml:space="preserve">NA  </v>
      </c>
      <c r="F78" s="244" t="str">
        <f ca="1">IFERROR(IF(BB_Switch=1,IF(_xll.BDP($D78,$D$70, "EQY_FUND_RELATIVE_PERIOD", F$3)="#N/A N/A","NA  ",(_xll.BDP($D78,$D$70, "EQY_FUND_RELATIVE_PERIOD", F$3))),F78),"NA ")</f>
        <v xml:space="preserve">NA  </v>
      </c>
      <c r="G78" s="244" t="str">
        <f ca="1">IFERROR(IF(BB_Switch=1,IF(_xll.BDP($D78,$D$70, "EQY_FUND_RELATIVE_PERIOD", G$3)="#N/A N/A","NA  ",(_xll.BDP($D78,$D$70, "EQY_FUND_RELATIVE_PERIOD", G$3))),G78),"NA ")</f>
        <v xml:space="preserve">NA  </v>
      </c>
      <c r="H78" s="244" t="str">
        <f ca="1">IFERROR(IF(BB_Switch=1,IF(_xll.BDP($D78,$D$70, "EQY_FUND_RELATIVE_PERIOD", H$3)="#N/A N/A","NA  ",(_xll.BDP($D78,$D$70, "EQY_FUND_RELATIVE_PERIOD", H$3))),H78),"NA ")</f>
        <v xml:space="preserve">NA  </v>
      </c>
      <c r="I78" s="244" t="str">
        <f ca="1">IFERROR(IF(BB_Switch=1,IF(_xll.BDP($D78,$D$70, "EQY_FUND_RELATIVE_PERIOD", I$3)="#N/A N/A","NA  ",(_xll.BDP($D78,$D$70, "EQY_FUND_RELATIVE_PERIOD", I$3))),I78),"NA ")</f>
        <v xml:space="preserve">NA  </v>
      </c>
      <c r="J78" s="244" t="str">
        <f ca="1">IFERROR(IF(BB_Switch=1,IF(_xll.BDP($D78,$D$70, "EQY_FUND_RELATIVE_PERIOD", J$3)="#N/A N/A","NA  ",(_xll.BDP($D78,$D$70, "EQY_FUND_RELATIVE_PERIOD", J$3))),J78),"NA ")</f>
        <v xml:space="preserve">NA  </v>
      </c>
      <c r="K78" s="244" t="str">
        <f ca="1">IFERROR(IF(BB_Switch=1,IF(_xll.BDP($D78,$D$70, "EQY_FUND_RELATIVE_PERIOD", K$3)="#N/A N/A","NA  ",(_xll.BDP($D78,$D$70, "EQY_FUND_RELATIVE_PERIOD", K$3))),K78),"NA ")</f>
        <v xml:space="preserve">NA  </v>
      </c>
      <c r="L78" s="244" t="str">
        <f ca="1">IFERROR(IF(BB_Switch=1,IF(_xll.BDP($D78,$D$70, "EQY_FUND_RELATIVE_PERIOD", L$3)="#N/A N/A","NA  ",(_xll.BDP($D78,$D$70, "EQY_FUND_RELATIVE_PERIOD", L$3))),L78),"NA ")</f>
        <v xml:space="preserve">NA  </v>
      </c>
      <c r="M78" s="244">
        <f ca="1">IFERROR(IF(BB_Switch=1,IF(_xll.BDP($D78,$D$70, "EQY_FUND_RELATIVE_PERIOD", M$3)="#N/A N/A","NA  ",(_xll.BDP($D78,$D$70, "EQY_FUND_RELATIVE_PERIOD", M$3))),M78),"NA ")</f>
        <v>11.366510312315853</v>
      </c>
      <c r="N78" s="244">
        <f ca="1">IFERROR(IF(BB_Switch=1,IF(_xll.BDP($D78,$D$70, "EQY_FUND_RELATIVE_PERIOD", N$3)="#N/A N/A","NA  ",(_xll.BDP($D78,$D$70, "EQY_FUND_RELATIVE_PERIOD", N$3))),N78),"NA ")</f>
        <v>15.159552867913801</v>
      </c>
      <c r="O78" s="244">
        <f ca="1">IFERROR(IF(BB_Switch=1,IF(_xll.BDP($D78,$D$70, "EQY_FUND_RELATIVE_PERIOD", O$3)="#N/A N/A","NA  ",(_xll.BDP($D78,$D$70, "EQY_FUND_RELATIVE_PERIOD", O$3))),O78),"NA ")</f>
        <v>10.018773168813263</v>
      </c>
      <c r="P78" s="244">
        <f ca="1">IFERROR(IF(BB_Switch=1,IF(_xll.BDP($D78,$D$70, "EQY_FUND_RELATIVE_PERIOD", P$3)="#N/A N/A","NA  ",(_xll.BDP($D78,$D$70, "EQY_FUND_RELATIVE_PERIOD", P$3))),P78),"NA ")</f>
        <v>10.462438325893578</v>
      </c>
      <c r="Q78" s="227"/>
      <c r="R78" s="227"/>
      <c r="S78" s="227"/>
      <c r="T78" s="227"/>
      <c r="U78" s="227"/>
      <c r="V78" s="244" t="str">
        <f ca="1">IFERROR(IF(BB_Switch=1,IF(_xll.BDP($D78,$D$70, "EQY_FUND_RELATIVE_PERIOD", V$3)="#N/A N/A","NA  ",(_xll.BDP($D78,$D$70, "EQY_FUND_RELATIVE_PERIOD", V$3))),V78),"NA ")</f>
        <v xml:space="preserve">NA  </v>
      </c>
      <c r="W78" s="244" t="str">
        <f ca="1">IFERROR(IF(BB_Switch=1,IF(_xll.BDP($D78,$D$70, "EQY_FUND_RELATIVE_PERIOD", W$3)="#N/A N/A","NA  ",(_xll.BDP($D78,$D$70, "EQY_FUND_RELATIVE_PERIOD", W$3))),W78),"NA ")</f>
        <v xml:space="preserve">NA  </v>
      </c>
      <c r="X78" s="244" t="str">
        <f ca="1">IFERROR(IF(BB_Switch=1,IF(_xll.BDP($D78,$D$70, "EQY_FUND_RELATIVE_PERIOD", X$3)="#N/A N/A","NA  ",(_xll.BDP($D78,$D$70, "EQY_FUND_RELATIVE_PERIOD", X$3))),X78),"NA ")</f>
        <v xml:space="preserve">NA  </v>
      </c>
      <c r="Y78" s="244" t="str">
        <f ca="1">IFERROR(IF(BB_Switch=1,IF(_xll.BDP($D78,$D$70, "EQY_FUND_RELATIVE_PERIOD", Y$3)="#N/A N/A","NA  ",(_xll.BDP($D78,$D$70, "EQY_FUND_RELATIVE_PERIOD", Y$3))),Y78),"NA ")</f>
        <v xml:space="preserve">NA  </v>
      </c>
      <c r="Z78" s="244" t="str">
        <f ca="1">IFERROR(IF(BB_Switch=1,IF(_xll.BDP($D78,$D$70, "EQY_FUND_RELATIVE_PERIOD", Z$3)="#N/A N/A","NA  ",(_xll.BDP($D78,$D$70, "EQY_FUND_RELATIVE_PERIOD", Z$3))),Z78),"NA ")</f>
        <v xml:space="preserve">NA  </v>
      </c>
      <c r="AA78" s="244" t="str">
        <f ca="1">IFERROR(IF(BB_Switch=1,IF(_xll.BDP($D78,$D$70, "EQY_FUND_RELATIVE_PERIOD", AA$3)="#N/A N/A","NA  ",(_xll.BDP($D78,$D$70, "EQY_FUND_RELATIVE_PERIOD", AA$3))),AA78),"NA ")</f>
        <v xml:space="preserve">NA  </v>
      </c>
      <c r="AB78" s="244" t="str">
        <f ca="1">IFERROR(IF(BB_Switch=1,IF(_xll.BDP($D78,$D$70, "EQY_FUND_RELATIVE_PERIOD", AB$3)="#N/A N/A","NA  ",(_xll.BDP($D78,$D$70, "EQY_FUND_RELATIVE_PERIOD", AB$3))),AB78),"NA ")</f>
        <v xml:space="preserve">NA  </v>
      </c>
      <c r="AC78" s="244" t="str">
        <f ca="1">IFERROR(IF(BB_Switch=1,IF(_xll.BDP($D78,$D$70, "EQY_FUND_RELATIVE_PERIOD", AC$3)="#N/A N/A","NA  ",(_xll.BDP($D78,$D$70, "EQY_FUND_RELATIVE_PERIOD", AC$3))),AC78),"NA ")</f>
        <v xml:space="preserve">NA  </v>
      </c>
      <c r="AD78" s="244" t="str">
        <f ca="1">IFERROR(IF(BB_Switch=1,IF(_xll.BDP($D78,$D$70, "EQY_FUND_RELATIVE_PERIOD", AD$3)="#N/A N/A","NA  ",(_xll.BDP($D78,$D$70, "EQY_FUND_RELATIVE_PERIOD", AD$3))),AD78),"NA ")</f>
        <v xml:space="preserve">NA  </v>
      </c>
      <c r="AE78" s="244">
        <f ca="1">IFERROR(IF(BB_Switch=1,IF(_xll.BDP($D78,$D$70, "EQY_FUND_RELATIVE_PERIOD", AE$3)="#N/A N/A","NA  ",(_xll.BDP($D78,$D$70, "EQY_FUND_RELATIVE_PERIOD", AE$3))),AE78),"NA ")</f>
        <v>10.462673789907312</v>
      </c>
      <c r="AF78" s="235">
        <f t="shared" ca="1" si="23"/>
        <v>10.462673789907312</v>
      </c>
      <c r="AG78" s="244">
        <f ca="1">IFERROR(IF(BB_Switch=1,IF(_xll.BDP($D78,$V$70)="#N/A N/A","NA  ",(_xll.BDP($D78,$V$70))),AG78),"NA ")</f>
        <v>4.20562110669941</v>
      </c>
      <c r="AH78" s="244"/>
      <c r="AI78" s="244"/>
      <c r="AJ78" s="244"/>
      <c r="AK78" s="340">
        <f ca="1">8*AVERAGE(Financials!$AQ$124:$AU$124)/AL24</f>
        <v>54.210275236860909</v>
      </c>
      <c r="AL78" s="340">
        <f ca="1">AF81*AVERAGE(Financials!AQ124:AU124)/AM24</f>
        <v>89.169459209165964</v>
      </c>
      <c r="AM78" s="340">
        <f ca="1">15*AVERAGE(Financials!AQ124:AU124)/AN24</f>
        <v>101.64426606911421</v>
      </c>
    </row>
    <row r="79" spans="2:39" ht="11.25" customHeight="1">
      <c r="C79" s="229"/>
      <c r="D79" s="227"/>
      <c r="E79" s="244"/>
      <c r="F79" s="244"/>
      <c r="G79" s="244"/>
      <c r="H79" s="244"/>
      <c r="I79" s="244"/>
      <c r="J79" s="244"/>
      <c r="K79" s="244"/>
      <c r="L79" s="244"/>
      <c r="M79" s="244"/>
      <c r="N79" s="244"/>
      <c r="O79" s="244"/>
      <c r="P79" s="244"/>
      <c r="Q79" s="227"/>
      <c r="R79" s="227"/>
      <c r="S79" s="227"/>
      <c r="T79" s="227"/>
      <c r="U79" s="227"/>
      <c r="V79" s="244"/>
      <c r="W79" s="244"/>
      <c r="X79" s="244"/>
      <c r="Y79" s="244"/>
      <c r="Z79" s="244"/>
      <c r="AA79" s="244"/>
      <c r="AB79" s="244"/>
      <c r="AC79" s="244"/>
      <c r="AD79" s="244"/>
      <c r="AE79" s="244"/>
      <c r="AF79" s="235"/>
      <c r="AG79" s="244"/>
      <c r="AH79" s="244"/>
      <c r="AI79" s="244"/>
      <c r="AJ79" s="244"/>
    </row>
    <row r="80" spans="2:39" ht="11.25" customHeight="1">
      <c r="C80" s="440" t="str">
        <f>+C20</f>
        <v>Specialty Chemicals</v>
      </c>
      <c r="D80" s="227"/>
      <c r="E80" s="244"/>
      <c r="F80" s="244"/>
      <c r="G80" s="244"/>
      <c r="H80" s="244"/>
      <c r="I80" s="244"/>
      <c r="J80" s="244"/>
      <c r="K80" s="244"/>
      <c r="L80" s="244"/>
      <c r="M80" s="244"/>
      <c r="N80" s="244"/>
      <c r="O80" s="244"/>
      <c r="P80" s="244"/>
      <c r="Q80" s="227"/>
      <c r="R80" s="227"/>
      <c r="S80" s="227"/>
      <c r="T80" s="227"/>
      <c r="U80" s="227"/>
      <c r="V80" s="244"/>
      <c r="W80" s="244"/>
      <c r="X80" s="244"/>
      <c r="Y80" s="244"/>
      <c r="Z80" s="244"/>
      <c r="AA80" s="244"/>
      <c r="AB80" s="244"/>
      <c r="AC80" s="244"/>
      <c r="AD80" s="244"/>
      <c r="AE80" s="244"/>
      <c r="AF80" s="235"/>
      <c r="AG80" s="244"/>
      <c r="AH80" s="244"/>
      <c r="AI80" s="244"/>
      <c r="AJ80" s="244"/>
    </row>
    <row r="81" spans="2:39" ht="11.25" customHeight="1">
      <c r="C81" s="229" t="str">
        <f ca="1">IFERROR(IF(BB_Switch=1,_xll.BDP($D81,$C$270),C81), "NA ")</f>
        <v>Eastman Chemical Co</v>
      </c>
      <c r="D81" s="227" t="str">
        <f>+D21</f>
        <v>EMN US EQUITY</v>
      </c>
      <c r="E81" s="244">
        <f ca="1">IFERROR(IF(BB_Switch=1,IF(_xll.BDP($D81,$D$70, "EQY_FUND_RELATIVE_PERIOD", E$3)="#N/A N/A","NA  ",(_xll.BDP($D81,$D$70, "EQY_FUND_RELATIVE_PERIOD", E$3))),E81),"NA ")</f>
        <v>16.16860937841475</v>
      </c>
      <c r="F81" s="244">
        <f ca="1">IFERROR(IF(BB_Switch=1,IF(_xll.BDP($D81,$D$70, "EQY_FUND_RELATIVE_PERIOD", F$3)="#N/A N/A","NA  ",(_xll.BDP($D81,$D$70, "EQY_FUND_RELATIVE_PERIOD", F$3))),F81),"NA ")</f>
        <v>18.851223515346422</v>
      </c>
      <c r="G81" s="244">
        <f ca="1">IFERROR(IF(BB_Switch=1,IF(_xll.BDP($D81,$D$70, "EQY_FUND_RELATIVE_PERIOD", G$3)="#N/A N/A","NA  ",(_xll.BDP($D81,$D$70, "EQY_FUND_RELATIVE_PERIOD", G$3))),G81),"NA ")</f>
        <v>18.416976506343691</v>
      </c>
      <c r="H81" s="244">
        <f ca="1">IFERROR(IF(BB_Switch=1,IF(_xll.BDP($D81,$D$70, "EQY_FUND_RELATIVE_PERIOD", H$3)="#N/A N/A","NA  ",(_xll.BDP($D81,$D$70, "EQY_FUND_RELATIVE_PERIOD", H$3))),H81),"NA ")</f>
        <v>13.221906078273536</v>
      </c>
      <c r="I81" s="244">
        <f ca="1">IFERROR(IF(BB_Switch=1,IF(_xll.BDP($D81,$D$70, "EQY_FUND_RELATIVE_PERIOD", I$3)="#N/A N/A","NA  ",(_xll.BDP($D81,$D$70, "EQY_FUND_RELATIVE_PERIOD", I$3))),I81),"NA ")</f>
        <v>16.447703903674547</v>
      </c>
      <c r="J81" s="244">
        <f ca="1">IFERROR(IF(BB_Switch=1,IF(_xll.BDP($D81,$D$70, "EQY_FUND_RELATIVE_PERIOD", J$3)="#N/A N/A","NA  ",(_xll.BDP($D81,$D$70, "EQY_FUND_RELATIVE_PERIOD", J$3))),J81),"NA ")</f>
        <v>14.782359999610913</v>
      </c>
      <c r="K81" s="244">
        <f ca="1">IFERROR(IF(BB_Switch=1,IF(_xll.BDP($D81,$D$70, "EQY_FUND_RELATIVE_PERIOD", K$3)="#N/A N/A","NA  ",(_xll.BDP($D81,$D$70, "EQY_FUND_RELATIVE_PERIOD", K$3))),K81),"NA ")</f>
        <v>15.847855046461238</v>
      </c>
      <c r="L81" s="244">
        <f ca="1">IFERROR(IF(BB_Switch=1,IF(_xll.BDP($D81,$D$70, "EQY_FUND_RELATIVE_PERIOD", L$3)="#N/A N/A","NA  ",(_xll.BDP($D81,$D$70, "EQY_FUND_RELATIVE_PERIOD", L$3))),L81),"NA ")</f>
        <v>10.098414980856587</v>
      </c>
      <c r="M81" s="244">
        <f ca="1">IFERROR(IF(BB_Switch=1,IF(_xll.BDP($D81,$D$70, "EQY_FUND_RELATIVE_PERIOD", M$3)="#N/A N/A","NA  ",(_xll.BDP($D81,$D$70, "EQY_FUND_RELATIVE_PERIOD", M$3))),M81),"NA ")</f>
        <v>10.007061591352032</v>
      </c>
      <c r="N81" s="244">
        <f ca="1">IFERROR(IF(BB_Switch=1,IF(_xll.BDP($D81,$D$70, "EQY_FUND_RELATIVE_PERIOD", N$3)="#N/A N/A","NA  ",(_xll.BDP($D81,$D$70, "EQY_FUND_RELATIVE_PERIOD", N$3))),N81),"NA ")</f>
        <v>10.143385299868223</v>
      </c>
      <c r="O81" s="244">
        <f ca="1">IFERROR(IF(BB_Switch=1,IF(_xll.BDP($D81,$D$70, "EQY_FUND_RELATIVE_PERIOD", O$3)="#N/A N/A","NA  ",(_xll.BDP($D81,$D$70, "EQY_FUND_RELATIVE_PERIOD", O$3))),O81),"NA ")</f>
        <v>9.143226597617554</v>
      </c>
      <c r="P81" s="244">
        <f ca="1">IFERROR(IF(BB_Switch=1,IF(_xll.BDP($D81,$D$70, "EQY_FUND_RELATIVE_PERIOD", P$3)="#N/A N/A","NA  ",(_xll.BDP($D81,$D$70, "EQY_FUND_RELATIVE_PERIOD", P$3))),P81),"NA ")</f>
        <v>10.020756027039923</v>
      </c>
      <c r="Q81" s="227"/>
      <c r="R81" s="227"/>
      <c r="S81" s="227"/>
      <c r="T81" s="227"/>
      <c r="U81" s="227"/>
      <c r="V81" s="244">
        <f ca="1">IFERROR(IF(BB_Switch=1,IF(_xll.BDP($D81,$D$70, "EQY_FUND_RELATIVE_PERIOD", V$3)="#N/A N/A","NA  ",(_xll.BDP($D81,$D$70, "EQY_FUND_RELATIVE_PERIOD", V$3))),V81),"NA ")</f>
        <v>36.519084337349391</v>
      </c>
      <c r="W81" s="244">
        <f ca="1">IFERROR(IF(BB_Switch=1,IF(_xll.BDP($D81,$D$70, "EQY_FUND_RELATIVE_PERIOD", W$3)="#N/A N/A","NA  ",(_xll.BDP($D81,$D$70, "EQY_FUND_RELATIVE_PERIOD", W$3))),W81),"NA ")</f>
        <v>16.240124999999999</v>
      </c>
      <c r="X81" s="244">
        <f ca="1">IFERROR(IF(BB_Switch=1,IF(_xll.BDP($D81,$D$70, "EQY_FUND_RELATIVE_PERIOD", X$3)="#N/A N/A","NA  ",(_xll.BDP($D81,$D$70, "EQY_FUND_RELATIVE_PERIOD", X$3))),X81),"NA ")</f>
        <v>14.934049773755657</v>
      </c>
      <c r="Y81" s="244">
        <f ca="1">IFERROR(IF(BB_Switch=1,IF(_xll.BDP($D81,$D$70, "EQY_FUND_RELATIVE_PERIOD", Y$3)="#N/A N/A","NA  ",(_xll.BDP($D81,$D$70, "EQY_FUND_RELATIVE_PERIOD", Y$3))),Y81),"NA ")</f>
        <v>15.267567567567568</v>
      </c>
      <c r="Z81" s="244">
        <f ca="1">IFERROR(IF(BB_Switch=1,IF(_xll.BDP($D81,$D$70, "EQY_FUND_RELATIVE_PERIOD", Z$3)="#N/A N/A","NA  ",(_xll.BDP($D81,$D$70, "EQY_FUND_RELATIVE_PERIOD", Z$3))),Z81),"NA ")</f>
        <v>13.501273809523809</v>
      </c>
      <c r="AA81" s="244">
        <f ca="1">IFERROR(IF(BB_Switch=1,IF(_xll.BDP($D81,$D$70, "EQY_FUND_RELATIVE_PERIOD", AA$3)="#N/A N/A","NA  ",(_xll.BDP($D81,$D$70, "EQY_FUND_RELATIVE_PERIOD", AA$3))),AA81),"NA ")</f>
        <v>10.320973251028807</v>
      </c>
      <c r="AB81" s="244">
        <f ca="1">IFERROR(IF(BB_Switch=1,IF(_xll.BDP($D81,$D$70, "EQY_FUND_RELATIVE_PERIOD", AB$3)="#N/A N/A","NA  ",(_xll.BDP($D81,$D$70, "EQY_FUND_RELATIVE_PERIOD", AB$3))),AB81),"NA ")</f>
        <v>14.596090909090908</v>
      </c>
      <c r="AC81" s="244">
        <f ca="1">IFERROR(IF(BB_Switch=1,IF(_xll.BDP($D81,$D$70, "EQY_FUND_RELATIVE_PERIOD", AC$3)="#N/A N/A","NA  ",(_xll.BDP($D81,$D$70, "EQY_FUND_RELATIVE_PERIOD", AC$3))),AC81),"NA ")</f>
        <v>13.307809523809524</v>
      </c>
      <c r="AD81" s="244">
        <f ca="1">IFERROR(IF(BB_Switch=1,IF(_xll.BDP($D81,$D$70, "EQY_FUND_RELATIVE_PERIOD", AD$3)="#N/A N/A","NA  ",(_xll.BDP($D81,$D$70, "EQY_FUND_RELATIVE_PERIOD", AD$3))),AD81),"NA ")</f>
        <v>10.170573399014778</v>
      </c>
      <c r="AE81" s="244">
        <f ca="1">IFERROR(IF(BB_Switch=1,IF(_xll.BDP($D81,$D$70, "EQY_FUND_RELATIVE_PERIOD", AE$3)="#N/A N/A","NA  ",(_xll.BDP($D81,$D$70, "EQY_FUND_RELATIVE_PERIOD", AE$3))),AE81),"NA ")</f>
        <v>10.092978683966637</v>
      </c>
      <c r="AF81" s="235">
        <f t="shared" ca="1" si="23"/>
        <v>13.159049101973075</v>
      </c>
      <c r="AG81" s="244">
        <f ca="1">IFERROR(IF(BB_Switch=1,IF(_xll.BDP($D81,$V$70)="#N/A N/A","NA  ",(_xll.BDP($D81,$V$70))),AG81),"NA ")</f>
        <v>5.0584207900878253</v>
      </c>
      <c r="AH81" s="244"/>
      <c r="AI81" s="244"/>
      <c r="AJ81" s="244"/>
    </row>
    <row r="82" spans="2:39" ht="11.25" customHeight="1">
      <c r="C82" s="229" t="str">
        <f ca="1">IFERROR(IF(BB_Switch=1,_xll.BDP($D82,$C$270),C82), "NA ")</f>
        <v>Celanese Corp</v>
      </c>
      <c r="D82" s="227" t="str">
        <f>+D22</f>
        <v>CE US EQUITY</v>
      </c>
      <c r="E82" s="244">
        <f ca="1">IFERROR(IF(BB_Switch=1,IF(_xll.BDP($D82,$D$70, "EQY_FUND_RELATIVE_PERIOD", E$3)="#N/A N/A","NA  ",(_xll.BDP($D82,$D$70, "EQY_FUND_RELATIVE_PERIOD", E$3))),E82),"NA ")</f>
        <v>23.590433132730389</v>
      </c>
      <c r="F82" s="244">
        <f ca="1">IFERROR(IF(BB_Switch=1,IF(_xll.BDP($D82,$D$70, "EQY_FUND_RELATIVE_PERIOD", F$3)="#N/A N/A","NA  ",(_xll.BDP($D82,$D$70, "EQY_FUND_RELATIVE_PERIOD", F$3))),F82),"NA ")</f>
        <v>26.501973238739463</v>
      </c>
      <c r="G82" s="244">
        <f ca="1">IFERROR(IF(BB_Switch=1,IF(_xll.BDP($D82,$D$70, "EQY_FUND_RELATIVE_PERIOD", G$3)="#N/A N/A","NA  ",(_xll.BDP($D82,$D$70, "EQY_FUND_RELATIVE_PERIOD", G$3))),G82),"NA ")</f>
        <v>31.861914547464167</v>
      </c>
      <c r="H82" s="244">
        <f ca="1">IFERROR(IF(BB_Switch=1,IF(_xll.BDP($D82,$D$70, "EQY_FUND_RELATIVE_PERIOD", H$3)="#N/A N/A","NA  ",(_xll.BDP($D82,$D$70, "EQY_FUND_RELATIVE_PERIOD", H$3))),H82),"NA ")</f>
        <v>27.673257238188132</v>
      </c>
      <c r="I82" s="244">
        <f ca="1">IFERROR(IF(BB_Switch=1,IF(_xll.BDP($D82,$D$70, "EQY_FUND_RELATIVE_PERIOD", I$3)="#N/A N/A","NA  ",(_xll.BDP($D82,$D$70, "EQY_FUND_RELATIVE_PERIOD", I$3))),I82),"NA ")</f>
        <v>29.784563367396448</v>
      </c>
      <c r="J82" s="244">
        <f ca="1">IFERROR(IF(BB_Switch=1,IF(_xll.BDP($D82,$D$70, "EQY_FUND_RELATIVE_PERIOD", J$3)="#N/A N/A","NA  ",(_xll.BDP($D82,$D$70, "EQY_FUND_RELATIVE_PERIOD", J$3))),J82),"NA ")</f>
        <v>20.812837722042843</v>
      </c>
      <c r="K82" s="244">
        <f ca="1">IFERROR(IF(BB_Switch=1,IF(_xll.BDP($D82,$D$70, "EQY_FUND_RELATIVE_PERIOD", K$3)="#N/A N/A","NA  ",(_xll.BDP($D82,$D$70, "EQY_FUND_RELATIVE_PERIOD", K$3))),K82),"NA ")</f>
        <v>16.710600800112555</v>
      </c>
      <c r="L82" s="244">
        <f ca="1">IFERROR(IF(BB_Switch=1,IF(_xll.BDP($D82,$D$70, "EQY_FUND_RELATIVE_PERIOD", L$3)="#N/A N/A","NA  ",(_xll.BDP($D82,$D$70, "EQY_FUND_RELATIVE_PERIOD", L$3))),L82),"NA ")</f>
        <v>9.8938878573744891</v>
      </c>
      <c r="M82" s="244">
        <f ca="1">IFERROR(IF(BB_Switch=1,IF(_xll.BDP($D82,$D$70, "EQY_FUND_RELATIVE_PERIOD", M$3)="#N/A N/A","NA  ",(_xll.BDP($D82,$D$70, "EQY_FUND_RELATIVE_PERIOD", M$3))),M82),"NA ")</f>
        <v>9.4257567015183117</v>
      </c>
      <c r="N82" s="244">
        <f ca="1">IFERROR(IF(BB_Switch=1,IF(_xll.BDP($D82,$D$70, "EQY_FUND_RELATIVE_PERIOD", N$3)="#N/A N/A","NA  ",(_xll.BDP($D82,$D$70, "EQY_FUND_RELATIVE_PERIOD", N$3))),N82),"NA ")</f>
        <v>11.234706492201404</v>
      </c>
      <c r="O82" s="244">
        <f ca="1">IFERROR(IF(BB_Switch=1,IF(_xll.BDP($D82,$D$70, "EQY_FUND_RELATIVE_PERIOD", O$3)="#N/A N/A","NA  ",(_xll.BDP($D82,$D$70, "EQY_FUND_RELATIVE_PERIOD", O$3))),O82),"NA ")</f>
        <v>13.180412375433651</v>
      </c>
      <c r="P82" s="244">
        <f ca="1">IFERROR(IF(BB_Switch=1,IF(_xll.BDP($D82,$D$70, "EQY_FUND_RELATIVE_PERIOD", P$3)="#N/A N/A","NA  ",(_xll.BDP($D82,$D$70, "EQY_FUND_RELATIVE_PERIOD", P$3))),P82),"NA ")</f>
        <v>14.098055059571573</v>
      </c>
      <c r="Q82" s="227"/>
      <c r="R82" s="227"/>
      <c r="S82" s="227"/>
      <c r="T82" s="227"/>
      <c r="U82" s="227"/>
      <c r="V82" s="244" t="str">
        <f ca="1">IFERROR(IF(BB_Switch=1,IF(_xll.BDP($D82,$D$70, "EQY_FUND_RELATIVE_PERIOD", V$3)="#N/A N/A","NA  ",(_xll.BDP($D82,$D$70, "EQY_FUND_RELATIVE_PERIOD", V$3))),V82),"NA ")</f>
        <v xml:space="preserve">NA  </v>
      </c>
      <c r="W82" s="244">
        <f ca="1">IFERROR(IF(BB_Switch=1,IF(_xll.BDP($D82,$D$70, "EQY_FUND_RELATIVE_PERIOD", W$3)="#N/A N/A","NA  ",(_xll.BDP($D82,$D$70, "EQY_FUND_RELATIVE_PERIOD", W$3))),W82),"NA ")</f>
        <v>81.354758691647078</v>
      </c>
      <c r="X82" s="244">
        <f ca="1">IFERROR(IF(BB_Switch=1,IF(_xll.BDP($D82,$D$70, "EQY_FUND_RELATIVE_PERIOD", X$3)="#N/A N/A","NA  ",(_xll.BDP($D82,$D$70, "EQY_FUND_RELATIVE_PERIOD", X$3))),X82),"NA ")</f>
        <v>22.601817212884615</v>
      </c>
      <c r="Y82" s="244">
        <f ca="1">IFERROR(IF(BB_Switch=1,IF(_xll.BDP($D82,$D$70, "EQY_FUND_RELATIVE_PERIOD", Y$3)="#N/A N/A","NA  ",(_xll.BDP($D82,$D$70, "EQY_FUND_RELATIVE_PERIOD", Y$3))),Y82),"NA ")</f>
        <v>22.813744432467534</v>
      </c>
      <c r="Z82" s="244">
        <f ca="1">IFERROR(IF(BB_Switch=1,IF(_xll.BDP($D82,$D$70, "EQY_FUND_RELATIVE_PERIOD", Z$3)="#N/A N/A","NA  ",(_xll.BDP($D82,$D$70, "EQY_FUND_RELATIVE_PERIOD", Z$3))),Z82),"NA ")</f>
        <v>32.72725952535211</v>
      </c>
      <c r="AA82" s="244">
        <f ca="1">IFERROR(IF(BB_Switch=1,IF(_xll.BDP($D82,$D$70, "EQY_FUND_RELATIVE_PERIOD", AA$3)="#N/A N/A","NA  ",(_xll.BDP($D82,$D$70, "EQY_FUND_RELATIVE_PERIOD", AA$3))),AA82),"NA ")</f>
        <v>29.695689785087719</v>
      </c>
      <c r="AB82" s="244">
        <f ca="1">IFERROR(IF(BB_Switch=1,IF(_xll.BDP($D82,$D$70, "EQY_FUND_RELATIVE_PERIOD", AB$3)="#N/A N/A","NA  ",(_xll.BDP($D82,$D$70, "EQY_FUND_RELATIVE_PERIOD", AB$3))),AB82),"NA ")</f>
        <v>17.639151397867082</v>
      </c>
      <c r="AC82" s="244">
        <f ca="1">IFERROR(IF(BB_Switch=1,IF(_xll.BDP($D82,$D$70, "EQY_FUND_RELATIVE_PERIOD", AC$3)="#N/A N/A","NA  ",(_xll.BDP($D82,$D$70, "EQY_FUND_RELATIVE_PERIOD", AC$3))),AC82),"NA ")</f>
        <v>27.549659668582091</v>
      </c>
      <c r="AD82" s="244">
        <f ca="1">IFERROR(IF(BB_Switch=1,IF(_xll.BDP($D82,$D$70, "EQY_FUND_RELATIVE_PERIOD", AD$3)="#N/A N/A","NA  ",(_xll.BDP($D82,$D$70, "EQY_FUND_RELATIVE_PERIOD", AD$3))),AD82),"NA ")</f>
        <v>9.8963513938820658</v>
      </c>
      <c r="AE82" s="244">
        <f ca="1">IFERROR(IF(BB_Switch=1,IF(_xll.BDP($D82,$D$70, "EQY_FUND_RELATIVE_PERIOD", AE$3)="#N/A N/A","NA  ",(_xll.BDP($D82,$D$70, "EQY_FUND_RELATIVE_PERIOD", AE$3))),AE82),"NA ")</f>
        <v>14.075398352988932</v>
      </c>
      <c r="AF82" s="235">
        <f t="shared" ca="1" si="23"/>
        <v>13.87030038157936</v>
      </c>
      <c r="AG82" s="244">
        <f ca="1">IFERROR(IF(BB_Switch=1,IF(_xll.BDP($D82,$V$70)="#N/A N/A","NA  ",(_xll.BDP($D82,$V$70))),AG82),"NA ")</f>
        <v>7.572322468875921</v>
      </c>
      <c r="AH82" s="244"/>
      <c r="AI82" s="244"/>
      <c r="AJ82" s="244"/>
    </row>
    <row r="83" spans="2:39" ht="11.25" customHeight="1">
      <c r="C83" s="229" t="str">
        <f ca="1">IFERROR(IF(BB_Switch=1,_xll.BDP($D83,$C$270),C83), "NA ")</f>
        <v>BASF SE</v>
      </c>
      <c r="D83" s="227" t="str">
        <f>+D23</f>
        <v>BAS GR EQUITY</v>
      </c>
      <c r="E83" s="244">
        <f ca="1">IFERROR(IF(BB_Switch=1,IF(_xll.BDP($D83,$D$70, "EQY_FUND_RELATIVE_PERIOD", E$3)="#N/A N/A","NA  ",(_xll.BDP($D83,$D$70, "EQY_FUND_RELATIVE_PERIOD", E$3))),E83),"NA ")</f>
        <v>23.686243797443737</v>
      </c>
      <c r="F83" s="244">
        <f ca="1">IFERROR(IF(BB_Switch=1,IF(_xll.BDP($D83,$D$70, "EQY_FUND_RELATIVE_PERIOD", F$3)="#N/A N/A","NA  ",(_xll.BDP($D83,$D$70, "EQY_FUND_RELATIVE_PERIOD", F$3))),F83),"NA ")</f>
        <v>17.14438188213796</v>
      </c>
      <c r="G83" s="244">
        <f ca="1">IFERROR(IF(BB_Switch=1,IF(_xll.BDP($D83,$D$70, "EQY_FUND_RELATIVE_PERIOD", G$3)="#N/A N/A","NA  ",(_xll.BDP($D83,$D$70, "EQY_FUND_RELATIVE_PERIOD", G$3))),G83),"NA ")</f>
        <v>14.603881194188519</v>
      </c>
      <c r="H83" s="244">
        <f ca="1">IFERROR(IF(BB_Switch=1,IF(_xll.BDP($D83,$D$70, "EQY_FUND_RELATIVE_PERIOD", H$3)="#N/A N/A","NA  ",(_xll.BDP($D83,$D$70, "EQY_FUND_RELATIVE_PERIOD", H$3))),H83),"NA ")</f>
        <v>17.594751192315719</v>
      </c>
      <c r="I83" s="244">
        <f ca="1">IFERROR(IF(BB_Switch=1,IF(_xll.BDP($D83,$D$70, "EQY_FUND_RELATIVE_PERIOD", I$3)="#N/A N/A","NA  ",(_xll.BDP($D83,$D$70, "EQY_FUND_RELATIVE_PERIOD", I$3))),I83),"NA ")</f>
        <v>14.24237968239053</v>
      </c>
      <c r="J83" s="244">
        <f ca="1">IFERROR(IF(BB_Switch=1,IF(_xll.BDP($D83,$D$70, "EQY_FUND_RELATIVE_PERIOD", J$3)="#N/A N/A","NA  ",(_xll.BDP($D83,$D$70, "EQY_FUND_RELATIVE_PERIOD", J$3))),J83),"NA ")</f>
        <v>16.216739829336788</v>
      </c>
      <c r="K83" s="244">
        <f ca="1">IFERROR(IF(BB_Switch=1,IF(_xll.BDP($D83,$D$70, "EQY_FUND_RELATIVE_PERIOD", K$3)="#N/A N/A","NA  ",(_xll.BDP($D83,$D$70, "EQY_FUND_RELATIVE_PERIOD", K$3))),K83),"NA ")</f>
        <v>18.72726987463324</v>
      </c>
      <c r="L83" s="244">
        <f ca="1">IFERROR(IF(BB_Switch=1,IF(_xll.BDP($D83,$D$70, "EQY_FUND_RELATIVE_PERIOD", L$3)="#N/A N/A","NA  ",(_xll.BDP($D83,$D$70, "EQY_FUND_RELATIVE_PERIOD", L$3))),L83),"NA ")</f>
        <v>13.714742051915946</v>
      </c>
      <c r="M83" s="244">
        <f ca="1">IFERROR(IF(BB_Switch=1,IF(_xll.BDP($D83,$D$70, "EQY_FUND_RELATIVE_PERIOD", M$3)="#N/A N/A","NA  ",(_xll.BDP($D83,$D$70, "EQY_FUND_RELATIVE_PERIOD", M$3))),M83),"NA ")</f>
        <v>19.600993433127236</v>
      </c>
      <c r="N83" s="244">
        <f ca="1">IFERROR(IF(BB_Switch=1,IF(_xll.BDP($D83,$D$70, "EQY_FUND_RELATIVE_PERIOD", N$3)="#N/A N/A","NA  ",(_xll.BDP($D83,$D$70, "EQY_FUND_RELATIVE_PERIOD", N$3))),N83),"NA ")</f>
        <v>22.292976638846735</v>
      </c>
      <c r="O83" s="244">
        <f ca="1">IFERROR(IF(BB_Switch=1,IF(_xll.BDP($D83,$D$70, "EQY_FUND_RELATIVE_PERIOD", O$3)="#N/A N/A","NA  ",(_xll.BDP($D83,$D$70, "EQY_FUND_RELATIVE_PERIOD", O$3))),O83),"NA ")</f>
        <v>33.430126380193514</v>
      </c>
      <c r="P83" s="244">
        <f ca="1">IFERROR(IF(BB_Switch=1,IF(_xll.BDP($D83,$D$70, "EQY_FUND_RELATIVE_PERIOD", P$3)="#N/A N/A","NA  ",(_xll.BDP($D83,$D$70, "EQY_FUND_RELATIVE_PERIOD", P$3))),P83),"NA ")</f>
        <v>16.947824835616437</v>
      </c>
      <c r="Q83" s="227"/>
      <c r="R83" s="227"/>
      <c r="S83" s="227"/>
      <c r="T83" s="227"/>
      <c r="U83" s="227"/>
      <c r="V83" s="244">
        <f ca="1">IFERROR(IF(BB_Switch=1,IF(_xll.BDP($D83,$D$70, "EQY_FUND_RELATIVE_PERIOD", V$3)="#N/A N/A","NA  ",(_xll.BDP($D83,$D$70, "EQY_FUND_RELATIVE_PERIOD", V$3))),V83),"NA ")</f>
        <v>14.016665720858898</v>
      </c>
      <c r="W83" s="244">
        <f ca="1">IFERROR(IF(BB_Switch=1,IF(_xll.BDP($D83,$D$70, "EQY_FUND_RELATIVE_PERIOD", W$3)="#N/A N/A","NA  ",(_xll.BDP($D83,$D$70, "EQY_FUND_RELATIVE_PERIOD", W$3))),W83),"NA ")</f>
        <v>13.395624711772665</v>
      </c>
      <c r="X83" s="244">
        <f ca="1">IFERROR(IF(BB_Switch=1,IF(_xll.BDP($D83,$D$70, "EQY_FUND_RELATIVE_PERIOD", X$3)="#N/A N/A","NA  ",(_xll.BDP($D83,$D$70, "EQY_FUND_RELATIVE_PERIOD", X$3))),X83),"NA ")</f>
        <v>25.260835272516431</v>
      </c>
      <c r="Y83" s="244">
        <f ca="1">IFERROR(IF(BB_Switch=1,IF(_xll.BDP($D83,$D$70, "EQY_FUND_RELATIVE_PERIOD", Y$3)="#N/A N/A","NA  ",(_xll.BDP($D83,$D$70, "EQY_FUND_RELATIVE_PERIOD", Y$3))),Y83),"NA ")</f>
        <v>22.055450173535792</v>
      </c>
      <c r="Z83" s="244">
        <f ca="1">IFERROR(IF(BB_Switch=1,IF(_xll.BDP($D83,$D$70, "EQY_FUND_RELATIVE_PERIOD", Z$3)="#N/A N/A","NA  ",(_xll.BDP($D83,$D$70, "EQY_FUND_RELATIVE_PERIOD", Z$3))),Z83),"NA ")</f>
        <v>38.618118243080623</v>
      </c>
      <c r="AA83" s="244">
        <f ca="1">IFERROR(IF(BB_Switch=1,IF(_xll.BDP($D83,$D$70, "EQY_FUND_RELATIVE_PERIOD", AA$3)="#N/A N/A","NA  ",(_xll.BDP($D83,$D$70, "EQY_FUND_RELATIVE_PERIOD", AA$3))),AA83),"NA ")</f>
        <v>17.87419782058338</v>
      </c>
      <c r="AB83" s="244">
        <f ca="1">IFERROR(IF(BB_Switch=1,IF(_xll.BDP($D83,$D$70, "EQY_FUND_RELATIVE_PERIOD", AB$3)="#N/A N/A","NA  ",(_xll.BDP($D83,$D$70, "EQY_FUND_RELATIVE_PERIOD", AB$3))),AB83),"NA ")</f>
        <v>22.707413351063831</v>
      </c>
      <c r="AC83" s="244">
        <f ca="1">IFERROR(IF(BB_Switch=1,IF(_xll.BDP($D83,$D$70, "EQY_FUND_RELATIVE_PERIOD", AC$3)="#N/A N/A","NA  ",(_xll.BDP($D83,$D$70, "EQY_FUND_RELATIVE_PERIOD", AC$3))),AC83),"NA ")</f>
        <v>17.594751192315723</v>
      </c>
      <c r="AD83" s="244">
        <f ca="1">IFERROR(IF(BB_Switch=1,IF(_xll.BDP($D83,$D$70, "EQY_FUND_RELATIVE_PERIOD", AD$3)="#N/A N/A","NA  ",(_xll.BDP($D83,$D$70, "EQY_FUND_RELATIVE_PERIOD", AD$3))),AD83),"NA ")</f>
        <v>13.714742051915946</v>
      </c>
      <c r="AE83" s="244">
        <f ca="1">IFERROR(IF(BB_Switch=1,IF(_xll.BDP($D83,$D$70, "EQY_FUND_RELATIVE_PERIOD", AE$3)="#N/A N/A","NA  ",(_xll.BDP($D83,$D$70, "EQY_FUND_RELATIVE_PERIOD", AE$3))),AE83),"NA ")</f>
        <v>16.947824835616437</v>
      </c>
      <c r="AF83" s="235">
        <f t="shared" ca="1" si="23"/>
        <v>15.590634388843844</v>
      </c>
      <c r="AG83" s="244">
        <f ca="1">IFERROR(IF(BB_Switch=1,IF(_xll.BDP($D83,$V$70)="#N/A N/A","NA  ",(_xll.BDP($D83,$V$70))),AG83),"NA ")</f>
        <v>10.057974452380874</v>
      </c>
      <c r="AH83" s="244"/>
      <c r="AI83" s="244"/>
      <c r="AJ83" s="244"/>
    </row>
    <row r="84" spans="2:39" ht="11.25" customHeight="1">
      <c r="C84" s="229" t="str">
        <f ca="1">IFERROR(IF(BB_Switch=1,_xll.BDP($D84,$C$270),C84), "NA ")</f>
        <v>Trinseo SA</v>
      </c>
      <c r="D84" s="227" t="str">
        <f>+D24</f>
        <v>TSE US EQUITY</v>
      </c>
      <c r="E84" s="244">
        <f ca="1">IFERROR(IF(BB_Switch=1,IF(_xll.BDP($D84,$D$70, "EQY_FUND_RELATIVE_PERIOD", E$3)="#N/A N/A","NA  ",(_xll.BDP($D84,$D$70, "EQY_FUND_RELATIVE_PERIOD", E$3))),E84),"NA ")</f>
        <v>19.659773720086854</v>
      </c>
      <c r="F84" s="244">
        <f ca="1">IFERROR(IF(BB_Switch=1,IF(_xll.BDP($D84,$D$70, "EQY_FUND_RELATIVE_PERIOD", F$3)="#N/A N/A","NA  ",(_xll.BDP($D84,$D$70, "EQY_FUND_RELATIVE_PERIOD", F$3))),F84),"NA ")</f>
        <v>27.364948421634459</v>
      </c>
      <c r="G84" s="244">
        <f ca="1">IFERROR(IF(BB_Switch=1,IF(_xll.BDP($D84,$D$70, "EQY_FUND_RELATIVE_PERIOD", G$3)="#N/A N/A","NA  ",(_xll.BDP($D84,$D$70, "EQY_FUND_RELATIVE_PERIOD", G$3))),G84),"NA ")</f>
        <v>23.782794674993053</v>
      </c>
      <c r="H84" s="244">
        <f ca="1">IFERROR(IF(BB_Switch=1,IF(_xll.BDP($D84,$D$70, "EQY_FUND_RELATIVE_PERIOD", H$3)="#N/A N/A","NA  ",(_xll.BDP($D84,$D$70, "EQY_FUND_RELATIVE_PERIOD", H$3))),H84),"NA ")</f>
        <v>12.987061551998712</v>
      </c>
      <c r="I84" s="244">
        <f ca="1">IFERROR(IF(BB_Switch=1,IF(_xll.BDP($D84,$D$70, "EQY_FUND_RELATIVE_PERIOD", I$3)="#N/A N/A","NA  ",(_xll.BDP($D84,$D$70, "EQY_FUND_RELATIVE_PERIOD", I$3))),I84),"NA ")</f>
        <v>10.24636323601832</v>
      </c>
      <c r="J84" s="244">
        <f ca="1">IFERROR(IF(BB_Switch=1,IF(_xll.BDP($D84,$D$70, "EQY_FUND_RELATIVE_PERIOD", J$3)="#N/A N/A","NA  ",(_xll.BDP($D84,$D$70, "EQY_FUND_RELATIVE_PERIOD", J$3))),J84),"NA ")</f>
        <v>7.63411497285934</v>
      </c>
      <c r="K84" s="244">
        <f ca="1">IFERROR(IF(BB_Switch=1,IF(_xll.BDP($D84,$D$70, "EQY_FUND_RELATIVE_PERIOD", K$3)="#N/A N/A","NA  ",(_xll.BDP($D84,$D$70, "EQY_FUND_RELATIVE_PERIOD", K$3))),K84),"NA ")</f>
        <v>11.113878814349514</v>
      </c>
      <c r="L84" s="244">
        <f ca="1">IFERROR(IF(BB_Switch=1,IF(_xll.BDP($D84,$D$70, "EQY_FUND_RELATIVE_PERIOD", L$3)="#N/A N/A","NA  ",(_xll.BDP($D84,$D$70, "EQY_FUND_RELATIVE_PERIOD", L$3))),L84),"NA ")</f>
        <v>7.9754555598807988</v>
      </c>
      <c r="M84" s="244">
        <f ca="1">IFERROR(IF(BB_Switch=1,IF(_xll.BDP($D84,$D$70, "EQY_FUND_RELATIVE_PERIOD", M$3)="#N/A N/A","NA  ",(_xll.BDP($D84,$D$70, "EQY_FUND_RELATIVE_PERIOD", M$3))),M84),"NA ")</f>
        <v>5.2618104032601449</v>
      </c>
      <c r="N84" s="244">
        <f ca="1">IFERROR(IF(BB_Switch=1,IF(_xll.BDP($D84,$D$70, "EQY_FUND_RELATIVE_PERIOD", N$3)="#N/A N/A","NA  ",(_xll.BDP($D84,$D$70, "EQY_FUND_RELATIVE_PERIOD", N$3))),N84),"NA ")</f>
        <v>5.7055646531396809</v>
      </c>
      <c r="O84" s="244">
        <f ca="1">IFERROR(IF(BB_Switch=1,IF(_xll.BDP($D84,$D$70, "EQY_FUND_RELATIVE_PERIOD", O$3)="#N/A N/A","NA  ",(_xll.BDP($D84,$D$70, "EQY_FUND_RELATIVE_PERIOD", O$3))),O84),"NA ")</f>
        <v>5.9058625061576615</v>
      </c>
      <c r="P84" s="244">
        <f ca="1">IFERROR(IF(BB_Switch=1,IF(_xll.BDP($D84,$D$70, "EQY_FUND_RELATIVE_PERIOD", P$3)="#N/A N/A","NA  ",(_xll.BDP($D84,$D$70, "EQY_FUND_RELATIVE_PERIOD", P$3))),P84),"NA ")</f>
        <v>7.1779282781863261</v>
      </c>
      <c r="Q84" s="227"/>
      <c r="R84" s="227"/>
      <c r="S84" s="227"/>
      <c r="T84" s="227"/>
      <c r="U84" s="227"/>
      <c r="V84" s="244" t="str">
        <f ca="1">IFERROR(IF(BB_Switch=1,IF(_xll.BDP($D84,$D$70, "EQY_FUND_RELATIVE_PERIOD", V$3)="#N/A N/A","NA  ",(_xll.BDP($D84,$D$70, "EQY_FUND_RELATIVE_PERIOD", V$3))),V84),"NA ")</f>
        <v xml:space="preserve">NA  </v>
      </c>
      <c r="W84" s="244" t="str">
        <f ca="1">IFERROR(IF(BB_Switch=1,IF(_xll.BDP($D84,$D$70, "EQY_FUND_RELATIVE_PERIOD", W$3)="#N/A N/A","NA  ",(_xll.BDP($D84,$D$70, "EQY_FUND_RELATIVE_PERIOD", W$3))),W84),"NA ")</f>
        <v xml:space="preserve">NA  </v>
      </c>
      <c r="X84" s="244" t="str">
        <f ca="1">IFERROR(IF(BB_Switch=1,IF(_xll.BDP($D84,$D$70, "EQY_FUND_RELATIVE_PERIOD", X$3)="#N/A N/A","NA  ",(_xll.BDP($D84,$D$70, "EQY_FUND_RELATIVE_PERIOD", X$3))),X84),"NA ")</f>
        <v xml:space="preserve">NA  </v>
      </c>
      <c r="Y84" s="244" t="str">
        <f ca="1">IFERROR(IF(BB_Switch=1,IF(_xll.BDP($D84,$D$70, "EQY_FUND_RELATIVE_PERIOD", Y$3)="#N/A N/A","NA  ",(_xll.BDP($D84,$D$70, "EQY_FUND_RELATIVE_PERIOD", Y$3))),Y84),"NA ")</f>
        <v xml:space="preserve">NA  </v>
      </c>
      <c r="Z84" s="244">
        <f ca="1">IFERROR(IF(BB_Switch=1,IF(_xll.BDP($D84,$D$70, "EQY_FUND_RELATIVE_PERIOD", Z$3)="#N/A N/A","NA  ",(_xll.BDP($D84,$D$70, "EQY_FUND_RELATIVE_PERIOD", Z$3))),Z84),"NA ")</f>
        <v>40.755100725221574</v>
      </c>
      <c r="AA84" s="244">
        <f ca="1">IFERROR(IF(BB_Switch=1,IF(_xll.BDP($D84,$D$70, "EQY_FUND_RELATIVE_PERIOD", AA$3)="#N/A N/A","NA  ",(_xll.BDP($D84,$D$70, "EQY_FUND_RELATIVE_PERIOD", AA$3))),AA84),"NA ")</f>
        <v>5.637410956545974</v>
      </c>
      <c r="AB84" s="244">
        <f ca="1">IFERROR(IF(BB_Switch=1,IF(_xll.BDP($D84,$D$70, "EQY_FUND_RELATIVE_PERIOD", AB$3)="#N/A N/A","NA  ",(_xll.BDP($D84,$D$70, "EQY_FUND_RELATIVE_PERIOD", AB$3))),AB84),"NA ")</f>
        <v>9.8556034097610645</v>
      </c>
      <c r="AC84" s="244">
        <f ca="1">IFERROR(IF(BB_Switch=1,IF(_xll.BDP($D84,$D$70, "EQY_FUND_RELATIVE_PERIOD", AC$3)="#N/A N/A","NA  ",(_xll.BDP($D84,$D$70, "EQY_FUND_RELATIVE_PERIOD", AC$3))),AC84),"NA ")</f>
        <v>13.037638376383761</v>
      </c>
      <c r="AD84" s="244">
        <f ca="1">IFERROR(IF(BB_Switch=1,IF(_xll.BDP($D84,$D$70, "EQY_FUND_RELATIVE_PERIOD", AD$3)="#N/A N/A","NA  ",(_xll.BDP($D84,$D$70, "EQY_FUND_RELATIVE_PERIOD", AD$3))),AD84),"NA ")</f>
        <v>7.9942227662178702</v>
      </c>
      <c r="AE84" s="244">
        <f ca="1">IFERROR(IF(BB_Switch=1,IF(_xll.BDP($D84,$D$70, "EQY_FUND_RELATIVE_PERIOD", AE$3)="#N/A N/A","NA  ",(_xll.BDP($D84,$D$70, "EQY_FUND_RELATIVE_PERIOD", AE$3))),AE84),"NA ")</f>
        <v>7.0600894538606402</v>
      </c>
      <c r="AF84" s="234">
        <f t="shared" ca="1" si="23"/>
        <v>8.7169929925538607</v>
      </c>
      <c r="AG84" s="244">
        <f ca="1">IFERROR(IF(BB_Switch=1,IF(_xll.BDP($D84,$V$70)="#N/A N/A","NA  ",(_xll.BDP($D84,$V$70))),AG84),"NA ")</f>
        <v>2.9263416427766469</v>
      </c>
      <c r="AH84" s="244"/>
      <c r="AI84" s="244"/>
      <c r="AJ84" s="244"/>
    </row>
    <row r="85" spans="2:39" ht="11.25" customHeight="1">
      <c r="C85" s="229"/>
      <c r="D85" s="229"/>
      <c r="E85" s="227"/>
      <c r="F85" s="227"/>
      <c r="G85" s="227"/>
      <c r="H85" s="227"/>
      <c r="I85" s="227"/>
      <c r="J85" s="227"/>
      <c r="K85" s="227"/>
      <c r="L85" s="227"/>
      <c r="M85" s="227"/>
      <c r="N85" s="227"/>
      <c r="O85" s="227"/>
      <c r="P85" s="227"/>
      <c r="Q85" s="227"/>
      <c r="R85" s="227"/>
      <c r="S85" s="227"/>
      <c r="T85" s="227"/>
      <c r="U85" s="227"/>
      <c r="V85" s="244"/>
      <c r="W85" s="244"/>
      <c r="X85" s="244"/>
      <c r="Y85" s="244"/>
      <c r="Z85" s="244"/>
      <c r="AA85" s="244"/>
      <c r="AB85" s="244"/>
      <c r="AC85" s="244"/>
      <c r="AD85" s="244"/>
      <c r="AE85" s="244"/>
      <c r="AF85" s="244"/>
      <c r="AG85" s="244"/>
      <c r="AH85" s="244"/>
      <c r="AI85" s="244"/>
      <c r="AJ85" s="244"/>
    </row>
    <row r="86" spans="2:39" ht="11.25" customHeight="1">
      <c r="C86" s="224" t="s">
        <v>482</v>
      </c>
      <c r="D86" s="223"/>
      <c r="E86" s="250">
        <f t="shared" ref="E86:O86" ca="1" si="24">AVERAGE(E72:E78,E81:E84)</f>
        <v>20.421851000091884</v>
      </c>
      <c r="F86" s="250">
        <f t="shared" ca="1" si="24"/>
        <v>20.215016424552971</v>
      </c>
      <c r="G86" s="250">
        <f t="shared" ca="1" si="24"/>
        <v>22.984636612439587</v>
      </c>
      <c r="H86" s="250">
        <f t="shared" ca="1" si="24"/>
        <v>17.376261679606532</v>
      </c>
      <c r="I86" s="250">
        <f t="shared" ca="1" si="24"/>
        <v>15.622768987416309</v>
      </c>
      <c r="J86" s="250">
        <f t="shared" ca="1" si="24"/>
        <v>13.829941548323596</v>
      </c>
      <c r="K86" s="250">
        <f t="shared" ca="1" si="24"/>
        <v>13.65488699366869</v>
      </c>
      <c r="L86" s="250">
        <f t="shared" ca="1" si="24"/>
        <v>23.498100503424077</v>
      </c>
      <c r="M86" s="250">
        <f t="shared" ca="1" si="24"/>
        <v>15.069873965416082</v>
      </c>
      <c r="N86" s="250">
        <f t="shared" ca="1" si="24"/>
        <v>20.881581982354014</v>
      </c>
      <c r="O86" s="250">
        <f t="shared" ca="1" si="24"/>
        <v>14.253222219725927</v>
      </c>
      <c r="P86" s="250">
        <f ca="1">AVERAGE(P72:P78,P81:P84)</f>
        <v>12.162391783173968</v>
      </c>
      <c r="Q86" s="250"/>
      <c r="R86" s="250"/>
      <c r="S86" s="250"/>
      <c r="T86" s="291"/>
      <c r="U86" s="219"/>
      <c r="V86" s="293">
        <f t="shared" ref="V86:AG86" ca="1" si="25">AVERAGE(V72:V78,V81:V84)</f>
        <v>91.5737602552515</v>
      </c>
      <c r="W86" s="250">
        <f t="shared" ca="1" si="25"/>
        <v>55.339179479801722</v>
      </c>
      <c r="X86" s="250">
        <f t="shared" ca="1" si="25"/>
        <v>26.837355585771181</v>
      </c>
      <c r="Y86" s="250">
        <f t="shared" ca="1" si="25"/>
        <v>41.091494490146061</v>
      </c>
      <c r="Z86" s="250">
        <f t="shared" ca="1" si="25"/>
        <v>24.864074326526879</v>
      </c>
      <c r="AA86" s="250">
        <f t="shared" ca="1" si="25"/>
        <v>15.763244205493303</v>
      </c>
      <c r="AB86" s="250">
        <f t="shared" ca="1" si="25"/>
        <v>20.356480283847141</v>
      </c>
      <c r="AC86" s="250">
        <f t="shared" ca="1" si="25"/>
        <v>17.123919661021702</v>
      </c>
      <c r="AD86" s="250">
        <f t="shared" ca="1" si="25"/>
        <v>22.516612994700431</v>
      </c>
      <c r="AE86" s="250">
        <f t="shared" ca="1" si="25"/>
        <v>12.205748981595558</v>
      </c>
      <c r="AF86" s="250">
        <f t="shared" ca="1" si="25"/>
        <v>12.16349355517805</v>
      </c>
      <c r="AG86" s="250">
        <f t="shared" ca="1" si="25"/>
        <v>5.6414799955457138</v>
      </c>
      <c r="AH86" s="250"/>
      <c r="AI86" s="250"/>
      <c r="AJ86" s="291"/>
    </row>
    <row r="87" spans="2:39" ht="11.25" customHeight="1">
      <c r="C87" s="221" t="s">
        <v>481</v>
      </c>
      <c r="D87" s="220"/>
      <c r="E87" s="249">
        <f t="shared" ref="E87:O87" ca="1" si="26">MEDIAN(E72:E78,E81:E84)</f>
        <v>19.659773720086854</v>
      </c>
      <c r="F87" s="249">
        <f t="shared" ca="1" si="26"/>
        <v>21.112523350207823</v>
      </c>
      <c r="G87" s="249">
        <f t="shared" ca="1" si="26"/>
        <v>18.416976506343691</v>
      </c>
      <c r="H87" s="249">
        <f t="shared" ca="1" si="26"/>
        <v>14.460282072185162</v>
      </c>
      <c r="I87" s="249">
        <f t="shared" ca="1" si="26"/>
        <v>14.365878252289226</v>
      </c>
      <c r="J87" s="249">
        <f t="shared" ca="1" si="26"/>
        <v>14.062097080273245</v>
      </c>
      <c r="K87" s="249">
        <f t="shared" ca="1" si="26"/>
        <v>11.113878814349514</v>
      </c>
      <c r="L87" s="249">
        <f t="shared" ca="1" si="26"/>
        <v>9.9961514191155381</v>
      </c>
      <c r="M87" s="249">
        <f t="shared" ca="1" si="26"/>
        <v>11.366510312315853</v>
      </c>
      <c r="N87" s="249">
        <f t="shared" ca="1" si="26"/>
        <v>14.178315547579702</v>
      </c>
      <c r="O87" s="249">
        <f t="shared" ca="1" si="26"/>
        <v>12.112454504422093</v>
      </c>
      <c r="P87" s="249">
        <f ca="1">MEDIAN(P72:P78,P81:P84)</f>
        <v>12.454172562234564</v>
      </c>
      <c r="Q87" s="249"/>
      <c r="R87" s="249"/>
      <c r="S87" s="249"/>
      <c r="T87" s="292"/>
      <c r="U87" s="219"/>
      <c r="V87" s="294">
        <f t="shared" ref="V87:AG87" ca="1" si="27">MEDIAN(V72:V78,V81:V84)</f>
        <v>14.986974868482783</v>
      </c>
      <c r="W87" s="249">
        <f t="shared" ca="1" si="27"/>
        <v>37.057834239130443</v>
      </c>
      <c r="X87" s="249">
        <f t="shared" ca="1" si="27"/>
        <v>22.971945483287847</v>
      </c>
      <c r="Y87" s="249">
        <f t="shared" ca="1" si="27"/>
        <v>22.434597303001663</v>
      </c>
      <c r="Z87" s="249">
        <f t="shared" ca="1" si="27"/>
        <v>25.373169504643961</v>
      </c>
      <c r="AA87" s="249">
        <f t="shared" ca="1" si="27"/>
        <v>15.03221455714823</v>
      </c>
      <c r="AB87" s="249">
        <f t="shared" ca="1" si="27"/>
        <v>17.639151397867082</v>
      </c>
      <c r="AC87" s="249">
        <f t="shared" ca="1" si="27"/>
        <v>14.460192103880127</v>
      </c>
      <c r="AD87" s="249">
        <f t="shared" ca="1" si="27"/>
        <v>10.033462396448421</v>
      </c>
      <c r="AE87" s="249">
        <f t="shared" ca="1" si="27"/>
        <v>12.523082639636746</v>
      </c>
      <c r="AF87" s="249">
        <f t="shared" ca="1" si="27"/>
        <v>12.417831879810198</v>
      </c>
      <c r="AG87" s="249">
        <f t="shared" ca="1" si="27"/>
        <v>5.3373342749666275</v>
      </c>
      <c r="AH87" s="249"/>
      <c r="AI87" s="249"/>
      <c r="AJ87" s="292"/>
    </row>
    <row r="88" spans="2:39" ht="11.25" customHeight="1">
      <c r="C88" s="219"/>
      <c r="D88" s="219"/>
      <c r="E88" s="219"/>
      <c r="F88" s="219"/>
      <c r="G88" s="219"/>
      <c r="H88" s="219"/>
      <c r="I88" s="219"/>
      <c r="J88" s="219"/>
      <c r="K88" s="219"/>
      <c r="L88" s="219"/>
      <c r="M88" s="219"/>
      <c r="N88" s="219"/>
      <c r="O88" s="219"/>
      <c r="P88" s="219"/>
      <c r="Q88" s="219"/>
      <c r="R88" s="219"/>
      <c r="S88" s="219"/>
      <c r="T88" s="219"/>
      <c r="U88" s="219"/>
      <c r="V88" s="239"/>
      <c r="W88" s="239"/>
      <c r="X88" s="239"/>
      <c r="Y88" s="239"/>
      <c r="Z88" s="239"/>
      <c r="AA88" s="239"/>
      <c r="AB88" s="239"/>
      <c r="AC88" s="239"/>
      <c r="AD88" s="239"/>
      <c r="AE88" s="239"/>
      <c r="AF88" s="239"/>
      <c r="AG88" s="239"/>
      <c r="AH88" s="239"/>
      <c r="AI88" s="239"/>
      <c r="AJ88" s="239"/>
      <c r="AK88" s="230"/>
    </row>
    <row r="89" spans="2:39" ht="11.25" customHeight="1">
      <c r="B89" s="231" t="s">
        <v>14</v>
      </c>
      <c r="C89" s="232" t="s">
        <v>516</v>
      </c>
      <c r="D89" s="232"/>
      <c r="E89" s="232"/>
      <c r="F89" s="232"/>
      <c r="G89" s="232"/>
      <c r="H89" s="232"/>
      <c r="I89" s="232"/>
      <c r="J89" s="232"/>
      <c r="K89" s="232"/>
      <c r="L89" s="232"/>
      <c r="M89" s="232"/>
      <c r="N89" s="232"/>
      <c r="O89" s="232"/>
      <c r="P89" s="232"/>
      <c r="Q89" s="232"/>
      <c r="R89" s="232"/>
      <c r="S89" s="232"/>
      <c r="T89" s="232"/>
      <c r="U89" s="233"/>
      <c r="V89" s="232"/>
      <c r="W89" s="231"/>
      <c r="X89" s="231"/>
      <c r="Y89" s="231"/>
      <c r="Z89" s="231"/>
      <c r="AA89" s="231"/>
      <c r="AB89" s="231"/>
      <c r="AC89" s="231"/>
      <c r="AD89" s="231"/>
      <c r="AE89" s="231"/>
      <c r="AF89" s="231"/>
      <c r="AG89" s="231"/>
      <c r="AH89" s="231"/>
      <c r="AI89" s="231"/>
      <c r="AJ89" s="231"/>
      <c r="AK89" s="230"/>
    </row>
    <row r="90" spans="2:39" ht="11.25" customHeight="1">
      <c r="D90" s="217" t="s">
        <v>515</v>
      </c>
      <c r="AL90" s="252"/>
    </row>
    <row r="91" spans="2:39" ht="11.25" customHeight="1">
      <c r="C91" s="428" t="str">
        <f>+C11</f>
        <v>Commodity Chemicals</v>
      </c>
      <c r="AL91" s="252"/>
    </row>
    <row r="92" spans="2:39" ht="11.25" customHeight="1">
      <c r="C92" s="229" t="str">
        <f ca="1">IFERROR(IF(BB_Switch=1,_xll.BDP($D92,$C$270),C92), "NA ")</f>
        <v>DuPont de Nemours Inc</v>
      </c>
      <c r="D92" s="227" t="str">
        <f t="shared" ref="D92:D98" si="28">+D12</f>
        <v>DD US EQUITY</v>
      </c>
      <c r="E92" s="244" t="str">
        <f ca="1">IFERROR(IF(BB_Switch=1,IF(_xll.BDP($D92,$D$90, "EQY_FUND_RELATIVE_PERIOD", E$3)="#N/A N/A","NA  ",(_xll.BDP($D92,$D$90, "EQY_FUND_RELATIVE_PERIOD", E$3))),E92),"NA ")</f>
        <v xml:space="preserve">NA  </v>
      </c>
      <c r="F92" s="244">
        <f ca="1">IFERROR(IF(BB_Switch=1,IF(_xll.BDP($D92,$D$90, "EQY_FUND_RELATIVE_PERIOD", F$3)="#N/A N/A","NA  ",(_xll.BDP($D92,$D$90, "EQY_FUND_RELATIVE_PERIOD", F$3))),F92),"NA ")</f>
        <v>2.6193498960271424</v>
      </c>
      <c r="G92" s="244">
        <f ca="1">IFERROR(IF(BB_Switch=1,IF(_xll.BDP($D92,$D$90, "EQY_FUND_RELATIVE_PERIOD", G$3)="#N/A N/A","NA  ",(_xll.BDP($D92,$D$90, "EQY_FUND_RELATIVE_PERIOD", G$3))),G92),"NA ")</f>
        <v>2.5203448275862068</v>
      </c>
      <c r="H92" s="244">
        <f ca="1">IFERROR(IF(BB_Switch=1,IF(_xll.BDP($D92,$D$90, "EQY_FUND_RELATIVE_PERIOD", H$3)="#N/A N/A","NA  ",(_xll.BDP($D92,$D$90, "EQY_FUND_RELATIVE_PERIOD", H$3))),H92),"NA ")</f>
        <v>3.4430446194225723</v>
      </c>
      <c r="I92" s="244">
        <f ca="1">IFERROR(IF(BB_Switch=1,IF(_xll.BDP($D92,$D$90, "EQY_FUND_RELATIVE_PERIOD", I$3)="#N/A N/A","NA  ",(_xll.BDP($D92,$D$90, "EQY_FUND_RELATIVE_PERIOD", I$3))),I92),"NA ")</f>
        <v>3.769776236999685</v>
      </c>
      <c r="J92" s="244">
        <f ca="1">IFERROR(IF(BB_Switch=1,IF(_xll.BDP($D92,$D$90, "EQY_FUND_RELATIVE_PERIOD", J$3)="#N/A N/A","NA  ",(_xll.BDP($D92,$D$90, "EQY_FUND_RELATIVE_PERIOD", J$3))),J92),"NA ")</f>
        <v>5.8372647128901596</v>
      </c>
      <c r="K92" s="244">
        <f ca="1">IFERROR(IF(BB_Switch=1,IF(_xll.BDP($D92,$D$90, "EQY_FUND_RELATIVE_PERIOD", K$3)="#N/A N/A","NA  ",(_xll.BDP($D92,$D$90, "EQY_FUND_RELATIVE_PERIOD", K$3))),K92),"NA ")</f>
        <v>7.0779979674796749</v>
      </c>
      <c r="L92" s="244">
        <f ca="1">IFERROR(IF(BB_Switch=1,IF(_xll.BDP($D92,$D$90, "EQY_FUND_RELATIVE_PERIOD", L$3)="#N/A N/A","NA  ",(_xll.BDP($D92,$D$90, "EQY_FUND_RELATIVE_PERIOD", L$3))),L92),"NA ")</f>
        <v>0.5400877542879936</v>
      </c>
      <c r="M92" s="244">
        <f ca="1">IFERROR(IF(BB_Switch=1,IF(_xll.BDP($D92,$D$90, "EQY_FUND_RELATIVE_PERIOD", M$3)="#N/A N/A","NA  ",(_xll.BDP($D92,$D$90, "EQY_FUND_RELATIVE_PERIOD", M$3))),M92),"NA ")</f>
        <v>4.3299845440494593</v>
      </c>
      <c r="N92" s="244">
        <f ca="1">IFERROR(IF(BB_Switch=1,IF(_xll.BDP($D92,$D$90, "EQY_FUND_RELATIVE_PERIOD", N$3)="#N/A N/A","NA  ",(_xll.BDP($D92,$D$90, "EQY_FUND_RELATIVE_PERIOD", N$3))),N92),"NA ")</f>
        <v>2.7740823711873168</v>
      </c>
      <c r="O92" s="244">
        <f ca="1">IFERROR(IF(BB_Switch=1,IF(_xll.BDP($D92,$D$90, "EQY_FUND_RELATIVE_PERIOD", O$3)="#N/A N/A","NA  ",(_xll.BDP($D92,$D$90, "EQY_FUND_RELATIVE_PERIOD", O$3))),O92),"NA ")</f>
        <v>3.1460358890701472</v>
      </c>
      <c r="P92" s="244">
        <f ca="1">IFERROR(IF(BB_Switch=1,IF(_xll.BDP($D92,$D$90, "EQY_FUND_RELATIVE_PERIOD", P$3)="#N/A N/A","NA  ",(_xll.BDP($D92,$D$90, "EQY_FUND_RELATIVE_PERIOD", P$3))),P92),"NA ")</f>
        <v>3.6067046450482034</v>
      </c>
      <c r="Q92" s="244"/>
      <c r="R92" s="244"/>
      <c r="S92" s="244"/>
      <c r="T92" s="244"/>
      <c r="U92" s="227"/>
      <c r="V92" s="244" t="str">
        <f ca="1">IFERROR(IF(BB_Switch=1,IF(_xll.BDP($D92,$D$90, "EQY_FUND_RELATIVE_PERIOD", V$3)="#N/A N/A","NA  ",(_xll.BDP($D92,$D$90, "EQY_FUND_RELATIVE_PERIOD", V$3))),V92),"NA ")</f>
        <v xml:space="preserve">NA  </v>
      </c>
      <c r="W92" s="244" t="str">
        <f ca="1">IFERROR(IF(BB_Switch=1,IF(_xll.BDP($D92,$D$90, "EQY_FUND_RELATIVE_PERIOD", W$3)="#N/A N/A","NA  ",(_xll.BDP($D92,$D$90, "EQY_FUND_RELATIVE_PERIOD", W$3))),W92),"NA ")</f>
        <v xml:space="preserve">NA  </v>
      </c>
      <c r="X92" s="244" t="str">
        <f ca="1">IFERROR(IF(BB_Switch=1,IF(_xll.BDP($D92,$D$90, "EQY_FUND_RELATIVE_PERIOD", X$3)="#N/A N/A","NA  ",(_xll.BDP($D92,$D$90, "EQY_FUND_RELATIVE_PERIOD", X$3))),X92),"NA ")</f>
        <v xml:space="preserve">NA  </v>
      </c>
      <c r="Y92" s="244" t="str">
        <f ca="1">IFERROR(IF(BB_Switch=1,IF(_xll.BDP($D92,$D$90, "EQY_FUND_RELATIVE_PERIOD", Y$3)="#N/A N/A","NA  ",(_xll.BDP($D92,$D$90, "EQY_FUND_RELATIVE_PERIOD", Y$3))),Y92),"NA ")</f>
        <v xml:space="preserve">NA  </v>
      </c>
      <c r="Z92" s="244" t="str">
        <f ca="1">IFERROR(IF(BB_Switch=1,IF(_xll.BDP($D92,$D$90, "EQY_FUND_RELATIVE_PERIOD", Z$3)="#N/A N/A","NA  ",(_xll.BDP($D92,$D$90, "EQY_FUND_RELATIVE_PERIOD", Z$3))),Z92),"NA ")</f>
        <v xml:space="preserve">NA  </v>
      </c>
      <c r="AA92" s="244">
        <f ca="1">IFERROR(IF(BB_Switch=1,IF(_xll.BDP($D92,$D$90, "EQY_FUND_RELATIVE_PERIOD", AA$3)="#N/A N/A","NA  ",(_xll.BDP($D92,$D$90, "EQY_FUND_RELATIVE_PERIOD", AA$3))),AA92),"NA ")</f>
        <v>1.5560672346304398</v>
      </c>
      <c r="AB92" s="244">
        <f ca="1">IFERROR(IF(BB_Switch=1,IF(_xll.BDP($D92,$D$90, "EQY_FUND_RELATIVE_PERIOD", AB$3)="#N/A N/A","NA  ",(_xll.BDP($D92,$D$90, "EQY_FUND_RELATIVE_PERIOD", AB$3))),AB92),"NA ")</f>
        <v>1.9329316216924286</v>
      </c>
      <c r="AC92" s="244">
        <f ca="1">IFERROR(IF(BB_Switch=1,IF(_xll.BDP($D92,$D$90, "EQY_FUND_RELATIVE_PERIOD", AC$3)="#N/A N/A","NA  ",(_xll.BDP($D92,$D$90, "EQY_FUND_RELATIVE_PERIOD", AC$3))),AC92),"NA ")</f>
        <v>9.7846842366981601</v>
      </c>
      <c r="AD92" s="244">
        <f ca="1">IFERROR(IF(BB_Switch=1,IF(_xll.BDP($D92,$D$90, "EQY_FUND_RELATIVE_PERIOD", AD$3)="#N/A N/A","NA  ",(_xll.BDP($D92,$D$90, "EQY_FUND_RELATIVE_PERIOD", AD$3))),AD92),"NA ")</f>
        <v>0.67318528339410011</v>
      </c>
      <c r="AE92" s="244">
        <f ca="1">IFERROR(IF(BB_Switch=1,IF(_xll.BDP($D92,$D$90, "EQY_FUND_RELATIVE_PERIOD", AE$3)="#N/A N/A","NA  ",(_xll.BDP($D92,$D$90, "EQY_FUND_RELATIVE_PERIOD", AE$3))),AE92),"NA ")</f>
        <v>4.9716097855632739</v>
      </c>
      <c r="AF92" s="236">
        <f ca="1">IFERROR(+AVERAGE(V92:AE92),"NA  ")</f>
        <v>3.7836956323956796</v>
      </c>
      <c r="AG92" s="244"/>
      <c r="AH92" s="244"/>
      <c r="AI92" s="244"/>
      <c r="AJ92" s="244"/>
    </row>
    <row r="93" spans="2:39" ht="11.25" customHeight="1">
      <c r="C93" s="229" t="str">
        <f ca="1">IFERROR(IF(BB_Switch=1,_xll.BDP($D93,$C$270),C93), "NA ")</f>
        <v>PolyOne Corp</v>
      </c>
      <c r="D93" s="227" t="str">
        <f t="shared" si="28"/>
        <v>POL US EQUITY</v>
      </c>
      <c r="E93" s="244">
        <f ca="1">IFERROR(IF(BB_Switch=1,IF(_xll.BDP($D93,$D$90, "EQY_FUND_RELATIVE_PERIOD", E$3)="#N/A N/A","NA  ",(_xll.BDP($D93,$D$90, "EQY_FUND_RELATIVE_PERIOD", E$3))),E93),"NA ")</f>
        <v>2.8470764617691158</v>
      </c>
      <c r="F93" s="244">
        <f ca="1">IFERROR(IF(BB_Switch=1,IF(_xll.BDP($D93,$D$90, "EQY_FUND_RELATIVE_PERIOD", F$3)="#N/A N/A","NA  ",(_xll.BDP($D93,$D$90, "EQY_FUND_RELATIVE_PERIOD", F$3))),F93),"NA ")</f>
        <v>3.0376884422110555</v>
      </c>
      <c r="G93" s="244">
        <f ca="1">IFERROR(IF(BB_Switch=1,IF(_xll.BDP($D93,$D$90, "EQY_FUND_RELATIVE_PERIOD", G$3)="#N/A N/A","NA  ",(_xll.BDP($D93,$D$90, "EQY_FUND_RELATIVE_PERIOD", G$3))),G93),"NA ")</f>
        <v>2.8584206491183237</v>
      </c>
      <c r="H93" s="244">
        <f ca="1">IFERROR(IF(BB_Switch=1,IF(_xll.BDP($D93,$D$90, "EQY_FUND_RELATIVE_PERIOD", H$3)="#N/A N/A","NA  ",(_xll.BDP($D93,$D$90, "EQY_FUND_RELATIVE_PERIOD", H$3))),H93),"NA ")</f>
        <v>3.1606663084363245</v>
      </c>
      <c r="I93" s="244">
        <f ca="1">IFERROR(IF(BB_Switch=1,IF(_xll.BDP($D93,$D$90, "EQY_FUND_RELATIVE_PERIOD", I$3)="#N/A N/A","NA  ",(_xll.BDP($D93,$D$90, "EQY_FUND_RELATIVE_PERIOD", I$3))),I93),"NA ")</f>
        <v>3.2532165343553241</v>
      </c>
      <c r="J93" s="244">
        <f ca="1">IFERROR(IF(BB_Switch=1,IF(_xll.BDP($D93,$D$90, "EQY_FUND_RELATIVE_PERIOD", J$3)="#N/A N/A","NA  ",(_xll.BDP($D93,$D$90, "EQY_FUND_RELATIVE_PERIOD", J$3))),J93),"NA ")</f>
        <v>3.2499999999999996</v>
      </c>
      <c r="K93" s="244">
        <f ca="1">IFERROR(IF(BB_Switch=1,IF(_xll.BDP($D93,$D$90, "EQY_FUND_RELATIVE_PERIOD", K$3)="#N/A N/A","NA  ",(_xll.BDP($D93,$D$90, "EQY_FUND_RELATIVE_PERIOD", K$3))),K93),"NA ")</f>
        <v>3.3714619200466887</v>
      </c>
      <c r="L93" s="244">
        <f ca="1">IFERROR(IF(BB_Switch=1,IF(_xll.BDP($D93,$D$90, "EQY_FUND_RELATIVE_PERIOD", L$3)="#N/A N/A","NA  ",(_xll.BDP($D93,$D$90, "EQY_FUND_RELATIVE_PERIOD", L$3))),L93),"NA ")</f>
        <v>3.929851668726823</v>
      </c>
      <c r="M93" s="244">
        <f ca="1">IFERROR(IF(BB_Switch=1,IF(_xll.BDP($D93,$D$90, "EQY_FUND_RELATIVE_PERIOD", M$3)="#N/A N/A","NA  ",(_xll.BDP($D93,$D$90, "EQY_FUND_RELATIVE_PERIOD", M$3))),M93),"NA ")</f>
        <v>4.3589743589743586</v>
      </c>
      <c r="N93" s="244">
        <f ca="1">IFERROR(IF(BB_Switch=1,IF(_xll.BDP($D93,$D$90, "EQY_FUND_RELATIVE_PERIOD", N$3)="#N/A N/A","NA  ",(_xll.BDP($D93,$D$90, "EQY_FUND_RELATIVE_PERIOD", N$3))),N93),"NA ")</f>
        <v>4.1495726495726499</v>
      </c>
      <c r="O93" s="244">
        <f ca="1">IFERROR(IF(BB_Switch=1,IF(_xll.BDP($D93,$D$90, "EQY_FUND_RELATIVE_PERIOD", O$3)="#N/A N/A","NA  ",(_xll.BDP($D93,$D$90, "EQY_FUND_RELATIVE_PERIOD", O$3))),O93),"NA ")</f>
        <v>4.0296689569019373</v>
      </c>
      <c r="P93" s="244">
        <f ca="1">IFERROR(IF(BB_Switch=1,IF(_xll.BDP($D93,$D$90, "EQY_FUND_RELATIVE_PERIOD", P$3)="#N/A N/A","NA  ",(_xll.BDP($D93,$D$90, "EQY_FUND_RELATIVE_PERIOD", P$3))),P93),"NA ")</f>
        <v>1.9349542153457531</v>
      </c>
      <c r="Q93" s="244"/>
      <c r="R93" s="244"/>
      <c r="S93" s="244"/>
      <c r="T93" s="244"/>
      <c r="U93" s="227"/>
      <c r="V93" s="244">
        <f ca="1">IFERROR(IF(BB_Switch=1,IF(_xll.BDP($D93,$D$90, "EQY_FUND_RELATIVE_PERIOD", V$3)="#N/A N/A","NA  ",(_xll.BDP($D93,$D$90, "EQY_FUND_RELATIVE_PERIOD", V$3))),V93),"NA ")</f>
        <v>0.32592592592592573</v>
      </c>
      <c r="W93" s="244">
        <f ca="1">IFERROR(IF(BB_Switch=1,IF(_xll.BDP($D93,$D$90, "EQY_FUND_RELATIVE_PERIOD", W$3)="#N/A N/A","NA  ",(_xll.BDP($D93,$D$90, "EQY_FUND_RELATIVE_PERIOD", W$3))),W93),"NA ")</f>
        <v>1.7731497418244406</v>
      </c>
      <c r="X93" s="244">
        <f ca="1">IFERROR(IF(BB_Switch=1,IF(_xll.BDP($D93,$D$90, "EQY_FUND_RELATIVE_PERIOD", X$3)="#N/A N/A","NA  ",(_xll.BDP($D93,$D$90, "EQY_FUND_RELATIVE_PERIOD", X$3))),X93),"NA ")</f>
        <v>2.3970091654606849</v>
      </c>
      <c r="Y93" s="244">
        <f ca="1">IFERROR(IF(BB_Switch=1,IF(_xll.BDP($D93,$D$90, "EQY_FUND_RELATIVE_PERIOD", Y$3)="#N/A N/A","NA  ",(_xll.BDP($D93,$D$90, "EQY_FUND_RELATIVE_PERIOD", Y$3))),Y93),"NA ")</f>
        <v>1.8274245531790214</v>
      </c>
      <c r="Z93" s="244">
        <f ca="1">IFERROR(IF(BB_Switch=1,IF(_xll.BDP($D93,$D$90, "EQY_FUND_RELATIVE_PERIOD", Z$3)="#N/A N/A","NA  ",(_xll.BDP($D93,$D$90, "EQY_FUND_RELATIVE_PERIOD", Z$3))),Z93),"NA ")</f>
        <v>2.7670250896057347</v>
      </c>
      <c r="AA93" s="244">
        <f ca="1">IFERROR(IF(BB_Switch=1,IF(_xll.BDP($D93,$D$90, "EQY_FUND_RELATIVE_PERIOD", AA$3)="#N/A N/A","NA  ",(_xll.BDP($D93,$D$90, "EQY_FUND_RELATIVE_PERIOD", AA$3))),AA93),"NA ")</f>
        <v>2.4836676217765041</v>
      </c>
      <c r="AB93" s="244">
        <f ca="1">IFERROR(IF(BB_Switch=1,IF(_xll.BDP($D93,$D$90, "EQY_FUND_RELATIVE_PERIOD", AB$3)="#N/A N/A","NA  ",(_xll.BDP($D93,$D$90, "EQY_FUND_RELATIVE_PERIOD", AB$3))),AB93),"NA ")</f>
        <v>2.9185625646328854</v>
      </c>
      <c r="AC93" s="244">
        <f ca="1">IFERROR(IF(BB_Switch=1,IF(_xll.BDP($D93,$D$90, "EQY_FUND_RELATIVE_PERIOD", AC$3)="#N/A N/A","NA  ",(_xll.BDP($D93,$D$90, "EQY_FUND_RELATIVE_PERIOD", AC$3))),AC93),"NA ")</f>
        <v>3.1777417612101564</v>
      </c>
      <c r="AD93" s="244">
        <f ca="1">IFERROR(IF(BB_Switch=1,IF(_xll.BDP($D93,$D$90, "EQY_FUND_RELATIVE_PERIOD", AD$3)="#N/A N/A","NA  ",(_xll.BDP($D93,$D$90, "EQY_FUND_RELATIVE_PERIOD", AD$3))),AD93),"NA ")</f>
        <v>4.3402730375426621</v>
      </c>
      <c r="AE93" s="244">
        <f ca="1">IFERROR(IF(BB_Switch=1,IF(_xll.BDP($D93,$D$90, "EQY_FUND_RELATIVE_PERIOD", AE$3)="#N/A N/A","NA  ",(_xll.BDP($D93,$D$90, "EQY_FUND_RELATIVE_PERIOD", AE$3))),AE93),"NA ")</f>
        <v>2.2840104360790159</v>
      </c>
      <c r="AF93" s="235">
        <f t="shared" ref="AF93:AF98" ca="1" si="29">IFERROR(+AVERAGE(V93:AE93),"NA  ")</f>
        <v>2.429478989723703</v>
      </c>
      <c r="AG93" s="244"/>
      <c r="AH93" s="244"/>
      <c r="AI93" s="244"/>
      <c r="AJ93" s="244"/>
    </row>
    <row r="94" spans="2:39" ht="11.25" customHeight="1">
      <c r="C94" s="229" t="str">
        <f ca="1">IFERROR(IF(BB_Switch=1,_xll.BDP($D94,$C$270),C94), "NA ")</f>
        <v>Olin Corp</v>
      </c>
      <c r="D94" s="227" t="str">
        <f t="shared" si="28"/>
        <v>OLN US EQUITY</v>
      </c>
      <c r="E94" s="244">
        <f ca="1">IFERROR(IF(BB_Switch=1,IF(_xll.BDP($D94,$D$90, "EQY_FUND_RELATIVE_PERIOD", E$3)="#N/A N/A","NA  ",(_xll.BDP($D94,$D$90, "EQY_FUND_RELATIVE_PERIOD", E$3))),E94),"NA ")</f>
        <v>4.5317105263157895</v>
      </c>
      <c r="F94" s="244">
        <f ca="1">IFERROR(IF(BB_Switch=1,IF(_xll.BDP($D94,$D$90, "EQY_FUND_RELATIVE_PERIOD", F$3)="#N/A N/A","NA  ",(_xll.BDP($D94,$D$90, "EQY_FUND_RELATIVE_PERIOD", F$3))),F94),"NA ")</f>
        <v>4.4783691662296796</v>
      </c>
      <c r="G94" s="244">
        <f ca="1">IFERROR(IF(BB_Switch=1,IF(_xll.BDP($D94,$D$90, "EQY_FUND_RELATIVE_PERIOD", G$3)="#N/A N/A","NA  ",(_xll.BDP($D94,$D$90, "EQY_FUND_RELATIVE_PERIOD", G$3))),G94),"NA ")</f>
        <v>4.3447889428464697</v>
      </c>
      <c r="H94" s="244">
        <f ca="1">IFERROR(IF(BB_Switch=1,IF(_xll.BDP($D94,$D$90, "EQY_FUND_RELATIVE_PERIOD", H$3)="#N/A N/A","NA  ",(_xll.BDP($D94,$D$90, "EQY_FUND_RELATIVE_PERIOD", H$3))),H94),"NA ")</f>
        <v>3.9668030391583868</v>
      </c>
      <c r="I94" s="244">
        <f ca="1">IFERROR(IF(BB_Switch=1,IF(_xll.BDP($D94,$D$90, "EQY_FUND_RELATIVE_PERIOD", I$3)="#N/A N/A","NA  ",(_xll.BDP($D94,$D$90, "EQY_FUND_RELATIVE_PERIOD", I$3))),I94),"NA ")</f>
        <v>3.845886182512066</v>
      </c>
      <c r="J94" s="244">
        <f ca="1">IFERROR(IF(BB_Switch=1,IF(_xll.BDP($D94,$D$90, "EQY_FUND_RELATIVE_PERIOD", J$3)="#N/A N/A","NA  ",(_xll.BDP($D94,$D$90, "EQY_FUND_RELATIVE_PERIOD", J$3))),J94),"NA ")</f>
        <v>3.2585106382978726</v>
      </c>
      <c r="K94" s="244">
        <f ca="1">IFERROR(IF(BB_Switch=1,IF(_xll.BDP($D94,$D$90, "EQY_FUND_RELATIVE_PERIOD", K$3)="#N/A N/A","NA  ",(_xll.BDP($D94,$D$90, "EQY_FUND_RELATIVE_PERIOD", K$3))),K94),"NA ")</f>
        <v>2.5268928259315167</v>
      </c>
      <c r="L94" s="244">
        <f ca="1">IFERROR(IF(BB_Switch=1,IF(_xll.BDP($D94,$D$90, "EQY_FUND_RELATIVE_PERIOD", L$3)="#N/A N/A","NA  ",(_xll.BDP($D94,$D$90, "EQY_FUND_RELATIVE_PERIOD", L$3))),L94),"NA ")</f>
        <v>2.3871548149886572</v>
      </c>
      <c r="M94" s="244">
        <f ca="1">IFERROR(IF(BB_Switch=1,IF(_xll.BDP($D94,$D$90, "EQY_FUND_RELATIVE_PERIOD", M$3)="#N/A N/A","NA  ",(_xll.BDP($D94,$D$90, "EQY_FUND_RELATIVE_PERIOD", M$3))),M94),"NA ")</f>
        <v>2.3830782312925169</v>
      </c>
      <c r="N94" s="244">
        <f ca="1">IFERROR(IF(BB_Switch=1,IF(_xll.BDP($D94,$D$90, "EQY_FUND_RELATIVE_PERIOD", N$3)="#N/A N/A","NA  ",(_xll.BDP($D94,$D$90, "EQY_FUND_RELATIVE_PERIOD", N$3))),N94),"NA ")</f>
        <v>2.6482474547291521</v>
      </c>
      <c r="O94" s="244">
        <f ca="1">IFERROR(IF(BB_Switch=1,IF(_xll.BDP($D94,$D$90, "EQY_FUND_RELATIVE_PERIOD", O$3)="#N/A N/A","NA  ",(_xll.BDP($D94,$D$90, "EQY_FUND_RELATIVE_PERIOD", O$3))),O94),"NA ")</f>
        <v>3.2327474159806893</v>
      </c>
      <c r="P94" s="244">
        <f ca="1">IFERROR(IF(BB_Switch=1,IF(_xll.BDP($D94,$D$90, "EQY_FUND_RELATIVE_PERIOD", P$3)="#N/A N/A","NA  ",(_xll.BDP($D94,$D$90, "EQY_FUND_RELATIVE_PERIOD", P$3))),P94),"NA ")</f>
        <v>3.9078433560191903</v>
      </c>
      <c r="Q94" s="244"/>
      <c r="R94" s="244"/>
      <c r="S94" s="244"/>
      <c r="T94" s="244"/>
      <c r="U94" s="227"/>
      <c r="V94" s="244">
        <f ca="1">IFERROR(IF(BB_Switch=1,IF(_xll.BDP($D94,$D$90, "EQY_FUND_RELATIVE_PERIOD", V$3)="#N/A N/A","NA  ",(_xll.BDP($D94,$D$90, "EQY_FUND_RELATIVE_PERIOD", V$3))),V94),"NA ")</f>
        <v>0.23852040816326514</v>
      </c>
      <c r="W94" s="244">
        <f ca="1">IFERROR(IF(BB_Switch=1,IF(_xll.BDP($D94,$D$90, "EQY_FUND_RELATIVE_PERIOD", W$3)="#N/A N/A","NA  ",(_xll.BDP($D94,$D$90, "EQY_FUND_RELATIVE_PERIOD", W$3))),W94),"NA ")</f>
        <v>0.71658415841584189</v>
      </c>
      <c r="X94" s="244">
        <f ca="1">IFERROR(IF(BB_Switch=1,IF(_xll.BDP($D94,$D$90, "EQY_FUND_RELATIVE_PERIOD", X$3)="#N/A N/A","NA  ",(_xll.BDP($D94,$D$90, "EQY_FUND_RELATIVE_PERIOD", X$3))),X94),"NA ")</f>
        <v>1.483234180638183</v>
      </c>
      <c r="Y94" s="244">
        <f ca="1">IFERROR(IF(BB_Switch=1,IF(_xll.BDP($D94,$D$90, "EQY_FUND_RELATIVE_PERIOD", Y$3)="#N/A N/A","NA  ",(_xll.BDP($D94,$D$90, "EQY_FUND_RELATIVE_PERIOD", Y$3))),Y94),"NA ")</f>
        <v>0.90848743480322425</v>
      </c>
      <c r="Z94" s="244">
        <f ca="1">IFERROR(IF(BB_Switch=1,IF(_xll.BDP($D94,$D$90, "EQY_FUND_RELATIVE_PERIOD", Z$3)="#N/A N/A","NA  ",(_xll.BDP($D94,$D$90, "EQY_FUND_RELATIVE_PERIOD", Z$3))),Z94),"NA ")</f>
        <v>1.2213138686131386</v>
      </c>
      <c r="AA94" s="244">
        <f ca="1">IFERROR(IF(BB_Switch=1,IF(_xll.BDP($D94,$D$90, "EQY_FUND_RELATIVE_PERIOD", AA$3)="#N/A N/A","NA  ",(_xll.BDP($D94,$D$90, "EQY_FUND_RELATIVE_PERIOD", AA$3))),AA94),"NA ")</f>
        <v>10.58768203883495</v>
      </c>
      <c r="AB94" s="244">
        <f ca="1">IFERROR(IF(BB_Switch=1,IF(_xll.BDP($D94,$D$90, "EQY_FUND_RELATIVE_PERIOD", AB$3)="#N/A N/A","NA  ",(_xll.BDP($D94,$D$90, "EQY_FUND_RELATIVE_PERIOD", AB$3))),AB94),"NA ")</f>
        <v>5.0037895350531993</v>
      </c>
      <c r="AC94" s="244">
        <f ca="1">IFERROR(IF(BB_Switch=1,IF(_xll.BDP($D94,$D$90, "EQY_FUND_RELATIVE_PERIOD", AC$3)="#N/A N/A","NA  ",(_xll.BDP($D94,$D$90, "EQY_FUND_RELATIVE_PERIOD", AC$3))),AC94),"NA ")</f>
        <v>3.9668030391583868</v>
      </c>
      <c r="AD94" s="244">
        <f ca="1">IFERROR(IF(BB_Switch=1,IF(_xll.BDP($D94,$D$90, "EQY_FUND_RELATIVE_PERIOD", AD$3)="#N/A N/A","NA  ",(_xll.BDP($D94,$D$90, "EQY_FUND_RELATIVE_PERIOD", AD$3))),AD94),"NA ")</f>
        <v>2.3871548149886568</v>
      </c>
      <c r="AE94" s="244">
        <f ca="1">IFERROR(IF(BB_Switch=1,IF(_xll.BDP($D94,$D$90, "EQY_FUND_RELATIVE_PERIOD", AE$3)="#N/A N/A","NA  ",(_xll.BDP($D94,$D$90, "EQY_FUND_RELATIVE_PERIOD", AE$3))),AE94),"NA ")</f>
        <v>3.9078433560191894</v>
      </c>
      <c r="AF94" s="235">
        <f t="shared" ca="1" si="29"/>
        <v>3.0421412834688031</v>
      </c>
      <c r="AG94" s="244"/>
      <c r="AH94" s="244"/>
      <c r="AI94" s="244"/>
      <c r="AJ94" s="244"/>
    </row>
    <row r="95" spans="2:39" ht="11.25" customHeight="1">
      <c r="C95" s="229" t="str">
        <f ca="1">IFERROR(IF(BB_Switch=1,_xll.BDP($D95,$C$270),C95), "NA ")</f>
        <v>LyondellBasell Industries NV</v>
      </c>
      <c r="D95" s="227" t="str">
        <f t="shared" si="28"/>
        <v>LYB US EQUITY</v>
      </c>
      <c r="E95" s="244">
        <f ca="1">IFERROR(IF(BB_Switch=1,IF(_xll.BDP($D95,$D$90, "EQY_FUND_RELATIVE_PERIOD", E$3)="#N/A N/A","NA  ",(_xll.BDP($D95,$D$90, "EQY_FUND_RELATIVE_PERIOD", E$3))),E95),"NA ")</f>
        <v>1.2280906364545152</v>
      </c>
      <c r="F95" s="244">
        <f ca="1">IFERROR(IF(BB_Switch=1,IF(_xll.BDP($D95,$D$90, "EQY_FUND_RELATIVE_PERIOD", F$3)="#N/A N/A","NA  ",(_xll.BDP($D95,$D$90, "EQY_FUND_RELATIVE_PERIOD", F$3))),F95),"NA ")</f>
        <v>1.1363783085861847</v>
      </c>
      <c r="G95" s="244">
        <f ca="1">IFERROR(IF(BB_Switch=1,IF(_xll.BDP($D95,$D$90, "EQY_FUND_RELATIVE_PERIOD", G$3)="#N/A N/A","NA  ",(_xll.BDP($D95,$D$90, "EQY_FUND_RELATIVE_PERIOD", G$3))),G95),"NA ")</f>
        <v>1.0158328055731476</v>
      </c>
      <c r="H95" s="244">
        <f ca="1">IFERROR(IF(BB_Switch=1,IF(_xll.BDP($D95,$D$90, "EQY_FUND_RELATIVE_PERIOD", H$3)="#N/A N/A","NA  ",(_xll.BDP($D95,$D$90, "EQY_FUND_RELATIVE_PERIOD", H$3))),H95),"NA ")</f>
        <v>0.87262586674706055</v>
      </c>
      <c r="I95" s="244">
        <f ca="1">IFERROR(IF(BB_Switch=1,IF(_xll.BDP($D95,$D$90, "EQY_FUND_RELATIVE_PERIOD", I$3)="#N/A N/A","NA  ",(_xll.BDP($D95,$D$90, "EQY_FUND_RELATIVE_PERIOD", I$3))),I95),"NA ")</f>
        <v>0.82805952896980206</v>
      </c>
      <c r="J95" s="244">
        <f ca="1">IFERROR(IF(BB_Switch=1,IF(_xll.BDP($D95,$D$90, "EQY_FUND_RELATIVE_PERIOD", J$3)="#N/A N/A","NA  ",(_xll.BDP($D95,$D$90, "EQY_FUND_RELATIVE_PERIOD", J$3))),J95),"NA ")</f>
        <v>0.74756586483390608</v>
      </c>
      <c r="K95" s="244">
        <f ca="1">IFERROR(IF(BB_Switch=1,IF(_xll.BDP($D95,$D$90, "EQY_FUND_RELATIVE_PERIOD", K$3)="#N/A N/A","NA  ",(_xll.BDP($D95,$D$90, "EQY_FUND_RELATIVE_PERIOD", K$3))),K95),"NA ")</f>
        <v>1.0315005727376862</v>
      </c>
      <c r="L95" s="244">
        <f ca="1">IFERROR(IF(BB_Switch=1,IF(_xll.BDP($D95,$D$90, "EQY_FUND_RELATIVE_PERIOD", L$3)="#N/A N/A","NA  ",(_xll.BDP($D95,$D$90, "EQY_FUND_RELATIVE_PERIOD", L$3))),L95),"NA ")</f>
        <v>1.2612793572311496</v>
      </c>
      <c r="M95" s="244">
        <f ca="1">IFERROR(IF(BB_Switch=1,IF(_xll.BDP($D95,$D$90, "EQY_FUND_RELATIVE_PERIOD", M$3)="#N/A N/A","NA  ",(_xll.BDP($D95,$D$90, "EQY_FUND_RELATIVE_PERIOD", M$3))),M95),"NA ")</f>
        <v>1.6771715271244905</v>
      </c>
      <c r="N95" s="244">
        <f ca="1">IFERROR(IF(BB_Switch=1,IF(_xll.BDP($D95,$D$90, "EQY_FUND_RELATIVE_PERIOD", N$3)="#N/A N/A","NA  ",(_xll.BDP($D95,$D$90, "EQY_FUND_RELATIVE_PERIOD", N$3))),N95),"NA ")</f>
        <v>1.7883162665771362</v>
      </c>
      <c r="O95" s="244">
        <f ca="1">IFERROR(IF(BB_Switch=1,IF(_xll.BDP($D95,$D$90, "EQY_FUND_RELATIVE_PERIOD", O$3)="#N/A N/A","NA  ",(_xll.BDP($D95,$D$90, "EQY_FUND_RELATIVE_PERIOD", O$3))),O95),"NA ")</f>
        <v>2.2608094085091666</v>
      </c>
      <c r="P95" s="244">
        <f ca="1">IFERROR(IF(BB_Switch=1,IF(_xll.BDP($D95,$D$90, "EQY_FUND_RELATIVE_PERIOD", P$3)="#N/A N/A","NA  ",(_xll.BDP($D95,$D$90, "EQY_FUND_RELATIVE_PERIOD", P$3))),P95),"NA ")</f>
        <v>2.1568864342423195</v>
      </c>
      <c r="Q95" s="244"/>
      <c r="R95" s="244"/>
      <c r="S95" s="244"/>
      <c r="T95" s="244"/>
      <c r="U95" s="227"/>
      <c r="V95" s="244">
        <f ca="1">IFERROR(IF(BB_Switch=1,IF(_xll.BDP($D95,$D$90, "EQY_FUND_RELATIVE_PERIOD", V$3)="#N/A N/A","NA  ",(_xll.BDP($D95,$D$90, "EQY_FUND_RELATIVE_PERIOD", V$3))),V95),"NA ")</f>
        <v>0.45733956233095646</v>
      </c>
      <c r="W95" s="244">
        <f ca="1">IFERROR(IF(BB_Switch=1,IF(_xll.BDP($D95,$D$90, "EQY_FUND_RELATIVE_PERIOD", W$3)="#N/A N/A","NA  ",(_xll.BDP($D95,$D$90, "EQY_FUND_RELATIVE_PERIOD", W$3))),W95),"NA ")</f>
        <v>0.56321184510250566</v>
      </c>
      <c r="X95" s="244">
        <f ca="1">IFERROR(IF(BB_Switch=1,IF(_xll.BDP($D95,$D$90, "EQY_FUND_RELATIVE_PERIOD", X$3)="#N/A N/A","NA  ",(_xll.BDP($D95,$D$90, "EQY_FUND_RELATIVE_PERIOD", X$3))),X95),"NA ")</f>
        <v>0.29475172291924367</v>
      </c>
      <c r="Y95" s="244">
        <f ca="1">IFERROR(IF(BB_Switch=1,IF(_xll.BDP($D95,$D$90, "EQY_FUND_RELATIVE_PERIOD", Y$3)="#N/A N/A","NA  ",(_xll.BDP($D95,$D$90, "EQY_FUND_RELATIVE_PERIOD", Y$3))),Y95),"NA ")</f>
        <v>0.22619630899885676</v>
      </c>
      <c r="Z95" s="244">
        <f ca="1">IFERROR(IF(BB_Switch=1,IF(_xll.BDP($D95,$D$90, "EQY_FUND_RELATIVE_PERIOD", Z$3)="#N/A N/A","NA  ",(_xll.BDP($D95,$D$90, "EQY_FUND_RELATIVE_PERIOD", Z$3))),Z95),"NA ")</f>
        <v>0.65447816432272388</v>
      </c>
      <c r="AA95" s="244">
        <f ca="1">IFERROR(IF(BB_Switch=1,IF(_xll.BDP($D95,$D$90, "EQY_FUND_RELATIVE_PERIOD", AA$3)="#N/A N/A","NA  ",(_xll.BDP($D95,$D$90, "EQY_FUND_RELATIVE_PERIOD", AA$3))),AA95),"NA ")</f>
        <v>0.84251639001255407</v>
      </c>
      <c r="AB95" s="244">
        <f ca="1">IFERROR(IF(BB_Switch=1,IF(_xll.BDP($D95,$D$90, "EQY_FUND_RELATIVE_PERIOD", AB$3)="#N/A N/A","NA  ",(_xll.BDP($D95,$D$90, "EQY_FUND_RELATIVE_PERIOD", AB$3))),AB95),"NA ")</f>
        <v>1.1363487916394512</v>
      </c>
      <c r="AC95" s="244">
        <f ca="1">IFERROR(IF(BB_Switch=1,IF(_xll.BDP($D95,$D$90, "EQY_FUND_RELATIVE_PERIOD", AC$3)="#N/A N/A","NA  ",(_xll.BDP($D95,$D$90, "EQY_FUND_RELATIVE_PERIOD", AC$3))),AC95),"NA ")</f>
        <v>0.87262586674706055</v>
      </c>
      <c r="AD95" s="244">
        <f ca="1">IFERROR(IF(BB_Switch=1,IF(_xll.BDP($D95,$D$90, "EQY_FUND_RELATIVE_PERIOD", AD$3)="#N/A N/A","NA  ",(_xll.BDP($D95,$D$90, "EQY_FUND_RELATIVE_PERIOD", AD$3))),AD95),"NA ")</f>
        <v>1.2612793572311496</v>
      </c>
      <c r="AE95" s="244">
        <f ca="1">IFERROR(IF(BB_Switch=1,IF(_xll.BDP($D95,$D$90, "EQY_FUND_RELATIVE_PERIOD", AE$3)="#N/A N/A","NA  ",(_xll.BDP($D95,$D$90, "EQY_FUND_RELATIVE_PERIOD", AE$3))),AE95),"NA ")</f>
        <v>2.1568864342423195</v>
      </c>
      <c r="AF95" s="235">
        <f t="shared" ca="1" si="29"/>
        <v>0.84656344435468223</v>
      </c>
      <c r="AG95" s="244"/>
      <c r="AH95" s="244"/>
      <c r="AI95" s="244"/>
      <c r="AJ95" s="244"/>
      <c r="AK95" s="227"/>
      <c r="AL95" s="227"/>
      <c r="AM95" s="227"/>
    </row>
    <row r="96" spans="2:39" ht="11.25" customHeight="1">
      <c r="C96" s="229" t="str">
        <f ca="1">IFERROR(IF(BB_Switch=1,_xll.BDP($D96,$C$270),C96), "NA ")</f>
        <v>Westlake Chemical Corp</v>
      </c>
      <c r="D96" s="227" t="str">
        <f t="shared" si="28"/>
        <v>WLK US EQUITY</v>
      </c>
      <c r="E96" s="244">
        <f ca="1">IFERROR(IF(BB_Switch=1,IF(_xll.BDP($D96,$D$90, "EQY_FUND_RELATIVE_PERIOD", E$3)="#N/A N/A","NA  ",(_xll.BDP($D96,$D$90, "EQY_FUND_RELATIVE_PERIOD", E$3))),E96),"NA ")</f>
        <v>2.9981625054549168</v>
      </c>
      <c r="F96" s="244">
        <f ca="1">IFERROR(IF(BB_Switch=1,IF(_xll.BDP($D96,$D$90, "EQY_FUND_RELATIVE_PERIOD", F$3)="#N/A N/A","NA  ",(_xll.BDP($D96,$D$90, "EQY_FUND_RELATIVE_PERIOD", F$3))),F96),"NA ")</f>
        <v>2.497634042663111</v>
      </c>
      <c r="G96" s="244">
        <f ca="1">IFERROR(IF(BB_Switch=1,IF(_xll.BDP($D96,$D$90, "EQY_FUND_RELATIVE_PERIOD", G$3)="#N/A N/A","NA  ",(_xll.BDP($D96,$D$90, "EQY_FUND_RELATIVE_PERIOD", G$3))),G96),"NA ")</f>
        <v>1.6529204284573924</v>
      </c>
      <c r="H96" s="244">
        <f ca="1">IFERROR(IF(BB_Switch=1,IF(_xll.BDP($D96,$D$90, "EQY_FUND_RELATIVE_PERIOD", H$3)="#N/A N/A","NA  ",(_xll.BDP($D96,$D$90, "EQY_FUND_RELATIVE_PERIOD", H$3))),H96),"NA ")</f>
        <v>1.2628696604600218</v>
      </c>
      <c r="I96" s="244">
        <f ca="1">IFERROR(IF(BB_Switch=1,IF(_xll.BDP($D96,$D$90, "EQY_FUND_RELATIVE_PERIOD", I$3)="#N/A N/A","NA  ",(_xll.BDP($D96,$D$90, "EQY_FUND_RELATIVE_PERIOD", I$3))),I96),"NA ")</f>
        <v>1.1385692846423212</v>
      </c>
      <c r="J96" s="244">
        <f ca="1">IFERROR(IF(BB_Switch=1,IF(_xll.BDP($D96,$D$90, "EQY_FUND_RELATIVE_PERIOD", J$3)="#N/A N/A","NA  ",(_xll.BDP($D96,$D$90, "EQY_FUND_RELATIVE_PERIOD", J$3))),J96),"NA ")</f>
        <v>1.0158139534883721</v>
      </c>
      <c r="K96" s="244">
        <f ca="1">IFERROR(IF(BB_Switch=1,IF(_xll.BDP($D96,$D$90, "EQY_FUND_RELATIVE_PERIOD", K$3)="#N/A N/A","NA  ",(_xll.BDP($D96,$D$90, "EQY_FUND_RELATIVE_PERIOD", K$3))),K96),"NA ")</f>
        <v>0.85838282320694381</v>
      </c>
      <c r="L96" s="244">
        <f ca="1">IFERROR(IF(BB_Switch=1,IF(_xll.BDP($D96,$D$90, "EQY_FUND_RELATIVE_PERIOD", L$3)="#N/A N/A","NA  ",(_xll.BDP($D96,$D$90, "EQY_FUND_RELATIVE_PERIOD", L$3))),L96),"NA ")</f>
        <v>0.93460224499755984</v>
      </c>
      <c r="M96" s="244">
        <f ca="1">IFERROR(IF(BB_Switch=1,IF(_xll.BDP($D96,$D$90, "EQY_FUND_RELATIVE_PERIOD", M$3)="#N/A N/A","NA  ",(_xll.BDP($D96,$D$90, "EQY_FUND_RELATIVE_PERIOD", M$3))),M96),"NA ")</f>
        <v>1.3374045801526717</v>
      </c>
      <c r="N96" s="244">
        <f ca="1">IFERROR(IF(BB_Switch=1,IF(_xll.BDP($D96,$D$90, "EQY_FUND_RELATIVE_PERIOD", N$3)="#N/A N/A","NA  ",(_xll.BDP($D96,$D$90, "EQY_FUND_RELATIVE_PERIOD", N$3))),N96),"NA ")</f>
        <v>1.5140240412135089</v>
      </c>
      <c r="O96" s="244">
        <f ca="1">IFERROR(IF(BB_Switch=1,IF(_xll.BDP($D96,$D$90, "EQY_FUND_RELATIVE_PERIOD", O$3)="#N/A N/A","NA  ",(_xll.BDP($D96,$D$90, "EQY_FUND_RELATIVE_PERIOD", O$3))),O96),"NA ")</f>
        <v>1.5189155107187895</v>
      </c>
      <c r="P96" s="244">
        <f ca="1">IFERROR(IF(BB_Switch=1,IF(_xll.BDP($D96,$D$90, "EQY_FUND_RELATIVE_PERIOD", P$3)="#N/A N/A","NA  ",(_xll.BDP($D96,$D$90, "EQY_FUND_RELATIVE_PERIOD", P$3))),P96),"NA ")</f>
        <v>2.1156417112299466</v>
      </c>
      <c r="Q96" s="244"/>
      <c r="R96" s="244"/>
      <c r="S96" s="244"/>
      <c r="T96" s="244"/>
      <c r="U96" s="227"/>
      <c r="V96" s="244">
        <f ca="1">IFERROR(IF(BB_Switch=1,IF(_xll.BDP($D96,$D$90, "EQY_FUND_RELATIVE_PERIOD", V$3)="#N/A N/A","NA  ",(_xll.BDP($D96,$D$90, "EQY_FUND_RELATIVE_PERIOD", V$3))),V96),"NA ")</f>
        <v>0.26461064571599852</v>
      </c>
      <c r="W96" s="244">
        <f ca="1">IFERROR(IF(BB_Switch=1,IF(_xll.BDP($D96,$D$90, "EQY_FUND_RELATIVE_PERIOD", W$3)="#N/A N/A","NA  ",(_xll.BDP($D96,$D$90, "EQY_FUND_RELATIVE_PERIOD", W$3))),W96),"NA ")</f>
        <v>-0.1060856841919566</v>
      </c>
      <c r="X96" s="244">
        <f ca="1">IFERROR(IF(BB_Switch=1,IF(_xll.BDP($D96,$D$90, "EQY_FUND_RELATIVE_PERIOD", X$3)="#N/A N/A","NA  ",(_xll.BDP($D96,$D$90, "EQY_FUND_RELATIVE_PERIOD", X$3))),X96),"NA ")</f>
        <v>-0.19896248414248346</v>
      </c>
      <c r="Y96" s="244">
        <f ca="1">IFERROR(IF(BB_Switch=1,IF(_xll.BDP($D96,$D$90, "EQY_FUND_RELATIVE_PERIOD", Y$3)="#N/A N/A","NA  ",(_xll.BDP($D96,$D$90, "EQY_FUND_RELATIVE_PERIOD", Y$3))),Y96),"NA ")</f>
        <v>5.6862766271443946E-2</v>
      </c>
      <c r="Z96" s="244">
        <f ca="1">IFERROR(IF(BB_Switch=1,IF(_xll.BDP($D96,$D$90, "EQY_FUND_RELATIVE_PERIOD", Z$3)="#N/A N/A","NA  ",(_xll.BDP($D96,$D$90, "EQY_FUND_RELATIVE_PERIOD", Z$3))),Z96),"NA ")</f>
        <v>-8.7509202785489015E-2</v>
      </c>
      <c r="AA96" s="244">
        <f ca="1">IFERROR(IF(BB_Switch=1,IF(_xll.BDP($D96,$D$90, "EQY_FUND_RELATIVE_PERIOD", AA$3)="#N/A N/A","NA  ",(_xll.BDP($D96,$D$90, "EQY_FUND_RELATIVE_PERIOD", AA$3))),AA96),"NA ")</f>
        <v>-0.3521289267276273</v>
      </c>
      <c r="AB96" s="244">
        <f ca="1">IFERROR(IF(BB_Switch=1,IF(_xll.BDP($D96,$D$90, "EQY_FUND_RELATIVE_PERIOD", AB$3)="#N/A N/A","NA  ",(_xll.BDP($D96,$D$90, "EQY_FUND_RELATIVE_PERIOD", AB$3))),AB96),"NA ")</f>
        <v>3.3498449531737773</v>
      </c>
      <c r="AC96" s="244">
        <f ca="1">IFERROR(IF(BB_Switch=1,IF(_xll.BDP($D96,$D$90, "EQY_FUND_RELATIVE_PERIOD", AC$3)="#N/A N/A","NA  ",(_xll.BDP($D96,$D$90, "EQY_FUND_RELATIVE_PERIOD", AC$3))),AC96),"NA ")</f>
        <v>1.2628696604600218</v>
      </c>
      <c r="AD96" s="244">
        <f ca="1">IFERROR(IF(BB_Switch=1,IF(_xll.BDP($D96,$D$90, "EQY_FUND_RELATIVE_PERIOD", AD$3)="#N/A N/A","NA  ",(_xll.BDP($D96,$D$90, "EQY_FUND_RELATIVE_PERIOD", AD$3))),AD96),"NA ")</f>
        <v>0.93460224499755984</v>
      </c>
      <c r="AE96" s="244">
        <f ca="1">IFERROR(IF(BB_Switch=1,IF(_xll.BDP($D96,$D$90, "EQY_FUND_RELATIVE_PERIOD", AE$3)="#N/A N/A","NA  ",(_xll.BDP($D96,$D$90, "EQY_FUND_RELATIVE_PERIOD", AE$3))),AE96),"NA ")</f>
        <v>2.1356275303643724</v>
      </c>
      <c r="AF96" s="235">
        <f t="shared" ca="1" si="29"/>
        <v>0.72597315031356169</v>
      </c>
      <c r="AG96" s="244"/>
      <c r="AH96" s="244"/>
      <c r="AI96" s="244"/>
      <c r="AJ96" s="244"/>
    </row>
    <row r="97" spans="2:38" ht="11.25" customHeight="1">
      <c r="C97" s="229" t="str">
        <f ca="1">IFERROR(IF(BB_Switch=1,_xll.BDP($D97,$C$270),C97), "NA ")</f>
        <v>Kraton Corp</v>
      </c>
      <c r="D97" s="227" t="str">
        <f t="shared" si="28"/>
        <v>KRA US EQUITY</v>
      </c>
      <c r="E97" s="244">
        <f ca="1">IFERROR(IF(BB_Switch=1,IF(_xll.BDP($D97,$D$90, "EQY_FUND_RELATIVE_PERIOD", E$3)="#N/A N/A","NA  ",(_xll.BDP($D97,$D$90, "EQY_FUND_RELATIVE_PERIOD", E$3))),E97),"NA ")</f>
        <v>5.2128413967551577</v>
      </c>
      <c r="F97" s="244">
        <f ca="1">IFERROR(IF(BB_Switch=1,IF(_xll.BDP($D97,$D$90, "EQY_FUND_RELATIVE_PERIOD", F$3)="#N/A N/A","NA  ",(_xll.BDP($D97,$D$90, "EQY_FUND_RELATIVE_PERIOD", F$3))),F97),"NA ")</f>
        <v>4.9435837457242604</v>
      </c>
      <c r="G97" s="244">
        <f ca="1">IFERROR(IF(BB_Switch=1,IF(_xll.BDP($D97,$D$90, "EQY_FUND_RELATIVE_PERIOD", G$3)="#N/A N/A","NA  ",(_xll.BDP($D97,$D$90, "EQY_FUND_RELATIVE_PERIOD", G$3))),G97),"NA ")</f>
        <v>4.8225814657094377</v>
      </c>
      <c r="H97" s="244">
        <f ca="1">IFERROR(IF(BB_Switch=1,IF(_xll.BDP($D97,$D$90, "EQY_FUND_RELATIVE_PERIOD", H$3)="#N/A N/A","NA  ",(_xll.BDP($D97,$D$90, "EQY_FUND_RELATIVE_PERIOD", H$3))),H97),"NA ")</f>
        <v>4.4608021106331321</v>
      </c>
      <c r="I97" s="244">
        <f ca="1">IFERROR(IF(BB_Switch=1,IF(_xll.BDP($D97,$D$90, "EQY_FUND_RELATIVE_PERIOD", I$3)="#N/A N/A","NA  ",(_xll.BDP($D97,$D$90, "EQY_FUND_RELATIVE_PERIOD", I$3))),I97),"NA ")</f>
        <v>4.4777819736352811</v>
      </c>
      <c r="J97" s="244">
        <f ca="1">IFERROR(IF(BB_Switch=1,IF(_xll.BDP($D97,$D$90, "EQY_FUND_RELATIVE_PERIOD", J$3)="#N/A N/A","NA  ",(_xll.BDP($D97,$D$90, "EQY_FUND_RELATIVE_PERIOD", J$3))),J97),"NA ")</f>
        <v>4.3275534842239214</v>
      </c>
      <c r="K97" s="244">
        <f ca="1">IFERROR(IF(BB_Switch=1,IF(_xll.BDP($D97,$D$90, "EQY_FUND_RELATIVE_PERIOD", K$3)="#N/A N/A","NA  ",(_xll.BDP($D97,$D$90, "EQY_FUND_RELATIVE_PERIOD", K$3))),K97),"NA ")</f>
        <v>3.8294499550953036</v>
      </c>
      <c r="L97" s="244">
        <f ca="1">IFERROR(IF(BB_Switch=1,IF(_xll.BDP($D97,$D$90, "EQY_FUND_RELATIVE_PERIOD", L$3)="#N/A N/A","NA  ",(_xll.BDP($D97,$D$90, "EQY_FUND_RELATIVE_PERIOD", L$3))),L97),"NA ")</f>
        <v>3.6892774082989916</v>
      </c>
      <c r="M97" s="244">
        <f ca="1">IFERROR(IF(BB_Switch=1,IF(_xll.BDP($D97,$D$90, "EQY_FUND_RELATIVE_PERIOD", M$3)="#N/A N/A","NA  ",(_xll.BDP($D97,$D$90, "EQY_FUND_RELATIVE_PERIOD", M$3))),M97),"NA ")</f>
        <v>4.1145652758091966</v>
      </c>
      <c r="N97" s="244">
        <f ca="1">IFERROR(IF(BB_Switch=1,IF(_xll.BDP($D97,$D$90, "EQY_FUND_RELATIVE_PERIOD", N$3)="#N/A N/A","NA  ",(_xll.BDP($D97,$D$90, "EQY_FUND_RELATIVE_PERIOD", N$3))),N97),"NA ")</f>
        <v>4.256731195466922</v>
      </c>
      <c r="O97" s="244">
        <f ca="1">IFERROR(IF(BB_Switch=1,IF(_xll.BDP($D97,$D$90, "EQY_FUND_RELATIVE_PERIOD", O$3)="#N/A N/A","NA  ",(_xll.BDP($D97,$D$90, "EQY_FUND_RELATIVE_PERIOD", O$3))),O97),"NA ")</f>
        <v>4.2939667707423723</v>
      </c>
      <c r="P97" s="244">
        <f ca="1">IFERROR(IF(BB_Switch=1,IF(_xll.BDP($D97,$D$90, "EQY_FUND_RELATIVE_PERIOD", P$3)="#N/A N/A","NA  ",(_xll.BDP($D97,$D$90, "EQY_FUND_RELATIVE_PERIOD", P$3))),P97),"NA ")</f>
        <v>4.4604324698624529</v>
      </c>
      <c r="Q97" s="227"/>
      <c r="R97" s="227"/>
      <c r="S97" s="227"/>
      <c r="T97" s="227"/>
      <c r="U97" s="227"/>
      <c r="V97" s="244">
        <f ca="1">IFERROR(IF(BB_Switch=1,IF(_xll.BDP($D97,$D$90, "EQY_FUND_RELATIVE_PERIOD", V$3)="#N/A N/A","NA  ",(_xll.BDP($D97,$D$90, "EQY_FUND_RELATIVE_PERIOD", V$3))),V97),"NA ")</f>
        <v>1.5708983528391849</v>
      </c>
      <c r="W97" s="244">
        <f ca="1">IFERROR(IF(BB_Switch=1,IF(_xll.BDP($D97,$D$90, "EQY_FUND_RELATIVE_PERIOD", W$3)="#N/A N/A","NA  ",(_xll.BDP($D97,$D$90, "EQY_FUND_RELATIVE_PERIOD", W$3))),W97),"NA ")</f>
        <v>1.6288695708099301</v>
      </c>
      <c r="X97" s="244">
        <f ca="1">IFERROR(IF(BB_Switch=1,IF(_xll.BDP($D97,$D$90, "EQY_FUND_RELATIVE_PERIOD", X$3)="#N/A N/A","NA  ",(_xll.BDP($D97,$D$90, "EQY_FUND_RELATIVE_PERIOD", X$3))),X97),"NA ")</f>
        <v>2.3625702494763692</v>
      </c>
      <c r="Y97" s="244">
        <f ca="1">IFERROR(IF(BB_Switch=1,IF(_xll.BDP($D97,$D$90, "EQY_FUND_RELATIVE_PERIOD", Y$3)="#N/A N/A","NA  ",(_xll.BDP($D97,$D$90, "EQY_FUND_RELATIVE_PERIOD", Y$3))),Y97),"NA ")</f>
        <v>2.0022320416949917</v>
      </c>
      <c r="Z97" s="244">
        <f ca="1">IFERROR(IF(BB_Switch=1,IF(_xll.BDP($D97,$D$90, "EQY_FUND_RELATIVE_PERIOD", Z$3)="#N/A N/A","NA  ",(_xll.BDP($D97,$D$90, "EQY_FUND_RELATIVE_PERIOD", Z$3))),Z97),"NA ")</f>
        <v>3.0804386245956366</v>
      </c>
      <c r="AA97" s="244">
        <f ca="1">IFERROR(IF(BB_Switch=1,IF(_xll.BDP($D97,$D$90, "EQY_FUND_RELATIVE_PERIOD", AA$3)="#N/A N/A","NA  ",(_xll.BDP($D97,$D$90, "EQY_FUND_RELATIVE_PERIOD", AA$3))),AA97),"NA ")</f>
        <v>4.3036078880533832</v>
      </c>
      <c r="AB97" s="244">
        <f ca="1">IFERROR(IF(BB_Switch=1,IF(_xll.BDP($D97,$D$90, "EQY_FUND_RELATIVE_PERIOD", AB$3)="#N/A N/A","NA  ",(_xll.BDP($D97,$D$90, "EQY_FUND_RELATIVE_PERIOD", AB$3))),AB97),"NA ")</f>
        <v>6.1768629562176178</v>
      </c>
      <c r="AC97" s="244">
        <f ca="1">IFERROR(IF(BB_Switch=1,IF(_xll.BDP($D97,$D$90, "EQY_FUND_RELATIVE_PERIOD", AC$3)="#N/A N/A","NA  ",(_xll.BDP($D97,$D$90, "EQY_FUND_RELATIVE_PERIOD", AC$3))),AC97),"NA ")</f>
        <v>4.4608021106331321</v>
      </c>
      <c r="AD97" s="244">
        <f ca="1">IFERROR(IF(BB_Switch=1,IF(_xll.BDP($D97,$D$90, "EQY_FUND_RELATIVE_PERIOD", AD$3)="#N/A N/A","NA  ",(_xll.BDP($D97,$D$90, "EQY_FUND_RELATIVE_PERIOD", AD$3))),AD97),"NA ")</f>
        <v>3.6892774082989916</v>
      </c>
      <c r="AE97" s="244">
        <f ca="1">IFERROR(IF(BB_Switch=1,IF(_xll.BDP($D97,$D$90, "EQY_FUND_RELATIVE_PERIOD", AE$3)="#N/A N/A","NA  ",(_xll.BDP($D97,$D$90, "EQY_FUND_RELATIVE_PERIOD", AE$3))),AE97),"NA ")</f>
        <v>4.6952776332835242</v>
      </c>
      <c r="AF97" s="235">
        <f t="shared" ca="1" si="29"/>
        <v>3.3970836835902758</v>
      </c>
      <c r="AG97" s="244"/>
      <c r="AH97" s="244"/>
      <c r="AI97" s="244"/>
      <c r="AJ97" s="244"/>
    </row>
    <row r="98" spans="2:38" ht="11.25" customHeight="1">
      <c r="C98" s="229" t="str">
        <f ca="1">IFERROR(IF(BB_Switch=1,_xll.BDP($D98,$C$270),C98), "NA ")</f>
        <v>Dow Inc</v>
      </c>
      <c r="D98" s="227" t="str">
        <f t="shared" si="28"/>
        <v>DOW US EQUITY</v>
      </c>
      <c r="E98" s="244" t="str">
        <f ca="1">IFERROR(IF(BB_Switch=1,IF(_xll.BDP($D98,$D$90, "EQY_FUND_RELATIVE_PERIOD", E$3)="#N/A N/A","NA  ",(_xll.BDP($D98,$D$90, "EQY_FUND_RELATIVE_PERIOD", E$3))),E98),"NA ")</f>
        <v xml:space="preserve">NA  </v>
      </c>
      <c r="F98" s="244" t="str">
        <f ca="1">IFERROR(IF(BB_Switch=1,IF(_xll.BDP($D98,$D$90, "EQY_FUND_RELATIVE_PERIOD", F$3)="#N/A N/A","NA  ",(_xll.BDP($D98,$D$90, "EQY_FUND_RELATIVE_PERIOD", F$3))),F98),"NA ")</f>
        <v xml:space="preserve">NA  </v>
      </c>
      <c r="G98" s="244" t="str">
        <f ca="1">IFERROR(IF(BB_Switch=1,IF(_xll.BDP($D98,$D$90, "EQY_FUND_RELATIVE_PERIOD", G$3)="#N/A N/A","NA  ",(_xll.BDP($D98,$D$90, "EQY_FUND_RELATIVE_PERIOD", G$3))),G98),"NA ")</f>
        <v xml:space="preserve">NA  </v>
      </c>
      <c r="H98" s="244" t="str">
        <f ca="1">IFERROR(IF(BB_Switch=1,IF(_xll.BDP($D98,$D$90, "EQY_FUND_RELATIVE_PERIOD", H$3)="#N/A N/A","NA  ",(_xll.BDP($D98,$D$90, "EQY_FUND_RELATIVE_PERIOD", H$3))),H98),"NA ")</f>
        <v xml:space="preserve">NA  </v>
      </c>
      <c r="I98" s="244" t="str">
        <f ca="1">IFERROR(IF(BB_Switch=1,IF(_xll.BDP($D98,$D$90, "EQY_FUND_RELATIVE_PERIOD", I$3)="#N/A N/A","NA  ",(_xll.BDP($D98,$D$90, "EQY_FUND_RELATIVE_PERIOD", I$3))),I98),"NA ")</f>
        <v xml:space="preserve">NA  </v>
      </c>
      <c r="J98" s="244" t="str">
        <f ca="1">IFERROR(IF(BB_Switch=1,IF(_xll.BDP($D98,$D$90, "EQY_FUND_RELATIVE_PERIOD", J$3)="#N/A N/A","NA  ",(_xll.BDP($D98,$D$90, "EQY_FUND_RELATIVE_PERIOD", J$3))),J98),"NA ")</f>
        <v xml:space="preserve">NA  </v>
      </c>
      <c r="K98" s="244" t="str">
        <f ca="1">IFERROR(IF(BB_Switch=1,IF(_xll.BDP($D98,$D$90, "EQY_FUND_RELATIVE_PERIOD", K$3)="#N/A N/A","NA  ",(_xll.BDP($D98,$D$90, "EQY_FUND_RELATIVE_PERIOD", K$3))),K98),"NA ")</f>
        <v xml:space="preserve">NA  </v>
      </c>
      <c r="L98" s="244">
        <f ca="1">IFERROR(IF(BB_Switch=1,IF(_xll.BDP($D98,$D$90, "EQY_FUND_RELATIVE_PERIOD", L$3)="#N/A N/A","NA  ",(_xll.BDP($D98,$D$90, "EQY_FUND_RELATIVE_PERIOD", L$3))),L98),"NA ")</f>
        <v>2.4260733579755471</v>
      </c>
      <c r="M98" s="244" t="str">
        <f ca="1">IFERROR(IF(BB_Switch=1,IF(_xll.BDP($D98,$D$90, "EQY_FUND_RELATIVE_PERIOD", M$3)="#N/A N/A","NA  ",(_xll.BDP($D98,$D$90, "EQY_FUND_RELATIVE_PERIOD", M$3))),M98),"NA ")</f>
        <v xml:space="preserve">NA  </v>
      </c>
      <c r="N98" s="244">
        <f ca="1">IFERROR(IF(BB_Switch=1,IF(_xll.BDP($D98,$D$90, "EQY_FUND_RELATIVE_PERIOD", N$3)="#N/A N/A","NA  ",(_xll.BDP($D98,$D$90, "EQY_FUND_RELATIVE_PERIOD", N$3))),N98),"NA ")</f>
        <v>2.8183118741058655</v>
      </c>
      <c r="O98" s="244">
        <f ca="1">IFERROR(IF(BB_Switch=1,IF(_xll.BDP($D98,$D$90, "EQY_FUND_RELATIVE_PERIOD", O$3)="#N/A N/A","NA  ",(_xll.BDP($D98,$D$90, "EQY_FUND_RELATIVE_PERIOD", O$3))),O98),"NA ")</f>
        <v>3.1197636949516649</v>
      </c>
      <c r="P98" s="244">
        <f ca="1">IFERROR(IF(BB_Switch=1,IF(_xll.BDP($D98,$D$90, "EQY_FUND_RELATIVE_PERIOD", P$3)="#N/A N/A","NA  ",(_xll.BDP($D98,$D$90, "EQY_FUND_RELATIVE_PERIOD", P$3))),P98),"NA ")</f>
        <v>6.03237798297158</v>
      </c>
      <c r="Q98" s="227"/>
      <c r="R98" s="227"/>
      <c r="S98" s="227"/>
      <c r="T98" s="227"/>
      <c r="U98" s="227"/>
      <c r="V98" s="244" t="str">
        <f ca="1">IFERROR(IF(BB_Switch=1,IF(_xll.BDP($D98,$D$90, "EQY_FUND_RELATIVE_PERIOD", V$3)="#N/A N/A","NA  ",(_xll.BDP($D98,$D$90, "EQY_FUND_RELATIVE_PERIOD", V$3))),V98),"NA ")</f>
        <v xml:space="preserve">NA  </v>
      </c>
      <c r="W98" s="244" t="str">
        <f ca="1">IFERROR(IF(BB_Switch=1,IF(_xll.BDP($D98,$D$90, "EQY_FUND_RELATIVE_PERIOD", W$3)="#N/A N/A","NA  ",(_xll.BDP($D98,$D$90, "EQY_FUND_RELATIVE_PERIOD", W$3))),W98),"NA ")</f>
        <v xml:space="preserve">NA  </v>
      </c>
      <c r="X98" s="244" t="str">
        <f ca="1">IFERROR(IF(BB_Switch=1,IF(_xll.BDP($D98,$D$90, "EQY_FUND_RELATIVE_PERIOD", X$3)="#N/A N/A","NA  ",(_xll.BDP($D98,$D$90, "EQY_FUND_RELATIVE_PERIOD", X$3))),X98),"NA ")</f>
        <v xml:space="preserve">NA  </v>
      </c>
      <c r="Y98" s="244" t="str">
        <f ca="1">IFERROR(IF(BB_Switch=1,IF(_xll.BDP($D98,$D$90, "EQY_FUND_RELATIVE_PERIOD", Y$3)="#N/A N/A","NA  ",(_xll.BDP($D98,$D$90, "EQY_FUND_RELATIVE_PERIOD", Y$3))),Y98),"NA ")</f>
        <v xml:space="preserve">NA  </v>
      </c>
      <c r="Z98" s="244" t="str">
        <f ca="1">IFERROR(IF(BB_Switch=1,IF(_xll.BDP($D98,$D$90, "EQY_FUND_RELATIVE_PERIOD", Z$3)="#N/A N/A","NA  ",(_xll.BDP($D98,$D$90, "EQY_FUND_RELATIVE_PERIOD", Z$3))),Z98),"NA ")</f>
        <v xml:space="preserve">NA  </v>
      </c>
      <c r="AA98" s="244" t="str">
        <f ca="1">IFERROR(IF(BB_Switch=1,IF(_xll.BDP($D98,$D$90, "EQY_FUND_RELATIVE_PERIOD", AA$3)="#N/A N/A","NA  ",(_xll.BDP($D98,$D$90, "EQY_FUND_RELATIVE_PERIOD", AA$3))),AA98),"NA ")</f>
        <v xml:space="preserve">NA  </v>
      </c>
      <c r="AB98" s="244" t="str">
        <f ca="1">IFERROR(IF(BB_Switch=1,IF(_xll.BDP($D98,$D$90, "EQY_FUND_RELATIVE_PERIOD", AB$3)="#N/A N/A","NA  ",(_xll.BDP($D98,$D$90, "EQY_FUND_RELATIVE_PERIOD", AB$3))),AB98),"NA ")</f>
        <v xml:space="preserve">NA  </v>
      </c>
      <c r="AC98" s="244" t="str">
        <f ca="1">IFERROR(IF(BB_Switch=1,IF(_xll.BDP($D98,$D$90, "EQY_FUND_RELATIVE_PERIOD", AC$3)="#N/A N/A","NA  ",(_xll.BDP($D98,$D$90, "EQY_FUND_RELATIVE_PERIOD", AC$3))),AC98),"NA ")</f>
        <v xml:space="preserve">NA  </v>
      </c>
      <c r="AD98" s="244">
        <f ca="1">IFERROR(IF(BB_Switch=1,IF(_xll.BDP($D98,$D$90, "EQY_FUND_RELATIVE_PERIOD", AD$3)="#N/A N/A","NA  ",(_xll.BDP($D98,$D$90, "EQY_FUND_RELATIVE_PERIOD", AD$3))),AD98),"NA ")</f>
        <v>2.4420435031482541</v>
      </c>
      <c r="AE98" s="244">
        <f ca="1">IFERROR(IF(BB_Switch=1,IF(_xll.BDP($D98,$D$90, "EQY_FUND_RELATIVE_PERIOD", AE$3)="#N/A N/A","NA  ",(_xll.BDP($D98,$D$90, "EQY_FUND_RELATIVE_PERIOD", AE$3))),AE98),"NA ")</f>
        <v>6.2011834319526624</v>
      </c>
      <c r="AF98" s="235">
        <f t="shared" ca="1" si="29"/>
        <v>4.3216134675504581</v>
      </c>
      <c r="AG98" s="244"/>
      <c r="AH98" s="244"/>
      <c r="AI98" s="244"/>
      <c r="AJ98" s="244"/>
    </row>
    <row r="99" spans="2:38" ht="11.25" customHeight="1">
      <c r="C99" s="229"/>
      <c r="D99" s="227"/>
      <c r="E99" s="244"/>
      <c r="F99" s="244"/>
      <c r="G99" s="244"/>
      <c r="H99" s="244"/>
      <c r="I99" s="244"/>
      <c r="J99" s="244"/>
      <c r="K99" s="244"/>
      <c r="L99" s="244"/>
      <c r="M99" s="244"/>
      <c r="N99" s="244"/>
      <c r="O99" s="244"/>
      <c r="P99" s="244"/>
      <c r="Q99" s="227"/>
      <c r="R99" s="227"/>
      <c r="S99" s="227"/>
      <c r="T99" s="227"/>
      <c r="U99" s="227"/>
      <c r="V99" s="244"/>
      <c r="W99" s="244"/>
      <c r="X99" s="244"/>
      <c r="Y99" s="244"/>
      <c r="Z99" s="244"/>
      <c r="AA99" s="244"/>
      <c r="AB99" s="244"/>
      <c r="AC99" s="244"/>
      <c r="AD99" s="244"/>
      <c r="AE99" s="244"/>
      <c r="AF99" s="235"/>
      <c r="AG99" s="244"/>
      <c r="AH99" s="244"/>
      <c r="AI99" s="244"/>
      <c r="AJ99" s="244"/>
    </row>
    <row r="100" spans="2:38" ht="11.25" customHeight="1">
      <c r="C100" s="440" t="str">
        <f>+C20</f>
        <v>Specialty Chemicals</v>
      </c>
      <c r="D100" s="227"/>
      <c r="E100" s="244"/>
      <c r="F100" s="244"/>
      <c r="G100" s="244"/>
      <c r="H100" s="244"/>
      <c r="I100" s="244"/>
      <c r="J100" s="244"/>
      <c r="K100" s="244"/>
      <c r="L100" s="244"/>
      <c r="M100" s="244"/>
      <c r="N100" s="244"/>
      <c r="O100" s="244"/>
      <c r="P100" s="244"/>
      <c r="Q100" s="227"/>
      <c r="R100" s="227"/>
      <c r="S100" s="227"/>
      <c r="T100" s="227"/>
      <c r="U100" s="227"/>
      <c r="V100" s="244"/>
      <c r="W100" s="244"/>
      <c r="X100" s="244"/>
      <c r="Y100" s="244"/>
      <c r="Z100" s="244"/>
      <c r="AA100" s="244"/>
      <c r="AB100" s="244"/>
      <c r="AC100" s="244"/>
      <c r="AD100" s="244"/>
      <c r="AE100" s="244"/>
      <c r="AF100" s="235"/>
      <c r="AG100" s="244"/>
      <c r="AH100" s="244"/>
      <c r="AI100" s="244"/>
      <c r="AJ100" s="244"/>
    </row>
    <row r="101" spans="2:38" ht="11.25" customHeight="1">
      <c r="C101" s="229" t="str">
        <f ca="1">IFERROR(IF(BB_Switch=1,_xll.BDP($D101,$C$270),C101), "NA ")</f>
        <v>Eastman Chemical Co</v>
      </c>
      <c r="D101" s="227" t="str">
        <f>+D21</f>
        <v>EMN US EQUITY</v>
      </c>
      <c r="E101" s="244">
        <f ca="1">IFERROR(IF(BB_Switch=1,IF(_xll.BDP($D101,$D$90, "EQY_FUND_RELATIVE_PERIOD", E$3)="#N/A N/A","NA  ",(_xll.BDP($D101,$D$90, "EQY_FUND_RELATIVE_PERIOD", E$3))),E101),"NA ")</f>
        <v>3.369959677419355</v>
      </c>
      <c r="F101" s="244">
        <f ca="1">IFERROR(IF(BB_Switch=1,IF(_xll.BDP($D101,$D$90, "EQY_FUND_RELATIVE_PERIOD", F$3)="#N/A N/A","NA  ",(_xll.BDP($D101,$D$90, "EQY_FUND_RELATIVE_PERIOD", F$3))),F101),"NA ")</f>
        <v>3.2772033481043823</v>
      </c>
      <c r="G101" s="244">
        <f ca="1">IFERROR(IF(BB_Switch=1,IF(_xll.BDP($D101,$D$90, "EQY_FUND_RELATIVE_PERIOD", G$3)="#N/A N/A","NA  ",(_xll.BDP($D101,$D$90, "EQY_FUND_RELATIVE_PERIOD", G$3))),G101),"NA ")</f>
        <v>3.034080298786181</v>
      </c>
      <c r="H101" s="244">
        <f ca="1">IFERROR(IF(BB_Switch=1,IF(_xll.BDP($D101,$D$90, "EQY_FUND_RELATIVE_PERIOD", H$3)="#N/A N/A","NA  ",(_xll.BDP($D101,$D$90, "EQY_FUND_RELATIVE_PERIOD", H$3))),H101),"NA ")</f>
        <v>2.9971658006613131</v>
      </c>
      <c r="I101" s="244">
        <f ca="1">IFERROR(IF(BB_Switch=1,IF(_xll.BDP($D101,$D$90, "EQY_FUND_RELATIVE_PERIOD", I$3)="#N/A N/A","NA  ",(_xll.BDP($D101,$D$90, "EQY_FUND_RELATIVE_PERIOD", I$3))),I101),"NA ")</f>
        <v>3.1327392120075048</v>
      </c>
      <c r="J101" s="244">
        <f ca="1">IFERROR(IF(BB_Switch=1,IF(_xll.BDP($D101,$D$90, "EQY_FUND_RELATIVE_PERIOD", J$3)="#N/A N/A","NA  ",(_xll.BDP($D101,$D$90, "EQY_FUND_RELATIVE_PERIOD", J$3))),J101),"NA ")</f>
        <v>2.9473684210526314</v>
      </c>
      <c r="K101" s="244">
        <f ca="1">IFERROR(IF(BB_Switch=1,IF(_xll.BDP($D101,$D$90, "EQY_FUND_RELATIVE_PERIOD", K$3)="#N/A N/A","NA  ",(_xll.BDP($D101,$D$90, "EQY_FUND_RELATIVE_PERIOD", K$3))),K101),"NA ")</f>
        <v>2.8362753751103265</v>
      </c>
      <c r="L101" s="244">
        <f ca="1">IFERROR(IF(BB_Switch=1,IF(_xll.BDP($D101,$D$90, "EQY_FUND_RELATIVE_PERIOD", L$3)="#N/A N/A","NA  ",(_xll.BDP($D101,$D$90, "EQY_FUND_RELATIVE_PERIOD", L$3))),L101),"NA ")</f>
        <v>2.7465309898242367</v>
      </c>
      <c r="M101" s="244">
        <f ca="1">IFERROR(IF(BB_Switch=1,IF(_xll.BDP($D101,$D$90, "EQY_FUND_RELATIVE_PERIOD", M$3)="#N/A N/A","NA  ",(_xll.BDP($D101,$D$90, "EQY_FUND_RELATIVE_PERIOD", M$3))),M101),"NA ")</f>
        <v>3.0318352059925093</v>
      </c>
      <c r="N101" s="244">
        <f ca="1">IFERROR(IF(BB_Switch=1,IF(_xll.BDP($D101,$D$90, "EQY_FUND_RELATIVE_PERIOD", N$3)="#N/A N/A","NA  ",(_xll.BDP($D101,$D$90, "EQY_FUND_RELATIVE_PERIOD", N$3))),N101),"NA ")</f>
        <v>3.1441263573543927</v>
      </c>
      <c r="O101" s="244">
        <f ca="1">IFERROR(IF(BB_Switch=1,IF(_xll.BDP($D101,$D$90, "EQY_FUND_RELATIVE_PERIOD", O$3)="#N/A N/A","NA  ",(_xll.BDP($D101,$D$90, "EQY_FUND_RELATIVE_PERIOD", O$3))),O101),"NA ")</f>
        <v>3.3061333333333334</v>
      </c>
      <c r="P101" s="244">
        <f ca="1">IFERROR(IF(BB_Switch=1,IF(_xll.BDP($D101,$D$90, "EQY_FUND_RELATIVE_PERIOD", P$3)="#N/A N/A","NA  ",(_xll.BDP($D101,$D$90, "EQY_FUND_RELATIVE_PERIOD", P$3))),P101),"NA ")</f>
        <v>3.1983379501385043</v>
      </c>
      <c r="Q101" s="227"/>
      <c r="R101" s="227"/>
      <c r="S101" s="227"/>
      <c r="T101" s="227"/>
      <c r="U101" s="227"/>
      <c r="V101" s="244">
        <f ca="1">IFERROR(IF(BB_Switch=1,IF(_xll.BDP($D101,$D$90, "EQY_FUND_RELATIVE_PERIOD", V$3)="#N/A N/A","NA  ",(_xll.BDP($D101,$D$90, "EQY_FUND_RELATIVE_PERIOD", V$3))),V101),"NA ")</f>
        <v>0.96797153024911031</v>
      </c>
      <c r="W101" s="244">
        <f ca="1">IFERROR(IF(BB_Switch=1,IF(_xll.BDP($D101,$D$90, "EQY_FUND_RELATIVE_PERIOD", W$3)="#N/A N/A","NA  ",(_xll.BDP($D101,$D$90, "EQY_FUND_RELATIVE_PERIOD", W$3))),W101),"NA ")</f>
        <v>0.67851239669421493</v>
      </c>
      <c r="X101" s="244">
        <f ca="1">IFERROR(IF(BB_Switch=1,IF(_xll.BDP($D101,$D$90, "EQY_FUND_RELATIVE_PERIOD", X$3)="#N/A N/A","NA  ",(_xll.BDP($D101,$D$90, "EQY_FUND_RELATIVE_PERIOD", X$3))),X101),"NA ")</f>
        <v>3.9086206896551725</v>
      </c>
      <c r="Y101" s="244">
        <f ca="1">IFERROR(IF(BB_Switch=1,IF(_xll.BDP($D101,$D$90, "EQY_FUND_RELATIVE_PERIOD", Y$3)="#N/A N/A","NA  ",(_xll.BDP($D101,$D$90, "EQY_FUND_RELATIVE_PERIOD", Y$3))),Y101),"NA ")</f>
        <v>1.7503267973856209</v>
      </c>
      <c r="Z101" s="244">
        <f ca="1">IFERROR(IF(BB_Switch=1,IF(_xll.BDP($D101,$D$90, "EQY_FUND_RELATIVE_PERIOD", Z$3)="#N/A N/A","NA  ",(_xll.BDP($D101,$D$90, "EQY_FUND_RELATIVE_PERIOD", Z$3))),Z101),"NA ")</f>
        <v>4.5502481389578167</v>
      </c>
      <c r="AA101" s="244">
        <f ca="1">IFERROR(IF(BB_Switch=1,IF(_xll.BDP($D101,$D$90, "EQY_FUND_RELATIVE_PERIOD", AA$3)="#N/A N/A","NA  ",(_xll.BDP($D101,$D$90, "EQY_FUND_RELATIVE_PERIOD", AA$3))),AA101),"NA ")</f>
        <v>3.4347826086956523</v>
      </c>
      <c r="AB101" s="244">
        <f ca="1">IFERROR(IF(BB_Switch=1,IF(_xll.BDP($D101,$D$90, "EQY_FUND_RELATIVE_PERIOD", AB$3)="#N/A N/A","NA  ",(_xll.BDP($D101,$D$90, "EQY_FUND_RELATIVE_PERIOD", AB$3))),AB101),"NA ")</f>
        <v>3.2649006622516556</v>
      </c>
      <c r="AC101" s="244">
        <f ca="1">IFERROR(IF(BB_Switch=1,IF(_xll.BDP($D101,$D$90, "EQY_FUND_RELATIVE_PERIOD", AC$3)="#N/A N/A","NA  ",(_xll.BDP($D101,$D$90, "EQY_FUND_RELATIVE_PERIOD", AC$3))),AC101),"NA ")</f>
        <v>2.9971658006613131</v>
      </c>
      <c r="AD101" s="244">
        <f ca="1">IFERROR(IF(BB_Switch=1,IF(_xll.BDP($D101,$D$90, "EQY_FUND_RELATIVE_PERIOD", AD$3)="#N/A N/A","NA  ",(_xll.BDP($D101,$D$90, "EQY_FUND_RELATIVE_PERIOD", AD$3))),AD101),"NA ")</f>
        <v>2.75417439703154</v>
      </c>
      <c r="AE101" s="244">
        <f ca="1">IFERROR(IF(BB_Switch=1,IF(_xll.BDP($D101,$D$90, "EQY_FUND_RELATIVE_PERIOD", AE$3)="#N/A N/A","NA  ",(_xll.BDP($D101,$D$90, "EQY_FUND_RELATIVE_PERIOD", AE$3))),AE101),"NA ")</f>
        <v>3.2036625971143176</v>
      </c>
      <c r="AF101" s="235">
        <f ca="1">IFERROR(+AVERAGE(V101:AE101),"NA  ")</f>
        <v>2.7510365618696415</v>
      </c>
      <c r="AG101" s="244"/>
      <c r="AH101" s="244"/>
      <c r="AI101" s="244"/>
      <c r="AJ101" s="244"/>
    </row>
    <row r="102" spans="2:38" ht="11.25" customHeight="1">
      <c r="C102" s="229" t="str">
        <f ca="1">IFERROR(IF(BB_Switch=1,_xll.BDP($D102,$C$270),C102), "NA ")</f>
        <v>Celanese Corp</v>
      </c>
      <c r="D102" s="227" t="str">
        <f>+D22</f>
        <v>CE US EQUITY</v>
      </c>
      <c r="E102" s="244">
        <f ca="1">IFERROR(IF(BB_Switch=1,IF(_xll.BDP($D102,$D$90, "EQY_FUND_RELATIVE_PERIOD", E$3)="#N/A N/A","NA  ",(_xll.BDP($D102,$D$90, "EQY_FUND_RELATIVE_PERIOD", E$3))),E102),"NA ")</f>
        <v>2.2236480293308891</v>
      </c>
      <c r="F102" s="244">
        <f ca="1">IFERROR(IF(BB_Switch=1,IF(_xll.BDP($D102,$D$90, "EQY_FUND_RELATIVE_PERIOD", F$3)="#N/A N/A","NA  ",(_xll.BDP($D102,$D$90, "EQY_FUND_RELATIVE_PERIOD", F$3))),F102),"NA ")</f>
        <v>2.5876865671641789</v>
      </c>
      <c r="G102" s="244">
        <f ca="1">IFERROR(IF(BB_Switch=1,IF(_xll.BDP($D102,$D$90, "EQY_FUND_RELATIVE_PERIOD", G$3)="#N/A N/A","NA  ",(_xll.BDP($D102,$D$90, "EQY_FUND_RELATIVE_PERIOD", G$3))),G102),"NA ")</f>
        <v>2.7355996222851746</v>
      </c>
      <c r="H102" s="244">
        <f ca="1">IFERROR(IF(BB_Switch=1,IF(_xll.BDP($D102,$D$90, "EQY_FUND_RELATIVE_PERIOD", H$3)="#N/A N/A","NA  ",(_xll.BDP($D102,$D$90, "EQY_FUND_RELATIVE_PERIOD", H$3))),H102),"NA ")</f>
        <v>2.5989717223650386</v>
      </c>
      <c r="I102" s="244">
        <f ca="1">IFERROR(IF(BB_Switch=1,IF(_xll.BDP($D102,$D$90, "EQY_FUND_RELATIVE_PERIOD", I$3)="#N/A N/A","NA  ",(_xll.BDP($D102,$D$90, "EQY_FUND_RELATIVE_PERIOD", I$3))),I102),"NA ")</f>
        <v>2.4461190655614167</v>
      </c>
      <c r="J102" s="244">
        <f ca="1">IFERROR(IF(BB_Switch=1,IF(_xll.BDP($D102,$D$90, "EQY_FUND_RELATIVE_PERIOD", J$3)="#N/A N/A","NA  ",(_xll.BDP($D102,$D$90, "EQY_FUND_RELATIVE_PERIOD", J$3))),J102),"NA ")</f>
        <v>1.9401767505098573</v>
      </c>
      <c r="K102" s="244">
        <f ca="1">IFERROR(IF(BB_Switch=1,IF(_xll.BDP($D102,$D$90, "EQY_FUND_RELATIVE_PERIOD", K$3)="#N/A N/A","NA  ",(_xll.BDP($D102,$D$90, "EQY_FUND_RELATIVE_PERIOD", K$3))),K102),"NA ")</f>
        <v>1.652948402948403</v>
      </c>
      <c r="L102" s="244">
        <f ca="1">IFERROR(IF(BB_Switch=1,IF(_xll.BDP($D102,$D$90, "EQY_FUND_RELATIVE_PERIOD", L$3)="#N/A N/A","NA  ",(_xll.BDP($D102,$D$90, "EQY_FUND_RELATIVE_PERIOD", L$3))),L102),"NA ")</f>
        <v>1.8187759952465834</v>
      </c>
      <c r="M102" s="244">
        <f ca="1">IFERROR(IF(BB_Switch=1,IF(_xll.BDP($D102,$D$90, "EQY_FUND_RELATIVE_PERIOD", M$3)="#N/A N/A","NA  ",(_xll.BDP($D102,$D$90, "EQY_FUND_RELATIVE_PERIOD", M$3))),M102),"NA ")</f>
        <v>2.0206124852767964</v>
      </c>
      <c r="N102" s="244">
        <f ca="1">IFERROR(IF(BB_Switch=1,IF(_xll.BDP($D102,$D$90, "EQY_FUND_RELATIVE_PERIOD", N$3)="#N/A N/A","NA  ",(_xll.BDP($D102,$D$90, "EQY_FUND_RELATIVE_PERIOD", N$3))),N102),"NA ")</f>
        <v>2.2726081258191351</v>
      </c>
      <c r="O102" s="244">
        <f ca="1">IFERROR(IF(BB_Switch=1,IF(_xll.BDP($D102,$D$90, "EQY_FUND_RELATIVE_PERIOD", O$3)="#N/A N/A","NA  ",(_xll.BDP($D102,$D$90, "EQY_FUND_RELATIVE_PERIOD", O$3))),O102),"NA ")</f>
        <v>2.409732016925247</v>
      </c>
      <c r="P102" s="244">
        <f ca="1">IFERROR(IF(BB_Switch=1,IF(_xll.BDP($D102,$D$90, "EQY_FUND_RELATIVE_PERIOD", P$3)="#N/A N/A","NA  ",(_xll.BDP($D102,$D$90, "EQY_FUND_RELATIVE_PERIOD", P$3))),P102),"NA ")</f>
        <v>2.9558101472995091</v>
      </c>
      <c r="Q102" s="227"/>
      <c r="R102" s="227"/>
      <c r="S102" s="227"/>
      <c r="T102" s="227"/>
      <c r="U102" s="227"/>
      <c r="V102" s="244">
        <f ca="1">IFERROR(IF(BB_Switch=1,IF(_xll.BDP($D102,$D$90, "EQY_FUND_RELATIVE_PERIOD", V$3)="#N/A N/A","NA  ",(_xll.BDP($D102,$D$90, "EQY_FUND_RELATIVE_PERIOD", V$3))),V102),"NA ")</f>
        <v>2.9887920298879203</v>
      </c>
      <c r="W102" s="244">
        <f ca="1">IFERROR(IF(BB_Switch=1,IF(_xll.BDP($D102,$D$90, "EQY_FUND_RELATIVE_PERIOD", W$3)="#N/A N/A","NA  ",(_xll.BDP($D102,$D$90, "EQY_FUND_RELATIVE_PERIOD", W$3))),W102),"NA ")</f>
        <v>2.2687312687312686</v>
      </c>
      <c r="X102" s="244">
        <f ca="1">IFERROR(IF(BB_Switch=1,IF(_xll.BDP($D102,$D$90, "EQY_FUND_RELATIVE_PERIOD", X$3)="#N/A N/A","NA  ",(_xll.BDP($D102,$D$90, "EQY_FUND_RELATIVE_PERIOD", X$3))),X102),"NA ")</f>
        <v>4.2141414141414142</v>
      </c>
      <c r="Y102" s="244">
        <f ca="1">IFERROR(IF(BB_Switch=1,IF(_xll.BDP($D102,$D$90, "EQY_FUND_RELATIVE_PERIOD", Y$3)="#N/A N/A","NA  ",(_xll.BDP($D102,$D$90, "EQY_FUND_RELATIVE_PERIOD", Y$3))),Y102),"NA ")</f>
        <v>1.1160372194854953</v>
      </c>
      <c r="Z102" s="244">
        <f ca="1">IFERROR(IF(BB_Switch=1,IF(_xll.BDP($D102,$D$90, "EQY_FUND_RELATIVE_PERIOD", Z$3)="#N/A N/A","NA  ",(_xll.BDP($D102,$D$90, "EQY_FUND_RELATIVE_PERIOD", Z$3))),Z102),"NA ")</f>
        <v>1.8096590909090908</v>
      </c>
      <c r="AA102" s="244">
        <f ca="1">IFERROR(IF(BB_Switch=1,IF(_xll.BDP($D102,$D$90, "EQY_FUND_RELATIVE_PERIOD", AA$3)="#N/A N/A","NA  ",(_xll.BDP($D102,$D$90, "EQY_FUND_RELATIVE_PERIOD", AA$3))),AA102),"NA ")</f>
        <v>2.8795355587808418</v>
      </c>
      <c r="AB102" s="244">
        <f ca="1">IFERROR(IF(BB_Switch=1,IF(_xll.BDP($D102,$D$90, "EQY_FUND_RELATIVE_PERIOD", AB$3)="#N/A N/A","NA  ",(_xll.BDP($D102,$D$90, "EQY_FUND_RELATIVE_PERIOD", AB$3))),AB102),"NA ")</f>
        <v>1.9024390243902438</v>
      </c>
      <c r="AC102" s="244">
        <f ca="1">IFERROR(IF(BB_Switch=1,IF(_xll.BDP($D102,$D$90, "EQY_FUND_RELATIVE_PERIOD", AC$3)="#N/A N/A","NA  ",(_xll.BDP($D102,$D$90, "EQY_FUND_RELATIVE_PERIOD", AC$3))),AC102),"NA ")</f>
        <v>2.5967465753424657</v>
      </c>
      <c r="AD102" s="244">
        <f ca="1">IFERROR(IF(BB_Switch=1,IF(_xll.BDP($D102,$D$90, "EQY_FUND_RELATIVE_PERIOD", AD$3)="#N/A N/A","NA  ",(_xll.BDP($D102,$D$90, "EQY_FUND_RELATIVE_PERIOD", AD$3))),AD102),"NA ")</f>
        <v>1.8187759952465834</v>
      </c>
      <c r="AE102" s="244">
        <f ca="1">IFERROR(IF(BB_Switch=1,IF(_xll.BDP($D102,$D$90, "EQY_FUND_RELATIVE_PERIOD", AE$3)="#N/A N/A","NA  ",(_xll.BDP($D102,$D$90, "EQY_FUND_RELATIVE_PERIOD", AE$3))),AE102),"NA ")</f>
        <v>2.9558101472995091</v>
      </c>
      <c r="AF102" s="235">
        <f ca="1">IFERROR(+AVERAGE(V102:AE102),"NA  ")</f>
        <v>2.4550668324214828</v>
      </c>
      <c r="AG102" s="244"/>
      <c r="AH102" s="244"/>
      <c r="AI102" s="244"/>
      <c r="AJ102" s="244"/>
    </row>
    <row r="103" spans="2:38" ht="11.25" customHeight="1">
      <c r="C103" s="229" t="str">
        <f ca="1">IFERROR(IF(BB_Switch=1,_xll.BDP($D103,$C$270),C103), "NA ")</f>
        <v>BASF SE</v>
      </c>
      <c r="D103" s="227" t="str">
        <f>+D23</f>
        <v>BAS GR EQUITY</v>
      </c>
      <c r="E103" s="244">
        <f ca="1">IFERROR(IF(BB_Switch=1,IF(_xll.BDP($D103,$D$90, "EQY_FUND_RELATIVE_PERIOD", E$3)="#N/A N/A","NA  ",(_xll.BDP($D103,$D$90, "EQY_FUND_RELATIVE_PERIOD", E$3))),E103),"NA ")</f>
        <v>1.3211536760152172</v>
      </c>
      <c r="F103" s="244">
        <f ca="1">IFERROR(IF(BB_Switch=1,IF(_xll.BDP($D103,$D$90, "EQY_FUND_RELATIVE_PERIOD", F$3)="#N/A N/A","NA  ",(_xll.BDP($D103,$D$90, "EQY_FUND_RELATIVE_PERIOD", F$3))),F103),"NA ")</f>
        <v>1.3420394793552279</v>
      </c>
      <c r="G103" s="244">
        <f ca="1">IFERROR(IF(BB_Switch=1,IF(_xll.BDP($D103,$D$90, "EQY_FUND_RELATIVE_PERIOD", G$3)="#N/A N/A","NA  ",(_xll.BDP($D103,$D$90, "EQY_FUND_RELATIVE_PERIOD", G$3))),G103),"NA ")</f>
        <v>1.0229300425248062</v>
      </c>
      <c r="H103" s="244">
        <f ca="1">IFERROR(IF(BB_Switch=1,IF(_xll.BDP($D103,$D$90, "EQY_FUND_RELATIVE_PERIOD", H$3)="#N/A N/A","NA  ",(_xll.BDP($D103,$D$90, "EQY_FUND_RELATIVE_PERIOD", H$3))),H103),"NA ")</f>
        <v>1.003319647069101</v>
      </c>
      <c r="I103" s="244">
        <f ca="1">IFERROR(IF(BB_Switch=1,IF(_xll.BDP($D103,$D$90, "EQY_FUND_RELATIVE_PERIOD", I$3)="#N/A N/A","NA  ",(_xll.BDP($D103,$D$90, "EQY_FUND_RELATIVE_PERIOD", I$3))),I103),"NA ")</f>
        <v>0.92409415498545355</v>
      </c>
      <c r="J103" s="244">
        <f ca="1">IFERROR(IF(BB_Switch=1,IF(_xll.BDP($D103,$D$90, "EQY_FUND_RELATIVE_PERIOD", J$3)="#N/A N/A","NA  ",(_xll.BDP($D103,$D$90, "EQY_FUND_RELATIVE_PERIOD", J$3))),J103),"NA ")</f>
        <v>1.1344628695025234</v>
      </c>
      <c r="K103" s="244">
        <f ca="1">IFERROR(IF(BB_Switch=1,IF(_xll.BDP($D103,$D$90, "EQY_FUND_RELATIVE_PERIOD", K$3)="#N/A N/A","NA  ",(_xll.BDP($D103,$D$90, "EQY_FUND_RELATIVE_PERIOD", K$3))),K103),"NA ")</f>
        <v>1.6991233858045056</v>
      </c>
      <c r="L103" s="244">
        <f ca="1">IFERROR(IF(BB_Switch=1,IF(_xll.BDP($D103,$D$90, "EQY_FUND_RELATIVE_PERIOD", L$3)="#N/A N/A","NA  ",(_xll.BDP($D103,$D$90, "EQY_FUND_RELATIVE_PERIOD", L$3))),L103),"NA ")</f>
        <v>1.9564562950220405</v>
      </c>
      <c r="M103" s="244">
        <f ca="1">IFERROR(IF(BB_Switch=1,IF(_xll.BDP($D103,$D$90, "EQY_FUND_RELATIVE_PERIOD", M$3)="#N/A N/A","NA  ",(_xll.BDP($D103,$D$90, "EQY_FUND_RELATIVE_PERIOD", M$3))),M103),"NA ")</f>
        <v>2.3178294573643412</v>
      </c>
      <c r="N103" s="244">
        <f ca="1">IFERROR(IF(BB_Switch=1,IF(_xll.BDP($D103,$D$90, "EQY_FUND_RELATIVE_PERIOD", N$3)="#N/A N/A","NA  ",(_xll.BDP($D103,$D$90, "EQY_FUND_RELATIVE_PERIOD", N$3))),N103),"NA ")</f>
        <v>2.4528203795165062</v>
      </c>
      <c r="O103" s="244">
        <f ca="1">IFERROR(IF(BB_Switch=1,IF(_xll.BDP($D103,$D$90, "EQY_FUND_RELATIVE_PERIOD", O$3)="#N/A N/A","NA  ",(_xll.BDP($D103,$D$90, "EQY_FUND_RELATIVE_PERIOD", O$3))),O103),"NA ")</f>
        <v>2.4756353156929527</v>
      </c>
      <c r="P103" s="244">
        <f ca="1">IFERROR(IF(BB_Switch=1,IF(_xll.BDP($D103,$D$90, "EQY_FUND_RELATIVE_PERIOD", P$3)="#N/A N/A","NA  ",(_xll.BDP($D103,$D$90, "EQY_FUND_RELATIVE_PERIOD", P$3))),P103),"NA ")</f>
        <v>2.0258527827648116</v>
      </c>
      <c r="Q103" s="227"/>
      <c r="R103" s="227"/>
      <c r="S103" s="227"/>
      <c r="T103" s="227"/>
      <c r="U103" s="227"/>
      <c r="V103" s="244">
        <f ca="1">IFERROR(IF(BB_Switch=1,IF(_xll.BDP($D103,$D$90, "EQY_FUND_RELATIVE_PERIOD", V$3)="#N/A N/A","NA  ",(_xll.BDP($D103,$D$90, "EQY_FUND_RELATIVE_PERIOD", V$3))),V103),"NA ")</f>
        <v>1.2100623330365095</v>
      </c>
      <c r="W103" s="244">
        <f ca="1">IFERROR(IF(BB_Switch=1,IF(_xll.BDP($D103,$D$90, "EQY_FUND_RELATIVE_PERIOD", W$3)="#N/A N/A","NA  ",(_xll.BDP($D103,$D$90, "EQY_FUND_RELATIVE_PERIOD", W$3))),W103),"NA ")</f>
        <v>0.91496796738497377</v>
      </c>
      <c r="X103" s="244">
        <f ca="1">IFERROR(IF(BB_Switch=1,IF(_xll.BDP($D103,$D$90, "EQY_FUND_RELATIVE_PERIOD", X$3)="#N/A N/A","NA  ",(_xll.BDP($D103,$D$90, "EQY_FUND_RELATIVE_PERIOD", X$3))),X103),"NA ")</f>
        <v>1.1537345902828136</v>
      </c>
      <c r="Y103" s="244">
        <f ca="1">IFERROR(IF(BB_Switch=1,IF(_xll.BDP($D103,$D$90, "EQY_FUND_RELATIVE_PERIOD", Y$3)="#N/A N/A","NA  ",(_xll.BDP($D103,$D$90, "EQY_FUND_RELATIVE_PERIOD", Y$3))),Y103),"NA ")</f>
        <v>1.2207754348459818</v>
      </c>
      <c r="Z103" s="244">
        <f ca="1">IFERROR(IF(BB_Switch=1,IF(_xll.BDP($D103,$D$90, "EQY_FUND_RELATIVE_PERIOD", Z$3)="#N/A N/A","NA  ",(_xll.BDP($D103,$D$90, "EQY_FUND_RELATIVE_PERIOD", Z$3))),Z103),"NA ")</f>
        <v>1.2563984533235131</v>
      </c>
      <c r="AA103" s="244">
        <f ca="1">IFERROR(IF(BB_Switch=1,IF(_xll.BDP($D103,$D$90, "EQY_FUND_RELATIVE_PERIOD", AA$3)="#N/A N/A","NA  ",(_xll.BDP($D103,$D$90, "EQY_FUND_RELATIVE_PERIOD", AA$3))),AA103),"NA ")</f>
        <v>1.2010213556174558</v>
      </c>
      <c r="AB103" s="244">
        <f ca="1">IFERROR(IF(BB_Switch=1,IF(_xll.BDP($D103,$D$90, "EQY_FUND_RELATIVE_PERIOD", AB$3)="#N/A N/A","NA  ",(_xll.BDP($D103,$D$90, "EQY_FUND_RELATIVE_PERIOD", AB$3))),AB103),"NA ")</f>
        <v>1.3437529159279649</v>
      </c>
      <c r="AC103" s="244">
        <f ca="1">IFERROR(IF(BB_Switch=1,IF(_xll.BDP($D103,$D$90, "EQY_FUND_RELATIVE_PERIOD", AC$3)="#N/A N/A","NA  ",(_xll.BDP($D103,$D$90, "EQY_FUND_RELATIVE_PERIOD", AC$3))),AC103),"NA ")</f>
        <v>1.003319647069101</v>
      </c>
      <c r="AD103" s="244">
        <f ca="1">IFERROR(IF(BB_Switch=1,IF(_xll.BDP($D103,$D$90, "EQY_FUND_RELATIVE_PERIOD", AD$3)="#N/A N/A","NA  ",(_xll.BDP($D103,$D$90, "EQY_FUND_RELATIVE_PERIOD", AD$3))),AD103),"NA ")</f>
        <v>1.9702252057167604</v>
      </c>
      <c r="AE103" s="244">
        <f ca="1">IFERROR(IF(BB_Switch=1,IF(_xll.BDP($D103,$D$90, "EQY_FUND_RELATIVE_PERIOD", AE$3)="#N/A N/A","NA  ",(_xll.BDP($D103,$D$90, "EQY_FUND_RELATIVE_PERIOD", AE$3))),AE103),"NA ")</f>
        <v>2.0258527827648116</v>
      </c>
      <c r="AF103" s="235">
        <f ca="1">IFERROR(+AVERAGE(V103:AE103),"NA  ")</f>
        <v>1.3300110685969886</v>
      </c>
      <c r="AG103" s="244"/>
      <c r="AH103" s="244"/>
      <c r="AI103" s="244"/>
      <c r="AJ103" s="244"/>
    </row>
    <row r="104" spans="2:38" ht="11.25" customHeight="1">
      <c r="C104" s="229" t="str">
        <f ca="1">IFERROR(IF(BB_Switch=1,_xll.BDP($D104,$C$270),C104), "NA ")</f>
        <v>Trinseo SA</v>
      </c>
      <c r="D104" s="227" t="str">
        <f>+D24</f>
        <v>TSE US EQUITY</v>
      </c>
      <c r="E104" s="244">
        <f ca="1">IFERROR(IF(BB_Switch=1,IF(_xll.BDP($D104,$D$90, "EQY_FUND_RELATIVE_PERIOD", E$3)="#N/A N/A","NA  ",(_xll.BDP($D104,$D$90, "EQY_FUND_RELATIVE_PERIOD", E$3))),E104),"NA ")</f>
        <v>1.5342727639000806</v>
      </c>
      <c r="F104" s="244">
        <f ca="1">IFERROR(IF(BB_Switch=1,IF(_xll.BDP($D104,$D$90, "EQY_FUND_RELATIVE_PERIOD", F$3)="#N/A N/A","NA  ",(_xll.BDP($D104,$D$90, "EQY_FUND_RELATIVE_PERIOD", F$3))),F104),"NA ")</f>
        <v>1.7647698922448116</v>
      </c>
      <c r="G104" s="244">
        <f ca="1">IFERROR(IF(BB_Switch=1,IF(_xll.BDP($D104,$D$90, "EQY_FUND_RELATIVE_PERIOD", G$3)="#N/A N/A","NA  ",(_xll.BDP($D104,$D$90, "EQY_FUND_RELATIVE_PERIOD", G$3))),G104),"NA ")</f>
        <v>1.8003270942355964</v>
      </c>
      <c r="H104" s="244">
        <f ca="1">IFERROR(IF(BB_Switch=1,IF(_xll.BDP($D104,$D$90, "EQY_FUND_RELATIVE_PERIOD", H$3)="#N/A N/A","NA  ",(_xll.BDP($D104,$D$90, "EQY_FUND_RELATIVE_PERIOD", H$3))),H104),"NA ")</f>
        <v>1.4497926906285181</v>
      </c>
      <c r="I104" s="244">
        <f ca="1">IFERROR(IF(BB_Switch=1,IF(_xll.BDP($D104,$D$90, "EQY_FUND_RELATIVE_PERIOD", I$3)="#N/A N/A","NA  ",(_xll.BDP($D104,$D$90, "EQY_FUND_RELATIVE_PERIOD", I$3))),I104),"NA ")</f>
        <v>1.574172239438917</v>
      </c>
      <c r="J104" s="244">
        <f ca="1">IFERROR(IF(BB_Switch=1,IF(_xll.BDP($D104,$D$90, "EQY_FUND_RELATIVE_PERIOD", J$3)="#N/A N/A","NA  ",(_xll.BDP($D104,$D$90, "EQY_FUND_RELATIVE_PERIOD", J$3))),J104),"NA ")</f>
        <v>1.3659186002282233</v>
      </c>
      <c r="K104" s="244">
        <f ca="1">IFERROR(IF(BB_Switch=1,IF(_xll.BDP($D104,$D$90, "EQY_FUND_RELATIVE_PERIOD", K$3)="#N/A N/A","NA  ",(_xll.BDP($D104,$D$90, "EQY_FUND_RELATIVE_PERIOD", K$3))),K104),"NA ")</f>
        <v>1.4468538238141337</v>
      </c>
      <c r="L104" s="244">
        <f ca="1">IFERROR(IF(BB_Switch=1,IF(_xll.BDP($D104,$D$90, "EQY_FUND_RELATIVE_PERIOD", L$3)="#N/A N/A","NA  ",(_xll.BDP($D104,$D$90, "EQY_FUND_RELATIVE_PERIOD", L$3))),L104),"NA ")</f>
        <v>1.7865168539325842</v>
      </c>
      <c r="M104" s="244">
        <f ca="1">IFERROR(IF(BB_Switch=1,IF(_xll.BDP($D104,$D$90, "EQY_FUND_RELATIVE_PERIOD", M$3)="#N/A N/A","NA  ",(_xll.BDP($D104,$D$90, "EQY_FUND_RELATIVE_PERIOD", M$3))),M104),"NA ")</f>
        <v>2.1260702686743431</v>
      </c>
      <c r="N104" s="244">
        <f ca="1">IFERROR(IF(BB_Switch=1,IF(_xll.BDP($D104,$D$90, "EQY_FUND_RELATIVE_PERIOD", N$3)="#N/A N/A","NA  ",(_xll.BDP($D104,$D$90, "EQY_FUND_RELATIVE_PERIOD", N$3))),N104),"NA ")</f>
        <v>2.7752059631227932</v>
      </c>
      <c r="O104" s="244">
        <f ca="1">IFERROR(IF(BB_Switch=1,IF(_xll.BDP($D104,$D$90, "EQY_FUND_RELATIVE_PERIOD", O$3)="#N/A N/A","NA  ",(_xll.BDP($D104,$D$90, "EQY_FUND_RELATIVE_PERIOD", O$3))),O104),"NA ")</f>
        <v>3.7789126853377266</v>
      </c>
      <c r="P104" s="244">
        <f ca="1">IFERROR(IF(BB_Switch=1,IF(_xll.BDP($D104,$D$90, "EQY_FUND_RELATIVE_PERIOD", P$3)="#N/A N/A","NA  ",(_xll.BDP($D104,$D$90, "EQY_FUND_RELATIVE_PERIOD", P$3))),P104),"NA ")</f>
        <v>4.1861993428258479</v>
      </c>
      <c r="Q104" s="227"/>
      <c r="R104" s="227"/>
      <c r="S104" s="227"/>
      <c r="T104" s="227"/>
      <c r="U104" s="227"/>
      <c r="V104" s="244">
        <f ca="1">IFERROR(IF(BB_Switch=1,IF(_xll.BDP($D104,$D$90, "EQY_FUND_RELATIVE_PERIOD", V$3)="#N/A N/A","NA  ",(_xll.BDP($D104,$D$90, "EQY_FUND_RELATIVE_PERIOD", V$3))),V104),"NA ")</f>
        <v>3.534853752407598</v>
      </c>
      <c r="W104" s="244" t="str">
        <f ca="1">IFERROR(IF(BB_Switch=1,IF(_xll.BDP($D104,$D$90, "EQY_FUND_RELATIVE_PERIOD", W$3)="#N/A N/A","NA  ",(_xll.BDP($D104,$D$90, "EQY_FUND_RELATIVE_PERIOD", W$3))),W104),"NA ")</f>
        <v xml:space="preserve">NA  </v>
      </c>
      <c r="X104" s="244">
        <f ca="1">IFERROR(IF(BB_Switch=1,IF(_xll.BDP($D104,$D$90, "EQY_FUND_RELATIVE_PERIOD", X$3)="#N/A N/A","NA  ",(_xll.BDP($D104,$D$90, "EQY_FUND_RELATIVE_PERIOD", X$3))),X104),"NA ")</f>
        <v>4.5521511166958373</v>
      </c>
      <c r="Y104" s="244">
        <f ca="1">IFERROR(IF(BB_Switch=1,IF(_xll.BDP($D104,$D$90, "EQY_FUND_RELATIVE_PERIOD", Y$3)="#N/A N/A","NA  ",(_xll.BDP($D104,$D$90, "EQY_FUND_RELATIVE_PERIOD", Y$3))),Y104),"NA ")</f>
        <v>4.1378436653768249</v>
      </c>
      <c r="Z104" s="244">
        <f ca="1">IFERROR(IF(BB_Switch=1,IF(_xll.BDP($D104,$D$90, "EQY_FUND_RELATIVE_PERIOD", Z$3)="#N/A N/A","NA  ",(_xll.BDP($D104,$D$90, "EQY_FUND_RELATIVE_PERIOD", Z$3))),Z104),"NA ")</f>
        <v>4.5396225542347004</v>
      </c>
      <c r="AA104" s="244">
        <f ca="1">IFERROR(IF(BB_Switch=1,IF(_xll.BDP($D104,$D$90, "EQY_FUND_RELATIVE_PERIOD", AA$3)="#N/A N/A","NA  ",(_xll.BDP($D104,$D$90, "EQY_FUND_RELATIVE_PERIOD", AA$3))),AA104),"NA ")</f>
        <v>2.0980161502137529</v>
      </c>
      <c r="AB104" s="244">
        <f ca="1">IFERROR(IF(BB_Switch=1,IF(_xll.BDP($D104,$D$90, "EQY_FUND_RELATIVE_PERIOD", AB$3)="#N/A N/A","NA  ",(_xll.BDP($D104,$D$90, "EQY_FUND_RELATIVE_PERIOD", AB$3))),AB104),"NA ")</f>
        <v>1.5823878850051631</v>
      </c>
      <c r="AC104" s="244">
        <f ca="1">IFERROR(IF(BB_Switch=1,IF(_xll.BDP($D104,$D$90, "EQY_FUND_RELATIVE_PERIOD", AC$3)="#N/A N/A","NA  ",(_xll.BDP($D104,$D$90, "EQY_FUND_RELATIVE_PERIOD", AC$3))),AC104),"NA ")</f>
        <v>1.4440320375073259</v>
      </c>
      <c r="AD104" s="244">
        <f ca="1">IFERROR(IF(BB_Switch=1,IF(_xll.BDP($D104,$D$90, "EQY_FUND_RELATIVE_PERIOD", AD$3)="#N/A N/A","NA  ",(_xll.BDP($D104,$D$90, "EQY_FUND_RELATIVE_PERIOD", AD$3))),AD104),"NA ")</f>
        <v>1.7865168539325842</v>
      </c>
      <c r="AE104" s="244">
        <f ca="1">IFERROR(IF(BB_Switch=1,IF(_xll.BDP($D104,$D$90, "EQY_FUND_RELATIVE_PERIOD", AE$3)="#N/A N/A","NA  ",(_xll.BDP($D104,$D$90, "EQY_FUND_RELATIVE_PERIOD", AE$3))),AE104),"NA ")</f>
        <v>4.6355366889023637</v>
      </c>
      <c r="AF104" s="234">
        <f ca="1">IFERROR(+AVERAGE(V104:AE104),"NA  ")</f>
        <v>3.1456623004751281</v>
      </c>
      <c r="AG104" s="244"/>
      <c r="AH104" s="244"/>
      <c r="AI104" s="244"/>
      <c r="AJ104" s="244"/>
    </row>
    <row r="105" spans="2:38" ht="11.25" customHeight="1">
      <c r="C105" s="229"/>
      <c r="D105" s="341"/>
      <c r="E105" s="227"/>
      <c r="F105" s="227"/>
      <c r="G105" s="227"/>
      <c r="H105" s="227"/>
      <c r="I105" s="227"/>
      <c r="J105" s="227"/>
      <c r="K105" s="227"/>
      <c r="L105" s="227"/>
      <c r="M105" s="227"/>
      <c r="N105" s="227"/>
      <c r="O105" s="227"/>
      <c r="P105" s="227"/>
      <c r="Q105" s="227"/>
      <c r="R105" s="227"/>
      <c r="S105" s="227"/>
      <c r="T105" s="227"/>
      <c r="U105" s="227"/>
      <c r="V105" s="244"/>
      <c r="W105" s="244"/>
      <c r="X105" s="244"/>
      <c r="Y105" s="244"/>
      <c r="Z105" s="244"/>
      <c r="AA105" s="244"/>
      <c r="AB105" s="244"/>
      <c r="AC105" s="244"/>
      <c r="AD105" s="244"/>
      <c r="AE105" s="244"/>
      <c r="AF105" s="244"/>
      <c r="AG105" s="244"/>
      <c r="AH105" s="244"/>
      <c r="AI105" s="244"/>
      <c r="AJ105" s="244"/>
    </row>
    <row r="106" spans="2:38" ht="11.25" customHeight="1">
      <c r="C106" s="224" t="s">
        <v>482</v>
      </c>
      <c r="D106" s="223"/>
      <c r="E106" s="250">
        <f t="shared" ref="E106:O106" ca="1" si="30">AVERAGE(E92:E98,E101:E104)</f>
        <v>2.8074350748238932</v>
      </c>
      <c r="F106" s="250">
        <f t="shared" ca="1" si="30"/>
        <v>2.7684702888310038</v>
      </c>
      <c r="G106" s="250">
        <f t="shared" ca="1" si="30"/>
        <v>2.5807826177122735</v>
      </c>
      <c r="H106" s="250">
        <f t="shared" ca="1" si="30"/>
        <v>2.5216061465581472</v>
      </c>
      <c r="I106" s="250">
        <f t="shared" ca="1" si="30"/>
        <v>2.5390414413107769</v>
      </c>
      <c r="J106" s="250">
        <f t="shared" ca="1" si="30"/>
        <v>2.5824635295027463</v>
      </c>
      <c r="K106" s="250">
        <f t="shared" ca="1" si="30"/>
        <v>2.633088705217518</v>
      </c>
      <c r="L106" s="250">
        <f t="shared" ca="1" si="30"/>
        <v>2.1342369764120153</v>
      </c>
      <c r="M106" s="250">
        <f t="shared" ca="1" si="30"/>
        <v>2.7697525934710683</v>
      </c>
      <c r="N106" s="250">
        <f t="shared" ca="1" si="30"/>
        <v>2.7812769707877618</v>
      </c>
      <c r="O106" s="250">
        <f t="shared" ca="1" si="30"/>
        <v>3.052029181651275</v>
      </c>
      <c r="P106" s="250">
        <f ca="1">AVERAGE(P92:P98,P101:P104)</f>
        <v>3.3255491852498293</v>
      </c>
      <c r="Q106" s="250"/>
      <c r="R106" s="250"/>
      <c r="S106" s="250"/>
      <c r="T106" s="291"/>
      <c r="U106" s="219"/>
      <c r="V106" s="293">
        <f t="shared" ref="V106:AF106" ca="1" si="31">AVERAGE(V92:V98,V101:V104)</f>
        <v>1.2843305045062743</v>
      </c>
      <c r="W106" s="250">
        <f t="shared" ca="1" si="31"/>
        <v>1.0547426580964023</v>
      </c>
      <c r="X106" s="250">
        <f t="shared" ca="1" si="31"/>
        <v>2.2408056272363592</v>
      </c>
      <c r="Y106" s="250">
        <f t="shared" ca="1" si="31"/>
        <v>1.4717984691157175</v>
      </c>
      <c r="Z106" s="250">
        <f t="shared" ca="1" si="31"/>
        <v>2.1990749757529851</v>
      </c>
      <c r="AA106" s="250">
        <f t="shared" ca="1" si="31"/>
        <v>2.9034767919887905</v>
      </c>
      <c r="AB106" s="250">
        <f t="shared" ca="1" si="31"/>
        <v>2.8611820909984389</v>
      </c>
      <c r="AC106" s="250">
        <f t="shared" ca="1" si="31"/>
        <v>3.1566790735487125</v>
      </c>
      <c r="AD106" s="250">
        <f t="shared" ca="1" si="31"/>
        <v>2.1870461910480765</v>
      </c>
      <c r="AE106" s="250">
        <f t="shared" ca="1" si="31"/>
        <v>3.5612091657804879</v>
      </c>
      <c r="AF106" s="250">
        <f t="shared" ca="1" si="31"/>
        <v>2.5662114922509458</v>
      </c>
      <c r="AG106" s="250"/>
      <c r="AH106" s="250"/>
      <c r="AI106" s="250"/>
      <c r="AJ106" s="291"/>
    </row>
    <row r="107" spans="2:38" ht="11.25" customHeight="1">
      <c r="C107" s="221" t="s">
        <v>481</v>
      </c>
      <c r="D107" s="220"/>
      <c r="E107" s="249">
        <f t="shared" ref="E107:O107" ca="1" si="32">MEDIAN(E92:E98,E101:E104)</f>
        <v>2.8470764617691158</v>
      </c>
      <c r="F107" s="249">
        <f t="shared" ca="1" si="32"/>
        <v>2.6035182315956606</v>
      </c>
      <c r="G107" s="249">
        <f t="shared" ca="1" si="32"/>
        <v>2.6279722249356907</v>
      </c>
      <c r="H107" s="249">
        <f t="shared" ca="1" si="32"/>
        <v>2.7980687615131759</v>
      </c>
      <c r="I107" s="249">
        <f t="shared" ca="1" si="32"/>
        <v>2.7894291387844605</v>
      </c>
      <c r="J107" s="249">
        <f t="shared" ca="1" si="32"/>
        <v>2.4437725857812445</v>
      </c>
      <c r="K107" s="249">
        <f t="shared" ca="1" si="32"/>
        <v>2.113008105868011</v>
      </c>
      <c r="L107" s="249">
        <f t="shared" ca="1" si="32"/>
        <v>1.9564562950220405</v>
      </c>
      <c r="M107" s="249">
        <f t="shared" ca="1" si="32"/>
        <v>2.3504538443284293</v>
      </c>
      <c r="N107" s="249">
        <f t="shared" ca="1" si="32"/>
        <v>2.7740823711873168</v>
      </c>
      <c r="O107" s="249">
        <f t="shared" ca="1" si="32"/>
        <v>3.1460358890701472</v>
      </c>
      <c r="P107" s="249">
        <f ca="1">MEDIAN(P92:P98,P101:P104)</f>
        <v>3.1983379501385043</v>
      </c>
      <c r="Q107" s="249"/>
      <c r="R107" s="249"/>
      <c r="S107" s="249"/>
      <c r="T107" s="292"/>
      <c r="U107" s="219"/>
      <c r="V107" s="294">
        <f t="shared" ref="V107:AF107" ca="1" si="33">MEDIAN(V92:V98,V101:V104)</f>
        <v>0.96797153024911031</v>
      </c>
      <c r="W107" s="249">
        <f t="shared" ca="1" si="33"/>
        <v>0.81577606290040783</v>
      </c>
      <c r="X107" s="249">
        <f t="shared" ca="1" si="33"/>
        <v>2.3625702494763692</v>
      </c>
      <c r="Y107" s="249">
        <f t="shared" ca="1" si="33"/>
        <v>1.2207754348459818</v>
      </c>
      <c r="Z107" s="249">
        <f t="shared" ca="1" si="33"/>
        <v>1.8096590909090908</v>
      </c>
      <c r="AA107" s="249">
        <f t="shared" ca="1" si="33"/>
        <v>2.2908418859951283</v>
      </c>
      <c r="AB107" s="249">
        <f t="shared" ca="1" si="33"/>
        <v>2.425747093162657</v>
      </c>
      <c r="AC107" s="249">
        <f t="shared" ca="1" si="33"/>
        <v>2.7969561880018894</v>
      </c>
      <c r="AD107" s="249">
        <f t="shared" ca="1" si="33"/>
        <v>1.9702252057167604</v>
      </c>
      <c r="AE107" s="249">
        <f t="shared" ca="1" si="33"/>
        <v>3.2036625971143176</v>
      </c>
      <c r="AF107" s="249">
        <f t="shared" ca="1" si="33"/>
        <v>2.7510365618696415</v>
      </c>
      <c r="AG107" s="249"/>
      <c r="AH107" s="249"/>
      <c r="AI107" s="249"/>
      <c r="AJ107" s="292"/>
    </row>
    <row r="108" spans="2:38" s="227" customFormat="1" ht="11.25" customHeight="1">
      <c r="B108" s="217"/>
      <c r="C108" s="219"/>
      <c r="D108" s="219"/>
      <c r="E108" s="219"/>
      <c r="F108" s="219"/>
      <c r="G108" s="219"/>
      <c r="H108" s="219"/>
      <c r="I108" s="219"/>
      <c r="J108" s="219"/>
      <c r="K108" s="219"/>
      <c r="L108" s="219"/>
      <c r="M108" s="219"/>
      <c r="N108" s="219"/>
      <c r="O108" s="219"/>
      <c r="P108" s="219"/>
      <c r="Q108" s="219"/>
      <c r="R108" s="219"/>
      <c r="S108" s="219"/>
      <c r="T108" s="219"/>
      <c r="U108" s="219"/>
      <c r="V108" s="248"/>
      <c r="W108" s="248"/>
      <c r="X108" s="248"/>
      <c r="Y108" s="248"/>
      <c r="Z108" s="248"/>
      <c r="AA108" s="248"/>
      <c r="AB108" s="248"/>
      <c r="AC108" s="248"/>
      <c r="AD108" s="248"/>
      <c r="AE108" s="248"/>
      <c r="AF108" s="248"/>
      <c r="AG108" s="248"/>
      <c r="AH108" s="248"/>
      <c r="AI108" s="248"/>
      <c r="AJ108" s="248"/>
    </row>
    <row r="109" spans="2:38" ht="11.25" customHeight="1">
      <c r="B109" s="231" t="s">
        <v>14</v>
      </c>
      <c r="C109" s="232" t="s">
        <v>476</v>
      </c>
      <c r="D109" s="232"/>
      <c r="E109" s="232"/>
      <c r="F109" s="232"/>
      <c r="G109" s="232"/>
      <c r="H109" s="232"/>
      <c r="I109" s="232"/>
      <c r="J109" s="232"/>
      <c r="K109" s="232"/>
      <c r="L109" s="232"/>
      <c r="M109" s="232"/>
      <c r="N109" s="232"/>
      <c r="O109" s="232"/>
      <c r="P109" s="232"/>
      <c r="Q109" s="232"/>
      <c r="R109" s="232"/>
      <c r="S109" s="232"/>
      <c r="T109" s="232"/>
      <c r="U109" s="233"/>
      <c r="V109" s="232"/>
      <c r="W109" s="231"/>
      <c r="X109" s="231"/>
      <c r="Y109" s="231"/>
      <c r="Z109" s="231"/>
      <c r="AA109" s="231"/>
      <c r="AB109" s="231"/>
      <c r="AC109" s="231"/>
      <c r="AD109" s="231"/>
      <c r="AE109" s="231"/>
      <c r="AF109" s="231"/>
      <c r="AG109" s="231"/>
      <c r="AH109" s="231"/>
      <c r="AI109" s="231"/>
      <c r="AJ109" s="231"/>
    </row>
    <row r="110" spans="2:38" ht="11.25" customHeight="1">
      <c r="D110" s="217" t="s">
        <v>514</v>
      </c>
      <c r="AK110" s="230"/>
    </row>
    <row r="111" spans="2:38" ht="11.25" customHeight="1">
      <c r="C111" s="428" t="str">
        <f>+C11</f>
        <v>Commodity Chemicals</v>
      </c>
      <c r="AL111" s="252"/>
    </row>
    <row r="112" spans="2:38" ht="11.25" customHeight="1">
      <c r="C112" s="229" t="str">
        <f ca="1">IFERROR(IF(BB_Switch=1,_xll.BDP($D112,$C$270),C112), "NA ")</f>
        <v>DuPont de Nemours Inc</v>
      </c>
      <c r="D112" s="227" t="str">
        <f t="shared" ref="D112:D118" si="34">+D12</f>
        <v>DD US EQUITY</v>
      </c>
      <c r="E112" s="244" t="str">
        <f ca="1">IFERROR(IF(BB_Switch=1,IF(_xll.BDP($D112,$D$110, "EQY_FUND_RELATIVE_PERIOD", E$3)="#N/A N/A","NA  ",(_xll.BDP($D112,$D$110, "EQY_FUND_RELATIVE_PERIOD", E$3)/100)),E112),"NA ")</f>
        <v xml:space="preserve">NA  </v>
      </c>
      <c r="F112" s="244">
        <f ca="1">IFERROR(IF(BB_Switch=1,IF(_xll.BDP($D112,$D$110, "EQY_FUND_RELATIVE_PERIOD", F$3)="#N/A N/A","NA  ",(_xll.BDP($D112,$D$110, "EQY_FUND_RELATIVE_PERIOD", F$3)/100)),F112),"NA ")</f>
        <v>0.34133118780111682</v>
      </c>
      <c r="G112" s="244">
        <f ca="1">IFERROR(IF(BB_Switch=1,IF(_xll.BDP($D112,$D$110, "EQY_FUND_RELATIVE_PERIOD", G$3)="#N/A N/A","NA  ",(_xll.BDP($D112,$D$110, "EQY_FUND_RELATIVE_PERIOD", G$3)/100)),G112),"NA ")</f>
        <v>0.35300476400022957</v>
      </c>
      <c r="H112" s="244">
        <f ca="1">IFERROR(IF(BB_Switch=1,IF(_xll.BDP($D112,$D$110, "EQY_FUND_RELATIVE_PERIOD", H$3)="#N/A N/A","NA  ",(_xll.BDP($D112,$D$110, "EQY_FUND_RELATIVE_PERIOD", H$3)/100)),H112),"NA ")</f>
        <v>0.33426864324467509</v>
      </c>
      <c r="I112" s="244">
        <f ca="1">IFERROR(IF(BB_Switch=1,IF(_xll.BDP($D112,$D$110, "EQY_FUND_RELATIVE_PERIOD", I$3)="#N/A N/A","NA  ",(_xll.BDP($D112,$D$110, "EQY_FUND_RELATIVE_PERIOD", I$3)/100)),I112),"NA ")</f>
        <v>0.33481986708639383</v>
      </c>
      <c r="J112" s="244">
        <f ca="1">IFERROR(IF(BB_Switch=1,IF(_xll.BDP($D112,$D$110, "EQY_FUND_RELATIVE_PERIOD", J$3)="#N/A N/A","NA  ",(_xll.BDP($D112,$D$110, "EQY_FUND_RELATIVE_PERIOD", J$3)/100)),J112),"NA ")</f>
        <v>0.34290462746040329</v>
      </c>
      <c r="K112" s="244">
        <f ca="1">IFERROR(IF(BB_Switch=1,IF(_xll.BDP($D112,$D$110, "EQY_FUND_RELATIVE_PERIOD", K$3)="#N/A N/A","NA  ",(_xll.BDP($D112,$D$110, "EQY_FUND_RELATIVE_PERIOD", K$3)/100)),K112),"NA ")</f>
        <v>0.35258261148540265</v>
      </c>
      <c r="L112" s="244">
        <f ca="1">IFERROR(IF(BB_Switch=1,IF(_xll.BDP($D112,$D$110, "EQY_FUND_RELATIVE_PERIOD", L$3)="#N/A N/A","NA  ",(_xll.BDP($D112,$D$110, "EQY_FUND_RELATIVE_PERIOD", L$3)/100)),L112),"NA ")</f>
        <v>0.13179353493222107</v>
      </c>
      <c r="M112" s="244">
        <f ca="1">IFERROR(IF(BB_Switch=1,IF(_xll.BDP($D112,$D$110, "EQY_FUND_RELATIVE_PERIOD", M$3)="#N/A N/A","NA  ",(_xll.BDP($D112,$D$110, "EQY_FUND_RELATIVE_PERIOD", M$3)/100)),M112),"NA ")</f>
        <v>0.48120045059406152</v>
      </c>
      <c r="N112" s="244">
        <f ca="1">IFERROR(IF(BB_Switch=1,IF(_xll.BDP($D112,$D$110, "EQY_FUND_RELATIVE_PERIOD", N$3)="#N/A N/A","NA  ",(_xll.BDP($D112,$D$110, "EQY_FUND_RELATIVE_PERIOD", N$3)/100)),N112),"NA ")</f>
        <v>0.41730082675685831</v>
      </c>
      <c r="O112" s="244">
        <f ca="1">IFERROR(IF(BB_Switch=1,IF(_xll.BDP($D112,$D$110, "EQY_FUND_RELATIVE_PERIOD", O$3)="#N/A N/A","NA  ",(_xll.BDP($D112,$D$110, "EQY_FUND_RELATIVE_PERIOD", O$3)/100)),O112),"NA ")</f>
        <v>0.43386142393586558</v>
      </c>
      <c r="P112" s="244">
        <f ca="1">IFERROR(IF(BB_Switch=1,IF(_xll.BDP($D112,$D$110, "EQY_FUND_RELATIVE_PERIOD", P$3)="#N/A N/A","NA  ",(_xll.BDP($D112,$D$110, "EQY_FUND_RELATIVE_PERIOD", P$3)/100)),P112),"NA ")</f>
        <v>0.43317451150255076</v>
      </c>
      <c r="Q112" s="244"/>
      <c r="R112" s="244"/>
      <c r="S112" s="244"/>
      <c r="T112" s="244"/>
      <c r="U112" s="256"/>
      <c r="V112" s="244" t="str">
        <f ca="1">IFERROR(IF(BB_Switch=1,IF(_xll.BDP($D112,$D$110, "EQY_FUND_RELATIVE_PERIOD", V$3)="#N/A N/A","NA  ",(_xll.BDP($D112,$D$110, "EQY_FUND_RELATIVE_PERIOD", V$3)/100)),V112),"NA ")</f>
        <v xml:space="preserve">NA  </v>
      </c>
      <c r="W112" s="244" t="str">
        <f ca="1">IFERROR(IF(BB_Switch=1,IF(_xll.BDP($D112,$D$110, "EQY_FUND_RELATIVE_PERIOD", W$3)="#N/A N/A","NA  ",(_xll.BDP($D112,$D$110, "EQY_FUND_RELATIVE_PERIOD", W$3)/100)),W112),"NA ")</f>
        <v xml:space="preserve">NA  </v>
      </c>
      <c r="X112" s="244" t="str">
        <f ca="1">IFERROR(IF(BB_Switch=1,IF(_xll.BDP($D112,$D$110, "EQY_FUND_RELATIVE_PERIOD", X$3)="#N/A N/A","NA  ",(_xll.BDP($D112,$D$110, "EQY_FUND_RELATIVE_PERIOD", X$3)/100)),X112),"NA ")</f>
        <v xml:space="preserve">NA  </v>
      </c>
      <c r="Y112" s="244" t="str">
        <f ca="1">IFERROR(IF(BB_Switch=1,IF(_xll.BDP($D112,$D$110, "EQY_FUND_RELATIVE_PERIOD", Y$3)="#N/A N/A","NA  ",(_xll.BDP($D112,$D$110, "EQY_FUND_RELATIVE_PERIOD", Y$3)/100)),Y112),"NA ")</f>
        <v xml:space="preserve">NA  </v>
      </c>
      <c r="Z112" s="244" t="str">
        <f ca="1">IFERROR(IF(BB_Switch=1,IF(_xll.BDP($D112,$D$110, "EQY_FUND_RELATIVE_PERIOD", Z$3)="#N/A N/A","NA  ",(_xll.BDP($D112,$D$110, "EQY_FUND_RELATIVE_PERIOD", Z$3)/100)),Z112),"NA ")</f>
        <v xml:space="preserve">NA  </v>
      </c>
      <c r="AA112" s="244">
        <f ca="1">IFERROR(IF(BB_Switch=1,IF(_xll.BDP($D112,$D$110, "EQY_FUND_RELATIVE_PERIOD", AA$3)="#N/A N/A","NA  ",(_xll.BDP($D112,$D$110, "EQY_FUND_RELATIVE_PERIOD", AA$3)/100)),AA112),"NA ")</f>
        <v>0.32892221180880976</v>
      </c>
      <c r="AB112" s="244">
        <f ca="1">IFERROR(IF(BB_Switch=1,IF(_xll.BDP($D112,$D$110, "EQY_FUND_RELATIVE_PERIOD", AB$3)="#N/A N/A","NA  ",(_xll.BDP($D112,$D$110, "EQY_FUND_RELATIVE_PERIOD", AB$3)/100)),AB112),"NA ")</f>
        <v>0.78456792390466046</v>
      </c>
      <c r="AC112" s="244">
        <f ca="1">IFERROR(IF(BB_Switch=1,IF(_xll.BDP($D112,$D$110, "EQY_FUND_RELATIVE_PERIOD", AC$3)="#N/A N/A","NA  ",(_xll.BDP($D112,$D$110, "EQY_FUND_RELATIVE_PERIOD", AC$3)/100)),AC112),"NA ")</f>
        <v>0.33426864324467509</v>
      </c>
      <c r="AD112" s="244">
        <f ca="1">IFERROR(IF(BB_Switch=1,IF(_xll.BDP($D112,$D$110, "EQY_FUND_RELATIVE_PERIOD", AD$3)="#N/A N/A","NA  ",(_xll.BDP($D112,$D$110, "EQY_FUND_RELATIVE_PERIOD", AD$3)/100)),AD112),"NA ")</f>
        <v>0.13179353493222107</v>
      </c>
      <c r="AE112" s="244">
        <f ca="1">IFERROR(IF(BB_Switch=1,IF(_xll.BDP($D112,$D$110, "EQY_FUND_RELATIVE_PERIOD", AE$3)="#N/A N/A","NA  ",(_xll.BDP($D112,$D$110, "EQY_FUND_RELATIVE_PERIOD", AE$3)/100)),AE112),"NA ")</f>
        <v>0.43317451150255076</v>
      </c>
      <c r="AF112" s="236">
        <f t="shared" ref="AF112:AF118" ca="1" si="35">IFERROR(+AVERAGE(V112:AE112),"NA  ")</f>
        <v>0.40254536507858346</v>
      </c>
      <c r="AG112" s="244"/>
      <c r="AH112" s="244"/>
      <c r="AI112" s="244"/>
      <c r="AJ112" s="244"/>
      <c r="AL112" s="252"/>
    </row>
    <row r="113" spans="3:39" ht="11.25" customHeight="1">
      <c r="C113" s="229" t="str">
        <f ca="1">IFERROR(IF(BB_Switch=1,_xll.BDP($D113,$C$270),C113), "NA ")</f>
        <v>PolyOne Corp</v>
      </c>
      <c r="D113" s="227" t="str">
        <f t="shared" si="34"/>
        <v>POL US EQUITY</v>
      </c>
      <c r="E113" s="244">
        <f ca="1">IFERROR(IF(BB_Switch=1,IF(_xll.BDP($D113,$D$110, "EQY_FUND_RELATIVE_PERIOD", E$3)="#N/A N/A","NA  ",(_xll.BDP($D113,$D$110, "EQY_FUND_RELATIVE_PERIOD", E$3)/100)),E113),"NA ")</f>
        <v>1.7662037037037037</v>
      </c>
      <c r="F113" s="244">
        <f ca="1">IFERROR(IF(BB_Switch=1,IF(_xll.BDP($D113,$D$110, "EQY_FUND_RELATIVE_PERIOD", F$3)="#N/A N/A","NA  ",(_xll.BDP($D113,$D$110, "EQY_FUND_RELATIVE_PERIOD", F$3)/100)),F113),"NA ")</f>
        <v>2.5086901988890884</v>
      </c>
      <c r="G113" s="244">
        <f ca="1">IFERROR(IF(BB_Switch=1,IF(_xll.BDP($D113,$D$110, "EQY_FUND_RELATIVE_PERIOD", G$3)="#N/A N/A","NA  ",(_xll.BDP($D113,$D$110, "EQY_FUND_RELATIVE_PERIOD", G$3)/100)),G113),"NA ")</f>
        <v>2.3773518551081416</v>
      </c>
      <c r="H113" s="244">
        <f ca="1">IFERROR(IF(BB_Switch=1,IF(_xll.BDP($D113,$D$110, "EQY_FUND_RELATIVE_PERIOD", H$3)="#N/A N/A","NA  ",(_xll.BDP($D113,$D$110, "EQY_FUND_RELATIVE_PERIOD", H$3)/100)),H113),"NA ")</f>
        <v>2.3690357023690356</v>
      </c>
      <c r="I113" s="244">
        <f ca="1">IFERROR(IF(BB_Switch=1,IF(_xll.BDP($D113,$D$110, "EQY_FUND_RELATIVE_PERIOD", I$3)="#N/A N/A","NA  ",(_xll.BDP($D113,$D$110, "EQY_FUND_RELATIVE_PERIOD", I$3)/100)),I113),"NA ")</f>
        <v>2.3139634250555456</v>
      </c>
      <c r="J113" s="244">
        <f ca="1">IFERROR(IF(BB_Switch=1,IF(_xll.BDP($D113,$D$110, "EQY_FUND_RELATIVE_PERIOD", J$3)="#N/A N/A","NA  ",(_xll.BDP($D113,$D$110, "EQY_FUND_RELATIVE_PERIOD", J$3)/100)),J113),"NA ")</f>
        <v>2.2384395493526146</v>
      </c>
      <c r="K113" s="244">
        <f ca="1">IFERROR(IF(BB_Switch=1,IF(_xll.BDP($D113,$D$110, "EQY_FUND_RELATIVE_PERIOD", K$3)="#N/A N/A","NA  ",(_xll.BDP($D113,$D$110, "EQY_FUND_RELATIVE_PERIOD", K$3)/100)),K113),"NA ")</f>
        <v>2.1758671226184663</v>
      </c>
      <c r="L113" s="244">
        <f ca="1">IFERROR(IF(BB_Switch=1,IF(_xll.BDP($D113,$D$110, "EQY_FUND_RELATIVE_PERIOD", L$3)="#N/A N/A","NA  ",(_xll.BDP($D113,$D$110, "EQY_FUND_RELATIVE_PERIOD", L$3)/100)),L113),"NA ")</f>
        <v>2.6685164631890506</v>
      </c>
      <c r="M113" s="244">
        <f ca="1">IFERROR(IF(BB_Switch=1,IF(_xll.BDP($D113,$D$110, "EQY_FUND_RELATIVE_PERIOD", M$3)="#N/A N/A","NA  ",(_xll.BDP($D113,$D$110, "EQY_FUND_RELATIVE_PERIOD", M$3)/100)),M113),"NA ")</f>
        <v>2.700474600105466</v>
      </c>
      <c r="N113" s="244">
        <f ca="1">IFERROR(IF(BB_Switch=1,IF(_xll.BDP($D113,$D$110, "EQY_FUND_RELATIVE_PERIOD", N$3)="#N/A N/A","NA  ",(_xll.BDP($D113,$D$110, "EQY_FUND_RELATIVE_PERIOD", N$3)/100)),N113),"NA ")</f>
        <v>2.6000700402731569</v>
      </c>
      <c r="O113" s="244">
        <f ca="1">IFERROR(IF(BB_Switch=1,IF(_xll.BDP($D113,$D$110, "EQY_FUND_RELATIVE_PERIOD", O$3)="#N/A N/A","NA  ",(_xll.BDP($D113,$D$110, "EQY_FUND_RELATIVE_PERIOD", O$3)/100)),O113),"NA ")</f>
        <v>2.5158730158730158</v>
      </c>
      <c r="P113" s="244">
        <f ca="1">IFERROR(IF(BB_Switch=1,IF(_xll.BDP($D113,$D$110, "EQY_FUND_RELATIVE_PERIOD", P$3)="#N/A N/A","NA  ",(_xll.BDP($D113,$D$110, "EQY_FUND_RELATIVE_PERIOD", P$3)/100)),P113),"NA ")</f>
        <v>1.4035337703049302</v>
      </c>
      <c r="Q113" s="244"/>
      <c r="R113" s="244"/>
      <c r="S113" s="244"/>
      <c r="T113" s="244"/>
      <c r="U113" s="256"/>
      <c r="V113" s="244">
        <f ca="1">IFERROR(IF(BB_Switch=1,IF(_xll.BDP($D113,$D$110, "EQY_FUND_RELATIVE_PERIOD", V$3)="#N/A N/A","NA  ",(_xll.BDP($D113,$D$110, "EQY_FUND_RELATIVE_PERIOD", V$3)/100)),V113),"NA ")</f>
        <v>0.87771317829457385</v>
      </c>
      <c r="W113" s="244">
        <f ca="1">IFERROR(IF(BB_Switch=1,IF(_xll.BDP($D113,$D$110, "EQY_FUND_RELATIVE_PERIOD", W$3)="#N/A N/A","NA  ",(_xll.BDP($D113,$D$110, "EQY_FUND_RELATIVE_PERIOD", W$3)/100)),W113),"NA ")</f>
        <v>1.2017678055413903</v>
      </c>
      <c r="X113" s="244">
        <f ca="1">IFERROR(IF(BB_Switch=1,IF(_xll.BDP($D113,$D$110, "EQY_FUND_RELATIVE_PERIOD", X$3)="#N/A N/A","NA  ",(_xll.BDP($D113,$D$110, "EQY_FUND_RELATIVE_PERIOD", X$3)/100)),X113),"NA ")</f>
        <v>1.1195755464048149</v>
      </c>
      <c r="Y113" s="244">
        <f ca="1">IFERROR(IF(BB_Switch=1,IF(_xll.BDP($D113,$D$110, "EQY_FUND_RELATIVE_PERIOD", Y$3)="#N/A N/A","NA  ",(_xll.BDP($D113,$D$110, "EQY_FUND_RELATIVE_PERIOD", Y$3)/100)),Y113),"NA ")</f>
        <v>1.0106285130301482</v>
      </c>
      <c r="Z113" s="244">
        <f ca="1">IFERROR(IF(BB_Switch=1,IF(_xll.BDP($D113,$D$110, "EQY_FUND_RELATIVE_PERIOD", Z$3)="#N/A N/A","NA  ",(_xll.BDP($D113,$D$110, "EQY_FUND_RELATIVE_PERIOD", Z$3)/100)),Z113),"NA ")</f>
        <v>1.3003088008234693</v>
      </c>
      <c r="AA113" s="244">
        <f ca="1">IFERROR(IF(BB_Switch=1,IF(_xll.BDP($D113,$D$110, "EQY_FUND_RELATIVE_PERIOD", AA$3)="#N/A N/A","NA  ",(_xll.BDP($D113,$D$110, "EQY_FUND_RELATIVE_PERIOD", AA$3)/100)),AA113),"NA ")</f>
        <v>1.6259217243335222</v>
      </c>
      <c r="AB113" s="244">
        <f ca="1">IFERROR(IF(BB_Switch=1,IF(_xll.BDP($D113,$D$110, "EQY_FUND_RELATIVE_PERIOD", AB$3)="#N/A N/A","NA  ",(_xll.BDP($D113,$D$110, "EQY_FUND_RELATIVE_PERIOD", AB$3)/100)),AB113),"NA ")</f>
        <v>1.8668504479669195</v>
      </c>
      <c r="AC113" s="244">
        <f ca="1">IFERROR(IF(BB_Switch=1,IF(_xll.BDP($D113,$D$110, "EQY_FUND_RELATIVE_PERIOD", AC$3)="#N/A N/A","NA  ",(_xll.BDP($D113,$D$110, "EQY_FUND_RELATIVE_PERIOD", AC$3)/100)),AC113),"NA ")</f>
        <v>2.3690357023690356</v>
      </c>
      <c r="AD113" s="244">
        <f ca="1">IFERROR(IF(BB_Switch=1,IF(_xll.BDP($D113,$D$110, "EQY_FUND_RELATIVE_PERIOD", AD$3)="#N/A N/A","NA  ",(_xll.BDP($D113,$D$110, "EQY_FUND_RELATIVE_PERIOD", AD$3)/100)),AD113),"NA ")</f>
        <v>2.6685164631890506</v>
      </c>
      <c r="AE113" s="244">
        <f ca="1">IFERROR(IF(BB_Switch=1,IF(_xll.BDP($D113,$D$110, "EQY_FUND_RELATIVE_PERIOD", AE$3)="#N/A N/A","NA  ",(_xll.BDP($D113,$D$110, "EQY_FUND_RELATIVE_PERIOD", AE$3)/100)),AE113),"NA ")</f>
        <v>1.4035337703049302</v>
      </c>
      <c r="AF113" s="235">
        <f t="shared" ca="1" si="35"/>
        <v>1.5443851952257854</v>
      </c>
      <c r="AG113" s="244"/>
      <c r="AH113" s="244"/>
      <c r="AI113" s="244"/>
      <c r="AJ113" s="244"/>
    </row>
    <row r="114" spans="3:39" ht="11.25" customHeight="1">
      <c r="C114" s="229" t="str">
        <f ca="1">IFERROR(IF(BB_Switch=1,_xll.BDP($D114,$C$270),C114), "NA ")</f>
        <v>Olin Corp</v>
      </c>
      <c r="D114" s="227" t="str">
        <f t="shared" si="34"/>
        <v>OLN US EQUITY</v>
      </c>
      <c r="E114" s="244">
        <f ca="1">IFERROR(IF(BB_Switch=1,IF(_xll.BDP($D114,$D$110, "EQY_FUND_RELATIVE_PERIOD", E$3)="#N/A N/A","NA  ",(_xll.BDP($D114,$D$110, "EQY_FUND_RELATIVE_PERIOD", E$3)/100)),E114),"NA ")</f>
        <v>1.5903328050713157</v>
      </c>
      <c r="F114" s="244">
        <f ca="1">IFERROR(IF(BB_Switch=1,IF(_xll.BDP($D114,$D$110, "EQY_FUND_RELATIVE_PERIOD", F$3)="#N/A N/A","NA  ",(_xll.BDP($D114,$D$110, "EQY_FUND_RELATIVE_PERIOD", F$3)/100)),F114),"NA ")</f>
        <v>1.5941733817409014</v>
      </c>
      <c r="G114" s="244">
        <f ca="1">IFERROR(IF(BB_Switch=1,IF(_xll.BDP($D114,$D$110, "EQY_FUND_RELATIVE_PERIOD", G$3)="#N/A N/A","NA  ",(_xll.BDP($D114,$D$110, "EQY_FUND_RELATIVE_PERIOD", G$3)/100)),G114),"NA ")</f>
        <v>1.6294104850989775</v>
      </c>
      <c r="H114" s="244">
        <f ca="1">IFERROR(IF(BB_Switch=1,IF(_xll.BDP($D114,$D$110, "EQY_FUND_RELATIVE_PERIOD", H$3)="#N/A N/A","NA  ",(_xll.BDP($D114,$D$110, "EQY_FUND_RELATIVE_PERIOD", H$3)/100)),H114),"NA ")</f>
        <v>1.3116897265497331</v>
      </c>
      <c r="I114" s="244">
        <f ca="1">IFERROR(IF(BB_Switch=1,IF(_xll.BDP($D114,$D$110, "EQY_FUND_RELATIVE_PERIOD", I$3)="#N/A N/A","NA  ",(_xll.BDP($D114,$D$110, "EQY_FUND_RELATIVE_PERIOD", I$3)/100)),I114),"NA ")</f>
        <v>1.2795049039122723</v>
      </c>
      <c r="J114" s="244">
        <f ca="1">IFERROR(IF(BB_Switch=1,IF(_xll.BDP($D114,$D$110, "EQY_FUND_RELATIVE_PERIOD", J$3)="#N/A N/A","NA  ",(_xll.BDP($D114,$D$110, "EQY_FUND_RELATIVE_PERIOD", J$3)/100)),J114),"NA ")</f>
        <v>1.2715790235604938</v>
      </c>
      <c r="K114" s="244">
        <f ca="1">IFERROR(IF(BB_Switch=1,IF(_xll.BDP($D114,$D$110, "EQY_FUND_RELATIVE_PERIOD", K$3)="#N/A N/A","NA  ",(_xll.BDP($D114,$D$110, "EQY_FUND_RELATIVE_PERIOD", K$3)/100)),K114),"NA ")</f>
        <v>1.1417770022922442</v>
      </c>
      <c r="L114" s="244">
        <f ca="1">IFERROR(IF(BB_Switch=1,IF(_xll.BDP($D114,$D$110, "EQY_FUND_RELATIVE_PERIOD", L$3)="#N/A N/A","NA  ",(_xll.BDP($D114,$D$110, "EQY_FUND_RELATIVE_PERIOD", L$3)/100)),L114),"NA ")</f>
        <v>1.1405621071958196</v>
      </c>
      <c r="M114" s="244">
        <f ca="1">IFERROR(IF(BB_Switch=1,IF(_xll.BDP($D114,$D$110, "EQY_FUND_RELATIVE_PERIOD", M$3)="#N/A N/A","NA  ",(_xll.BDP($D114,$D$110, "EQY_FUND_RELATIVE_PERIOD", M$3)/100)),M114),"NA ")</f>
        <v>1.2224062588102622</v>
      </c>
      <c r="N114" s="244">
        <f ca="1">IFERROR(IF(BB_Switch=1,IF(_xll.BDP($D114,$D$110, "EQY_FUND_RELATIVE_PERIOD", N$3)="#N/A N/A","NA  ",(_xll.BDP($D114,$D$110, "EQY_FUND_RELATIVE_PERIOD", N$3)/100)),N114),"NA ")</f>
        <v>1.2755882777537173</v>
      </c>
      <c r="O114" s="244">
        <f ca="1">IFERROR(IF(BB_Switch=1,IF(_xll.BDP($D114,$D$110, "EQY_FUND_RELATIVE_PERIOD", O$3)="#N/A N/A","NA  ",(_xll.BDP($D114,$D$110, "EQY_FUND_RELATIVE_PERIOD", O$3)/100)),O114),"NA ")</f>
        <v>1.3733253274289787</v>
      </c>
      <c r="P114" s="244">
        <f ca="1">IFERROR(IF(BB_Switch=1,IF(_xll.BDP($D114,$D$110, "EQY_FUND_RELATIVE_PERIOD", P$3)="#N/A N/A","NA  ",(_xll.BDP($D114,$D$110, "EQY_FUND_RELATIVE_PERIOD", P$3)/100)),P114),"NA ")</f>
        <v>1.5402275077559464</v>
      </c>
      <c r="Q114" s="244"/>
      <c r="R114" s="244"/>
      <c r="S114" s="244"/>
      <c r="T114" s="244"/>
      <c r="U114" s="256"/>
      <c r="V114" s="244">
        <f ca="1">IFERROR(IF(BB_Switch=1,IF(_xll.BDP($D114,$D$110, "EQY_FUND_RELATIVE_PERIOD", V$3)="#N/A N/A","NA  ",(_xll.BDP($D114,$D$110, "EQY_FUND_RELATIVE_PERIOD", V$3)/100)),V114),"NA ")</f>
        <v>0.59737444297241959</v>
      </c>
      <c r="W114" s="244">
        <f ca="1">IFERROR(IF(BB_Switch=1,IF(_xll.BDP($D114,$D$110, "EQY_FUND_RELATIVE_PERIOD", W$3)="#N/A N/A","NA  ",(_xll.BDP($D114,$D$110, "EQY_FUND_RELATIVE_PERIOD", W$3)/100)),W114),"NA ")</f>
        <v>0.54412659768715765</v>
      </c>
      <c r="X114" s="244">
        <f ca="1">IFERROR(IF(BB_Switch=1,IF(_xll.BDP($D114,$D$110, "EQY_FUND_RELATIVE_PERIOD", X$3)="#N/A N/A","NA  ",(_xll.BDP($D114,$D$110, "EQY_FUND_RELATIVE_PERIOD", X$3)/100)),X114),"NA ")</f>
        <v>0.71484375000000011</v>
      </c>
      <c r="Y114" s="244">
        <f ca="1">IFERROR(IF(BB_Switch=1,IF(_xll.BDP($D114,$D$110, "EQY_FUND_RELATIVE_PERIOD", Y$3)="#N/A N/A","NA  ",(_xll.BDP($D114,$D$110, "EQY_FUND_RELATIVE_PERIOD", Y$3)/100)),Y114),"NA ")</f>
        <v>0.62755426391790026</v>
      </c>
      <c r="Z114" s="244">
        <f ca="1">IFERROR(IF(BB_Switch=1,IF(_xll.BDP($D114,$D$110, "EQY_FUND_RELATIVE_PERIOD", Z$3)="#N/A N/A","NA  ",(_xll.BDP($D114,$D$110, "EQY_FUND_RELATIVE_PERIOD", Z$3)/100)),Z114),"NA ")</f>
        <v>0.66623902102042831</v>
      </c>
      <c r="AA114" s="244">
        <f ca="1">IFERROR(IF(BB_Switch=1,IF(_xll.BDP($D114,$D$110, "EQY_FUND_RELATIVE_PERIOD", AA$3)="#N/A N/A","NA  ",(_xll.BDP($D114,$D$110, "EQY_FUND_RELATIVE_PERIOD", AA$3)/100)),AA114),"NA ")</f>
        <v>1.6048040350587065</v>
      </c>
      <c r="AB114" s="244">
        <f ca="1">IFERROR(IF(BB_Switch=1,IF(_xll.BDP($D114,$D$110, "EQY_FUND_RELATIVE_PERIOD", AB$3)="#N/A N/A","NA  ",(_xll.BDP($D114,$D$110, "EQY_FUND_RELATIVE_PERIOD", AB$3)/100)),AB114),"NA ")</f>
        <v>1.5915530136383635</v>
      </c>
      <c r="AC114" s="244">
        <f ca="1">IFERROR(IF(BB_Switch=1,IF(_xll.BDP($D114,$D$110, "EQY_FUND_RELATIVE_PERIOD", AC$3)="#N/A N/A","NA  ",(_xll.BDP($D114,$D$110, "EQY_FUND_RELATIVE_PERIOD", AC$3)/100)),AC114),"NA ")</f>
        <v>1.3116897265497331</v>
      </c>
      <c r="AD114" s="244">
        <f ca="1">IFERROR(IF(BB_Switch=1,IF(_xll.BDP($D114,$D$110, "EQY_FUND_RELATIVE_PERIOD", AD$3)="#N/A N/A","NA  ",(_xll.BDP($D114,$D$110, "EQY_FUND_RELATIVE_PERIOD", AD$3)/100)),AD114),"NA ")</f>
        <v>1.1405621071958196</v>
      </c>
      <c r="AE114" s="244">
        <f ca="1">IFERROR(IF(BB_Switch=1,IF(_xll.BDP($D114,$D$110, "EQY_FUND_RELATIVE_PERIOD", AE$3)="#N/A N/A","NA  ",(_xll.BDP($D114,$D$110, "EQY_FUND_RELATIVE_PERIOD", AE$3)/100)),AE114),"NA ")</f>
        <v>1.5402275077559464</v>
      </c>
      <c r="AF114" s="235">
        <f t="shared" ca="1" si="35"/>
        <v>1.0338974465796475</v>
      </c>
      <c r="AG114" s="244"/>
      <c r="AH114" s="244"/>
      <c r="AI114" s="244"/>
      <c r="AJ114" s="244"/>
    </row>
    <row r="115" spans="3:39" ht="11.25" customHeight="1">
      <c r="C115" s="229" t="str">
        <f ca="1">IFERROR(IF(BB_Switch=1,_xll.BDP($D115,$C$270),C115), "NA ")</f>
        <v>LyondellBasell Industries NV</v>
      </c>
      <c r="D115" s="227" t="str">
        <f t="shared" si="34"/>
        <v>LYB US EQUITY</v>
      </c>
      <c r="E115" s="244">
        <f ca="1">IFERROR(IF(BB_Switch=1,IF(_xll.BDP($D115,$D$110, "EQY_FUND_RELATIVE_PERIOD", E$3)="#N/A N/A","NA  ",(_xll.BDP($D115,$D$110, "EQY_FUND_RELATIVE_PERIOD", E$3)/100)),E115),"NA ")</f>
        <v>1.3923231077539695</v>
      </c>
      <c r="F115" s="244">
        <f ca="1">IFERROR(IF(BB_Switch=1,IF(_xll.BDP($D115,$D$110, "EQY_FUND_RELATIVE_PERIOD", F$3)="#N/A N/A","NA  ",(_xll.BDP($D115,$D$110, "EQY_FUND_RELATIVE_PERIOD", F$3)/100)),F115),"NA ")</f>
        <v>1.3190157251019219</v>
      </c>
      <c r="G115" s="244">
        <f ca="1">IFERROR(IF(BB_Switch=1,IF(_xll.BDP($D115,$D$110, "EQY_FUND_RELATIVE_PERIOD", G$3)="#N/A N/A","NA  ",(_xll.BDP($D115,$D$110, "EQY_FUND_RELATIVE_PERIOD", G$3)/100)),G115),"NA ")</f>
        <v>1.2167326327282653</v>
      </c>
      <c r="H115" s="244">
        <f ca="1">IFERROR(IF(BB_Switch=1,IF(_xll.BDP($D115,$D$110, "EQY_FUND_RELATIVE_PERIOD", H$3)="#N/A N/A","NA  ",(_xll.BDP($D115,$D$110, "EQY_FUND_RELATIVE_PERIOD", H$3)/100)),H115),"NA ")</f>
        <v>0.96301675977653634</v>
      </c>
      <c r="I115" s="244">
        <f ca="1">IFERROR(IF(BB_Switch=1,IF(_xll.BDP($D115,$D$110, "EQY_FUND_RELATIVE_PERIOD", I$3)="#N/A N/A","NA  ",(_xll.BDP($D115,$D$110, "EQY_FUND_RELATIVE_PERIOD", I$3)/100)),I115),"NA ")</f>
        <v>0.8852913968547641</v>
      </c>
      <c r="J115" s="244">
        <f ca="1">IFERROR(IF(BB_Switch=1,IF(_xll.BDP($D115,$D$110, "EQY_FUND_RELATIVE_PERIOD", J$3)="#N/A N/A","NA  ",(_xll.BDP($D115,$D$110, "EQY_FUND_RELATIVE_PERIOD", J$3)/100)),J115),"NA ")</f>
        <v>0.80543242478543808</v>
      </c>
      <c r="K115" s="244">
        <f ca="1">IFERROR(IF(BB_Switch=1,IF(_xll.BDP($D115,$D$110, "EQY_FUND_RELATIVE_PERIOD", K$3)="#N/A N/A","NA  ",(_xll.BDP($D115,$D$110, "EQY_FUND_RELATIVE_PERIOD", K$3)/100)),K115),"NA ")</f>
        <v>0.77457112223016433</v>
      </c>
      <c r="L115" s="244">
        <f ca="1">IFERROR(IF(BB_Switch=1,IF(_xll.BDP($D115,$D$110, "EQY_FUND_RELATIVE_PERIOD", L$3)="#N/A N/A","NA  ",(_xll.BDP($D115,$D$110, "EQY_FUND_RELATIVE_PERIOD", L$3)/100)),L115),"NA ")</f>
        <v>0.90294343978453251</v>
      </c>
      <c r="M115" s="244">
        <f ca="1">IFERROR(IF(BB_Switch=1,IF(_xll.BDP($D115,$D$110, "EQY_FUND_RELATIVE_PERIOD", M$3)="#N/A N/A","NA  ",(_xll.BDP($D115,$D$110, "EQY_FUND_RELATIVE_PERIOD", M$3)/100)),M115),"NA ")</f>
        <v>1.1151226158038148</v>
      </c>
      <c r="N115" s="244">
        <f ca="1">IFERROR(IF(BB_Switch=1,IF(_xll.BDP($D115,$D$110, "EQY_FUND_RELATIVE_PERIOD", N$3)="#N/A N/A","NA  ",(_xll.BDP($D115,$D$110, "EQY_FUND_RELATIVE_PERIOD", N$3)/100)),N115),"NA ")</f>
        <v>1.1036006998802836</v>
      </c>
      <c r="O115" s="244">
        <f ca="1">IFERROR(IF(BB_Switch=1,IF(_xll.BDP($D115,$D$110, "EQY_FUND_RELATIVE_PERIOD", O$3)="#N/A N/A","NA  ",(_xll.BDP($D115,$D$110, "EQY_FUND_RELATIVE_PERIOD", O$3)/100)),O115),"NA ")</f>
        <v>1.6954624781849912</v>
      </c>
      <c r="P115" s="244">
        <f ca="1">IFERROR(IF(BB_Switch=1,IF(_xll.BDP($D115,$D$110, "EQY_FUND_RELATIVE_PERIOD", P$3)="#N/A N/A","NA  ",(_xll.BDP($D115,$D$110, "EQY_FUND_RELATIVE_PERIOD", P$3)/100)),P115),"NA ")</f>
        <v>1.6568040102702042</v>
      </c>
      <c r="Q115" s="244"/>
      <c r="R115" s="244"/>
      <c r="S115" s="244"/>
      <c r="T115" s="244"/>
      <c r="U115" s="256"/>
      <c r="V115" s="244">
        <f ca="1">IFERROR(IF(BB_Switch=1,IF(_xll.BDP($D115,$D$110, "EQY_FUND_RELATIVE_PERIOD", V$3)="#N/A N/A","NA  ",(_xll.BDP($D115,$D$110, "EQY_FUND_RELATIVE_PERIOD", V$3)/100)),V115),"NA ")</f>
        <v>0.5244912038634012</v>
      </c>
      <c r="W115" s="244">
        <f ca="1">IFERROR(IF(BB_Switch=1,IF(_xll.BDP($D115,$D$110, "EQY_FUND_RELATIVE_PERIOD", W$3)="#N/A N/A","NA  ",(_xll.BDP($D115,$D$110, "EQY_FUND_RELATIVE_PERIOD", W$3)/100)),W115),"NA ")</f>
        <v>0.378698224852071</v>
      </c>
      <c r="X115" s="244">
        <f ca="1">IFERROR(IF(BB_Switch=1,IF(_xll.BDP($D115,$D$110, "EQY_FUND_RELATIVE_PERIOD", X$3)="#N/A N/A","NA  ",(_xll.BDP($D115,$D$110, "EQY_FUND_RELATIVE_PERIOD", X$3)/100)),X115),"NA ")</f>
        <v>0.39359513373289201</v>
      </c>
      <c r="Y115" s="244">
        <f ca="1">IFERROR(IF(BB_Switch=1,IF(_xll.BDP($D115,$D$110, "EQY_FUND_RELATIVE_PERIOD", Y$3)="#N/A N/A","NA  ",(_xll.BDP($D115,$D$110, "EQY_FUND_RELATIVE_PERIOD", Y$3)/100)),Y115),"NA ")</f>
        <v>0.46627776889883338</v>
      </c>
      <c r="Z115" s="244">
        <f ca="1">IFERROR(IF(BB_Switch=1,IF(_xll.BDP($D115,$D$110, "EQY_FUND_RELATIVE_PERIOD", Z$3)="#N/A N/A","NA  ",(_xll.BDP($D115,$D$110, "EQY_FUND_RELATIVE_PERIOD", Z$3)/100)),Z115),"NA ")</f>
        <v>0.84431927133269413</v>
      </c>
      <c r="AA115" s="244">
        <f ca="1">IFERROR(IF(BB_Switch=1,IF(_xll.BDP($D115,$D$110, "EQY_FUND_RELATIVE_PERIOD", AA$3)="#N/A N/A","NA  ",(_xll.BDP($D115,$D$110, "EQY_FUND_RELATIVE_PERIOD", AA$3)/100)),AA115),"NA ")</f>
        <v>1.2211743230909644</v>
      </c>
      <c r="AB115" s="244">
        <f ca="1">IFERROR(IF(BB_Switch=1,IF(_xll.BDP($D115,$D$110, "EQY_FUND_RELATIVE_PERIOD", AB$3)="#N/A N/A","NA  ",(_xll.BDP($D115,$D$110, "EQY_FUND_RELATIVE_PERIOD", AB$3)/100)),AB115),"NA ")</f>
        <v>1.4788407706240738</v>
      </c>
      <c r="AC115" s="244">
        <f ca="1">IFERROR(IF(BB_Switch=1,IF(_xll.BDP($D115,$D$110, "EQY_FUND_RELATIVE_PERIOD", AC$3)="#N/A N/A","NA  ",(_xll.BDP($D115,$D$110, "EQY_FUND_RELATIVE_PERIOD", AC$3)/100)),AC115),"NA ")</f>
        <v>0.96301675977653634</v>
      </c>
      <c r="AD115" s="244">
        <f ca="1">IFERROR(IF(BB_Switch=1,IF(_xll.BDP($D115,$D$110, "EQY_FUND_RELATIVE_PERIOD", AD$3)="#N/A N/A","NA  ",(_xll.BDP($D115,$D$110, "EQY_FUND_RELATIVE_PERIOD", AD$3)/100)),AD115),"NA ")</f>
        <v>0.90294343978453251</v>
      </c>
      <c r="AE115" s="244">
        <f ca="1">IFERROR(IF(BB_Switch=1,IF(_xll.BDP($D115,$D$110, "EQY_FUND_RELATIVE_PERIOD", AE$3)="#N/A N/A","NA  ",(_xll.BDP($D115,$D$110, "EQY_FUND_RELATIVE_PERIOD", AE$3)/100)),AE115),"NA ")</f>
        <v>1.6568040102702042</v>
      </c>
      <c r="AF115" s="235">
        <f t="shared" ca="1" si="35"/>
        <v>0.88301609062262032</v>
      </c>
      <c r="AG115" s="244"/>
      <c r="AH115" s="244"/>
      <c r="AI115" s="244"/>
      <c r="AJ115" s="244"/>
      <c r="AK115" s="227"/>
      <c r="AL115" s="227"/>
      <c r="AM115" s="227"/>
    </row>
    <row r="116" spans="3:39" ht="11.25" customHeight="1">
      <c r="C116" s="229" t="str">
        <f ca="1">IFERROR(IF(BB_Switch=1,_xll.BDP($D116,$C$270),C116), "NA ")</f>
        <v>Westlake Chemical Corp</v>
      </c>
      <c r="D116" s="227" t="str">
        <f t="shared" si="34"/>
        <v>WLK US EQUITY</v>
      </c>
      <c r="E116" s="244">
        <f ca="1">IFERROR(IF(BB_Switch=1,IF(_xll.BDP($D116,$D$110, "EQY_FUND_RELATIVE_PERIOD", E$3)="#N/A N/A","NA  ",(_xll.BDP($D116,$D$110, "EQY_FUND_RELATIVE_PERIOD", E$3)/100)),E116),"NA ")</f>
        <v>0.8930800985510926</v>
      </c>
      <c r="F116" s="244">
        <f ca="1">IFERROR(IF(BB_Switch=1,IF(_xll.BDP($D116,$D$110, "EQY_FUND_RELATIVE_PERIOD", F$3)="#N/A N/A","NA  ",(_xll.BDP($D116,$D$110, "EQY_FUND_RELATIVE_PERIOD", F$3)/100)),F116),"NA ")</f>
        <v>0.82914334683679902</v>
      </c>
      <c r="G116" s="244">
        <f ca="1">IFERROR(IF(BB_Switch=1,IF(_xll.BDP($D116,$D$110, "EQY_FUND_RELATIVE_PERIOD", G$3)="#N/A N/A","NA  ",(_xll.BDP($D116,$D$110, "EQY_FUND_RELATIVE_PERIOD", G$3)/100)),G116),"NA ")</f>
        <v>0.73588986837083792</v>
      </c>
      <c r="H116" s="244">
        <f ca="1">IFERROR(IF(BB_Switch=1,IF(_xll.BDP($D116,$D$110, "EQY_FUND_RELATIVE_PERIOD", H$3)="#N/A N/A","NA  ",(_xll.BDP($D116,$D$110, "EQY_FUND_RELATIVE_PERIOD", H$3)/100)),H116),"NA ")</f>
        <v>0.71465822313279947</v>
      </c>
      <c r="I116" s="244">
        <f ca="1">IFERROR(IF(BB_Switch=1,IF(_xll.BDP($D116,$D$110, "EQY_FUND_RELATIVE_PERIOD", I$3)="#N/A N/A","NA  ",(_xll.BDP($D116,$D$110, "EQY_FUND_RELATIVE_PERIOD", I$3)/100)),I116),"NA ")</f>
        <v>0.55433433788335407</v>
      </c>
      <c r="J116" s="244">
        <f ca="1">IFERROR(IF(BB_Switch=1,IF(_xll.BDP($D116,$D$110, "EQY_FUND_RELATIVE_PERIOD", J$3)="#N/A N/A","NA  ",(_xll.BDP($D116,$D$110, "EQY_FUND_RELATIVE_PERIOD", J$3)/100)),J116),"NA ")</f>
        <v>0.45603831679781043</v>
      </c>
      <c r="K116" s="244">
        <f ca="1">IFERROR(IF(BB_Switch=1,IF(_xll.BDP($D116,$D$110, "EQY_FUND_RELATIVE_PERIOD", K$3)="#N/A N/A","NA  ",(_xll.BDP($D116,$D$110, "EQY_FUND_RELATIVE_PERIOD", K$3)/100)),K116),"NA ")</f>
        <v>0.43807490144546646</v>
      </c>
      <c r="L116" s="244">
        <f ca="1">IFERROR(IF(BB_Switch=1,IF(_xll.BDP($D116,$D$110, "EQY_FUND_RELATIVE_PERIOD", L$3)="#N/A N/A","NA  ",(_xll.BDP($D116,$D$110, "EQY_FUND_RELATIVE_PERIOD", L$3)/100)),L116),"NA ")</f>
        <v>0.43910467412771559</v>
      </c>
      <c r="M116" s="244">
        <f ca="1">IFERROR(IF(BB_Switch=1,IF(_xll.BDP($D116,$D$110, "EQY_FUND_RELATIVE_PERIOD", M$3)="#N/A N/A","NA  ",(_xll.BDP($D116,$D$110, "EQY_FUND_RELATIVE_PERIOD", M$3)/100)),M116),"NA ")</f>
        <v>0.49684721099434115</v>
      </c>
      <c r="N116" s="244">
        <f ca="1">IFERROR(IF(BB_Switch=1,IF(_xll.BDP($D116,$D$110, "EQY_FUND_RELATIVE_PERIOD", N$3)="#N/A N/A","NA  ",(_xll.BDP($D116,$D$110, "EQY_FUND_RELATIVE_PERIOD", N$3)/100)),N116),"NA ")</f>
        <v>0.48793737018693084</v>
      </c>
      <c r="O116" s="244">
        <f ca="1">IFERROR(IF(BB_Switch=1,IF(_xll.BDP($D116,$D$110, "EQY_FUND_RELATIVE_PERIOD", O$3)="#N/A N/A","NA  ",(_xll.BDP($D116,$D$110, "EQY_FUND_RELATIVE_PERIOD", O$3)/100)),O116),"NA ")</f>
        <v>0.60452687834014462</v>
      </c>
      <c r="P116" s="244">
        <f ca="1">IFERROR(IF(BB_Switch=1,IF(_xll.BDP($D116,$D$110, "EQY_FUND_RELATIVE_PERIOD", P$3)="#N/A N/A","NA  ",(_xll.BDP($D116,$D$110, "EQY_FUND_RELATIVE_PERIOD", P$3)/100)),P116),"NA ")</f>
        <v>0.6079962517569889</v>
      </c>
      <c r="Q116" s="244"/>
      <c r="R116" s="244"/>
      <c r="S116" s="244"/>
      <c r="T116" s="244"/>
      <c r="U116" s="256"/>
      <c r="V116" s="244">
        <f ca="1">IFERROR(IF(BB_Switch=1,IF(_xll.BDP($D116,$D$110, "EQY_FUND_RELATIVE_PERIOD", V$3)="#N/A N/A","NA  ",(_xll.BDP($D116,$D$110, "EQY_FUND_RELATIVE_PERIOD", V$3)/100)),V116),"NA ")</f>
        <v>0.5079378367783558</v>
      </c>
      <c r="W116" s="244">
        <f ca="1">IFERROR(IF(BB_Switch=1,IF(_xll.BDP($D116,$D$110, "EQY_FUND_RELATIVE_PERIOD", W$3)="#N/A N/A","NA  ",(_xll.BDP($D116,$D$110, "EQY_FUND_RELATIVE_PERIOD", W$3)/100)),W116),"NA ")</f>
        <v>0.43532299500316574</v>
      </c>
      <c r="X116" s="244">
        <f ca="1">IFERROR(IF(BB_Switch=1,IF(_xll.BDP($D116,$D$110, "EQY_FUND_RELATIVE_PERIOD", X$3)="#N/A N/A","NA  ",(_xll.BDP($D116,$D$110, "EQY_FUND_RELATIVE_PERIOD", X$3)/100)),X116),"NA ")</f>
        <v>0.40793620103233752</v>
      </c>
      <c r="Y116" s="244">
        <f ca="1">IFERROR(IF(BB_Switch=1,IF(_xll.BDP($D116,$D$110, "EQY_FUND_RELATIVE_PERIOD", Y$3)="#N/A N/A","NA  ",(_xll.BDP($D116,$D$110, "EQY_FUND_RELATIVE_PERIOD", Y$3)/100)),Y116),"NA ")</f>
        <v>0.31583480215645149</v>
      </c>
      <c r="Z116" s="244">
        <f ca="1">IFERROR(IF(BB_Switch=1,IF(_xll.BDP($D116,$D$110, "EQY_FUND_RELATIVE_PERIOD", Z$3)="#N/A N/A","NA  ",(_xll.BDP($D116,$D$110, "EQY_FUND_RELATIVE_PERIOD", Z$3)/100)),Z116),"NA ")</f>
        <v>0.23860828361266853</v>
      </c>
      <c r="AA116" s="244">
        <f ca="1">IFERROR(IF(BB_Switch=1,IF(_xll.BDP($D116,$D$110, "EQY_FUND_RELATIVE_PERIOD", AA$3)="#N/A N/A","NA  ",(_xll.BDP($D116,$D$110, "EQY_FUND_RELATIVE_PERIOD", AA$3)/100)),AA116),"NA ")</f>
        <v>0.21284746953267766</v>
      </c>
      <c r="AB116" s="244">
        <f ca="1">IFERROR(IF(BB_Switch=1,IF(_xll.BDP($D116,$D$110, "EQY_FUND_RELATIVE_PERIOD", AB$3)="#N/A N/A","NA  ",(_xll.BDP($D116,$D$110, "EQY_FUND_RELATIVE_PERIOD", AB$3)/100)),AB116),"NA ")</f>
        <v>0.94517252498365256</v>
      </c>
      <c r="AC116" s="244">
        <f ca="1">IFERROR(IF(BB_Switch=1,IF(_xll.BDP($D116,$D$110, "EQY_FUND_RELATIVE_PERIOD", AC$3)="#N/A N/A","NA  ",(_xll.BDP($D116,$D$110, "EQY_FUND_RELATIVE_PERIOD", AC$3)/100)),AC116),"NA ")</f>
        <v>0.71465822313279947</v>
      </c>
      <c r="AD116" s="244">
        <f ca="1">IFERROR(IF(BB_Switch=1,IF(_xll.BDP($D116,$D$110, "EQY_FUND_RELATIVE_PERIOD", AD$3)="#N/A N/A","NA  ",(_xll.BDP($D116,$D$110, "EQY_FUND_RELATIVE_PERIOD", AD$3)/100)),AD116),"NA ")</f>
        <v>0.43910467412771559</v>
      </c>
      <c r="AE116" s="244">
        <f ca="1">IFERROR(IF(BB_Switch=1,IF(_xll.BDP($D116,$D$110, "EQY_FUND_RELATIVE_PERIOD", AE$3)="#N/A N/A","NA  ",(_xll.BDP($D116,$D$110, "EQY_FUND_RELATIVE_PERIOD", AE$3)/100)),AE116),"NA ")</f>
        <v>0.6079962517569889</v>
      </c>
      <c r="AF116" s="235">
        <f t="shared" ca="1" si="35"/>
        <v>0.48254192621168129</v>
      </c>
      <c r="AG116" s="244"/>
      <c r="AH116" s="244"/>
      <c r="AI116" s="244"/>
      <c r="AJ116" s="244"/>
    </row>
    <row r="117" spans="3:39" ht="11.25" customHeight="1">
      <c r="C117" s="229" t="str">
        <f ca="1">IFERROR(IF(BB_Switch=1,_xll.BDP($D117,$C$270),C117), "NA ")</f>
        <v>Kraton Corp</v>
      </c>
      <c r="D117" s="227" t="str">
        <f t="shared" si="34"/>
        <v>KRA US EQUITY</v>
      </c>
      <c r="E117" s="244">
        <f ca="1">IFERROR(IF(BB_Switch=1,IF(_xll.BDP($D117,$D$110, "EQY_FUND_RELATIVE_PERIOD", E$3)="#N/A N/A","NA  ",(_xll.BDP($D117,$D$110, "EQY_FUND_RELATIVE_PERIOD", E$3)/100)),E117),"NA ")</f>
        <v>3.4812481558846584</v>
      </c>
      <c r="F117" s="244">
        <f ca="1">IFERROR(IF(BB_Switch=1,IF(_xll.BDP($D117,$D$110, "EQY_FUND_RELATIVE_PERIOD", F$3)="#N/A N/A","NA  ",(_xll.BDP($D117,$D$110, "EQY_FUND_RELATIVE_PERIOD", F$3)/100)),F117),"NA ")</f>
        <v>3.195022679517511</v>
      </c>
      <c r="G117" s="244">
        <f ca="1">IFERROR(IF(BB_Switch=1,IF(_xll.BDP($D117,$D$110, "EQY_FUND_RELATIVE_PERIOD", G$3)="#N/A N/A","NA  ",(_xll.BDP($D117,$D$110, "EQY_FUND_RELATIVE_PERIOD", G$3)/100)),G117),"NA ")</f>
        <v>2.9101987104016649</v>
      </c>
      <c r="H117" s="244">
        <f ca="1">IFERROR(IF(BB_Switch=1,IF(_xll.BDP($D117,$D$110, "EQY_FUND_RELATIVE_PERIOD", H$3)="#N/A N/A","NA  ",(_xll.BDP($D117,$D$110, "EQY_FUND_RELATIVE_PERIOD", H$3)/100)),H117),"NA ")</f>
        <v>2.4268295427437176</v>
      </c>
      <c r="I117" s="244">
        <f ca="1">IFERROR(IF(BB_Switch=1,IF(_xll.BDP($D117,$D$110, "EQY_FUND_RELATIVE_PERIOD", I$3)="#N/A N/A","NA  ",(_xll.BDP($D117,$D$110, "EQY_FUND_RELATIVE_PERIOD", I$3)/100)),I117),"NA ")</f>
        <v>2.3379522876610208</v>
      </c>
      <c r="J117" s="244">
        <f ca="1">IFERROR(IF(BB_Switch=1,IF(_xll.BDP($D117,$D$110, "EQY_FUND_RELATIVE_PERIOD", J$3)="#N/A N/A","NA  ",(_xll.BDP($D117,$D$110, "EQY_FUND_RELATIVE_PERIOD", J$3)/100)),J117),"NA ")</f>
        <v>2.4668799721983801</v>
      </c>
      <c r="K117" s="244">
        <f ca="1">IFERROR(IF(BB_Switch=1,IF(_xll.BDP($D117,$D$110, "EQY_FUND_RELATIVE_PERIOD", K$3)="#N/A N/A","NA  ",(_xll.BDP($D117,$D$110, "EQY_FUND_RELATIVE_PERIOD", K$3)/100)),K117),"NA ")</f>
        <v>2.1813055949130868</v>
      </c>
      <c r="L117" s="244">
        <f ca="1">IFERROR(IF(BB_Switch=1,IF(_xll.BDP($D117,$D$110, "EQY_FUND_RELATIVE_PERIOD", L$3)="#N/A N/A","NA  ",(_xll.BDP($D117,$D$110, "EQY_FUND_RELATIVE_PERIOD", L$3)/100)),L117),"NA ")</f>
        <v>2.0500549091157159</v>
      </c>
      <c r="M117" s="244">
        <f ca="1">IFERROR(IF(BB_Switch=1,IF(_xll.BDP($D117,$D$110, "EQY_FUND_RELATIVE_PERIOD", M$3)="#N/A N/A","NA  ",(_xll.BDP($D117,$D$110, "EQY_FUND_RELATIVE_PERIOD", M$3)/100)),M117),"NA ")</f>
        <v>2.0982017022415733</v>
      </c>
      <c r="N117" s="244">
        <f ca="1">IFERROR(IF(BB_Switch=1,IF(_xll.BDP($D117,$D$110, "EQY_FUND_RELATIVE_PERIOD", N$3)="#N/A N/A","NA  ",(_xll.BDP($D117,$D$110, "EQY_FUND_RELATIVE_PERIOD", N$3)/100)),N117),"NA ")</f>
        <v>2.0137923270330109</v>
      </c>
      <c r="O117" s="244">
        <f ca="1">IFERROR(IF(BB_Switch=1,IF(_xll.BDP($D117,$D$110, "EQY_FUND_RELATIVE_PERIOD", O$3)="#N/A N/A","NA  ",(_xll.BDP($D117,$D$110, "EQY_FUND_RELATIVE_PERIOD", O$3)/100)),O117),"NA ")</f>
        <v>1.8871312057343193</v>
      </c>
      <c r="P117" s="244">
        <f ca="1">IFERROR(IF(BB_Switch=1,IF(_xll.BDP($D117,$D$110, "EQY_FUND_RELATIVE_PERIOD", P$3)="#N/A N/A","NA  ",(_xll.BDP($D117,$D$110, "EQY_FUND_RELATIVE_PERIOD", P$3)/100)),P117),"NA ")</f>
        <v>1.8395053127074286</v>
      </c>
      <c r="Q117" s="256"/>
      <c r="R117" s="256"/>
      <c r="S117" s="256"/>
      <c r="T117" s="256"/>
      <c r="U117" s="256"/>
      <c r="V117" s="244">
        <f ca="1">IFERROR(IF(BB_Switch=1,IF(_xll.BDP($D117,$D$110, "EQY_FUND_RELATIVE_PERIOD", V$3)="#N/A N/A","NA  ",(_xll.BDP($D117,$D$110, "EQY_FUND_RELATIVE_PERIOD", V$3)/100)),V117),"NA ")</f>
        <v>0.84592054856900323</v>
      </c>
      <c r="W117" s="244">
        <f ca="1">IFERROR(IF(BB_Switch=1,IF(_xll.BDP($D117,$D$110, "EQY_FUND_RELATIVE_PERIOD", W$3)="#N/A N/A","NA  ",(_xll.BDP($D117,$D$110, "EQY_FUND_RELATIVE_PERIOD", W$3)/100)),W117),"NA ")</f>
        <v>0.75802346106752883</v>
      </c>
      <c r="X117" s="244">
        <f ca="1">IFERROR(IF(BB_Switch=1,IF(_xll.BDP($D117,$D$110, "EQY_FUND_RELATIVE_PERIOD", X$3)="#N/A N/A","NA  ",(_xll.BDP($D117,$D$110, "EQY_FUND_RELATIVE_PERIOD", X$3)/100)),X117),"NA ")</f>
        <v>0.91630080351066101</v>
      </c>
      <c r="Y117" s="244">
        <f ca="1">IFERROR(IF(BB_Switch=1,IF(_xll.BDP($D117,$D$110, "EQY_FUND_RELATIVE_PERIOD", Y$3)="#N/A N/A","NA  ",(_xll.BDP($D117,$D$110, "EQY_FUND_RELATIVE_PERIOD", Y$3)/100)),Y117),"NA ")</f>
        <v>0.63598533905244969</v>
      </c>
      <c r="Z117" s="244">
        <f ca="1">IFERROR(IF(BB_Switch=1,IF(_xll.BDP($D117,$D$110, "EQY_FUND_RELATIVE_PERIOD", Z$3)="#N/A N/A","NA  ",(_xll.BDP($D117,$D$110, "EQY_FUND_RELATIVE_PERIOD", Z$3)/100)),Z117),"NA ")</f>
        <v>0.7516207377534172</v>
      </c>
      <c r="AA117" s="244">
        <f ca="1">IFERROR(IF(BB_Switch=1,IF(_xll.BDP($D117,$D$110, "EQY_FUND_RELATIVE_PERIOD", AA$3)="#N/A N/A","NA  ",(_xll.BDP($D117,$D$110, "EQY_FUND_RELATIVE_PERIOD", AA$3)/100)),AA117),"NA ")</f>
        <v>1.0578637733083625</v>
      </c>
      <c r="AB117" s="244">
        <f ca="1">IFERROR(IF(BB_Switch=1,IF(_xll.BDP($D117,$D$110, "EQY_FUND_RELATIVE_PERIOD", AB$3)="#N/A N/A","NA  ",(_xll.BDP($D117,$D$110, "EQY_FUND_RELATIVE_PERIOD", AB$3)/100)),AB117),"NA ")</f>
        <v>3.5483347850121474</v>
      </c>
      <c r="AC117" s="244">
        <f ca="1">IFERROR(IF(BB_Switch=1,IF(_xll.BDP($D117,$D$110, "EQY_FUND_RELATIVE_PERIOD", AC$3)="#N/A N/A","NA  ",(_xll.BDP($D117,$D$110, "EQY_FUND_RELATIVE_PERIOD", AC$3)/100)),AC117),"NA ")</f>
        <v>2.4268295427437176</v>
      </c>
      <c r="AD117" s="244">
        <f ca="1">IFERROR(IF(BB_Switch=1,IF(_xll.BDP($D117,$D$110, "EQY_FUND_RELATIVE_PERIOD", AD$3)="#N/A N/A","NA  ",(_xll.BDP($D117,$D$110, "EQY_FUND_RELATIVE_PERIOD", AD$3)/100)),AD117),"NA ")</f>
        <v>2.0500549091157159</v>
      </c>
      <c r="AE117" s="244">
        <f ca="1">IFERROR(IF(BB_Switch=1,IF(_xll.BDP($D117,$D$110, "EQY_FUND_RELATIVE_PERIOD", AE$3)="#N/A N/A","NA  ",(_xll.BDP($D117,$D$110, "EQY_FUND_RELATIVE_PERIOD", AE$3)/100)),AE117),"NA ")</f>
        <v>1.8395053127074286</v>
      </c>
      <c r="AF117" s="235">
        <f t="shared" ca="1" si="35"/>
        <v>1.4830439212840434</v>
      </c>
      <c r="AG117" s="251"/>
      <c r="AH117" s="244"/>
      <c r="AI117" s="244"/>
      <c r="AJ117" s="244"/>
    </row>
    <row r="118" spans="3:39" ht="11.25" customHeight="1">
      <c r="C118" s="229" t="str">
        <f ca="1">IFERROR(IF(BB_Switch=1,_xll.BDP($D118,$C$270),C118), "NA ")</f>
        <v>Dow Inc</v>
      </c>
      <c r="D118" s="227" t="str">
        <f t="shared" si="34"/>
        <v>DOW US EQUITY</v>
      </c>
      <c r="E118" s="244" t="str">
        <f ca="1">IFERROR(IF(BB_Switch=1,IF(_xll.BDP($D118,$D$110, "EQY_FUND_RELATIVE_PERIOD", E$3)="#N/A N/A","NA  ",(_xll.BDP($D118,$D$110, "EQY_FUND_RELATIVE_PERIOD", E$3)/100)),E118),"NA ")</f>
        <v xml:space="preserve">NA  </v>
      </c>
      <c r="F118" s="244" t="str">
        <f ca="1">IFERROR(IF(BB_Switch=1,IF(_xll.BDP($D118,$D$110, "EQY_FUND_RELATIVE_PERIOD", F$3)="#N/A N/A","NA  ",(_xll.BDP($D118,$D$110, "EQY_FUND_RELATIVE_PERIOD", F$3)/100)),F118),"NA ")</f>
        <v xml:space="preserve">NA  </v>
      </c>
      <c r="G118" s="244" t="str">
        <f ca="1">IFERROR(IF(BB_Switch=1,IF(_xll.BDP($D118,$D$110, "EQY_FUND_RELATIVE_PERIOD", G$3)="#N/A N/A","NA  ",(_xll.BDP($D118,$D$110, "EQY_FUND_RELATIVE_PERIOD", G$3)/100)),G118),"NA ")</f>
        <v xml:space="preserve">NA  </v>
      </c>
      <c r="H118" s="244" t="str">
        <f ca="1">IFERROR(IF(BB_Switch=1,IF(_xll.BDP($D118,$D$110, "EQY_FUND_RELATIVE_PERIOD", H$3)="#N/A N/A","NA  ",(_xll.BDP($D118,$D$110, "EQY_FUND_RELATIVE_PERIOD", H$3)/100)),H118),"NA ")</f>
        <v xml:space="preserve">NA  </v>
      </c>
      <c r="I118" s="244" t="str">
        <f ca="1">IFERROR(IF(BB_Switch=1,IF(_xll.BDP($D118,$D$110, "EQY_FUND_RELATIVE_PERIOD", I$3)="#N/A N/A","NA  ",(_xll.BDP($D118,$D$110, "EQY_FUND_RELATIVE_PERIOD", I$3)/100)),I118),"NA ")</f>
        <v xml:space="preserve">NA  </v>
      </c>
      <c r="J118" s="244" t="str">
        <f ca="1">IFERROR(IF(BB_Switch=1,IF(_xll.BDP($D118,$D$110, "EQY_FUND_RELATIVE_PERIOD", J$3)="#N/A N/A","NA  ",(_xll.BDP($D118,$D$110, "EQY_FUND_RELATIVE_PERIOD", J$3)/100)),J118),"NA ")</f>
        <v xml:space="preserve">NA  </v>
      </c>
      <c r="K118" s="244" t="str">
        <f ca="1">IFERROR(IF(BB_Switch=1,IF(_xll.BDP($D118,$D$110, "EQY_FUND_RELATIVE_PERIOD", K$3)="#N/A N/A","NA  ",(_xll.BDP($D118,$D$110, "EQY_FUND_RELATIVE_PERIOD", K$3)/100)),K118),"NA ")</f>
        <v xml:space="preserve">NA  </v>
      </c>
      <c r="L118" s="244">
        <f ca="1">IFERROR(IF(BB_Switch=1,IF(_xll.BDP($D118,$D$110, "EQY_FUND_RELATIVE_PERIOD", L$3)="#N/A N/A","NA  ",(_xll.BDP($D118,$D$110, "EQY_FUND_RELATIVE_PERIOD", L$3)/100)),L118),"NA ")</f>
        <v>0.59156479581214128</v>
      </c>
      <c r="M118" s="244" t="str">
        <f ca="1">IFERROR(IF(BB_Switch=1,IF(_xll.BDP($D118,$D$110, "EQY_FUND_RELATIVE_PERIOD", M$3)="#N/A N/A","NA  ",(_xll.BDP($D118,$D$110, "EQY_FUND_RELATIVE_PERIOD", M$3)/100)),M118),"NA ")</f>
        <v xml:space="preserve">NA  </v>
      </c>
      <c r="N118" s="244">
        <f ca="1">IFERROR(IF(BB_Switch=1,IF(_xll.BDP($D118,$D$110, "EQY_FUND_RELATIVE_PERIOD", N$3)="#N/A N/A","NA  ",(_xll.BDP($D118,$D$110, "EQY_FUND_RELATIVE_PERIOD", N$3)/100)),N118),"NA ")</f>
        <v>1.0916756756756756</v>
      </c>
      <c r="O118" s="244">
        <f ca="1">IFERROR(IF(BB_Switch=1,IF(_xll.BDP($D118,$D$110, "EQY_FUND_RELATIVE_PERIOD", O$3)="#N/A N/A","NA  ",(_xll.BDP($D118,$D$110, "EQY_FUND_RELATIVE_PERIOD", O$3)/100)),O118),"NA ")</f>
        <v>1.126487267875014</v>
      </c>
      <c r="P118" s="244">
        <f ca="1">IFERROR(IF(BB_Switch=1,IF(_xll.BDP($D118,$D$110, "EQY_FUND_RELATIVE_PERIOD", P$3)="#N/A N/A","NA  ",(_xll.BDP($D118,$D$110, "EQY_FUND_RELATIVE_PERIOD", P$3)/100)),P118),"NA ")</f>
        <v>1.3591599262097347</v>
      </c>
      <c r="Q118" s="256"/>
      <c r="R118" s="256"/>
      <c r="S118" s="256"/>
      <c r="T118" s="256"/>
      <c r="U118" s="256"/>
      <c r="V118" s="244" t="str">
        <f ca="1">IFERROR(IF(BB_Switch=1,IF(_xll.BDP($D118,$D$110, "EQY_FUND_RELATIVE_PERIOD", V$3)="#N/A N/A","NA  ",(_xll.BDP($D118,$D$110, "EQY_FUND_RELATIVE_PERIOD", V$3)/100)),V118),"NA ")</f>
        <v xml:space="preserve">NA  </v>
      </c>
      <c r="W118" s="244" t="str">
        <f ca="1">IFERROR(IF(BB_Switch=1,IF(_xll.BDP($D118,$D$110, "EQY_FUND_RELATIVE_PERIOD", W$3)="#N/A N/A","NA  ",(_xll.BDP($D118,$D$110, "EQY_FUND_RELATIVE_PERIOD", W$3)/100)),W118),"NA ")</f>
        <v xml:space="preserve">NA  </v>
      </c>
      <c r="X118" s="244" t="str">
        <f ca="1">IFERROR(IF(BB_Switch=1,IF(_xll.BDP($D118,$D$110, "EQY_FUND_RELATIVE_PERIOD", X$3)="#N/A N/A","NA  ",(_xll.BDP($D118,$D$110, "EQY_FUND_RELATIVE_PERIOD", X$3)/100)),X118),"NA ")</f>
        <v xml:space="preserve">NA  </v>
      </c>
      <c r="Y118" s="244" t="str">
        <f ca="1">IFERROR(IF(BB_Switch=1,IF(_xll.BDP($D118,$D$110, "EQY_FUND_RELATIVE_PERIOD", Y$3)="#N/A N/A","NA  ",(_xll.BDP($D118,$D$110, "EQY_FUND_RELATIVE_PERIOD", Y$3)/100)),Y118),"NA ")</f>
        <v xml:space="preserve">NA  </v>
      </c>
      <c r="Z118" s="244" t="str">
        <f ca="1">IFERROR(IF(BB_Switch=1,IF(_xll.BDP($D118,$D$110, "EQY_FUND_RELATIVE_PERIOD", Z$3)="#N/A N/A","NA  ",(_xll.BDP($D118,$D$110, "EQY_FUND_RELATIVE_PERIOD", Z$3)/100)),Z118),"NA ")</f>
        <v xml:space="preserve">NA  </v>
      </c>
      <c r="AA118" s="244" t="str">
        <f ca="1">IFERROR(IF(BB_Switch=1,IF(_xll.BDP($D118,$D$110, "EQY_FUND_RELATIVE_PERIOD", AA$3)="#N/A N/A","NA  ",(_xll.BDP($D118,$D$110, "EQY_FUND_RELATIVE_PERIOD", AA$3)/100)),AA118),"NA ")</f>
        <v xml:space="preserve">NA  </v>
      </c>
      <c r="AB118" s="244" t="str">
        <f ca="1">IFERROR(IF(BB_Switch=1,IF(_xll.BDP($D118,$D$110, "EQY_FUND_RELATIVE_PERIOD", AB$3)="#N/A N/A","NA  ",(_xll.BDP($D118,$D$110, "EQY_FUND_RELATIVE_PERIOD", AB$3)/100)),AB118),"NA ")</f>
        <v xml:space="preserve">NA  </v>
      </c>
      <c r="AC118" s="244" t="str">
        <f ca="1">IFERROR(IF(BB_Switch=1,IF(_xll.BDP($D118,$D$110, "EQY_FUND_RELATIVE_PERIOD", AC$3)="#N/A N/A","NA  ",(_xll.BDP($D118,$D$110, "EQY_FUND_RELATIVE_PERIOD", AC$3)/100)),AC118),"NA ")</f>
        <v xml:space="preserve">NA  </v>
      </c>
      <c r="AD118" s="244">
        <f ca="1">IFERROR(IF(BB_Switch=1,IF(_xll.BDP($D118,$D$110, "EQY_FUND_RELATIVE_PERIOD", AD$3)="#N/A N/A","NA  ",(_xll.BDP($D118,$D$110, "EQY_FUND_RELATIVE_PERIOD", AD$3)/100)),AD118),"NA ")</f>
        <v>0.59156479581214128</v>
      </c>
      <c r="AE118" s="244">
        <f ca="1">IFERROR(IF(BB_Switch=1,IF(_xll.BDP($D118,$D$110, "EQY_FUND_RELATIVE_PERIOD", AE$3)="#N/A N/A","NA  ",(_xll.BDP($D118,$D$110, "EQY_FUND_RELATIVE_PERIOD", AE$3)/100)),AE118),"NA ")</f>
        <v>1.3591599262097347</v>
      </c>
      <c r="AF118" s="235">
        <f t="shared" ca="1" si="35"/>
        <v>0.97536236101093798</v>
      </c>
      <c r="AG118" s="251"/>
      <c r="AH118" s="244"/>
      <c r="AI118" s="244"/>
      <c r="AJ118" s="244"/>
    </row>
    <row r="119" spans="3:39" ht="11.25" customHeight="1">
      <c r="C119" s="229"/>
      <c r="D119" s="227"/>
      <c r="E119" s="244"/>
      <c r="F119" s="244"/>
      <c r="G119" s="244"/>
      <c r="H119" s="244"/>
      <c r="I119" s="244"/>
      <c r="J119" s="244"/>
      <c r="K119" s="244"/>
      <c r="L119" s="244"/>
      <c r="M119" s="244"/>
      <c r="N119" s="244"/>
      <c r="O119" s="244"/>
      <c r="P119" s="244"/>
      <c r="Q119" s="256"/>
      <c r="R119" s="256"/>
      <c r="S119" s="256"/>
      <c r="T119" s="256"/>
      <c r="U119" s="256"/>
      <c r="V119" s="244"/>
      <c r="W119" s="244"/>
      <c r="X119" s="244"/>
      <c r="Y119" s="244"/>
      <c r="Z119" s="244"/>
      <c r="AA119" s="244"/>
      <c r="AB119" s="244"/>
      <c r="AC119" s="244"/>
      <c r="AD119" s="244"/>
      <c r="AE119" s="244"/>
      <c r="AF119" s="235"/>
      <c r="AG119" s="251"/>
      <c r="AH119" s="244"/>
      <c r="AI119" s="244"/>
      <c r="AJ119" s="244"/>
    </row>
    <row r="120" spans="3:39" ht="11.25" customHeight="1">
      <c r="C120" s="428" t="str">
        <f>+C20</f>
        <v>Specialty Chemicals</v>
      </c>
      <c r="D120" s="227"/>
      <c r="E120" s="244"/>
      <c r="F120" s="244"/>
      <c r="G120" s="244"/>
      <c r="H120" s="244"/>
      <c r="I120" s="244"/>
      <c r="J120" s="244"/>
      <c r="K120" s="244"/>
      <c r="L120" s="244"/>
      <c r="M120" s="244"/>
      <c r="N120" s="244"/>
      <c r="O120" s="244"/>
      <c r="P120" s="244"/>
      <c r="Q120" s="256"/>
      <c r="R120" s="256"/>
      <c r="S120" s="256"/>
      <c r="T120" s="256"/>
      <c r="U120" s="256"/>
      <c r="V120" s="244"/>
      <c r="W120" s="244"/>
      <c r="X120" s="244"/>
      <c r="Y120" s="244"/>
      <c r="Z120" s="244"/>
      <c r="AA120" s="244"/>
      <c r="AB120" s="244"/>
      <c r="AC120" s="244"/>
      <c r="AD120" s="244"/>
      <c r="AE120" s="244"/>
      <c r="AF120" s="235"/>
      <c r="AG120" s="251"/>
      <c r="AH120" s="244"/>
      <c r="AI120" s="244"/>
      <c r="AJ120" s="244"/>
    </row>
    <row r="121" spans="3:39" ht="11.25" customHeight="1">
      <c r="C121" s="229" t="str">
        <f ca="1">IFERROR(IF(BB_Switch=1,_xll.BDP($D121,$C$270),C121), "NA ")</f>
        <v>Eastman Chemical Co</v>
      </c>
      <c r="D121" s="227" t="str">
        <f>+D21</f>
        <v>EMN US EQUITY</v>
      </c>
      <c r="E121" s="244">
        <f ca="1">IFERROR(IF(BB_Switch=1,IF(_xll.BDP($D121,$D$110, "EQY_FUND_RELATIVE_PERIOD", E$3)="#N/A N/A","NA  ",(_xll.BDP($D121,$D$110, "EQY_FUND_RELATIVE_PERIOD", E$3)/100)),E121),"NA ")</f>
        <v>1.4561032367251956</v>
      </c>
      <c r="F121" s="244">
        <f ca="1">IFERROR(IF(BB_Switch=1,IF(_xll.BDP($D121,$D$110, "EQY_FUND_RELATIVE_PERIOD", F$3)="#N/A N/A","NA  ",(_xll.BDP($D121,$D$110, "EQY_FUND_RELATIVE_PERIOD", F$3)/100)),F121),"NA ")</f>
        <v>1.4065439672801636</v>
      </c>
      <c r="G121" s="244">
        <f ca="1">IFERROR(IF(BB_Switch=1,IF(_xll.BDP($D121,$D$110, "EQY_FUND_RELATIVE_PERIOD", G$3)="#N/A N/A","NA  ",(_xll.BDP($D121,$D$110, "EQY_FUND_RELATIVE_PERIOD", G$3)/100)),G121),"NA ")</f>
        <v>1.3128064326338498</v>
      </c>
      <c r="H121" s="244">
        <f ca="1">IFERROR(IF(BB_Switch=1,IF(_xll.BDP($D121,$D$110, "EQY_FUND_RELATIVE_PERIOD", H$3)="#N/A N/A","NA  ",(_xll.BDP($D121,$D$110, "EQY_FUND_RELATIVE_PERIOD", H$3)/100)),H121),"NA ")</f>
        <v>1.1927007299270074</v>
      </c>
      <c r="I121" s="244">
        <f ca="1">IFERROR(IF(BB_Switch=1,IF(_xll.BDP($D121,$D$110, "EQY_FUND_RELATIVE_PERIOD", I$3)="#N/A N/A","NA  ",(_xll.BDP($D121,$D$110, "EQY_FUND_RELATIVE_PERIOD", I$3)/100)),I121),"NA ")</f>
        <v>1.2229537366548042</v>
      </c>
      <c r="J121" s="244">
        <f ca="1">IFERROR(IF(BB_Switch=1,IF(_xll.BDP($D121,$D$110, "EQY_FUND_RELATIVE_PERIOD", J$3)="#N/A N/A","NA  ",(_xll.BDP($D121,$D$110, "EQY_FUND_RELATIVE_PERIOD", J$3)/100)),J121),"NA ")</f>
        <v>1.158468998960859</v>
      </c>
      <c r="K121" s="244">
        <f ca="1">IFERROR(IF(BB_Switch=1,IF(_xll.BDP($D121,$D$110, "EQY_FUND_RELATIVE_PERIOD", K$3)="#N/A N/A","NA  ",(_xll.BDP($D121,$D$110, "EQY_FUND_RELATIVE_PERIOD", K$3)/100)),K121),"NA ")</f>
        <v>1.1042535446205171</v>
      </c>
      <c r="L121" s="244">
        <f ca="1">IFERROR(IF(BB_Switch=1,IF(_xll.BDP($D121,$D$110, "EQY_FUND_RELATIVE_PERIOD", L$3)="#N/A N/A","NA  ",(_xll.BDP($D121,$D$110, "EQY_FUND_RELATIVE_PERIOD", L$3)/100)),L121),"NA ")</f>
        <v>1.0486560054440286</v>
      </c>
      <c r="M121" s="244">
        <f ca="1">IFERROR(IF(BB_Switch=1,IF(_xll.BDP($D121,$D$110, "EQY_FUND_RELATIVE_PERIOD", M$3)="#N/A N/A","NA  ",(_xll.BDP($D121,$D$110, "EQY_FUND_RELATIVE_PERIOD", M$3)/100)),M121),"NA ")</f>
        <v>1.1270484879202567</v>
      </c>
      <c r="N121" s="244">
        <f ca="1">IFERROR(IF(BB_Switch=1,IF(_xll.BDP($D121,$D$110, "EQY_FUND_RELATIVE_PERIOD", N$3)="#N/A N/A","NA  ",(_xll.BDP($D121,$D$110, "EQY_FUND_RELATIVE_PERIOD", N$3)/100)),N121),"NA ")</f>
        <v>1.1025899764547595</v>
      </c>
      <c r="O121" s="244">
        <f ca="1">IFERROR(IF(BB_Switch=1,IF(_xll.BDP($D121,$D$110, "EQY_FUND_RELATIVE_PERIOD", O$3)="#N/A N/A","NA  ",(_xll.BDP($D121,$D$110, "EQY_FUND_RELATIVE_PERIOD", O$3)/100)),O121),"NA ")</f>
        <v>1.050680662620961</v>
      </c>
      <c r="P121" s="244">
        <f ca="1">IFERROR(IF(BB_Switch=1,IF(_xll.BDP($D121,$D$110, "EQY_FUND_RELATIVE_PERIOD", P$3)="#N/A N/A","NA  ",(_xll.BDP($D121,$D$110, "EQY_FUND_RELATIVE_PERIOD", P$3)/100)),P121),"NA ")</f>
        <v>0.99088196286472152</v>
      </c>
      <c r="Q121" s="256"/>
      <c r="R121" s="256"/>
      <c r="S121" s="256"/>
      <c r="T121" s="256"/>
      <c r="U121" s="256"/>
      <c r="V121" s="244">
        <f ca="1">IFERROR(IF(BB_Switch=1,IF(_xll.BDP($D121,$D$110, "EQY_FUND_RELATIVE_PERIOD", V$3)="#N/A N/A","NA  ",(_xll.BDP($D121,$D$110, "EQY_FUND_RELATIVE_PERIOD", V$3)/100)),V121),"NA ")</f>
        <v>0.9858635525507069</v>
      </c>
      <c r="W121" s="244">
        <f ca="1">IFERROR(IF(BB_Switch=1,IF(_xll.BDP($D121,$D$110, "EQY_FUND_RELATIVE_PERIOD", W$3)="#N/A N/A","NA  ",(_xll.BDP($D121,$D$110, "EQY_FUND_RELATIVE_PERIOD", W$3)/100)),W121),"NA ")</f>
        <v>0.84061020515518148</v>
      </c>
      <c r="X121" s="244">
        <f ca="1">IFERROR(IF(BB_Switch=1,IF(_xll.BDP($D121,$D$110, "EQY_FUND_RELATIVE_PERIOD", X$3)="#N/A N/A","NA  ",(_xll.BDP($D121,$D$110, "EQY_FUND_RELATIVE_PERIOD", X$3)/100)),X121),"NA ")</f>
        <v>1.5795904887714662</v>
      </c>
      <c r="Y121" s="244">
        <f ca="1">IFERROR(IF(BB_Switch=1,IF(_xll.BDP($D121,$D$110, "EQY_FUND_RELATIVE_PERIOD", Y$3)="#N/A N/A","NA  ",(_xll.BDP($D121,$D$110, "EQY_FUND_RELATIVE_PERIOD", Y$3)/100)),Y121),"NA ")</f>
        <v>1.0978064516129031</v>
      </c>
      <c r="Z121" s="244">
        <f ca="1">IFERROR(IF(BB_Switch=1,IF(_xll.BDP($D121,$D$110, "EQY_FUND_RELATIVE_PERIOD", Z$3)="#N/A N/A","NA  ",(_xll.BDP($D121,$D$110, "EQY_FUND_RELATIVE_PERIOD", Z$3)/100)),Z121),"NA ")</f>
        <v>2.1027855153203343</v>
      </c>
      <c r="AA121" s="244">
        <f ca="1">IFERROR(IF(BB_Switch=1,IF(_xll.BDP($D121,$D$110, "EQY_FUND_RELATIVE_PERIOD", AA$3)="#N/A N/A","NA  ",(_xll.BDP($D121,$D$110, "EQY_FUND_RELATIVE_PERIOD", AA$3)/100)),AA121),"NA ")</f>
        <v>1.7428500373041529</v>
      </c>
      <c r="AB121" s="244">
        <f ca="1">IFERROR(IF(BB_Switch=1,IF(_xll.BDP($D121,$D$110, "EQY_FUND_RELATIVE_PERIOD", AB$3)="#N/A N/A","NA  ",(_xll.BDP($D121,$D$110, "EQY_FUND_RELATIVE_PERIOD", AB$3)/100)),AB121),"NA ")</f>
        <v>1.4301215277777777</v>
      </c>
      <c r="AC121" s="244">
        <f ca="1">IFERROR(IF(BB_Switch=1,IF(_xll.BDP($D121,$D$110, "EQY_FUND_RELATIVE_PERIOD", AC$3)="#N/A N/A","NA  ",(_xll.BDP($D121,$D$110, "EQY_FUND_RELATIVE_PERIOD", AC$3)/100)),AC121),"NA ")</f>
        <v>1.1927007299270074</v>
      </c>
      <c r="AD121" s="244">
        <f ca="1">IFERROR(IF(BB_Switch=1,IF(_xll.BDP($D121,$D$110, "EQY_FUND_RELATIVE_PERIOD", AD$3)="#N/A N/A","NA  ",(_xll.BDP($D121,$D$110, "EQY_FUND_RELATIVE_PERIOD", AD$3)/100)),AD121),"NA ")</f>
        <v>1.0486560054440286</v>
      </c>
      <c r="AE121" s="244">
        <f ca="1">IFERROR(IF(BB_Switch=1,IF(_xll.BDP($D121,$D$110, "EQY_FUND_RELATIVE_PERIOD", AE$3)="#N/A N/A","NA  ",(_xll.BDP($D121,$D$110, "EQY_FUND_RELATIVE_PERIOD", AE$3)/100)),AE121),"NA ")</f>
        <v>0.99088196286472152</v>
      </c>
      <c r="AF121" s="235">
        <f ca="1">IFERROR(+AVERAGE(V121:AE121),"NA  ")</f>
        <v>1.301186647672828</v>
      </c>
      <c r="AG121" s="251"/>
      <c r="AH121" s="244"/>
      <c r="AI121" s="244"/>
      <c r="AJ121" s="244"/>
    </row>
    <row r="122" spans="3:39" ht="11.25" customHeight="1">
      <c r="C122" s="229" t="str">
        <f ca="1">IFERROR(IF(BB_Switch=1,_xll.BDP($D122,$C$270),C122), "NA ")</f>
        <v>Celanese Corp</v>
      </c>
      <c r="D122" s="227" t="str">
        <f>+D22</f>
        <v>CE US EQUITY</v>
      </c>
      <c r="E122" s="244">
        <f ca="1">IFERROR(IF(BB_Switch=1,IF(_xll.BDP($D122,$D$110, "EQY_FUND_RELATIVE_PERIOD", E$3)="#N/A N/A","NA  ",(_xll.BDP($D122,$D$110, "EQY_FUND_RELATIVE_PERIOD", E$3)/100)),E122),"NA ")</f>
        <v>0.97270634659651434</v>
      </c>
      <c r="F122" s="244">
        <f ca="1">IFERROR(IF(BB_Switch=1,IF(_xll.BDP($D122,$D$110, "EQY_FUND_RELATIVE_PERIOD", F$3)="#N/A N/A","NA  ",(_xll.BDP($D122,$D$110, "EQY_FUND_RELATIVE_PERIOD", F$3)/100)),F122),"NA ")</f>
        <v>1.0618193465727097</v>
      </c>
      <c r="G122" s="244">
        <f ca="1">IFERROR(IF(BB_Switch=1,IF(_xll.BDP($D122,$D$110, "EQY_FUND_RELATIVE_PERIOD", G$3)="#N/A N/A","NA  ",(_xll.BDP($D122,$D$110, "EQY_FUND_RELATIVE_PERIOD", G$3)/100)),G122),"NA ")</f>
        <v>1.0810207336523125</v>
      </c>
      <c r="H122" s="244">
        <f ca="1">IFERROR(IF(BB_Switch=1,IF(_xll.BDP($D122,$D$110, "EQY_FUND_RELATIVE_PERIOD", H$3)="#N/A N/A","NA  ",(_xll.BDP($D122,$D$110, "EQY_FUND_RELATIVE_PERIOD", H$3)/100)),H122),"NA ")</f>
        <v>1.1036677781145803</v>
      </c>
      <c r="I122" s="244">
        <f ca="1">IFERROR(IF(BB_Switch=1,IF(_xll.BDP($D122,$D$110, "EQY_FUND_RELATIVE_PERIOD", I$3)="#N/A N/A","NA  ",(_xll.BDP($D122,$D$110, "EQY_FUND_RELATIVE_PERIOD", I$3)/100)),I122),"NA ")</f>
        <v>1.0281036834924966</v>
      </c>
      <c r="J122" s="244">
        <f ca="1">IFERROR(IF(BB_Switch=1,IF(_xll.BDP($D122,$D$110, "EQY_FUND_RELATIVE_PERIOD", J$3)="#N/A N/A","NA  ",(_xll.BDP($D122,$D$110, "EQY_FUND_RELATIVE_PERIOD", J$3)/100)),J122),"NA ")</f>
        <v>0.94903617639292326</v>
      </c>
      <c r="K122" s="244">
        <f ca="1">IFERROR(IF(BB_Switch=1,IF(_xll.BDP($D122,$D$110, "EQY_FUND_RELATIVE_PERIOD", K$3)="#N/A N/A","NA  ",(_xll.BDP($D122,$D$110, "EQY_FUND_RELATIVE_PERIOD", K$3)/100)),K122),"NA ")</f>
        <v>0.86862794826274414</v>
      </c>
      <c r="L122" s="244">
        <f ca="1">IFERROR(IF(BB_Switch=1,IF(_xll.BDP($D122,$D$110, "EQY_FUND_RELATIVE_PERIOD", L$3)="#N/A N/A","NA  ",(_xll.BDP($D122,$D$110, "EQY_FUND_RELATIVE_PERIOD", L$3)/100)),L122),"NA ")</f>
        <v>1.044983722994969</v>
      </c>
      <c r="M122" s="244">
        <f ca="1">IFERROR(IF(BB_Switch=1,IF(_xll.BDP($D122,$D$110, "EQY_FUND_RELATIVE_PERIOD", M$3)="#N/A N/A","NA  ",(_xll.BDP($D122,$D$110, "EQY_FUND_RELATIVE_PERIOD", M$3)/100)),M122),"NA ")</f>
        <v>1.1343413783076475</v>
      </c>
      <c r="N122" s="244">
        <f ca="1">IFERROR(IF(BB_Switch=1,IF(_xll.BDP($D122,$D$110, "EQY_FUND_RELATIVE_PERIOD", N$3)="#N/A N/A","NA  ",(_xll.BDP($D122,$D$110, "EQY_FUND_RELATIVE_PERIOD", N$3)/100)),N122),"NA ")</f>
        <v>1.2249539028887524</v>
      </c>
      <c r="O122" s="244">
        <f ca="1">IFERROR(IF(BB_Switch=1,IF(_xll.BDP($D122,$D$110, "EQY_FUND_RELATIVE_PERIOD", O$3)="#N/A N/A","NA  ",(_xll.BDP($D122,$D$110, "EQY_FUND_RELATIVE_PERIOD", O$3)/100)),O122),"NA ")</f>
        <v>1.2551768079006054</v>
      </c>
      <c r="P122" s="244">
        <f ca="1">IFERROR(IF(BB_Switch=1,IF(_xll.BDP($D122,$D$110, "EQY_FUND_RELATIVE_PERIOD", P$3)="#N/A N/A","NA  ",(_xll.BDP($D122,$D$110, "EQY_FUND_RELATIVE_PERIOD", P$3)/100)),P122),"NA ")</f>
        <v>1.4199447895100068</v>
      </c>
      <c r="Q122" s="256"/>
      <c r="R122" s="256"/>
      <c r="S122" s="256"/>
      <c r="T122" s="256"/>
      <c r="U122" s="256"/>
      <c r="V122" s="244">
        <f ca="1">IFERROR(IF(BB_Switch=1,IF(_xll.BDP($D122,$D$110, "EQY_FUND_RELATIVE_PERIOD", V$3)="#N/A N/A","NA  ",(_xll.BDP($D122,$D$110, "EQY_FUND_RELATIVE_PERIOD", V$3)/100)),V122),"NA ")</f>
        <v>3.4751619870410364</v>
      </c>
      <c r="W122" s="244">
        <f ca="1">IFERROR(IF(BB_Switch=1,IF(_xll.BDP($D122,$D$110, "EQY_FUND_RELATIVE_PERIOD", W$3)="#N/A N/A","NA  ",(_xll.BDP($D122,$D$110, "EQY_FUND_RELATIVE_PERIOD", W$3)/100)),W122),"NA ")</f>
        <v>2.2498135719612229</v>
      </c>
      <c r="X122" s="244">
        <f ca="1">IFERROR(IF(BB_Switch=1,IF(_xll.BDP($D122,$D$110, "EQY_FUND_RELATIVE_PERIOD", X$3)="#N/A N/A","NA  ",(_xll.BDP($D122,$D$110, "EQY_FUND_RELATIVE_PERIOD", X$3)/100)),X122),"NA ")</f>
        <v>1.7907514450867053</v>
      </c>
      <c r="Y122" s="244">
        <f ca="1">IFERROR(IF(BB_Switch=1,IF(_xll.BDP($D122,$D$110, "EQY_FUND_RELATIVE_PERIOD", Y$3)="#N/A N/A","NA  ",(_xll.BDP($D122,$D$110, "EQY_FUND_RELATIVE_PERIOD", Y$3)/100)),Y122),"NA ")</f>
        <v>1.1352352723230825</v>
      </c>
      <c r="Z122" s="244">
        <f ca="1">IFERROR(IF(BB_Switch=1,IF(_xll.BDP($D122,$D$110, "EQY_FUND_RELATIVE_PERIOD", Z$3)="#N/A N/A","NA  ",(_xll.BDP($D122,$D$110, "EQY_FUND_RELATIVE_PERIOD", Z$3)/100)),Z122),"NA ")</f>
        <v>0.88466536712150745</v>
      </c>
      <c r="AA122" s="244">
        <f ca="1">IFERROR(IF(BB_Switch=1,IF(_xll.BDP($D122,$D$110, "EQY_FUND_RELATIVE_PERIOD", AA$3)="#N/A N/A","NA  ",(_xll.BDP($D122,$D$110, "EQY_FUND_RELATIVE_PERIOD", AA$3)/100)),AA122),"NA ")</f>
        <v>1.0537292329445034</v>
      </c>
      <c r="AB122" s="244">
        <f ca="1">IFERROR(IF(BB_Switch=1,IF(_xll.BDP($D122,$D$110, "EQY_FUND_RELATIVE_PERIOD", AB$3)="#N/A N/A","NA  ",(_xll.BDP($D122,$D$110, "EQY_FUND_RELATIVE_PERIOD", AB$3)/100)),AB122),"NA ")</f>
        <v>0.99569678914266802</v>
      </c>
      <c r="AC122" s="244">
        <f ca="1">IFERROR(IF(BB_Switch=1,IF(_xll.BDP($D122,$D$110, "EQY_FUND_RELATIVE_PERIOD", AC$3)="#N/A N/A","NA  ",(_xll.BDP($D122,$D$110, "EQY_FUND_RELATIVE_PERIOD", AC$3)/100)),AC122),"NA ")</f>
        <v>1.1036677781145803</v>
      </c>
      <c r="AD122" s="244">
        <f ca="1">IFERROR(IF(BB_Switch=1,IF(_xll.BDP($D122,$D$110, "EQY_FUND_RELATIVE_PERIOD", AD$3)="#N/A N/A","NA  ",(_xll.BDP($D122,$D$110, "EQY_FUND_RELATIVE_PERIOD", AD$3)/100)),AD122),"NA ")</f>
        <v>1.044983722994969</v>
      </c>
      <c r="AE122" s="244">
        <f ca="1">IFERROR(IF(BB_Switch=1,IF(_xll.BDP($D122,$D$110, "EQY_FUND_RELATIVE_PERIOD", AE$3)="#N/A N/A","NA  ",(_xll.BDP($D122,$D$110, "EQY_FUND_RELATIVE_PERIOD", AE$3)/100)),AE122),"NA ")</f>
        <v>1.4199447895100068</v>
      </c>
      <c r="AF122" s="235">
        <f ca="1">IFERROR(+AVERAGE(V122:AE122),"NA  ")</f>
        <v>1.5153649956240283</v>
      </c>
      <c r="AG122" s="251"/>
      <c r="AH122" s="244"/>
      <c r="AI122" s="244"/>
      <c r="AJ122" s="244"/>
    </row>
    <row r="123" spans="3:39" ht="11.25" customHeight="1">
      <c r="C123" s="229" t="str">
        <f ca="1">IFERROR(IF(BB_Switch=1,_xll.BDP($D123,$C$270),C123), "NA ")</f>
        <v>BASF SE</v>
      </c>
      <c r="D123" s="227" t="str">
        <f>+D23</f>
        <v>BAS GR EQUITY</v>
      </c>
      <c r="E123" s="244">
        <f ca="1">IFERROR(IF(BB_Switch=1,IF(_xll.BDP($D123,$D$110, "EQY_FUND_RELATIVE_PERIOD", E$3)="#N/A N/A","NA  ",(_xll.BDP($D123,$D$110, "EQY_FUND_RELATIVE_PERIOD", E$3)/100)),E123),"NA ")</f>
        <v>0.48634417312811018</v>
      </c>
      <c r="F123" s="244">
        <f ca="1">IFERROR(IF(BB_Switch=1,IF(_xll.BDP($D123,$D$110, "EQY_FUND_RELATIVE_PERIOD", F$3)="#N/A N/A","NA  ",(_xll.BDP($D123,$D$110, "EQY_FUND_RELATIVE_PERIOD", F$3)/100)),F123),"NA ")</f>
        <v>0.53779051846371984</v>
      </c>
      <c r="G123" s="244">
        <f ca="1">IFERROR(IF(BB_Switch=1,IF(_xll.BDP($D123,$D$110, "EQY_FUND_RELATIVE_PERIOD", G$3)="#N/A N/A","NA  ",(_xll.BDP($D123,$D$110, "EQY_FUND_RELATIVE_PERIOD", G$3)/100)),G123),"NA ")</f>
        <v>0.48630814912570108</v>
      </c>
      <c r="H123" s="244">
        <f ca="1">IFERROR(IF(BB_Switch=1,IF(_xll.BDP($D123,$D$110, "EQY_FUND_RELATIVE_PERIOD", H$3)="#N/A N/A","NA  ",(_xll.BDP($D123,$D$110, "EQY_FUND_RELATIVE_PERIOD", H$3)/100)),H123),"NA ")</f>
        <v>0.51881689492461736</v>
      </c>
      <c r="I123" s="244">
        <f ca="1">IFERROR(IF(BB_Switch=1,IF(_xll.BDP($D123,$D$110, "EQY_FUND_RELATIVE_PERIOD", I$3)="#N/A N/A","NA  ",(_xll.BDP($D123,$D$110, "EQY_FUND_RELATIVE_PERIOD", I$3)/100)),I123),"NA ")</f>
        <v>0.48893835710555966</v>
      </c>
      <c r="J123" s="244">
        <f ca="1">IFERROR(IF(BB_Switch=1,IF(_xll.BDP($D123,$D$110, "EQY_FUND_RELATIVE_PERIOD", J$3)="#N/A N/A","NA  ",(_xll.BDP($D123,$D$110, "EQY_FUND_RELATIVE_PERIOD", J$3)/100)),J123),"NA ")</f>
        <v>0.57474292512959968</v>
      </c>
      <c r="K123" s="244">
        <f ca="1">IFERROR(IF(BB_Switch=1,IF(_xll.BDP($D123,$D$110, "EQY_FUND_RELATIVE_PERIOD", K$3)="#N/A N/A","NA  ",(_xll.BDP($D123,$D$110, "EQY_FUND_RELATIVE_PERIOD", K$3)/100)),K123),"NA ")</f>
        <v>0.55920962855817258</v>
      </c>
      <c r="L123" s="244">
        <f ca="1">IFERROR(IF(BB_Switch=1,IF(_xll.BDP($D123,$D$110, "EQY_FUND_RELATIVE_PERIOD", L$3)="#N/A N/A","NA  ",(_xll.BDP($D123,$D$110, "EQY_FUND_RELATIVE_PERIOD", L$3)/100)),L123),"NA ")</f>
        <v>0.57716912681049048</v>
      </c>
      <c r="M123" s="244">
        <f ca="1">IFERROR(IF(BB_Switch=1,IF(_xll.BDP($D123,$D$110, "EQY_FUND_RELATIVE_PERIOD", M$3)="#N/A N/A","NA  ",(_xll.BDP($D123,$D$110, "EQY_FUND_RELATIVE_PERIOD", M$3)/100)),M123),"NA ")</f>
        <v>0.60756313632156556</v>
      </c>
      <c r="N123" s="244">
        <f ca="1">IFERROR(IF(BB_Switch=1,IF(_xll.BDP($D123,$D$110, "EQY_FUND_RELATIVE_PERIOD", N$3)="#N/A N/A","NA  ",(_xll.BDP($D123,$D$110, "EQY_FUND_RELATIVE_PERIOD", N$3)/100)),N123),"NA ")</f>
        <v>0.51501946287365041</v>
      </c>
      <c r="O123" s="244">
        <f ca="1">IFERROR(IF(BB_Switch=1,IF(_xll.BDP($D123,$D$110, "EQY_FUND_RELATIVE_PERIOD", O$3)="#N/A N/A","NA  ",(_xll.BDP($D123,$D$110, "EQY_FUND_RELATIVE_PERIOD", O$3)/100)),O123),"NA ")</f>
        <v>0.51061001546790408</v>
      </c>
      <c r="P123" s="244">
        <f ca="1">IFERROR(IF(BB_Switch=1,IF(_xll.BDP($D123,$D$110, "EQY_FUND_RELATIVE_PERIOD", P$3)="#N/A N/A","NA  ",(_xll.BDP($D123,$D$110, "EQY_FUND_RELATIVE_PERIOD", P$3)/100)),P123),"NA ")</f>
        <v>0.46746162927981111</v>
      </c>
      <c r="Q123" s="256"/>
      <c r="R123" s="256"/>
      <c r="S123" s="256"/>
      <c r="T123" s="256"/>
      <c r="U123" s="256"/>
      <c r="V123" s="244">
        <f ca="1">IFERROR(IF(BB_Switch=1,IF(_xll.BDP($D123,$D$110, "EQY_FUND_RELATIVE_PERIOD", V$3)="#N/A N/A","NA  ",(_xll.BDP($D123,$D$110, "EQY_FUND_RELATIVE_PERIOD", V$3)/100)),V123),"NA ")</f>
        <v>0.66637242353356574</v>
      </c>
      <c r="W123" s="244">
        <f ca="1">IFERROR(IF(BB_Switch=1,IF(_xll.BDP($D123,$D$110, "EQY_FUND_RELATIVE_PERIOD", W$3)="#N/A N/A","NA  ",(_xll.BDP($D123,$D$110, "EQY_FUND_RELATIVE_PERIOD", W$3)/100)),W123),"NA ")</f>
        <v>0.51463462674807958</v>
      </c>
      <c r="X123" s="244">
        <f ca="1">IFERROR(IF(BB_Switch=1,IF(_xll.BDP($D123,$D$110, "EQY_FUND_RELATIVE_PERIOD", X$3)="#N/A N/A","NA  ",(_xll.BDP($D123,$D$110, "EQY_FUND_RELATIVE_PERIOD", X$3)/100)),X123),"NA ")</f>
        <v>0.4995121189649116</v>
      </c>
      <c r="Y123" s="244">
        <f ca="1">IFERROR(IF(BB_Switch=1,IF(_xll.BDP($D123,$D$110, "EQY_FUND_RELATIVE_PERIOD", Y$3)="#N/A N/A","NA  ",(_xll.BDP($D123,$D$110, "EQY_FUND_RELATIVE_PERIOD", Y$3)/100)),Y123),"NA ")</f>
        <v>0.52061576265674125</v>
      </c>
      <c r="Z123" s="244">
        <f ca="1">IFERROR(IF(BB_Switch=1,IF(_xll.BDP($D123,$D$110, "EQY_FUND_RELATIVE_PERIOD", Z$3)="#N/A N/A","NA  ",(_xll.BDP($D123,$D$110, "EQY_FUND_RELATIVE_PERIOD", Z$3)/100)),Z123),"NA ")</f>
        <v>0.54562865756339773</v>
      </c>
      <c r="AA123" s="244">
        <f ca="1">IFERROR(IF(BB_Switch=1,IF(_xll.BDP($D123,$D$110, "EQY_FUND_RELATIVE_PERIOD", AA$3)="#N/A N/A","NA  ",(_xll.BDP($D123,$D$110, "EQY_FUND_RELATIVE_PERIOD", AA$3)/100)),AA123),"NA ")</f>
        <v>0.48175622127119988</v>
      </c>
      <c r="AB123" s="244">
        <f ca="1">IFERROR(IF(BB_Switch=1,IF(_xll.BDP($D123,$D$110, "EQY_FUND_RELATIVE_PERIOD", AB$3)="#N/A N/A","NA  ",(_xll.BDP($D123,$D$110, "EQY_FUND_RELATIVE_PERIOD", AB$3)/100)),AB123),"NA ")</f>
        <v>0.50085973962171459</v>
      </c>
      <c r="AC123" s="244">
        <f ca="1">IFERROR(IF(BB_Switch=1,IF(_xll.BDP($D123,$D$110, "EQY_FUND_RELATIVE_PERIOD", AC$3)="#N/A N/A","NA  ",(_xll.BDP($D123,$D$110, "EQY_FUND_RELATIVE_PERIOD", AC$3)/100)),AC123),"NA ")</f>
        <v>0.51881689492461736</v>
      </c>
      <c r="AD123" s="244">
        <f ca="1">IFERROR(IF(BB_Switch=1,IF(_xll.BDP($D123,$D$110, "EQY_FUND_RELATIVE_PERIOD", AD$3)="#N/A N/A","NA  ",(_xll.BDP($D123,$D$110, "EQY_FUND_RELATIVE_PERIOD", AD$3)/100)),AD123),"NA ")</f>
        <v>0.57716912681049048</v>
      </c>
      <c r="AE123" s="244">
        <f ca="1">IFERROR(IF(BB_Switch=1,IF(_xll.BDP($D123,$D$110, "EQY_FUND_RELATIVE_PERIOD", AE$3)="#N/A N/A","NA  ",(_xll.BDP($D123,$D$110, "EQY_FUND_RELATIVE_PERIOD", AE$3)/100)),AE123),"NA ")</f>
        <v>0.46746162927981111</v>
      </c>
      <c r="AF123" s="235">
        <f ca="1">IFERROR(+AVERAGE(V123:AE123),"NA  ")</f>
        <v>0.52928272013745303</v>
      </c>
      <c r="AG123" s="251"/>
      <c r="AH123" s="244"/>
      <c r="AI123" s="244"/>
      <c r="AJ123" s="244"/>
    </row>
    <row r="124" spans="3:39" ht="11.25" customHeight="1">
      <c r="C124" s="229" t="str">
        <f ca="1">IFERROR(IF(BB_Switch=1,_xll.BDP($D124,$C$270),C124), "NA ")</f>
        <v>Trinseo SA</v>
      </c>
      <c r="D124" s="227" t="str">
        <f>+D24</f>
        <v>TSE US EQUITY</v>
      </c>
      <c r="E124" s="244">
        <f ca="1">IFERROR(IF(BB_Switch=1,IF(_xll.BDP($D124,$D$110, "EQY_FUND_RELATIVE_PERIOD", E$3)="#N/A N/A","NA  ",(_xll.BDP($D124,$D$110, "EQY_FUND_RELATIVE_PERIOD", E$3)/100)),E124),"NA ")</f>
        <v>2.1939802462201001</v>
      </c>
      <c r="F124" s="244">
        <f ca="1">IFERROR(IF(BB_Switch=1,IF(_xll.BDP($D124,$D$110, "EQY_FUND_RELATIVE_PERIOD", F$3)="#N/A N/A","NA  ",(_xll.BDP($D124,$D$110, "EQY_FUND_RELATIVE_PERIOD", F$3)/100)),F124),"NA ")</f>
        <v>2.1379648849757174</v>
      </c>
      <c r="G124" s="244">
        <f ca="1">IFERROR(IF(BB_Switch=1,IF(_xll.BDP($D124,$D$110, "EQY_FUND_RELATIVE_PERIOD", G$3)="#N/A N/A","NA  ",(_xll.BDP($D124,$D$110, "EQY_FUND_RELATIVE_PERIOD", G$3)/100)),G124),"NA ")</f>
        <v>2.057609790155813</v>
      </c>
      <c r="H124" s="244">
        <f ca="1">IFERROR(IF(BB_Switch=1,IF(_xll.BDP($D124,$D$110, "EQY_FUND_RELATIVE_PERIOD", H$3)="#N/A N/A","NA  ",(_xll.BDP($D124,$D$110, "EQY_FUND_RELATIVE_PERIOD", H$3)/100)),H124),"NA ")</f>
        <v>1.7368109069353883</v>
      </c>
      <c r="I124" s="244">
        <f ca="1">IFERROR(IF(BB_Switch=1,IF(_xll.BDP($D124,$D$110, "EQY_FUND_RELATIVE_PERIOD", I$3)="#N/A N/A","NA  ",(_xll.BDP($D124,$D$110, "EQY_FUND_RELATIVE_PERIOD", I$3)/100)),I124),"NA ")</f>
        <v>1.5495567023951302</v>
      </c>
      <c r="J124" s="244">
        <f ca="1">IFERROR(IF(BB_Switch=1,IF(_xll.BDP($D124,$D$110, "EQY_FUND_RELATIVE_PERIOD", J$3)="#N/A N/A","NA  ",(_xll.BDP($D124,$D$110, "EQY_FUND_RELATIVE_PERIOD", J$3)/100)),J124),"NA ")</f>
        <v>1.4587178847592919</v>
      </c>
      <c r="K124" s="244">
        <f ca="1">IFERROR(IF(BB_Switch=1,IF(_xll.BDP($D124,$D$110, "EQY_FUND_RELATIVE_PERIOD", K$3)="#N/A N/A","NA  ",(_xll.BDP($D124,$D$110, "EQY_FUND_RELATIVE_PERIOD", K$3)/100)),K124),"NA ")</f>
        <v>1.4145485354635681</v>
      </c>
      <c r="L124" s="244">
        <f ca="1">IFERROR(IF(BB_Switch=1,IF(_xll.BDP($D124,$D$110, "EQY_FUND_RELATIVE_PERIOD", L$3)="#N/A N/A","NA  ",(_xll.BDP($D124,$D$110, "EQY_FUND_RELATIVE_PERIOD", L$3)/100)),L124),"NA ")</f>
        <v>1.5191882398855208</v>
      </c>
      <c r="M124" s="244">
        <f ca="1">IFERROR(IF(BB_Switch=1,IF(_xll.BDP($D124,$D$110, "EQY_FUND_RELATIVE_PERIOD", M$3)="#N/A N/A","NA  ",(_xll.BDP($D124,$D$110, "EQY_FUND_RELATIVE_PERIOD", M$3)/100)),M124),"NA ")</f>
        <v>1.6418802283893243</v>
      </c>
      <c r="N124" s="244">
        <f ca="1">IFERROR(IF(BB_Switch=1,IF(_xll.BDP($D124,$D$110, "EQY_FUND_RELATIVE_PERIOD", N$3)="#N/A N/A","NA  ",(_xll.BDP($D124,$D$110, "EQY_FUND_RELATIVE_PERIOD", N$3)/100)),N124),"NA ")</f>
        <v>1.6672929808079451</v>
      </c>
      <c r="O124" s="244">
        <f ca="1">IFERROR(IF(BB_Switch=1,IF(_xll.BDP($D124,$D$110, "EQY_FUND_RELATIVE_PERIOD", O$3)="#N/A N/A","NA  ",(_xll.BDP($D124,$D$110, "EQY_FUND_RELATIVE_PERIOD", O$3)/100)),O124),"NA ")</f>
        <v>1.745314685314685</v>
      </c>
      <c r="P124" s="244">
        <f ca="1">IFERROR(IF(BB_Switch=1,IF(_xll.BDP($D124,$D$110, "EQY_FUND_RELATIVE_PERIOD", P$3)="#N/A N/A","NA  ",(_xll.BDP($D124,$D$110, "EQY_FUND_RELATIVE_PERIOD", P$3)/100)),P124),"NA ")</f>
        <v>1.8247869636716998</v>
      </c>
      <c r="Q124" s="256"/>
      <c r="R124" s="256"/>
      <c r="S124" s="256"/>
      <c r="T124" s="256"/>
      <c r="U124" s="256"/>
      <c r="V124" s="244">
        <f ca="1">IFERROR(IF(BB_Switch=1,IF(_xll.BDP($D124,$D$110, "EQY_FUND_RELATIVE_PERIOD", V$3)="#N/A N/A","NA  ",(_xll.BDP($D124,$D$110, "EQY_FUND_RELATIVE_PERIOD", V$3)/100)),V124),"NA ")</f>
        <v>1.6160486061118275</v>
      </c>
      <c r="W124" s="244" t="str">
        <f ca="1">IFERROR(IF(BB_Switch=1,IF(_xll.BDP($D124,$D$110, "EQY_FUND_RELATIVE_PERIOD", W$3)="#N/A N/A","NA  ",(_xll.BDP($D124,$D$110, "EQY_FUND_RELATIVE_PERIOD", W$3)/100)),W124),"NA ")</f>
        <v xml:space="preserve">NA  </v>
      </c>
      <c r="X124" s="244">
        <f ca="1">IFERROR(IF(BB_Switch=1,IF(_xll.BDP($D124,$D$110, "EQY_FUND_RELATIVE_PERIOD", X$3)="#N/A N/A","NA  ",(_xll.BDP($D124,$D$110, "EQY_FUND_RELATIVE_PERIOD", X$3)/100)),X124),"NA ")</f>
        <v>4.9837450499717137</v>
      </c>
      <c r="Y124" s="244">
        <f ca="1">IFERROR(IF(BB_Switch=1,IF(_xll.BDP($D124,$D$110, "EQY_FUND_RELATIVE_PERIOD", Y$3)="#N/A N/A","NA  ",(_xll.BDP($D124,$D$110, "EQY_FUND_RELATIVE_PERIOD", Y$3)/100)),Y124),"NA ")</f>
        <v>3.8939778905717328</v>
      </c>
      <c r="Z124" s="244">
        <f ca="1">IFERROR(IF(BB_Switch=1,IF(_xll.BDP($D124,$D$110, "EQY_FUND_RELATIVE_PERIOD", Z$3)="#N/A N/A","NA  ",(_xll.BDP($D124,$D$110, "EQY_FUND_RELATIVE_PERIOD", Z$3)/100)),Z124),"NA ")</f>
        <v>3.7467688903432905</v>
      </c>
      <c r="AA124" s="244">
        <f ca="1">IFERROR(IF(BB_Switch=1,IF(_xll.BDP($D124,$D$110, "EQY_FUND_RELATIVE_PERIOD", AA$3)="#N/A N/A","NA  ",(_xll.BDP($D124,$D$110, "EQY_FUND_RELATIVE_PERIOD", AA$3)/100)),AA124),"NA ")</f>
        <v>3.0387595305053283</v>
      </c>
      <c r="AB124" s="244">
        <f ca="1">IFERROR(IF(BB_Switch=1,IF(_xll.BDP($D124,$D$110, "EQY_FUND_RELATIVE_PERIOD", AB$3)="#N/A N/A","NA  ",(_xll.BDP($D124,$D$110, "EQY_FUND_RELATIVE_PERIOD", AB$3)/100)),AB124),"NA ")</f>
        <v>2.6030824212642392</v>
      </c>
      <c r="AC124" s="244">
        <f ca="1">IFERROR(IF(BB_Switch=1,IF(_xll.BDP($D124,$D$110, "EQY_FUND_RELATIVE_PERIOD", AC$3)="#N/A N/A","NA  ",(_xll.BDP($D124,$D$110, "EQY_FUND_RELATIVE_PERIOD", AC$3)/100)),AC124),"NA ")</f>
        <v>1.7368109069353883</v>
      </c>
      <c r="AD124" s="244">
        <f ca="1">IFERROR(IF(BB_Switch=1,IF(_xll.BDP($D124,$D$110, "EQY_FUND_RELATIVE_PERIOD", AD$3)="#N/A N/A","NA  ",(_xll.BDP($D124,$D$110, "EQY_FUND_RELATIVE_PERIOD", AD$3)/100)),AD124),"NA ")</f>
        <v>1.5191882398855208</v>
      </c>
      <c r="AE124" s="244">
        <f ca="1">IFERROR(IF(BB_Switch=1,IF(_xll.BDP($D124,$D$110, "EQY_FUND_RELATIVE_PERIOD", AE$3)="#N/A N/A","NA  ",(_xll.BDP($D124,$D$110, "EQY_FUND_RELATIVE_PERIOD", AE$3)/100)),AE124),"NA ")</f>
        <v>1.8247869636716998</v>
      </c>
      <c r="AF124" s="234">
        <f ca="1">IFERROR(+AVERAGE(V124:AE124),"NA  ")</f>
        <v>2.773685388806749</v>
      </c>
      <c r="AG124" s="251"/>
      <c r="AH124" s="244"/>
      <c r="AI124" s="244"/>
      <c r="AJ124" s="244"/>
    </row>
    <row r="125" spans="3:39" ht="11.25" customHeight="1">
      <c r="C125" s="229"/>
      <c r="D125" s="229"/>
      <c r="E125" s="244"/>
      <c r="F125" s="244"/>
      <c r="G125" s="244"/>
      <c r="H125" s="244"/>
      <c r="I125" s="244"/>
      <c r="J125" s="244"/>
      <c r="K125" s="244"/>
      <c r="L125" s="244"/>
      <c r="M125" s="244"/>
      <c r="N125" s="244"/>
      <c r="O125" s="244"/>
      <c r="P125" s="244"/>
      <c r="Q125" s="227"/>
      <c r="R125" s="227"/>
      <c r="S125" s="227"/>
      <c r="T125" s="227"/>
      <c r="U125" s="227"/>
      <c r="V125" s="244"/>
      <c r="W125" s="244"/>
      <c r="X125" s="244"/>
      <c r="Y125" s="244"/>
      <c r="Z125" s="244"/>
      <c r="AA125" s="244"/>
      <c r="AB125" s="244"/>
      <c r="AC125" s="244"/>
      <c r="AD125" s="244"/>
      <c r="AE125" s="244"/>
      <c r="AF125" s="244"/>
      <c r="AG125" s="251"/>
      <c r="AH125" s="244"/>
      <c r="AI125" s="244"/>
      <c r="AJ125" s="244"/>
    </row>
    <row r="126" spans="3:39" ht="11.25" customHeight="1">
      <c r="C126" s="224" t="s">
        <v>482</v>
      </c>
      <c r="D126" s="223"/>
      <c r="E126" s="250">
        <f t="shared" ref="E126:O126" ca="1" si="36">AVERAGE(E112:E118,E121:E124)</f>
        <v>1.5813690970705179</v>
      </c>
      <c r="F126" s="250">
        <f t="shared" ca="1" si="36"/>
        <v>1.4931495237179651</v>
      </c>
      <c r="G126" s="250">
        <f t="shared" ca="1" si="36"/>
        <v>1.416033342127579</v>
      </c>
      <c r="H126" s="250">
        <f t="shared" ca="1" si="36"/>
        <v>1.2671494907718093</v>
      </c>
      <c r="I126" s="250">
        <f t="shared" ca="1" si="36"/>
        <v>1.1995418698101341</v>
      </c>
      <c r="J126" s="250">
        <f t="shared" ca="1" si="36"/>
        <v>1.1722239899397815</v>
      </c>
      <c r="K126" s="250">
        <f t="shared" ca="1" si="36"/>
        <v>1.1010818011889834</v>
      </c>
      <c r="L126" s="250">
        <f t="shared" ca="1" si="36"/>
        <v>1.1013215472083824</v>
      </c>
      <c r="M126" s="250">
        <f t="shared" ca="1" si="36"/>
        <v>1.2625086069488314</v>
      </c>
      <c r="N126" s="250">
        <f t="shared" ca="1" si="36"/>
        <v>1.2272565036895218</v>
      </c>
      <c r="O126" s="250">
        <f t="shared" ca="1" si="36"/>
        <v>1.2907681607887713</v>
      </c>
      <c r="P126" s="250">
        <f ca="1">AVERAGE(P112:P118,P121:P124)</f>
        <v>1.2312251487121839</v>
      </c>
      <c r="Q126" s="250"/>
      <c r="R126" s="250"/>
      <c r="S126" s="250"/>
      <c r="T126" s="291"/>
      <c r="U126" s="219"/>
      <c r="V126" s="293">
        <f t="shared" ref="V126:AF126" ca="1" si="37">AVERAGE(V112:V118,V121:V124)</f>
        <v>1.1218759755238767</v>
      </c>
      <c r="W126" s="250">
        <f t="shared" ca="1" si="37"/>
        <v>0.86537468600197465</v>
      </c>
      <c r="X126" s="250">
        <f t="shared" ca="1" si="37"/>
        <v>1.378427837497278</v>
      </c>
      <c r="Y126" s="250">
        <f t="shared" ca="1" si="37"/>
        <v>1.0782128960244715</v>
      </c>
      <c r="Z126" s="250">
        <f t="shared" ca="1" si="37"/>
        <v>1.2312160605434674</v>
      </c>
      <c r="AA126" s="250">
        <f t="shared" ca="1" si="37"/>
        <v>1.2368628559158228</v>
      </c>
      <c r="AB126" s="250">
        <f t="shared" ca="1" si="37"/>
        <v>1.5745079943936218</v>
      </c>
      <c r="AC126" s="250">
        <f t="shared" ca="1" si="37"/>
        <v>1.2671494907718093</v>
      </c>
      <c r="AD126" s="250">
        <f t="shared" ca="1" si="37"/>
        <v>1.1013215472083824</v>
      </c>
      <c r="AE126" s="250">
        <f t="shared" ca="1" si="37"/>
        <v>1.2312251487121839</v>
      </c>
      <c r="AF126" s="250">
        <f t="shared" ca="1" si="37"/>
        <v>1.1749374598413052</v>
      </c>
      <c r="AG126" s="250"/>
      <c r="AH126" s="250"/>
      <c r="AI126" s="250"/>
      <c r="AJ126" s="291"/>
    </row>
    <row r="127" spans="3:39" ht="11.25" customHeight="1">
      <c r="C127" s="221" t="s">
        <v>481</v>
      </c>
      <c r="D127" s="220"/>
      <c r="E127" s="249">
        <f t="shared" ref="E127:O127" ca="1" si="38">MEDIAN(E112:E118,E121:E124)</f>
        <v>1.4561032367251956</v>
      </c>
      <c r="F127" s="249">
        <f t="shared" ca="1" si="38"/>
        <v>1.3627798461910428</v>
      </c>
      <c r="G127" s="249">
        <f t="shared" ca="1" si="38"/>
        <v>1.2647695326810575</v>
      </c>
      <c r="H127" s="249">
        <f t="shared" ca="1" si="38"/>
        <v>1.1481842540207938</v>
      </c>
      <c r="I127" s="249">
        <f t="shared" ca="1" si="38"/>
        <v>1.1255287100736504</v>
      </c>
      <c r="J127" s="249">
        <f t="shared" ca="1" si="38"/>
        <v>1.0537525876768912</v>
      </c>
      <c r="K127" s="249">
        <f t="shared" ca="1" si="38"/>
        <v>0.9864407464416306</v>
      </c>
      <c r="L127" s="249">
        <f t="shared" ca="1" si="38"/>
        <v>1.044983722994969</v>
      </c>
      <c r="M127" s="249">
        <f t="shared" ca="1" si="38"/>
        <v>1.130694933113952</v>
      </c>
      <c r="N127" s="249">
        <f t="shared" ca="1" si="38"/>
        <v>1.1036006998802836</v>
      </c>
      <c r="O127" s="249">
        <f t="shared" ca="1" si="38"/>
        <v>1.2551768079006054</v>
      </c>
      <c r="P127" s="249">
        <f ca="1">MEDIAN(P112:P118,P121:P124)</f>
        <v>1.4035337703049302</v>
      </c>
      <c r="Q127" s="249"/>
      <c r="R127" s="249"/>
      <c r="S127" s="249"/>
      <c r="T127" s="292"/>
      <c r="U127" s="219"/>
      <c r="V127" s="294">
        <f t="shared" ref="V127:AF127" ca="1" si="39">MEDIAN(V112:V118,V121:V124)</f>
        <v>0.84592054856900323</v>
      </c>
      <c r="W127" s="249">
        <f t="shared" ca="1" si="39"/>
        <v>0.6510750293773433</v>
      </c>
      <c r="X127" s="249">
        <f t="shared" ca="1" si="39"/>
        <v>0.91630080351066101</v>
      </c>
      <c r="Y127" s="249">
        <f t="shared" ca="1" si="39"/>
        <v>0.63598533905244969</v>
      </c>
      <c r="Z127" s="249">
        <f t="shared" ca="1" si="39"/>
        <v>0.84431927133269413</v>
      </c>
      <c r="AA127" s="249">
        <f t="shared" ca="1" si="39"/>
        <v>1.1395190481996633</v>
      </c>
      <c r="AB127" s="249">
        <f t="shared" ca="1" si="39"/>
        <v>1.4544811492009257</v>
      </c>
      <c r="AC127" s="249">
        <f t="shared" ca="1" si="39"/>
        <v>1.1481842540207938</v>
      </c>
      <c r="AD127" s="249">
        <f t="shared" ca="1" si="39"/>
        <v>1.044983722994969</v>
      </c>
      <c r="AE127" s="249">
        <f t="shared" ca="1" si="39"/>
        <v>1.4035337703049302</v>
      </c>
      <c r="AF127" s="249">
        <f t="shared" ca="1" si="39"/>
        <v>1.0338974465796475</v>
      </c>
      <c r="AG127" s="249"/>
      <c r="AH127" s="249"/>
      <c r="AI127" s="249"/>
      <c r="AJ127" s="292"/>
    </row>
    <row r="128" spans="3:39" ht="11.25" customHeight="1">
      <c r="C128" s="219"/>
      <c r="D128" s="219"/>
      <c r="E128" s="219"/>
      <c r="F128" s="219"/>
      <c r="G128" s="219"/>
      <c r="H128" s="219"/>
      <c r="I128" s="219"/>
      <c r="J128" s="219"/>
      <c r="K128" s="219"/>
      <c r="L128" s="219"/>
      <c r="M128" s="219"/>
      <c r="N128" s="219"/>
      <c r="O128" s="219"/>
      <c r="P128" s="219"/>
      <c r="Q128" s="219"/>
      <c r="R128" s="219"/>
      <c r="S128" s="219"/>
      <c r="T128" s="219"/>
      <c r="U128" s="219"/>
      <c r="V128" s="239"/>
      <c r="W128" s="239"/>
      <c r="X128" s="239"/>
      <c r="Y128" s="239"/>
      <c r="Z128" s="239"/>
      <c r="AA128" s="239"/>
      <c r="AB128" s="239"/>
      <c r="AC128" s="239"/>
      <c r="AD128" s="239"/>
      <c r="AE128" s="239"/>
      <c r="AF128" s="239"/>
      <c r="AG128" s="239"/>
      <c r="AH128" s="239"/>
      <c r="AI128" s="239"/>
      <c r="AJ128" s="239"/>
    </row>
    <row r="129" spans="2:38" ht="11.25" customHeight="1">
      <c r="B129" s="231" t="s">
        <v>14</v>
      </c>
      <c r="C129" s="232" t="s">
        <v>513</v>
      </c>
      <c r="D129" s="232"/>
      <c r="E129" s="232"/>
      <c r="F129" s="232"/>
      <c r="G129" s="232"/>
      <c r="H129" s="232"/>
      <c r="I129" s="232"/>
      <c r="J129" s="232"/>
      <c r="K129" s="232"/>
      <c r="L129" s="232"/>
      <c r="M129" s="232"/>
      <c r="N129" s="232"/>
      <c r="O129" s="232"/>
      <c r="P129" s="232"/>
      <c r="Q129" s="232"/>
      <c r="R129" s="232"/>
      <c r="S129" s="232"/>
      <c r="T129" s="232"/>
      <c r="U129" s="233"/>
      <c r="V129" s="232"/>
      <c r="W129" s="231"/>
      <c r="X129" s="231"/>
      <c r="Y129" s="231"/>
      <c r="Z129" s="231"/>
      <c r="AA129" s="231"/>
      <c r="AB129" s="231"/>
      <c r="AC129" s="231"/>
      <c r="AD129" s="231"/>
      <c r="AE129" s="231"/>
      <c r="AF129" s="231"/>
      <c r="AG129" s="231"/>
      <c r="AH129" s="231"/>
      <c r="AI129" s="231"/>
      <c r="AJ129" s="231"/>
    </row>
    <row r="130" spans="2:38" ht="11.25" customHeight="1">
      <c r="C130" s="219"/>
      <c r="D130" s="217" t="s">
        <v>512</v>
      </c>
      <c r="E130" s="219"/>
      <c r="F130" s="219"/>
      <c r="G130" s="219"/>
      <c r="H130" s="219"/>
      <c r="I130" s="219"/>
      <c r="J130" s="219"/>
      <c r="K130" s="219"/>
      <c r="L130" s="219"/>
      <c r="M130" s="219"/>
      <c r="N130" s="219"/>
      <c r="O130" s="219"/>
      <c r="P130" s="219"/>
      <c r="Q130" s="219"/>
      <c r="R130" s="219"/>
      <c r="S130" s="219"/>
      <c r="T130" s="219"/>
      <c r="U130" s="219"/>
      <c r="V130" s="239"/>
      <c r="W130" s="239"/>
      <c r="X130" s="239"/>
      <c r="Y130" s="239"/>
      <c r="Z130" s="239"/>
      <c r="AA130" s="239"/>
      <c r="AB130" s="239"/>
      <c r="AC130" s="239"/>
      <c r="AD130" s="239"/>
      <c r="AE130" s="239"/>
      <c r="AF130" s="239"/>
      <c r="AG130" s="239"/>
      <c r="AH130" s="239"/>
      <c r="AI130" s="239"/>
      <c r="AJ130" s="239"/>
    </row>
    <row r="131" spans="2:38" ht="11.25" customHeight="1">
      <c r="C131" s="428" t="str">
        <f>+C11</f>
        <v>Commodity Chemicals</v>
      </c>
      <c r="D131" s="219"/>
      <c r="E131" s="219"/>
      <c r="F131" s="219"/>
      <c r="G131" s="219"/>
      <c r="H131" s="219"/>
      <c r="I131" s="219"/>
      <c r="J131" s="219"/>
      <c r="K131" s="219"/>
      <c r="L131" s="219"/>
      <c r="M131" s="219"/>
      <c r="N131" s="219"/>
      <c r="O131" s="219"/>
      <c r="P131" s="219"/>
      <c r="Q131" s="219"/>
      <c r="R131" s="219"/>
      <c r="S131" s="219"/>
      <c r="T131" s="219"/>
      <c r="U131" s="219"/>
      <c r="V131" s="239"/>
      <c r="W131" s="239"/>
      <c r="X131" s="239"/>
      <c r="Y131" s="239"/>
      <c r="Z131" s="239"/>
      <c r="AA131" s="239"/>
      <c r="AB131" s="239"/>
      <c r="AC131" s="239"/>
      <c r="AD131" s="239"/>
      <c r="AE131" s="239"/>
      <c r="AF131" s="239"/>
      <c r="AG131" s="239"/>
      <c r="AH131" s="239"/>
      <c r="AI131" s="239"/>
      <c r="AJ131" s="239"/>
    </row>
    <row r="132" spans="2:38" ht="11.25" customHeight="1">
      <c r="C132" s="229" t="str">
        <f ca="1">IFERROR(IF(BB_Switch=1,_xll.BDP($D132,$C$270),C132), "NA ")</f>
        <v>DuPont de Nemours Inc</v>
      </c>
      <c r="D132" s="227" t="str">
        <f t="shared" ref="D132:D138" si="40">+D12</f>
        <v>DD US EQUITY</v>
      </c>
      <c r="E132" s="244">
        <f ca="1">IFERROR(IF(BB_Switch=1,IF(_xll.BDP($D132,$D$130, "EQY_FUND_RELATIVE_PERIOD", E$3)="#N/A N/A","NA  ",(_xll.BDP($D132,$D$130, "EQY_FUND_RELATIVE_PERIOD", E$3))),E132),"NA ")</f>
        <v>10.835616438356164</v>
      </c>
      <c r="F132" s="244">
        <f ca="1">IFERROR(IF(BB_Switch=1,IF(_xll.BDP($D132,$D$130, "EQY_FUND_RELATIVE_PERIOD", F$3)="#N/A N/A","NA  ",(_xll.BDP($D132,$D$130, "EQY_FUND_RELATIVE_PERIOD", F$3))),F132),"NA ")</f>
        <v>12.335593220338984</v>
      </c>
      <c r="G132" s="244">
        <f ca="1">IFERROR(IF(BB_Switch=1,IF(_xll.BDP($D132,$D$130, "EQY_FUND_RELATIVE_PERIOD", G$3)="#N/A N/A","NA  ",(_xll.BDP($D132,$D$130, "EQY_FUND_RELATIVE_PERIOD", G$3))),G132),"NA ")</f>
        <v>6.5830388692579502</v>
      </c>
      <c r="H132" s="244">
        <f ca="1">IFERROR(IF(BB_Switch=1,IF(_xll.BDP($D132,$D$130, "EQY_FUND_RELATIVE_PERIOD", H$3)="#N/A N/A","NA  ",(_xll.BDP($D132,$D$130, "EQY_FUND_RELATIVE_PERIOD", H$3))),H132),"NA ")</f>
        <v>-6.101694915254237</v>
      </c>
      <c r="I132" s="244">
        <f ca="1">IFERROR(IF(BB_Switch=1,IF(_xll.BDP($D132,$D$130, "EQY_FUND_RELATIVE_PERIOD", I$3)="#N/A N/A","NA  ",(_xll.BDP($D132,$D$130, "EQY_FUND_RELATIVE_PERIOD", I$3))),I132),"NA ")</f>
        <v>8.5828571428571436</v>
      </c>
      <c r="J132" s="244" t="str">
        <f ca="1">IFERROR(IF(BB_Switch=1,IF(_xll.BDP($D132,$D$130, "EQY_FUND_RELATIVE_PERIOD", J$3)="#N/A N/A","NA  ",(_xll.BDP($D132,$D$130, "EQY_FUND_RELATIVE_PERIOD", J$3))),J132),"NA ")</f>
        <v xml:space="preserve">NA  </v>
      </c>
      <c r="K132" s="244" t="str">
        <f ca="1">IFERROR(IF(BB_Switch=1,IF(_xll.BDP($D132,$D$130, "EQY_FUND_RELATIVE_PERIOD", K$3)="#N/A N/A","NA  ",(_xll.BDP($D132,$D$130, "EQY_FUND_RELATIVE_PERIOD", K$3))),K132),"NA ")</f>
        <v xml:space="preserve">NA  </v>
      </c>
      <c r="L132" s="244">
        <f ca="1">IFERROR(IF(BB_Switch=1,IF(_xll.BDP($D132,$D$130, "EQY_FUND_RELATIVE_PERIOD", L$3)="#N/A N/A","NA  ",(_xll.BDP($D132,$D$130, "EQY_FUND_RELATIVE_PERIOD", L$3))),L132),"NA ")</f>
        <v>25.90909090909091</v>
      </c>
      <c r="M132" s="244">
        <f ca="1">IFERROR(IF(BB_Switch=1,IF(_xll.BDP($D132,$D$130, "EQY_FUND_RELATIVE_PERIOD", M$3)="#N/A N/A","NA  ",(_xll.BDP($D132,$D$130, "EQY_FUND_RELATIVE_PERIOD", M$3))),M132),"NA ")</f>
        <v>5.8832599118942728</v>
      </c>
      <c r="N132" s="244">
        <f ca="1">IFERROR(IF(BB_Switch=1,IF(_xll.BDP($D132,$D$130, "EQY_FUND_RELATIVE_PERIOD", N$3)="#N/A N/A","NA  ",(_xll.BDP($D132,$D$130, "EQY_FUND_RELATIVE_PERIOD", N$3))),N132),"NA ")</f>
        <v>-0.77575757575757576</v>
      </c>
      <c r="O132" s="244">
        <f ca="1">IFERROR(IF(BB_Switch=1,IF(_xll.BDP($D132,$D$130, "EQY_FUND_RELATIVE_PERIOD", O$3)="#N/A N/A","NA  ",(_xll.BDP($D132,$D$130, "EQY_FUND_RELATIVE_PERIOD", O$3))),O132),"NA ")</f>
        <v>5.9209039548022595</v>
      </c>
      <c r="P132" s="244">
        <f ca="1">IFERROR(IF(BB_Switch=1,IF(_xll.BDP($D132,$D$130, "EQY_FUND_RELATIVE_PERIOD", P$3)="#N/A N/A","NA  ",(_xll.BDP($D132,$D$130, "EQY_FUND_RELATIVE_PERIOD", P$3))),P132),"NA ")</f>
        <v>5.56</v>
      </c>
      <c r="Q132" s="244"/>
      <c r="R132" s="244"/>
      <c r="S132" s="244"/>
      <c r="T132" s="244"/>
      <c r="U132" s="219"/>
      <c r="V132" s="244" t="str">
        <f ca="1">IFERROR(IF(BB_Switch=1,IF(_xll.BDP($D132,$D$130, "EQY_FUND_RELATIVE_PERIOD", V$3)="#N/A N/A","NA  ",(_xll.BDP($D132,$D$130, "EQY_FUND_RELATIVE_PERIOD", V$3))),V132),"NA ")</f>
        <v xml:space="preserve">NA  </v>
      </c>
      <c r="W132" s="244" t="str">
        <f ca="1">IFERROR(IF(BB_Switch=1,IF(_xll.BDP($D132,$D$130, "EQY_FUND_RELATIVE_PERIOD", W$3)="#N/A N/A","NA  ",(_xll.BDP($D132,$D$130, "EQY_FUND_RELATIVE_PERIOD", W$3))),W132),"NA ")</f>
        <v xml:space="preserve">NA  </v>
      </c>
      <c r="X132" s="244" t="str">
        <f ca="1">IFERROR(IF(BB_Switch=1,IF(_xll.BDP($D132,$D$130, "EQY_FUND_RELATIVE_PERIOD", X$3)="#N/A N/A","NA  ",(_xll.BDP($D132,$D$130, "EQY_FUND_RELATIVE_PERIOD", X$3))),X132),"NA ")</f>
        <v xml:space="preserve">NA  </v>
      </c>
      <c r="Y132" s="244" t="str">
        <f ca="1">IFERROR(IF(BB_Switch=1,IF(_xll.BDP($D132,$D$130, "EQY_FUND_RELATIVE_PERIOD", Y$3)="#N/A N/A","NA  ",(_xll.BDP($D132,$D$130, "EQY_FUND_RELATIVE_PERIOD", Y$3))),Y132),"NA ")</f>
        <v xml:space="preserve">NA  </v>
      </c>
      <c r="Z132" s="244" t="str">
        <f ca="1">IFERROR(IF(BB_Switch=1,IF(_xll.BDP($D132,$D$130, "EQY_FUND_RELATIVE_PERIOD", Z$3)="#N/A N/A","NA  ",(_xll.BDP($D132,$D$130, "EQY_FUND_RELATIVE_PERIOD", Z$3))),Z132),"NA ")</f>
        <v xml:space="preserve">NA  </v>
      </c>
      <c r="AA132" s="244">
        <f ca="1">IFERROR(IF(BB_Switch=1,IF(_xll.BDP($D132,$D$130, "EQY_FUND_RELATIVE_PERIOD", AA$3)="#N/A N/A","NA  ",(_xll.BDP($D132,$D$130, "EQY_FUND_RELATIVE_PERIOD", AA$3))),AA132),"NA ")</f>
        <v>6.3587115666178624</v>
      </c>
      <c r="AB132" s="244">
        <f ca="1">IFERROR(IF(BB_Switch=1,IF(_xll.BDP($D132,$D$130, "EQY_FUND_RELATIVE_PERIOD", AB$3)="#N/A N/A","NA  ",(_xll.BDP($D132,$D$130, "EQY_FUND_RELATIVE_PERIOD", AB$3))),AB132),"NA ")</f>
        <v>6.8898916967509027</v>
      </c>
      <c r="AC132" s="244" t="str">
        <f ca="1">IFERROR(IF(BB_Switch=1,IF(_xll.BDP($D132,$D$130, "EQY_FUND_RELATIVE_PERIOD", AC$3)="#N/A N/A","NA  ",(_xll.BDP($D132,$D$130, "EQY_FUND_RELATIVE_PERIOD", AC$3))),AC132),"NA ")</f>
        <v xml:space="preserve">NA  </v>
      </c>
      <c r="AD132" s="244">
        <f ca="1">IFERROR(IF(BB_Switch=1,IF(_xll.BDP($D132,$D$130, "EQY_FUND_RELATIVE_PERIOD", AD$3)="#N/A N/A","NA  ",(_xll.BDP($D132,$D$130, "EQY_FUND_RELATIVE_PERIOD", AD$3))),AD132),"NA ")</f>
        <v>109.7090909090909</v>
      </c>
      <c r="AE132" s="244">
        <f ca="1">IFERROR(IF(BB_Switch=1,IF(_xll.BDP($D132,$D$130, "EQY_FUND_RELATIVE_PERIOD", AE$3)="#N/A N/A","NA  ",(_xll.BDP($D132,$D$130, "EQY_FUND_RELATIVE_PERIOD", AE$3))),AE132),"NA ")</f>
        <v>4.956586826347305</v>
      </c>
      <c r="AF132" s="244"/>
      <c r="AG132" s="244"/>
      <c r="AH132" s="244"/>
      <c r="AI132" s="244"/>
      <c r="AJ132" s="244"/>
    </row>
    <row r="133" spans="2:38" ht="11.25" customHeight="1">
      <c r="C133" s="229" t="str">
        <f ca="1">IFERROR(IF(BB_Switch=1,_xll.BDP($D133,$C$270),C133), "NA ")</f>
        <v>PolyOne Corp</v>
      </c>
      <c r="D133" s="227" t="str">
        <f t="shared" si="40"/>
        <v>POL US EQUITY</v>
      </c>
      <c r="E133" s="244" t="str">
        <f ca="1">IFERROR(IF(BB_Switch=1,IF(_xll.BDP($D133,$D$130, "EQY_FUND_RELATIVE_PERIOD", E$3)="#N/A N/A","NA  ",(_xll.BDP($D133,$D$130, "EQY_FUND_RELATIVE_PERIOD", E$3))),E133),"NA ")</f>
        <v xml:space="preserve">NA  </v>
      </c>
      <c r="F133" s="244" t="str">
        <f ca="1">IFERROR(IF(BB_Switch=1,IF(_xll.BDP($D133,$D$130, "EQY_FUND_RELATIVE_PERIOD", F$3)="#N/A N/A","NA  ",(_xll.BDP($D133,$D$130, "EQY_FUND_RELATIVE_PERIOD", F$3))),F133),"NA ")</f>
        <v xml:space="preserve">NA  </v>
      </c>
      <c r="G133" s="244" t="str">
        <f ca="1">IFERROR(IF(BB_Switch=1,IF(_xll.BDP($D133,$D$130, "EQY_FUND_RELATIVE_PERIOD", G$3)="#N/A N/A","NA  ",(_xll.BDP($D133,$D$130, "EQY_FUND_RELATIVE_PERIOD", G$3))),G133),"NA ")</f>
        <v xml:space="preserve">NA  </v>
      </c>
      <c r="H133" s="244" t="str">
        <f ca="1">IFERROR(IF(BB_Switch=1,IF(_xll.BDP($D133,$D$130, "EQY_FUND_RELATIVE_PERIOD", H$3)="#N/A N/A","NA  ",(_xll.BDP($D133,$D$130, "EQY_FUND_RELATIVE_PERIOD", H$3))),H133),"NA ")</f>
        <v xml:space="preserve">NA  </v>
      </c>
      <c r="I133" s="244" t="str">
        <f ca="1">IFERROR(IF(BB_Switch=1,IF(_xll.BDP($D133,$D$130, "EQY_FUND_RELATIVE_PERIOD", I$3)="#N/A N/A","NA  ",(_xll.BDP($D133,$D$130, "EQY_FUND_RELATIVE_PERIOD", I$3))),I133),"NA ")</f>
        <v xml:space="preserve">NA  </v>
      </c>
      <c r="J133" s="244" t="str">
        <f ca="1">IFERROR(IF(BB_Switch=1,IF(_xll.BDP($D133,$D$130, "EQY_FUND_RELATIVE_PERIOD", J$3)="#N/A N/A","NA  ",(_xll.BDP($D133,$D$130, "EQY_FUND_RELATIVE_PERIOD", J$3))),J133),"NA ")</f>
        <v xml:space="preserve">NA  </v>
      </c>
      <c r="K133" s="244" t="str">
        <f ca="1">IFERROR(IF(BB_Switch=1,IF(_xll.BDP($D133,$D$130, "EQY_FUND_RELATIVE_PERIOD", K$3)="#N/A N/A","NA  ",(_xll.BDP($D133,$D$130, "EQY_FUND_RELATIVE_PERIOD", K$3))),K133),"NA ")</f>
        <v xml:space="preserve">NA  </v>
      </c>
      <c r="L133" s="244" t="str">
        <f ca="1">IFERROR(IF(BB_Switch=1,IF(_xll.BDP($D133,$D$130, "EQY_FUND_RELATIVE_PERIOD", L$3)="#N/A N/A","NA  ",(_xll.BDP($D133,$D$130, "EQY_FUND_RELATIVE_PERIOD", L$3))),L133),"NA ")</f>
        <v xml:space="preserve">NA  </v>
      </c>
      <c r="M133" s="244" t="str">
        <f ca="1">IFERROR(IF(BB_Switch=1,IF(_xll.BDP($D133,$D$130, "EQY_FUND_RELATIVE_PERIOD", M$3)="#N/A N/A","NA  ",(_xll.BDP($D133,$D$130, "EQY_FUND_RELATIVE_PERIOD", M$3))),M133),"NA ")</f>
        <v xml:space="preserve">NA  </v>
      </c>
      <c r="N133" s="244" t="str">
        <f ca="1">IFERROR(IF(BB_Switch=1,IF(_xll.BDP($D133,$D$130, "EQY_FUND_RELATIVE_PERIOD", N$3)="#N/A N/A","NA  ",(_xll.BDP($D133,$D$130, "EQY_FUND_RELATIVE_PERIOD", N$3))),N133),"NA ")</f>
        <v xml:space="preserve">NA  </v>
      </c>
      <c r="O133" s="244" t="str">
        <f ca="1">IFERROR(IF(BB_Switch=1,IF(_xll.BDP($D133,$D$130, "EQY_FUND_RELATIVE_PERIOD", O$3)="#N/A N/A","NA  ",(_xll.BDP($D133,$D$130, "EQY_FUND_RELATIVE_PERIOD", O$3))),O133),"NA ")</f>
        <v xml:space="preserve">NA  </v>
      </c>
      <c r="P133" s="244" t="str">
        <f ca="1">IFERROR(IF(BB_Switch=1,IF(_xll.BDP($D133,$D$130, "EQY_FUND_RELATIVE_PERIOD", P$3)="#N/A N/A","NA  ",(_xll.BDP($D133,$D$130, "EQY_FUND_RELATIVE_PERIOD", P$3))),P133),"NA ")</f>
        <v xml:space="preserve">NA  </v>
      </c>
      <c r="Q133" s="244"/>
      <c r="R133" s="244"/>
      <c r="S133" s="244"/>
      <c r="T133" s="244"/>
      <c r="U133" s="219"/>
      <c r="V133" s="244" t="str">
        <f ca="1">IFERROR(IF(BB_Switch=1,IF(_xll.BDP($D133,$D$130, "EQY_FUND_RELATIVE_PERIOD", V$3)="#N/A N/A","NA  ",(_xll.BDP($D133,$D$130, "EQY_FUND_RELATIVE_PERIOD", V$3))),V133),"NA ")</f>
        <v xml:space="preserve">NA  </v>
      </c>
      <c r="W133" s="244" t="str">
        <f ca="1">IFERROR(IF(BB_Switch=1,IF(_xll.BDP($D133,$D$130, "EQY_FUND_RELATIVE_PERIOD", W$3)="#N/A N/A","NA  ",(_xll.BDP($D133,$D$130, "EQY_FUND_RELATIVE_PERIOD", W$3))),W133),"NA ")</f>
        <v xml:space="preserve">NA  </v>
      </c>
      <c r="X133" s="244" t="str">
        <f ca="1">IFERROR(IF(BB_Switch=1,IF(_xll.BDP($D133,$D$130, "EQY_FUND_RELATIVE_PERIOD", X$3)="#N/A N/A","NA  ",(_xll.BDP($D133,$D$130, "EQY_FUND_RELATIVE_PERIOD", X$3))),X133),"NA ")</f>
        <v xml:space="preserve">NA  </v>
      </c>
      <c r="Y133" s="244" t="str">
        <f ca="1">IFERROR(IF(BB_Switch=1,IF(_xll.BDP($D133,$D$130, "EQY_FUND_RELATIVE_PERIOD", Y$3)="#N/A N/A","NA  ",(_xll.BDP($D133,$D$130, "EQY_FUND_RELATIVE_PERIOD", Y$3))),Y133),"NA ")</f>
        <v xml:space="preserve">NA  </v>
      </c>
      <c r="Z133" s="244" t="str">
        <f ca="1">IFERROR(IF(BB_Switch=1,IF(_xll.BDP($D133,$D$130, "EQY_FUND_RELATIVE_PERIOD", Z$3)="#N/A N/A","NA  ",(_xll.BDP($D133,$D$130, "EQY_FUND_RELATIVE_PERIOD", Z$3))),Z133),"NA ")</f>
        <v xml:space="preserve">NA  </v>
      </c>
      <c r="AA133" s="244">
        <f ca="1">IFERROR(IF(BB_Switch=1,IF(_xll.BDP($D133,$D$130, "EQY_FUND_RELATIVE_PERIOD", AA$3)="#N/A N/A","NA  ",(_xll.BDP($D133,$D$130, "EQY_FUND_RELATIVE_PERIOD", AA$3))),AA133),"NA ")</f>
        <v>5.3609831029185875</v>
      </c>
      <c r="AB133" s="244">
        <f ca="1">IFERROR(IF(BB_Switch=1,IF(_xll.BDP($D133,$D$130, "EQY_FUND_RELATIVE_PERIOD", AB$3)="#N/A N/A","NA  ",(_xll.BDP($D133,$D$130, "EQY_FUND_RELATIVE_PERIOD", AB$3))),AB133),"NA ")</f>
        <v>6.3933884297520667</v>
      </c>
      <c r="AC133" s="244">
        <f ca="1">IFERROR(IF(BB_Switch=1,IF(_xll.BDP($D133,$D$130, "EQY_FUND_RELATIVE_PERIOD", AC$3)="#N/A N/A","NA  ",(_xll.BDP($D133,$D$130, "EQY_FUND_RELATIVE_PERIOD", AC$3))),AC133),"NA ")</f>
        <v>6.0195121951219521</v>
      </c>
      <c r="AD133" s="244">
        <f ca="1">IFERROR(IF(BB_Switch=1,IF(_xll.BDP($D133,$D$130, "EQY_FUND_RELATIVE_PERIOD", AD$3)="#N/A N/A","NA  ",(_xll.BDP($D133,$D$130, "EQY_FUND_RELATIVE_PERIOD", AD$3))),AD133),"NA ")</f>
        <v>4.4461305007587253</v>
      </c>
      <c r="AE133" s="244">
        <f ca="1">IFERROR(IF(BB_Switch=1,IF(_xll.BDP($D133,$D$130, "EQY_FUND_RELATIVE_PERIOD", AE$3)="#N/A N/A","NA  ",(_xll.BDP($D133,$D$130, "EQY_FUND_RELATIVE_PERIOD", AE$3))),AE133),"NA ")</f>
        <v>3.8056737588652485</v>
      </c>
      <c r="AF133" s="244"/>
      <c r="AG133" s="244"/>
      <c r="AH133" s="244"/>
      <c r="AI133" s="244"/>
      <c r="AJ133" s="244"/>
    </row>
    <row r="134" spans="2:38" ht="11.25" customHeight="1">
      <c r="C134" s="229" t="str">
        <f ca="1">IFERROR(IF(BB_Switch=1,_xll.BDP($D134,$C$270),C134), "NA ")</f>
        <v>Olin Corp</v>
      </c>
      <c r="D134" s="227" t="str">
        <f t="shared" si="40"/>
        <v>OLN US EQUITY</v>
      </c>
      <c r="E134" s="244">
        <f ca="1">IFERROR(IF(BB_Switch=1,IF(_xll.BDP($D134,$D$130, "EQY_FUND_RELATIVE_PERIOD", E$3)="#N/A N/A","NA  ",(_xll.BDP($D134,$D$130, "EQY_FUND_RELATIVE_PERIOD", E$3))),E134),"NA ")</f>
        <v>3.7442748091603053</v>
      </c>
      <c r="F134" s="244">
        <f ca="1">IFERROR(IF(BB_Switch=1,IF(_xll.BDP($D134,$D$130, "EQY_FUND_RELATIVE_PERIOD", F$3)="#N/A N/A","NA  ",(_xll.BDP($D134,$D$130, "EQY_FUND_RELATIVE_PERIOD", F$3))),F134),"NA ")</f>
        <v>3.0152380952380948</v>
      </c>
      <c r="G134" s="244">
        <f ca="1">IFERROR(IF(BB_Switch=1,IF(_xll.BDP($D134,$D$130, "EQY_FUND_RELATIVE_PERIOD", G$3)="#N/A N/A","NA  ",(_xll.BDP($D134,$D$130, "EQY_FUND_RELATIVE_PERIOD", G$3))),G134),"NA ")</f>
        <v>4.5838041431261765</v>
      </c>
      <c r="H134" s="244">
        <f ca="1">IFERROR(IF(BB_Switch=1,IF(_xll.BDP($D134,$D$130, "EQY_FUND_RELATIVE_PERIOD", H$3)="#N/A N/A","NA  ",(_xll.BDP($D134,$D$130, "EQY_FUND_RELATIVE_PERIOD", H$3))),H134),"NA ")</f>
        <v>4.3367003367003374</v>
      </c>
      <c r="I134" s="244">
        <f ca="1">IFERROR(IF(BB_Switch=1,IF(_xll.BDP($D134,$D$130, "EQY_FUND_RELATIVE_PERIOD", I$3)="#N/A N/A","NA  ",(_xll.BDP($D134,$D$130, "EQY_FUND_RELATIVE_PERIOD", I$3))),I134),"NA ")</f>
        <v>3.6357927786499213</v>
      </c>
      <c r="J134" s="244">
        <f ca="1">IFERROR(IF(BB_Switch=1,IF(_xll.BDP($D134,$D$130, "EQY_FUND_RELATIVE_PERIOD", J$3)="#N/A N/A","NA  ",(_xll.BDP($D134,$D$130, "EQY_FUND_RELATIVE_PERIOD", J$3))),J134),"NA ")</f>
        <v>4.9328968903436987</v>
      </c>
      <c r="K134" s="244">
        <f ca="1">IFERROR(IF(BB_Switch=1,IF(_xll.BDP($D134,$D$130, "EQY_FUND_RELATIVE_PERIOD", K$3)="#N/A N/A","NA  ",(_xll.BDP($D134,$D$130, "EQY_FUND_RELATIVE_PERIOD", K$3))),K134),"NA ")</f>
        <v>7.9070945945945947</v>
      </c>
      <c r="L134" s="244">
        <f ca="1">IFERROR(IF(BB_Switch=1,IF(_xll.BDP($D134,$D$130, "EQY_FUND_RELATIVE_PERIOD", L$3)="#N/A N/A","NA  ",(_xll.BDP($D134,$D$130, "EQY_FUND_RELATIVE_PERIOD", L$3))),L134),"NA ")</f>
        <v>4.6824324324324325</v>
      </c>
      <c r="M134" s="244">
        <f ca="1">IFERROR(IF(BB_Switch=1,IF(_xll.BDP($D134,$D$130, "EQY_FUND_RELATIVE_PERIOD", M$3)="#N/A N/A","NA  ",(_xll.BDP($D134,$D$130, "EQY_FUND_RELATIVE_PERIOD", M$3))),M134),"NA ")</f>
        <v>4.8292682926829276</v>
      </c>
      <c r="N134" s="244">
        <f ca="1">IFERROR(IF(BB_Switch=1,IF(_xll.BDP($D134,$D$130, "EQY_FUND_RELATIVE_PERIOD", N$3)="#N/A N/A","NA  ",(_xll.BDP($D134,$D$130, "EQY_FUND_RELATIVE_PERIOD", N$3))),N134),"NA ")</f>
        <v>3.5837651122625216</v>
      </c>
      <c r="O134" s="244">
        <f ca="1">IFERROR(IF(BB_Switch=1,IF(_xll.BDP($D134,$D$130, "EQY_FUND_RELATIVE_PERIOD", O$3)="#N/A N/A","NA  ",(_xll.BDP($D134,$D$130, "EQY_FUND_RELATIVE_PERIOD", O$3))),O134),"NA ")</f>
        <v>4.492957746478873</v>
      </c>
      <c r="P134" s="244">
        <f ca="1">IFERROR(IF(BB_Switch=1,IF(_xll.BDP($D134,$D$130, "EQY_FUND_RELATIVE_PERIOD", P$3)="#N/A N/A","NA  ",(_xll.BDP($D134,$D$130, "EQY_FUND_RELATIVE_PERIOD", P$3))),P134),"NA ")</f>
        <v>1.9453125</v>
      </c>
      <c r="Q134" s="244"/>
      <c r="R134" s="244"/>
      <c r="S134" s="244"/>
      <c r="T134" s="244"/>
      <c r="U134" s="219"/>
      <c r="V134" s="244">
        <f ca="1">IFERROR(IF(BB_Switch=1,IF(_xll.BDP($D134,$D$130, "EQY_FUND_RELATIVE_PERIOD", V$3)="#N/A N/A","NA  ",(_xll.BDP($D134,$D$130, "EQY_FUND_RELATIVE_PERIOD", V$3))),V134),"NA ")</f>
        <v>6.1732283464566935</v>
      </c>
      <c r="W134" s="244">
        <f ca="1">IFERROR(IF(BB_Switch=1,IF(_xll.BDP($D134,$D$130, "EQY_FUND_RELATIVE_PERIOD", W$3)="#N/A N/A","NA  ",(_xll.BDP($D134,$D$130, "EQY_FUND_RELATIVE_PERIOD", W$3))),W134),"NA ")</f>
        <v>10.631578947368421</v>
      </c>
      <c r="X134" s="244">
        <f ca="1">IFERROR(IF(BB_Switch=1,IF(_xll.BDP($D134,$D$130, "EQY_FUND_RELATIVE_PERIOD", X$3)="#N/A N/A","NA  ",(_xll.BDP($D134,$D$130, "EQY_FUND_RELATIVE_PERIOD", X$3))),X134),"NA ")</f>
        <v>14.007575757575756</v>
      </c>
      <c r="Y134" s="244">
        <f ca="1">IFERROR(IF(BB_Switch=1,IF(_xll.BDP($D134,$D$130, "EQY_FUND_RELATIVE_PERIOD", Y$3)="#N/A N/A","NA  ",(_xll.BDP($D134,$D$130, "EQY_FUND_RELATIVE_PERIOD", Y$3))),Y134),"NA ")</f>
        <v>10.927461139896373</v>
      </c>
      <c r="Z134" s="244">
        <f ca="1">IFERROR(IF(BB_Switch=1,IF(_xll.BDP($D134,$D$130, "EQY_FUND_RELATIVE_PERIOD", Z$3)="#N/A N/A","NA  ",(_xll.BDP($D134,$D$130, "EQY_FUND_RELATIVE_PERIOD", Z$3))),Z134),"NA ")</f>
        <v>7.8196347031963471</v>
      </c>
      <c r="AA134" s="244">
        <f ca="1">IFERROR(IF(BB_Switch=1,IF(_xll.BDP($D134,$D$130, "EQY_FUND_RELATIVE_PERIOD", AA$3)="#N/A N/A","NA  ",(_xll.BDP($D134,$D$130, "EQY_FUND_RELATIVE_PERIOD", AA$3))),AA134),"NA ")</f>
        <v>3.3979381443298973</v>
      </c>
      <c r="AB134" s="244">
        <f ca="1">IFERROR(IF(BB_Switch=1,IF(_xll.BDP($D134,$D$130, "EQY_FUND_RELATIVE_PERIOD", AB$3)="#N/A N/A","NA  ",(_xll.BDP($D134,$D$130, "EQY_FUND_RELATIVE_PERIOD", AB$3))),AB134),"NA ")</f>
        <v>3.5752996352266804</v>
      </c>
      <c r="AC134" s="244">
        <f ca="1">IFERROR(IF(BB_Switch=1,IF(_xll.BDP($D134,$D$130, "EQY_FUND_RELATIVE_PERIOD", AC$3)="#N/A N/A","NA  ",(_xll.BDP($D134,$D$130, "EQY_FUND_RELATIVE_PERIOD", AC$3))),AC134),"NA ")</f>
        <v>3.9351425942962281</v>
      </c>
      <c r="AD134" s="244">
        <f ca="1">IFERROR(IF(BB_Switch=1,IF(_xll.BDP($D134,$D$130, "EQY_FUND_RELATIVE_PERIOD", AD$3)="#N/A N/A","NA  ",(_xll.BDP($D134,$D$130, "EQY_FUND_RELATIVE_PERIOD", AD$3))),AD134),"NA ")</f>
        <v>5.2561677631578947</v>
      </c>
      <c r="AE134" s="244">
        <f ca="1">IFERROR(IF(BB_Switch=1,IF(_xll.BDP($D134,$D$130, "EQY_FUND_RELATIVE_PERIOD", AE$3)="#N/A N/A","NA  ",(_xll.BDP($D134,$D$130, "EQY_FUND_RELATIVE_PERIOD", AE$3))),AE134),"NA ")</f>
        <v>3.685444078947369</v>
      </c>
      <c r="AF134" s="244"/>
      <c r="AG134" s="244"/>
      <c r="AH134" s="244"/>
      <c r="AI134" s="244"/>
      <c r="AJ134" s="244"/>
    </row>
    <row r="135" spans="2:38" ht="11.25" customHeight="1">
      <c r="C135" s="229" t="str">
        <f ca="1">IFERROR(IF(BB_Switch=1,_xll.BDP($D135,$C$270),C135), "NA ")</f>
        <v>LyondellBasell Industries NV</v>
      </c>
      <c r="D135" s="227" t="str">
        <f t="shared" si="40"/>
        <v>LYB US EQUITY</v>
      </c>
      <c r="E135" s="244">
        <f ca="1">IFERROR(IF(BB_Switch=1,IF(_xll.BDP($D135,$D$130, "EQY_FUND_RELATIVE_PERIOD", E$3)="#N/A N/A","NA  ",(_xll.BDP($D135,$D$130, "EQY_FUND_RELATIVE_PERIOD", E$3))),E135),"NA ")</f>
        <v>7.27536231884058</v>
      </c>
      <c r="F135" s="244">
        <f ca="1">IFERROR(IF(BB_Switch=1,IF(_xll.BDP($D135,$D$130, "EQY_FUND_RELATIVE_PERIOD", F$3)="#N/A N/A","NA  ",(_xll.BDP($D135,$D$130, "EQY_FUND_RELATIVE_PERIOD", F$3))),F135),"NA ")</f>
        <v>19.610526315789475</v>
      </c>
      <c r="G135" s="244">
        <f ca="1">IFERROR(IF(BB_Switch=1,IF(_xll.BDP($D135,$D$130, "EQY_FUND_RELATIVE_PERIOD", G$3)="#N/A N/A","NA  ",(_xll.BDP($D135,$D$130, "EQY_FUND_RELATIVE_PERIOD", G$3))),G135),"NA ")</f>
        <v>17.297872340425531</v>
      </c>
      <c r="H135" s="244">
        <f ca="1">IFERROR(IF(BB_Switch=1,IF(_xll.BDP($D135,$D$130, "EQY_FUND_RELATIVE_PERIOD", H$3)="#N/A N/A","NA  ",(_xll.BDP($D135,$D$130, "EQY_FUND_RELATIVE_PERIOD", H$3))),H135),"NA ")</f>
        <v>17.252631578947369</v>
      </c>
      <c r="I135" s="244">
        <f ca="1">IFERROR(IF(BB_Switch=1,IF(_xll.BDP($D135,$D$130, "EQY_FUND_RELATIVE_PERIOD", I$3)="#N/A N/A","NA  ",(_xll.BDP($D135,$D$130, "EQY_FUND_RELATIVE_PERIOD", I$3))),I135),"NA ")</f>
        <v>19.703296703296704</v>
      </c>
      <c r="J135" s="244">
        <f ca="1">IFERROR(IF(BB_Switch=1,IF(_xll.BDP($D135,$D$130, "EQY_FUND_RELATIVE_PERIOD", J$3)="#N/A N/A","NA  ",(_xll.BDP($D135,$D$130, "EQY_FUND_RELATIVE_PERIOD", J$3))),J135),"NA ")</f>
        <v>21.164835164835164</v>
      </c>
      <c r="K135" s="244">
        <f ca="1">IFERROR(IF(BB_Switch=1,IF(_xll.BDP($D135,$D$130, "EQY_FUND_RELATIVE_PERIOD", K$3)="#N/A N/A","NA  ",(_xll.BDP($D135,$D$130, "EQY_FUND_RELATIVE_PERIOD", K$3))),K135),"NA ")</f>
        <v>18.066666666666666</v>
      </c>
      <c r="L135" s="244">
        <f ca="1">IFERROR(IF(BB_Switch=1,IF(_xll.BDP($D135,$D$130, "EQY_FUND_RELATIVE_PERIOD", L$3)="#N/A N/A","NA  ",(_xll.BDP($D135,$D$130, "EQY_FUND_RELATIVE_PERIOD", L$3))),L135),"NA ")</f>
        <v>12.806818181818182</v>
      </c>
      <c r="M135" s="244">
        <f ca="1">IFERROR(IF(BB_Switch=1,IF(_xll.BDP($D135,$D$130, "EQY_FUND_RELATIVE_PERIOD", M$3)="#N/A N/A","NA  ",(_xll.BDP($D135,$D$130, "EQY_FUND_RELATIVE_PERIOD", M$3))),M135),"NA ")</f>
        <v>15.532608695652174</v>
      </c>
      <c r="N135" s="244">
        <f ca="1">IFERROR(IF(BB_Switch=1,IF(_xll.BDP($D135,$D$130, "EQY_FUND_RELATIVE_PERIOD", N$3)="#N/A N/A","NA  ",(_xll.BDP($D135,$D$130, "EQY_FUND_RELATIVE_PERIOD", N$3))),N135),"NA ")</f>
        <v>19.691358024691358</v>
      </c>
      <c r="O135" s="244">
        <f ca="1">IFERROR(IF(BB_Switch=1,IF(_xll.BDP($D135,$D$130, "EQY_FUND_RELATIVE_PERIOD", O$3)="#N/A N/A","NA  ",(_xll.BDP($D135,$D$130, "EQY_FUND_RELATIVE_PERIOD", O$3))),O135),"NA ")</f>
        <v>17.918604651162791</v>
      </c>
      <c r="P135" s="244">
        <f ca="1">IFERROR(IF(BB_Switch=1,IF(_xll.BDP($D135,$D$130, "EQY_FUND_RELATIVE_PERIOD", P$3)="#N/A N/A","NA  ",(_xll.BDP($D135,$D$130, "EQY_FUND_RELATIVE_PERIOD", P$3))),P135),"NA ")</f>
        <v>13.965909090909092</v>
      </c>
      <c r="Q135" s="244"/>
      <c r="R135" s="244"/>
      <c r="S135" s="244"/>
      <c r="T135" s="244"/>
      <c r="U135" s="219"/>
      <c r="V135" s="244">
        <f ca="1">IFERROR(IF(BB_Switch=1,IF(_xll.BDP($D135,$D$130, "EQY_FUND_RELATIVE_PERIOD", V$3)="#N/A N/A","NA  ",(_xll.BDP($D135,$D$130, "EQY_FUND_RELATIVE_PERIOD", V$3))),V135),"NA ")</f>
        <v>3.2329093799682034</v>
      </c>
      <c r="W135" s="244">
        <f ca="1">IFERROR(IF(BB_Switch=1,IF(_xll.BDP($D135,$D$130, "EQY_FUND_RELATIVE_PERIOD", W$3)="#N/A N/A","NA  ",(_xll.BDP($D135,$D$130, "EQY_FUND_RELATIVE_PERIOD", W$3))),W135),"NA ")</f>
        <v>5.0459770114942533</v>
      </c>
      <c r="X135" s="244">
        <f ca="1">IFERROR(IF(BB_Switch=1,IF(_xll.BDP($D135,$D$130, "EQY_FUND_RELATIVE_PERIOD", X$3)="#N/A N/A","NA  ",(_xll.BDP($D135,$D$130, "EQY_FUND_RELATIVE_PERIOD", X$3))),X135),"NA ")</f>
        <v>8.6396946564885493</v>
      </c>
      <c r="Y135" s="244">
        <f ca="1">IFERROR(IF(BB_Switch=1,IF(_xll.BDP($D135,$D$130, "EQY_FUND_RELATIVE_PERIOD", Y$3)="#N/A N/A","NA  ",(_xll.BDP($D135,$D$130, "EQY_FUND_RELATIVE_PERIOD", Y$3))),Y135),"NA ")</f>
        <v>19.815533980582526</v>
      </c>
      <c r="Z135" s="244">
        <f ca="1">IFERROR(IF(BB_Switch=1,IF(_xll.BDP($D135,$D$130, "EQY_FUND_RELATIVE_PERIOD", Z$3)="#N/A N/A","NA  ",(_xll.BDP($D135,$D$130, "EQY_FUND_RELATIVE_PERIOD", Z$3))),Z135),"NA ")</f>
        <v>19.19034090909091</v>
      </c>
      <c r="AA135" s="244">
        <f ca="1">IFERROR(IF(BB_Switch=1,IF(_xll.BDP($D135,$D$130, "EQY_FUND_RELATIVE_PERIOD", AA$3)="#N/A N/A","NA  ",(_xll.BDP($D135,$D$130, "EQY_FUND_RELATIVE_PERIOD", AA$3))),AA135),"NA ")</f>
        <v>23.125806451612902</v>
      </c>
      <c r="AB135" s="244">
        <f ca="1">IFERROR(IF(BB_Switch=1,IF(_xll.BDP($D135,$D$130, "EQY_FUND_RELATIVE_PERIOD", AB$3)="#N/A N/A","NA  ",(_xll.BDP($D135,$D$130, "EQY_FUND_RELATIVE_PERIOD", AB$3))),AB135),"NA ")</f>
        <v>19.018633540372672</v>
      </c>
      <c r="AC135" s="244">
        <f ca="1">IFERROR(IF(BB_Switch=1,IF(_xll.BDP($D135,$D$130, "EQY_FUND_RELATIVE_PERIOD", AC$3)="#N/A N/A","NA  ",(_xll.BDP($D135,$D$130, "EQY_FUND_RELATIVE_PERIOD", AC$3))),AC135),"NA ")</f>
        <v>13.511201629327902</v>
      </c>
      <c r="AD135" s="244">
        <f ca="1">IFERROR(IF(BB_Switch=1,IF(_xll.BDP($D135,$D$130, "EQY_FUND_RELATIVE_PERIOD", AD$3)="#N/A N/A","NA  ",(_xll.BDP($D135,$D$130, "EQY_FUND_RELATIVE_PERIOD", AD$3))),AD135),"NA ")</f>
        <v>17.977777777777778</v>
      </c>
      <c r="AE135" s="244">
        <f ca="1">IFERROR(IF(BB_Switch=1,IF(_xll.BDP($D135,$D$130, "EQY_FUND_RELATIVE_PERIOD", AE$3)="#N/A N/A","NA  ",(_xll.BDP($D135,$D$130, "EQY_FUND_RELATIVE_PERIOD", AE$3))),AE135),"NA ")</f>
        <v>16.697406340057636</v>
      </c>
      <c r="AF135" s="244"/>
      <c r="AG135" s="244"/>
      <c r="AH135" s="244"/>
      <c r="AI135" s="244"/>
      <c r="AJ135" s="244"/>
    </row>
    <row r="136" spans="2:38" ht="11.25" customHeight="1">
      <c r="C136" s="229" t="str">
        <f ca="1">IFERROR(IF(BB_Switch=1,_xll.BDP($D136,$C$270),C136), "NA ")</f>
        <v>Westlake Chemical Corp</v>
      </c>
      <c r="D136" s="227" t="str">
        <f t="shared" si="40"/>
        <v>WLK US EQUITY</v>
      </c>
      <c r="E136" s="244">
        <f ca="1">IFERROR(IF(BB_Switch=1,IF(_xll.BDP($D136,$D$130, "EQY_FUND_RELATIVE_PERIOD", E$3)="#N/A N/A","NA  ",(_xll.BDP($D136,$D$130, "EQY_FUND_RELATIVE_PERIOD", E$3))),E136),"NA ")</f>
        <v>9.6</v>
      </c>
      <c r="F136" s="244">
        <f ca="1">IFERROR(IF(BB_Switch=1,IF(_xll.BDP($D136,$D$130, "EQY_FUND_RELATIVE_PERIOD", F$3)="#N/A N/A","NA  ",(_xll.BDP($D136,$D$130, "EQY_FUND_RELATIVE_PERIOD", F$3))),F136),"NA ")</f>
        <v>10.487179487179487</v>
      </c>
      <c r="G136" s="244">
        <f ca="1">IFERROR(IF(BB_Switch=1,IF(_xll.BDP($D136,$D$130, "EQY_FUND_RELATIVE_PERIOD", G$3)="#N/A N/A","NA  ",(_xll.BDP($D136,$D$130, "EQY_FUND_RELATIVE_PERIOD", G$3))),G136),"NA ")</f>
        <v>12.95</v>
      </c>
      <c r="H136" s="244">
        <f ca="1">IFERROR(IF(BB_Switch=1,IF(_xll.BDP($D136,$D$130, "EQY_FUND_RELATIVE_PERIOD", H$3)="#N/A N/A","NA  ",(_xll.BDP($D136,$D$130, "EQY_FUND_RELATIVE_PERIOD", H$3))),H136),"NA ")</f>
        <v>12.875</v>
      </c>
      <c r="I136" s="244">
        <f ca="1">IFERROR(IF(BB_Switch=1,IF(_xll.BDP($D136,$D$130, "EQY_FUND_RELATIVE_PERIOD", I$3)="#N/A N/A","NA  ",(_xll.BDP($D136,$D$130, "EQY_FUND_RELATIVE_PERIOD", I$3))),I136),"NA ")</f>
        <v>15.054054054054054</v>
      </c>
      <c r="J136" s="244">
        <f ca="1">IFERROR(IF(BB_Switch=1,IF(_xll.BDP($D136,$D$130, "EQY_FUND_RELATIVE_PERIOD", J$3)="#N/A N/A","NA  ",(_xll.BDP($D136,$D$130, "EQY_FUND_RELATIVE_PERIOD", J$3))),J136),"NA ")</f>
        <v>18.06451612903226</v>
      </c>
      <c r="K136" s="244">
        <f ca="1">IFERROR(IF(BB_Switch=1,IF(_xll.BDP($D136,$D$130, "EQY_FUND_RELATIVE_PERIOD", K$3)="#N/A N/A","NA  ",(_xll.BDP($D136,$D$130, "EQY_FUND_RELATIVE_PERIOD", K$3))),K136),"NA ")</f>
        <v>19.892857142857142</v>
      </c>
      <c r="L136" s="244">
        <f ca="1">IFERROR(IF(BB_Switch=1,IF(_xll.BDP($D136,$D$130, "EQY_FUND_RELATIVE_PERIOD", L$3)="#N/A N/A","NA  ",(_xll.BDP($D136,$D$130, "EQY_FUND_RELATIVE_PERIOD", L$3))),L136),"NA ")</f>
        <v>12.5</v>
      </c>
      <c r="M136" s="244">
        <f ca="1">IFERROR(IF(BB_Switch=1,IF(_xll.BDP($D136,$D$130, "EQY_FUND_RELATIVE_PERIOD", M$3)="#N/A N/A","NA  ",(_xll.BDP($D136,$D$130, "EQY_FUND_RELATIVE_PERIOD", M$3))),M136),"NA ")</f>
        <v>11.566666666666666</v>
      </c>
      <c r="N136" s="244">
        <f ca="1">IFERROR(IF(BB_Switch=1,IF(_xll.BDP($D136,$D$130, "EQY_FUND_RELATIVE_PERIOD", N$3)="#N/A N/A","NA  ",(_xll.BDP($D136,$D$130, "EQY_FUND_RELATIVE_PERIOD", N$3))),N136),"NA ")</f>
        <v>14.214285714285714</v>
      </c>
      <c r="O136" s="244">
        <f ca="1">IFERROR(IF(BB_Switch=1,IF(_xll.BDP($D136,$D$130, "EQY_FUND_RELATIVE_PERIOD", O$3)="#N/A N/A","NA  ",(_xll.BDP($D136,$D$130, "EQY_FUND_RELATIVE_PERIOD", O$3))),O136),"NA ")</f>
        <v>13.96774193548387</v>
      </c>
      <c r="P136" s="244">
        <f ca="1">IFERROR(IF(BB_Switch=1,IF(_xll.BDP($D136,$D$130, "EQY_FUND_RELATIVE_PERIOD", P$3)="#N/A N/A","NA  ",(_xll.BDP($D136,$D$130, "EQY_FUND_RELATIVE_PERIOD", P$3))),P136),"NA ")</f>
        <v>9.0857142857142854</v>
      </c>
      <c r="Q136" s="244"/>
      <c r="R136" s="244"/>
      <c r="S136" s="244"/>
      <c r="T136" s="244"/>
      <c r="U136" s="219"/>
      <c r="V136" s="244">
        <f ca="1">IFERROR(IF(BB_Switch=1,IF(_xll.BDP($D136,$D$130, "EQY_FUND_RELATIVE_PERIOD", V$3)="#N/A N/A","NA  ",(_xll.BDP($D136,$D$130, "EQY_FUND_RELATIVE_PERIOD", V$3))),V136),"NA ")</f>
        <v>12.71714106583072</v>
      </c>
      <c r="W136" s="244">
        <f ca="1">IFERROR(IF(BB_Switch=1,IF(_xll.BDP($D136,$D$130, "EQY_FUND_RELATIVE_PERIOD", W$3)="#N/A N/A","NA  ",(_xll.BDP($D136,$D$130, "EQY_FUND_RELATIVE_PERIOD", W$3))),W136),"NA ")</f>
        <v>11.338896297458426</v>
      </c>
      <c r="X136" s="244">
        <f ca="1">IFERROR(IF(BB_Switch=1,IF(_xll.BDP($D136,$D$130, "EQY_FUND_RELATIVE_PERIOD", X$3)="#N/A N/A","NA  ",(_xll.BDP($D136,$D$130, "EQY_FUND_RELATIVE_PERIOD", X$3))),X136),"NA ")</f>
        <v>17.651792143836094</v>
      </c>
      <c r="Y136" s="244">
        <f ca="1">IFERROR(IF(BB_Switch=1,IF(_xll.BDP($D136,$D$130, "EQY_FUND_RELATIVE_PERIOD", Y$3)="#N/A N/A","NA  ",(_xll.BDP($D136,$D$130, "EQY_FUND_RELATIVE_PERIOD", Y$3))),Y136),"NA ")</f>
        <v>61.457360911403597</v>
      </c>
      <c r="Z136" s="244">
        <f ca="1">IFERROR(IF(BB_Switch=1,IF(_xll.BDP($D136,$D$130, "EQY_FUND_RELATIVE_PERIOD", Z$3)="#N/A N/A","NA  ",(_xll.BDP($D136,$D$130, "EQY_FUND_RELATIVE_PERIOD", Z$3))),Z136),"NA ")</f>
        <v>35.673511458556433</v>
      </c>
      <c r="AA136" s="244">
        <f ca="1">IFERROR(IF(BB_Switch=1,IF(_xll.BDP($D136,$D$130, "EQY_FUND_RELATIVE_PERIOD", AA$3)="#N/A N/A","NA  ",(_xll.BDP($D136,$D$130, "EQY_FUND_RELATIVE_PERIOD", AA$3))),AA136),"NA ")</f>
        <v>34.787165281625121</v>
      </c>
      <c r="AB136" s="244">
        <f ca="1">IFERROR(IF(BB_Switch=1,IF(_xll.BDP($D136,$D$130, "EQY_FUND_RELATIVE_PERIOD", AB$3)="#N/A N/A","NA  ",(_xll.BDP($D136,$D$130, "EQY_FUND_RELATIVE_PERIOD", AB$3))),AB136),"NA ")</f>
        <v>12.164556962025317</v>
      </c>
      <c r="AC136" s="244">
        <f ca="1">IFERROR(IF(BB_Switch=1,IF(_xll.BDP($D136,$D$130, "EQY_FUND_RELATIVE_PERIOD", AC$3)="#N/A N/A","NA  ",(_xll.BDP($D136,$D$130, "EQY_FUND_RELATIVE_PERIOD", AC$3))),AC136),"NA ")</f>
        <v>11.484276729559749</v>
      </c>
      <c r="AD136" s="244">
        <f ca="1">IFERROR(IF(BB_Switch=1,IF(_xll.BDP($D136,$D$130, "EQY_FUND_RELATIVE_PERIOD", AD$3)="#N/A N/A","NA  ",(_xll.BDP($D136,$D$130, "EQY_FUND_RELATIVE_PERIOD", AD$3))),AD136),"NA ")</f>
        <v>16.261904761904763</v>
      </c>
      <c r="AE136" s="244">
        <f ca="1">IFERROR(IF(BB_Switch=1,IF(_xll.BDP($D136,$D$130, "EQY_FUND_RELATIVE_PERIOD", AE$3)="#N/A N/A","NA  ",(_xll.BDP($D136,$D$130, "EQY_FUND_RELATIVE_PERIOD", AE$3))),AE136),"NA ")</f>
        <v>11.951612903225806</v>
      </c>
      <c r="AF136" s="244"/>
      <c r="AG136" s="244"/>
      <c r="AH136" s="244"/>
      <c r="AI136" s="244"/>
      <c r="AJ136" s="244"/>
    </row>
    <row r="137" spans="2:38" ht="11.25" customHeight="1">
      <c r="C137" s="229" t="str">
        <f ca="1">IFERROR(IF(BB_Switch=1,_xll.BDP($D137,$C$270),C137), "NA ")</f>
        <v>Kraton Corp</v>
      </c>
      <c r="D137" s="227" t="str">
        <f t="shared" si="40"/>
        <v>KRA US EQUITY</v>
      </c>
      <c r="E137" s="244" t="str">
        <f ca="1">IFERROR(IF(BB_Switch=1,IF(_xll.BDP($D137,$D$130, "EQY_FUND_RELATIVE_PERIOD", E$3)="#N/A N/A","NA  ",(_xll.BDP($D137,$D$130, "EQY_FUND_RELATIVE_PERIOD", E$3))),E137),"NA ")</f>
        <v xml:space="preserve">NA  </v>
      </c>
      <c r="F137" s="244" t="str">
        <f ca="1">IFERROR(IF(BB_Switch=1,IF(_xll.BDP($D137,$D$130, "EQY_FUND_RELATIVE_PERIOD", F$3)="#N/A N/A","NA  ",(_xll.BDP($D137,$D$130, "EQY_FUND_RELATIVE_PERIOD", F$3))),F137),"NA ")</f>
        <v xml:space="preserve">NA  </v>
      </c>
      <c r="G137" s="244" t="str">
        <f ca="1">IFERROR(IF(BB_Switch=1,IF(_xll.BDP($D137,$D$130, "EQY_FUND_RELATIVE_PERIOD", G$3)="#N/A N/A","NA  ",(_xll.BDP($D137,$D$130, "EQY_FUND_RELATIVE_PERIOD", G$3))),G137),"NA ")</f>
        <v xml:space="preserve">NA  </v>
      </c>
      <c r="H137" s="244" t="str">
        <f ca="1">IFERROR(IF(BB_Switch=1,IF(_xll.BDP($D137,$D$130, "EQY_FUND_RELATIVE_PERIOD", H$3)="#N/A N/A","NA  ",(_xll.BDP($D137,$D$130, "EQY_FUND_RELATIVE_PERIOD", H$3))),H137),"NA ")</f>
        <v xml:space="preserve">NA  </v>
      </c>
      <c r="I137" s="244" t="str">
        <f ca="1">IFERROR(IF(BB_Switch=1,IF(_xll.BDP($D137,$D$130, "EQY_FUND_RELATIVE_PERIOD", I$3)="#N/A N/A","NA  ",(_xll.BDP($D137,$D$130, "EQY_FUND_RELATIVE_PERIOD", I$3))),I137),"NA ")</f>
        <v xml:space="preserve">NA  </v>
      </c>
      <c r="J137" s="244" t="str">
        <f ca="1">IFERROR(IF(BB_Switch=1,IF(_xll.BDP($D137,$D$130, "EQY_FUND_RELATIVE_PERIOD", J$3)="#N/A N/A","NA  ",(_xll.BDP($D137,$D$130, "EQY_FUND_RELATIVE_PERIOD", J$3))),J137),"NA ")</f>
        <v xml:space="preserve">NA  </v>
      </c>
      <c r="K137" s="244" t="str">
        <f ca="1">IFERROR(IF(BB_Switch=1,IF(_xll.BDP($D137,$D$130, "EQY_FUND_RELATIVE_PERIOD", K$3)="#N/A N/A","NA  ",(_xll.BDP($D137,$D$130, "EQY_FUND_RELATIVE_PERIOD", K$3))),K137),"NA ")</f>
        <v xml:space="preserve">NA  </v>
      </c>
      <c r="L137" s="244" t="str">
        <f ca="1">IFERROR(IF(BB_Switch=1,IF(_xll.BDP($D137,$D$130, "EQY_FUND_RELATIVE_PERIOD", L$3)="#N/A N/A","NA  ",(_xll.BDP($D137,$D$130, "EQY_FUND_RELATIVE_PERIOD", L$3))),L137),"NA ")</f>
        <v xml:space="preserve">NA  </v>
      </c>
      <c r="M137" s="244" t="str">
        <f ca="1">IFERROR(IF(BB_Switch=1,IF(_xll.BDP($D137,$D$130, "EQY_FUND_RELATIVE_PERIOD", M$3)="#N/A N/A","NA  ",(_xll.BDP($D137,$D$130, "EQY_FUND_RELATIVE_PERIOD", M$3))),M137),"NA ")</f>
        <v xml:space="preserve">NA  </v>
      </c>
      <c r="N137" s="244" t="str">
        <f ca="1">IFERROR(IF(BB_Switch=1,IF(_xll.BDP($D137,$D$130, "EQY_FUND_RELATIVE_PERIOD", N$3)="#N/A N/A","NA  ",(_xll.BDP($D137,$D$130, "EQY_FUND_RELATIVE_PERIOD", N$3))),N137),"NA ")</f>
        <v xml:space="preserve">NA  </v>
      </c>
      <c r="O137" s="244" t="str">
        <f ca="1">IFERROR(IF(BB_Switch=1,IF(_xll.BDP($D137,$D$130, "EQY_FUND_RELATIVE_PERIOD", O$3)="#N/A N/A","NA  ",(_xll.BDP($D137,$D$130, "EQY_FUND_RELATIVE_PERIOD", O$3))),O137),"NA ")</f>
        <v xml:space="preserve">NA  </v>
      </c>
      <c r="P137" s="244" t="str">
        <f ca="1">IFERROR(IF(BB_Switch=1,IF(_xll.BDP($D137,$D$130, "EQY_FUND_RELATIVE_PERIOD", P$3)="#N/A N/A","NA  ",(_xll.BDP($D137,$D$130, "EQY_FUND_RELATIVE_PERIOD", P$3))),P137),"NA ")</f>
        <v xml:space="preserve">NA  </v>
      </c>
      <c r="Q137" s="219"/>
      <c r="R137" s="219"/>
      <c r="S137" s="219"/>
      <c r="T137" s="219"/>
      <c r="U137" s="219"/>
      <c r="V137" s="244" t="str">
        <f ca="1">IFERROR(IF(BB_Switch=1,IF(_xll.BDP($D137,$D$130, "EQY_FUND_RELATIVE_PERIOD", V$3)="#N/A N/A","NA  ",(_xll.BDP($D137,$D$130, "EQY_FUND_RELATIVE_PERIOD", V$3))),V137),"NA ")</f>
        <v xml:space="preserve">NA  </v>
      </c>
      <c r="W137" s="244" t="str">
        <f ca="1">IFERROR(IF(BB_Switch=1,IF(_xll.BDP($D137,$D$130, "EQY_FUND_RELATIVE_PERIOD", W$3)="#N/A N/A","NA  ",(_xll.BDP($D137,$D$130, "EQY_FUND_RELATIVE_PERIOD", W$3))),W137),"NA ")</f>
        <v xml:space="preserve">NA  </v>
      </c>
      <c r="X137" s="244" t="str">
        <f ca="1">IFERROR(IF(BB_Switch=1,IF(_xll.BDP($D137,$D$130, "EQY_FUND_RELATIVE_PERIOD", X$3)="#N/A N/A","NA  ",(_xll.BDP($D137,$D$130, "EQY_FUND_RELATIVE_PERIOD", X$3))),X137),"NA ")</f>
        <v xml:space="preserve">NA  </v>
      </c>
      <c r="Y137" s="244" t="str">
        <f ca="1">IFERROR(IF(BB_Switch=1,IF(_xll.BDP($D137,$D$130, "EQY_FUND_RELATIVE_PERIOD", Y$3)="#N/A N/A","NA  ",(_xll.BDP($D137,$D$130, "EQY_FUND_RELATIVE_PERIOD", Y$3))),Y137),"NA ")</f>
        <v xml:space="preserve">NA  </v>
      </c>
      <c r="Z137" s="244" t="str">
        <f ca="1">IFERROR(IF(BB_Switch=1,IF(_xll.BDP($D137,$D$130, "EQY_FUND_RELATIVE_PERIOD", Z$3)="#N/A N/A","NA  ",(_xll.BDP($D137,$D$130, "EQY_FUND_RELATIVE_PERIOD", Z$3))),Z137),"NA ")</f>
        <v xml:space="preserve">NA  </v>
      </c>
      <c r="AA137" s="244" t="str">
        <f ca="1">IFERROR(IF(BB_Switch=1,IF(_xll.BDP($D137,$D$130, "EQY_FUND_RELATIVE_PERIOD", AA$3)="#N/A N/A","NA  ",(_xll.BDP($D137,$D$130, "EQY_FUND_RELATIVE_PERIOD", AA$3))),AA137),"NA ")</f>
        <v xml:space="preserve">NA  </v>
      </c>
      <c r="AB137" s="244" t="str">
        <f ca="1">IFERROR(IF(BB_Switch=1,IF(_xll.BDP($D137,$D$130, "EQY_FUND_RELATIVE_PERIOD", AB$3)="#N/A N/A","NA  ",(_xll.BDP($D137,$D$130, "EQY_FUND_RELATIVE_PERIOD", AB$3))),AB137),"NA ")</f>
        <v xml:space="preserve">NA  </v>
      </c>
      <c r="AC137" s="244" t="str">
        <f ca="1">IFERROR(IF(BB_Switch=1,IF(_xll.BDP($D137,$D$130, "EQY_FUND_RELATIVE_PERIOD", AC$3)="#N/A N/A","NA  ",(_xll.BDP($D137,$D$130, "EQY_FUND_RELATIVE_PERIOD", AC$3))),AC137),"NA ")</f>
        <v xml:space="preserve">NA  </v>
      </c>
      <c r="AD137" s="244" t="str">
        <f ca="1">IFERROR(IF(BB_Switch=1,IF(_xll.BDP($D137,$D$130, "EQY_FUND_RELATIVE_PERIOD", AD$3)="#N/A N/A","NA  ",(_xll.BDP($D137,$D$130, "EQY_FUND_RELATIVE_PERIOD", AD$3))),AD137),"NA ")</f>
        <v xml:space="preserve">NA  </v>
      </c>
      <c r="AE137" s="244" t="str">
        <f ca="1">IFERROR(IF(BB_Switch=1,IF(_xll.BDP($D137,$D$130, "EQY_FUND_RELATIVE_PERIOD", AE$3)="#N/A N/A","NA  ",(_xll.BDP($D137,$D$130, "EQY_FUND_RELATIVE_PERIOD", AE$3))),AE137),"NA ")</f>
        <v xml:space="preserve">NA  </v>
      </c>
      <c r="AF137" s="244"/>
      <c r="AG137" s="239"/>
      <c r="AH137" s="239"/>
      <c r="AI137" s="239"/>
      <c r="AJ137" s="239"/>
      <c r="AK137" s="256"/>
      <c r="AL137" s="470"/>
    </row>
    <row r="138" spans="2:38" ht="11.25" customHeight="1">
      <c r="C138" s="229" t="str">
        <f ca="1">IFERROR(IF(BB_Switch=1,_xll.BDP($D138,$C$270),C138), "NA ")</f>
        <v>Dow Inc</v>
      </c>
      <c r="D138" s="227" t="str">
        <f t="shared" si="40"/>
        <v>DOW US EQUITY</v>
      </c>
      <c r="E138" s="244">
        <f ca="1">IFERROR(IF(BB_Switch=1,IF(_xll.BDP($D138,$D$130, "EQY_FUND_RELATIVE_PERIOD", E$3)="#N/A N/A","NA  ",(_xll.BDP($D138,$D$130, "EQY_FUND_RELATIVE_PERIOD", E$3))),E138),"NA ")</f>
        <v>7.737089201877934</v>
      </c>
      <c r="F138" s="244">
        <f ca="1">IFERROR(IF(BB_Switch=1,IF(_xll.BDP($D138,$D$130, "EQY_FUND_RELATIVE_PERIOD", F$3)="#N/A N/A","NA  ",(_xll.BDP($D138,$D$130, "EQY_FUND_RELATIVE_PERIOD", F$3))),F138),"NA ")</f>
        <v>7.7649769585253452</v>
      </c>
      <c r="G138" s="244">
        <f ca="1">IFERROR(IF(BB_Switch=1,IF(_xll.BDP($D138,$D$130, "EQY_FUND_RELATIVE_PERIOD", G$3)="#N/A N/A","NA  ",(_xll.BDP($D138,$D$130, "EQY_FUND_RELATIVE_PERIOD", G$3))),G138),"NA ")</f>
        <v>7.2382978723404259</v>
      </c>
      <c r="H138" s="244">
        <f ca="1">IFERROR(IF(BB_Switch=1,IF(_xll.BDP($D138,$D$130, "EQY_FUND_RELATIVE_PERIOD", H$3)="#N/A N/A","NA  ",(_xll.BDP($D138,$D$130, "EQY_FUND_RELATIVE_PERIOD", H$3))),H138),"NA ")</f>
        <v>-6.5983935742971891</v>
      </c>
      <c r="I138" s="244">
        <f ca="1">IFERROR(IF(BB_Switch=1,IF(_xll.BDP($D138,$D$130, "EQY_FUND_RELATIVE_PERIOD", I$3)="#N/A N/A","NA  ",(_xll.BDP($D138,$D$130, "EQY_FUND_RELATIVE_PERIOD", I$3))),I138),"NA ")</f>
        <v>7.3256704980842908</v>
      </c>
      <c r="J138" s="244">
        <f ca="1">IFERROR(IF(BB_Switch=1,IF(_xll.BDP($D138,$D$130, "EQY_FUND_RELATIVE_PERIOD", J$3)="#N/A N/A","NA  ",(_xll.BDP($D138,$D$130, "EQY_FUND_RELATIVE_PERIOD", J$3))),J138),"NA ")</f>
        <v>7.0727969348659006</v>
      </c>
      <c r="K138" s="244">
        <f ca="1">IFERROR(IF(BB_Switch=1,IF(_xll.BDP($D138,$D$130, "EQY_FUND_RELATIVE_PERIOD", K$3)="#N/A N/A","NA  ",(_xll.BDP($D138,$D$130, "EQY_FUND_RELATIVE_PERIOD", K$3))),K138),"NA ")</f>
        <v>7.0930232558139537</v>
      </c>
      <c r="L138" s="244">
        <f ca="1">IFERROR(IF(BB_Switch=1,IF(_xll.BDP($D138,$D$130, "EQY_FUND_RELATIVE_PERIOD", L$3)="#N/A N/A","NA  ",(_xll.BDP($D138,$D$130, "EQY_FUND_RELATIVE_PERIOD", L$3))),L138),"NA ")</f>
        <v>5.1276595744680851</v>
      </c>
      <c r="M138" s="244">
        <f ca="1">IFERROR(IF(BB_Switch=1,IF(_xll.BDP($D138,$D$130, "EQY_FUND_RELATIVE_PERIOD", M$3)="#N/A N/A","NA  ",(_xll.BDP($D138,$D$130, "EQY_FUND_RELATIVE_PERIOD", M$3))),M138),"NA ")</f>
        <v>5.3041666666666663</v>
      </c>
      <c r="N138" s="244">
        <f ca="1">IFERROR(IF(BB_Switch=1,IF(_xll.BDP($D138,$D$130, "EQY_FUND_RELATIVE_PERIOD", N$3)="#N/A N/A","NA  ",(_xll.BDP($D138,$D$130, "EQY_FUND_RELATIVE_PERIOD", N$3))),N138),"NA ")</f>
        <v>5.6033755274261603</v>
      </c>
      <c r="O138" s="244">
        <f ca="1">IFERROR(IF(BB_Switch=1,IF(_xll.BDP($D138,$D$130, "EQY_FUND_RELATIVE_PERIOD", O$3)="#N/A N/A","NA  ",(_xll.BDP($D138,$D$130, "EQY_FUND_RELATIVE_PERIOD", O$3))),O138),"NA ")</f>
        <v>5.437768240343348</v>
      </c>
      <c r="P138" s="244">
        <f ca="1">IFERROR(IF(BB_Switch=1,IF(_xll.BDP($D138,$D$130, "EQY_FUND_RELATIVE_PERIOD", P$3)="#N/A N/A","NA  ",(_xll.BDP($D138,$D$130, "EQY_FUND_RELATIVE_PERIOD", P$3))),P138),"NA ")</f>
        <v>-5.5090090090090094</v>
      </c>
      <c r="Q138" s="219"/>
      <c r="R138" s="219"/>
      <c r="S138" s="219"/>
      <c r="T138" s="219"/>
      <c r="U138" s="219"/>
      <c r="V138" s="244" t="str">
        <f ca="1">IFERROR(IF(BB_Switch=1,IF(_xll.BDP($D138,$D$130, "EQY_FUND_RELATIVE_PERIOD", V$3)="#N/A N/A","NA  ",(_xll.BDP($D138,$D$130, "EQY_FUND_RELATIVE_PERIOD", V$3))),V138),"NA ")</f>
        <v xml:space="preserve">NA  </v>
      </c>
      <c r="W138" s="244" t="str">
        <f ca="1">IFERROR(IF(BB_Switch=1,IF(_xll.BDP($D138,$D$130, "EQY_FUND_RELATIVE_PERIOD", W$3)="#N/A N/A","NA  ",(_xll.BDP($D138,$D$130, "EQY_FUND_RELATIVE_PERIOD", W$3))),W138),"NA ")</f>
        <v xml:space="preserve">NA  </v>
      </c>
      <c r="X138" s="244" t="str">
        <f ca="1">IFERROR(IF(BB_Switch=1,IF(_xll.BDP($D138,$D$130, "EQY_FUND_RELATIVE_PERIOD", X$3)="#N/A N/A","NA  ",(_xll.BDP($D138,$D$130, "EQY_FUND_RELATIVE_PERIOD", X$3))),X138),"NA ")</f>
        <v xml:space="preserve">NA  </v>
      </c>
      <c r="Y138" s="244" t="str">
        <f ca="1">IFERROR(IF(BB_Switch=1,IF(_xll.BDP($D138,$D$130, "EQY_FUND_RELATIVE_PERIOD", Y$3)="#N/A N/A","NA  ",(_xll.BDP($D138,$D$130, "EQY_FUND_RELATIVE_PERIOD", Y$3))),Y138),"NA ")</f>
        <v xml:space="preserve">NA  </v>
      </c>
      <c r="Z138" s="244" t="str">
        <f ca="1">IFERROR(IF(BB_Switch=1,IF(_xll.BDP($D138,$D$130, "EQY_FUND_RELATIVE_PERIOD", Z$3)="#N/A N/A","NA  ",(_xll.BDP($D138,$D$130, "EQY_FUND_RELATIVE_PERIOD", Z$3))),Z138),"NA ")</f>
        <v xml:space="preserve">NA  </v>
      </c>
      <c r="AA138" s="244" t="str">
        <f ca="1">IFERROR(IF(BB_Switch=1,IF(_xll.BDP($D138,$D$130, "EQY_FUND_RELATIVE_PERIOD", AA$3)="#N/A N/A","NA  ",(_xll.BDP($D138,$D$130, "EQY_FUND_RELATIVE_PERIOD", AA$3))),AA138),"NA ")</f>
        <v xml:space="preserve">NA  </v>
      </c>
      <c r="AB138" s="244" t="str">
        <f ca="1">IFERROR(IF(BB_Switch=1,IF(_xll.BDP($D138,$D$130, "EQY_FUND_RELATIVE_PERIOD", AB$3)="#N/A N/A","NA  ",(_xll.BDP($D138,$D$130, "EQY_FUND_RELATIVE_PERIOD", AB$3))),AB138),"NA ")</f>
        <v xml:space="preserve">NA  </v>
      </c>
      <c r="AC138" s="244">
        <f ca="1">IFERROR(IF(BB_Switch=1,IF(_xll.BDP($D138,$D$130, "EQY_FUND_RELATIVE_PERIOD", AC$3)="#N/A N/A","NA  ",(_xll.BDP($D138,$D$130, "EQY_FUND_RELATIVE_PERIOD", AC$3))),AC138),"NA ")</f>
        <v>3.7100656455142231</v>
      </c>
      <c r="AD138" s="244">
        <f ca="1">IFERROR(IF(BB_Switch=1,IF(_xll.BDP($D138,$D$130, "EQY_FUND_RELATIVE_PERIOD", AD$3)="#N/A N/A","NA  ",(_xll.BDP($D138,$D$130, "EQY_FUND_RELATIVE_PERIOD", AD$3))),AD138),"NA ")</f>
        <v>6.5738476011288807</v>
      </c>
      <c r="AE138" s="244">
        <f ca="1">IFERROR(IF(BB_Switch=1,IF(_xll.BDP($D138,$D$130, "EQY_FUND_RELATIVE_PERIOD", AE$3)="#N/A N/A","NA  ",(_xll.BDP($D138,$D$130, "EQY_FUND_RELATIVE_PERIOD", AE$3))),AE138),"NA ")</f>
        <v>2.8981779206859595</v>
      </c>
      <c r="AF138" s="244"/>
      <c r="AG138" s="239"/>
      <c r="AH138" s="239"/>
      <c r="AI138" s="239"/>
      <c r="AJ138" s="239"/>
      <c r="AK138" s="256"/>
      <c r="AL138" s="470"/>
    </row>
    <row r="139" spans="2:38" ht="11.25" customHeight="1">
      <c r="C139" s="229"/>
      <c r="D139" s="227"/>
      <c r="E139" s="244"/>
      <c r="F139" s="244"/>
      <c r="G139" s="244"/>
      <c r="H139" s="244"/>
      <c r="I139" s="244"/>
      <c r="J139" s="244"/>
      <c r="K139" s="244"/>
      <c r="L139" s="244"/>
      <c r="M139" s="244"/>
      <c r="N139" s="244"/>
      <c r="O139" s="244"/>
      <c r="P139" s="244"/>
      <c r="Q139" s="219"/>
      <c r="R139" s="219"/>
      <c r="S139" s="219"/>
      <c r="T139" s="219"/>
      <c r="U139" s="219"/>
      <c r="V139" s="244"/>
      <c r="W139" s="244"/>
      <c r="X139" s="244"/>
      <c r="Y139" s="244"/>
      <c r="Z139" s="244"/>
      <c r="AA139" s="244"/>
      <c r="AB139" s="244"/>
      <c r="AC139" s="244"/>
      <c r="AD139" s="244"/>
      <c r="AE139" s="244"/>
      <c r="AF139" s="244"/>
      <c r="AG139" s="239"/>
      <c r="AH139" s="239"/>
      <c r="AI139" s="239"/>
      <c r="AJ139" s="239"/>
    </row>
    <row r="140" spans="2:38" ht="11.25" customHeight="1">
      <c r="C140" s="428" t="str">
        <f>+C20</f>
        <v>Specialty Chemicals</v>
      </c>
      <c r="D140" s="227"/>
      <c r="E140" s="244"/>
      <c r="F140" s="244"/>
      <c r="G140" s="244"/>
      <c r="H140" s="244"/>
      <c r="I140" s="244"/>
      <c r="J140" s="244"/>
      <c r="K140" s="244"/>
      <c r="L140" s="244"/>
      <c r="M140" s="244"/>
      <c r="N140" s="244"/>
      <c r="O140" s="244"/>
      <c r="P140" s="244"/>
      <c r="Q140" s="219"/>
      <c r="R140" s="219"/>
      <c r="S140" s="219"/>
      <c r="T140" s="219"/>
      <c r="U140" s="219"/>
      <c r="V140" s="244"/>
      <c r="W140" s="244"/>
      <c r="X140" s="244"/>
      <c r="Y140" s="244"/>
      <c r="Z140" s="244"/>
      <c r="AA140" s="244"/>
      <c r="AB140" s="244"/>
      <c r="AC140" s="244"/>
      <c r="AD140" s="244"/>
      <c r="AE140" s="244"/>
      <c r="AF140" s="244"/>
      <c r="AG140" s="239"/>
      <c r="AH140" s="239"/>
      <c r="AI140" s="239"/>
      <c r="AJ140" s="239"/>
    </row>
    <row r="141" spans="2:38" ht="11.25" customHeight="1">
      <c r="C141" s="229" t="str">
        <f ca="1">IFERROR(IF(BB_Switch=1,_xll.BDP($D141,$C$270),C141), "NA ")</f>
        <v>Eastman Chemical Co</v>
      </c>
      <c r="D141" s="227" t="str">
        <f>+D21</f>
        <v>EMN US EQUITY</v>
      </c>
      <c r="E141" s="244">
        <f ca="1">IFERROR(IF(BB_Switch=1,IF(_xll.BDP($D141,$D$130, "EQY_FUND_RELATIVE_PERIOD", E$3)="#N/A N/A","NA  ",(_xll.BDP($D141,$D$130, "EQY_FUND_RELATIVE_PERIOD", E$3))),E141),"NA ")</f>
        <v>8.9508196721311482</v>
      </c>
      <c r="F141" s="244">
        <f ca="1">IFERROR(IF(BB_Switch=1,IF(_xll.BDP($D141,$D$130, "EQY_FUND_RELATIVE_PERIOD", F$3)="#N/A N/A","NA  ",(_xll.BDP($D141,$D$130, "EQY_FUND_RELATIVE_PERIOD", F$3))),F141),"NA ")</f>
        <v>9.2950819672131146</v>
      </c>
      <c r="G141" s="244">
        <f ca="1">IFERROR(IF(BB_Switch=1,IF(_xll.BDP($D141,$D$130, "EQY_FUND_RELATIVE_PERIOD", G$3)="#N/A N/A","NA  ",(_xll.BDP($D141,$D$130, "EQY_FUND_RELATIVE_PERIOD", G$3))),G141),"NA ")</f>
        <v>9.870967741935484</v>
      </c>
      <c r="H141" s="244">
        <f ca="1">IFERROR(IF(BB_Switch=1,IF(_xll.BDP($D141,$D$130, "EQY_FUND_RELATIVE_PERIOD", H$3)="#N/A N/A","NA  ",(_xll.BDP($D141,$D$130, "EQY_FUND_RELATIVE_PERIOD", H$3))),H141),"NA ")</f>
        <v>6.32258064516129</v>
      </c>
      <c r="I141" s="244">
        <f ca="1">IFERROR(IF(BB_Switch=1,IF(_xll.BDP($D141,$D$130, "EQY_FUND_RELATIVE_PERIOD", I$3)="#N/A N/A","NA  ",(_xll.BDP($D141,$D$130, "EQY_FUND_RELATIVE_PERIOD", I$3))),I141),"NA ")</f>
        <v>9.35</v>
      </c>
      <c r="J141" s="244">
        <f ca="1">IFERROR(IF(BB_Switch=1,IF(_xll.BDP($D141,$D$130, "EQY_FUND_RELATIVE_PERIOD", J$3)="#N/A N/A","NA  ",(_xll.BDP($D141,$D$130, "EQY_FUND_RELATIVE_PERIOD", J$3))),J141),"NA ")</f>
        <v>10.142857142857142</v>
      </c>
      <c r="K141" s="244">
        <f ca="1">IFERROR(IF(BB_Switch=1,IF(_xll.BDP($D141,$D$130, "EQY_FUND_RELATIVE_PERIOD", K$3)="#N/A N/A","NA  ",(_xll.BDP($D141,$D$130, "EQY_FUND_RELATIVE_PERIOD", K$3))),K141),"NA ")</f>
        <v>11.620689655172415</v>
      </c>
      <c r="L141" s="244">
        <f ca="1">IFERROR(IF(BB_Switch=1,IF(_xll.BDP($D141,$D$130, "EQY_FUND_RELATIVE_PERIOD", L$3)="#N/A N/A","NA  ",(_xll.BDP($D141,$D$130, "EQY_FUND_RELATIVE_PERIOD", L$3))),L141),"NA ")</f>
        <v>4.5714285714285712</v>
      </c>
      <c r="M141" s="244">
        <f ca="1">IFERROR(IF(BB_Switch=1,IF(_xll.BDP($D141,$D$130, "EQY_FUND_RELATIVE_PERIOD", M$3)="#N/A N/A","NA  ",(_xll.BDP($D141,$D$130, "EQY_FUND_RELATIVE_PERIOD", M$3))),M141),"NA ")</f>
        <v>8.5964912280701746</v>
      </c>
      <c r="N141" s="244">
        <f ca="1">IFERROR(IF(BB_Switch=1,IF(_xll.BDP($D141,$D$130, "EQY_FUND_RELATIVE_PERIOD", N$3)="#N/A N/A","NA  ",(_xll.BDP($D141,$D$130, "EQY_FUND_RELATIVE_PERIOD", N$3))),N141),"NA ")</f>
        <v>9.872727272727273</v>
      </c>
      <c r="O141" s="244">
        <f ca="1">IFERROR(IF(BB_Switch=1,IF(_xll.BDP($D141,$D$130, "EQY_FUND_RELATIVE_PERIOD", O$3)="#N/A N/A","NA  ",(_xll.BDP($D141,$D$130, "EQY_FUND_RELATIVE_PERIOD", O$3))),O141),"NA ")</f>
        <v>9.7818181818181813</v>
      </c>
      <c r="P141" s="244">
        <f ca="1">IFERROR(IF(BB_Switch=1,IF(_xll.BDP($D141,$D$130, "EQY_FUND_RELATIVE_PERIOD", P$3)="#N/A N/A","NA  ",(_xll.BDP($D141,$D$130, "EQY_FUND_RELATIVE_PERIOD", P$3))),P141),"NA ")</f>
        <v>4.333333333333333</v>
      </c>
      <c r="Q141" s="219"/>
      <c r="R141" s="219"/>
      <c r="S141" s="219"/>
      <c r="T141" s="219"/>
      <c r="U141" s="219"/>
      <c r="V141" s="244">
        <f ca="1">IFERROR(IF(BB_Switch=1,IF(_xll.BDP($D141,$D$130, "EQY_FUND_RELATIVE_PERIOD", V$3)="#N/A N/A","NA  ",(_xll.BDP($D141,$D$130, "EQY_FUND_RELATIVE_PERIOD", V$3))),V141),"NA ")</f>
        <v>10.704761904761904</v>
      </c>
      <c r="W141" s="244">
        <f ca="1">IFERROR(IF(BB_Switch=1,IF(_xll.BDP($D141,$D$130, "EQY_FUND_RELATIVE_PERIOD", W$3)="#N/A N/A","NA  ",(_xll.BDP($D141,$D$130, "EQY_FUND_RELATIVE_PERIOD", W$3))),W141),"NA ")</f>
        <v>14.578313253012048</v>
      </c>
      <c r="X141" s="244">
        <f ca="1">IFERROR(IF(BB_Switch=1,IF(_xll.BDP($D141,$D$130, "EQY_FUND_RELATIVE_PERIOD", X$3)="#N/A N/A","NA  ",(_xll.BDP($D141,$D$130, "EQY_FUND_RELATIVE_PERIOD", X$3))),X141),"NA ")</f>
        <v>7.8378378378378377</v>
      </c>
      <c r="Y141" s="244">
        <f ca="1">IFERROR(IF(BB_Switch=1,IF(_xll.BDP($D141,$D$130, "EQY_FUND_RELATIVE_PERIOD", Y$3)="#N/A N/A","NA  ",(_xll.BDP($D141,$D$130, "EQY_FUND_RELATIVE_PERIOD", Y$3))),Y141),"NA ")</f>
        <v>12.338709677419354</v>
      </c>
      <c r="Z141" s="244">
        <f ca="1">IFERROR(IF(BB_Switch=1,IF(_xll.BDP($D141,$D$130, "EQY_FUND_RELATIVE_PERIOD", Z$3)="#N/A N/A","NA  ",(_xll.BDP($D141,$D$130, "EQY_FUND_RELATIVE_PERIOD", Z$3))),Z141),"NA ")</f>
        <v>7.9408866995073888</v>
      </c>
      <c r="AA141" s="244">
        <f ca="1">IFERROR(IF(BB_Switch=1,IF(_xll.BDP($D141,$D$130, "EQY_FUND_RELATIVE_PERIOD", AA$3)="#N/A N/A","NA  ",(_xll.BDP($D141,$D$130, "EQY_FUND_RELATIVE_PERIOD", AA$3))),AA141),"NA ")</f>
        <v>7.3496240601503757</v>
      </c>
      <c r="AB141" s="244">
        <f ca="1">IFERROR(IF(BB_Switch=1,IF(_xll.BDP($D141,$D$130, "EQY_FUND_RELATIVE_PERIOD", AB$3)="#N/A N/A","NA  ",(_xll.BDP($D141,$D$130, "EQY_FUND_RELATIVE_PERIOD", AB$3))),AB141),"NA ")</f>
        <v>7.6085271317829459</v>
      </c>
      <c r="AC141" s="244">
        <f ca="1">IFERROR(IF(BB_Switch=1,IF(_xll.BDP($D141,$D$130, "EQY_FUND_RELATIVE_PERIOD", AC$3)="#N/A N/A","NA  ",(_xll.BDP($D141,$D$130, "EQY_FUND_RELATIVE_PERIOD", AC$3))),AC141),"NA ")</f>
        <v>8.6762295081967213</v>
      </c>
      <c r="AD141" s="244">
        <f ca="1">IFERROR(IF(BB_Switch=1,IF(_xll.BDP($D141,$D$130, "EQY_FUND_RELATIVE_PERIOD", AD$3)="#N/A N/A","NA  ",(_xll.BDP($D141,$D$130, "EQY_FUND_RELATIVE_PERIOD", AD$3))),AD141),"NA ")</f>
        <v>9.0588235294117645</v>
      </c>
      <c r="AE141" s="244">
        <f ca="1">IFERROR(IF(BB_Switch=1,IF(_xll.BDP($D141,$D$130, "EQY_FUND_RELATIVE_PERIOD", AE$3)="#N/A N/A","NA  ",(_xll.BDP($D141,$D$130, "EQY_FUND_RELATIVE_PERIOD", AE$3))),AE141),"NA ")</f>
        <v>8.1538461538461533</v>
      </c>
      <c r="AF141" s="244"/>
      <c r="AG141" s="239"/>
      <c r="AH141" s="239"/>
      <c r="AI141" s="239"/>
      <c r="AJ141" s="239"/>
    </row>
    <row r="142" spans="2:38" ht="11.25" customHeight="1">
      <c r="C142" s="229" t="str">
        <f ca="1">IFERROR(IF(BB_Switch=1,_xll.BDP($D142,$C$270),C142), "NA ")</f>
        <v>Celanese Corp</v>
      </c>
      <c r="D142" s="227" t="str">
        <f>+D22</f>
        <v>CE US EQUITY</v>
      </c>
      <c r="E142" s="244">
        <f ca="1">IFERROR(IF(BB_Switch=1,IF(_xll.BDP($D142,$D$130, "EQY_FUND_RELATIVE_PERIOD", E$3)="#N/A N/A","NA  ",(_xll.BDP($D142,$D$130, "EQY_FUND_RELATIVE_PERIOD", E$3))),E142),"NA ")</f>
        <v>9.1034482758620694</v>
      </c>
      <c r="F142" s="244">
        <f ca="1">IFERROR(IF(BB_Switch=1,IF(_xll.BDP($D142,$D$130, "EQY_FUND_RELATIVE_PERIOD", F$3)="#N/A N/A","NA  ",(_xll.BDP($D142,$D$130, "EQY_FUND_RELATIVE_PERIOD", F$3))),F142),"NA ")</f>
        <v>9.9666666666666668</v>
      </c>
      <c r="G142" s="244">
        <f ca="1">IFERROR(IF(BB_Switch=1,IF(_xll.BDP($D142,$D$130, "EQY_FUND_RELATIVE_PERIOD", G$3)="#N/A N/A","NA  ",(_xll.BDP($D142,$D$130, "EQY_FUND_RELATIVE_PERIOD", G$3))),G142),"NA ")</f>
        <v>9.59375</v>
      </c>
      <c r="H142" s="244">
        <f ca="1">IFERROR(IF(BB_Switch=1,IF(_xll.BDP($D142,$D$130, "EQY_FUND_RELATIVE_PERIOD", H$3)="#N/A N/A","NA  ",(_xll.BDP($D142,$D$130, "EQY_FUND_RELATIVE_PERIOD", H$3))),H142),"NA ")</f>
        <v>9.5806451612903221</v>
      </c>
      <c r="I142" s="244">
        <f ca="1">IFERROR(IF(BB_Switch=1,IF(_xll.BDP($D142,$D$130, "EQY_FUND_RELATIVE_PERIOD", I$3)="#N/A N/A","NA  ",(_xll.BDP($D142,$D$130, "EQY_FUND_RELATIVE_PERIOD", I$3))),I142),"NA ")</f>
        <v>12.848484848484848</v>
      </c>
      <c r="J142" s="244">
        <f ca="1">IFERROR(IF(BB_Switch=1,IF(_xll.BDP($D142,$D$130, "EQY_FUND_RELATIVE_PERIOD", J$3)="#N/A N/A","NA  ",(_xll.BDP($D142,$D$130, "EQY_FUND_RELATIVE_PERIOD", J$3))),J142),"NA ")</f>
        <v>13.84375</v>
      </c>
      <c r="K142" s="244">
        <f ca="1">IFERROR(IF(BB_Switch=1,IF(_xll.BDP($D142,$D$130, "EQY_FUND_RELATIVE_PERIOD", K$3)="#N/A N/A","NA  ",(_xll.BDP($D142,$D$130, "EQY_FUND_RELATIVE_PERIOD", K$3))),K142),"NA ")</f>
        <v>15.466666666666667</v>
      </c>
      <c r="L142" s="244">
        <f ca="1">IFERROR(IF(BB_Switch=1,IF(_xll.BDP($D142,$D$130, "EQY_FUND_RELATIVE_PERIOD", L$3)="#N/A N/A","NA  ",(_xll.BDP($D142,$D$130, "EQY_FUND_RELATIVE_PERIOD", L$3))),L142),"NA ")</f>
        <v>11.733333333333333</v>
      </c>
      <c r="M142" s="244">
        <f ca="1">IFERROR(IF(BB_Switch=1,IF(_xll.BDP($D142,$D$130, "EQY_FUND_RELATIVE_PERIOD", M$3)="#N/A N/A","NA  ",(_xll.BDP($D142,$D$130, "EQY_FUND_RELATIVE_PERIOD", M$3))),M142),"NA ")</f>
        <v>13.193548387096774</v>
      </c>
      <c r="N142" s="244">
        <f ca="1">IFERROR(IF(BB_Switch=1,IF(_xll.BDP($D142,$D$130, "EQY_FUND_RELATIVE_PERIOD", N$3)="#N/A N/A","NA  ",(_xll.BDP($D142,$D$130, "EQY_FUND_RELATIVE_PERIOD", N$3))),N142),"NA ")</f>
        <v>9.6896551724137936</v>
      </c>
      <c r="O142" s="244">
        <f ca="1">IFERROR(IF(BB_Switch=1,IF(_xll.BDP($D142,$D$130, "EQY_FUND_RELATIVE_PERIOD", O$3)="#N/A N/A","NA  ",(_xll.BDP($D142,$D$130, "EQY_FUND_RELATIVE_PERIOD", O$3))),O142),"NA ")</f>
        <v>13.555555555555555</v>
      </c>
      <c r="P142" s="244">
        <f ca="1">IFERROR(IF(BB_Switch=1,IF(_xll.BDP($D142,$D$130, "EQY_FUND_RELATIVE_PERIOD", P$3)="#N/A N/A","NA  ",(_xll.BDP($D142,$D$130, "EQY_FUND_RELATIVE_PERIOD", P$3))),P142),"NA ")</f>
        <v>5.9285714285714288</v>
      </c>
      <c r="Q142" s="219"/>
      <c r="R142" s="219"/>
      <c r="S142" s="219"/>
      <c r="T142" s="219"/>
      <c r="U142" s="219"/>
      <c r="V142" s="244">
        <f ca="1">IFERROR(IF(BB_Switch=1,IF(_xll.BDP($D142,$D$130, "EQY_FUND_RELATIVE_PERIOD", V$3)="#N/A N/A","NA  ",(_xll.BDP($D142,$D$130, "EQY_FUND_RELATIVE_PERIOD", V$3))),V142),"NA ")</f>
        <v>3.9362745098039214</v>
      </c>
      <c r="W142" s="244">
        <f ca="1">IFERROR(IF(BB_Switch=1,IF(_xll.BDP($D142,$D$130, "EQY_FUND_RELATIVE_PERIOD", W$3)="#N/A N/A","NA  ",(_xll.BDP($D142,$D$130, "EQY_FUND_RELATIVE_PERIOD", W$3))),W142),"NA ")</f>
        <v>4.5294117647058822</v>
      </c>
      <c r="X142" s="244">
        <f ca="1">IFERROR(IF(BB_Switch=1,IF(_xll.BDP($D142,$D$130, "EQY_FUND_RELATIVE_PERIOD", X$3)="#N/A N/A","NA  ",(_xll.BDP($D142,$D$130, "EQY_FUND_RELATIVE_PERIOD", X$3))),X142),"NA ")</f>
        <v>2.6756756756756759</v>
      </c>
      <c r="Y142" s="244">
        <f ca="1">IFERROR(IF(BB_Switch=1,IF(_xll.BDP($D142,$D$130, "EQY_FUND_RELATIVE_PERIOD", Y$3)="#N/A N/A","NA  ",(_xll.BDP($D142,$D$130, "EQY_FUND_RELATIVE_PERIOD", Y$3))),Y142),"NA ")</f>
        <v>10.622093023255815</v>
      </c>
      <c r="Z142" s="244">
        <f ca="1">IFERROR(IF(BB_Switch=1,IF(_xll.BDP($D142,$D$130, "EQY_FUND_RELATIVE_PERIOD", Z$3)="#N/A N/A","NA  ",(_xll.BDP($D142,$D$130, "EQY_FUND_RELATIVE_PERIOD", Z$3))),Z142),"NA ")</f>
        <v>7.1836734693877551</v>
      </c>
      <c r="AA142" s="244">
        <f ca="1">IFERROR(IF(BB_Switch=1,IF(_xll.BDP($D142,$D$130, "EQY_FUND_RELATIVE_PERIOD", AA$3)="#N/A N/A","NA  ",(_xll.BDP($D142,$D$130, "EQY_FUND_RELATIVE_PERIOD", AA$3))),AA142),"NA ")</f>
        <v>5.7899159663865545</v>
      </c>
      <c r="AB142" s="244">
        <f ca="1">IFERROR(IF(BB_Switch=1,IF(_xll.BDP($D142,$D$130, "EQY_FUND_RELATIVE_PERIOD", AB$3)="#N/A N/A","NA  ",(_xll.BDP($D142,$D$130, "EQY_FUND_RELATIVE_PERIOD", AB$3))),AB142),"NA ")</f>
        <v>10.25</v>
      </c>
      <c r="AC142" s="244">
        <f ca="1">IFERROR(IF(BB_Switch=1,IF(_xll.BDP($D142,$D$130, "EQY_FUND_RELATIVE_PERIOD", AC$3)="#N/A N/A","NA  ",(_xll.BDP($D142,$D$130, "EQY_FUND_RELATIVE_PERIOD", AC$3))),AC142),"NA ")</f>
        <v>9.5737704918032787</v>
      </c>
      <c r="AD142" s="244">
        <f ca="1">IFERROR(IF(BB_Switch=1,IF(_xll.BDP($D142,$D$130, "EQY_FUND_RELATIVE_PERIOD", AD$3)="#N/A N/A","NA  ",(_xll.BDP($D142,$D$130, "EQY_FUND_RELATIVE_PERIOD", AD$3))),AD142),"NA ")</f>
        <v>13.464</v>
      </c>
      <c r="AE142" s="244">
        <f ca="1">IFERROR(IF(BB_Switch=1,IF(_xll.BDP($D142,$D$130, "EQY_FUND_RELATIVE_PERIOD", AE$3)="#N/A N/A","NA  ",(_xll.BDP($D142,$D$130, "EQY_FUND_RELATIVE_PERIOD", AE$3))),AE142),"NA ")</f>
        <v>10.626086956521739</v>
      </c>
      <c r="AF142" s="244"/>
      <c r="AG142" s="239"/>
      <c r="AH142" s="239"/>
      <c r="AI142" s="239"/>
      <c r="AJ142" s="239"/>
    </row>
    <row r="143" spans="2:38" ht="11.25" customHeight="1">
      <c r="C143" s="229" t="str">
        <f ca="1">IFERROR(IF(BB_Switch=1,_xll.BDP($D143,$C$270),C143), "NA ")</f>
        <v>BASF SE</v>
      </c>
      <c r="D143" s="227" t="str">
        <f>+D23</f>
        <v>BAS GR EQUITY</v>
      </c>
      <c r="E143" s="244">
        <f ca="1">IFERROR(IF(BB_Switch=1,IF(_xll.BDP($D143,$D$130, "EQY_FUND_RELATIVE_PERIOD", E$3)="#N/A N/A","NA  ",(_xll.BDP($D143,$D$130, "EQY_FUND_RELATIVE_PERIOD", E$3))),E143),"NA ")</f>
        <v>23.678832116788321</v>
      </c>
      <c r="F143" s="244">
        <f ca="1">IFERROR(IF(BB_Switch=1,IF(_xll.BDP($D143,$D$130, "EQY_FUND_RELATIVE_PERIOD", F$3)="#N/A N/A","NA  ",(_xll.BDP($D143,$D$130, "EQY_FUND_RELATIVE_PERIOD", F$3))),F143),"NA ")</f>
        <v>25.504201680672271</v>
      </c>
      <c r="G143" s="244">
        <f ca="1">IFERROR(IF(BB_Switch=1,IF(_xll.BDP($D143,$D$130, "EQY_FUND_RELATIVE_PERIOD", G$3)="#N/A N/A","NA  ",(_xll.BDP($D143,$D$130, "EQY_FUND_RELATIVE_PERIOD", G$3))),G143),"NA ")</f>
        <v>25.252252252252251</v>
      </c>
      <c r="H143" s="244">
        <f ca="1">IFERROR(IF(BB_Switch=1,IF(_xll.BDP($D143,$D$130, "EQY_FUND_RELATIVE_PERIOD", H$3)="#N/A N/A","NA  ",(_xll.BDP($D143,$D$130, "EQY_FUND_RELATIVE_PERIOD", H$3))),H143),"NA ")</f>
        <v>18.920000000000002</v>
      </c>
      <c r="I143" s="244">
        <f ca="1">IFERROR(IF(BB_Switch=1,IF(_xll.BDP($D143,$D$130, "EQY_FUND_RELATIVE_PERIOD", I$3)="#N/A N/A","NA  ",(_xll.BDP($D143,$D$130, "EQY_FUND_RELATIVE_PERIOD", I$3))),I143),"NA ")</f>
        <v>29.345794392523363</v>
      </c>
      <c r="J143" s="244">
        <f ca="1">IFERROR(IF(BB_Switch=1,IF(_xll.BDP($D143,$D$130, "EQY_FUND_RELATIVE_PERIOD", J$3)="#N/A N/A","NA  ",(_xll.BDP($D143,$D$130, "EQY_FUND_RELATIVE_PERIOD", J$3))),J143),"NA ")</f>
        <v>21.282442748091604</v>
      </c>
      <c r="K143" s="244">
        <f ca="1">IFERROR(IF(BB_Switch=1,IF(_xll.BDP($D143,$D$130, "EQY_FUND_RELATIVE_PERIOD", K$3)="#N/A N/A","NA  ",(_xll.BDP($D143,$D$130, "EQY_FUND_RELATIVE_PERIOD", K$3))),K143),"NA ")</f>
        <v>16.309859154929576</v>
      </c>
      <c r="L143" s="244">
        <f ca="1">IFERROR(IF(BB_Switch=1,IF(_xll.BDP($D143,$D$130, "EQY_FUND_RELATIVE_PERIOD", L$3)="#N/A N/A","NA  ",(_xll.BDP($D143,$D$130, "EQY_FUND_RELATIVE_PERIOD", L$3))),L143),"NA ")</f>
        <v>6.6062500000000002</v>
      </c>
      <c r="M143" s="244">
        <f ca="1">IFERROR(IF(BB_Switch=1,IF(_xll.BDP($D143,$D$130, "EQY_FUND_RELATIVE_PERIOD", M$3)="#N/A N/A","NA  ",(_xll.BDP($D143,$D$130, "EQY_FUND_RELATIVE_PERIOD", M$3))),M143),"NA ")</f>
        <v>16.30952380952381</v>
      </c>
      <c r="N143" s="244">
        <f ca="1">IFERROR(IF(BB_Switch=1,IF(_xll.BDP($D143,$D$130, "EQY_FUND_RELATIVE_PERIOD", N$3)="#N/A N/A","NA  ",(_xll.BDP($D143,$D$130, "EQY_FUND_RELATIVE_PERIOD", N$3))),N143),"NA ")</f>
        <v>9.524096385542169</v>
      </c>
      <c r="O143" s="244">
        <f ca="1">IFERROR(IF(BB_Switch=1,IF(_xll.BDP($D143,$D$130, "EQY_FUND_RELATIVE_PERIOD", O$3)="#N/A N/A","NA  ",(_xll.BDP($D143,$D$130, "EQY_FUND_RELATIVE_PERIOD", O$3))),O143),"NA ")</f>
        <v>13.925925925925926</v>
      </c>
      <c r="P143" s="244">
        <f ca="1">IFERROR(IF(BB_Switch=1,IF(_xll.BDP($D143,$D$130, "EQY_FUND_RELATIVE_PERIOD", P$3)="#N/A N/A","NA  ",(_xll.BDP($D143,$D$130, "EQY_FUND_RELATIVE_PERIOD", P$3))),P143),"NA ")</f>
        <v>11.697368421052632</v>
      </c>
      <c r="Q143" s="219"/>
      <c r="R143" s="219"/>
      <c r="S143" s="219"/>
      <c r="T143" s="219"/>
      <c r="U143" s="219"/>
      <c r="V143" s="244">
        <f ca="1">IFERROR(IF(BB_Switch=1,IF(_xll.BDP($D143,$D$130, "EQY_FUND_RELATIVE_PERIOD", V$3)="#N/A N/A","NA  ",(_xll.BDP($D143,$D$130, "EQY_FUND_RELATIVE_PERIOD", V$3))),V143),"NA ")</f>
        <v>14.527813712807244</v>
      </c>
      <c r="W143" s="244">
        <f ca="1">IFERROR(IF(BB_Switch=1,IF(_xll.BDP($D143,$D$130, "EQY_FUND_RELATIVE_PERIOD", W$3)="#N/A N/A","NA  ",(_xll.BDP($D143,$D$130, "EQY_FUND_RELATIVE_PERIOD", W$3))),W143),"NA ")</f>
        <v>15.752293577981652</v>
      </c>
      <c r="X143" s="244">
        <f ca="1">IFERROR(IF(BB_Switch=1,IF(_xll.BDP($D143,$D$130, "EQY_FUND_RELATIVE_PERIOD", X$3)="#N/A N/A","NA  ",(_xll.BDP($D143,$D$130, "EQY_FUND_RELATIVE_PERIOD", X$3))),X143),"NA ")</f>
        <v>13.332872928176796</v>
      </c>
      <c r="Y143" s="244">
        <f ca="1">IFERROR(IF(BB_Switch=1,IF(_xll.BDP($D143,$D$130, "EQY_FUND_RELATIVE_PERIOD", Y$3)="#N/A N/A","NA  ",(_xll.BDP($D143,$D$130, "EQY_FUND_RELATIVE_PERIOD", Y$3))),Y143),"NA ")</f>
        <v>14.957848837209303</v>
      </c>
      <c r="Z143" s="244">
        <f ca="1">IFERROR(IF(BB_Switch=1,IF(_xll.BDP($D143,$D$130, "EQY_FUND_RELATIVE_PERIOD", Z$3)="#N/A N/A","NA  ",(_xll.BDP($D143,$D$130, "EQY_FUND_RELATIVE_PERIOD", Z$3))),Z143),"NA ")</f>
        <v>15.277074542897328</v>
      </c>
      <c r="AA143" s="244">
        <f ca="1">IFERROR(IF(BB_Switch=1,IF(_xll.BDP($D143,$D$130, "EQY_FUND_RELATIVE_PERIOD", AA$3)="#N/A N/A","NA  ",(_xll.BDP($D143,$D$130, "EQY_FUND_RELATIVE_PERIOD", AA$3))),AA143),"NA ")</f>
        <v>16.880877742946709</v>
      </c>
      <c r="AB143" s="244">
        <f ca="1">IFERROR(IF(BB_Switch=1,IF(_xll.BDP($D143,$D$130, "EQY_FUND_RELATIVE_PERIOD", AB$3)="#N/A N/A","NA  ",(_xll.BDP($D143,$D$130, "EQY_FUND_RELATIVE_PERIOD", AB$3))),AB143),"NA ")</f>
        <v>16.213313161875945</v>
      </c>
      <c r="AC143" s="244">
        <f ca="1">IFERROR(IF(BB_Switch=1,IF(_xll.BDP($D143,$D$130, "EQY_FUND_RELATIVE_PERIOD", AC$3)="#N/A N/A","NA  ",(_xll.BDP($D143,$D$130, "EQY_FUND_RELATIVE_PERIOD", AC$3))),AC143),"NA ")</f>
        <v>23.266260162601625</v>
      </c>
      <c r="AD143" s="244">
        <f ca="1">IFERROR(IF(BB_Switch=1,IF(_xll.BDP($D143,$D$130, "EQY_FUND_RELATIVE_PERIOD", AD$3)="#N/A N/A","NA  ",(_xll.BDP($D143,$D$130, "EQY_FUND_RELATIVE_PERIOD", AD$3))),AD143),"NA ")</f>
        <v>17.199255121042832</v>
      </c>
      <c r="AE143" s="244">
        <f ca="1">IFERROR(IF(BB_Switch=1,IF(_xll.BDP($D143,$D$130, "EQY_FUND_RELATIVE_PERIOD", AE$3)="#N/A N/A","NA  ",(_xll.BDP($D143,$D$130, "EQY_FUND_RELATIVE_PERIOD", AE$3))),AE143),"NA ")</f>
        <v>12.893518518518519</v>
      </c>
      <c r="AF143" s="244"/>
      <c r="AG143" s="239"/>
      <c r="AH143" s="239"/>
      <c r="AI143" s="239"/>
      <c r="AJ143" s="239"/>
    </row>
    <row r="144" spans="2:38" ht="11.25" customHeight="1">
      <c r="C144" s="229" t="str">
        <f ca="1">IFERROR(IF(BB_Switch=1,_xll.BDP($D144,$C$270),C144), "NA ")</f>
        <v>Trinseo SA</v>
      </c>
      <c r="D144" s="227" t="str">
        <f>+D24</f>
        <v>TSE US EQUITY</v>
      </c>
      <c r="E144" s="244" t="str">
        <f ca="1">IFERROR(IF(BB_Switch=1,IF(_xll.BDP($D144,$D$130, "EQY_FUND_RELATIVE_PERIOD", E$3)="#N/A N/A","NA  ",(_xll.BDP($D144,$D$130, "EQY_FUND_RELATIVE_PERIOD", E$3))),E144),"NA ")</f>
        <v xml:space="preserve">NA  </v>
      </c>
      <c r="F144" s="244" t="str">
        <f ca="1">IFERROR(IF(BB_Switch=1,IF(_xll.BDP($D144,$D$130, "EQY_FUND_RELATIVE_PERIOD", F$3)="#N/A N/A","NA  ",(_xll.BDP($D144,$D$130, "EQY_FUND_RELATIVE_PERIOD", F$3))),F144),"NA ")</f>
        <v xml:space="preserve">NA  </v>
      </c>
      <c r="G144" s="244" t="str">
        <f ca="1">IFERROR(IF(BB_Switch=1,IF(_xll.BDP($D144,$D$130, "EQY_FUND_RELATIVE_PERIOD", G$3)="#N/A N/A","NA  ",(_xll.BDP($D144,$D$130, "EQY_FUND_RELATIVE_PERIOD", G$3))),G144),"NA ")</f>
        <v xml:space="preserve">NA  </v>
      </c>
      <c r="H144" s="244" t="str">
        <f ca="1">IFERROR(IF(BB_Switch=1,IF(_xll.BDP($D144,$D$130, "EQY_FUND_RELATIVE_PERIOD", H$3)="#N/A N/A","NA  ",(_xll.BDP($D144,$D$130, "EQY_FUND_RELATIVE_PERIOD", H$3))),H144),"NA ")</f>
        <v xml:space="preserve">NA  </v>
      </c>
      <c r="I144" s="244" t="str">
        <f ca="1">IFERROR(IF(BB_Switch=1,IF(_xll.BDP($D144,$D$130, "EQY_FUND_RELATIVE_PERIOD", I$3)="#N/A N/A","NA  ",(_xll.BDP($D144,$D$130, "EQY_FUND_RELATIVE_PERIOD", I$3))),I144),"NA ")</f>
        <v xml:space="preserve">NA  </v>
      </c>
      <c r="J144" s="244" t="str">
        <f ca="1">IFERROR(IF(BB_Switch=1,IF(_xll.BDP($D144,$D$130, "EQY_FUND_RELATIVE_PERIOD", J$3)="#N/A N/A","NA  ",(_xll.BDP($D144,$D$130, "EQY_FUND_RELATIVE_PERIOD", J$3))),J144),"NA ")</f>
        <v xml:space="preserve">NA  </v>
      </c>
      <c r="K144" s="244" t="str">
        <f ca="1">IFERROR(IF(BB_Switch=1,IF(_xll.BDP($D144,$D$130, "EQY_FUND_RELATIVE_PERIOD", K$3)="#N/A N/A","NA  ",(_xll.BDP($D144,$D$130, "EQY_FUND_RELATIVE_PERIOD", K$3))),K144),"NA ")</f>
        <v xml:space="preserve">NA  </v>
      </c>
      <c r="L144" s="244" t="str">
        <f ca="1">IFERROR(IF(BB_Switch=1,IF(_xll.BDP($D144,$D$130, "EQY_FUND_RELATIVE_PERIOD", L$3)="#N/A N/A","NA  ",(_xll.BDP($D144,$D$130, "EQY_FUND_RELATIVE_PERIOD", L$3))),L144),"NA ")</f>
        <v xml:space="preserve">NA  </v>
      </c>
      <c r="M144" s="244" t="str">
        <f ca="1">IFERROR(IF(BB_Switch=1,IF(_xll.BDP($D144,$D$130, "EQY_FUND_RELATIVE_PERIOD", M$3)="#N/A N/A","NA  ",(_xll.BDP($D144,$D$130, "EQY_FUND_RELATIVE_PERIOD", M$3))),M144),"NA ")</f>
        <v xml:space="preserve">NA  </v>
      </c>
      <c r="N144" s="244" t="str">
        <f ca="1">IFERROR(IF(BB_Switch=1,IF(_xll.BDP($D144,$D$130, "EQY_FUND_RELATIVE_PERIOD", N$3)="#N/A N/A","NA  ",(_xll.BDP($D144,$D$130, "EQY_FUND_RELATIVE_PERIOD", N$3))),N144),"NA ")</f>
        <v xml:space="preserve">NA  </v>
      </c>
      <c r="O144" s="244" t="str">
        <f ca="1">IFERROR(IF(BB_Switch=1,IF(_xll.BDP($D144,$D$130, "EQY_FUND_RELATIVE_PERIOD", O$3)="#N/A N/A","NA  ",(_xll.BDP($D144,$D$130, "EQY_FUND_RELATIVE_PERIOD", O$3))),O144),"NA ")</f>
        <v xml:space="preserve">NA  </v>
      </c>
      <c r="P144" s="244" t="str">
        <f ca="1">IFERROR(IF(BB_Switch=1,IF(_xll.BDP($D144,$D$130, "EQY_FUND_RELATIVE_PERIOD", P$3)="#N/A N/A","NA  ",(_xll.BDP($D144,$D$130, "EQY_FUND_RELATIVE_PERIOD", P$3))),P144),"NA ")</f>
        <v xml:space="preserve">NA  </v>
      </c>
      <c r="Q144" s="219"/>
      <c r="R144" s="219"/>
      <c r="S144" s="219"/>
      <c r="T144" s="219"/>
      <c r="U144" s="219"/>
      <c r="V144" s="244" t="str">
        <f ca="1">IFERROR(IF(BB_Switch=1,IF(_xll.BDP($D144,$D$130, "EQY_FUND_RELATIVE_PERIOD", V$3)="#N/A N/A","NA  ",(_xll.BDP($D144,$D$130, "EQY_FUND_RELATIVE_PERIOD", V$3))),V144),"NA ")</f>
        <v xml:space="preserve">NA  </v>
      </c>
      <c r="W144" s="244" t="str">
        <f ca="1">IFERROR(IF(BB_Switch=1,IF(_xll.BDP($D144,$D$130, "EQY_FUND_RELATIVE_PERIOD", W$3)="#N/A N/A","NA  ",(_xll.BDP($D144,$D$130, "EQY_FUND_RELATIVE_PERIOD", W$3))),W144),"NA ")</f>
        <v xml:space="preserve">NA  </v>
      </c>
      <c r="X144" s="244" t="str">
        <f ca="1">IFERROR(IF(BB_Switch=1,IF(_xll.BDP($D144,$D$130, "EQY_FUND_RELATIVE_PERIOD", X$3)="#N/A N/A","NA  ",(_xll.BDP($D144,$D$130, "EQY_FUND_RELATIVE_PERIOD", X$3))),X144),"NA ")</f>
        <v xml:space="preserve">NA  </v>
      </c>
      <c r="Y144" s="244" t="str">
        <f ca="1">IFERROR(IF(BB_Switch=1,IF(_xll.BDP($D144,$D$130, "EQY_FUND_RELATIVE_PERIOD", Y$3)="#N/A N/A","NA  ",(_xll.BDP($D144,$D$130, "EQY_FUND_RELATIVE_PERIOD", Y$3))),Y144),"NA ")</f>
        <v xml:space="preserve">NA  </v>
      </c>
      <c r="Z144" s="244" t="str">
        <f ca="1">IFERROR(IF(BB_Switch=1,IF(_xll.BDP($D144,$D$130, "EQY_FUND_RELATIVE_PERIOD", Z$3)="#N/A N/A","NA  ",(_xll.BDP($D144,$D$130, "EQY_FUND_RELATIVE_PERIOD", Z$3))),Z144),"NA ")</f>
        <v xml:space="preserve">NA  </v>
      </c>
      <c r="AA144" s="244" t="str">
        <f ca="1">IFERROR(IF(BB_Switch=1,IF(_xll.BDP($D144,$D$130, "EQY_FUND_RELATIVE_PERIOD", AA$3)="#N/A N/A","NA  ",(_xll.BDP($D144,$D$130, "EQY_FUND_RELATIVE_PERIOD", AA$3))),AA144),"NA ")</f>
        <v xml:space="preserve">NA  </v>
      </c>
      <c r="AB144" s="244" t="str">
        <f ca="1">IFERROR(IF(BB_Switch=1,IF(_xll.BDP($D144,$D$130, "EQY_FUND_RELATIVE_PERIOD", AB$3)="#N/A N/A","NA  ",(_xll.BDP($D144,$D$130, "EQY_FUND_RELATIVE_PERIOD", AB$3))),AB144),"NA ")</f>
        <v xml:space="preserve">NA  </v>
      </c>
      <c r="AC144" s="244" t="str">
        <f ca="1">IFERROR(IF(BB_Switch=1,IF(_xll.BDP($D144,$D$130, "EQY_FUND_RELATIVE_PERIOD", AC$3)="#N/A N/A","NA  ",(_xll.BDP($D144,$D$130, "EQY_FUND_RELATIVE_PERIOD", AC$3))),AC144),"NA ")</f>
        <v xml:space="preserve">NA  </v>
      </c>
      <c r="AD144" s="244" t="str">
        <f ca="1">IFERROR(IF(BB_Switch=1,IF(_xll.BDP($D144,$D$130, "EQY_FUND_RELATIVE_PERIOD", AD$3)="#N/A N/A","NA  ",(_xll.BDP($D144,$D$130, "EQY_FUND_RELATIVE_PERIOD", AD$3))),AD144),"NA ")</f>
        <v xml:space="preserve">NA  </v>
      </c>
      <c r="AE144" s="244" t="str">
        <f ca="1">IFERROR(IF(BB_Switch=1,IF(_xll.BDP($D144,$D$130, "EQY_FUND_RELATIVE_PERIOD", AE$3)="#N/A N/A","NA  ",(_xll.BDP($D144,$D$130, "EQY_FUND_RELATIVE_PERIOD", AE$3))),AE144),"NA ")</f>
        <v xml:space="preserve">NA  </v>
      </c>
      <c r="AF144" s="244"/>
      <c r="AG144" s="239"/>
      <c r="AH144" s="239"/>
      <c r="AI144" s="239"/>
      <c r="AJ144" s="239"/>
    </row>
    <row r="145" spans="2:39" ht="11.25" customHeight="1">
      <c r="C145" s="229"/>
      <c r="D145" s="229"/>
      <c r="E145" s="219"/>
      <c r="F145" s="219"/>
      <c r="G145" s="219"/>
      <c r="H145" s="219"/>
      <c r="I145" s="219"/>
      <c r="J145" s="219"/>
      <c r="K145" s="219"/>
      <c r="L145" s="219"/>
      <c r="M145" s="219"/>
      <c r="N145" s="219"/>
      <c r="O145" s="219"/>
      <c r="P145" s="219"/>
      <c r="Q145" s="219"/>
      <c r="R145" s="219"/>
      <c r="S145" s="219"/>
      <c r="T145" s="219"/>
      <c r="U145" s="219"/>
      <c r="V145" s="239"/>
      <c r="W145" s="239"/>
      <c r="X145" s="239"/>
      <c r="Y145" s="239"/>
      <c r="Z145" s="239"/>
      <c r="AA145" s="239"/>
      <c r="AB145" s="239"/>
      <c r="AC145" s="239"/>
      <c r="AD145" s="239"/>
      <c r="AE145" s="239"/>
      <c r="AF145" s="239"/>
      <c r="AG145" s="239"/>
      <c r="AH145" s="239"/>
      <c r="AI145" s="239"/>
      <c r="AJ145" s="239"/>
    </row>
    <row r="146" spans="2:39" ht="11.25" customHeight="1">
      <c r="C146" s="224" t="s">
        <v>482</v>
      </c>
      <c r="D146" s="223"/>
      <c r="E146" s="250">
        <f t="shared" ref="E146:O146" ca="1" si="41">AVERAGE(E132:E138,E141:E144)</f>
        <v>10.115680354127065</v>
      </c>
      <c r="F146" s="250">
        <f t="shared" ca="1" si="41"/>
        <v>12.24743304895293</v>
      </c>
      <c r="G146" s="250">
        <f t="shared" ca="1" si="41"/>
        <v>11.671247902417226</v>
      </c>
      <c r="H146" s="250">
        <f t="shared" ca="1" si="41"/>
        <v>7.0734336540684861</v>
      </c>
      <c r="I146" s="250">
        <f t="shared" ca="1" si="41"/>
        <v>13.23074380224379</v>
      </c>
      <c r="J146" s="250">
        <f t="shared" ca="1" si="41"/>
        <v>13.786299287146537</v>
      </c>
      <c r="K146" s="250">
        <f t="shared" ca="1" si="41"/>
        <v>13.765265305243004</v>
      </c>
      <c r="L146" s="250">
        <f t="shared" ca="1" si="41"/>
        <v>10.49212662532144</v>
      </c>
      <c r="M146" s="250">
        <f t="shared" ca="1" si="41"/>
        <v>10.151941707281683</v>
      </c>
      <c r="N146" s="250">
        <f t="shared" ca="1" si="41"/>
        <v>8.925438204198926</v>
      </c>
      <c r="O146" s="250">
        <f t="shared" ca="1" si="41"/>
        <v>10.625159523946349</v>
      </c>
      <c r="P146" s="250">
        <f ca="1">AVERAGE(P132:P138,P141:P144)</f>
        <v>5.8759000063214701</v>
      </c>
      <c r="Q146" s="250"/>
      <c r="R146" s="250"/>
      <c r="S146" s="250"/>
      <c r="T146" s="291"/>
      <c r="U146" s="219"/>
      <c r="V146" s="293">
        <f t="shared" ref="V146:AE146" ca="1" si="42">AVERAGE(V132:V138,V141:V144)</f>
        <v>8.5486881532714474</v>
      </c>
      <c r="W146" s="250">
        <f t="shared" ca="1" si="42"/>
        <v>10.312745142003449</v>
      </c>
      <c r="X146" s="250">
        <f t="shared" ca="1" si="42"/>
        <v>10.690908166598453</v>
      </c>
      <c r="Y146" s="250">
        <f t="shared" ca="1" si="42"/>
        <v>21.686501261627829</v>
      </c>
      <c r="Z146" s="250">
        <f t="shared" ca="1" si="42"/>
        <v>15.514186963772694</v>
      </c>
      <c r="AA146" s="250">
        <f t="shared" ca="1" si="42"/>
        <v>12.881377789573502</v>
      </c>
      <c r="AB146" s="250">
        <f t="shared" ca="1" si="42"/>
        <v>10.264201319723316</v>
      </c>
      <c r="AC146" s="250">
        <f t="shared" ca="1" si="42"/>
        <v>10.022057369552709</v>
      </c>
      <c r="AD146" s="250">
        <f t="shared" ca="1" si="42"/>
        <v>22.216333107141502</v>
      </c>
      <c r="AE146" s="250">
        <f t="shared" ca="1" si="42"/>
        <v>8.4075948285573041</v>
      </c>
      <c r="AF146" s="250"/>
      <c r="AG146" s="250"/>
      <c r="AH146" s="250"/>
      <c r="AI146" s="250"/>
      <c r="AJ146" s="291"/>
    </row>
    <row r="147" spans="2:39" ht="11.25" customHeight="1">
      <c r="C147" s="221" t="s">
        <v>481</v>
      </c>
      <c r="D147" s="220"/>
      <c r="E147" s="249">
        <f t="shared" ref="E147:O147" ca="1" si="43">MEDIAN(E132:E138,E141:E144)</f>
        <v>9.0271339739966088</v>
      </c>
      <c r="F147" s="249">
        <f t="shared" ca="1" si="43"/>
        <v>10.226923076923077</v>
      </c>
      <c r="G147" s="249">
        <f t="shared" ca="1" si="43"/>
        <v>9.732358870967742</v>
      </c>
      <c r="H147" s="249">
        <f t="shared" ca="1" si="43"/>
        <v>7.9516129032258061</v>
      </c>
      <c r="I147" s="249">
        <f t="shared" ca="1" si="43"/>
        <v>11.099242424242423</v>
      </c>
      <c r="J147" s="249">
        <f t="shared" ca="1" si="43"/>
        <v>13.84375</v>
      </c>
      <c r="K147" s="249">
        <f t="shared" ca="1" si="43"/>
        <v>15.466666666666667</v>
      </c>
      <c r="L147" s="249">
        <f t="shared" ca="1" si="43"/>
        <v>9.1697916666666668</v>
      </c>
      <c r="M147" s="249">
        <f t="shared" ca="1" si="43"/>
        <v>10.081578947368421</v>
      </c>
      <c r="N147" s="249">
        <f t="shared" ca="1" si="43"/>
        <v>9.6068757789779813</v>
      </c>
      <c r="O147" s="249">
        <f t="shared" ca="1" si="43"/>
        <v>11.668686868686869</v>
      </c>
      <c r="P147" s="249">
        <f ca="1">MEDIAN(P132:P138,P141:P144)</f>
        <v>5.7442857142857147</v>
      </c>
      <c r="Q147" s="249"/>
      <c r="R147" s="249"/>
      <c r="S147" s="249"/>
      <c r="T147" s="292"/>
      <c r="U147" s="219"/>
      <c r="V147" s="294">
        <f t="shared" ref="V147:AE147" ca="1" si="44">MEDIAN(V132:V138,V141:V144)</f>
        <v>8.4389951256092992</v>
      </c>
      <c r="W147" s="249">
        <f t="shared" ca="1" si="44"/>
        <v>10.985237622413424</v>
      </c>
      <c r="X147" s="249">
        <f t="shared" ca="1" si="44"/>
        <v>10.986283792332673</v>
      </c>
      <c r="Y147" s="249">
        <f t="shared" ca="1" si="44"/>
        <v>13.648279257314329</v>
      </c>
      <c r="Z147" s="249">
        <f t="shared" ca="1" si="44"/>
        <v>11.608980621202358</v>
      </c>
      <c r="AA147" s="249">
        <f t="shared" ca="1" si="44"/>
        <v>6.8541678133841195</v>
      </c>
      <c r="AB147" s="249">
        <f t="shared" ca="1" si="44"/>
        <v>8.929263565891473</v>
      </c>
      <c r="AC147" s="249">
        <f t="shared" ca="1" si="44"/>
        <v>9.125</v>
      </c>
      <c r="AD147" s="249">
        <f t="shared" ca="1" si="44"/>
        <v>13.464</v>
      </c>
      <c r="AE147" s="249">
        <f t="shared" ca="1" si="44"/>
        <v>8.1538461538461533</v>
      </c>
      <c r="AF147" s="249"/>
      <c r="AG147" s="249"/>
      <c r="AH147" s="249"/>
      <c r="AI147" s="249"/>
      <c r="AJ147" s="292"/>
    </row>
    <row r="148" spans="2:39" ht="11.25" customHeight="1">
      <c r="C148" s="219"/>
      <c r="D148" s="219"/>
      <c r="E148" s="219"/>
      <c r="F148" s="219"/>
      <c r="G148" s="219"/>
      <c r="H148" s="219"/>
      <c r="I148" s="219"/>
      <c r="J148" s="219"/>
      <c r="K148" s="219"/>
      <c r="L148" s="219"/>
      <c r="M148" s="219"/>
      <c r="N148" s="219"/>
      <c r="O148" s="219"/>
      <c r="P148" s="219"/>
      <c r="Q148" s="219"/>
      <c r="R148" s="219"/>
      <c r="S148" s="219"/>
      <c r="T148" s="219"/>
      <c r="U148" s="219"/>
      <c r="V148" s="248"/>
      <c r="W148" s="248"/>
      <c r="X148" s="248"/>
      <c r="Y148" s="248"/>
      <c r="Z148" s="248"/>
      <c r="AA148" s="248"/>
      <c r="AB148" s="248"/>
      <c r="AC148" s="248"/>
      <c r="AD148" s="248"/>
      <c r="AE148" s="248"/>
      <c r="AF148" s="248"/>
      <c r="AG148" s="248"/>
      <c r="AH148" s="248"/>
      <c r="AI148" s="248"/>
      <c r="AJ148" s="248"/>
    </row>
    <row r="149" spans="2:39" ht="11.25" customHeight="1">
      <c r="B149" s="231" t="s">
        <v>394</v>
      </c>
      <c r="C149" s="232" t="s">
        <v>511</v>
      </c>
      <c r="D149" s="232"/>
      <c r="E149" s="232"/>
      <c r="F149" s="232"/>
      <c r="G149" s="232"/>
      <c r="H149" s="232"/>
      <c r="I149" s="232"/>
      <c r="J149" s="232"/>
      <c r="K149" s="232"/>
      <c r="L149" s="232"/>
      <c r="M149" s="232"/>
      <c r="N149" s="232"/>
      <c r="O149" s="232"/>
      <c r="P149" s="232"/>
      <c r="Q149" s="232"/>
      <c r="R149" s="232"/>
      <c r="S149" s="232"/>
      <c r="T149" s="232"/>
      <c r="U149" s="233"/>
      <c r="V149" s="232"/>
      <c r="W149" s="231"/>
      <c r="X149" s="231"/>
      <c r="Y149" s="231"/>
      <c r="Z149" s="231"/>
      <c r="AA149" s="231"/>
      <c r="AB149" s="231"/>
      <c r="AC149" s="231"/>
      <c r="AD149" s="231"/>
      <c r="AE149" s="231"/>
      <c r="AF149" s="231"/>
      <c r="AG149" s="231"/>
      <c r="AH149" s="231"/>
      <c r="AI149" s="231"/>
      <c r="AJ149" s="231"/>
    </row>
    <row r="150" spans="2:39" ht="11.25" customHeight="1">
      <c r="C150" s="219"/>
      <c r="D150" s="219" t="s">
        <v>510</v>
      </c>
      <c r="E150" s="219"/>
      <c r="F150" s="219"/>
      <c r="G150" s="219"/>
      <c r="H150" s="219"/>
      <c r="I150" s="219"/>
      <c r="J150" s="219"/>
      <c r="K150" s="219"/>
      <c r="L150" s="219"/>
      <c r="M150" s="219"/>
      <c r="N150" s="219"/>
      <c r="O150" s="219"/>
      <c r="P150" s="219"/>
      <c r="Q150" s="219"/>
      <c r="R150" s="219"/>
      <c r="S150" s="219"/>
      <c r="T150" s="219"/>
      <c r="U150" s="219"/>
      <c r="V150" s="248"/>
      <c r="W150" s="248"/>
      <c r="X150" s="248"/>
      <c r="Y150" s="248"/>
      <c r="Z150" s="248"/>
      <c r="AA150" s="248"/>
      <c r="AB150" s="248"/>
      <c r="AC150" s="248"/>
      <c r="AD150" s="248"/>
      <c r="AE150" s="248"/>
      <c r="AF150" s="248"/>
      <c r="AG150" s="248"/>
      <c r="AH150" s="248"/>
      <c r="AI150" s="248"/>
      <c r="AJ150" s="248"/>
    </row>
    <row r="151" spans="2:39" ht="11.25" customHeight="1">
      <c r="C151" s="428" t="str">
        <f>+C11</f>
        <v>Commodity Chemicals</v>
      </c>
      <c r="D151" s="219"/>
      <c r="E151" s="219"/>
      <c r="F151" s="219"/>
      <c r="G151" s="219"/>
      <c r="H151" s="219"/>
      <c r="I151" s="219"/>
      <c r="J151" s="219"/>
      <c r="K151" s="219"/>
      <c r="L151" s="219"/>
      <c r="M151" s="219"/>
      <c r="N151" s="219"/>
      <c r="O151" s="219"/>
      <c r="P151" s="219"/>
      <c r="Q151" s="219"/>
      <c r="R151" s="219"/>
      <c r="S151" s="219"/>
      <c r="T151" s="219"/>
      <c r="U151" s="219"/>
      <c r="V151" s="248"/>
      <c r="W151" s="248"/>
      <c r="X151" s="248"/>
      <c r="Y151" s="248"/>
      <c r="Z151" s="248"/>
      <c r="AA151" s="248"/>
      <c r="AB151" s="248"/>
      <c r="AC151" s="248"/>
      <c r="AD151" s="248"/>
      <c r="AE151" s="248"/>
      <c r="AF151" s="248"/>
      <c r="AG151" s="248"/>
      <c r="AH151" s="248"/>
      <c r="AI151" s="248"/>
      <c r="AJ151" s="248"/>
    </row>
    <row r="152" spans="2:39" ht="11.25" customHeight="1">
      <c r="C152" s="229" t="str">
        <f ca="1">IFERROR(IF(BB_Switch=1,_xll.BDP($D152,$C$270),C152), "NA ")</f>
        <v>DuPont de Nemours Inc</v>
      </c>
      <c r="D152" s="227" t="str">
        <f t="shared" ref="D152:D158" si="45">+D12</f>
        <v>DD US EQUITY</v>
      </c>
      <c r="E152" s="244" t="str">
        <f ca="1">IFERROR(IF(BB_Switch=1,IF(_xll.BDP($D152,$D$150, "EQY_FUND_RELATIVE_PERIOD", E$3)="#N/A N/A","NA  ",(_xll.BDP($D152,$D$150, "EQY_FUND_RELATIVE_PERIOD", E$3))),E152),"NA ")</f>
        <v xml:space="preserve">NA  </v>
      </c>
      <c r="F152" s="244">
        <f ca="1">IFERROR(IF(BB_Switch=1,IF(_xll.BDP($D152,$D$150, "EQY_FUND_RELATIVE_PERIOD", F$3)="#N/A N/A","NA  ",(_xll.BDP($D152,$D$150, "EQY_FUND_RELATIVE_PERIOD", F$3))),F152),"NA ")</f>
        <v>3.9001860566925686</v>
      </c>
      <c r="G152" s="244">
        <f ca="1">IFERROR(IF(BB_Switch=1,IF(_xll.BDP($D152,$D$150, "EQY_FUND_RELATIVE_PERIOD", G$3)="#N/A N/A","NA  ",(_xll.BDP($D152,$D$150, "EQY_FUND_RELATIVE_PERIOD", G$3))),G152),"NA ")</f>
        <v>4.2414942528735633</v>
      </c>
      <c r="H152" s="244">
        <f ca="1">IFERROR(IF(BB_Switch=1,IF(_xll.BDP($D152,$D$150, "EQY_FUND_RELATIVE_PERIOD", H$3)="#N/A N/A","NA  ",(_xll.BDP($D152,$D$150, "EQY_FUND_RELATIVE_PERIOD", H$3))),H152),"NA ")</f>
        <v>5.9616797900262464</v>
      </c>
      <c r="I152" s="244">
        <f ca="1">IFERROR(IF(BB_Switch=1,IF(_xll.BDP($D152,$D$150, "EQY_FUND_RELATIVE_PERIOD", I$3)="#N/A N/A","NA  ",(_xll.BDP($D152,$D$150, "EQY_FUND_RELATIVE_PERIOD", I$3))),I152),"NA ")</f>
        <v>5.4303498266624644</v>
      </c>
      <c r="J152" s="244">
        <f ca="1">IFERROR(IF(BB_Switch=1,IF(_xll.BDP($D152,$D$150, "EQY_FUND_RELATIVE_PERIOD", J$3)="#N/A N/A","NA  ",(_xll.BDP($D152,$D$150, "EQY_FUND_RELATIVE_PERIOD", J$3))),J152),"NA ")</f>
        <v>8.1605908982606632</v>
      </c>
      <c r="K152" s="244">
        <f ca="1">IFERROR(IF(BB_Switch=1,IF(_xll.BDP($D152,$D$150, "EQY_FUND_RELATIVE_PERIOD", K$3)="#N/A N/A","NA  ",(_xll.BDP($D152,$D$150, "EQY_FUND_RELATIVE_PERIOD", K$3))),K152),"NA ")</f>
        <v>8.9349593495934965</v>
      </c>
      <c r="L152" s="244">
        <f ca="1">IFERROR(IF(BB_Switch=1,IF(_xll.BDP($D152,$D$150, "EQY_FUND_RELATIVE_PERIOD", L$3)="#N/A N/A","NA  ",(_xll.BDP($D152,$D$150, "EQY_FUND_RELATIVE_PERIOD", L$3))),L152),"NA ")</f>
        <v>1.6804946150777822</v>
      </c>
      <c r="M152" s="244">
        <f ca="1">IFERROR(IF(BB_Switch=1,IF(_xll.BDP($D152,$D$150, "EQY_FUND_RELATIVE_PERIOD", M$3)="#N/A N/A","NA  ",(_xll.BDP($D152,$D$150, "EQY_FUND_RELATIVE_PERIOD", M$3))),M152),"NA ")</f>
        <v>5.8320453374549199</v>
      </c>
      <c r="N152" s="244">
        <f ca="1">IFERROR(IF(BB_Switch=1,IF(_xll.BDP($D152,$D$150, "EQY_FUND_RELATIVE_PERIOD", N$3)="#N/A N/A","NA  ",(_xll.BDP($D152,$D$150, "EQY_FUND_RELATIVE_PERIOD", N$3))),N152),"NA ")</f>
        <v>3.0616922281578494</v>
      </c>
      <c r="O152" s="244">
        <f ca="1">IFERROR(IF(BB_Switch=1,IF(_xll.BDP($D152,$D$150, "EQY_FUND_RELATIVE_PERIOD", O$3)="#N/A N/A","NA  ",(_xll.BDP($D152,$D$150, "EQY_FUND_RELATIVE_PERIOD", O$3))),O152),"NA ")</f>
        <v>3.559673735725938</v>
      </c>
      <c r="P152" s="244">
        <f ca="1">IFERROR(IF(BB_Switch=1,IF(_xll.BDP($D152,$D$150, "EQY_FUND_RELATIVE_PERIOD", P$3)="#N/A N/A","NA  ",(_xll.BDP($D152,$D$150, "EQY_FUND_RELATIVE_PERIOD", P$3))),P152),"NA ")</f>
        <v>3.9441279579316388</v>
      </c>
      <c r="Q152" s="244"/>
      <c r="R152" s="244"/>
      <c r="S152" s="244"/>
      <c r="T152" s="244"/>
      <c r="U152" s="219"/>
      <c r="V152" s="244" t="str">
        <f ca="1">IFERROR(IF(BB_Switch=1,IF(_xll.BDP($D152,$D$150, "EQY_FUND_RELATIVE_PERIOD", V$3)="#N/A N/A","NA  ",(_xll.BDP($D152,$D$150, "EQY_FUND_RELATIVE_PERIOD", V$3))),V152),"NA ")</f>
        <v xml:space="preserve">NA  </v>
      </c>
      <c r="W152" s="244" t="str">
        <f ca="1">IFERROR(IF(BB_Switch=1,IF(_xll.BDP($D152,$D$150, "EQY_FUND_RELATIVE_PERIOD", W$3)="#N/A N/A","NA  ",(_xll.BDP($D152,$D$150, "EQY_FUND_RELATIVE_PERIOD", W$3))),W152),"NA ")</f>
        <v xml:space="preserve">NA  </v>
      </c>
      <c r="X152" s="244" t="str">
        <f ca="1">IFERROR(IF(BB_Switch=1,IF(_xll.BDP($D152,$D$150, "EQY_FUND_RELATIVE_PERIOD", X$3)="#N/A N/A","NA  ",(_xll.BDP($D152,$D$150, "EQY_FUND_RELATIVE_PERIOD", X$3))),X152),"NA ")</f>
        <v xml:space="preserve">NA  </v>
      </c>
      <c r="Y152" s="244" t="str">
        <f ca="1">IFERROR(IF(BB_Switch=1,IF(_xll.BDP($D152,$D$150, "EQY_FUND_RELATIVE_PERIOD", Y$3)="#N/A N/A","NA  ",(_xll.BDP($D152,$D$150, "EQY_FUND_RELATIVE_PERIOD", Y$3))),Y152),"NA ")</f>
        <v xml:space="preserve">NA  </v>
      </c>
      <c r="Z152" s="244" t="str">
        <f ca="1">IFERROR(IF(BB_Switch=1,IF(_xll.BDP($D152,$D$150, "EQY_FUND_RELATIVE_PERIOD", Z$3)="#N/A N/A","NA  ",(_xll.BDP($D152,$D$150, "EQY_FUND_RELATIVE_PERIOD", Z$3))),Z152),"NA ")</f>
        <v xml:space="preserve">NA  </v>
      </c>
      <c r="AA152" s="244">
        <f ca="1">IFERROR(IF(BB_Switch=1,IF(_xll.BDP($D152,$D$150, "EQY_FUND_RELATIVE_PERIOD", AA$3)="#N/A N/A","NA  ",(_xll.BDP($D152,$D$150, "EQY_FUND_RELATIVE_PERIOD", AA$3))),AA152),"NA ")</f>
        <v>3.0303937370481235</v>
      </c>
      <c r="AB152" s="244">
        <f ca="1">IFERROR(IF(BB_Switch=1,IF(_xll.BDP($D152,$D$150, "EQY_FUND_RELATIVE_PERIOD", AB$3)="#N/A N/A","NA  ",(_xll.BDP($D152,$D$150, "EQY_FUND_RELATIVE_PERIOD", AB$3))),AB152),"NA ")</f>
        <v>2.7984018862981399</v>
      </c>
      <c r="AC152" s="244">
        <f ca="1">IFERROR(IF(BB_Switch=1,IF(_xll.BDP($D152,$D$150, "EQY_FUND_RELATIVE_PERIOD", AC$3)="#N/A N/A","NA  ",(_xll.BDP($D152,$D$150, "EQY_FUND_RELATIVE_PERIOD", AC$3))),AC152),"NA ")</f>
        <v>16.942317255096967</v>
      </c>
      <c r="AD152" s="244">
        <f ca="1">IFERROR(IF(BB_Switch=1,IF(_xll.BDP($D152,$D$150, "EQY_FUND_RELATIVE_PERIOD", AD$3)="#N/A N/A","NA  ",(_xll.BDP($D152,$D$150, "EQY_FUND_RELATIVE_PERIOD", AD$3))),AD152),"NA ")</f>
        <v>2.0946304275770635</v>
      </c>
      <c r="AE152" s="244">
        <f ca="1">IFERROR(IF(BB_Switch=1,IF(_xll.BDP($D152,$D$150, "EQY_FUND_RELATIVE_PERIOD", AE$3)="#N/A N/A","NA  ",(_xll.BDP($D152,$D$150, "EQY_FUND_RELATIVE_PERIOD", AE$3))),AE152),"NA ")</f>
        <v>5.4367260646330413</v>
      </c>
      <c r="AF152" s="236">
        <f ca="1">IFERROR(+AVERAGEIFS(V152:AE152,V152:AE152,"&gt;="&amp;$AL$155,V152:AE152,"&lt;="&amp;$AL$156),"NA  ")</f>
        <v>3.3400380288890918</v>
      </c>
      <c r="AG152" s="248"/>
      <c r="AH152" s="244"/>
      <c r="AI152" s="244"/>
      <c r="AJ152" s="244"/>
    </row>
    <row r="153" spans="2:39" ht="11.25" customHeight="1">
      <c r="C153" s="229" t="str">
        <f ca="1">IFERROR(IF(BB_Switch=1,_xll.BDP($D153,$C$270),C153), "NA ")</f>
        <v>PolyOne Corp</v>
      </c>
      <c r="D153" s="227" t="str">
        <f t="shared" si="45"/>
        <v>POL US EQUITY</v>
      </c>
      <c r="E153" s="244">
        <f ca="1">IFERROR(IF(BB_Switch=1,IF(_xll.BDP($D153,$D$150, "EQY_FUND_RELATIVE_PERIOD", E$3)="#N/A N/A","NA  ",(_xll.BDP($D153,$D$150, "EQY_FUND_RELATIVE_PERIOD", E$3))),E153),"NA ")</f>
        <v>3.2411294352823594</v>
      </c>
      <c r="F153" s="244">
        <f ca="1">IFERROR(IF(BB_Switch=1,IF(_xll.BDP($D153,$D$150, "EQY_FUND_RELATIVE_PERIOD", F$3)="#N/A N/A","NA  ",(_xll.BDP($D153,$D$150, "EQY_FUND_RELATIVE_PERIOD", F$3))),F153),"NA ")</f>
        <v>3.5178391959798994</v>
      </c>
      <c r="G153" s="244">
        <f ca="1">IFERROR(IF(BB_Switch=1,IF(_xll.BDP($D153,$D$150, "EQY_FUND_RELATIVE_PERIOD", G$3)="#N/A N/A","NA  ",(_xll.BDP($D153,$D$150, "EQY_FUND_RELATIVE_PERIOD", G$3))),G153),"NA ")</f>
        <v>3.45514950166113</v>
      </c>
      <c r="H153" s="244">
        <f ca="1">IFERROR(IF(BB_Switch=1,IF(_xll.BDP($D153,$D$150, "EQY_FUND_RELATIVE_PERIOD", H$3)="#N/A N/A","NA  ",(_xll.BDP($D153,$D$150, "EQY_FUND_RELATIVE_PERIOD", H$3))),H153),"NA ")</f>
        <v>3.8151531434712513</v>
      </c>
      <c r="I153" s="244">
        <f ca="1">IFERROR(IF(BB_Switch=1,IF(_xll.BDP($D153,$D$150, "EQY_FUND_RELATIVE_PERIOD", I$3)="#N/A N/A","NA  ",(_xll.BDP($D153,$D$150, "EQY_FUND_RELATIVE_PERIOD", I$3))),I153),"NA ")</f>
        <v>3.7062688201478231</v>
      </c>
      <c r="J153" s="244">
        <f ca="1">IFERROR(IF(BB_Switch=1,IF(_xll.BDP($D153,$D$150, "EQY_FUND_RELATIVE_PERIOD", J$3)="#N/A N/A","NA  ",(_xll.BDP($D153,$D$150, "EQY_FUND_RELATIVE_PERIOD", J$3))),J153),"NA ")</f>
        <v>3.6895787139689573</v>
      </c>
      <c r="K153" s="244">
        <f ca="1">IFERROR(IF(BB_Switch=1,IF(_xll.BDP($D153,$D$150, "EQY_FUND_RELATIVE_PERIOD", K$3)="#N/A N/A","NA  ",(_xll.BDP($D153,$D$150, "EQY_FUND_RELATIVE_PERIOD", K$3))),K153),"NA ")</f>
        <v>3.8990370586518823</v>
      </c>
      <c r="L153" s="244">
        <f ca="1">IFERROR(IF(BB_Switch=1,IF(_xll.BDP($D153,$D$150, "EQY_FUND_RELATIVE_PERIOD", L$3)="#N/A N/A","NA  ",(_xll.BDP($D153,$D$150, "EQY_FUND_RELATIVE_PERIOD", L$3))),L153),"NA ")</f>
        <v>4.4579728059332506</v>
      </c>
      <c r="M153" s="244">
        <f ca="1">IFERROR(IF(BB_Switch=1,IF(_xll.BDP($D153,$D$150, "EQY_FUND_RELATIVE_PERIOD", M$3)="#N/A N/A","NA  ",(_xll.BDP($D153,$D$150, "EQY_FUND_RELATIVE_PERIOD", M$3))),M153),"NA ")</f>
        <v>4.6895604395604389</v>
      </c>
      <c r="N153" s="244">
        <f ca="1">IFERROR(IF(BB_Switch=1,IF(_xll.BDP($D153,$D$150, "EQY_FUND_RELATIVE_PERIOD", N$3)="#N/A N/A","NA  ",(_xll.BDP($D153,$D$150, "EQY_FUND_RELATIVE_PERIOD", N$3))),N153),"NA ")</f>
        <v>4.5326617826617825</v>
      </c>
      <c r="O153" s="244">
        <f ca="1">IFERROR(IF(BB_Switch=1,IF(_xll.BDP($D153,$D$150, "EQY_FUND_RELATIVE_PERIOD", O$3)="#N/A N/A","NA  ",(_xll.BDP($D153,$D$150, "EQY_FUND_RELATIVE_PERIOD", O$3))),O153),"NA ")</f>
        <v>4.6530293566520928</v>
      </c>
      <c r="P153" s="244">
        <f ca="1">IFERROR(IF(BB_Switch=1,IF(_xll.BDP($D153,$D$150, "EQY_FUND_RELATIVE_PERIOD", P$3)="#N/A N/A","NA  ",(_xll.BDP($D153,$D$150, "EQY_FUND_RELATIVE_PERIOD", P$3))),P153),"NA ")</f>
        <v>4.6652983896431959</v>
      </c>
      <c r="Q153" s="244"/>
      <c r="R153" s="244"/>
      <c r="S153" s="244"/>
      <c r="T153" s="244"/>
      <c r="U153" s="219"/>
      <c r="V153" s="244">
        <f ca="1">IFERROR(IF(BB_Switch=1,IF(_xll.BDP($D153,$D$150, "EQY_FUND_RELATIVE_PERIOD", V$3)="#N/A N/A","NA  ",(_xll.BDP($D153,$D$150, "EQY_FUND_RELATIVE_PERIOD", V$3))),V153),"NA ")</f>
        <v>1.973420479302832</v>
      </c>
      <c r="W153" s="244">
        <f ca="1">IFERROR(IF(BB_Switch=1,IF(_xll.BDP($D153,$D$150, "EQY_FUND_RELATIVE_PERIOD", W$3)="#N/A N/A","NA  ",(_xll.BDP($D153,$D$150, "EQY_FUND_RELATIVE_PERIOD", W$3))),W153),"NA ")</f>
        <v>2.4337349397590362</v>
      </c>
      <c r="X153" s="244">
        <f ca="1">IFERROR(IF(BB_Switch=1,IF(_xll.BDP($D153,$D$150, "EQY_FUND_RELATIVE_PERIOD", X$3)="#N/A N/A","NA  ",(_xll.BDP($D153,$D$150, "EQY_FUND_RELATIVE_PERIOD", X$3))),X153),"NA ")</f>
        <v>3.410033767486734</v>
      </c>
      <c r="Y153" s="244">
        <f ca="1">IFERROR(IF(BB_Switch=1,IF(_xll.BDP($D153,$D$150, "EQY_FUND_RELATIVE_PERIOD", Y$3)="#N/A N/A","NA  ",(_xll.BDP($D153,$D$150, "EQY_FUND_RELATIVE_PERIOD", Y$3))),Y153),"NA ")</f>
        <v>2.8974509229416938</v>
      </c>
      <c r="Z153" s="244">
        <f ca="1">IFERROR(IF(BB_Switch=1,IF(_xll.BDP($D153,$D$150, "EQY_FUND_RELATIVE_PERIOD", Z$3)="#N/A N/A","NA  ",(_xll.BDP($D153,$D$150, "EQY_FUND_RELATIVE_PERIOD", Z$3))),Z153),"NA ")</f>
        <v>3.6222222222222222</v>
      </c>
      <c r="AA153" s="244">
        <f ca="1">IFERROR(IF(BB_Switch=1,IF(_xll.BDP($D153,$D$150, "EQY_FUND_RELATIVE_PERIOD", AA$3)="#N/A N/A","NA  ",(_xll.BDP($D153,$D$150, "EQY_FUND_RELATIVE_PERIOD", AA$3))),AA153),"NA ")</f>
        <v>3.2853868194842404</v>
      </c>
      <c r="AB153" s="244">
        <f ca="1">IFERROR(IF(BB_Switch=1,IF(_xll.BDP($D153,$D$150, "EQY_FUND_RELATIVE_PERIOD", AB$3)="#N/A N/A","NA  ",(_xll.BDP($D153,$D$150, "EQY_FUND_RELATIVE_PERIOD", AB$3))),AB153),"NA ")</f>
        <v>3.5015511892450881</v>
      </c>
      <c r="AC153" s="244">
        <f ca="1">IFERROR(IF(BB_Switch=1,IF(_xll.BDP($D153,$D$150, "EQY_FUND_RELATIVE_PERIOD", AC$3)="#N/A N/A","NA  ",(_xll.BDP($D153,$D$150, "EQY_FUND_RELATIVE_PERIOD", AC$3))),AC153),"NA ")</f>
        <v>3.8357644516477576</v>
      </c>
      <c r="AD153" s="244">
        <f ca="1">IFERROR(IF(BB_Switch=1,IF(_xll.BDP($D153,$D$150, "EQY_FUND_RELATIVE_PERIOD", AD$3)="#N/A N/A","NA  ",(_xll.BDP($D153,$D$150, "EQY_FUND_RELATIVE_PERIOD", AD$3))),AD153),"NA ")</f>
        <v>4.9235494880546078</v>
      </c>
      <c r="AE153" s="244">
        <f ca="1">IFERROR(IF(BB_Switch=1,IF(_xll.BDP($D153,$D$150, "EQY_FUND_RELATIVE_PERIOD", AE$3)="#N/A N/A","NA  ",(_xll.BDP($D153,$D$150, "EQY_FUND_RELATIVE_PERIOD", AE$3))),AE153),"NA ")</f>
        <v>5.506895266492732</v>
      </c>
      <c r="AF153" s="235">
        <f t="shared" ref="AF153:AF164" ca="1" si="46">IFERROR(+AVERAGEIFS(V153:AE153,V153:AE153,"&gt;="&amp;$AL$155,V153:AE153,"&lt;="&amp;$AL$156),"NA  ")</f>
        <v>3.5390009546636945</v>
      </c>
      <c r="AG153" s="248"/>
      <c r="AH153" s="244"/>
      <c r="AI153" s="244"/>
      <c r="AJ153" s="244"/>
    </row>
    <row r="154" spans="2:39" ht="11.25" customHeight="1">
      <c r="C154" s="229" t="str">
        <f ca="1">IFERROR(IF(BB_Switch=1,_xll.BDP($D154,$C$270),C154), "NA ")</f>
        <v>Olin Corp</v>
      </c>
      <c r="D154" s="227" t="str">
        <f t="shared" si="45"/>
        <v>OLN US EQUITY</v>
      </c>
      <c r="E154" s="244">
        <f ca="1">IFERROR(IF(BB_Switch=1,IF(_xll.BDP($D154,$D$150, "EQY_FUND_RELATIVE_PERIOD", E$3)="#N/A N/A","NA  ",(_xll.BDP($D154,$D$150, "EQY_FUND_RELATIVE_PERIOD", E$3))),E154),"NA ")</f>
        <v>4.7534210526315794</v>
      </c>
      <c r="F154" s="244">
        <f ca="1">IFERROR(IF(BB_Switch=1,IF(_xll.BDP($D154,$D$150, "EQY_FUND_RELATIVE_PERIOD", F$3)="#N/A N/A","NA  ",(_xll.BDP($D154,$D$150, "EQY_FUND_RELATIVE_PERIOD", F$3))),F154),"NA ")</f>
        <v>4.7202412165705292</v>
      </c>
      <c r="G154" s="244">
        <f ca="1">IFERROR(IF(BB_Switch=1,IF(_xll.BDP($D154,$D$150, "EQY_FUND_RELATIVE_PERIOD", G$3)="#N/A N/A","NA  ",(_xll.BDP($D154,$D$150, "EQY_FUND_RELATIVE_PERIOD", G$3))),G154),"NA ")</f>
        <v>4.6634292118042584</v>
      </c>
      <c r="H154" s="244">
        <f ca="1">IFERROR(IF(BB_Switch=1,IF(_xll.BDP($D154,$D$150, "EQY_FUND_RELATIVE_PERIOD", H$3)="#N/A N/A","NA  ",(_xll.BDP($D154,$D$150, "EQY_FUND_RELATIVE_PERIOD", H$3))),H154),"NA ")</f>
        <v>4.2220923436586792</v>
      </c>
      <c r="I154" s="244">
        <f ca="1">IFERROR(IF(BB_Switch=1,IF(_xll.BDP($D154,$D$150, "EQY_FUND_RELATIVE_PERIOD", I$3)="#N/A N/A","NA  ",(_xll.BDP($D154,$D$150, "EQY_FUND_RELATIVE_PERIOD", I$3))),I154),"NA ")</f>
        <v>3.9683466157817935</v>
      </c>
      <c r="J154" s="244">
        <f ca="1">IFERROR(IF(BB_Switch=1,IF(_xll.BDP($D154,$D$150, "EQY_FUND_RELATIVE_PERIOD", J$3)="#N/A N/A","NA  ",(_xll.BDP($D154,$D$150, "EQY_FUND_RELATIVE_PERIOD", J$3))),J154),"NA ")</f>
        <v>3.3979690522243713</v>
      </c>
      <c r="K154" s="244">
        <f ca="1">IFERROR(IF(BB_Switch=1,IF(_xll.BDP($D154,$D$150, "EQY_FUND_RELATIVE_PERIOD", K$3)="#N/A N/A","NA  ",(_xll.BDP($D154,$D$150, "EQY_FUND_RELATIVE_PERIOD", K$3))),K154),"NA ")</f>
        <v>2.6513863509970603</v>
      </c>
      <c r="L154" s="244">
        <f ca="1">IFERROR(IF(BB_Switch=1,IF(_xll.BDP($D154,$D$150, "EQY_FUND_RELATIVE_PERIOD", L$3)="#N/A N/A","NA  ",(_xll.BDP($D154,$D$150, "EQY_FUND_RELATIVE_PERIOD", L$3))),L154),"NA ")</f>
        <v>2.5270280841742947</v>
      </c>
      <c r="M154" s="244">
        <f ca="1">IFERROR(IF(BB_Switch=1,IF(_xll.BDP($D154,$D$150, "EQY_FUND_RELATIVE_PERIOD", M$3)="#N/A N/A","NA  ",(_xll.BDP($D154,$D$150, "EQY_FUND_RELATIVE_PERIOD", M$3))),M154),"NA ")</f>
        <v>2.4579790249433104</v>
      </c>
      <c r="N154" s="244">
        <f ca="1">IFERROR(IF(BB_Switch=1,IF(_xll.BDP($D154,$D$150, "EQY_FUND_RELATIVE_PERIOD", N$3)="#N/A N/A","NA  ",(_xll.BDP($D154,$D$150, "EQY_FUND_RELATIVE_PERIOD", N$3))),N154),"NA ")</f>
        <v>2.7468718426983756</v>
      </c>
      <c r="O154" s="244">
        <f ca="1">IFERROR(IF(BB_Switch=1,IF(_xll.BDP($D154,$D$150, "EQY_FUND_RELATIVE_PERIOD", O$3)="#N/A N/A","NA  ",(_xll.BDP($D154,$D$150, "EQY_FUND_RELATIVE_PERIOD", O$3))),O154),"NA ")</f>
        <v>3.3974438323946274</v>
      </c>
      <c r="P154" s="244">
        <f ca="1">IFERROR(IF(BB_Switch=1,IF(_xll.BDP($D154,$D$150, "EQY_FUND_RELATIVE_PERIOD", P$3)="#N/A N/A","NA  ",(_xll.BDP($D154,$D$150, "EQY_FUND_RELATIVE_PERIOD", P$3))),P154),"NA ")</f>
        <v>4.1543010152850615</v>
      </c>
      <c r="Q154" s="244"/>
      <c r="R154" s="244"/>
      <c r="S154" s="244"/>
      <c r="T154" s="244"/>
      <c r="U154" s="219"/>
      <c r="V154" s="244">
        <f ca="1">IFERROR(IF(BB_Switch=1,IF(_xll.BDP($D154,$D$150, "EQY_FUND_RELATIVE_PERIOD", V$3)="#N/A N/A","NA  ",(_xll.BDP($D154,$D$150, "EQY_FUND_RELATIVE_PERIOD", V$3))),V154),"NA ")</f>
        <v>3.1632653061224487</v>
      </c>
      <c r="W154" s="244">
        <f ca="1">IFERROR(IF(BB_Switch=1,IF(_xll.BDP($D154,$D$150, "EQY_FUND_RELATIVE_PERIOD", W$3)="#N/A N/A","NA  ",(_xll.BDP($D154,$D$150, "EQY_FUND_RELATIVE_PERIOD", W$3))),W154),"NA ")</f>
        <v>1.6596534653465349</v>
      </c>
      <c r="X154" s="244">
        <f ca="1">IFERROR(IF(BB_Switch=1,IF(_xll.BDP($D154,$D$150, "EQY_FUND_RELATIVE_PERIOD", X$3)="#N/A N/A","NA  ",(_xll.BDP($D154,$D$150, "EQY_FUND_RELATIVE_PERIOD", X$3))),X154),"NA ")</f>
        <v>1.9299621416982156</v>
      </c>
      <c r="Y154" s="244">
        <f ca="1">IFERROR(IF(BB_Switch=1,IF(_xll.BDP($D154,$D$150, "EQY_FUND_RELATIVE_PERIOD", Y$3)="#N/A N/A","NA  ",(_xll.BDP($D154,$D$150, "EQY_FUND_RELATIVE_PERIOD", Y$3))),Y154),"NA ")</f>
        <v>1.638217164532954</v>
      </c>
      <c r="Z154" s="244">
        <f ca="1">IFERROR(IF(BB_Switch=1,IF(_xll.BDP($D154,$D$150, "EQY_FUND_RELATIVE_PERIOD", Z$3)="#N/A N/A","NA  ",(_xll.BDP($D154,$D$150, "EQY_FUND_RELATIVE_PERIOD", Z$3))),Z154),"NA ")</f>
        <v>1.9710948905109489</v>
      </c>
      <c r="AA154" s="244">
        <f ca="1">IFERROR(IF(BB_Switch=1,IF(_xll.BDP($D154,$D$150, "EQY_FUND_RELATIVE_PERIOD", AA$3)="#N/A N/A","NA  ",(_xll.BDP($D154,$D$150, "EQY_FUND_RELATIVE_PERIOD", AA$3))),AA154),"NA ")</f>
        <v>11.777002427184465</v>
      </c>
      <c r="AB154" s="244">
        <f ca="1">IFERROR(IF(BB_Switch=1,IF(_xll.BDP($D154,$D$150, "EQY_FUND_RELATIVE_PERIOD", AB$3)="#N/A N/A","NA  ",(_xll.BDP($D154,$D$150, "EQY_FUND_RELATIVE_PERIOD", AB$3))),AB154),"NA ")</f>
        <v>5.2727007724821462</v>
      </c>
      <c r="AC154" s="244">
        <f ca="1">IFERROR(IF(BB_Switch=1,IF(_xll.BDP($D154,$D$150, "EQY_FUND_RELATIVE_PERIOD", AC$3)="#N/A N/A","NA  ",(_xll.BDP($D154,$D$150, "EQY_FUND_RELATIVE_PERIOD", AC$3))),AC154),"NA ")</f>
        <v>4.2220923436586792</v>
      </c>
      <c r="AD154" s="244">
        <f ca="1">IFERROR(IF(BB_Switch=1,IF(_xll.BDP($D154,$D$150, "EQY_FUND_RELATIVE_PERIOD", AD$3)="#N/A N/A","NA  ",(_xll.BDP($D154,$D$150, "EQY_FUND_RELATIVE_PERIOD", AD$3))),AD154),"NA ")</f>
        <v>2.5270280841742943</v>
      </c>
      <c r="AE154" s="244">
        <f ca="1">IFERROR(IF(BB_Switch=1,IF(_xll.BDP($D154,$D$150, "EQY_FUND_RELATIVE_PERIOD", AE$3)="#N/A N/A","NA  ",(_xll.BDP($D154,$D$150, "EQY_FUND_RELATIVE_PERIOD", AE$3))),AE154),"NA ")</f>
        <v>4.1543010152850606</v>
      </c>
      <c r="AF154" s="235">
        <f t="shared" ca="1" si="46"/>
        <v>2.9487016870901424</v>
      </c>
      <c r="AG154" s="248"/>
      <c r="AH154" s="244"/>
      <c r="AI154" s="244"/>
      <c r="AJ154" s="244"/>
    </row>
    <row r="155" spans="2:39" ht="11.25" customHeight="1">
      <c r="C155" s="229" t="str">
        <f ca="1">IFERROR(IF(BB_Switch=1,_xll.BDP($D155,$C$270),C155), "NA ")</f>
        <v>LyondellBasell Industries NV</v>
      </c>
      <c r="D155" s="227" t="str">
        <f t="shared" si="45"/>
        <v>LYB US EQUITY</v>
      </c>
      <c r="E155" s="244">
        <f ca="1">IFERROR(IF(BB_Switch=1,IF(_xll.BDP($D155,$D$150, "EQY_FUND_RELATIVE_PERIOD", E$3)="#N/A N/A","NA  ",(_xll.BDP($D155,$D$150, "EQY_FUND_RELATIVE_PERIOD", E$3))),E155),"NA ")</f>
        <v>1.5048317227590804</v>
      </c>
      <c r="F155" s="244">
        <f ca="1">IFERROR(IF(BB_Switch=1,IF(_xll.BDP($D155,$D$150, "EQY_FUND_RELATIVE_PERIOD", F$3)="#N/A N/A","NA  ",(_xll.BDP($D155,$D$150, "EQY_FUND_RELATIVE_PERIOD", F$3))),F155),"NA ")</f>
        <v>1.462072304712718</v>
      </c>
      <c r="G155" s="244">
        <f ca="1">IFERROR(IF(BB_Switch=1,IF(_xll.BDP($D155,$D$150, "EQY_FUND_RELATIVE_PERIOD", G$3)="#N/A N/A","NA  ",(_xll.BDP($D155,$D$150, "EQY_FUND_RELATIVE_PERIOD", G$3))),G155),"NA ")</f>
        <v>1.4114946168461051</v>
      </c>
      <c r="H155" s="244">
        <f ca="1">IFERROR(IF(BB_Switch=1,IF(_xll.BDP($D155,$D$150, "EQY_FUND_RELATIVE_PERIOD", H$3)="#N/A N/A","NA  ",(_xll.BDP($D155,$D$150, "EQY_FUND_RELATIVE_PERIOD", H$3))),H155),"NA ")</f>
        <v>1.299216159179982</v>
      </c>
      <c r="I155" s="244">
        <f ca="1">IFERROR(IF(BB_Switch=1,IF(_xll.BDP($D155,$D$150, "EQY_FUND_RELATIVE_PERIOD", I$3)="#N/A N/A","NA  ",(_xll.BDP($D155,$D$150, "EQY_FUND_RELATIVE_PERIOD", I$3))),I155),"NA ")</f>
        <v>1.2444733420026008</v>
      </c>
      <c r="J155" s="244">
        <f ca="1">IFERROR(IF(BB_Switch=1,IF(_xll.BDP($D155,$D$150, "EQY_FUND_RELATIVE_PERIOD", J$3)="#N/A N/A","NA  ",(_xll.BDP($D155,$D$150, "EQY_FUND_RELATIVE_PERIOD", J$3))),J155),"NA ")</f>
        <v>1.2227949599083621</v>
      </c>
      <c r="K155" s="244">
        <f ca="1">IFERROR(IF(BB_Switch=1,IF(_xll.BDP($D155,$D$150, "EQY_FUND_RELATIVE_PERIOD", K$3)="#N/A N/A","NA  ",(_xll.BDP($D155,$D$150, "EQY_FUND_RELATIVE_PERIOD", K$3))),K155),"NA ")</f>
        <v>1.2412657502863689</v>
      </c>
      <c r="L155" s="244">
        <f ca="1">IFERROR(IF(BB_Switch=1,IF(_xll.BDP($D155,$D$150, "EQY_FUND_RELATIVE_PERIOD", L$3)="#N/A N/A","NA  ",(_xll.BDP($D155,$D$150, "EQY_FUND_RELATIVE_PERIOD", L$3))),L155),"NA ")</f>
        <v>1.4504017305315204</v>
      </c>
      <c r="M155" s="244">
        <f ca="1">IFERROR(IF(BB_Switch=1,IF(_xll.BDP($D155,$D$150, "EQY_FUND_RELATIVE_PERIOD", M$3)="#N/A N/A","NA  ",(_xll.BDP($D155,$D$150, "EQY_FUND_RELATIVE_PERIOD", M$3))),M155),"NA ")</f>
        <v>1.7966447162119787</v>
      </c>
      <c r="N155" s="244">
        <f ca="1">IFERROR(IF(BB_Switch=1,IF(_xll.BDP($D155,$D$150, "EQY_FUND_RELATIVE_PERIOD", N$3)="#N/A N/A","NA  ",(_xll.BDP($D155,$D$150, "EQY_FUND_RELATIVE_PERIOD", N$3))),N155),"NA ")</f>
        <v>2.0117508813160989</v>
      </c>
      <c r="O155" s="244">
        <f ca="1">IFERROR(IF(BB_Switch=1,IF(_xll.BDP($D155,$D$150, "EQY_FUND_RELATIVE_PERIOD", O$3)="#N/A N/A","NA  ",(_xll.BDP($D155,$D$150, "EQY_FUND_RELATIVE_PERIOD", O$3))),O155),"NA ")</f>
        <v>2.3523002421307506</v>
      </c>
      <c r="P155" s="244">
        <f ca="1">IFERROR(IF(BB_Switch=1,IF(_xll.BDP($D155,$D$150, "EQY_FUND_RELATIVE_PERIOD", P$3)="#N/A N/A","NA  ",(_xll.BDP($D155,$D$150, "EQY_FUND_RELATIVE_PERIOD", P$3))),P155),"NA ")</f>
        <v>2.3387987573351743</v>
      </c>
      <c r="Q155" s="244"/>
      <c r="R155" s="244"/>
      <c r="S155" s="244"/>
      <c r="T155" s="244"/>
      <c r="U155" s="219"/>
      <c r="V155" s="244">
        <f ca="1">IFERROR(IF(BB_Switch=1,IF(_xll.BDP($D155,$D$150, "EQY_FUND_RELATIVE_PERIOD", V$3)="#N/A N/A","NA  ",(_xll.BDP($D155,$D$150, "EQY_FUND_RELATIVE_PERIOD", V$3))),V155),"NA ")</f>
        <v>1.4954511925252028</v>
      </c>
      <c r="W155" s="244">
        <f ca="1">IFERROR(IF(BB_Switch=1,IF(_xll.BDP($D155,$D$150, "EQY_FUND_RELATIVE_PERIOD", W$3)="#N/A N/A","NA  ",(_xll.BDP($D155,$D$150, "EQY_FUND_RELATIVE_PERIOD", W$3))),W155),"NA ")</f>
        <v>0.76537585421412302</v>
      </c>
      <c r="X155" s="244">
        <f ca="1">IFERROR(IF(BB_Switch=1,IF(_xll.BDP($D155,$D$150, "EQY_FUND_RELATIVE_PERIOD", X$3)="#N/A N/A","NA  ",(_xll.BDP($D155,$D$150, "EQY_FUND_RELATIVE_PERIOD", X$3))),X155),"NA ")</f>
        <v>0.77752253048241737</v>
      </c>
      <c r="Y155" s="244">
        <f ca="1">IFERROR(IF(BB_Switch=1,IF(_xll.BDP($D155,$D$150, "EQY_FUND_RELATIVE_PERIOD", Y$3)="#N/A N/A","NA  ",(_xll.BDP($D155,$D$150, "EQY_FUND_RELATIVE_PERIOD", Y$3))),Y155),"NA ")</f>
        <v>0.95296423321901025</v>
      </c>
      <c r="Z155" s="244">
        <f ca="1">IFERROR(IF(BB_Switch=1,IF(_xll.BDP($D155,$D$150, "EQY_FUND_RELATIVE_PERIOD", Z$3)="#N/A N/A","NA  ",(_xll.BDP($D155,$D$150, "EQY_FUND_RELATIVE_PERIOD", Z$3))),Z155),"NA ")</f>
        <v>1.0429311621021466</v>
      </c>
      <c r="AA155" s="244">
        <f ca="1">IFERROR(IF(BB_Switch=1,IF(_xll.BDP($D155,$D$150, "EQY_FUND_RELATIVE_PERIOD", AA$3)="#N/A N/A","NA  ",(_xll.BDP($D155,$D$150, "EQY_FUND_RELATIVE_PERIOD", AA$3))),AA155),"NA ")</f>
        <v>1.1198214534802622</v>
      </c>
      <c r="AB155" s="244">
        <f ca="1">IFERROR(IF(BB_Switch=1,IF(_xll.BDP($D155,$D$150, "EQY_FUND_RELATIVE_PERIOD", AB$3)="#N/A N/A","NA  ",(_xll.BDP($D155,$D$150, "EQY_FUND_RELATIVE_PERIOD", AB$3))),AB155),"NA ")</f>
        <v>1.4665251469627694</v>
      </c>
      <c r="AC155" s="244">
        <f ca="1">IFERROR(IF(BB_Switch=1,IF(_xll.BDP($D155,$D$150, "EQY_FUND_RELATIVE_PERIOD", AC$3)="#N/A N/A","NA  ",(_xll.BDP($D155,$D$150, "EQY_FUND_RELATIVE_PERIOD", AC$3))),AC155),"NA ")</f>
        <v>1.299216159179982</v>
      </c>
      <c r="AD155" s="244">
        <f ca="1">IFERROR(IF(BB_Switch=1,IF(_xll.BDP($D155,$D$150, "EQY_FUND_RELATIVE_PERIOD", AD$3)="#N/A N/A","NA  ",(_xll.BDP($D155,$D$150, "EQY_FUND_RELATIVE_PERIOD", AD$3))),AD155),"NA ")</f>
        <v>1.4504017305315204</v>
      </c>
      <c r="AE155" s="244">
        <f ca="1">IFERROR(IF(BB_Switch=1,IF(_xll.BDP($D155,$D$150, "EQY_FUND_RELATIVE_PERIOD", AE$3)="#N/A N/A","NA  ",(_xll.BDP($D155,$D$150, "EQY_FUND_RELATIVE_PERIOD", AE$3))),AE155),"NA ")</f>
        <v>2.3387987573351743</v>
      </c>
      <c r="AF155" s="235">
        <f t="shared" ca="1" si="46"/>
        <v>1.2709008220032609</v>
      </c>
      <c r="AG155" s="248"/>
      <c r="AH155" s="244"/>
      <c r="AI155" s="244"/>
      <c r="AJ155" s="244"/>
      <c r="AL155" s="468">
        <v>0.5</v>
      </c>
      <c r="AM155" s="217" t="s">
        <v>530</v>
      </c>
    </row>
    <row r="156" spans="2:39" ht="11.25" customHeight="1">
      <c r="C156" s="229" t="str">
        <f ca="1">IFERROR(IF(BB_Switch=1,_xll.BDP($D156,$C$270),C156), "NA ")</f>
        <v>Westlake Chemical Corp</v>
      </c>
      <c r="D156" s="227" t="str">
        <f t="shared" si="45"/>
        <v>WLK US EQUITY</v>
      </c>
      <c r="E156" s="244">
        <f ca="1">IFERROR(IF(BB_Switch=1,IF(_xll.BDP($D156,$D$150, "EQY_FUND_RELATIVE_PERIOD", E$3)="#N/A N/A","NA  ",(_xll.BDP($D156,$D$150, "EQY_FUND_RELATIVE_PERIOD", E$3))),E156),"NA ")</f>
        <v>3.3441119395363086</v>
      </c>
      <c r="F156" s="244">
        <f ca="1">IFERROR(IF(BB_Switch=1,IF(_xll.BDP($D156,$D$150, "EQY_FUND_RELATIVE_PERIOD", F$3)="#N/A N/A","NA  ",(_xll.BDP($D156,$D$150, "EQY_FUND_RELATIVE_PERIOD", F$3))),F156),"NA ")</f>
        <v>2.8171117400239907</v>
      </c>
      <c r="G156" s="244">
        <f ca="1">IFERROR(IF(BB_Switch=1,IF(_xll.BDP($D156,$D$150, "EQY_FUND_RELATIVE_PERIOD", G$3)="#N/A N/A","NA  ",(_xll.BDP($D156,$D$150, "EQY_FUND_RELATIVE_PERIOD", G$3))),G156),"NA ")</f>
        <v>2.0726112757807713</v>
      </c>
      <c r="H156" s="244">
        <f ca="1">IFERROR(IF(BB_Switch=1,IF(_xll.BDP($D156,$D$150, "EQY_FUND_RELATIVE_PERIOD", H$3)="#N/A N/A","NA  ",(_xll.BDP($D156,$D$150, "EQY_FUND_RELATIVE_PERIOD", H$3))),H156),"NA ")</f>
        <v>2.1013143483023002</v>
      </c>
      <c r="I156" s="244">
        <f ca="1">IFERROR(IF(BB_Switch=1,IF(_xll.BDP($D156,$D$150, "EQY_FUND_RELATIVE_PERIOD", I$3)="#N/A N/A","NA  ",(_xll.BDP($D156,$D$150, "EQY_FUND_RELATIVE_PERIOD", I$3))),I156),"NA ")</f>
        <v>1.5642821410705352</v>
      </c>
      <c r="J156" s="244">
        <f ca="1">IFERROR(IF(BB_Switch=1,IF(_xll.BDP($D156,$D$150, "EQY_FUND_RELATIVE_PERIOD", J$3)="#N/A N/A","NA  ",(_xll.BDP($D156,$D$150, "EQY_FUND_RELATIVE_PERIOD", J$3))),J156),"NA ")</f>
        <v>1.24</v>
      </c>
      <c r="K156" s="244">
        <f ca="1">IFERROR(IF(BB_Switch=1,IF(_xll.BDP($D156,$D$150, "EQY_FUND_RELATIVE_PERIOD", K$3)="#N/A N/A","NA  ",(_xll.BDP($D156,$D$150, "EQY_FUND_RELATIVE_PERIOD", K$3))),K156),"NA ")</f>
        <v>1.2183645500228415</v>
      </c>
      <c r="L156" s="244">
        <f ca="1">IFERROR(IF(BB_Switch=1,IF(_xll.BDP($D156,$D$150, "EQY_FUND_RELATIVE_PERIOD", L$3)="#N/A N/A","NA  ",(_xll.BDP($D156,$D$150, "EQY_FUND_RELATIVE_PERIOD", L$3))),L156),"NA ")</f>
        <v>1.3020985846754514</v>
      </c>
      <c r="M156" s="244">
        <f ca="1">IFERROR(IF(BB_Switch=1,IF(_xll.BDP($D156,$D$150, "EQY_FUND_RELATIVE_PERIOD", M$3)="#N/A N/A","NA  ",(_xll.BDP($D156,$D$150, "EQY_FUND_RELATIVE_PERIOD", M$3))),M156),"NA ")</f>
        <v>1.5638676844783714</v>
      </c>
      <c r="N156" s="244">
        <f ca="1">IFERROR(IF(BB_Switch=1,IF(_xll.BDP($D156,$D$150, "EQY_FUND_RELATIVE_PERIOD", N$3)="#N/A N/A","NA  ",(_xll.BDP($D156,$D$150, "EQY_FUND_RELATIVE_PERIOD", N$3))),N156),"NA ")</f>
        <v>1.7481396680022896</v>
      </c>
      <c r="O156" s="244">
        <f ca="1">IFERROR(IF(BB_Switch=1,IF(_xll.BDP($D156,$D$150, "EQY_FUND_RELATIVE_PERIOD", O$3)="#N/A N/A","NA  ",(_xll.BDP($D156,$D$150, "EQY_FUND_RELATIVE_PERIOD", O$3))),O156),"NA ")</f>
        <v>2.4249684741488022</v>
      </c>
      <c r="P156" s="244">
        <f ca="1">IFERROR(IF(BB_Switch=1,IF(_xll.BDP($D156,$D$150, "EQY_FUND_RELATIVE_PERIOD", P$3)="#N/A N/A","NA  ",(_xll.BDP($D156,$D$150, "EQY_FUND_RELATIVE_PERIOD", P$3))),P156),"NA ")</f>
        <v>2.6022727272727271</v>
      </c>
      <c r="Q156" s="244"/>
      <c r="R156" s="244"/>
      <c r="S156" s="244"/>
      <c r="T156" s="244"/>
      <c r="U156" s="219"/>
      <c r="V156" s="244">
        <f ca="1">IFERROR(IF(BB_Switch=1,IF(_xll.BDP($D156,$D$150, "EQY_FUND_RELATIVE_PERIOD", V$3)="#N/A N/A","NA  ",(_xll.BDP($D156,$D$150, "EQY_FUND_RELATIVE_PERIOD", V$3))),V156),"NA ")</f>
        <v>1.5075685866187072</v>
      </c>
      <c r="W156" s="244">
        <f ca="1">IFERROR(IF(BB_Switch=1,IF(_xll.BDP($D156,$D$150, "EQY_FUND_RELATIVE_PERIOD", W$3)="#N/A N/A","NA  ",(_xll.BDP($D156,$D$150, "EQY_FUND_RELATIVE_PERIOD", W$3))),W156),"NA ")</f>
        <v>1.3223318165387683</v>
      </c>
      <c r="X156" s="244">
        <f ca="1">IFERROR(IF(BB_Switch=1,IF(_xll.BDP($D156,$D$150, "EQY_FUND_RELATIVE_PERIOD", X$3)="#N/A N/A","NA  ",(_xll.BDP($D156,$D$150, "EQY_FUND_RELATIVE_PERIOD", X$3))),X156),"NA ")</f>
        <v>1.0050915130044795</v>
      </c>
      <c r="Y156" s="244">
        <f ca="1">IFERROR(IF(BB_Switch=1,IF(_xll.BDP($D156,$D$150, "EQY_FUND_RELATIVE_PERIOD", Y$3)="#N/A N/A","NA  ",(_xll.BDP($D156,$D$150, "EQY_FUND_RELATIVE_PERIOD", Y$3))),Y156),"NA ")</f>
        <v>0.68739156570128657</v>
      </c>
      <c r="Z156" s="244">
        <f ca="1">IFERROR(IF(BB_Switch=1,IF(_xll.BDP($D156,$D$150, "EQY_FUND_RELATIVE_PERIOD", Z$3)="#N/A N/A","NA  ",(_xll.BDP($D156,$D$150, "EQY_FUND_RELATIVE_PERIOD", Z$3))),Z156),"NA ")</f>
        <v>0.57336599430984547</v>
      </c>
      <c r="AA156" s="244">
        <f ca="1">IFERROR(IF(BB_Switch=1,IF(_xll.BDP($D156,$D$150, "EQY_FUND_RELATIVE_PERIOD", AA$3)="#N/A N/A","NA  ",(_xll.BDP($D156,$D$150, "EQY_FUND_RELATIVE_PERIOD", AA$3))),AA156),"NA ")</f>
        <v>0.62886368764018097</v>
      </c>
      <c r="AB156" s="244">
        <f ca="1">IFERROR(IF(BB_Switch=1,IF(_xll.BDP($D156,$D$150, "EQY_FUND_RELATIVE_PERIOD", AB$3)="#N/A N/A","NA  ",(_xll.BDP($D156,$D$150, "EQY_FUND_RELATIVE_PERIOD", AB$3))),AB156),"NA ")</f>
        <v>3.8279438085327784</v>
      </c>
      <c r="AC156" s="244">
        <f ca="1">IFERROR(IF(BB_Switch=1,IF(_xll.BDP($D156,$D$150, "EQY_FUND_RELATIVE_PERIOD", AC$3)="#N/A N/A","NA  ",(_xll.BDP($D156,$D$150, "EQY_FUND_RELATIVE_PERIOD", AC$3))),AC156),"NA ")</f>
        <v>2.1013143483023002</v>
      </c>
      <c r="AD156" s="244">
        <f ca="1">IFERROR(IF(BB_Switch=1,IF(_xll.BDP($D156,$D$150, "EQY_FUND_RELATIVE_PERIOD", AD$3)="#N/A N/A","NA  ",(_xll.BDP($D156,$D$150, "EQY_FUND_RELATIVE_PERIOD", AD$3))),AD156),"NA ")</f>
        <v>1.3020985846754514</v>
      </c>
      <c r="AE156" s="244">
        <f ca="1">IFERROR(IF(BB_Switch=1,IF(_xll.BDP($D156,$D$150, "EQY_FUND_RELATIVE_PERIOD", AE$3)="#N/A N/A","NA  ",(_xll.BDP($D156,$D$150, "EQY_FUND_RELATIVE_PERIOD", AE$3))),AE156),"NA ")</f>
        <v>2.6268556005398112</v>
      </c>
      <c r="AF156" s="235">
        <f t="shared" ca="1" si="46"/>
        <v>1.5582825505863611</v>
      </c>
      <c r="AG156" s="248"/>
      <c r="AH156" s="244"/>
      <c r="AI156" s="244"/>
      <c r="AJ156" s="244"/>
      <c r="AL156" s="469">
        <v>6</v>
      </c>
      <c r="AM156" s="217" t="s">
        <v>529</v>
      </c>
    </row>
    <row r="157" spans="2:39" ht="11.25" customHeight="1">
      <c r="C157" s="229" t="str">
        <f ca="1">IFERROR(IF(BB_Switch=1,_xll.BDP($D157,$C$270),C157), "NA ")</f>
        <v>Kraton Corp</v>
      </c>
      <c r="D157" s="227" t="str">
        <f t="shared" si="45"/>
        <v>KRA US EQUITY</v>
      </c>
      <c r="E157" s="244">
        <f ca="1">IFERROR(IF(BB_Switch=1,IF(_xll.BDP($D157,$D$150, "EQY_FUND_RELATIVE_PERIOD", E$3)="#N/A N/A","NA  ",(_xll.BDP($D157,$D$150, "EQY_FUND_RELATIVE_PERIOD", E$3))),E157),"NA ")</f>
        <v>5.5362255790033039</v>
      </c>
      <c r="F157" s="244">
        <f ca="1">IFERROR(IF(BB_Switch=1,IF(_xll.BDP($D157,$D$150, "EQY_FUND_RELATIVE_PERIOD", F$3)="#N/A N/A","NA  ",(_xll.BDP($D157,$D$150, "EQY_FUND_RELATIVE_PERIOD", F$3))),F157),"NA ")</f>
        <v>5.3218236103111449</v>
      </c>
      <c r="G157" s="244">
        <f ca="1">IFERROR(IF(BB_Switch=1,IF(_xll.BDP($D157,$D$150, "EQY_FUND_RELATIVE_PERIOD", G$3)="#N/A N/A","NA  ",(_xll.BDP($D157,$D$150, "EQY_FUND_RELATIVE_PERIOD", G$3))),G157),"NA ")</f>
        <v>5.0892748661565301</v>
      </c>
      <c r="H157" s="244">
        <f ca="1">IFERROR(IF(BB_Switch=1,IF(_xll.BDP($D157,$D$150, "EQY_FUND_RELATIVE_PERIOD", H$3)="#N/A N/A","NA  ",(_xll.BDP($D157,$D$150, "EQY_FUND_RELATIVE_PERIOD", H$3))),H157),"NA ")</f>
        <v>4.7206971626693441</v>
      </c>
      <c r="I157" s="244">
        <f ca="1">IFERROR(IF(BB_Switch=1,IF(_xll.BDP($D157,$D$150, "EQY_FUND_RELATIVE_PERIOD", I$3)="#N/A N/A","NA  ",(_xll.BDP($D157,$D$150, "EQY_FUND_RELATIVE_PERIOD", I$3))),I157),"NA ")</f>
        <v>4.6647304866201793</v>
      </c>
      <c r="J157" s="244">
        <f ca="1">IFERROR(IF(BB_Switch=1,IF(_xll.BDP($D157,$D$150, "EQY_FUND_RELATIVE_PERIOD", J$3)="#N/A N/A","NA  ",(_xll.BDP($D157,$D$150, "EQY_FUND_RELATIVE_PERIOD", J$3))),J157),"NA ")</f>
        <v>4.4779292605201046</v>
      </c>
      <c r="K157" s="244">
        <f ca="1">IFERROR(IF(BB_Switch=1,IF(_xll.BDP($D157,$D$150, "EQY_FUND_RELATIVE_PERIOD", K$3)="#N/A N/A","NA  ",(_xll.BDP($D157,$D$150, "EQY_FUND_RELATIVE_PERIOD", K$3))),K157),"NA ")</f>
        <v>3.9586651012738887</v>
      </c>
      <c r="L157" s="244">
        <f ca="1">IFERROR(IF(BB_Switch=1,IF(_xll.BDP($D157,$D$150, "EQY_FUND_RELATIVE_PERIOD", L$3)="#N/A N/A","NA  ",(_xll.BDP($D157,$D$150, "EQY_FUND_RELATIVE_PERIOD", L$3))),L157),"NA ")</f>
        <v>3.9083066424578723</v>
      </c>
      <c r="M157" s="244">
        <f ca="1">IFERROR(IF(BB_Switch=1,IF(_xll.BDP($D157,$D$150, "EQY_FUND_RELATIVE_PERIOD", M$3)="#N/A N/A","NA  ",(_xll.BDP($D157,$D$150, "EQY_FUND_RELATIVE_PERIOD", M$3))),M157),"NA ")</f>
        <v>4.2124671342083495</v>
      </c>
      <c r="N157" s="244">
        <f ca="1">IFERROR(IF(BB_Switch=1,IF(_xll.BDP($D157,$D$150, "EQY_FUND_RELATIVE_PERIOD", N$3)="#N/A N/A","NA  ",(_xll.BDP($D157,$D$150, "EQY_FUND_RELATIVE_PERIOD", N$3))),N157),"NA ")</f>
        <v>4.4325421190152996</v>
      </c>
      <c r="O157" s="244">
        <f ca="1">IFERROR(IF(BB_Switch=1,IF(_xll.BDP($D157,$D$150, "EQY_FUND_RELATIVE_PERIOD", O$3)="#N/A N/A","NA  ",(_xll.BDP($D157,$D$150, "EQY_FUND_RELATIVE_PERIOD", O$3))),O157),"NA ")</f>
        <v>4.53821384184078</v>
      </c>
      <c r="P157" s="244">
        <f ca="1">IFERROR(IF(BB_Switch=1,IF(_xll.BDP($D157,$D$150, "EQY_FUND_RELATIVE_PERIOD", P$3)="#N/A N/A","NA  ",(_xll.BDP($D157,$D$150, "EQY_FUND_RELATIVE_PERIOD", P$3))),P157),"NA ")</f>
        <v>4.5706996946901253</v>
      </c>
      <c r="Q157" s="219"/>
      <c r="R157" s="219"/>
      <c r="S157" s="219"/>
      <c r="T157" s="219"/>
      <c r="U157" s="219"/>
      <c r="V157" s="244">
        <f ca="1">IFERROR(IF(BB_Switch=1,IF(_xll.BDP($D157,$D$150, "EQY_FUND_RELATIVE_PERIOD", V$3)="#N/A N/A","NA  ",(_xll.BDP($D157,$D$150, "EQY_FUND_RELATIVE_PERIOD", V$3))),V157),"NA ")</f>
        <v>2.0734449501517118</v>
      </c>
      <c r="W157" s="244">
        <f ca="1">IFERROR(IF(BB_Switch=1,IF(_xll.BDP($D157,$D$150, "EQY_FUND_RELATIVE_PERIOD", W$3)="#N/A N/A","NA  ",(_xll.BDP($D157,$D$150, "EQY_FUND_RELATIVE_PERIOD", W$3))),W157),"NA ")</f>
        <v>2.1036101702182393</v>
      </c>
      <c r="X157" s="244">
        <f ca="1">IFERROR(IF(BB_Switch=1,IF(_xll.BDP($D157,$D$150, "EQY_FUND_RELATIVE_PERIOD", X$3)="#N/A N/A","NA  ",(_xll.BDP($D157,$D$150, "EQY_FUND_RELATIVE_PERIOD", X$3))),X157),"NA ")</f>
        <v>4.6765620787623643</v>
      </c>
      <c r="Y157" s="244">
        <f ca="1">IFERROR(IF(BB_Switch=1,IF(_xll.BDP($D157,$D$150, "EQY_FUND_RELATIVE_PERIOD", Y$3)="#N/A N/A","NA  ",(_xll.BDP($D157,$D$150, "EQY_FUND_RELATIVE_PERIOD", Y$3))),Y157),"NA ")</f>
        <v>3.9948900974393835</v>
      </c>
      <c r="Z157" s="244">
        <f ca="1">IFERROR(IF(BB_Switch=1,IF(_xll.BDP($D157,$D$150, "EQY_FUND_RELATIVE_PERIOD", Z$3)="#N/A N/A","NA  ",(_xll.BDP($D157,$D$150, "EQY_FUND_RELATIVE_PERIOD", Z$3))),Z157),"NA ")</f>
        <v>3.6366567793544653</v>
      </c>
      <c r="AA157" s="244">
        <f ca="1">IFERROR(IF(BB_Switch=1,IF(_xll.BDP($D157,$D$150, "EQY_FUND_RELATIVE_PERIOD", AA$3)="#N/A N/A","NA  ",(_xll.BDP($D157,$D$150, "EQY_FUND_RELATIVE_PERIOD", AA$3))),AA157),"NA ")</f>
        <v>5.175688461729993</v>
      </c>
      <c r="AB157" s="244">
        <f ca="1">IFERROR(IF(BB_Switch=1,IF(_xll.BDP($D157,$D$150, "EQY_FUND_RELATIVE_PERIOD", AB$3)="#N/A N/A","NA  ",(_xll.BDP($D157,$D$150, "EQY_FUND_RELATIVE_PERIOD", AB$3))),AB157),"NA ")</f>
        <v>6.6417152522441008</v>
      </c>
      <c r="AC157" s="244">
        <f ca="1">IFERROR(IF(BB_Switch=1,IF(_xll.BDP($D157,$D$150, "EQY_FUND_RELATIVE_PERIOD", AC$3)="#N/A N/A","NA  ",(_xll.BDP($D157,$D$150, "EQY_FUND_RELATIVE_PERIOD", AC$3))),AC157),"NA ")</f>
        <v>4.7206971626693441</v>
      </c>
      <c r="AD157" s="244">
        <f ca="1">IFERROR(IF(BB_Switch=1,IF(_xll.BDP($D157,$D$150, "EQY_FUND_RELATIVE_PERIOD", AD$3)="#N/A N/A","NA  ",(_xll.BDP($D157,$D$150, "EQY_FUND_RELATIVE_PERIOD", AD$3))),AD157),"NA ")</f>
        <v>3.9083066424578723</v>
      </c>
      <c r="AE157" s="244">
        <f ca="1">IFERROR(IF(BB_Switch=1,IF(_xll.BDP($D157,$D$150, "EQY_FUND_RELATIVE_PERIOD", AE$3)="#N/A N/A","NA  ",(_xll.BDP($D157,$D$150, "EQY_FUND_RELATIVE_PERIOD", AE$3))),AE157),"NA ")</f>
        <v>4.8113505113992154</v>
      </c>
      <c r="AF157" s="235">
        <f t="shared" ca="1" si="46"/>
        <v>3.900134094909177</v>
      </c>
      <c r="AG157" s="239"/>
      <c r="AH157" s="239"/>
      <c r="AI157" s="239"/>
      <c r="AJ157" s="239"/>
    </row>
    <row r="158" spans="2:39" ht="11.25" customHeight="1">
      <c r="C158" s="229" t="str">
        <f ca="1">IFERROR(IF(BB_Switch=1,_xll.BDP($D158,$C$270),C158), "NA ")</f>
        <v>Dow Inc</v>
      </c>
      <c r="D158" s="227" t="str">
        <f t="shared" si="45"/>
        <v>DOW US EQUITY</v>
      </c>
      <c r="E158" s="244" t="str">
        <f ca="1">IFERROR(IF(BB_Switch=1,IF(_xll.BDP($D158,$D$150, "EQY_FUND_RELATIVE_PERIOD", E$3)="#N/A N/A","NA  ",(_xll.BDP($D158,$D$150, "EQY_FUND_RELATIVE_PERIOD", E$3))),E158),"NA ")</f>
        <v xml:space="preserve">NA  </v>
      </c>
      <c r="F158" s="244" t="str">
        <f ca="1">IFERROR(IF(BB_Switch=1,IF(_xll.BDP($D158,$D$150, "EQY_FUND_RELATIVE_PERIOD", F$3)="#N/A N/A","NA  ",(_xll.BDP($D158,$D$150, "EQY_FUND_RELATIVE_PERIOD", F$3))),F158),"NA ")</f>
        <v xml:space="preserve">NA  </v>
      </c>
      <c r="G158" s="244" t="str">
        <f ca="1">IFERROR(IF(BB_Switch=1,IF(_xll.BDP($D158,$D$150, "EQY_FUND_RELATIVE_PERIOD", G$3)="#N/A N/A","NA  ",(_xll.BDP($D158,$D$150, "EQY_FUND_RELATIVE_PERIOD", G$3))),G158),"NA ")</f>
        <v xml:space="preserve">NA  </v>
      </c>
      <c r="H158" s="244" t="str">
        <f ca="1">IFERROR(IF(BB_Switch=1,IF(_xll.BDP($D158,$D$150, "EQY_FUND_RELATIVE_PERIOD", H$3)="#N/A N/A","NA  ",(_xll.BDP($D158,$D$150, "EQY_FUND_RELATIVE_PERIOD", H$3))),H158),"NA ")</f>
        <v xml:space="preserve">NA  </v>
      </c>
      <c r="I158" s="244" t="str">
        <f ca="1">IFERROR(IF(BB_Switch=1,IF(_xll.BDP($D158,$D$150, "EQY_FUND_RELATIVE_PERIOD", I$3)="#N/A N/A","NA  ",(_xll.BDP($D158,$D$150, "EQY_FUND_RELATIVE_PERIOD", I$3))),I158),"NA ")</f>
        <v xml:space="preserve">NA  </v>
      </c>
      <c r="J158" s="244" t="str">
        <f ca="1">IFERROR(IF(BB_Switch=1,IF(_xll.BDP($D158,$D$150, "EQY_FUND_RELATIVE_PERIOD", J$3)="#N/A N/A","NA  ",(_xll.BDP($D158,$D$150, "EQY_FUND_RELATIVE_PERIOD", J$3))),J158),"NA ")</f>
        <v xml:space="preserve">NA  </v>
      </c>
      <c r="K158" s="244" t="str">
        <f ca="1">IFERROR(IF(BB_Switch=1,IF(_xll.BDP($D158,$D$150, "EQY_FUND_RELATIVE_PERIOD", K$3)="#N/A N/A","NA  ",(_xll.BDP($D158,$D$150, "EQY_FUND_RELATIVE_PERIOD", K$3))),K158),"NA ")</f>
        <v xml:space="preserve">NA  </v>
      </c>
      <c r="L158" s="244">
        <f ca="1">IFERROR(IF(BB_Switch=1,IF(_xll.BDP($D158,$D$150, "EQY_FUND_RELATIVE_PERIOD", L$3)="#N/A N/A","NA  ",(_xll.BDP($D158,$D$150, "EQY_FUND_RELATIVE_PERIOD", L$3))),L158),"NA ")</f>
        <v>2.8275518908160362</v>
      </c>
      <c r="M158" s="244" t="str">
        <f ca="1">IFERROR(IF(BB_Switch=1,IF(_xll.BDP($D158,$D$150, "EQY_FUND_RELATIVE_PERIOD", M$3)="#N/A N/A","NA  ",(_xll.BDP($D158,$D$150, "EQY_FUND_RELATIVE_PERIOD", M$3))),M158),"NA ")</f>
        <v xml:space="preserve">NA  </v>
      </c>
      <c r="N158" s="244">
        <f ca="1">IFERROR(IF(BB_Switch=1,IF(_xll.BDP($D158,$D$150, "EQY_FUND_RELATIVE_PERIOD", N$3)="#N/A N/A","NA  ",(_xll.BDP($D158,$D$150, "EQY_FUND_RELATIVE_PERIOD", N$3))),N158),"NA ")</f>
        <v>3.2103004291845494</v>
      </c>
      <c r="O158" s="244">
        <f ca="1">IFERROR(IF(BB_Switch=1,IF(_xll.BDP($D158,$D$150, "EQY_FUND_RELATIVE_PERIOD", O$3)="#N/A N/A","NA  ",(_xll.BDP($D158,$D$150, "EQY_FUND_RELATIVE_PERIOD", O$3))),O158),"NA ")</f>
        <v>3.6271034729681344</v>
      </c>
      <c r="P158" s="244">
        <f ca="1">IFERROR(IF(BB_Switch=1,IF(_xll.BDP($D158,$D$150, "EQY_FUND_RELATIVE_PERIOD", P$3)="#N/A N/A","NA  ",(_xll.BDP($D158,$D$150, "EQY_FUND_RELATIVE_PERIOD", P$3))),P158),"NA ")</f>
        <v>6.8914737978174845</v>
      </c>
      <c r="Q158" s="219"/>
      <c r="R158" s="219"/>
      <c r="S158" s="219"/>
      <c r="T158" s="219"/>
      <c r="U158" s="219"/>
      <c r="V158" s="244" t="str">
        <f ca="1">IFERROR(IF(BB_Switch=1,IF(_xll.BDP($D158,$D$150, "EQY_FUND_RELATIVE_PERIOD", V$3)="#N/A N/A","NA  ",(_xll.BDP($D158,$D$150, "EQY_FUND_RELATIVE_PERIOD", V$3))),V158),"NA ")</f>
        <v xml:space="preserve">NA  </v>
      </c>
      <c r="W158" s="244" t="str">
        <f ca="1">IFERROR(IF(BB_Switch=1,IF(_xll.BDP($D158,$D$150, "EQY_FUND_RELATIVE_PERIOD", W$3)="#N/A N/A","NA  ",(_xll.BDP($D158,$D$150, "EQY_FUND_RELATIVE_PERIOD", W$3))),W158),"NA ")</f>
        <v xml:space="preserve">NA  </v>
      </c>
      <c r="X158" s="244" t="str">
        <f ca="1">IFERROR(IF(BB_Switch=1,IF(_xll.BDP($D158,$D$150, "EQY_FUND_RELATIVE_PERIOD", X$3)="#N/A N/A","NA  ",(_xll.BDP($D158,$D$150, "EQY_FUND_RELATIVE_PERIOD", X$3))),X158),"NA ")</f>
        <v xml:space="preserve">NA  </v>
      </c>
      <c r="Y158" s="244" t="str">
        <f ca="1">IFERROR(IF(BB_Switch=1,IF(_xll.BDP($D158,$D$150, "EQY_FUND_RELATIVE_PERIOD", Y$3)="#N/A N/A","NA  ",(_xll.BDP($D158,$D$150, "EQY_FUND_RELATIVE_PERIOD", Y$3))),Y158),"NA ")</f>
        <v xml:space="preserve">NA  </v>
      </c>
      <c r="Z158" s="244" t="str">
        <f ca="1">IFERROR(IF(BB_Switch=1,IF(_xll.BDP($D158,$D$150, "EQY_FUND_RELATIVE_PERIOD", Z$3)="#N/A N/A","NA  ",(_xll.BDP($D158,$D$150, "EQY_FUND_RELATIVE_PERIOD", Z$3))),Z158),"NA ")</f>
        <v xml:space="preserve">NA  </v>
      </c>
      <c r="AA158" s="244" t="str">
        <f ca="1">IFERROR(IF(BB_Switch=1,IF(_xll.BDP($D158,$D$150, "EQY_FUND_RELATIVE_PERIOD", AA$3)="#N/A N/A","NA  ",(_xll.BDP($D158,$D$150, "EQY_FUND_RELATIVE_PERIOD", AA$3))),AA158),"NA ")</f>
        <v xml:space="preserve">NA  </v>
      </c>
      <c r="AB158" s="244" t="str">
        <f ca="1">IFERROR(IF(BB_Switch=1,IF(_xll.BDP($D158,$D$150, "EQY_FUND_RELATIVE_PERIOD", AB$3)="#N/A N/A","NA  ",(_xll.BDP($D158,$D$150, "EQY_FUND_RELATIVE_PERIOD", AB$3))),AB158),"NA ")</f>
        <v xml:space="preserve">NA  </v>
      </c>
      <c r="AC158" s="244" t="str">
        <f ca="1">IFERROR(IF(BB_Switch=1,IF(_xll.BDP($D158,$D$150, "EQY_FUND_RELATIVE_PERIOD", AC$3)="#N/A N/A","NA  ",(_xll.BDP($D158,$D$150, "EQY_FUND_RELATIVE_PERIOD", AC$3))),AC158),"NA ")</f>
        <v xml:space="preserve">NA  </v>
      </c>
      <c r="AD158" s="244">
        <f ca="1">IFERROR(IF(BB_Switch=1,IF(_xll.BDP($D158,$D$150, "EQY_FUND_RELATIVE_PERIOD", AD$3)="#N/A N/A","NA  ",(_xll.BDP($D158,$D$150, "EQY_FUND_RELATIVE_PERIOD", AD$3))),AD158),"NA ")</f>
        <v>2.8461648540354894</v>
      </c>
      <c r="AE158" s="244">
        <f ca="1">IFERROR(IF(BB_Switch=1,IF(_xll.BDP($D158,$D$150, "EQY_FUND_RELATIVE_PERIOD", AE$3)="#N/A N/A","NA  ",(_xll.BDP($D158,$D$150, "EQY_FUND_RELATIVE_PERIOD", AE$3))),AE158),"NA ")</f>
        <v>7.084319526627219</v>
      </c>
      <c r="AF158" s="235">
        <f t="shared" ca="1" si="46"/>
        <v>2.8461648540354894</v>
      </c>
      <c r="AG158" s="239"/>
      <c r="AH158" s="239"/>
      <c r="AI158" s="239"/>
      <c r="AJ158" s="239"/>
    </row>
    <row r="159" spans="2:39" ht="11.25" customHeight="1">
      <c r="C159" s="229"/>
      <c r="D159" s="229"/>
      <c r="E159" s="244"/>
      <c r="F159" s="244"/>
      <c r="G159" s="244"/>
      <c r="H159" s="244"/>
      <c r="I159" s="244"/>
      <c r="J159" s="244"/>
      <c r="K159" s="244"/>
      <c r="L159" s="244"/>
      <c r="M159" s="244"/>
      <c r="N159" s="244"/>
      <c r="O159" s="244"/>
      <c r="P159" s="244"/>
      <c r="Q159" s="219"/>
      <c r="R159" s="219"/>
      <c r="S159" s="219"/>
      <c r="T159" s="219"/>
      <c r="U159" s="219"/>
      <c r="V159" s="244"/>
      <c r="W159" s="244"/>
      <c r="X159" s="244"/>
      <c r="Y159" s="244"/>
      <c r="Z159" s="244"/>
      <c r="AA159" s="244"/>
      <c r="AB159" s="244"/>
      <c r="AC159" s="244"/>
      <c r="AD159" s="244"/>
      <c r="AE159" s="244"/>
      <c r="AF159" s="235"/>
      <c r="AG159" s="239"/>
      <c r="AH159" s="239"/>
      <c r="AI159" s="239"/>
      <c r="AJ159" s="239"/>
    </row>
    <row r="160" spans="2:39" ht="11.25" customHeight="1">
      <c r="C160" s="428" t="str">
        <f>+C20</f>
        <v>Specialty Chemicals</v>
      </c>
      <c r="D160" s="229"/>
      <c r="E160" s="244"/>
      <c r="F160" s="244"/>
      <c r="G160" s="244"/>
      <c r="H160" s="244"/>
      <c r="I160" s="244"/>
      <c r="J160" s="244"/>
      <c r="K160" s="244"/>
      <c r="L160" s="244"/>
      <c r="M160" s="244"/>
      <c r="N160" s="244"/>
      <c r="O160" s="244"/>
      <c r="P160" s="244"/>
      <c r="Q160" s="219"/>
      <c r="R160" s="219"/>
      <c r="S160" s="219"/>
      <c r="T160" s="219"/>
      <c r="U160" s="219"/>
      <c r="V160" s="244"/>
      <c r="W160" s="244"/>
      <c r="X160" s="244"/>
      <c r="Y160" s="244"/>
      <c r="Z160" s="244"/>
      <c r="AA160" s="244"/>
      <c r="AB160" s="244"/>
      <c r="AC160" s="244"/>
      <c r="AD160" s="244"/>
      <c r="AE160" s="244"/>
      <c r="AF160" s="235"/>
      <c r="AG160" s="239"/>
      <c r="AH160" s="239"/>
      <c r="AI160" s="239"/>
      <c r="AJ160" s="239"/>
    </row>
    <row r="161" spans="2:37" ht="11.25" customHeight="1">
      <c r="C161" s="229" t="str">
        <f ca="1">IFERROR(IF(BB_Switch=1,_xll.BDP($D161,$C$270),C161), "NA ")</f>
        <v>Eastman Chemical Co</v>
      </c>
      <c r="D161" s="227" t="str">
        <f>+D21</f>
        <v>EMN US EQUITY</v>
      </c>
      <c r="E161" s="244">
        <f ca="1">IFERROR(IF(BB_Switch=1,IF(_xll.BDP($D161,$D$150, "EQY_FUND_RELATIVE_PERIOD", E$3)="#N/A N/A","NA  ",(_xll.BDP($D161,$D$150, "EQY_FUND_RELATIVE_PERIOD", E$3))),E161),"NA ")</f>
        <v>3.4692540322580645</v>
      </c>
      <c r="F161" s="244">
        <f ca="1">IFERROR(IF(BB_Switch=1,IF(_xll.BDP($D161,$D$150, "EQY_FUND_RELATIVE_PERIOD", F$3)="#N/A N/A","NA  ",(_xll.BDP($D161,$D$150, "EQY_FUND_RELATIVE_PERIOD", F$3))),F161),"NA ")</f>
        <v>3.3865091088133923</v>
      </c>
      <c r="G161" s="244">
        <f ca="1">IFERROR(IF(BB_Switch=1,IF(_xll.BDP($D161,$D$150, "EQY_FUND_RELATIVE_PERIOD", G$3)="#N/A N/A","NA  ",(_xll.BDP($D161,$D$150, "EQY_FUND_RELATIVE_PERIOD", G$3))),G161),"NA ")</f>
        <v>3.1251167133520075</v>
      </c>
      <c r="H161" s="244">
        <f ca="1">IFERROR(IF(BB_Switch=1,IF(_xll.BDP($D161,$D$150, "EQY_FUND_RELATIVE_PERIOD", H$3)="#N/A N/A","NA  ",(_xll.BDP($D161,$D$150, "EQY_FUND_RELATIVE_PERIOD", H$3))),H161),"NA ")</f>
        <v>3.0873878129428438</v>
      </c>
      <c r="I161" s="244">
        <f ca="1">IFERROR(IF(BB_Switch=1,IF(_xll.BDP($D161,$D$150, "EQY_FUND_RELATIVE_PERIOD", I$3)="#N/A N/A","NA  ",(_xll.BDP($D161,$D$150, "EQY_FUND_RELATIVE_PERIOD", I$3))),I161),"NA ")</f>
        <v>3.2237335834896812</v>
      </c>
      <c r="J161" s="244">
        <f ca="1">IFERROR(IF(BB_Switch=1,IF(_xll.BDP($D161,$D$150, "EQY_FUND_RELATIVE_PERIOD", J$3)="#N/A N/A","NA  ",(_xll.BDP($D161,$D$150, "EQY_FUND_RELATIVE_PERIOD", J$3))),J161),"NA ")</f>
        <v>3.0349364791288567</v>
      </c>
      <c r="K161" s="244">
        <f ca="1">IFERROR(IF(BB_Switch=1,IF(_xll.BDP($D161,$D$150, "EQY_FUND_RELATIVE_PERIOD", K$3)="#N/A N/A","NA  ",(_xll.BDP($D161,$D$150, "EQY_FUND_RELATIVE_PERIOD", K$3))),K161),"NA ")</f>
        <v>2.9214474845542808</v>
      </c>
      <c r="L161" s="244">
        <f ca="1">IFERROR(IF(BB_Switch=1,IF(_xll.BDP($D161,$D$150, "EQY_FUND_RELATIVE_PERIOD", L$3)="#N/A N/A","NA  ",(_xll.BDP($D161,$D$150, "EQY_FUND_RELATIVE_PERIOD", L$3))),L161),"NA ")</f>
        <v>2.8510638297872339</v>
      </c>
      <c r="M161" s="244">
        <f ca="1">IFERROR(IF(BB_Switch=1,IF(_xll.BDP($D161,$D$150, "EQY_FUND_RELATIVE_PERIOD", M$3)="#N/A N/A","NA  ",(_xll.BDP($D161,$D$150, "EQY_FUND_RELATIVE_PERIOD", M$3))),M161),"NA ")</f>
        <v>3.1231273408239701</v>
      </c>
      <c r="N161" s="244">
        <f ca="1">IFERROR(IF(BB_Switch=1,IF(_xll.BDP($D161,$D$150, "EQY_FUND_RELATIVE_PERIOD", N$3)="#N/A N/A","NA  ",(_xll.BDP($D161,$D$150, "EQY_FUND_RELATIVE_PERIOD", N$3))),N161),"NA ")</f>
        <v>3.2359328726554786</v>
      </c>
      <c r="O161" s="244">
        <f ca="1">IFERROR(IF(BB_Switch=1,IF(_xll.BDP($D161,$D$150, "EQY_FUND_RELATIVE_PERIOD", O$3)="#N/A N/A","NA  ",(_xll.BDP($D161,$D$150, "EQY_FUND_RELATIVE_PERIOD", O$3))),O161),"NA ")</f>
        <v>3.4165333333333332</v>
      </c>
      <c r="P161" s="244">
        <f ca="1">IFERROR(IF(BB_Switch=1,IF(_xll.BDP($D161,$D$150, "EQY_FUND_RELATIVE_PERIOD", P$3)="#N/A N/A","NA  ",(_xll.BDP($D161,$D$150, "EQY_FUND_RELATIVE_PERIOD", P$3))),P161),"NA ")</f>
        <v>3.3113573407202215</v>
      </c>
      <c r="Q161" s="219"/>
      <c r="R161" s="219"/>
      <c r="S161" s="219"/>
      <c r="T161" s="219"/>
      <c r="U161" s="219"/>
      <c r="V161" s="244">
        <f ca="1">IFERROR(IF(BB_Switch=1,IF(_xll.BDP($D161,$D$150, "EQY_FUND_RELATIVE_PERIOD", V$3)="#N/A N/A","NA  ",(_xll.BDP($D161,$D$150, "EQY_FUND_RELATIVE_PERIOD", V$3))),V161),"NA ")</f>
        <v>1.4270462633451957</v>
      </c>
      <c r="W161" s="244">
        <f ca="1">IFERROR(IF(BB_Switch=1,IF(_xll.BDP($D161,$D$150, "EQY_FUND_RELATIVE_PERIOD", W$3)="#N/A N/A","NA  ",(_xll.BDP($D161,$D$150, "EQY_FUND_RELATIVE_PERIOD", W$3))),W161),"NA ")</f>
        <v>1.3206611570247935</v>
      </c>
      <c r="X161" s="244">
        <f ca="1">IFERROR(IF(BB_Switch=1,IF(_xll.BDP($D161,$D$150, "EQY_FUND_RELATIVE_PERIOD", X$3)="#N/A N/A","NA  ",(_xll.BDP($D161,$D$150, "EQY_FUND_RELATIVE_PERIOD", X$3))),X161),"NA ")</f>
        <v>4.1232758620689651</v>
      </c>
      <c r="Y161" s="244">
        <f ca="1">IFERROR(IF(BB_Switch=1,IF(_xll.BDP($D161,$D$150, "EQY_FUND_RELATIVE_PERIOD", Y$3)="#N/A N/A","NA  ",(_xll.BDP($D161,$D$150, "EQY_FUND_RELATIVE_PERIOD", Y$3))),Y161),"NA ")</f>
        <v>1.8535947712418301</v>
      </c>
      <c r="Z161" s="244">
        <f ca="1">IFERROR(IF(BB_Switch=1,IF(_xll.BDP($D161,$D$150, "EQY_FUND_RELATIVE_PERIOD", Z$3)="#N/A N/A","NA  ",(_xll.BDP($D161,$D$150, "EQY_FUND_RELATIVE_PERIOD", Z$3))),Z161),"NA ")</f>
        <v>4.6830024813895781</v>
      </c>
      <c r="AA161" s="244">
        <f ca="1">IFERROR(IF(BB_Switch=1,IF(_xll.BDP($D161,$D$150, "EQY_FUND_RELATIVE_PERIOD", AA$3)="#N/A N/A","NA  ",(_xll.BDP($D161,$D$150, "EQY_FUND_RELATIVE_PERIOD", AA$3))),AA161),"NA ")</f>
        <v>3.5846547314578006</v>
      </c>
      <c r="AB161" s="244">
        <f ca="1">IFERROR(IF(BB_Switch=1,IF(_xll.BDP($D161,$D$150, "EQY_FUND_RELATIVE_PERIOD", AB$3)="#N/A N/A","NA  ",(_xll.BDP($D161,$D$150, "EQY_FUND_RELATIVE_PERIOD", AB$3))),AB161),"NA ")</f>
        <v>3.357106469689251</v>
      </c>
      <c r="AC161" s="244">
        <f ca="1">IFERROR(IF(BB_Switch=1,IF(_xll.BDP($D161,$D$150, "EQY_FUND_RELATIVE_PERIOD", AC$3)="#N/A N/A","NA  ",(_xll.BDP($D161,$D$150, "EQY_FUND_RELATIVE_PERIOD", AC$3))),AC161),"NA ")</f>
        <v>3.0873878129428438</v>
      </c>
      <c r="AD161" s="244">
        <f ca="1">IFERROR(IF(BB_Switch=1,IF(_xll.BDP($D161,$D$150, "EQY_FUND_RELATIVE_PERIOD", AD$3)="#N/A N/A","NA  ",(_xll.BDP($D161,$D$150, "EQY_FUND_RELATIVE_PERIOD", AD$3))),AD161),"NA ")</f>
        <v>2.8589981447124306</v>
      </c>
      <c r="AE161" s="244">
        <f ca="1">IFERROR(IF(BB_Switch=1,IF(_xll.BDP($D161,$D$150, "EQY_FUND_RELATIVE_PERIOD", AE$3)="#N/A N/A","NA  ",(_xll.BDP($D161,$D$150, "EQY_FUND_RELATIVE_PERIOD", AE$3))),AE161),"NA ")</f>
        <v>3.3168701442841289</v>
      </c>
      <c r="AF161" s="235">
        <f t="shared" ca="1" si="46"/>
        <v>2.9612597838156813</v>
      </c>
      <c r="AG161" s="239"/>
      <c r="AH161" s="239"/>
      <c r="AI161" s="239"/>
      <c r="AJ161" s="239"/>
    </row>
    <row r="162" spans="2:37" ht="11.25" customHeight="1">
      <c r="C162" s="229" t="str">
        <f ca="1">IFERROR(IF(BB_Switch=1,_xll.BDP($D162,$C$270),C162), "NA ")</f>
        <v>Celanese Corp</v>
      </c>
      <c r="D162" s="227" t="str">
        <f>+D22</f>
        <v>CE US EQUITY</v>
      </c>
      <c r="E162" s="244">
        <f ca="1">IFERROR(IF(BB_Switch=1,IF(_xll.BDP($D162,$D$150, "EQY_FUND_RELATIVE_PERIOD", E$3)="#N/A N/A","NA  ",(_xll.BDP($D162,$D$150, "EQY_FUND_RELATIVE_PERIOD", E$3))),E162),"NA ")</f>
        <v>2.7112740604949588</v>
      </c>
      <c r="F162" s="244">
        <f ca="1">IFERROR(IF(BB_Switch=1,IF(_xll.BDP($D162,$D$150, "EQY_FUND_RELATIVE_PERIOD", F$3)="#N/A N/A","NA  ",(_xll.BDP($D162,$D$150, "EQY_FUND_RELATIVE_PERIOD", F$3))),F162),"NA ")</f>
        <v>3.0923507462686568</v>
      </c>
      <c r="G162" s="244">
        <f ca="1">IFERROR(IF(BB_Switch=1,IF(_xll.BDP($D162,$D$150, "EQY_FUND_RELATIVE_PERIOD", G$3)="#N/A N/A","NA  ",(_xll.BDP($D162,$D$150, "EQY_FUND_RELATIVE_PERIOD", G$3))),G162),"NA ")</f>
        <v>3.2001888574126536</v>
      </c>
      <c r="H162" s="244">
        <f ca="1">IFERROR(IF(BB_Switch=1,IF(_xll.BDP($D162,$D$150, "EQY_FUND_RELATIVE_PERIOD", H$3)="#N/A N/A","NA  ",(_xll.BDP($D162,$D$150, "EQY_FUND_RELATIVE_PERIOD", H$3))),H162),"NA ")</f>
        <v>3.1199657240788348</v>
      </c>
      <c r="I162" s="244">
        <f ca="1">IFERROR(IF(BB_Switch=1,IF(_xll.BDP($D162,$D$150, "EQY_FUND_RELATIVE_PERIOD", I$3)="#N/A N/A","NA  ",(_xll.BDP($D162,$D$150, "EQY_FUND_RELATIVE_PERIOD", I$3))),I162),"NA ")</f>
        <v>2.8394875659382066</v>
      </c>
      <c r="J162" s="244">
        <f ca="1">IFERROR(IF(BB_Switch=1,IF(_xll.BDP($D162,$D$150, "EQY_FUND_RELATIVE_PERIOD", J$3)="#N/A N/A","NA  ",(_xll.BDP($D162,$D$150, "EQY_FUND_RELATIVE_PERIOD", J$3))),J162),"NA ")</f>
        <v>2.4432358939496939</v>
      </c>
      <c r="K162" s="244">
        <f ca="1">IFERROR(IF(BB_Switch=1,IF(_xll.BDP($D162,$D$150, "EQY_FUND_RELATIVE_PERIOD", K$3)="#N/A N/A","NA  ",(_xll.BDP($D162,$D$150, "EQY_FUND_RELATIVE_PERIOD", K$3))),K162),"NA ")</f>
        <v>2.1038083538083536</v>
      </c>
      <c r="L162" s="244">
        <f ca="1">IFERROR(IF(BB_Switch=1,IF(_xll.BDP($D162,$D$150, "EQY_FUND_RELATIVE_PERIOD", L$3)="#N/A N/A","NA  ",(_xll.BDP($D162,$D$150, "EQY_FUND_RELATIVE_PERIOD", L$3))),L162),"NA ")</f>
        <v>2.0980392156862746</v>
      </c>
      <c r="M162" s="244">
        <f ca="1">IFERROR(IF(BB_Switch=1,IF(_xll.BDP($D162,$D$150, "EQY_FUND_RELATIVE_PERIOD", M$3)="#N/A N/A","NA  ",(_xll.BDP($D162,$D$150, "EQY_FUND_RELATIVE_PERIOD", M$3))),M162),"NA ")</f>
        <v>2.2974087161366312</v>
      </c>
      <c r="N162" s="244">
        <f ca="1">IFERROR(IF(BB_Switch=1,IF(_xll.BDP($D162,$D$150, "EQY_FUND_RELATIVE_PERIOD", N$3)="#N/A N/A","NA  ",(_xll.BDP($D162,$D$150, "EQY_FUND_RELATIVE_PERIOD", N$3))),N162),"NA ")</f>
        <v>2.6120576671035387</v>
      </c>
      <c r="O162" s="244">
        <f ca="1">IFERROR(IF(BB_Switch=1,IF(_xll.BDP($D162,$D$150, "EQY_FUND_RELATIVE_PERIOD", O$3)="#N/A N/A","NA  ",(_xll.BDP($D162,$D$150, "EQY_FUND_RELATIVE_PERIOD", O$3))),O162),"NA ")</f>
        <v>2.7785613540197462</v>
      </c>
      <c r="P162" s="244">
        <f ca="1">IFERROR(IF(BB_Switch=1,IF(_xll.BDP($D162,$D$150, "EQY_FUND_RELATIVE_PERIOD", P$3)="#N/A N/A","NA  ",(_xll.BDP($D162,$D$150, "EQY_FUND_RELATIVE_PERIOD", P$3))),P162),"NA ")</f>
        <v>3.3674304418985268</v>
      </c>
      <c r="Q162" s="219"/>
      <c r="R162" s="219"/>
      <c r="S162" s="219"/>
      <c r="T162" s="219"/>
      <c r="U162" s="219"/>
      <c r="V162" s="244">
        <f ca="1">IFERROR(IF(BB_Switch=1,IF(_xll.BDP($D162,$D$150, "EQY_FUND_RELATIVE_PERIOD", V$3)="#N/A N/A","NA  ",(_xll.BDP($D162,$D$150, "EQY_FUND_RELATIVE_PERIOD", V$3))),V162),"NA ")</f>
        <v>4.0074719800747198</v>
      </c>
      <c r="W162" s="244">
        <f ca="1">IFERROR(IF(BB_Switch=1,IF(_xll.BDP($D162,$D$150, "EQY_FUND_RELATIVE_PERIOD", W$3)="#N/A N/A","NA  ",(_xll.BDP($D162,$D$150, "EQY_FUND_RELATIVE_PERIOD", W$3))),W162),"NA ")</f>
        <v>3.0139860139860142</v>
      </c>
      <c r="X162" s="244">
        <f ca="1">IFERROR(IF(BB_Switch=1,IF(_xll.BDP($D162,$D$150, "EQY_FUND_RELATIVE_PERIOD", X$3)="#N/A N/A","NA  ",(_xll.BDP($D162,$D$150, "EQY_FUND_RELATIVE_PERIOD", X$3))),X162),"NA ")</f>
        <v>6.2585858585858585</v>
      </c>
      <c r="Y162" s="244">
        <f ca="1">IFERROR(IF(BB_Switch=1,IF(_xll.BDP($D162,$D$150, "EQY_FUND_RELATIVE_PERIOD", Y$3)="#N/A N/A","NA  ",(_xll.BDP($D162,$D$150, "EQY_FUND_RELATIVE_PERIOD", Y$3))),Y162),"NA ")</f>
        <v>1.6770662287903668</v>
      </c>
      <c r="Z162" s="244">
        <f ca="1">IFERROR(IF(BB_Switch=1,IF(_xll.BDP($D162,$D$150, "EQY_FUND_RELATIVE_PERIOD", Z$3)="#N/A N/A","NA  ",(_xll.BDP($D162,$D$150, "EQY_FUND_RELATIVE_PERIOD", Z$3))),Z162),"NA ")</f>
        <v>2.5785984848484849</v>
      </c>
      <c r="AA162" s="244">
        <f ca="1">IFERROR(IF(BB_Switch=1,IF(_xll.BDP($D162,$D$150, "EQY_FUND_RELATIVE_PERIOD", AA$3)="#N/A N/A","NA  ",(_xll.BDP($D162,$D$150, "EQY_FUND_RELATIVE_PERIOD", AA$3))),AA162),"NA ")</f>
        <v>4.3265602322206096</v>
      </c>
      <c r="AB162" s="244">
        <f ca="1">IFERROR(IF(BB_Switch=1,IF(_xll.BDP($D162,$D$150, "EQY_FUND_RELATIVE_PERIOD", AB$3)="#N/A N/A","NA  ",(_xll.BDP($D162,$D$150, "EQY_FUND_RELATIVE_PERIOD", AB$3))),AB162),"NA ")</f>
        <v>2.4455284552845526</v>
      </c>
      <c r="AC162" s="244">
        <f ca="1">IFERROR(IF(BB_Switch=1,IF(_xll.BDP($D162,$D$150, "EQY_FUND_RELATIVE_PERIOD", AC$3)="#N/A N/A","NA  ",(_xll.BDP($D162,$D$150, "EQY_FUND_RELATIVE_PERIOD", AC$3))),AC162),"NA ")</f>
        <v>3.1172945205479454</v>
      </c>
      <c r="AD162" s="244">
        <f ca="1">IFERROR(IF(BB_Switch=1,IF(_xll.BDP($D162,$D$150, "EQY_FUND_RELATIVE_PERIOD", AD$3)="#N/A N/A","NA  ",(_xll.BDP($D162,$D$150, "EQY_FUND_RELATIVE_PERIOD", AD$3))),AD162),"NA ")</f>
        <v>2.0980392156862746</v>
      </c>
      <c r="AE162" s="244">
        <f ca="1">IFERROR(IF(BB_Switch=1,IF(_xll.BDP($D162,$D$150, "EQY_FUND_RELATIVE_PERIOD", AE$3)="#N/A N/A","NA  ",(_xll.BDP($D162,$D$150, "EQY_FUND_RELATIVE_PERIOD", AE$3))),AE162),"NA ")</f>
        <v>3.3674304418985268</v>
      </c>
      <c r="AF162" s="235">
        <f t="shared" ca="1" si="46"/>
        <v>2.9591083970374994</v>
      </c>
      <c r="AG162" s="239"/>
      <c r="AH162" s="239"/>
      <c r="AI162" s="239"/>
      <c r="AJ162" s="239"/>
    </row>
    <row r="163" spans="2:37" ht="11.25" customHeight="1">
      <c r="C163" s="229" t="str">
        <f ca="1">IFERROR(IF(BB_Switch=1,_xll.BDP($D163,$C$270),C163), "NA ")</f>
        <v>BASF SE</v>
      </c>
      <c r="D163" s="227" t="str">
        <f>+D23</f>
        <v>BAS GR EQUITY</v>
      </c>
      <c r="E163" s="244">
        <f ca="1">IFERROR(IF(BB_Switch=1,IF(_xll.BDP($D163,$D$150, "EQY_FUND_RELATIVE_PERIOD", E$3)="#N/A N/A","NA  ",(_xll.BDP($D163,$D$150, "EQY_FUND_RELATIVE_PERIOD", E$3))),E163),"NA ")</f>
        <v>1.4872157834203308</v>
      </c>
      <c r="F163" s="244">
        <f ca="1">IFERROR(IF(BB_Switch=1,IF(_xll.BDP($D163,$D$150, "EQY_FUND_RELATIVE_PERIOD", F$3)="#N/A N/A","NA  ",(_xll.BDP($D163,$D$150, "EQY_FUND_RELATIVE_PERIOD", F$3))),F163),"NA ")</f>
        <v>1.5039220756831309</v>
      </c>
      <c r="G163" s="244">
        <f ca="1">IFERROR(IF(BB_Switch=1,IF(_xll.BDP($D163,$D$150, "EQY_FUND_RELATIVE_PERIOD", G$3)="#N/A N/A","NA  ",(_xll.BDP($D163,$D$150, "EQY_FUND_RELATIVE_PERIOD", G$3))),G163),"NA ")</f>
        <v>1.3519553072625698</v>
      </c>
      <c r="H163" s="244">
        <f ca="1">IFERROR(IF(BB_Switch=1,IF(_xll.BDP($D163,$D$150, "EQY_FUND_RELATIVE_PERIOD", H$3)="#N/A N/A","NA  ",(_xll.BDP($D163,$D$150, "EQY_FUND_RELATIVE_PERIOD", H$3))),H163),"NA ")</f>
        <v>1.5752598934218573</v>
      </c>
      <c r="I163" s="244">
        <f ca="1">IFERROR(IF(BB_Switch=1,IF(_xll.BDP($D163,$D$150, "EQY_FUND_RELATIVE_PERIOD", I$3)="#N/A N/A","NA  ",(_xll.BDP($D163,$D$150, "EQY_FUND_RELATIVE_PERIOD", I$3))),I163),"NA ")</f>
        <v>1.5684563166710748</v>
      </c>
      <c r="J163" s="244">
        <f ca="1">IFERROR(IF(BB_Switch=1,IF(_xll.BDP($D163,$D$150, "EQY_FUND_RELATIVE_PERIOD", J$3)="#N/A N/A","NA  ",(_xll.BDP($D163,$D$150, "EQY_FUND_RELATIVE_PERIOD", J$3))),J163),"NA ")</f>
        <v>1.8284967555875991</v>
      </c>
      <c r="K163" s="244">
        <f ca="1">IFERROR(IF(BB_Switch=1,IF(_xll.BDP($D163,$D$150, "EQY_FUND_RELATIVE_PERIOD", K$3)="#N/A N/A","NA  ",(_xll.BDP($D163,$D$150, "EQY_FUND_RELATIVE_PERIOD", K$3))),K163),"NA ")</f>
        <v>1.9313790178150627</v>
      </c>
      <c r="L163" s="244">
        <f ca="1">IFERROR(IF(BB_Switch=1,IF(_xll.BDP($D163,$D$150, "EQY_FUND_RELATIVE_PERIOD", L$3)="#N/A N/A","NA  ",(_xll.BDP($D163,$D$150, "EQY_FUND_RELATIVE_PERIOD", L$3))),L163),"NA ")</f>
        <v>2.2407268035695087</v>
      </c>
      <c r="M163" s="244">
        <f ca="1">IFERROR(IF(BB_Switch=1,IF(_xll.BDP($D163,$D$150, "EQY_FUND_RELATIVE_PERIOD", M$3)="#N/A N/A","NA  ",(_xll.BDP($D163,$D$150, "EQY_FUND_RELATIVE_PERIOD", M$3))),M163),"NA ")</f>
        <v>2.5811706549825861</v>
      </c>
      <c r="N163" s="244">
        <f ca="1">IFERROR(IF(BB_Switch=1,IF(_xll.BDP($D163,$D$150, "EQY_FUND_RELATIVE_PERIOD", N$3)="#N/A N/A","NA  ",(_xll.BDP($D163,$D$150, "EQY_FUND_RELATIVE_PERIOD", N$3))),N163),"NA ")</f>
        <v>2.73420847413569</v>
      </c>
      <c r="O163" s="244">
        <f ca="1">IFERROR(IF(BB_Switch=1,IF(_xll.BDP($D163,$D$150, "EQY_FUND_RELATIVE_PERIOD", O$3)="#N/A N/A","NA  ",(_xll.BDP($D163,$D$150, "EQY_FUND_RELATIVE_PERIOD", O$3))),O163),"NA ")</f>
        <v>2.7674875556719938</v>
      </c>
      <c r="P163" s="244">
        <f ca="1">IFERROR(IF(BB_Switch=1,IF(_xll.BDP($D163,$D$150, "EQY_FUND_RELATIVE_PERIOD", P$3)="#N/A N/A","NA  ",(_xll.BDP($D163,$D$150, "EQY_FUND_RELATIVE_PERIOD", P$3))),P163),"NA ")</f>
        <v>2.3694793536804308</v>
      </c>
      <c r="Q163" s="219"/>
      <c r="R163" s="219"/>
      <c r="S163" s="219"/>
      <c r="T163" s="219"/>
      <c r="U163" s="219"/>
      <c r="V163" s="244">
        <f ca="1">IFERROR(IF(BB_Switch=1,IF(_xll.BDP($D163,$D$150, "EQY_FUND_RELATIVE_PERIOD", V$3)="#N/A N/A","NA  ",(_xll.BDP($D163,$D$150, "EQY_FUND_RELATIVE_PERIOD", V$3))),V163),"NA ")</f>
        <v>1.3444345503116653</v>
      </c>
      <c r="W163" s="244">
        <f ca="1">IFERROR(IF(BB_Switch=1,IF(_xll.BDP($D163,$D$150, "EQY_FUND_RELATIVE_PERIOD", W$3)="#N/A N/A","NA  ",(_xll.BDP($D163,$D$150, "EQY_FUND_RELATIVE_PERIOD", W$3))),W163),"NA ")</f>
        <v>1.0869456693568516</v>
      </c>
      <c r="X163" s="244">
        <f ca="1">IFERROR(IF(BB_Switch=1,IF(_xll.BDP($D163,$D$150, "EQY_FUND_RELATIVE_PERIOD", X$3)="#N/A N/A","NA  ",(_xll.BDP($D163,$D$150, "EQY_FUND_RELATIVE_PERIOD", X$3))),X163),"NA ")</f>
        <v>1.3258054490831865</v>
      </c>
      <c r="Y163" s="244">
        <f ca="1">IFERROR(IF(BB_Switch=1,IF(_xll.BDP($D163,$D$150, "EQY_FUND_RELATIVE_PERIOD", Y$3)="#N/A N/A","NA  ",(_xll.BDP($D163,$D$150, "EQY_FUND_RELATIVE_PERIOD", Y$3))),Y163),"NA ")</f>
        <v>1.3999611310854145</v>
      </c>
      <c r="Z163" s="244">
        <f ca="1">IFERROR(IF(BB_Switch=1,IF(_xll.BDP($D163,$D$150, "EQY_FUND_RELATIVE_PERIOD", Z$3)="#N/A N/A","NA  ",(_xll.BDP($D163,$D$150, "EQY_FUND_RELATIVE_PERIOD", Z$3))),Z163),"NA ")</f>
        <v>1.4163137543730437</v>
      </c>
      <c r="AA163" s="244">
        <f ca="1">IFERROR(IF(BB_Switch=1,IF(_xll.BDP($D163,$D$150, "EQY_FUND_RELATIVE_PERIOD", AA$3)="#N/A N/A","NA  ",(_xll.BDP($D163,$D$150, "EQY_FUND_RELATIVE_PERIOD", AA$3))),AA163),"NA ")</f>
        <v>1.4110492107706591</v>
      </c>
      <c r="AB163" s="244">
        <f ca="1">IFERROR(IF(BB_Switch=1,IF(_xll.BDP($D163,$D$150, "EQY_FUND_RELATIVE_PERIOD", AB$3)="#N/A N/A","NA  ",(_xll.BDP($D163,$D$150, "EQY_FUND_RELATIVE_PERIOD", AB$3))),AB163),"NA ")</f>
        <v>1.522067742838481</v>
      </c>
      <c r="AC163" s="244">
        <f ca="1">IFERROR(IF(BB_Switch=1,IF(_xll.BDP($D163,$D$150, "EQY_FUND_RELATIVE_PERIOD", AC$3)="#N/A N/A","NA  ",(_xll.BDP($D163,$D$150, "EQY_FUND_RELATIVE_PERIOD", AC$3))),AC163),"NA ")</f>
        <v>1.5752598934218573</v>
      </c>
      <c r="AD163" s="244">
        <f ca="1">IFERROR(IF(BB_Switch=1,IF(_xll.BDP($D163,$D$150, "EQY_FUND_RELATIVE_PERIOD", AD$3)="#N/A N/A","NA  ",(_xll.BDP($D163,$D$150, "EQY_FUND_RELATIVE_PERIOD", AD$3))),AD163),"NA ")</f>
        <v>2.2564963187527067</v>
      </c>
      <c r="AE163" s="244">
        <f ca="1">IFERROR(IF(BB_Switch=1,IF(_xll.BDP($D163,$D$150, "EQY_FUND_RELATIVE_PERIOD", AE$3)="#N/A N/A","NA  ",(_xll.BDP($D163,$D$150, "EQY_FUND_RELATIVE_PERIOD", AE$3))),AE163),"NA ")</f>
        <v>2.3694793536804308</v>
      </c>
      <c r="AF163" s="235">
        <f t="shared" ca="1" si="46"/>
        <v>1.5707813073674297</v>
      </c>
      <c r="AG163" s="239"/>
      <c r="AH163" s="239"/>
      <c r="AI163" s="239"/>
      <c r="AJ163" s="239"/>
    </row>
    <row r="164" spans="2:37" ht="11.25" customHeight="1">
      <c r="C164" s="229" t="str">
        <f ca="1">IFERROR(IF(BB_Switch=1,_xll.BDP($D164,$C$270),C164), "NA ")</f>
        <v>Trinseo SA</v>
      </c>
      <c r="D164" s="227" t="str">
        <f>+D24</f>
        <v>TSE US EQUITY</v>
      </c>
      <c r="E164" s="244">
        <f ca="1">IFERROR(IF(BB_Switch=1,IF(_xll.BDP($D164,$D$150, "EQY_FUND_RELATIVE_PERIOD", E$3)="#N/A N/A","NA  ",(_xll.BDP($D164,$D$150, "EQY_FUND_RELATIVE_PERIOD", E$3))),E164),"NA ")</f>
        <v>2.3604955680902497</v>
      </c>
      <c r="F164" s="244">
        <f ca="1">IFERROR(IF(BB_Switch=1,IF(_xll.BDP($D164,$D$150, "EQY_FUND_RELATIVE_PERIOD", F$3)="#N/A N/A","NA  ",(_xll.BDP($D164,$D$150, "EQY_FUND_RELATIVE_PERIOD", F$3))),F164),"NA ")</f>
        <v>2.6493002105561163</v>
      </c>
      <c r="G164" s="244">
        <f ca="1">IFERROR(IF(BB_Switch=1,IF(_xll.BDP($D164,$D$150, "EQY_FUND_RELATIVE_PERIOD", G$3)="#N/A N/A","NA  ",(_xll.BDP($D164,$D$150, "EQY_FUND_RELATIVE_PERIOD", G$3))),G164),"NA ")</f>
        <v>2.4720146855195466</v>
      </c>
      <c r="H164" s="244">
        <f ca="1">IFERROR(IF(BB_Switch=1,IF(_xll.BDP($D164,$D$150, "EQY_FUND_RELATIVE_PERIOD", H$3)="#N/A N/A","NA  ",(_xll.BDP($D164,$D$150, "EQY_FUND_RELATIVE_PERIOD", H$3))),H164),"NA ")</f>
        <v>2.2986431729120986</v>
      </c>
      <c r="I164" s="244">
        <f ca="1">IFERROR(IF(BB_Switch=1,IF(_xll.BDP($D164,$D$150, "EQY_FUND_RELATIVE_PERIOD", I$3)="#N/A N/A","NA  ",(_xll.BDP($D164,$D$150, "EQY_FUND_RELATIVE_PERIOD", I$3))),I164),"NA ")</f>
        <v>2.3874571847985648</v>
      </c>
      <c r="J164" s="244">
        <f ca="1">IFERROR(IF(BB_Switch=1,IF(_xll.BDP($D164,$D$150, "EQY_FUND_RELATIVE_PERIOD", J$3)="#N/A N/A","NA  ",(_xll.BDP($D164,$D$150, "EQY_FUND_RELATIVE_PERIOD", J$3))),J164),"NA ")</f>
        <v>2.2244199315329016</v>
      </c>
      <c r="K164" s="244">
        <f ca="1">IFERROR(IF(BB_Switch=1,IF(_xll.BDP($D164,$D$150, "EQY_FUND_RELATIVE_PERIOD", K$3)="#N/A N/A","NA  ",(_xll.BDP($D164,$D$150, "EQY_FUND_RELATIVE_PERIOD", K$3))),K164),"NA ")</f>
        <v>2.262729912875121</v>
      </c>
      <c r="L164" s="244">
        <f ca="1">IFERROR(IF(BB_Switch=1,IF(_xll.BDP($D164,$D$150, "EQY_FUND_RELATIVE_PERIOD", L$3)="#N/A N/A","NA  ",(_xll.BDP($D164,$D$150, "EQY_FUND_RELATIVE_PERIOD", L$3))),L164),"NA ")</f>
        <v>2.9158551810237201</v>
      </c>
      <c r="M164" s="244">
        <f ca="1">IFERROR(IF(BB_Switch=1,IF(_xll.BDP($D164,$D$150, "EQY_FUND_RELATIVE_PERIOD", M$3)="#N/A N/A","NA  ",(_xll.BDP($D164,$D$150, "EQY_FUND_RELATIVE_PERIOD", M$3))),M164),"NA ")</f>
        <v>3.6507233540005908</v>
      </c>
      <c r="N164" s="244">
        <f ca="1">IFERROR(IF(BB_Switch=1,IF(_xll.BDP($D164,$D$150, "EQY_FUND_RELATIVE_PERIOD", N$3)="#N/A N/A","NA  ",(_xll.BDP($D164,$D$150, "EQY_FUND_RELATIVE_PERIOD", N$3))),N164),"NA ")</f>
        <v>4.873675951353472</v>
      </c>
      <c r="O164" s="244">
        <f ca="1">IFERROR(IF(BB_Switch=1,IF(_xll.BDP($D164,$D$150, "EQY_FUND_RELATIVE_PERIOD", O$3)="#N/A N/A","NA  ",(_xll.BDP($D164,$D$150, "EQY_FUND_RELATIVE_PERIOD", O$3))),O164),"NA ")</f>
        <v>6.1675453047775948</v>
      </c>
      <c r="P164" s="244">
        <f ca="1">IFERROR(IF(BB_Switch=1,IF(_xll.BDP($D164,$D$150, "EQY_FUND_RELATIVE_PERIOD", P$3)="#N/A N/A","NA  ",(_xll.BDP($D164,$D$150, "EQY_FUND_RELATIVE_PERIOD", P$3))),P164),"NA ")</f>
        <v>6.6845564074479737</v>
      </c>
      <c r="Q164" s="219"/>
      <c r="R164" s="219"/>
      <c r="S164" s="219"/>
      <c r="T164" s="219"/>
      <c r="U164" s="219"/>
      <c r="V164" s="244">
        <f ca="1">IFERROR(IF(BB_Switch=1,IF(_xll.BDP($D164,$D$150, "EQY_FUND_RELATIVE_PERIOD", V$3)="#N/A N/A","NA  ",(_xll.BDP($D164,$D$150, "EQY_FUND_RELATIVE_PERIOD", V$3))),V164),"NA ")</f>
        <v>4.0452749055050008</v>
      </c>
      <c r="W164" s="244" t="str">
        <f ca="1">IFERROR(IF(BB_Switch=1,IF(_xll.BDP($D164,$D$150, "EQY_FUND_RELATIVE_PERIOD", W$3)="#N/A N/A","NA  ",(_xll.BDP($D164,$D$150, "EQY_FUND_RELATIVE_PERIOD", W$3))),W164),"NA ")</f>
        <v xml:space="preserve">NA  </v>
      </c>
      <c r="X164" s="244">
        <f ca="1">IFERROR(IF(BB_Switch=1,IF(_xll.BDP($D164,$D$150, "EQY_FUND_RELATIVE_PERIOD", X$3)="#N/A N/A","NA  ",(_xll.BDP($D164,$D$150, "EQY_FUND_RELATIVE_PERIOD", X$3))),X164),"NA ")</f>
        <v>5.4360723421442358</v>
      </c>
      <c r="Y164" s="244">
        <f ca="1">IFERROR(IF(BB_Switch=1,IF(_xll.BDP($D164,$D$150, "EQY_FUND_RELATIVE_PERIOD", Y$3)="#N/A N/A","NA  ",(_xll.BDP($D164,$D$150, "EQY_FUND_RELATIVE_PERIOD", Y$3))),Y164),"NA ")</f>
        <v>4.8511394408427284</v>
      </c>
      <c r="Z164" s="244">
        <f ca="1">IFERROR(IF(BB_Switch=1,IF(_xll.BDP($D164,$D$150, "EQY_FUND_RELATIVE_PERIOD", Z$3)="#N/A N/A","NA  ",(_xll.BDP($D164,$D$150, "EQY_FUND_RELATIVE_PERIOD", Z$3))),Z164),"NA ")</f>
        <v>5.5608816318978675</v>
      </c>
      <c r="AA164" s="244">
        <f ca="1">IFERROR(IF(BB_Switch=1,IF(_xll.BDP($D164,$D$150, "EQY_FUND_RELATIVE_PERIOD", AA$3)="#N/A N/A","NA  ",(_xll.BDP($D164,$D$150, "EQY_FUND_RELATIVE_PERIOD", AA$3))),AA164),"NA ")</f>
        <v>3.3030260694626841</v>
      </c>
      <c r="AB164" s="244">
        <f ca="1">IFERROR(IF(BB_Switch=1,IF(_xll.BDP($D164,$D$150, "EQY_FUND_RELATIVE_PERIOD", AB$3)="#N/A N/A","NA  ",(_xll.BDP($D164,$D$150, "EQY_FUND_RELATIVE_PERIOD", AB$3))),AB164),"NA ")</f>
        <v>2.6333212068899288</v>
      </c>
      <c r="AC164" s="244">
        <f ca="1">IFERROR(IF(BB_Switch=1,IF(_xll.BDP($D164,$D$150, "EQY_FUND_RELATIVE_PERIOD", AC$3)="#N/A N/A","NA  ",(_xll.BDP($D164,$D$150, "EQY_FUND_RELATIVE_PERIOD", AC$3))),AC164),"NA ")</f>
        <v>2.2895096698573942</v>
      </c>
      <c r="AD164" s="244">
        <f ca="1">IFERROR(IF(BB_Switch=1,IF(_xll.BDP($D164,$D$150, "EQY_FUND_RELATIVE_PERIOD", AD$3)="#N/A N/A","NA  ",(_xll.BDP($D164,$D$150, "EQY_FUND_RELATIVE_PERIOD", AD$3))),AD164),"NA ")</f>
        <v>2.9158551810237201</v>
      </c>
      <c r="AE164" s="244">
        <f ca="1">IFERROR(IF(BB_Switch=1,IF(_xll.BDP($D164,$D$150, "EQY_FUND_RELATIVE_PERIOD", AE$3)="#N/A N/A","NA  ",(_xll.BDP($D164,$D$150, "EQY_FUND_RELATIVE_PERIOD", AE$3))),AE164),"NA ")</f>
        <v>7.4020618556701026</v>
      </c>
      <c r="AF164" s="234">
        <f t="shared" ca="1" si="46"/>
        <v>3.879385055952945</v>
      </c>
      <c r="AG164" s="239"/>
      <c r="AH164" s="239"/>
      <c r="AI164" s="239"/>
      <c r="AJ164" s="239"/>
    </row>
    <row r="165" spans="2:37" ht="11.25" customHeight="1">
      <c r="C165" s="219"/>
      <c r="D165" s="229"/>
      <c r="E165" s="219"/>
      <c r="F165" s="219"/>
      <c r="G165" s="219"/>
      <c r="H165" s="219"/>
      <c r="I165" s="219"/>
      <c r="J165" s="219"/>
      <c r="K165" s="219"/>
      <c r="L165" s="219"/>
      <c r="M165" s="219"/>
      <c r="N165" s="219"/>
      <c r="O165" s="219"/>
      <c r="P165" s="219"/>
      <c r="Q165" s="219"/>
      <c r="R165" s="219"/>
      <c r="S165" s="219"/>
      <c r="T165" s="219"/>
      <c r="U165" s="219"/>
      <c r="V165" s="239"/>
      <c r="W165" s="239"/>
      <c r="X165" s="239"/>
      <c r="Y165" s="239"/>
      <c r="Z165" s="239"/>
      <c r="AA165" s="239"/>
      <c r="AB165" s="239"/>
      <c r="AC165" s="239"/>
      <c r="AD165" s="239"/>
      <c r="AE165" s="239"/>
      <c r="AF165" s="239"/>
      <c r="AG165" s="239"/>
      <c r="AH165" s="239"/>
      <c r="AI165" s="239"/>
      <c r="AJ165" s="239"/>
    </row>
    <row r="166" spans="2:37" ht="11.25" customHeight="1">
      <c r="C166" s="224" t="s">
        <v>482</v>
      </c>
      <c r="D166" s="223"/>
      <c r="E166" s="250">
        <f t="shared" ref="E166:O166" ca="1" si="47">AVERAGE(E152:E158,E161:E164)</f>
        <v>3.1564399081640264</v>
      </c>
      <c r="F166" s="250">
        <f t="shared" ca="1" si="47"/>
        <v>3.2371356265612148</v>
      </c>
      <c r="G166" s="250">
        <f t="shared" ca="1" si="47"/>
        <v>3.1082729288669135</v>
      </c>
      <c r="H166" s="250">
        <f t="shared" ca="1" si="47"/>
        <v>3.220140955066344</v>
      </c>
      <c r="I166" s="250">
        <f t="shared" ca="1" si="47"/>
        <v>3.0597585883182923</v>
      </c>
      <c r="J166" s="250">
        <f t="shared" ca="1" si="47"/>
        <v>3.1719951945081513</v>
      </c>
      <c r="K166" s="250">
        <f t="shared" ca="1" si="47"/>
        <v>3.1123042929878357</v>
      </c>
      <c r="L166" s="250">
        <f t="shared" ca="1" si="47"/>
        <v>2.569049034884813</v>
      </c>
      <c r="M166" s="250">
        <f t="shared" ca="1" si="47"/>
        <v>3.2204994402801148</v>
      </c>
      <c r="N166" s="250">
        <f t="shared" ca="1" si="47"/>
        <v>3.1999849014804025</v>
      </c>
      <c r="O166" s="250">
        <f t="shared" ca="1" si="47"/>
        <v>3.607532773060345</v>
      </c>
      <c r="P166" s="250">
        <f ca="1">AVERAGE(P152:P158,P161:P164)</f>
        <v>4.0817996257929599</v>
      </c>
      <c r="Q166" s="250"/>
      <c r="R166" s="250"/>
      <c r="S166" s="250"/>
      <c r="T166" s="291"/>
      <c r="U166" s="219"/>
      <c r="V166" s="293">
        <f t="shared" ref="V166:AF166" ca="1" si="48">AVERAGE(V152:V158,V161:V164)</f>
        <v>2.3374864682174978</v>
      </c>
      <c r="W166" s="250">
        <f t="shared" ca="1" si="48"/>
        <v>1.7132873858055451</v>
      </c>
      <c r="X166" s="250">
        <f t="shared" ca="1" si="48"/>
        <v>3.2158790603684952</v>
      </c>
      <c r="Y166" s="250">
        <f t="shared" ca="1" si="48"/>
        <v>2.2169639506438519</v>
      </c>
      <c r="Z166" s="250">
        <f t="shared" ca="1" si="48"/>
        <v>2.7872297112231781</v>
      </c>
      <c r="AA166" s="250">
        <f t="shared" ca="1" si="48"/>
        <v>3.7642446830479015</v>
      </c>
      <c r="AB166" s="250">
        <f t="shared" ca="1" si="48"/>
        <v>3.346686193046724</v>
      </c>
      <c r="AC166" s="250">
        <f t="shared" ca="1" si="48"/>
        <v>4.3190853617325065</v>
      </c>
      <c r="AD166" s="250">
        <f t="shared" ca="1" si="48"/>
        <v>2.6528698792437662</v>
      </c>
      <c r="AE166" s="250">
        <f t="shared" ca="1" si="48"/>
        <v>4.4013716852586775</v>
      </c>
      <c r="AF166" s="250">
        <f t="shared" ca="1" si="48"/>
        <v>2.7976143214864337</v>
      </c>
      <c r="AG166" s="250"/>
      <c r="AH166" s="250"/>
      <c r="AI166" s="250"/>
      <c r="AJ166" s="291"/>
    </row>
    <row r="167" spans="2:37" ht="11.25" customHeight="1">
      <c r="C167" s="221" t="s">
        <v>481</v>
      </c>
      <c r="D167" s="220"/>
      <c r="E167" s="249">
        <f t="shared" ref="E167:O167" ca="1" si="49">MEDIAN(E152:E158,E161:E164)</f>
        <v>3.2411294352823594</v>
      </c>
      <c r="F167" s="249">
        <f t="shared" ca="1" si="49"/>
        <v>3.2394299275410248</v>
      </c>
      <c r="G167" s="249">
        <f t="shared" ca="1" si="49"/>
        <v>3.1626527853823303</v>
      </c>
      <c r="H167" s="249">
        <f t="shared" ca="1" si="49"/>
        <v>3.1036767685108391</v>
      </c>
      <c r="I167" s="249">
        <f t="shared" ca="1" si="49"/>
        <v>3.0316105747139437</v>
      </c>
      <c r="J167" s="249">
        <f t="shared" ca="1" si="49"/>
        <v>2.739086186539275</v>
      </c>
      <c r="K167" s="249">
        <f t="shared" ca="1" si="49"/>
        <v>2.4570581319360905</v>
      </c>
      <c r="L167" s="249">
        <f t="shared" ca="1" si="49"/>
        <v>2.5270280841742947</v>
      </c>
      <c r="M167" s="249">
        <f t="shared" ca="1" si="49"/>
        <v>2.8521489979032779</v>
      </c>
      <c r="N167" s="249">
        <f t="shared" ca="1" si="49"/>
        <v>3.0616922281578494</v>
      </c>
      <c r="O167" s="249">
        <f t="shared" ca="1" si="49"/>
        <v>3.4165333333333332</v>
      </c>
      <c r="P167" s="249">
        <f ca="1">MEDIAN(P152:P158,P161:P164)</f>
        <v>3.9441279579316388</v>
      </c>
      <c r="Q167" s="249"/>
      <c r="R167" s="249"/>
      <c r="S167" s="249"/>
      <c r="T167" s="292"/>
      <c r="U167" s="219"/>
      <c r="V167" s="294">
        <f t="shared" ref="V167:AF167" ca="1" si="50">MEDIAN(V152:V158,V161:V164)</f>
        <v>1.973420479302832</v>
      </c>
      <c r="W167" s="249">
        <f t="shared" ca="1" si="50"/>
        <v>1.4909926409426517</v>
      </c>
      <c r="X167" s="249">
        <f t="shared" ca="1" si="50"/>
        <v>3.410033767486734</v>
      </c>
      <c r="Y167" s="249">
        <f t="shared" ca="1" si="50"/>
        <v>1.6770662287903668</v>
      </c>
      <c r="Z167" s="249">
        <f t="shared" ca="1" si="50"/>
        <v>2.5785984848484849</v>
      </c>
      <c r="AA167" s="249">
        <f t="shared" ca="1" si="50"/>
        <v>3.2942064444734624</v>
      </c>
      <c r="AB167" s="249">
        <f t="shared" ca="1" si="50"/>
        <v>3.0777541779936954</v>
      </c>
      <c r="AC167" s="249">
        <f t="shared" ca="1" si="50"/>
        <v>3.1023411667453944</v>
      </c>
      <c r="AD167" s="249">
        <f t="shared" ca="1" si="50"/>
        <v>2.5270280841742943</v>
      </c>
      <c r="AE167" s="249">
        <f t="shared" ca="1" si="50"/>
        <v>4.1543010152850606</v>
      </c>
      <c r="AF167" s="249">
        <f t="shared" ca="1" si="50"/>
        <v>2.9591083970374994</v>
      </c>
      <c r="AG167" s="249"/>
      <c r="AH167" s="249"/>
      <c r="AI167" s="249"/>
      <c r="AJ167" s="292"/>
    </row>
    <row r="168" spans="2:37" ht="11.25" customHeight="1">
      <c r="B168" s="219"/>
      <c r="C168" s="219"/>
      <c r="D168" s="219"/>
      <c r="E168" s="219"/>
      <c r="F168" s="219"/>
      <c r="G168" s="219"/>
      <c r="H168" s="219"/>
      <c r="I168" s="219"/>
      <c r="J168" s="219"/>
      <c r="K168" s="219"/>
      <c r="L168" s="219"/>
      <c r="M168" s="219"/>
      <c r="N168" s="219"/>
      <c r="O168" s="219"/>
      <c r="P168" s="219"/>
      <c r="Q168" s="219"/>
      <c r="R168" s="219"/>
      <c r="S168" s="219"/>
      <c r="T168" s="219"/>
      <c r="U168" s="248"/>
      <c r="V168" s="248"/>
      <c r="W168" s="248"/>
      <c r="X168" s="248"/>
      <c r="Y168" s="248"/>
      <c r="Z168" s="248"/>
      <c r="AA168" s="248"/>
      <c r="AB168" s="248"/>
      <c r="AC168" s="248"/>
      <c r="AD168" s="248"/>
      <c r="AE168" s="248"/>
      <c r="AF168" s="248"/>
      <c r="AG168" s="248"/>
      <c r="AH168" s="248"/>
      <c r="AI168" s="248"/>
      <c r="AJ168" s="248"/>
    </row>
    <row r="169" spans="2:37" ht="11.25" customHeight="1">
      <c r="B169" s="231" t="s">
        <v>14</v>
      </c>
      <c r="C169" s="232" t="s">
        <v>509</v>
      </c>
      <c r="D169" s="232"/>
      <c r="E169" s="232"/>
      <c r="F169" s="232"/>
      <c r="G169" s="232"/>
      <c r="H169" s="232"/>
      <c r="I169" s="232"/>
      <c r="J169" s="232"/>
      <c r="K169" s="232"/>
      <c r="L169" s="232"/>
      <c r="M169" s="232"/>
      <c r="N169" s="232"/>
      <c r="O169" s="232"/>
      <c r="P169" s="232"/>
      <c r="Q169" s="232"/>
      <c r="R169" s="232"/>
      <c r="S169" s="232"/>
      <c r="T169" s="232"/>
      <c r="U169" s="233"/>
      <c r="V169" s="232"/>
      <c r="W169" s="231"/>
      <c r="X169" s="231"/>
      <c r="Y169" s="231"/>
      <c r="Z169" s="231"/>
      <c r="AA169" s="231"/>
      <c r="AB169" s="231"/>
      <c r="AC169" s="231"/>
      <c r="AD169" s="231"/>
      <c r="AE169" s="231"/>
      <c r="AF169" s="231"/>
      <c r="AG169" s="231"/>
      <c r="AH169" s="231"/>
      <c r="AI169" s="231"/>
      <c r="AJ169" s="231"/>
    </row>
    <row r="170" spans="2:37" s="227" customFormat="1" ht="11.25" customHeight="1">
      <c r="B170" s="217"/>
      <c r="C170" s="217"/>
      <c r="D170" s="217" t="s">
        <v>508</v>
      </c>
      <c r="E170" s="217"/>
      <c r="F170" s="217"/>
      <c r="G170" s="217"/>
      <c r="H170" s="217"/>
      <c r="I170" s="217"/>
      <c r="J170" s="217"/>
      <c r="K170" s="217"/>
      <c r="L170" s="217"/>
      <c r="M170" s="217"/>
      <c r="N170" s="217"/>
      <c r="O170" s="217"/>
      <c r="P170" s="217"/>
      <c r="Q170" s="217"/>
      <c r="R170" s="217"/>
      <c r="S170" s="217"/>
      <c r="T170" s="217"/>
      <c r="U170" s="217"/>
      <c r="V170" s="217" t="s">
        <v>507</v>
      </c>
      <c r="W170" s="217"/>
      <c r="X170" s="217"/>
      <c r="Y170" s="217"/>
      <c r="Z170" s="217"/>
      <c r="AA170" s="217"/>
      <c r="AB170" s="217"/>
      <c r="AC170" s="217"/>
      <c r="AD170" s="217"/>
      <c r="AE170" s="217"/>
      <c r="AF170" s="217"/>
      <c r="AG170" s="217"/>
      <c r="AH170" s="217"/>
      <c r="AI170" s="217"/>
      <c r="AJ170" s="217"/>
    </row>
    <row r="171" spans="2:37" ht="11.25" customHeight="1">
      <c r="C171" s="428" t="str">
        <f>+C11</f>
        <v>Commodity Chemicals</v>
      </c>
    </row>
    <row r="172" spans="2:37" ht="11.25" customHeight="1">
      <c r="C172" s="229" t="str">
        <f ca="1">IFERROR(IF(BB_Switch=1,_xll.BDP($D172,$C$270),C172), "NA ")</f>
        <v>DuPont de Nemours Inc</v>
      </c>
      <c r="D172" s="227" t="str">
        <f t="shared" ref="D172:D178" si="51">+D12</f>
        <v>DD US EQUITY</v>
      </c>
      <c r="E172" s="242" t="str">
        <f ca="1">(IFERROR(IF(BB_Switch=1,IF(_xll.BDP($D172,$D$170, "EQY_FUND_RELATIVE_PERIOD", E$3)="#N/A N/A","NA  ",(_xll.BDP($D172,$D$170, "EQY_FUND_RELATIVE_PERIOD", E$3)))/100,E172),"NA "))</f>
        <v xml:space="preserve">NA </v>
      </c>
      <c r="F172" s="242" t="str">
        <f ca="1">(IFERROR(IF(BB_Switch=1,IF(_xll.BDP($D172,$D$170, "EQY_FUND_RELATIVE_PERIOD", F$3)="#N/A N/A","NA  ",(_xll.BDP($D172,$D$170, "EQY_FUND_RELATIVE_PERIOD", F$3)))/100,F172),"NA "))</f>
        <v xml:space="preserve">NA </v>
      </c>
      <c r="G172" s="242" t="str">
        <f ca="1">(IFERROR(IF(BB_Switch=1,IF(_xll.BDP($D172,$D$170, "EQY_FUND_RELATIVE_PERIOD", G$3)="#N/A N/A","NA  ",(_xll.BDP($D172,$D$170, "EQY_FUND_RELATIVE_PERIOD", G$3)))/100,G172),"NA "))</f>
        <v xml:space="preserve">NA </v>
      </c>
      <c r="H172" s="242">
        <f ca="1">(IFERROR(IF(BB_Switch=1,IF(_xll.BDP($D172,$D$170, "EQY_FUND_RELATIVE_PERIOD", H$3)="#N/A N/A","NA  ",(_xll.BDP($D172,$D$170, "EQY_FUND_RELATIVE_PERIOD", H$3)))/100,H172),"NA "))</f>
        <v>3.2157191826911659E-2</v>
      </c>
      <c r="I172" s="242" t="str">
        <f ca="1">(IFERROR(IF(BB_Switch=1,IF(_xll.BDP($D172,$D$170, "EQY_FUND_RELATIVE_PERIOD", I$3)="#N/A N/A","NA  ",(_xll.BDP($D172,$D$170, "EQY_FUND_RELATIVE_PERIOD", I$3)))/100,I172),"NA "))</f>
        <v xml:space="preserve">NA </v>
      </c>
      <c r="J172" s="242">
        <f ca="1">(IFERROR(IF(BB_Switch=1,IF(_xll.BDP($D172,$D$170, "EQY_FUND_RELATIVE_PERIOD", J$3)="#N/A N/A","NA  ",(_xll.BDP($D172,$D$170, "EQY_FUND_RELATIVE_PERIOD", J$3)))/100,J172),"NA "))</f>
        <v>2.1693074329364723E-2</v>
      </c>
      <c r="K172" s="242">
        <f ca="1">(IFERROR(IF(BB_Switch=1,IF(_xll.BDP($D172,$D$170, "EQY_FUND_RELATIVE_PERIOD", K$3)="#N/A N/A","NA  ",(_xll.BDP($D172,$D$170, "EQY_FUND_RELATIVE_PERIOD", K$3)))/100,K172),"NA "))</f>
        <v>2.1568276328617755E-2</v>
      </c>
      <c r="L172" s="242">
        <f ca="1">(IFERROR(IF(BB_Switch=1,IF(_xll.BDP($D172,$D$170, "EQY_FUND_RELATIVE_PERIOD", L$3)="#N/A N/A","NA  ",(_xll.BDP($D172,$D$170, "EQY_FUND_RELATIVE_PERIOD", L$3)))/100,L172),"NA "))</f>
        <v>3.9625530515563501E-2</v>
      </c>
      <c r="M172" s="242">
        <f ca="1">(IFERROR(IF(BB_Switch=1,IF(_xll.BDP($D172,$D$170, "EQY_FUND_RELATIVE_PERIOD", M$3)="#N/A N/A","NA  ",(_xll.BDP($D172,$D$170, "EQY_FUND_RELATIVE_PERIOD", M$3)))/100,M172),"NA "))</f>
        <v>3.3783504728864662E-2</v>
      </c>
      <c r="N172" s="242">
        <f ca="1">(IFERROR(IF(BB_Switch=1,IF(_xll.BDP($D172,$D$170, "EQY_FUND_RELATIVE_PERIOD", N$3)="#N/A N/A","NA  ",(_xll.BDP($D172,$D$170, "EQY_FUND_RELATIVE_PERIOD", N$3)))/100,N172),"NA "))</f>
        <v>1.3288847064191405E-2</v>
      </c>
      <c r="O172" s="242">
        <f ca="1">(IFERROR(IF(BB_Switch=1,IF(_xll.BDP($D172,$D$170, "EQY_FUND_RELATIVE_PERIOD", O$3)="#N/A N/A","NA  ",(_xll.BDP($D172,$D$170, "EQY_FUND_RELATIVE_PERIOD", O$3)))/100,O172),"NA "))</f>
        <v>1.1517994176456244E-2</v>
      </c>
      <c r="P172" s="242">
        <f ca="1">(IFERROR(IF(BB_Switch=1,IF(_xll.BDP($D172,$D$170, "EQY_FUND_RELATIVE_PERIOD", P$3)="#N/A N/A","NA  ",(_xll.BDP($D172,$D$170, "EQY_FUND_RELATIVE_PERIOD", P$3)))/100,P172),"NA "))</f>
        <v>7.3477775560138684E-3</v>
      </c>
      <c r="Q172" s="244"/>
      <c r="R172" s="244"/>
      <c r="S172" s="244"/>
      <c r="T172" s="244"/>
      <c r="U172" s="227"/>
      <c r="V172" s="242" t="str">
        <f ca="1">(IFERROR(IF(BB_Switch=1,IF(_xll.BDP($D172,$D$170, "EQY_FUND_RELATIVE_PERIOD", V$3)="#N/A N/A","NA  ",(_xll.BDP($D172,$D$170, "EQY_FUND_RELATIVE_PERIOD", V$3)))/100,V172),"NA "))</f>
        <v xml:space="preserve">NA </v>
      </c>
      <c r="W172" s="242" t="str">
        <f ca="1">(IFERROR(IF(BB_Switch=1,IF(_xll.BDP($D172,$D$170, "EQY_FUND_RELATIVE_PERIOD", W$3)="#N/A N/A","NA  ",(_xll.BDP($D172,$D$170, "EQY_FUND_RELATIVE_PERIOD", W$3)))/100,W172),"NA "))</f>
        <v xml:space="preserve">NA </v>
      </c>
      <c r="X172" s="242" t="str">
        <f ca="1">(IFERROR(IF(BB_Switch=1,IF(_xll.BDP($D172,$D$170, "EQY_FUND_RELATIVE_PERIOD", X$3)="#N/A N/A","NA  ",(_xll.BDP($D172,$D$170, "EQY_FUND_RELATIVE_PERIOD", X$3)))/100,X172),"NA "))</f>
        <v xml:space="preserve">NA </v>
      </c>
      <c r="Y172" s="242" t="str">
        <f ca="1">(IFERROR(IF(BB_Switch=1,IF(_xll.BDP($D172,$D$170, "EQY_FUND_RELATIVE_PERIOD", Y$3)="#N/A N/A","NA  ",(_xll.BDP($D172,$D$170, "EQY_FUND_RELATIVE_PERIOD", Y$3)))/100,Y172),"NA "))</f>
        <v xml:space="preserve">NA </v>
      </c>
      <c r="Z172" s="242" t="str">
        <f ca="1">(IFERROR(IF(BB_Switch=1,IF(_xll.BDP($D172,$D$170, "EQY_FUND_RELATIVE_PERIOD", Z$3)="#N/A N/A","NA  ",(_xll.BDP($D172,$D$170, "EQY_FUND_RELATIVE_PERIOD", Z$3)))/100,Z172),"NA "))</f>
        <v xml:space="preserve">NA </v>
      </c>
      <c r="AA172" s="242" t="str">
        <f ca="1">(IFERROR(IF(BB_Switch=1,IF(_xll.BDP($D172,$D$170, "EQY_FUND_RELATIVE_PERIOD", AA$3)="#N/A N/A","NA  ",(_xll.BDP($D172,$D$170, "EQY_FUND_RELATIVE_PERIOD", AA$3)))/100,AA172),"NA "))</f>
        <v xml:space="preserve">NA </v>
      </c>
      <c r="AB172" s="242">
        <f ca="1">(IFERROR(IF(BB_Switch=1,IF(_xll.BDP($D172,$D$170, "EQY_FUND_RELATIVE_PERIOD", AB$3)="#N/A N/A","NA  ",(_xll.BDP($D172,$D$170, "EQY_FUND_RELATIVE_PERIOD", AB$3)))/100,AB172),"NA "))</f>
        <v>0.10210628831134111</v>
      </c>
      <c r="AC172" s="242">
        <f ca="1">(IFERROR(IF(BB_Switch=1,IF(_xll.BDP($D172,$D$170, "EQY_FUND_RELATIVE_PERIOD", AC$3)="#N/A N/A","NA  ",(_xll.BDP($D172,$D$170, "EQY_FUND_RELATIVE_PERIOD", AC$3)))/100,AC172),"NA "))</f>
        <v>1.8350657472865885E-2</v>
      </c>
      <c r="AD172" s="242">
        <f ca="1">(IFERROR(IF(BB_Switch=1,IF(_xll.BDP($D172,$D$170, "EQY_FUND_RELATIVE_PERIOD", AD$3)="#N/A N/A","NA  ",(_xll.BDP($D172,$D$170, "EQY_FUND_RELATIVE_PERIOD", AD$3)))/100,AD172),"NA "))</f>
        <v>3.9512490879756654E-2</v>
      </c>
      <c r="AE172" s="242">
        <f ca="1">(IFERROR(IF(BB_Switch=1,IF(_xll.BDP($D172,$D$170, "EQY_FUND_RELATIVE_PERIOD", AE$3)="#N/A N/A","NA  ",(_xll.BDP($D172,$D$170, "EQY_FUND_RELATIVE_PERIOD", AE$3)))/100,AE172),"NA "))</f>
        <v>7.3625618166899519E-3</v>
      </c>
      <c r="AF172" s="236" t="s">
        <v>726</v>
      </c>
      <c r="AG172" s="237"/>
      <c r="AH172" s="244"/>
      <c r="AI172" s="244"/>
      <c r="AJ172" s="244"/>
      <c r="AK172" s="230"/>
    </row>
    <row r="173" spans="2:37" ht="11.25" customHeight="1">
      <c r="C173" s="229" t="str">
        <f ca="1">IFERROR(IF(BB_Switch=1,_xll.BDP($D173,$C$270),C173), "NA ")</f>
        <v>PolyOne Corp</v>
      </c>
      <c r="D173" s="227" t="str">
        <f t="shared" si="51"/>
        <v>POL US EQUITY</v>
      </c>
      <c r="E173" s="242">
        <f ca="1">(IFERROR(IF(BB_Switch=1,IF(_xll.BDP($D173,$D$170, "EQY_FUND_RELATIVE_PERIOD", E$3)="#N/A N/A","NA  ",(_xll.BDP($D173,$D$170, "EQY_FUND_RELATIVE_PERIOD", E$3)))/100,E173),"NA "))</f>
        <v>0.24260272051605664</v>
      </c>
      <c r="F173" s="242">
        <f ca="1">(IFERROR(IF(BB_Switch=1,IF(_xll.BDP($D173,$D$170, "EQY_FUND_RELATIVE_PERIOD", F$3)="#N/A N/A","NA  ",(_xll.BDP($D173,$D$170, "EQY_FUND_RELATIVE_PERIOD", F$3)))/100,F173),"NA "))</f>
        <v>-9.0669150752988689E-2</v>
      </c>
      <c r="G173" s="242">
        <f ca="1">(IFERROR(IF(BB_Switch=1,IF(_xll.BDP($D173,$D$170, "EQY_FUND_RELATIVE_PERIOD", G$3)="#N/A N/A","NA  ",(_xll.BDP($D173,$D$170, "EQY_FUND_RELATIVE_PERIOD", G$3)))/100,G173),"NA "))</f>
        <v>-9.35539938033704E-2</v>
      </c>
      <c r="H173" s="242">
        <f ca="1">(IFERROR(IF(BB_Switch=1,IF(_xll.BDP($D173,$D$170, "EQY_FUND_RELATIVE_PERIOD", H$3)="#N/A N/A","NA  ",(_xll.BDP($D173,$D$170, "EQY_FUND_RELATIVE_PERIOD", H$3)))/100,H173),"NA "))</f>
        <v>-8.7212817412333749E-2</v>
      </c>
      <c r="I173" s="242">
        <f ca="1">(IFERROR(IF(BB_Switch=1,IF(_xll.BDP($D173,$D$170, "EQY_FUND_RELATIVE_PERIOD", I$3)="#N/A N/A","NA  ",(_xll.BDP($D173,$D$170, "EQY_FUND_RELATIVE_PERIOD", I$3)))/100,I173),"NA "))</f>
        <v>-8.7570192745484887E-2</v>
      </c>
      <c r="J173" s="242">
        <f ca="1">(IFERROR(IF(BB_Switch=1,IF(_xll.BDP($D173,$D$170, "EQY_FUND_RELATIVE_PERIOD", J$3)="#N/A N/A","NA  ",(_xll.BDP($D173,$D$170, "EQY_FUND_RELATIVE_PERIOD", J$3)))/100,J173),"NA "))</f>
        <v>0.30403057678943718</v>
      </c>
      <c r="K173" s="242">
        <f ca="1">(IFERROR(IF(BB_Switch=1,IF(_xll.BDP($D173,$D$170, "EQY_FUND_RELATIVE_PERIOD", K$3)="#N/A N/A","NA  ",(_xll.BDP($D173,$D$170, "EQY_FUND_RELATIVE_PERIOD", K$3)))/100,K173),"NA "))</f>
        <v>0.31561124280392827</v>
      </c>
      <c r="L173" s="242">
        <f ca="1">(IFERROR(IF(BB_Switch=1,IF(_xll.BDP($D173,$D$170, "EQY_FUND_RELATIVE_PERIOD", L$3)="#N/A N/A","NA  ",(_xll.BDP($D173,$D$170, "EQY_FUND_RELATIVE_PERIOD", L$3)))/100,L173),"NA "))</f>
        <v>0.28072024593763734</v>
      </c>
      <c r="M173" s="242">
        <f ca="1">(IFERROR(IF(BB_Switch=1,IF(_xll.BDP($D173,$D$170, "EQY_FUND_RELATIVE_PERIOD", M$3)="#N/A N/A","NA  ",(_xll.BDP($D173,$D$170, "EQY_FUND_RELATIVE_PERIOD", M$3)))/100,M173),"NA "))</f>
        <v>0.26223533495314127</v>
      </c>
      <c r="N173" s="242">
        <f ca="1">(IFERROR(IF(BB_Switch=1,IF(_xll.BDP($D173,$D$170, "EQY_FUND_RELATIVE_PERIOD", N$3)="#N/A N/A","NA  ",(_xll.BDP($D173,$D$170, "EQY_FUND_RELATIVE_PERIOD", N$3)))/100,N173),"NA "))</f>
        <v>0.24375161040968824</v>
      </c>
      <c r="O173" s="242">
        <f ca="1">(IFERROR(IF(BB_Switch=1,IF(_xll.BDP($D173,$D$170, "EQY_FUND_RELATIVE_PERIOD", O$3)="#N/A N/A","NA  ",(_xll.BDP($D173,$D$170, "EQY_FUND_RELATIVE_PERIOD", O$3)))/100,O173),"NA "))</f>
        <v>0.22362413878974016</v>
      </c>
      <c r="P173" s="242">
        <f ca="1">(IFERROR(IF(BB_Switch=1,IF(_xll.BDP($D173,$D$170, "EQY_FUND_RELATIVE_PERIOD", P$3)="#N/A N/A","NA  ",(_xll.BDP($D173,$D$170, "EQY_FUND_RELATIVE_PERIOD", P$3)))/100,P173),"NA "))</f>
        <v>0.73949368678937122</v>
      </c>
      <c r="Q173" s="244"/>
      <c r="R173" s="244"/>
      <c r="S173" s="244"/>
      <c r="T173" s="244"/>
      <c r="U173" s="227"/>
      <c r="V173" s="242">
        <f ca="1">(IFERROR(IF(BB_Switch=1,IF(_xll.BDP($D173,$D$170, "EQY_FUND_RELATIVE_PERIOD", V$3)="#N/A N/A","NA  ",(_xll.BDP($D173,$D$170, "EQY_FUND_RELATIVE_PERIOD", V$3)))/100,V173),"NA "))</f>
        <v>0.37221014078058834</v>
      </c>
      <c r="W173" s="242">
        <f ca="1">(IFERROR(IF(BB_Switch=1,IF(_xll.BDP($D173,$D$170, "EQY_FUND_RELATIVE_PERIOD", W$3)="#N/A N/A","NA  ",(_xll.BDP($D173,$D$170, "EQY_FUND_RELATIVE_PERIOD", W$3)))/100,W173),"NA "))</f>
        <v>0.3125962147967038</v>
      </c>
      <c r="X173" s="242">
        <f ca="1">(IFERROR(IF(BB_Switch=1,IF(_xll.BDP($D173,$D$170, "EQY_FUND_RELATIVE_PERIOD", X$3)="#N/A N/A","NA  ",(_xll.BDP($D173,$D$170, "EQY_FUND_RELATIVE_PERIOD", X$3)))/100,X173),"NA "))</f>
        <v>0.11812058485296534</v>
      </c>
      <c r="Y173" s="242">
        <f ca="1">(IFERROR(IF(BB_Switch=1,IF(_xll.BDP($D173,$D$170, "EQY_FUND_RELATIVE_PERIOD", Y$3)="#N/A N/A","NA  ",(_xll.BDP($D173,$D$170, "EQY_FUND_RELATIVE_PERIOD", Y$3)))/100,Y173),"NA "))</f>
        <v>0.3036303630363037</v>
      </c>
      <c r="Z173" s="242">
        <f ca="1">(IFERROR(IF(BB_Switch=1,IF(_xll.BDP($D173,$D$170, "EQY_FUND_RELATIVE_PERIOD", Z$3)="#N/A N/A","NA  ",(_xll.BDP($D173,$D$170, "EQY_FUND_RELATIVE_PERIOD", Z$3)))/100,Z173),"NA "))</f>
        <v>9.0354229650333698E-2</v>
      </c>
      <c r="AA173" s="242">
        <f ca="1">(IFERROR(IF(BB_Switch=1,IF(_xll.BDP($D173,$D$170, "EQY_FUND_RELATIVE_PERIOD", AA$3)="#N/A N/A","NA  ",(_xll.BDP($D173,$D$170, "EQY_FUND_RELATIVE_PERIOD", AA$3)))/100,AA173),"NA "))</f>
        <v>0.19533941236068894</v>
      </c>
      <c r="AB173" s="242">
        <f ca="1">(IFERROR(IF(BB_Switch=1,IF(_xll.BDP($D173,$D$170, "EQY_FUND_RELATIVE_PERIOD", AB$3)="#N/A N/A","NA  ",(_xll.BDP($D173,$D$170, "EQY_FUND_RELATIVE_PERIOD", AB$3)))/100,AB173),"NA "))</f>
        <v>0.23122681783189866</v>
      </c>
      <c r="AC173" s="242">
        <f ca="1">(IFERROR(IF(BB_Switch=1,IF(_xll.BDP($D173,$D$170, "EQY_FUND_RELATIVE_PERIOD", AC$3)="#N/A N/A","NA  ",(_xll.BDP($D173,$D$170, "EQY_FUND_RELATIVE_PERIOD", AC$3)))/100,AC173),"NA "))</f>
        <v>-8.7212817412333721E-2</v>
      </c>
      <c r="AD173" s="242">
        <f ca="1">(IFERROR(IF(BB_Switch=1,IF(_xll.BDP($D173,$D$170, "EQY_FUND_RELATIVE_PERIOD", AD$3)="#N/A N/A","NA  ",(_xll.BDP($D173,$D$170, "EQY_FUND_RELATIVE_PERIOD", AD$3)))/100,AD173),"NA "))</f>
        <v>0.28072024593763734</v>
      </c>
      <c r="AE173" s="242">
        <f ca="1">(IFERROR(IF(BB_Switch=1,IF(_xll.BDP($D173,$D$170, "EQY_FUND_RELATIVE_PERIOD", AE$3)="#N/A N/A","NA  ",(_xll.BDP($D173,$D$170, "EQY_FUND_RELATIVE_PERIOD", AE$3)))/100,AE173),"NA "))</f>
        <v>0.73949368678937122</v>
      </c>
      <c r="AF173" s="245">
        <f ca="1">IFERROR(AVERAGE(V173:AE173),"NA  ")</f>
        <v>0.25564788786241571</v>
      </c>
      <c r="AG173" s="237"/>
      <c r="AH173" s="244"/>
      <c r="AI173" s="244"/>
      <c r="AJ173" s="244"/>
    </row>
    <row r="174" spans="2:37" ht="11.25" customHeight="1">
      <c r="C174" s="229" t="str">
        <f ca="1">IFERROR(IF(BB_Switch=1,_xll.BDP($D174,$C$270),C174), "NA ")</f>
        <v>Olin Corp</v>
      </c>
      <c r="D174" s="227" t="str">
        <f t="shared" si="51"/>
        <v>OLN US EQUITY</v>
      </c>
      <c r="E174" s="242">
        <f ca="1">(IFERROR(IF(BB_Switch=1,IF(_xll.BDP($D174,$D$170, "EQY_FUND_RELATIVE_PERIOD", E$3)="#N/A N/A","NA  ",(_xll.BDP($D174,$D$170, "EQY_FUND_RELATIVE_PERIOD", E$3)))/100,E174),"NA "))</f>
        <v>2.0411678580656276E-2</v>
      </c>
      <c r="F174" s="242">
        <f ca="1">(IFERROR(IF(BB_Switch=1,IF(_xll.BDP($D174,$D$170, "EQY_FUND_RELATIVE_PERIOD", F$3)="#N/A N/A","NA  ",(_xll.BDP($D174,$D$170, "EQY_FUND_RELATIVE_PERIOD", F$3)))/100,F174),"NA "))</f>
        <v>1.852013247341816E-2</v>
      </c>
      <c r="G174" s="242">
        <f ca="1">(IFERROR(IF(BB_Switch=1,IF(_xll.BDP($D174,$D$170, "EQY_FUND_RELATIVE_PERIOD", G$3)="#N/A N/A","NA  ",(_xll.BDP($D174,$D$170, "EQY_FUND_RELATIVE_PERIOD", G$3)))/100,G174),"NA "))</f>
        <v>3.35695152510153E-2</v>
      </c>
      <c r="H174" s="242">
        <f ca="1">(IFERROR(IF(BB_Switch=1,IF(_xll.BDP($D174,$D$170, "EQY_FUND_RELATIVE_PERIOD", H$3)="#N/A N/A","NA  ",(_xll.BDP($D174,$D$170, "EQY_FUND_RELATIVE_PERIOD", H$3)))/100,H174),"NA "))</f>
        <v>0.21863250243698651</v>
      </c>
      <c r="I174" s="242">
        <f ca="1">(IFERROR(IF(BB_Switch=1,IF(_xll.BDP($D174,$D$170, "EQY_FUND_RELATIVE_PERIOD", I$3)="#N/A N/A","NA  ",(_xll.BDP($D174,$D$170, "EQY_FUND_RELATIVE_PERIOD", I$3)))/100,I174),"NA "))</f>
        <v>0.2212644248912547</v>
      </c>
      <c r="J174" s="242">
        <f ca="1">(IFERROR(IF(BB_Switch=1,IF(_xll.BDP($D174,$D$170, "EQY_FUND_RELATIVE_PERIOD", J$3)="#N/A N/A","NA  ",(_xll.BDP($D174,$D$170, "EQY_FUND_RELATIVE_PERIOD", J$3)))/100,J174),"NA "))</f>
        <v>0.24752573829579624</v>
      </c>
      <c r="K174" s="242">
        <f ca="1">(IFERROR(IF(BB_Switch=1,IF(_xll.BDP($D174,$D$170, "EQY_FUND_RELATIVE_PERIOD", K$3)="#N/A N/A","NA  ",(_xll.BDP($D174,$D$170, "EQY_FUND_RELATIVE_PERIOD", K$3)))/100,K174),"NA "))</f>
        <v>0.29260351629831083</v>
      </c>
      <c r="L174" s="242">
        <f ca="1">(IFERROR(IF(BB_Switch=1,IF(_xll.BDP($D174,$D$170, "EQY_FUND_RELATIVE_PERIOD", L$3)="#N/A N/A","NA  ",(_xll.BDP($D174,$D$170, "EQY_FUND_RELATIVE_PERIOD", L$3)))/100,L174),"NA "))</f>
        <v>0.1174027462002542</v>
      </c>
      <c r="M174" s="242">
        <f ca="1">(IFERROR(IF(BB_Switch=1,IF(_xll.BDP($D174,$D$170, "EQY_FUND_RELATIVE_PERIOD", M$3)="#N/A N/A","NA  ",(_xll.BDP($D174,$D$170, "EQY_FUND_RELATIVE_PERIOD", M$3)))/100,M174),"NA "))</f>
        <v>0.12452014926705593</v>
      </c>
      <c r="N174" s="242">
        <f ca="1">(IFERROR(IF(BB_Switch=1,IF(_xll.BDP($D174,$D$170, "EQY_FUND_RELATIVE_PERIOD", N$3)="#N/A N/A","NA  ",(_xll.BDP($D174,$D$170, "EQY_FUND_RELATIVE_PERIOD", N$3)))/100,N174),"NA "))</f>
        <v>9.7616509152677153E-2</v>
      </c>
      <c r="O174" s="242">
        <f ca="1">(IFERROR(IF(BB_Switch=1,IF(_xll.BDP($D174,$D$170, "EQY_FUND_RELATIVE_PERIOD", O$3)="#N/A N/A","NA  ",(_xll.BDP($D174,$D$170, "EQY_FUND_RELATIVE_PERIOD", O$3)))/100,O174),"NA "))</f>
        <v>4.2665903071085982E-2</v>
      </c>
      <c r="P174" s="242">
        <f ca="1">(IFERROR(IF(BB_Switch=1,IF(_xll.BDP($D174,$D$170, "EQY_FUND_RELATIVE_PERIOD", P$3)="#N/A N/A","NA  ",(_xll.BDP($D174,$D$170, "EQY_FUND_RELATIVE_PERIOD", P$3)))/100,P174),"NA "))</f>
        <v>-4.3050079052136302E-3</v>
      </c>
      <c r="Q174" s="244"/>
      <c r="R174" s="244"/>
      <c r="S174" s="244"/>
      <c r="T174" s="244"/>
      <c r="U174" s="227"/>
      <c r="V174" s="242">
        <f ca="1">(IFERROR(IF(BB_Switch=1,IF(_xll.BDP($D174,$D$170, "EQY_FUND_RELATIVE_PERIOD", V$3)="#N/A N/A","NA  ",(_xll.BDP($D174,$D$170, "EQY_FUND_RELATIVE_PERIOD", V$3)))/100,V174),"NA "))</f>
        <v>7.8421880672879099E-2</v>
      </c>
      <c r="W174" s="242">
        <f ca="1">(IFERROR(IF(BB_Switch=1,IF(_xll.BDP($D174,$D$170, "EQY_FUND_RELATIVE_PERIOD", W$3)="#N/A N/A","NA  ",(_xll.BDP($D174,$D$170, "EQY_FUND_RELATIVE_PERIOD", W$3)))/100,W174),"NA "))</f>
        <v>0.26617477011177798</v>
      </c>
      <c r="X174" s="242">
        <f ca="1">(IFERROR(IF(BB_Switch=1,IF(_xll.BDP($D174,$D$170, "EQY_FUND_RELATIVE_PERIOD", X$3)="#N/A N/A","NA  ",(_xll.BDP($D174,$D$170, "EQY_FUND_RELATIVE_PERIOD", X$3)))/100,X174),"NA "))</f>
        <v>0.15079125088196754</v>
      </c>
      <c r="Y174" s="242">
        <f ca="1">(IFERROR(IF(BB_Switch=1,IF(_xll.BDP($D174,$D$170, "EQY_FUND_RELATIVE_PERIOD", Y$3)="#N/A N/A","NA  ",(_xll.BDP($D174,$D$170, "EQY_FUND_RELATIVE_PERIOD", Y$3)))/100,Y174),"NA "))</f>
        <v>0.17013574660633485</v>
      </c>
      <c r="Z174" s="242">
        <f ca="1">(IFERROR(IF(BB_Switch=1,IF(_xll.BDP($D174,$D$170, "EQY_FUND_RELATIVE_PERIOD", Z$3)="#N/A N/A","NA  ",(_xll.BDP($D174,$D$170, "EQY_FUND_RELATIVE_PERIOD", Z$3)))/100,Z174),"NA "))</f>
        <v>9.9981082103670071E-2</v>
      </c>
      <c r="AA174" s="242">
        <f ca="1">(IFERROR(IF(BB_Switch=1,IF(_xll.BDP($D174,$D$170, "EQY_FUND_RELATIVE_PERIOD", AA$3)="#N/A N/A","NA  ",(_xll.BDP($D174,$D$170, "EQY_FUND_RELATIVE_PERIOD", AA$3)))/100,AA174),"NA "))</f>
        <v>-8.1582704466653055E-4</v>
      </c>
      <c r="AB174" s="242">
        <f ca="1">(IFERROR(IF(BB_Switch=1,IF(_xll.BDP($D174,$D$170, "EQY_FUND_RELATIVE_PERIOD", AB$3)="#N/A N/A","NA  ",(_xll.BDP($D174,$D$170, "EQY_FUND_RELATIVE_PERIOD", AB$3)))/100,AB174),"NA "))</f>
        <v>-1.6624749563067479E-3</v>
      </c>
      <c r="AC174" s="242">
        <f ca="1">(IFERROR(IF(BB_Switch=1,IF(_xll.BDP($D174,$D$170, "EQY_FUND_RELATIVE_PERIOD", AC$3)="#N/A N/A","NA  ",(_xll.BDP($D174,$D$170, "EQY_FUND_RELATIVE_PERIOD", AC$3)))/100,AC174),"NA "))</f>
        <v>0.21863250243698651</v>
      </c>
      <c r="AD174" s="242">
        <f ca="1">(IFERROR(IF(BB_Switch=1,IF(_xll.BDP($D174,$D$170, "EQY_FUND_RELATIVE_PERIOD", AD$3)="#N/A N/A","NA  ",(_xll.BDP($D174,$D$170, "EQY_FUND_RELATIVE_PERIOD", AD$3)))/100,AD174),"NA "))</f>
        <v>0.1174027462002542</v>
      </c>
      <c r="AE174" s="242">
        <f ca="1">(IFERROR(IF(BB_Switch=1,IF(_xll.BDP($D174,$D$170, "EQY_FUND_RELATIVE_PERIOD", AE$3)="#N/A N/A","NA  ",(_xll.BDP($D174,$D$170, "EQY_FUND_RELATIVE_PERIOD", AE$3)))/100,AE174),"NA "))</f>
        <v>-4.3050079052136319E-3</v>
      </c>
      <c r="AF174" s="245">
        <f ca="1">IFERROR(AVERAGE(V174:AE174),"NA  ")</f>
        <v>0.10947566691076834</v>
      </c>
      <c r="AG174" s="237"/>
      <c r="AH174" s="244"/>
      <c r="AI174" s="244"/>
      <c r="AJ174" s="244"/>
    </row>
    <row r="175" spans="2:37" ht="11.25" customHeight="1">
      <c r="C175" s="229" t="str">
        <f ca="1">IFERROR(IF(BB_Switch=1,_xll.BDP($D175,$C$270),C175), "NA ")</f>
        <v>LyondellBasell Industries NV</v>
      </c>
      <c r="D175" s="227" t="str">
        <f t="shared" si="51"/>
        <v>LYB US EQUITY</v>
      </c>
      <c r="E175" s="242">
        <f ca="1">(IFERROR(IF(BB_Switch=1,IF(_xll.BDP($D175,$D$170, "EQY_FUND_RELATIVE_PERIOD", E$3)="#N/A N/A","NA  ",(_xll.BDP($D175,$D$170, "EQY_FUND_RELATIVE_PERIOD", E$3)))/100,E175),"NA "))</f>
        <v>0.56223645166328284</v>
      </c>
      <c r="F175" s="242">
        <f ca="1">(IFERROR(IF(BB_Switch=1,IF(_xll.BDP($D175,$D$170, "EQY_FUND_RELATIVE_PERIOD", F$3)="#N/A N/A","NA  ",(_xll.BDP($D175,$D$170, "EQY_FUND_RELATIVE_PERIOD", F$3)))/100,F175),"NA "))</f>
        <v>0.55395847592972847</v>
      </c>
      <c r="G175" s="242">
        <f ca="1">(IFERROR(IF(BB_Switch=1,IF(_xll.BDP($D175,$D$170, "EQY_FUND_RELATIVE_PERIOD", G$3)="#N/A N/A","NA  ",(_xll.BDP($D175,$D$170, "EQY_FUND_RELATIVE_PERIOD", G$3)))/100,G175),"NA "))</f>
        <v>0.55892004773269688</v>
      </c>
      <c r="H175" s="242">
        <f ca="1">(IFERROR(IF(BB_Switch=1,IF(_xll.BDP($D175,$D$170, "EQY_FUND_RELATIVE_PERIOD", H$3)="#N/A N/A","NA  ",(_xll.BDP($D175,$D$170, "EQY_FUND_RELATIVE_PERIOD", H$3)))/100,H175),"NA "))</f>
        <v>0.64986330599453224</v>
      </c>
      <c r="I175" s="242">
        <f ca="1">(IFERROR(IF(BB_Switch=1,IF(_xll.BDP($D175,$D$170, "EQY_FUND_RELATIVE_PERIOD", I$3)="#N/A N/A","NA  ",(_xll.BDP($D175,$D$170, "EQY_FUND_RELATIVE_PERIOD", I$3)))/100,I175),"NA "))</f>
        <v>0.65558987029030258</v>
      </c>
      <c r="J175" s="242">
        <f ca="1">(IFERROR(IF(BB_Switch=1,IF(_xll.BDP($D175,$D$170, "EQY_FUND_RELATIVE_PERIOD", J$3)="#N/A N/A","NA  ",(_xll.BDP($D175,$D$170, "EQY_FUND_RELATIVE_PERIOD", J$3)))/100,J175),"NA "))</f>
        <v>0.66750629722921917</v>
      </c>
      <c r="K175" s="242">
        <f ca="1">(IFERROR(IF(BB_Switch=1,IF(_xll.BDP($D175,$D$170, "EQY_FUND_RELATIVE_PERIOD", K$3)="#N/A N/A","NA  ",(_xll.BDP($D175,$D$170, "EQY_FUND_RELATIVE_PERIOD", K$3)))/100,K175),"NA "))</f>
        <v>0.64071856287425144</v>
      </c>
      <c r="L175" s="242">
        <f ca="1">(IFERROR(IF(BB_Switch=1,IF(_xll.BDP($D175,$D$170, "EQY_FUND_RELATIVE_PERIOD", L$3)="#N/A N/A","NA  ",(_xll.BDP($D175,$D$170, "EQY_FUND_RELATIVE_PERIOD", L$3)))/100,L175),"NA "))</f>
        <v>0.48807664271581802</v>
      </c>
      <c r="M175" s="242">
        <f ca="1">(IFERROR(IF(BB_Switch=1,IF(_xll.BDP($D175,$D$170, "EQY_FUND_RELATIVE_PERIOD", M$3)="#N/A N/A","NA  ",(_xll.BDP($D175,$D$170, "EQY_FUND_RELATIVE_PERIOD", M$3)))/100,M175),"NA "))</f>
        <v>0.42998087184133693</v>
      </c>
      <c r="N175" s="242">
        <f ca="1">(IFERROR(IF(BB_Switch=1,IF(_xll.BDP($D175,$D$170, "EQY_FUND_RELATIVE_PERIOD", N$3)="#N/A N/A","NA  ",(_xll.BDP($D175,$D$170, "EQY_FUND_RELATIVE_PERIOD", N$3)))/100,N175),"NA "))</f>
        <v>0.3393518735637574</v>
      </c>
      <c r="O175" s="242">
        <f ca="1">(IFERROR(IF(BB_Switch=1,IF(_xll.BDP($D175,$D$170, "EQY_FUND_RELATIVE_PERIOD", O$3)="#N/A N/A","NA  ",(_xll.BDP($D175,$D$170, "EQY_FUND_RELATIVE_PERIOD", O$3)))/100,O175),"NA "))</f>
        <v>0.36657511092330447</v>
      </c>
      <c r="P175" s="242">
        <f ca="1">(IFERROR(IF(BB_Switch=1,IF(_xll.BDP($D175,$D$170, "EQY_FUND_RELATIVE_PERIOD", P$3)="#N/A N/A","NA  ",(_xll.BDP($D175,$D$170, "EQY_FUND_RELATIVE_PERIOD", P$3)))/100,P175),"NA "))</f>
        <v>0.37069012622261077</v>
      </c>
      <c r="Q175" s="244"/>
      <c r="R175" s="244"/>
      <c r="S175" s="244"/>
      <c r="T175" s="244"/>
      <c r="U175" s="227"/>
      <c r="V175" s="242" t="str">
        <f ca="1">(IFERROR(IF(BB_Switch=1,IF(_xll.BDP($D175,$D$170, "EQY_FUND_RELATIVE_PERIOD", V$3)="#N/A N/A","NA  ",(_xll.BDP($D175,$D$170, "EQY_FUND_RELATIVE_PERIOD", V$3)))/100,V175),"NA "))</f>
        <v xml:space="preserve">NA </v>
      </c>
      <c r="W175" s="242">
        <f ca="1">(IFERROR(IF(BB_Switch=1,IF(_xll.BDP($D175,$D$170, "EQY_FUND_RELATIVE_PERIOD", W$3)="#N/A N/A","NA  ",(_xll.BDP($D175,$D$170, "EQY_FUND_RELATIVE_PERIOD", W$3)))/100,W175),"NA "))</f>
        <v>0.19278741865509763</v>
      </c>
      <c r="X175" s="242">
        <f ca="1">(IFERROR(IF(BB_Switch=1,IF(_xll.BDP($D175,$D$170, "EQY_FUND_RELATIVE_PERIOD", X$3)="#N/A N/A","NA  ",(_xll.BDP($D175,$D$170, "EQY_FUND_RELATIVE_PERIOD", X$3)))/100,X175),"NA "))</f>
        <v>0.2621019694459783</v>
      </c>
      <c r="Y175" s="242">
        <f ca="1">(IFERROR(IF(BB_Switch=1,IF(_xll.BDP($D175,$D$170, "EQY_FUND_RELATIVE_PERIOD", Y$3)="#N/A N/A","NA  ",(_xll.BDP($D175,$D$170, "EQY_FUND_RELATIVE_PERIOD", Y$3)))/100,Y175),"NA "))</f>
        <v>0.32662912308930009</v>
      </c>
      <c r="Z175" s="242">
        <f ca="1">(IFERROR(IF(BB_Switch=1,IF(_xll.BDP($D175,$D$170, "EQY_FUND_RELATIVE_PERIOD", Z$3)="#N/A N/A","NA  ",(_xll.BDP($D175,$D$170, "EQY_FUND_RELATIVE_PERIOD", Z$3)))/100,Z175),"NA "))</f>
        <v>0.40034628703347441</v>
      </c>
      <c r="AA175" s="242">
        <f ca="1">(IFERROR(IF(BB_Switch=1,IF(_xll.BDP($D175,$D$170, "EQY_FUND_RELATIVE_PERIOD", AA$3)="#N/A N/A","NA  ",(_xll.BDP($D175,$D$170, "EQY_FUND_RELATIVE_PERIOD", AA$3)))/100,AA175),"NA "))</f>
        <v>0.60118406889128095</v>
      </c>
      <c r="AB175" s="242">
        <f ca="1">(IFERROR(IF(BB_Switch=1,IF(_xll.BDP($D175,$D$170, "EQY_FUND_RELATIVE_PERIOD", AB$3)="#N/A N/A","NA  ",(_xll.BDP($D175,$D$170, "EQY_FUND_RELATIVE_PERIOD", AB$3)))/100,AB175),"NA "))</f>
        <v>0.60835053183044929</v>
      </c>
      <c r="AC175" s="242">
        <f ca="1">(IFERROR(IF(BB_Switch=1,IF(_xll.BDP($D175,$D$170, "EQY_FUND_RELATIVE_PERIOD", AC$3)="#N/A N/A","NA  ",(_xll.BDP($D175,$D$170, "EQY_FUND_RELATIVE_PERIOD", AC$3)))/100,AC175),"NA "))</f>
        <v>0.6499966659998665</v>
      </c>
      <c r="AD175" s="242">
        <f ca="1">(IFERROR(IF(BB_Switch=1,IF(_xll.BDP($D175,$D$170, "EQY_FUND_RELATIVE_PERIOD", AD$3)="#N/A N/A","NA  ",(_xll.BDP($D175,$D$170, "EQY_FUND_RELATIVE_PERIOD", AD$3)))/100,AD175),"NA "))</f>
        <v>0.48901384983859209</v>
      </c>
      <c r="AE175" s="242">
        <f ca="1">(IFERROR(IF(BB_Switch=1,IF(_xll.BDP($D175,$D$170, "EQY_FUND_RELATIVE_PERIOD", AE$3)="#N/A N/A","NA  ",(_xll.BDP($D175,$D$170, "EQY_FUND_RELATIVE_PERIOD", AE$3)))/100,AE175),"NA "))</f>
        <v>0.37047155893120587</v>
      </c>
      <c r="AF175" s="245">
        <f ca="1">IFERROR(AVERAGE(V175:AE175),"NA  ")</f>
        <v>0.43343127485724947</v>
      </c>
      <c r="AG175" s="237"/>
      <c r="AH175" s="244"/>
      <c r="AI175" s="244"/>
      <c r="AJ175" s="244"/>
    </row>
    <row r="176" spans="2:37" ht="11.25" customHeight="1">
      <c r="C176" s="229" t="str">
        <f ca="1">IFERROR(IF(BB_Switch=1,_xll.BDP($D176,$C$270),C176), "NA ")</f>
        <v>Westlake Chemical Corp</v>
      </c>
      <c r="D176" s="227" t="str">
        <f t="shared" si="51"/>
        <v>WLK US EQUITY</v>
      </c>
      <c r="E176" s="242">
        <f ca="1">(IFERROR(IF(BB_Switch=1,IF(_xll.BDP($D176,$D$170, "EQY_FUND_RELATIVE_PERIOD", E$3)="#N/A N/A","NA  ",(_xll.BDP($D176,$D$170, "EQY_FUND_RELATIVE_PERIOD", E$3)))/100,E176),"NA "))</f>
        <v>0.11645547334016255</v>
      </c>
      <c r="F176" s="242">
        <f ca="1">(IFERROR(IF(BB_Switch=1,IF(_xll.BDP($D176,$D$170, "EQY_FUND_RELATIVE_PERIOD", F$3)="#N/A N/A","NA  ",(_xll.BDP($D176,$D$170, "EQY_FUND_RELATIVE_PERIOD", F$3)))/100,F176),"NA "))</f>
        <v>0.12467060439560437</v>
      </c>
      <c r="G176" s="242">
        <f ca="1">(IFERROR(IF(BB_Switch=1,IF(_xll.BDP($D176,$D$170, "EQY_FUND_RELATIVE_PERIOD", G$3)="#N/A N/A","NA  ",(_xll.BDP($D176,$D$170, "EQY_FUND_RELATIVE_PERIOD", G$3)))/100,G176),"NA "))</f>
        <v>0.15928594717705516</v>
      </c>
      <c r="H176" s="242">
        <f ca="1">(IFERROR(IF(BB_Switch=1,IF(_xll.BDP($D176,$D$170, "EQY_FUND_RELATIVE_PERIOD", H$3)="#N/A N/A","NA  ",(_xll.BDP($D176,$D$170, "EQY_FUND_RELATIVE_PERIOD", H$3)))/100,H176),"NA "))</f>
        <v>0.30937303850884573</v>
      </c>
      <c r="I176" s="242">
        <f ca="1">(IFERROR(IF(BB_Switch=1,IF(_xll.BDP($D176,$D$170, "EQY_FUND_RELATIVE_PERIOD", I$3)="#N/A N/A","NA  ",(_xll.BDP($D176,$D$170, "EQY_FUND_RELATIVE_PERIOD", I$3)))/100,I176),"NA "))</f>
        <v>0.3288563118366909</v>
      </c>
      <c r="J176" s="242">
        <f ca="1">(IFERROR(IF(BB_Switch=1,IF(_xll.BDP($D176,$D$170, "EQY_FUND_RELATIVE_PERIOD", J$3)="#N/A N/A","NA  ",(_xll.BDP($D176,$D$170, "EQY_FUND_RELATIVE_PERIOD", J$3)))/100,J176),"NA "))</f>
        <v>0.34119913239797683</v>
      </c>
      <c r="K176" s="242">
        <f ca="1">(IFERROR(IF(BB_Switch=1,IF(_xll.BDP($D176,$D$170, "EQY_FUND_RELATIVE_PERIOD", K$3)="#N/A N/A","NA  ",(_xll.BDP($D176,$D$170, "EQY_FUND_RELATIVE_PERIOD", K$3)))/100,K176),"NA "))</f>
        <v>0.34475006860877938</v>
      </c>
      <c r="L176" s="242">
        <f ca="1">(IFERROR(IF(BB_Switch=1,IF(_xll.BDP($D176,$D$170, "EQY_FUND_RELATIVE_PERIOD", L$3)="#N/A N/A","NA  ",(_xll.BDP($D176,$D$170, "EQY_FUND_RELATIVE_PERIOD", L$3)))/100,L176),"NA "))</f>
        <v>0.18941131498470948</v>
      </c>
      <c r="M176" s="242">
        <f ca="1">(IFERROR(IF(BB_Switch=1,IF(_xll.BDP($D176,$D$170, "EQY_FUND_RELATIVE_PERIOD", M$3)="#N/A N/A","NA  ",(_xll.BDP($D176,$D$170, "EQY_FUND_RELATIVE_PERIOD", M$3)))/100,M176),"NA "))</f>
        <v>0.14443516197902162</v>
      </c>
      <c r="N176" s="242">
        <f ca="1">(IFERROR(IF(BB_Switch=1,IF(_xll.BDP($D176,$D$170, "EQY_FUND_RELATIVE_PERIOD", N$3)="#N/A N/A","NA  ",(_xll.BDP($D176,$D$170, "EQY_FUND_RELATIVE_PERIOD", N$3)))/100,N176),"NA "))</f>
        <v>0.11226423607977619</v>
      </c>
      <c r="O176" s="242">
        <f ca="1">(IFERROR(IF(BB_Switch=1,IF(_xll.BDP($D176,$D$170, "EQY_FUND_RELATIVE_PERIOD", O$3)="#N/A N/A","NA  ",(_xll.BDP($D176,$D$170, "EQY_FUND_RELATIVE_PERIOD", O$3)))/100,O176),"NA "))</f>
        <v>8.2618589182566093E-2</v>
      </c>
      <c r="P176" s="242">
        <f ca="1">(IFERROR(IF(BB_Switch=1,IF(_xll.BDP($D176,$D$170, "EQY_FUND_RELATIVE_PERIOD", P$3)="#N/A N/A","NA  ",(_xll.BDP($D176,$D$170, "EQY_FUND_RELATIVE_PERIOD", P$3)))/100,P176),"NA "))</f>
        <v>7.3711790393013094E-2</v>
      </c>
      <c r="Q176" s="244"/>
      <c r="R176" s="244"/>
      <c r="S176" s="244"/>
      <c r="T176" s="244"/>
      <c r="U176" s="227"/>
      <c r="V176" s="242">
        <f ca="1">(IFERROR(IF(BB_Switch=1,IF(_xll.BDP($D176,$D$170, "EQY_FUND_RELATIVE_PERIOD", V$3)="#N/A N/A","NA  ",(_xll.BDP($D176,$D$170, "EQY_FUND_RELATIVE_PERIOD", V$3)))/100,V176),"NA "))</f>
        <v>0.15870170161703082</v>
      </c>
      <c r="W176" s="242">
        <f ca="1">(IFERROR(IF(BB_Switch=1,IF(_xll.BDP($D176,$D$170, "EQY_FUND_RELATIVE_PERIOD", W$3)="#N/A N/A","NA  ",(_xll.BDP($D176,$D$170, "EQY_FUND_RELATIVE_PERIOD", W$3)))/100,W176),"NA "))</f>
        <v>0.15739094653738817</v>
      </c>
      <c r="X176" s="242">
        <f ca="1">(IFERROR(IF(BB_Switch=1,IF(_xll.BDP($D176,$D$170, "EQY_FUND_RELATIVE_PERIOD", X$3)="#N/A N/A","NA  ",(_xll.BDP($D176,$D$170, "EQY_FUND_RELATIVE_PERIOD", X$3)))/100,X176),"NA "))</f>
        <v>0.2113202784128615</v>
      </c>
      <c r="Y176" s="242">
        <f ca="1">(IFERROR(IF(BB_Switch=1,IF(_xll.BDP($D176,$D$170, "EQY_FUND_RELATIVE_PERIOD", Y$3)="#N/A N/A","NA  ",(_xll.BDP($D176,$D$170, "EQY_FUND_RELATIVE_PERIOD", Y$3)))/100,Y176),"NA "))</f>
        <v>0.28332928208547514</v>
      </c>
      <c r="Z176" s="242">
        <f ca="1">(IFERROR(IF(BB_Switch=1,IF(_xll.BDP($D176,$D$170, "EQY_FUND_RELATIVE_PERIOD", Z$3)="#N/A N/A","NA  ",(_xll.BDP($D176,$D$170, "EQY_FUND_RELATIVE_PERIOD", Z$3)))/100,Z176),"NA "))</f>
        <v>0.25403621761185602</v>
      </c>
      <c r="AA176" s="242">
        <f ca="1">(IFERROR(IF(BB_Switch=1,IF(_xll.BDP($D176,$D$170, "EQY_FUND_RELATIVE_PERIOD", AA$3)="#N/A N/A","NA  ",(_xll.BDP($D176,$D$170, "EQY_FUND_RELATIVE_PERIOD", AA$3)))/100,AA176),"NA "))</f>
        <v>0.20823846450336866</v>
      </c>
      <c r="AB176" s="242">
        <f ca="1">(IFERROR(IF(BB_Switch=1,IF(_xll.BDP($D176,$D$170, "EQY_FUND_RELATIVE_PERIOD", AB$3)="#N/A N/A","NA  ",(_xll.BDP($D176,$D$170, "EQY_FUND_RELATIVE_PERIOD", AB$3)))/100,AB176),"NA "))</f>
        <v>0.11694516258691538</v>
      </c>
      <c r="AC176" s="242">
        <f ca="1">(IFERROR(IF(BB_Switch=1,IF(_xll.BDP($D176,$D$170, "EQY_FUND_RELATIVE_PERIOD", AC$3)="#N/A N/A","NA  ",(_xll.BDP($D176,$D$170, "EQY_FUND_RELATIVE_PERIOD", AC$3)))/100,AC176),"NA "))</f>
        <v>0.30889671358427478</v>
      </c>
      <c r="AD176" s="242">
        <f ca="1">(IFERROR(IF(BB_Switch=1,IF(_xll.BDP($D176,$D$170, "EQY_FUND_RELATIVE_PERIOD", AD$3)="#N/A N/A","NA  ",(_xll.BDP($D176,$D$170, "EQY_FUND_RELATIVE_PERIOD", AD$3)))/100,AD176),"NA "))</f>
        <v>0.18941131498470948</v>
      </c>
      <c r="AE176" s="242">
        <f ca="1">(IFERROR(IF(BB_Switch=1,IF(_xll.BDP($D176,$D$170, "EQY_FUND_RELATIVE_PERIOD", AE$3)="#N/A N/A","NA  ",(_xll.BDP($D176,$D$170, "EQY_FUND_RELATIVE_PERIOD", AE$3)))/100,AE176),"NA "))</f>
        <v>7.3187772925764186E-2</v>
      </c>
      <c r="AF176" s="245">
        <f ca="1">IFERROR(AVERAGE(V176:AE176),"NA  ")</f>
        <v>0.19614578548496439</v>
      </c>
      <c r="AG176" s="237"/>
      <c r="AH176" s="244"/>
      <c r="AI176" s="244"/>
      <c r="AJ176" s="244"/>
    </row>
    <row r="177" spans="2:36" ht="11.25" customHeight="1">
      <c r="C177" s="229" t="str">
        <f ca="1">IFERROR(IF(BB_Switch=1,_xll.BDP($D177,$C$270),C177), "NA ")</f>
        <v>Kraton Corp</v>
      </c>
      <c r="D177" s="227" t="str">
        <f t="shared" si="51"/>
        <v>KRA US EQUITY</v>
      </c>
      <c r="E177" s="242">
        <f ca="1">(IFERROR(IF(BB_Switch=1,IF(_xll.BDP($D177,$D$170, "EQY_FUND_RELATIVE_PERIOD", E$3)="#N/A N/A","NA  ",(_xll.BDP($D177,$D$170, "EQY_FUND_RELATIVE_PERIOD", E$3)))/100,E177),"NA "))</f>
        <v>5.3581349237605248E-2</v>
      </c>
      <c r="F177" s="242">
        <f ca="1">(IFERROR(IF(BB_Switch=1,IF(_xll.BDP($D177,$D$170, "EQY_FUND_RELATIVE_PERIOD", F$3)="#N/A N/A","NA  ",(_xll.BDP($D177,$D$170, "EQY_FUND_RELATIVE_PERIOD", F$3)))/100,F177),"NA "))</f>
        <v>8.5177036985882429E-2</v>
      </c>
      <c r="G177" s="242">
        <f ca="1">(IFERROR(IF(BB_Switch=1,IF(_xll.BDP($D177,$D$170, "EQY_FUND_RELATIVE_PERIOD", G$3)="#N/A N/A","NA  ",(_xll.BDP($D177,$D$170, "EQY_FUND_RELATIVE_PERIOD", G$3)))/100,G177),"NA "))</f>
        <v>4.4652995127679417E-2</v>
      </c>
      <c r="H177" s="242">
        <f ca="1">(IFERROR(IF(BB_Switch=1,IF(_xll.BDP($D177,$D$170, "EQY_FUND_RELATIVE_PERIOD", H$3)="#N/A N/A","NA  ",(_xll.BDP($D177,$D$170, "EQY_FUND_RELATIVE_PERIOD", H$3)))/100,H177),"NA "))</f>
        <v>0.177130106306573</v>
      </c>
      <c r="I177" s="242">
        <f ca="1">(IFERROR(IF(BB_Switch=1,IF(_xll.BDP($D177,$D$170, "EQY_FUND_RELATIVE_PERIOD", I$3)="#N/A N/A","NA  ",(_xll.BDP($D177,$D$170, "EQY_FUND_RELATIVE_PERIOD", I$3)))/100,I177),"NA "))</f>
        <v>0.19685233227581653</v>
      </c>
      <c r="J177" s="242">
        <f ca="1">(IFERROR(IF(BB_Switch=1,IF(_xll.BDP($D177,$D$170, "EQY_FUND_RELATIVE_PERIOD", J$3)="#N/A N/A","NA  ",(_xll.BDP($D177,$D$170, "EQY_FUND_RELATIVE_PERIOD", J$3)))/100,J177),"NA "))</f>
        <v>0.12354989485513848</v>
      </c>
      <c r="K177" s="242">
        <f ca="1">(IFERROR(IF(BB_Switch=1,IF(_xll.BDP($D177,$D$170, "EQY_FUND_RELATIVE_PERIOD", K$3)="#N/A N/A","NA  ",(_xll.BDP($D177,$D$170, "EQY_FUND_RELATIVE_PERIOD", K$3)))/100,K177),"NA "))</f>
        <v>0.19064601752889959</v>
      </c>
      <c r="L177" s="242">
        <f ca="1">(IFERROR(IF(BB_Switch=1,IF(_xll.BDP($D177,$D$170, "EQY_FUND_RELATIVE_PERIOD", L$3)="#N/A N/A","NA  ",(_xll.BDP($D177,$D$170, "EQY_FUND_RELATIVE_PERIOD", L$3)))/100,L177),"NA "))</f>
        <v>9.8928766168572657E-2</v>
      </c>
      <c r="M177" s="242">
        <f ca="1">(IFERROR(IF(BB_Switch=1,IF(_xll.BDP($D177,$D$170, "EQY_FUND_RELATIVE_PERIOD", M$3)="#N/A N/A","NA  ",(_xll.BDP($D177,$D$170, "EQY_FUND_RELATIVE_PERIOD", M$3)))/100,M177),"NA "))</f>
        <v>8.2990852636681781E-2</v>
      </c>
      <c r="N177" s="242">
        <f ca="1">(IFERROR(IF(BB_Switch=1,IF(_xll.BDP($D177,$D$170, "EQY_FUND_RELATIVE_PERIOD", N$3)="#N/A N/A","NA  ",(_xll.BDP($D177,$D$170, "EQY_FUND_RELATIVE_PERIOD", N$3)))/100,N177),"NA "))</f>
        <v>0.16252779479965271</v>
      </c>
      <c r="O177" s="242">
        <f ca="1">(IFERROR(IF(BB_Switch=1,IF(_xll.BDP($D177,$D$170, "EQY_FUND_RELATIVE_PERIOD", O$3)="#N/A N/A","NA  ",(_xll.BDP($D177,$D$170, "EQY_FUND_RELATIVE_PERIOD", O$3)))/100,O177),"NA "))</f>
        <v>0.12258501113410562</v>
      </c>
      <c r="P177" s="242">
        <f ca="1">(IFERROR(IF(BB_Switch=1,IF(_xll.BDP($D177,$D$170, "EQY_FUND_RELATIVE_PERIOD", P$3)="#N/A N/A","NA  ",(_xll.BDP($D177,$D$170, "EQY_FUND_RELATIVE_PERIOD", P$3)))/100,P177),"NA "))</f>
        <v>7.0371837627788716E-2</v>
      </c>
      <c r="Q177" s="244"/>
      <c r="R177" s="244"/>
      <c r="S177" s="244"/>
      <c r="T177" s="244"/>
      <c r="U177" s="227"/>
      <c r="V177" s="242">
        <f ca="1">(IFERROR(IF(BB_Switch=1,IF(_xll.BDP($D177,$D$170, "EQY_FUND_RELATIVE_PERIOD", V$3)="#N/A N/A","NA  ",(_xll.BDP($D177,$D$170, "EQY_FUND_RELATIVE_PERIOD", V$3)))/100,V177),"NA "))</f>
        <v>0.24146207815907161</v>
      </c>
      <c r="W177" s="242">
        <f ca="1">(IFERROR(IF(BB_Switch=1,IF(_xll.BDP($D177,$D$170, "EQY_FUND_RELATIVE_PERIOD", W$3)="#N/A N/A","NA  ",(_xll.BDP($D177,$D$170, "EQY_FUND_RELATIVE_PERIOD", W$3)))/100,W177),"NA "))</f>
        <v>0.18744118304917379</v>
      </c>
      <c r="X177" s="242">
        <f ca="1">(IFERROR(IF(BB_Switch=1,IF(_xll.BDP($D177,$D$170, "EQY_FUND_RELATIVE_PERIOD", X$3)="#N/A N/A","NA  ",(_xll.BDP($D177,$D$170, "EQY_FUND_RELATIVE_PERIOD", X$3)))/100,X177),"NA "))</f>
        <v>-3.206110044563959E-2</v>
      </c>
      <c r="Y177" s="242">
        <f ca="1">(IFERROR(IF(BB_Switch=1,IF(_xll.BDP($D177,$D$170, "EQY_FUND_RELATIVE_PERIOD", Y$3)="#N/A N/A","NA  ",(_xll.BDP($D177,$D$170, "EQY_FUND_RELATIVE_PERIOD", Y$3)))/100,Y177),"NA "))</f>
        <v>-1.2289886199233374E-3</v>
      </c>
      <c r="Z177" s="242">
        <f ca="1">(IFERROR(IF(BB_Switch=1,IF(_xll.BDP($D177,$D$170, "EQY_FUND_RELATIVE_PERIOD", Z$3)="#N/A N/A","NA  ",(_xll.BDP($D177,$D$170, "EQY_FUND_RELATIVE_PERIOD", Z$3)))/100,Z177),"NA "))</f>
        <v>5.1251465878791027E-3</v>
      </c>
      <c r="AA177" s="242">
        <f ca="1">(IFERROR(IF(BB_Switch=1,IF(_xll.BDP($D177,$D$170, "EQY_FUND_RELATIVE_PERIOD", AA$3)="#N/A N/A","NA  ",(_xll.BDP($D177,$D$170, "EQY_FUND_RELATIVE_PERIOD", AA$3)))/100,AA177),"NA "))</f>
        <v>-2.6697143899759638E-2</v>
      </c>
      <c r="AB177" s="242">
        <f ca="1">(IFERROR(IF(BB_Switch=1,IF(_xll.BDP($D177,$D$170, "EQY_FUND_RELATIVE_PERIOD", AB$3)="#N/A N/A","NA  ",(_xll.BDP($D177,$D$170, "EQY_FUND_RELATIVE_PERIOD", AB$3)))/100,AB177),"NA "))</f>
        <v>0.25715338808607452</v>
      </c>
      <c r="AC177" s="242">
        <f ca="1">(IFERROR(IF(BB_Switch=1,IF(_xll.BDP($D177,$D$170, "EQY_FUND_RELATIVE_PERIOD", AC$3)="#N/A N/A","NA  ",(_xll.BDP($D177,$D$170, "EQY_FUND_RELATIVE_PERIOD", AC$3)))/100,AC177),"NA "))</f>
        <v>0.17492429517298352</v>
      </c>
      <c r="AD177" s="242">
        <f ca="1">(IFERROR(IF(BB_Switch=1,IF(_xll.BDP($D177,$D$170, "EQY_FUND_RELATIVE_PERIOD", AD$3)="#N/A N/A","NA  ",(_xll.BDP($D177,$D$170, "EQY_FUND_RELATIVE_PERIOD", AD$3)))/100,AD177),"NA "))</f>
        <v>9.7724284728166758E-2</v>
      </c>
      <c r="AE177" s="242">
        <f ca="1">(IFERROR(IF(BB_Switch=1,IF(_xll.BDP($D177,$D$170, "EQY_FUND_RELATIVE_PERIOD", AE$3)="#N/A N/A","NA  ",(_xll.BDP($D177,$D$170, "EQY_FUND_RELATIVE_PERIOD", AE$3)))/100,AE177),"NA "))</f>
        <v>6.9965450254708059E-2</v>
      </c>
      <c r="AF177" s="245">
        <f ca="1">IFERROR(AVERAGE(V177:AE177),"NA  ")</f>
        <v>9.7380859307273471E-2</v>
      </c>
      <c r="AG177" s="237"/>
      <c r="AH177" s="244"/>
      <c r="AI177" s="244"/>
      <c r="AJ177" s="244"/>
    </row>
    <row r="178" spans="2:36" ht="11.25" customHeight="1">
      <c r="C178" s="229" t="str">
        <f ca="1">IFERROR(IF(BB_Switch=1,_xll.BDP($D178,$C$270),C178), "NA ")</f>
        <v>Dow Inc</v>
      </c>
      <c r="D178" s="227" t="str">
        <f t="shared" si="51"/>
        <v>DOW US EQUITY</v>
      </c>
      <c r="E178" s="242" t="str">
        <f ca="1">(IFERROR(IF(BB_Switch=1,IF(_xll.BDP($D178,$D$170, "EQY_FUND_RELATIVE_PERIOD", E$3)="#N/A N/A","NA  ",(_xll.BDP($D178,$D$170, "EQY_FUND_RELATIVE_PERIOD", E$3)))/100,E178),"NA "))</f>
        <v xml:space="preserve">NA </v>
      </c>
      <c r="F178" s="242" t="str">
        <f ca="1">(IFERROR(IF(BB_Switch=1,IF(_xll.BDP($D178,$D$170, "EQY_FUND_RELATIVE_PERIOD", F$3)="#N/A N/A","NA  ",(_xll.BDP($D178,$D$170, "EQY_FUND_RELATIVE_PERIOD", F$3)))/100,F178),"NA "))</f>
        <v xml:space="preserve">NA </v>
      </c>
      <c r="G178" s="242" t="str">
        <f ca="1">(IFERROR(IF(BB_Switch=1,IF(_xll.BDP($D178,$D$170, "EQY_FUND_RELATIVE_PERIOD", G$3)="#N/A N/A","NA  ",(_xll.BDP($D178,$D$170, "EQY_FUND_RELATIVE_PERIOD", G$3)))/100,G178),"NA "))</f>
        <v xml:space="preserve">NA </v>
      </c>
      <c r="H178" s="242" t="str">
        <f ca="1">(IFERROR(IF(BB_Switch=1,IF(_xll.BDP($D178,$D$170, "EQY_FUND_RELATIVE_PERIOD", H$3)="#N/A N/A","NA  ",(_xll.BDP($D178,$D$170, "EQY_FUND_RELATIVE_PERIOD", H$3)))/100,H178),"NA "))</f>
        <v xml:space="preserve">NA </v>
      </c>
      <c r="I178" s="242" t="str">
        <f ca="1">(IFERROR(IF(BB_Switch=1,IF(_xll.BDP($D178,$D$170, "EQY_FUND_RELATIVE_PERIOD", I$3)="#N/A N/A","NA  ",(_xll.BDP($D178,$D$170, "EQY_FUND_RELATIVE_PERIOD", I$3)))/100,I178),"NA "))</f>
        <v xml:space="preserve">NA </v>
      </c>
      <c r="J178" s="242" t="str">
        <f ca="1">(IFERROR(IF(BB_Switch=1,IF(_xll.BDP($D178,$D$170, "EQY_FUND_RELATIVE_PERIOD", J$3)="#N/A N/A","NA  ",(_xll.BDP($D178,$D$170, "EQY_FUND_RELATIVE_PERIOD", J$3)))/100,J178),"NA "))</f>
        <v xml:space="preserve">NA </v>
      </c>
      <c r="K178" s="242" t="str">
        <f ca="1">(IFERROR(IF(BB_Switch=1,IF(_xll.BDP($D178,$D$170, "EQY_FUND_RELATIVE_PERIOD", K$3)="#N/A N/A","NA  ",(_xll.BDP($D178,$D$170, "EQY_FUND_RELATIVE_PERIOD", K$3)))/100,K178),"NA "))</f>
        <v xml:space="preserve">NA </v>
      </c>
      <c r="L178" s="242" t="str">
        <f ca="1">(IFERROR(IF(BB_Switch=1,IF(_xll.BDP($D178,$D$170, "EQY_FUND_RELATIVE_PERIOD", L$3)="#N/A N/A","NA  ",(_xll.BDP($D178,$D$170, "EQY_FUND_RELATIVE_PERIOD", L$3)))/100,L178),"NA "))</f>
        <v xml:space="preserve">NA </v>
      </c>
      <c r="M178" s="242" t="str">
        <f ca="1">(IFERROR(IF(BB_Switch=1,IF(_xll.BDP($D178,$D$170, "EQY_FUND_RELATIVE_PERIOD", M$3)="#N/A N/A","NA  ",(_xll.BDP($D178,$D$170, "EQY_FUND_RELATIVE_PERIOD", M$3)))/100,M178),"NA "))</f>
        <v xml:space="preserve">NA </v>
      </c>
      <c r="N178" s="242" t="str">
        <f ca="1">(IFERROR(IF(BB_Switch=1,IF(_xll.BDP($D178,$D$170, "EQY_FUND_RELATIVE_PERIOD", N$3)="#N/A N/A","NA  ",(_xll.BDP($D178,$D$170, "EQY_FUND_RELATIVE_PERIOD", N$3)))/100,N178),"NA "))</f>
        <v xml:space="preserve">NA </v>
      </c>
      <c r="O178" s="242" t="str">
        <f ca="1">(IFERROR(IF(BB_Switch=1,IF(_xll.BDP($D178,$D$170, "EQY_FUND_RELATIVE_PERIOD", O$3)="#N/A N/A","NA  ",(_xll.BDP($D178,$D$170, "EQY_FUND_RELATIVE_PERIOD", O$3)))/100,O178),"NA "))</f>
        <v xml:space="preserve">NA </v>
      </c>
      <c r="P178" s="242">
        <f ca="1">(IFERROR(IF(BB_Switch=1,IF(_xll.BDP($D178,$D$170, "EQY_FUND_RELATIVE_PERIOD", P$3)="#N/A N/A","NA  ",(_xll.BDP($D178,$D$170, "EQY_FUND_RELATIVE_PERIOD", P$3)))/100,P178),"NA "))</f>
        <v>-7.5569268207891532E-2</v>
      </c>
      <c r="Q178" s="244"/>
      <c r="R178" s="244"/>
      <c r="S178" s="244"/>
      <c r="T178" s="244"/>
      <c r="U178" s="227"/>
      <c r="V178" s="242" t="str">
        <f ca="1">(IFERROR(IF(BB_Switch=1,IF(_xll.BDP($D178,$D$170, "EQY_FUND_RELATIVE_PERIOD", V$3)="#N/A N/A","NA  ",(_xll.BDP($D178,$D$170, "EQY_FUND_RELATIVE_PERIOD", V$3)))/100,V178),"NA "))</f>
        <v xml:space="preserve">NA </v>
      </c>
      <c r="W178" s="242" t="str">
        <f ca="1">(IFERROR(IF(BB_Switch=1,IF(_xll.BDP($D178,$D$170, "EQY_FUND_RELATIVE_PERIOD", W$3)="#N/A N/A","NA  ",(_xll.BDP($D178,$D$170, "EQY_FUND_RELATIVE_PERIOD", W$3)))/100,W178),"NA "))</f>
        <v xml:space="preserve">NA </v>
      </c>
      <c r="X178" s="242" t="str">
        <f ca="1">(IFERROR(IF(BB_Switch=1,IF(_xll.BDP($D178,$D$170, "EQY_FUND_RELATIVE_PERIOD", X$3)="#N/A N/A","NA  ",(_xll.BDP($D178,$D$170, "EQY_FUND_RELATIVE_PERIOD", X$3)))/100,X178),"NA "))</f>
        <v xml:space="preserve">NA </v>
      </c>
      <c r="Y178" s="242" t="str">
        <f ca="1">(IFERROR(IF(BB_Switch=1,IF(_xll.BDP($D178,$D$170, "EQY_FUND_RELATIVE_PERIOD", Y$3)="#N/A N/A","NA  ",(_xll.BDP($D178,$D$170, "EQY_FUND_RELATIVE_PERIOD", Y$3)))/100,Y178),"NA "))</f>
        <v xml:space="preserve">NA </v>
      </c>
      <c r="Z178" s="242" t="str">
        <f ca="1">(IFERROR(IF(BB_Switch=1,IF(_xll.BDP($D178,$D$170, "EQY_FUND_RELATIVE_PERIOD", Z$3)="#N/A N/A","NA  ",(_xll.BDP($D178,$D$170, "EQY_FUND_RELATIVE_PERIOD", Z$3)))/100,Z178),"NA "))</f>
        <v xml:space="preserve">NA </v>
      </c>
      <c r="AA178" s="242" t="str">
        <f ca="1">(IFERROR(IF(BB_Switch=1,IF(_xll.BDP($D178,$D$170, "EQY_FUND_RELATIVE_PERIOD", AA$3)="#N/A N/A","NA  ",(_xll.BDP($D178,$D$170, "EQY_FUND_RELATIVE_PERIOD", AA$3)))/100,AA178),"NA "))</f>
        <v xml:space="preserve">NA </v>
      </c>
      <c r="AB178" s="242" t="str">
        <f ca="1">(IFERROR(IF(BB_Switch=1,IF(_xll.BDP($D178,$D$170, "EQY_FUND_RELATIVE_PERIOD", AB$3)="#N/A N/A","NA  ",(_xll.BDP($D178,$D$170, "EQY_FUND_RELATIVE_PERIOD", AB$3)))/100,AB178),"NA "))</f>
        <v xml:space="preserve">NA </v>
      </c>
      <c r="AC178" s="242" t="str">
        <f ca="1">(IFERROR(IF(BB_Switch=1,IF(_xll.BDP($D178,$D$170, "EQY_FUND_RELATIVE_PERIOD", AC$3)="#N/A N/A","NA  ",(_xll.BDP($D178,$D$170, "EQY_FUND_RELATIVE_PERIOD", AC$3)))/100,AC178),"NA "))</f>
        <v xml:space="preserve">NA </v>
      </c>
      <c r="AD178" s="242" t="str">
        <f ca="1">(IFERROR(IF(BB_Switch=1,IF(_xll.BDP($D178,$D$170, "EQY_FUND_RELATIVE_PERIOD", AD$3)="#N/A N/A","NA  ",(_xll.BDP($D178,$D$170, "EQY_FUND_RELATIVE_PERIOD", AD$3)))/100,AD178),"NA "))</f>
        <v xml:space="preserve">NA </v>
      </c>
      <c r="AE178" s="242">
        <f ca="1">(IFERROR(IF(BB_Switch=1,IF(_xll.BDP($D178,$D$170, "EQY_FUND_RELATIVE_PERIOD", AE$3)="#N/A N/A","NA  ",(_xll.BDP($D178,$D$170, "EQY_FUND_RELATIVE_PERIOD", AE$3)))/100,AE178),"NA "))</f>
        <v>-5.9056144620198155E-2</v>
      </c>
      <c r="AF178" s="235" t="s">
        <v>727</v>
      </c>
      <c r="AG178" s="242"/>
      <c r="AH178" s="242"/>
      <c r="AI178" s="242"/>
      <c r="AJ178" s="242"/>
    </row>
    <row r="179" spans="2:36" ht="11.25" customHeight="1">
      <c r="C179" s="229"/>
      <c r="D179" s="227"/>
      <c r="E179" s="242"/>
      <c r="F179" s="242"/>
      <c r="G179" s="242"/>
      <c r="H179" s="242"/>
      <c r="I179" s="242"/>
      <c r="J179" s="242"/>
      <c r="K179" s="242"/>
      <c r="L179" s="242"/>
      <c r="M179" s="242"/>
      <c r="N179" s="242"/>
      <c r="O179" s="242"/>
      <c r="P179" s="242"/>
      <c r="Q179" s="244"/>
      <c r="R179" s="244"/>
      <c r="S179" s="244"/>
      <c r="T179" s="244"/>
      <c r="U179" s="227"/>
      <c r="V179" s="242"/>
      <c r="W179" s="242"/>
      <c r="X179" s="242"/>
      <c r="Y179" s="242"/>
      <c r="Z179" s="242"/>
      <c r="AA179" s="242"/>
      <c r="AB179" s="242"/>
      <c r="AC179" s="242"/>
      <c r="AD179" s="242"/>
      <c r="AE179" s="242"/>
      <c r="AF179" s="235"/>
      <c r="AG179" s="242"/>
      <c r="AH179" s="242"/>
      <c r="AI179" s="242"/>
      <c r="AJ179" s="242"/>
    </row>
    <row r="180" spans="2:36" ht="11.25" customHeight="1">
      <c r="C180" s="428" t="str">
        <f>+C20</f>
        <v>Specialty Chemicals</v>
      </c>
      <c r="D180" s="227"/>
      <c r="E180" s="242"/>
      <c r="F180" s="242"/>
      <c r="G180" s="242"/>
      <c r="H180" s="242"/>
      <c r="I180" s="242"/>
      <c r="J180" s="242"/>
      <c r="K180" s="242"/>
      <c r="L180" s="242"/>
      <c r="M180" s="242"/>
      <c r="N180" s="242"/>
      <c r="O180" s="242"/>
      <c r="P180" s="242"/>
      <c r="Q180" s="244"/>
      <c r="R180" s="244"/>
      <c r="S180" s="244"/>
      <c r="T180" s="244"/>
      <c r="U180" s="227"/>
      <c r="V180" s="242"/>
      <c r="W180" s="242"/>
      <c r="X180" s="242"/>
      <c r="Y180" s="242"/>
      <c r="Z180" s="242"/>
      <c r="AA180" s="242"/>
      <c r="AB180" s="242"/>
      <c r="AC180" s="242"/>
      <c r="AD180" s="242"/>
      <c r="AE180" s="242"/>
      <c r="AF180" s="235"/>
      <c r="AG180" s="242"/>
      <c r="AH180" s="242"/>
      <c r="AI180" s="242"/>
      <c r="AJ180" s="242"/>
    </row>
    <row r="181" spans="2:36" ht="11.25" customHeight="1">
      <c r="C181" s="229" t="str">
        <f ca="1">IFERROR(IF(BB_Switch=1,_xll.BDP($D181,$C$270),C181), "NA ")</f>
        <v>Eastman Chemical Co</v>
      </c>
      <c r="D181" s="227" t="str">
        <f>+D21</f>
        <v>EMN US EQUITY</v>
      </c>
      <c r="E181" s="242">
        <f ca="1">(IFERROR(IF(BB_Switch=1,IF(_xll.BDP($D181,$D$170, "EQY_FUND_RELATIVE_PERIOD", E$3)="#N/A N/A","NA  ",(_xll.BDP($D181,$D$170, "EQY_FUND_RELATIVE_PERIOD", E$3)))/100,E181),"NA "))</f>
        <v>0.20169395821569736</v>
      </c>
      <c r="F181" s="242">
        <f ca="1">(IFERROR(IF(BB_Switch=1,IF(_xll.BDP($D181,$D$170, "EQY_FUND_RELATIVE_PERIOD", F$3)="#N/A N/A","NA  ",(_xll.BDP($D181,$D$170, "EQY_FUND_RELATIVE_PERIOD", F$3)))/100,F181),"NA "))</f>
        <v>0.20245999782301077</v>
      </c>
      <c r="G181" s="242">
        <f ca="1">(IFERROR(IF(BB_Switch=1,IF(_xll.BDP($D181,$D$170, "EQY_FUND_RELATIVE_PERIOD", G$3)="#N/A N/A","NA  ",(_xll.BDP($D181,$D$170, "EQY_FUND_RELATIVE_PERIOD", G$3)))/100,G181),"NA "))</f>
        <v>0.21576500422654271</v>
      </c>
      <c r="H181" s="242">
        <f ca="1">(IFERROR(IF(BB_Switch=1,IF(_xll.BDP($D181,$D$170, "EQY_FUND_RELATIVE_PERIOD", H$3)="#N/A N/A","NA  ",(_xll.BDP($D181,$D$170, "EQY_FUND_RELATIVE_PERIOD", H$3)))/100,H181),"NA "))</f>
        <v>0.27861097131353801</v>
      </c>
      <c r="I181" s="242">
        <f ca="1">(IFERROR(IF(BB_Switch=1,IF(_xll.BDP($D181,$D$170, "EQY_FUND_RELATIVE_PERIOD", I$3)="#N/A N/A","NA  ",(_xll.BDP($D181,$D$170, "EQY_FUND_RELATIVE_PERIOD", I$3)))/100,I181),"NA "))</f>
        <v>0.27383287563750491</v>
      </c>
      <c r="J181" s="242">
        <f ca="1">(IFERROR(IF(BB_Switch=1,IF(_xll.BDP($D181,$D$170, "EQY_FUND_RELATIVE_PERIOD", J$3)="#N/A N/A","NA  ",(_xll.BDP($D181,$D$170, "EQY_FUND_RELATIVE_PERIOD", J$3)))/100,J181),"NA "))</f>
        <v>0.27557331810828811</v>
      </c>
      <c r="K181" s="242">
        <f ca="1">(IFERROR(IF(BB_Switch=1,IF(_xll.BDP($D181,$D$170, "EQY_FUND_RELATIVE_PERIOD", K$3)="#N/A N/A","NA  ",(_xll.BDP($D181,$D$170, "EQY_FUND_RELATIVE_PERIOD", K$3)))/100,K181),"NA "))</f>
        <v>0.28091017088549758</v>
      </c>
      <c r="L181" s="242">
        <f ca="1">(IFERROR(IF(BB_Switch=1,IF(_xll.BDP($D181,$D$170, "EQY_FUND_RELATIVE_PERIOD", L$3)="#N/A N/A","NA  ",(_xll.BDP($D181,$D$170, "EQY_FUND_RELATIVE_PERIOD", L$3)))/100,L181),"NA "))</f>
        <v>0.19275388184900946</v>
      </c>
      <c r="M181" s="242">
        <f ca="1">(IFERROR(IF(BB_Switch=1,IF(_xll.BDP($D181,$D$170, "EQY_FUND_RELATIVE_PERIOD", M$3)="#N/A N/A","NA  ",(_xll.BDP($D181,$D$170, "EQY_FUND_RELATIVE_PERIOD", M$3)))/100,M181),"NA "))</f>
        <v>0.17544783983140147</v>
      </c>
      <c r="N181" s="242">
        <f ca="1">(IFERROR(IF(BB_Switch=1,IF(_xll.BDP($D181,$D$170, "EQY_FUND_RELATIVE_PERIOD", N$3)="#N/A N/A","NA  ",(_xll.BDP($D181,$D$170, "EQY_FUND_RELATIVE_PERIOD", N$3)))/100,N181),"NA "))</f>
        <v>0.15787653467058621</v>
      </c>
      <c r="O181" s="242">
        <f ca="1">(IFERROR(IF(BB_Switch=1,IF(_xll.BDP($D181,$D$170, "EQY_FUND_RELATIVE_PERIOD", O$3)="#N/A N/A","NA  ",(_xll.BDP($D181,$D$170, "EQY_FUND_RELATIVE_PERIOD", O$3)))/100,O181),"NA "))</f>
        <v>0.12847571189279733</v>
      </c>
      <c r="P181" s="242">
        <f ca="1">(IFERROR(IF(BB_Switch=1,IF(_xll.BDP($D181,$D$170, "EQY_FUND_RELATIVE_PERIOD", P$3)="#N/A N/A","NA  ",(_xll.BDP($D181,$D$170, "EQY_FUND_RELATIVE_PERIOD", P$3)))/100,P181),"NA "))</f>
        <v>0.12907065725703595</v>
      </c>
      <c r="Q181" s="244"/>
      <c r="R181" s="244"/>
      <c r="S181" s="244"/>
      <c r="T181" s="244"/>
      <c r="U181" s="227"/>
      <c r="V181" s="242">
        <f ca="1">(IFERROR(IF(BB_Switch=1,IF(_xll.BDP($D181,$D$170, "EQY_FUND_RELATIVE_PERIOD", V$3)="#N/A N/A","NA  ",(_xll.BDP($D181,$D$170, "EQY_FUND_RELATIVE_PERIOD", V$3)))/100,V181),"NA "))</f>
        <v>0.27070063694267515</v>
      </c>
      <c r="W181" s="242">
        <f ca="1">(IFERROR(IF(BB_Switch=1,IF(_xll.BDP($D181,$D$170, "EQY_FUND_RELATIVE_PERIOD", W$3)="#N/A N/A","NA  ",(_xll.BDP($D181,$D$170, "EQY_FUND_RELATIVE_PERIOD", W$3)))/100,W181),"NA "))</f>
        <v>0.36945953674578208</v>
      </c>
      <c r="X181" s="242">
        <f ca="1">(IFERROR(IF(BB_Switch=1,IF(_xll.BDP($D181,$D$170, "EQY_FUND_RELATIVE_PERIOD", X$3)="#N/A N/A","NA  ",(_xll.BDP($D181,$D$170, "EQY_FUND_RELATIVE_PERIOD", X$3)))/100,X181),"NA "))</f>
        <v>0.18159152295865366</v>
      </c>
      <c r="Y181" s="242">
        <f ca="1">(IFERROR(IF(BB_Switch=1,IF(_xll.BDP($D181,$D$170, "EQY_FUND_RELATIVE_PERIOD", Y$3)="#N/A N/A","NA  ",(_xll.BDP($D181,$D$170, "EQY_FUND_RELATIVE_PERIOD", Y$3)))/100,Y181),"NA "))</f>
        <v>0.34574862739278822</v>
      </c>
      <c r="Z181" s="242">
        <f ca="1">(IFERROR(IF(BB_Switch=1,IF(_xll.BDP($D181,$D$170, "EQY_FUND_RELATIVE_PERIOD", Z$3)="#N/A N/A","NA  ",(_xll.BDP($D181,$D$170, "EQY_FUND_RELATIVE_PERIOD", Z$3)))/100,Z181),"NA "))</f>
        <v>0.20558445113605256</v>
      </c>
      <c r="AA181" s="242">
        <f ca="1">(IFERROR(IF(BB_Switch=1,IF(_xll.BDP($D181,$D$170, "EQY_FUND_RELATIVE_PERIOD", AA$3)="#N/A N/A","NA  ",(_xll.BDP($D181,$D$170, "EQY_FUND_RELATIVE_PERIOD", AA$3)))/100,AA181),"NA "))</f>
        <v>0.22762045363038516</v>
      </c>
      <c r="AB181" s="242">
        <f ca="1">(IFERROR(IF(BB_Switch=1,IF(_xll.BDP($D181,$D$170, "EQY_FUND_RELATIVE_PERIOD", AB$3)="#N/A N/A","NA  ",(_xll.BDP($D181,$D$170, "EQY_FUND_RELATIVE_PERIOD", AB$3)))/100,AB181),"NA "))</f>
        <v>0.20158149415791338</v>
      </c>
      <c r="AC181" s="242">
        <f ca="1">(IFERROR(IF(BB_Switch=1,IF(_xll.BDP($D181,$D$170, "EQY_FUND_RELATIVE_PERIOD", AC$3)="#N/A N/A","NA  ",(_xll.BDP($D181,$D$170, "EQY_FUND_RELATIVE_PERIOD", AC$3)))/100,AC181),"NA "))</f>
        <v>0.27861097131353801</v>
      </c>
      <c r="AD181" s="242">
        <f ca="1">(IFERROR(IF(BB_Switch=1,IF(_xll.BDP($D181,$D$170, "EQY_FUND_RELATIVE_PERIOD", AD$3)="#N/A N/A","NA  ",(_xll.BDP($D181,$D$170, "EQY_FUND_RELATIVE_PERIOD", AD$3)))/100,AD181),"NA "))</f>
        <v>0.19275388184900946</v>
      </c>
      <c r="AE181" s="242">
        <f ca="1">(IFERROR(IF(BB_Switch=1,IF(_xll.BDP($D181,$D$170, "EQY_FUND_RELATIVE_PERIOD", AE$3)="#N/A N/A","NA  ",(_xll.BDP($D181,$D$170, "EQY_FUND_RELATIVE_PERIOD", AE$3)))/100,AE181),"NA "))</f>
        <v>0.12907065725703595</v>
      </c>
      <c r="AF181" s="245">
        <f ca="1">IFERROR(AVERAGE(V181:AE181),"NA  ")</f>
        <v>0.24027222333838338</v>
      </c>
      <c r="AG181" s="242"/>
      <c r="AH181" s="242"/>
      <c r="AI181" s="242"/>
      <c r="AJ181" s="242"/>
    </row>
    <row r="182" spans="2:36" ht="11.25" customHeight="1">
      <c r="C182" s="229" t="str">
        <f ca="1">IFERROR(IF(BB_Switch=1,_xll.BDP($D182,$C$270),C182), "NA ")</f>
        <v>Celanese Corp</v>
      </c>
      <c r="D182" s="227" t="str">
        <f>+D22</f>
        <v>CE US EQUITY</v>
      </c>
      <c r="E182" s="242">
        <f ca="1">(IFERROR(IF(BB_Switch=1,IF(_xll.BDP($D182,$D$170, "EQY_FUND_RELATIVE_PERIOD", E$3)="#N/A N/A","NA  ",(_xll.BDP($D182,$D$170, "EQY_FUND_RELATIVE_PERIOD", E$3)))/100,E182),"NA "))</f>
        <v>0.31430745814307459</v>
      </c>
      <c r="F182" s="242">
        <f ca="1">(IFERROR(IF(BB_Switch=1,IF(_xll.BDP($D182,$D$170, "EQY_FUND_RELATIVE_PERIOD", F$3)="#N/A N/A","NA  ",(_xll.BDP($D182,$D$170, "EQY_FUND_RELATIVE_PERIOD", F$3)))/100,F182),"NA "))</f>
        <v>0.31570996978851962</v>
      </c>
      <c r="G182" s="242">
        <f ca="1">(IFERROR(IF(BB_Switch=1,IF(_xll.BDP($D182,$D$170, "EQY_FUND_RELATIVE_PERIOD", G$3)="#N/A N/A","NA  ",(_xll.BDP($D182,$D$170, "EQY_FUND_RELATIVE_PERIOD", G$3)))/100,G182),"NA "))</f>
        <v>0.29493087557603687</v>
      </c>
      <c r="H182" s="242">
        <f ca="1">(IFERROR(IF(BB_Switch=1,IF(_xll.BDP($D182,$D$170, "EQY_FUND_RELATIVE_PERIOD", H$3)="#N/A N/A","NA  ",(_xll.BDP($D182,$D$170, "EQY_FUND_RELATIVE_PERIOD", H$3)))/100,H182),"NA "))</f>
        <v>0.30794520547945203</v>
      </c>
      <c r="I182" s="242">
        <f ca="1">(IFERROR(IF(BB_Switch=1,IF(_xll.BDP($D182,$D$170, "EQY_FUND_RELATIVE_PERIOD", I$3)="#N/A N/A","NA  ",(_xll.BDP($D182,$D$170, "EQY_FUND_RELATIVE_PERIOD", I$3)))/100,I182),"NA "))</f>
        <v>0.34890859481582537</v>
      </c>
      <c r="J182" s="242">
        <f ca="1">(IFERROR(IF(BB_Switch=1,IF(_xll.BDP($D182,$D$170, "EQY_FUND_RELATIVE_PERIOD", J$3)="#N/A N/A","NA  ",(_xll.BDP($D182,$D$170, "EQY_FUND_RELATIVE_PERIOD", J$3)))/100,J182),"NA "))</f>
        <v>0.37405334211392821</v>
      </c>
      <c r="K182" s="242">
        <f ca="1">(IFERROR(IF(BB_Switch=1,IF(_xll.BDP($D182,$D$170, "EQY_FUND_RELATIVE_PERIOD", K$3)="#N/A N/A","NA  ",(_xll.BDP($D182,$D$170, "EQY_FUND_RELATIVE_PERIOD", K$3)))/100,K182),"NA "))</f>
        <v>0.41911764705882354</v>
      </c>
      <c r="L182" s="242">
        <f ca="1">(IFERROR(IF(BB_Switch=1,IF(_xll.BDP($D182,$D$170, "EQY_FUND_RELATIVE_PERIOD", L$3)="#N/A N/A","NA  ",(_xll.BDP($D182,$D$170, "EQY_FUND_RELATIVE_PERIOD", L$3)))/100,L182),"NA "))</f>
        <v>0.41117356498041219</v>
      </c>
      <c r="M182" s="242">
        <f ca="1">(IFERROR(IF(BB_Switch=1,IF(_xll.BDP($D182,$D$170, "EQY_FUND_RELATIVE_PERIOD", M$3)="#N/A N/A","NA  ",(_xll.BDP($D182,$D$170, "EQY_FUND_RELATIVE_PERIOD", M$3)))/100,M182),"NA "))</f>
        <v>0.37492063492063493</v>
      </c>
      <c r="N182" s="242">
        <f ca="1">(IFERROR(IF(BB_Switch=1,IF(_xll.BDP($D182,$D$170, "EQY_FUND_RELATIVE_PERIOD", N$3)="#N/A N/A","NA  ",(_xll.BDP($D182,$D$170, "EQY_FUND_RELATIVE_PERIOD", N$3)))/100,N182),"NA "))</f>
        <v>0.33504163997437542</v>
      </c>
      <c r="O182" s="242">
        <f ca="1">(IFERROR(IF(BB_Switch=1,IF(_xll.BDP($D182,$D$170, "EQY_FUND_RELATIVE_PERIOD", O$3)="#N/A N/A","NA  ",(_xll.BDP($D182,$D$170, "EQY_FUND_RELATIVE_PERIOD", O$3)))/100,O182),"NA "))</f>
        <v>0.28880407124681934</v>
      </c>
      <c r="P182" s="242">
        <f ca="1">(IFERROR(IF(BB_Switch=1,IF(_xll.BDP($D182,$D$170, "EQY_FUND_RELATIVE_PERIOD", P$3)="#N/A N/A","NA  ",(_xll.BDP($D182,$D$170, "EQY_FUND_RELATIVE_PERIOD", P$3)))/100,P182),"NA "))</f>
        <v>0.31032598798033145</v>
      </c>
      <c r="Q182" s="244"/>
      <c r="R182" s="244"/>
      <c r="S182" s="244"/>
      <c r="T182" s="244"/>
      <c r="U182" s="227"/>
      <c r="V182" s="242">
        <f ca="1">(IFERROR(IF(BB_Switch=1,IF(_xll.BDP($D182,$D$170, "EQY_FUND_RELATIVE_PERIOD", V$3)="#N/A N/A","NA  ",(_xll.BDP($D182,$D$170, "EQY_FUND_RELATIVE_PERIOD", V$3)))/100,V182),"NA "))</f>
        <v>0.49470899470899465</v>
      </c>
      <c r="W182" s="242">
        <f ca="1">(IFERROR(IF(BB_Switch=1,IF(_xll.BDP($D182,$D$170, "EQY_FUND_RELATIVE_PERIOD", W$3)="#N/A N/A","NA  ",(_xll.BDP($D182,$D$170, "EQY_FUND_RELATIVE_PERIOD", W$3)))/100,W182),"NA "))</f>
        <v>0.53550948389942654</v>
      </c>
      <c r="X182" s="242">
        <f ca="1">(IFERROR(IF(BB_Switch=1,IF(_xll.BDP($D182,$D$170, "EQY_FUND_RELATIVE_PERIOD", X$3)="#N/A N/A","NA  ",(_xll.BDP($D182,$D$170, "EQY_FUND_RELATIVE_PERIOD", X$3)))/100,X182),"NA "))</f>
        <v>0.24226636274829047</v>
      </c>
      <c r="Y182" s="242">
        <f ca="1">(IFERROR(IF(BB_Switch=1,IF(_xll.BDP($D182,$D$170, "EQY_FUND_RELATIVE_PERIOD", Y$3)="#N/A N/A","NA  ",(_xll.BDP($D182,$D$170, "EQY_FUND_RELATIVE_PERIOD", Y$3)))/100,Y182),"NA "))</f>
        <v>0.49717769248137278</v>
      </c>
      <c r="Z182" s="242">
        <f ca="1">(IFERROR(IF(BB_Switch=1,IF(_xll.BDP($D182,$D$170, "EQY_FUND_RELATIVE_PERIOD", Z$3)="#N/A N/A","NA  ",(_xll.BDP($D182,$D$170, "EQY_FUND_RELATIVE_PERIOD", Z$3)))/100,Z182),"NA "))</f>
        <v>0.22620989668297986</v>
      </c>
      <c r="AA182" s="242">
        <f ca="1">(IFERROR(IF(BB_Switch=1,IF(_xll.BDP($D182,$D$170, "EQY_FUND_RELATIVE_PERIOD", AA$3)="#N/A N/A","NA  ",(_xll.BDP($D182,$D$170, "EQY_FUND_RELATIVE_PERIOD", AA$3)))/100,AA182),"NA "))</f>
        <v>0.1170130869899923</v>
      </c>
      <c r="AB182" s="242">
        <f ca="1">(IFERROR(IF(BB_Switch=1,IF(_xll.BDP($D182,$D$170, "EQY_FUND_RELATIVE_PERIOD", AB$3)="#N/A N/A","NA  ",(_xll.BDP($D182,$D$170, "EQY_FUND_RELATIVE_PERIOD", AB$3)))/100,AB182),"NA "))</f>
        <v>0.36246476037051956</v>
      </c>
      <c r="AC182" s="242">
        <f ca="1">(IFERROR(IF(BB_Switch=1,IF(_xll.BDP($D182,$D$170, "EQY_FUND_RELATIVE_PERIOD", AC$3)="#N/A N/A","NA  ",(_xll.BDP($D182,$D$170, "EQY_FUND_RELATIVE_PERIOD", AC$3)))/100,AC182),"NA "))</f>
        <v>0.30794520547945203</v>
      </c>
      <c r="AD182" s="242">
        <f ca="1">(IFERROR(IF(BB_Switch=1,IF(_xll.BDP($D182,$D$170, "EQY_FUND_RELATIVE_PERIOD", AD$3)="#N/A N/A","NA  ",(_xll.BDP($D182,$D$170, "EQY_FUND_RELATIVE_PERIOD", AD$3)))/100,AD182),"NA "))</f>
        <v>0.41117356498041219</v>
      </c>
      <c r="AE182" s="242">
        <f ca="1">(IFERROR(IF(BB_Switch=1,IF(_xll.BDP($D182,$D$170, "EQY_FUND_RELATIVE_PERIOD", AE$3)="#N/A N/A","NA  ",(_xll.BDP($D182,$D$170, "EQY_FUND_RELATIVE_PERIOD", AE$3)))/100,AE182),"NA "))</f>
        <v>0.31032598798033145</v>
      </c>
      <c r="AF182" s="245">
        <f ca="1">IFERROR(AVERAGE(V182:AE182),"NA  ")</f>
        <v>0.35047950363217711</v>
      </c>
      <c r="AG182" s="242"/>
      <c r="AH182" s="242"/>
      <c r="AI182" s="242"/>
      <c r="AJ182" s="242"/>
    </row>
    <row r="183" spans="2:36" ht="11.25" customHeight="1">
      <c r="C183" s="229" t="str">
        <f ca="1">IFERROR(IF(BB_Switch=1,_xll.BDP($D183,$C$270),C183), "NA ")</f>
        <v>BASF SE</v>
      </c>
      <c r="D183" s="227" t="str">
        <f>+D23</f>
        <v>BAS GR EQUITY</v>
      </c>
      <c r="E183" s="242">
        <f ca="1">(IFERROR(IF(BB_Switch=1,IF(_xll.BDP($D183,$D$170, "EQY_FUND_RELATIVE_PERIOD", E$3)="#N/A N/A","NA  ",(_xll.BDP($D183,$D$170, "EQY_FUND_RELATIVE_PERIOD", E$3)))/100,E183),"NA "))</f>
        <v>0.13682746550403951</v>
      </c>
      <c r="F183" s="242">
        <f ca="1">(IFERROR(IF(BB_Switch=1,IF(_xll.BDP($D183,$D$170, "EQY_FUND_RELATIVE_PERIOD", F$3)="#N/A N/A","NA  ",(_xll.BDP($D183,$D$170, "EQY_FUND_RELATIVE_PERIOD", F$3)))/100,F183),"NA "))</f>
        <v>0.15936812637472506</v>
      </c>
      <c r="G183" s="242">
        <f ca="1">(IFERROR(IF(BB_Switch=1,IF(_xll.BDP($D183,$D$170, "EQY_FUND_RELATIVE_PERIOD", G$3)="#N/A N/A","NA  ",(_xll.BDP($D183,$D$170, "EQY_FUND_RELATIVE_PERIOD", G$3)))/100,G183),"NA "))</f>
        <v>0.17004259193029228</v>
      </c>
      <c r="H183" s="242">
        <f ca="1">(IFERROR(IF(BB_Switch=1,IF(_xll.BDP($D183,$D$170, "EQY_FUND_RELATIVE_PERIOD", H$3)="#N/A N/A","NA  ",(_xll.BDP($D183,$D$170, "EQY_FUND_RELATIVE_PERIOD", H$3)))/100,H183),"NA "))</f>
        <v>0.18518067150082262</v>
      </c>
      <c r="I183" s="242">
        <f ca="1">(IFERROR(IF(BB_Switch=1,IF(_xll.BDP($D183,$D$170, "EQY_FUND_RELATIVE_PERIOD", I$3)="#N/A N/A","NA  ",(_xll.BDP($D183,$D$170, "EQY_FUND_RELATIVE_PERIOD", I$3)))/100,I183),"NA "))</f>
        <v>0.17499493648910622</v>
      </c>
      <c r="J183" s="242">
        <f ca="1">(IFERROR(IF(BB_Switch=1,IF(_xll.BDP($D183,$D$170, "EQY_FUND_RELATIVE_PERIOD", J$3)="#N/A N/A","NA  ",(_xll.BDP($D183,$D$170, "EQY_FUND_RELATIVE_PERIOD", J$3)))/100,J183),"NA "))</f>
        <v>0.18267716535433071</v>
      </c>
      <c r="K183" s="242">
        <f ca="1">(IFERROR(IF(BB_Switch=1,IF(_xll.BDP($D183,$D$170, "EQY_FUND_RELATIVE_PERIOD", K$3)="#N/A N/A","NA  ",(_xll.BDP($D183,$D$170, "EQY_FUND_RELATIVE_PERIOD", K$3)))/100,K183),"NA "))</f>
        <v>0.17302246416151892</v>
      </c>
      <c r="L183" s="242">
        <f ca="1">(IFERROR(IF(BB_Switch=1,IF(_xll.BDP($D183,$D$170, "EQY_FUND_RELATIVE_PERIOD", L$3)="#N/A N/A","NA  ",(_xll.BDP($D183,$D$170, "EQY_FUND_RELATIVE_PERIOD", L$3)))/100,L183),"NA "))</f>
        <v>0.13665065102843624</v>
      </c>
      <c r="M183" s="242">
        <f ca="1">(IFERROR(IF(BB_Switch=1,IF(_xll.BDP($D183,$D$170, "EQY_FUND_RELATIVE_PERIOD", M$3)="#N/A N/A","NA  ",(_xll.BDP($D183,$D$170, "EQY_FUND_RELATIVE_PERIOD", M$3)))/100,M183),"NA "))</f>
        <v>0.12304191583533361</v>
      </c>
      <c r="N183" s="242">
        <f ca="1">(IFERROR(IF(BB_Switch=1,IF(_xll.BDP($D183,$D$170, "EQY_FUND_RELATIVE_PERIOD", N$3)="#N/A N/A","NA  ",(_xll.BDP($D183,$D$170, "EQY_FUND_RELATIVE_PERIOD", N$3)))/100,N183),"NA "))</f>
        <v>0.25302030559176486</v>
      </c>
      <c r="O183" s="242">
        <f ca="1">(IFERROR(IF(BB_Switch=1,IF(_xll.BDP($D183,$D$170, "EQY_FUND_RELATIVE_PERIOD", O$3)="#N/A N/A","NA  ",(_xll.BDP($D183,$D$170, "EQY_FUND_RELATIVE_PERIOD", O$3)))/100,O183),"NA "))</f>
        <v>0.23959878690805972</v>
      </c>
      <c r="P183" s="242">
        <f ca="1">(IFERROR(IF(BB_Switch=1,IF(_xll.BDP($D183,$D$170, "EQY_FUND_RELATIVE_PERIOD", P$3)="#N/A N/A","NA  ",(_xll.BDP($D183,$D$170, "EQY_FUND_RELATIVE_PERIOD", P$3)))/100,P183),"NA "))</f>
        <v>0.22001018928557431</v>
      </c>
      <c r="Q183" s="244"/>
      <c r="R183" s="244"/>
      <c r="S183" s="244"/>
      <c r="T183" s="244"/>
      <c r="U183" s="227"/>
      <c r="V183" s="242">
        <f ca="1">(IFERROR(IF(BB_Switch=1,IF(_xll.BDP($D183,$D$170, "EQY_FUND_RELATIVE_PERIOD", V$3)="#N/A N/A","NA  ",(_xll.BDP($D183,$D$170, "EQY_FUND_RELATIVE_PERIOD", V$3)))/100,V183),"NA "))</f>
        <v>0.23440755124610996</v>
      </c>
      <c r="W183" s="242">
        <f ca="1">(IFERROR(IF(BB_Switch=1,IF(_xll.BDP($D183,$D$170, "EQY_FUND_RELATIVE_PERIOD", W$3)="#N/A N/A","NA  ",(_xll.BDP($D183,$D$170, "EQY_FUND_RELATIVE_PERIOD", W$3)))/100,W183),"NA "))</f>
        <v>0.27174318775662559</v>
      </c>
      <c r="X183" s="242">
        <f ca="1">(IFERROR(IF(BB_Switch=1,IF(_xll.BDP($D183,$D$170, "EQY_FUND_RELATIVE_PERIOD", X$3)="#N/A N/A","NA  ",(_xll.BDP($D183,$D$170, "EQY_FUND_RELATIVE_PERIOD", X$3)))/100,X183),"NA "))</f>
        <v>0.19770256410256409</v>
      </c>
      <c r="Y183" s="242">
        <f ca="1">(IFERROR(IF(BB_Switch=1,IF(_xll.BDP($D183,$D$170, "EQY_FUND_RELATIVE_PERIOD", Y$3)="#N/A N/A","NA  ",(_xll.BDP($D183,$D$170, "EQY_FUND_RELATIVE_PERIOD", Y$3)))/100,Y183),"NA "))</f>
        <v>0.18554226197390328</v>
      </c>
      <c r="Z183" s="242">
        <f ca="1">(IFERROR(IF(BB_Switch=1,IF(_xll.BDP($D183,$D$170, "EQY_FUND_RELATIVE_PERIOD", Z$3)="#N/A N/A","NA  ",(_xll.BDP($D183,$D$170, "EQY_FUND_RELATIVE_PERIOD", Z$3)))/100,Z183),"NA "))</f>
        <v>0.18863091644254168</v>
      </c>
      <c r="AA183" s="242">
        <f ca="1">(IFERROR(IF(BB_Switch=1,IF(_xll.BDP($D183,$D$170, "EQY_FUND_RELATIVE_PERIOD", AA$3)="#N/A N/A","NA  ",(_xll.BDP($D183,$D$170, "EQY_FUND_RELATIVE_PERIOD", AA$3)))/100,AA183),"NA "))</f>
        <v>0.13623782675550999</v>
      </c>
      <c r="AB183" s="242">
        <f ca="1">(IFERROR(IF(BB_Switch=1,IF(_xll.BDP($D183,$D$170, "EQY_FUND_RELATIVE_PERIOD", AB$3)="#N/A N/A","NA  ",(_xll.BDP($D183,$D$170, "EQY_FUND_RELATIVE_PERIOD", AB$3)))/100,AB183),"NA "))</f>
        <v>0.12933054860258597</v>
      </c>
      <c r="AC183" s="242">
        <f ca="1">(IFERROR(IF(BB_Switch=1,IF(_xll.BDP($D183,$D$170, "EQY_FUND_RELATIVE_PERIOD", AC$3)="#N/A N/A","NA  ",(_xll.BDP($D183,$D$170, "EQY_FUND_RELATIVE_PERIOD", AC$3)))/100,AC183),"NA "))</f>
        <v>0.18518067150082262</v>
      </c>
      <c r="AD183" s="242">
        <f ca="1">(IFERROR(IF(BB_Switch=1,IF(_xll.BDP($D183,$D$170, "EQY_FUND_RELATIVE_PERIOD", AD$3)="#N/A N/A","NA  ",(_xll.BDP($D183,$D$170, "EQY_FUND_RELATIVE_PERIOD", AD$3)))/100,AD183),"NA "))</f>
        <v>0.13665065102843624</v>
      </c>
      <c r="AE183" s="242">
        <f ca="1">(IFERROR(IF(BB_Switch=1,IF(_xll.BDP($D183,$D$170, "EQY_FUND_RELATIVE_PERIOD", AE$3)="#N/A N/A","NA  ",(_xll.BDP($D183,$D$170, "EQY_FUND_RELATIVE_PERIOD", AE$3)))/100,AE183),"NA "))</f>
        <v>0.22001018928557431</v>
      </c>
      <c r="AF183" s="245">
        <f ca="1">IFERROR(AVERAGE(V183:AE183),"NA  ")</f>
        <v>0.18854363686946737</v>
      </c>
      <c r="AG183" s="242"/>
      <c r="AH183" s="242"/>
      <c r="AI183" s="242"/>
      <c r="AJ183" s="242"/>
    </row>
    <row r="184" spans="2:36" ht="11.25" customHeight="1">
      <c r="C184" s="229" t="str">
        <f ca="1">IFERROR(IF(BB_Switch=1,_xll.BDP($D184,$C$270),C184), "NA ")</f>
        <v>Trinseo SA</v>
      </c>
      <c r="D184" s="227" t="str">
        <f>+D24</f>
        <v>TSE US EQUITY</v>
      </c>
      <c r="E184" s="242">
        <f ca="1">(IFERROR(IF(BB_Switch=1,IF(_xll.BDP($D184,$D$170, "EQY_FUND_RELATIVE_PERIOD", E$3)="#N/A N/A","NA  ",(_xll.BDP($D184,$D$170, "EQY_FUND_RELATIVE_PERIOD", E$3)))/100,E184),"NA "))</f>
        <v>0.75218490838528995</v>
      </c>
      <c r="F184" s="242">
        <f ca="1">(IFERROR(IF(BB_Switch=1,IF(_xll.BDP($D184,$D$170, "EQY_FUND_RELATIVE_PERIOD", F$3)="#N/A N/A","NA  ",(_xll.BDP($D184,$D$170, "EQY_FUND_RELATIVE_PERIOD", F$3)))/100,F184),"NA "))</f>
        <v>0.63153740502458766</v>
      </c>
      <c r="G184" s="242">
        <f ca="1">(IFERROR(IF(BB_Switch=1,IF(_xll.BDP($D184,$D$170, "EQY_FUND_RELATIVE_PERIOD", G$3)="#N/A N/A","NA  ",(_xll.BDP($D184,$D$170, "EQY_FUND_RELATIVE_PERIOD", G$3)))/100,G184),"NA "))</f>
        <v>0.58218442463303199</v>
      </c>
      <c r="H184" s="242">
        <f ca="1">(IFERROR(IF(BB_Switch=1,IF(_xll.BDP($D184,$D$170, "EQY_FUND_RELATIVE_PERIOD", H$3)="#N/A N/A","NA  ",(_xll.BDP($D184,$D$170, "EQY_FUND_RELATIVE_PERIOD", H$3)))/100,H184),"NA "))</f>
        <v>0.58493363028953227</v>
      </c>
      <c r="I184" s="242">
        <f ca="1">(IFERROR(IF(BB_Switch=1,IF(_xll.BDP($D184,$D$170, "EQY_FUND_RELATIVE_PERIOD", I$3)="#N/A N/A","NA  ",(_xll.BDP($D184,$D$170, "EQY_FUND_RELATIVE_PERIOD", I$3)))/100,I184),"NA "))</f>
        <v>0.51373301544843086</v>
      </c>
      <c r="J184" s="242">
        <f ca="1">(IFERROR(IF(BB_Switch=1,IF(_xll.BDP($D184,$D$170, "EQY_FUND_RELATIVE_PERIOD", J$3)="#N/A N/A","NA  ",(_xll.BDP($D184,$D$170, "EQY_FUND_RELATIVE_PERIOD", J$3)))/100,J184),"NA "))</f>
        <v>0.54240851995451056</v>
      </c>
      <c r="K184" s="242">
        <f ca="1">(IFERROR(IF(BB_Switch=1,IF(_xll.BDP($D184,$D$170, "EQY_FUND_RELATIVE_PERIOD", K$3)="#N/A N/A","NA  ",(_xll.BDP($D184,$D$170, "EQY_FUND_RELATIVE_PERIOD", K$3)))/100,K184),"NA "))</f>
        <v>0.58857991666201126</v>
      </c>
      <c r="L184" s="242">
        <f ca="1">(IFERROR(IF(BB_Switch=1,IF(_xll.BDP($D184,$D$170, "EQY_FUND_RELATIVE_PERIOD", L$3)="#N/A N/A","NA  ",(_xll.BDP($D184,$D$170, "EQY_FUND_RELATIVE_PERIOD", L$3)))/100,L184),"NA "))</f>
        <v>0.40512642881884303</v>
      </c>
      <c r="M184" s="242">
        <f ca="1">(IFERROR(IF(BB_Switch=1,IF(_xll.BDP($D184,$D$170, "EQY_FUND_RELATIVE_PERIOD", M$3)="#N/A N/A","NA  ",(_xll.BDP($D184,$D$170, "EQY_FUND_RELATIVE_PERIOD", M$3)))/100,M184),"NA "))</f>
        <v>0.27558324496288433</v>
      </c>
      <c r="N184" s="242">
        <f ca="1">(IFERROR(IF(BB_Switch=1,IF(_xll.BDP($D184,$D$170, "EQY_FUND_RELATIVE_PERIOD", N$3)="#N/A N/A","NA  ",(_xll.BDP($D184,$D$170, "EQY_FUND_RELATIVE_PERIOD", N$3)))/100,N184),"NA "))</f>
        <v>0.17790419548774972</v>
      </c>
      <c r="O184" s="242">
        <f ca="1">(IFERROR(IF(BB_Switch=1,IF(_xll.BDP($D184,$D$170, "EQY_FUND_RELATIVE_PERIOD", O$3)="#N/A N/A","NA  ",(_xll.BDP($D184,$D$170, "EQY_FUND_RELATIVE_PERIOD", O$3)))/100,O184),"NA "))</f>
        <v>0.11082273553075525</v>
      </c>
      <c r="P184" s="242">
        <f ca="1">(IFERROR(IF(BB_Switch=1,IF(_xll.BDP($D184,$D$170, "EQY_FUND_RELATIVE_PERIOD", P$3)="#N/A N/A","NA  ",(_xll.BDP($D184,$D$170, "EQY_FUND_RELATIVE_PERIOD", P$3)))/100,P184),"NA "))</f>
        <v>0.12799109627156371</v>
      </c>
      <c r="Q184" s="244"/>
      <c r="R184" s="244"/>
      <c r="S184" s="244"/>
      <c r="T184" s="244"/>
      <c r="U184" s="227"/>
      <c r="V184" s="242">
        <f ca="1">(IFERROR(IF(BB_Switch=1,IF(_xll.BDP($D184,$D$170, "EQY_FUND_RELATIVE_PERIOD", V$3)="#N/A N/A","NA  ",(_xll.BDP($D184,$D$170, "EQY_FUND_RELATIVE_PERIOD", V$3)))/100,V184),"NA "))</f>
        <v>6.6729560302947466E-2</v>
      </c>
      <c r="W184" s="242" t="str">
        <f ca="1">(IFERROR(IF(BB_Switch=1,IF(_xll.BDP($D184,$D$170, "EQY_FUND_RELATIVE_PERIOD", W$3)="#N/A N/A","NA  ",(_xll.BDP($D184,$D$170, "EQY_FUND_RELATIVE_PERIOD", W$3)))/100,W184),"NA "))</f>
        <v xml:space="preserve">NA </v>
      </c>
      <c r="X184" s="242" t="str">
        <f ca="1">(IFERROR(IF(BB_Switch=1,IF(_xll.BDP($D184,$D$170, "EQY_FUND_RELATIVE_PERIOD", X$3)="#N/A N/A","NA  ",(_xll.BDP($D184,$D$170, "EQY_FUND_RELATIVE_PERIOD", X$3)))/100,X184),"NA "))</f>
        <v xml:space="preserve">NA </v>
      </c>
      <c r="Y184" s="242">
        <f ca="1">(IFERROR(IF(BB_Switch=1,IF(_xll.BDP($D184,$D$170, "EQY_FUND_RELATIVE_PERIOD", Y$3)="#N/A N/A","NA  ",(_xll.BDP($D184,$D$170, "EQY_FUND_RELATIVE_PERIOD", Y$3)))/100,Y184),"NA "))</f>
        <v>-6.9992612625951578E-2</v>
      </c>
      <c r="Z184" s="242">
        <f ca="1">(IFERROR(IF(BB_Switch=1,IF(_xll.BDP($D184,$D$170, "EQY_FUND_RELATIVE_PERIOD", Z$3)="#N/A N/A","NA  ",(_xll.BDP($D184,$D$170, "EQY_FUND_RELATIVE_PERIOD", Z$3)))/100,Z184),"NA "))</f>
        <v>-0.20278676699790832</v>
      </c>
      <c r="AA184" s="242">
        <f ca="1">(IFERROR(IF(BB_Switch=1,IF(_xll.BDP($D184,$D$170, "EQY_FUND_RELATIVE_PERIOD", AA$3)="#N/A N/A","NA  ",(_xll.BDP($D184,$D$170, "EQY_FUND_RELATIVE_PERIOD", AA$3)))/100,AA184),"NA "))</f>
        <v>0.37653459251506244</v>
      </c>
      <c r="AB184" s="242">
        <f ca="1">(IFERROR(IF(BB_Switch=1,IF(_xll.BDP($D184,$D$170, "EQY_FUND_RELATIVE_PERIOD", AB$3)="#N/A N/A","NA  ",(_xll.BDP($D184,$D$170, "EQY_FUND_RELATIVE_PERIOD", AB$3)))/100,AB184),"NA "))</f>
        <v>0.76083345085656506</v>
      </c>
      <c r="AC184" s="242">
        <f ca="1">(IFERROR(IF(BB_Switch=1,IF(_xll.BDP($D184,$D$170, "EQY_FUND_RELATIVE_PERIOD", AC$3)="#N/A N/A","NA  ",(_xll.BDP($D184,$D$170, "EQY_FUND_RELATIVE_PERIOD", AC$3)))/100,AC184),"NA "))</f>
        <v>0.58494432071269487</v>
      </c>
      <c r="AD184" s="242">
        <f ca="1">(IFERROR(IF(BB_Switch=1,IF(_xll.BDP($D184,$D$170, "EQY_FUND_RELATIVE_PERIOD", AD$3)="#N/A N/A","NA  ",(_xll.BDP($D184,$D$170, "EQY_FUND_RELATIVE_PERIOD", AD$3)))/100,AD184),"NA "))</f>
        <v>0.40526498094908203</v>
      </c>
      <c r="AE184" s="242">
        <f ca="1">(IFERROR(IF(BB_Switch=1,IF(_xll.BDP($D184,$D$170, "EQY_FUND_RELATIVE_PERIOD", AE$3)="#N/A N/A","NA  ",(_xll.BDP($D184,$D$170, "EQY_FUND_RELATIVE_PERIOD", AE$3)))/100,AE184),"NA "))</f>
        <v>0.12799109627156371</v>
      </c>
      <c r="AF184" s="243">
        <f ca="1">IFERROR(AVERAGE(V184:AE184),"NA  ")</f>
        <v>0.25618982774800697</v>
      </c>
      <c r="AG184" s="242"/>
      <c r="AH184" s="242"/>
      <c r="AI184" s="242"/>
      <c r="AJ184" s="242"/>
    </row>
    <row r="185" spans="2:36" ht="11.25" customHeight="1">
      <c r="C185" s="229"/>
      <c r="D185" s="227"/>
      <c r="E185" s="244"/>
      <c r="F185" s="244"/>
      <c r="G185" s="244"/>
      <c r="H185" s="244"/>
      <c r="I185" s="244"/>
      <c r="J185" s="244"/>
      <c r="K185" s="244"/>
      <c r="L185" s="244"/>
      <c r="M185" s="244"/>
      <c r="N185" s="244"/>
      <c r="O185" s="244"/>
      <c r="P185" s="244"/>
      <c r="Q185" s="244"/>
      <c r="R185" s="244"/>
      <c r="S185" s="244"/>
      <c r="T185" s="244"/>
      <c r="U185" s="227"/>
      <c r="V185" s="242"/>
      <c r="W185" s="242"/>
      <c r="X185" s="242"/>
      <c r="Y185" s="242"/>
      <c r="Z185" s="242"/>
      <c r="AA185" s="242"/>
      <c r="AB185" s="242"/>
      <c r="AC185" s="242"/>
      <c r="AD185" s="242"/>
      <c r="AE185" s="242"/>
      <c r="AF185" s="242"/>
      <c r="AG185" s="242"/>
      <c r="AH185" s="242"/>
      <c r="AI185" s="242"/>
      <c r="AJ185" s="242"/>
    </row>
    <row r="186" spans="2:36" ht="11.25" customHeight="1">
      <c r="C186" s="224" t="s">
        <v>482</v>
      </c>
      <c r="D186" s="223"/>
      <c r="E186" s="254">
        <f t="shared" ref="E186:O186" ca="1" si="52">AVERAGE(E172:E178,E181:E184)</f>
        <v>0.26670016262065166</v>
      </c>
      <c r="F186" s="254">
        <f t="shared" ca="1" si="52"/>
        <v>0.22230362200472087</v>
      </c>
      <c r="G186" s="254">
        <f t="shared" ca="1" si="52"/>
        <v>0.21842193420566447</v>
      </c>
      <c r="H186" s="254">
        <f t="shared" ca="1" si="52"/>
        <v>0.26566138062448602</v>
      </c>
      <c r="I186" s="254">
        <f t="shared" ca="1" si="52"/>
        <v>0.29182912988216075</v>
      </c>
      <c r="J186" s="254">
        <f t="shared" ca="1" si="52"/>
        <v>0.30802170594279904</v>
      </c>
      <c r="K186" s="254">
        <f t="shared" ca="1" si="52"/>
        <v>0.32675278832106386</v>
      </c>
      <c r="L186" s="254">
        <f t="shared" ca="1" si="52"/>
        <v>0.23598697731992563</v>
      </c>
      <c r="M186" s="254">
        <f t="shared" ca="1" si="52"/>
        <v>0.20269395109563565</v>
      </c>
      <c r="N186" s="254">
        <f t="shared" ca="1" si="52"/>
        <v>0.18926435467942193</v>
      </c>
      <c r="O186" s="254">
        <f t="shared" ca="1" si="52"/>
        <v>0.16172880528556902</v>
      </c>
      <c r="P186" s="254">
        <f ca="1">AVERAGE(P172:P178,P181:P184)</f>
        <v>0.1790126248427453</v>
      </c>
      <c r="Q186" s="254"/>
      <c r="R186" s="254"/>
      <c r="S186" s="254"/>
      <c r="T186" s="441"/>
      <c r="U186" s="241"/>
      <c r="V186" s="421">
        <f t="shared" ref="V186:AE186" ca="1" si="53">AVERAGE(V172:V178,V181:V184)</f>
        <v>0.23966781805378712</v>
      </c>
      <c r="W186" s="254">
        <f t="shared" ca="1" si="53"/>
        <v>0.28663784269399695</v>
      </c>
      <c r="X186" s="254">
        <f t="shared" ca="1" si="53"/>
        <v>0.16647917911970517</v>
      </c>
      <c r="Y186" s="254">
        <f t="shared" ca="1" si="53"/>
        <v>0.2267746106021781</v>
      </c>
      <c r="Z186" s="254">
        <f t="shared" ca="1" si="53"/>
        <v>0.14083127336120876</v>
      </c>
      <c r="AA186" s="254">
        <f t="shared" ca="1" si="53"/>
        <v>0.20385054830020694</v>
      </c>
      <c r="AB186" s="254">
        <f t="shared" ca="1" si="53"/>
        <v>0.2768329967677956</v>
      </c>
      <c r="AC186" s="254">
        <f t="shared" ca="1" si="53"/>
        <v>0.2640269186261151</v>
      </c>
      <c r="AD186" s="254">
        <f t="shared" ca="1" si="53"/>
        <v>0.23596280113760565</v>
      </c>
      <c r="AE186" s="254">
        <f t="shared" ca="1" si="53"/>
        <v>0.1804107099078939</v>
      </c>
      <c r="AF186" s="250"/>
      <c r="AG186" s="250"/>
      <c r="AH186" s="250"/>
      <c r="AI186" s="250"/>
      <c r="AJ186" s="291"/>
    </row>
    <row r="187" spans="2:36" ht="11.25" customHeight="1">
      <c r="C187" s="221" t="s">
        <v>481</v>
      </c>
      <c r="D187" s="220"/>
      <c r="E187" s="253">
        <f t="shared" ref="E187:O187" ca="1" si="54">MEDIAN(E172:E178,E181:E184)</f>
        <v>0.20169395821569736</v>
      </c>
      <c r="F187" s="253">
        <f t="shared" ca="1" si="54"/>
        <v>0.15936812637472506</v>
      </c>
      <c r="G187" s="253">
        <f t="shared" ca="1" si="54"/>
        <v>0.17004259193029228</v>
      </c>
      <c r="H187" s="253">
        <f t="shared" ca="1" si="54"/>
        <v>0.24862173687526226</v>
      </c>
      <c r="I187" s="253">
        <f t="shared" ca="1" si="54"/>
        <v>0.27383287563750491</v>
      </c>
      <c r="J187" s="253">
        <f t="shared" ca="1" si="54"/>
        <v>0.28980194744886267</v>
      </c>
      <c r="K187" s="253">
        <f t="shared" ca="1" si="54"/>
        <v>0.30410737955111955</v>
      </c>
      <c r="L187" s="253">
        <f t="shared" ca="1" si="54"/>
        <v>0.19108259841685948</v>
      </c>
      <c r="M187" s="253">
        <f t="shared" ca="1" si="54"/>
        <v>0.15994150090521153</v>
      </c>
      <c r="N187" s="253">
        <f t="shared" ca="1" si="54"/>
        <v>0.17021599514370123</v>
      </c>
      <c r="O187" s="253">
        <f t="shared" ca="1" si="54"/>
        <v>0.12553036151345148</v>
      </c>
      <c r="P187" s="253">
        <f ca="1">MEDIAN(P172:P178,P181:P184)</f>
        <v>0.12799109627156371</v>
      </c>
      <c r="Q187" s="253"/>
      <c r="R187" s="253"/>
      <c r="S187" s="253"/>
      <c r="T187" s="442"/>
      <c r="U187" s="241"/>
      <c r="V187" s="422">
        <f t="shared" ref="V187:AE187" ca="1" si="55">MEDIAN(V172:V178,V181:V184)</f>
        <v>0.23793481470259079</v>
      </c>
      <c r="W187" s="253">
        <f t="shared" ca="1" si="55"/>
        <v>0.26895897893420179</v>
      </c>
      <c r="X187" s="253">
        <f t="shared" ca="1" si="55"/>
        <v>0.18964704353060888</v>
      </c>
      <c r="Y187" s="253">
        <f t="shared" ca="1" si="55"/>
        <v>0.28332928208547514</v>
      </c>
      <c r="Z187" s="253">
        <f t="shared" ca="1" si="55"/>
        <v>0.18863091644254168</v>
      </c>
      <c r="AA187" s="253">
        <f t="shared" ca="1" si="55"/>
        <v>0.19533941236068894</v>
      </c>
      <c r="AB187" s="253">
        <f t="shared" ca="1" si="55"/>
        <v>0.21640415599490603</v>
      </c>
      <c r="AC187" s="253">
        <f t="shared" ca="1" si="55"/>
        <v>0.24862173687526226</v>
      </c>
      <c r="AD187" s="253">
        <f t="shared" ca="1" si="55"/>
        <v>0.19108259841685948</v>
      </c>
      <c r="AE187" s="253">
        <f t="shared" ca="1" si="55"/>
        <v>0.12799109627156371</v>
      </c>
      <c r="AF187" s="249"/>
      <c r="AG187" s="249"/>
      <c r="AH187" s="249"/>
      <c r="AI187" s="249"/>
      <c r="AJ187" s="292"/>
    </row>
    <row r="188" spans="2:36" ht="11.25" customHeight="1">
      <c r="C188" s="219"/>
      <c r="D188" s="219"/>
      <c r="E188" s="219"/>
      <c r="F188" s="219"/>
      <c r="G188" s="219"/>
      <c r="H188" s="219"/>
      <c r="I188" s="219"/>
      <c r="J188" s="219"/>
      <c r="K188" s="219"/>
      <c r="L188" s="219"/>
      <c r="M188" s="219"/>
      <c r="N188" s="219"/>
      <c r="O188" s="219"/>
      <c r="P188" s="219"/>
      <c r="Q188" s="219"/>
      <c r="R188" s="219"/>
      <c r="S188" s="219"/>
      <c r="T188" s="219"/>
      <c r="U188" s="219"/>
      <c r="V188" s="241"/>
      <c r="W188" s="241"/>
      <c r="X188" s="241"/>
      <c r="Y188" s="241"/>
      <c r="Z188" s="241"/>
      <c r="AA188" s="241"/>
      <c r="AB188" s="241"/>
      <c r="AC188" s="241"/>
      <c r="AD188" s="241"/>
      <c r="AE188" s="241"/>
      <c r="AF188" s="241"/>
      <c r="AG188" s="241"/>
      <c r="AH188" s="247"/>
      <c r="AI188" s="247"/>
      <c r="AJ188" s="247"/>
    </row>
    <row r="189" spans="2:36" ht="11.25" customHeight="1">
      <c r="B189" s="231" t="s">
        <v>14</v>
      </c>
      <c r="C189" s="232" t="s">
        <v>506</v>
      </c>
      <c r="D189" s="232"/>
      <c r="E189" s="232"/>
      <c r="F189" s="232"/>
      <c r="G189" s="232"/>
      <c r="H189" s="232"/>
      <c r="I189" s="232"/>
      <c r="J189" s="232"/>
      <c r="K189" s="232"/>
      <c r="L189" s="232"/>
      <c r="M189" s="232"/>
      <c r="N189" s="232"/>
      <c r="O189" s="232"/>
      <c r="P189" s="232"/>
      <c r="Q189" s="232"/>
      <c r="R189" s="232"/>
      <c r="S189" s="232"/>
      <c r="T189" s="232"/>
      <c r="U189" s="233"/>
      <c r="V189" s="232"/>
      <c r="W189" s="231"/>
      <c r="X189" s="231"/>
      <c r="Y189" s="231"/>
      <c r="Z189" s="231"/>
      <c r="AA189" s="231"/>
      <c r="AB189" s="231"/>
      <c r="AC189" s="231"/>
      <c r="AD189" s="231"/>
      <c r="AE189" s="231"/>
      <c r="AF189" s="231"/>
      <c r="AG189" s="231"/>
      <c r="AH189" s="231"/>
      <c r="AI189" s="231"/>
      <c r="AJ189" s="231"/>
    </row>
    <row r="190" spans="2:36" ht="11.25" customHeight="1">
      <c r="D190" s="217" t="s">
        <v>505</v>
      </c>
      <c r="AC190" s="238"/>
      <c r="AD190" s="238"/>
      <c r="AE190" s="238"/>
      <c r="AF190" s="238"/>
    </row>
    <row r="191" spans="2:36" ht="11.25" customHeight="1">
      <c r="C191" s="428" t="str">
        <f>+C11</f>
        <v>Commodity Chemicals</v>
      </c>
      <c r="U191" s="227"/>
    </row>
    <row r="192" spans="2:36" s="227" customFormat="1" ht="11.25" customHeight="1">
      <c r="B192" s="217"/>
      <c r="C192" s="229" t="str">
        <f ca="1">IFERROR(IF(BB_Switch=1,_xll.BDP($D192,$C$270),C192), "NA ")</f>
        <v>DuPont de Nemours Inc</v>
      </c>
      <c r="D192" s="227" t="str">
        <f t="shared" ref="D192:D198" si="56">+D12</f>
        <v>DD US EQUITY</v>
      </c>
      <c r="E192" s="242">
        <f ca="1">(IFERROR(IF(BB_Switch=1,IF(_xll.BDP($D192,$D$190, "EQY_FUND_RELATIVE_PERIOD", E$3)="#N/A N/A","NA  ",(_xll.BDP($D192,$D$190, "EQY_FUND_RELATIVE_PERIOD", E$3)))/100,E192),"NA "))</f>
        <v>0.23431594860166288</v>
      </c>
      <c r="F192" s="242">
        <f ca="1">(IFERROR(IF(BB_Switch=1,IF(_xll.BDP($D192,$D$190, "EQY_FUND_RELATIVE_PERIOD", F$3)="#N/A N/A","NA  ",(_xll.BDP($D192,$D$190, "EQY_FUND_RELATIVE_PERIOD", F$3)))/100,F192),"NA "))</f>
        <v>0.1911956364338466</v>
      </c>
      <c r="G192" s="242">
        <f ca="1">(IFERROR(IF(BB_Switch=1,IF(_xll.BDP($D192,$D$190, "EQY_FUND_RELATIVE_PERIOD", G$3)="#N/A N/A","NA  ",(_xll.BDP($D192,$D$190, "EQY_FUND_RELATIVE_PERIOD", G$3)))/100,G192),"NA "))</f>
        <v>0.17272372020320437</v>
      </c>
      <c r="H192" s="242">
        <f ca="1">(IFERROR(IF(BB_Switch=1,IF(_xll.BDP($D192,$D$190, "EQY_FUND_RELATIVE_PERIOD", H$3)="#N/A N/A","NA  ",(_xll.BDP($D192,$D$190, "EQY_FUND_RELATIVE_PERIOD", H$3)))/100,H192),"NA "))</f>
        <v>0.14098475032393104</v>
      </c>
      <c r="I192" s="242">
        <f ca="1">(IFERROR(IF(BB_Switch=1,IF(_xll.BDP($D192,$D$190, "EQY_FUND_RELATIVE_PERIOD", I$3)="#N/A N/A","NA  ",(_xll.BDP($D192,$D$190, "EQY_FUND_RELATIVE_PERIOD", I$3)))/100,I192),"NA "))</f>
        <v>0.20715946071594607</v>
      </c>
      <c r="J192" s="242">
        <f ca="1">(IFERROR(IF(BB_Switch=1,IF(_xll.BDP($D192,$D$190, "EQY_FUND_RELATIVE_PERIOD", J$3)="#N/A N/A","NA  ",(_xll.BDP($D192,$D$190, "EQY_FUND_RELATIVE_PERIOD", J$3)))/100,J192),"NA "))</f>
        <v>0.31620283421546869</v>
      </c>
      <c r="K192" s="242">
        <f ca="1">(IFERROR(IF(BB_Switch=1,IF(_xll.BDP($D192,$D$190, "EQY_FUND_RELATIVE_PERIOD", K$3)="#N/A N/A","NA  ",(_xll.BDP($D192,$D$190, "EQY_FUND_RELATIVE_PERIOD", K$3)))/100,K192),"NA "))</f>
        <v>0.35157487242653529</v>
      </c>
      <c r="L192" s="242">
        <f ca="1">(IFERROR(IF(BB_Switch=1,IF(_xll.BDP($D192,$D$190, "EQY_FUND_RELATIVE_PERIOD", L$3)="#N/A N/A","NA  ",(_xll.BDP($D192,$D$190, "EQY_FUND_RELATIVE_PERIOD", L$3)))/100,L192),"NA "))</f>
        <v>0.35257467472970494</v>
      </c>
      <c r="M192" s="242">
        <f ca="1">(IFERROR(IF(BB_Switch=1,IF(_xll.BDP($D192,$D$190, "EQY_FUND_RELATIVE_PERIOD", M$3)="#N/A N/A","NA  ",(_xll.BDP($D192,$D$190, "EQY_FUND_RELATIVE_PERIOD", M$3)))/100,M192),"NA "))</f>
        <v>0.20021375133594585</v>
      </c>
      <c r="N192" s="242">
        <f ca="1">(IFERROR(IF(BB_Switch=1,IF(_xll.BDP($D192,$D$190, "EQY_FUND_RELATIVE_PERIOD", N$3)="#N/A N/A","NA  ",(_xll.BDP($D192,$D$190, "EQY_FUND_RELATIVE_PERIOD", N$3)))/100,N192),"NA "))</f>
        <v>0.28017556693489393</v>
      </c>
      <c r="O192" s="242">
        <f ca="1">(IFERROR(IF(BB_Switch=1,IF(_xll.BDP($D192,$D$190, "EQY_FUND_RELATIVE_PERIOD", O$3)="#N/A N/A","NA  ",(_xll.BDP($D192,$D$190, "EQY_FUND_RELATIVE_PERIOD", O$3)))/100,O192),"NA "))</f>
        <v>0.2436417250276447</v>
      </c>
      <c r="P192" s="242">
        <f ca="1">(IFERROR(IF(BB_Switch=1,IF(_xll.BDP($D192,$D$190, "EQY_FUND_RELATIVE_PERIOD", P$3)="#N/A N/A","NA  ",(_xll.BDP($D192,$D$190, "EQY_FUND_RELATIVE_PERIOD", P$3)))/100,P192),"NA "))</f>
        <v>0.2688316679477325</v>
      </c>
      <c r="Q192" s="244"/>
      <c r="R192" s="244"/>
      <c r="S192" s="244"/>
      <c r="T192" s="244"/>
      <c r="V192" s="242" t="str">
        <f ca="1">(IFERROR(IF(BB_Switch=1,IF(_xll.BDP($D192,$D$190, "EQY_FUND_RELATIVE_PERIOD", V$3)="#N/A N/A","NA  ",(_xll.BDP($D192,$D$190, "EQY_FUND_RELATIVE_PERIOD", V$3)))/100,V192),"NA "))</f>
        <v xml:space="preserve">NA </v>
      </c>
      <c r="W192" s="242" t="str">
        <f ca="1">(IFERROR(IF(BB_Switch=1,IF(_xll.BDP($D192,$D$190, "EQY_FUND_RELATIVE_PERIOD", W$3)="#N/A N/A","NA  ",(_xll.BDP($D192,$D$190, "EQY_FUND_RELATIVE_PERIOD", W$3)))/100,W192),"NA "))</f>
        <v xml:space="preserve">NA </v>
      </c>
      <c r="X192" s="242" t="str">
        <f ca="1">(IFERROR(IF(BB_Switch=1,IF(_xll.BDP($D192,$D$190, "EQY_FUND_RELATIVE_PERIOD", X$3)="#N/A N/A","NA  ",(_xll.BDP($D192,$D$190, "EQY_FUND_RELATIVE_PERIOD", X$3)))/100,X192),"NA "))</f>
        <v xml:space="preserve">NA </v>
      </c>
      <c r="Y192" s="242" t="str">
        <f ca="1">(IFERROR(IF(BB_Switch=1,IF(_xll.BDP($D192,$D$190, "EQY_FUND_RELATIVE_PERIOD", Y$3)="#N/A N/A","NA  ",(_xll.BDP($D192,$D$190, "EQY_FUND_RELATIVE_PERIOD", Y$3)))/100,Y192),"NA "))</f>
        <v xml:space="preserve">NA </v>
      </c>
      <c r="Z192" s="242" t="str">
        <f ca="1">(IFERROR(IF(BB_Switch=1,IF(_xll.BDP($D192,$D$190, "EQY_FUND_RELATIVE_PERIOD", Z$3)="#N/A N/A","NA  ",(_xll.BDP($D192,$D$190, "EQY_FUND_RELATIVE_PERIOD", Z$3)))/100,Z192),"NA "))</f>
        <v xml:space="preserve">NA </v>
      </c>
      <c r="AA192" s="242">
        <f ca="1">(IFERROR(IF(BB_Switch=1,IF(_xll.BDP($D192,$D$190, "EQY_FUND_RELATIVE_PERIOD", AA$3)="#N/A N/A","NA  ",(_xll.BDP($D192,$D$190, "EQY_FUND_RELATIVE_PERIOD", AA$3)))/100,AA192),"NA "))</f>
        <v>0.1342299149466385</v>
      </c>
      <c r="AB192" s="242">
        <f ca="1">(IFERROR(IF(BB_Switch=1,IF(_xll.BDP($D192,$D$190, "EQY_FUND_RELATIVE_PERIOD", AB$3)="#N/A N/A","NA  ",(_xll.BDP($D192,$D$190, "EQY_FUND_RELATIVE_PERIOD", AB$3)))/100,AB192),"NA "))</f>
        <v>0.1311535531920896</v>
      </c>
      <c r="AC192" s="242">
        <f ca="1">(IFERROR(IF(BB_Switch=1,IF(_xll.BDP($D192,$D$190, "EQY_FUND_RELATIVE_PERIOD", AC$3)="#N/A N/A","NA  ",(_xll.BDP($D192,$D$190, "EQY_FUND_RELATIVE_PERIOD", AC$3)))/100,AC192),"NA "))</f>
        <v>0.39444825222755314</v>
      </c>
      <c r="AD192" s="242">
        <f ca="1">(IFERROR(IF(BB_Switch=1,IF(_xll.BDP($D192,$D$190, "EQY_FUND_RELATIVE_PERIOD", AD$3)="#N/A N/A","NA  ",(_xll.BDP($D192,$D$190, "EQY_FUND_RELATIVE_PERIOD", AD$3)))/100,AD192),"NA "))</f>
        <v>0.34048862529875185</v>
      </c>
      <c r="AE192" s="242">
        <f ca="1">(IFERROR(IF(BB_Switch=1,IF(_xll.BDP($D192,$D$190, "EQY_FUND_RELATIVE_PERIOD", AE$3)="#N/A N/A","NA  ",(_xll.BDP($D192,$D$190, "EQY_FUND_RELATIVE_PERIOD", AE$3)))/100,AE192),"NA "))</f>
        <v>0.28732800297508365</v>
      </c>
      <c r="AF192" s="236" t="s">
        <v>726</v>
      </c>
      <c r="AG192" s="244"/>
      <c r="AH192" s="244"/>
      <c r="AI192" s="244"/>
      <c r="AJ192" s="244"/>
    </row>
    <row r="193" spans="3:37" ht="11.25" customHeight="1">
      <c r="C193" s="229" t="str">
        <f ca="1">IFERROR(IF(BB_Switch=1,_xll.BDP($D193,$C$270),C193), "NA ")</f>
        <v>PolyOne Corp</v>
      </c>
      <c r="D193" s="227" t="str">
        <f t="shared" si="56"/>
        <v>POL US EQUITY</v>
      </c>
      <c r="E193" s="242">
        <f ca="1">(IFERROR(IF(BB_Switch=1,IF(_xll.BDP($D193,$D$190, "EQY_FUND_RELATIVE_PERIOD", E$3)="#N/A N/A","NA  ",(_xll.BDP($D193,$D$190, "EQY_FUND_RELATIVE_PERIOD", E$3)))/100,E193),"NA "))</f>
        <v>0.13217020208359484</v>
      </c>
      <c r="F193" s="242">
        <f ca="1">(IFERROR(IF(BB_Switch=1,IF(_xll.BDP($D193,$D$190, "EQY_FUND_RELATIVE_PERIOD", F$3)="#N/A N/A","NA  ",(_xll.BDP($D193,$D$190, "EQY_FUND_RELATIVE_PERIOD", F$3)))/100,F193),"NA "))</f>
        <v>0.13720673135978381</v>
      </c>
      <c r="G193" s="242">
        <f ca="1">(IFERROR(IF(BB_Switch=1,IF(_xll.BDP($D193,$D$190, "EQY_FUND_RELATIVE_PERIOD", G$3)="#N/A N/A","NA  ",(_xll.BDP($D193,$D$190, "EQY_FUND_RELATIVE_PERIOD", G$3)))/100,G193),"NA "))</f>
        <v>0.12339645693341478</v>
      </c>
      <c r="H193" s="242">
        <f ca="1">(IFERROR(IF(BB_Switch=1,IF(_xll.BDP($D193,$D$190, "EQY_FUND_RELATIVE_PERIOD", H$3)="#N/A N/A","NA  ",(_xll.BDP($D193,$D$190, "EQY_FUND_RELATIVE_PERIOD", H$3)))/100,H193),"NA "))</f>
        <v>9.8551086684986272E-2</v>
      </c>
      <c r="I193" s="242">
        <f ca="1">(IFERROR(IF(BB_Switch=1,IF(_xll.BDP($D193,$D$190, "EQY_FUND_RELATIVE_PERIOD", I$3)="#N/A N/A","NA  ",(_xll.BDP($D193,$D$190, "EQY_FUND_RELATIVE_PERIOD", I$3)))/100,I193),"NA "))</f>
        <v>0.12255989352262646</v>
      </c>
      <c r="J193" s="242">
        <f ca="1">(IFERROR(IF(BB_Switch=1,IF(_xll.BDP($D193,$D$190, "EQY_FUND_RELATIVE_PERIOD", J$3)="#N/A N/A","NA  ",(_xll.BDP($D193,$D$190, "EQY_FUND_RELATIVE_PERIOD", J$3)))/100,J193),"NA "))</f>
        <v>0.12571053782247488</v>
      </c>
      <c r="K193" s="242">
        <f ca="1">(IFERROR(IF(BB_Switch=1,IF(_xll.BDP($D193,$D$190, "EQY_FUND_RELATIVE_PERIOD", K$3)="#N/A N/A","NA  ",(_xll.BDP($D193,$D$190, "EQY_FUND_RELATIVE_PERIOD", K$3)))/100,K193),"NA "))</f>
        <v>0.11083676268861453</v>
      </c>
      <c r="L193" s="242">
        <f ca="1">(IFERROR(IF(BB_Switch=1,IF(_xll.BDP($D193,$D$190, "EQY_FUND_RELATIVE_PERIOD", L$3)="#N/A N/A","NA  ",(_xll.BDP($D193,$D$190, "EQY_FUND_RELATIVE_PERIOD", L$3)))/100,L193),"NA "))</f>
        <v>8.7874760005907535E-2</v>
      </c>
      <c r="M193" s="242">
        <f ca="1">(IFERROR(IF(BB_Switch=1,IF(_xll.BDP($D193,$D$190, "EQY_FUND_RELATIVE_PERIOD", M$3)="#N/A N/A","NA  ",(_xll.BDP($D193,$D$190, "EQY_FUND_RELATIVE_PERIOD", M$3)))/100,M193),"NA "))</f>
        <v>0.12379153239248804</v>
      </c>
      <c r="N193" s="242">
        <f ca="1">(IFERROR(IF(BB_Switch=1,IF(_xll.BDP($D193,$D$190, "EQY_FUND_RELATIVE_PERIOD", N$3)="#N/A N/A","NA  ",(_xll.BDP($D193,$D$190, "EQY_FUND_RELATIVE_PERIOD", N$3)))/100,N193),"NA "))</f>
        <v>0.13454304049568488</v>
      </c>
      <c r="O193" s="242">
        <f ca="1">(IFERROR(IF(BB_Switch=1,IF(_xll.BDP($D193,$D$190, "EQY_FUND_RELATIVE_PERIOD", O$3)="#N/A N/A","NA  ",(_xll.BDP($D193,$D$190, "EQY_FUND_RELATIVE_PERIOD", O$3)))/100,O193),"NA "))</f>
        <v>0.12221749610094995</v>
      </c>
      <c r="P193" s="242">
        <f ca="1">(IFERROR(IF(BB_Switch=1,IF(_xll.BDP($D193,$D$190, "EQY_FUND_RELATIVE_PERIOD", P$3)="#N/A N/A","NA  ",(_xll.BDP($D193,$D$190, "EQY_FUND_RELATIVE_PERIOD", P$3)))/100,P193),"NA "))</f>
        <v>0.10750075918615246</v>
      </c>
      <c r="Q193" s="244"/>
      <c r="R193" s="244"/>
      <c r="S193" s="244"/>
      <c r="T193" s="244"/>
      <c r="U193" s="227"/>
      <c r="V193" s="242">
        <f ca="1">(IFERROR(IF(BB_Switch=1,IF(_xll.BDP($D193,$D$190, "EQY_FUND_RELATIVE_PERIOD", V$3)="#N/A N/A","NA  ",(_xll.BDP($D193,$D$190, "EQY_FUND_RELATIVE_PERIOD", V$3)))/100,V193),"NA "))</f>
        <v>9.1002707959876444E-2</v>
      </c>
      <c r="W193" s="242">
        <f ca="1">(IFERROR(IF(BB_Switch=1,IF(_xll.BDP($D193,$D$190, "EQY_FUND_RELATIVE_PERIOD", W$3)="#N/A N/A","NA  ",(_xll.BDP($D193,$D$190, "EQY_FUND_RELATIVE_PERIOD", W$3)))/100,W193),"NA "))</f>
        <v>0.10696699842849659</v>
      </c>
      <c r="X193" s="242">
        <f ca="1">(IFERROR(IF(BB_Switch=1,IF(_xll.BDP($D193,$D$190, "EQY_FUND_RELATIVE_PERIOD", X$3)="#N/A N/A","NA  ",(_xll.BDP($D193,$D$190, "EQY_FUND_RELATIVE_PERIOD", X$3)))/100,X193),"NA "))</f>
        <v>8.441694630872483E-2</v>
      </c>
      <c r="Y193" s="242">
        <f ca="1">(IFERROR(IF(BB_Switch=1,IF(_xll.BDP($D193,$D$190, "EQY_FUND_RELATIVE_PERIOD", Y$3)="#N/A N/A","NA  ",(_xll.BDP($D193,$D$190, "EQY_FUND_RELATIVE_PERIOD", Y$3)))/100,Y193),"NA "))</f>
        <v>0.1161699193890539</v>
      </c>
      <c r="Z193" s="242">
        <f ca="1">(IFERROR(IF(BB_Switch=1,IF(_xll.BDP($D193,$D$190, "EQY_FUND_RELATIVE_PERIOD", Z$3)="#N/A N/A","NA  ",(_xll.BDP($D193,$D$190, "EQY_FUND_RELATIVE_PERIOD", Z$3)))/100,Z193),"NA "))</f>
        <v>9.9022291748142338E-2</v>
      </c>
      <c r="AA193" s="242">
        <f ca="1">(IFERROR(IF(BB_Switch=1,IF(_xll.BDP($D193,$D$190, "EQY_FUND_RELATIVE_PERIOD", AA$3)="#N/A N/A","NA  ",(_xll.BDP($D193,$D$190, "EQY_FUND_RELATIVE_PERIOD", AA$3)))/100,AA193),"NA "))</f>
        <v>0.12100307910942681</v>
      </c>
      <c r="AB193" s="242">
        <f ca="1">(IFERROR(IF(BB_Switch=1,IF(_xll.BDP($D193,$D$190, "EQY_FUND_RELATIVE_PERIOD", AB$3)="#N/A N/A","NA  ",(_xll.BDP($D193,$D$190, "EQY_FUND_RELATIVE_PERIOD", AB$3)))/100,AB193),"NA "))</f>
        <v>0.13965834070645886</v>
      </c>
      <c r="AC193" s="242">
        <f ca="1">(IFERROR(IF(BB_Switch=1,IF(_xll.BDP($D193,$D$190, "EQY_FUND_RELATIVE_PERIOD", AC$3)="#N/A N/A","NA  ",(_xll.BDP($D193,$D$190, "EQY_FUND_RELATIVE_PERIOD", AC$3)))/100,AC193),"NA "))</f>
        <v>0.11186104832966963</v>
      </c>
      <c r="AD193" s="242">
        <f ca="1">(IFERROR(IF(BB_Switch=1,IF(_xll.BDP($D193,$D$190, "EQY_FUND_RELATIVE_PERIOD", AD$3)="#N/A N/A","NA  ",(_xll.BDP($D193,$D$190, "EQY_FUND_RELATIVE_PERIOD", AD$3)))/100,AD193),"NA "))</f>
        <v>0.11641791044776119</v>
      </c>
      <c r="AE193" s="242">
        <f ca="1">(IFERROR(IF(BB_Switch=1,IF(_xll.BDP($D193,$D$190, "EQY_FUND_RELATIVE_PERIOD", AE$3)="#N/A N/A","NA  ",(_xll.BDP($D193,$D$190, "EQY_FUND_RELATIVE_PERIOD", AE$3)))/100,AE193),"NA "))</f>
        <v>0.1187689943060747</v>
      </c>
      <c r="AF193" s="245">
        <f ca="1">IFERROR(AVERAGE(V193:AE193),"NA  ")</f>
        <v>0.11052882367336854</v>
      </c>
      <c r="AG193" s="244"/>
      <c r="AH193" s="244"/>
      <c r="AI193" s="244"/>
      <c r="AJ193" s="244"/>
    </row>
    <row r="194" spans="3:37" ht="11.25" customHeight="1">
      <c r="C194" s="229" t="str">
        <f ca="1">IFERROR(IF(BB_Switch=1,_xll.BDP($D194,$C$270),C194), "NA ")</f>
        <v>Olin Corp</v>
      </c>
      <c r="D194" s="227" t="str">
        <f t="shared" si="56"/>
        <v>OLN US EQUITY</v>
      </c>
      <c r="E194" s="242">
        <f ca="1">(IFERROR(IF(BB_Switch=1,IF(_xll.BDP($D194,$D$190, "EQY_FUND_RELATIVE_PERIOD", E$3)="#N/A N/A","NA  ",(_xll.BDP($D194,$D$190, "EQY_FUND_RELATIVE_PERIOD", E$3)))/100,E194),"NA "))</f>
        <v>0.13674940973773214</v>
      </c>
      <c r="F194" s="242">
        <f ca="1">(IFERROR(IF(BB_Switch=1,IF(_xll.BDP($D194,$D$190, "EQY_FUND_RELATIVE_PERIOD", F$3)="#N/A N/A","NA  ",(_xll.BDP($D194,$D$190, "EQY_FUND_RELATIVE_PERIOD", F$3)))/100,F194),"NA "))</f>
        <v>0.11333114968883067</v>
      </c>
      <c r="G194" s="242">
        <f ca="1">(IFERROR(IF(BB_Switch=1,IF(_xll.BDP($D194,$D$190, "EQY_FUND_RELATIVE_PERIOD", G$3)="#N/A N/A","NA  ",(_xll.BDP($D194,$D$190, "EQY_FUND_RELATIVE_PERIOD", G$3)))/100,G194),"NA "))</f>
        <v>0.16509100263682547</v>
      </c>
      <c r="H194" s="242">
        <f ca="1">(IFERROR(IF(BB_Switch=1,IF(_xll.BDP($D194,$D$190, "EQY_FUND_RELATIVE_PERIOD", H$3)="#N/A N/A","NA  ",(_xll.BDP($D194,$D$190, "EQY_FUND_RELATIVE_PERIOD", H$3)))/100,H194),"NA "))</f>
        <v>0.16587443669362303</v>
      </c>
      <c r="I194" s="242">
        <f ca="1">(IFERROR(IF(BB_Switch=1,IF(_xll.BDP($D194,$D$190, "EQY_FUND_RELATIVE_PERIOD", I$3)="#N/A N/A","NA  ",(_xll.BDP($D194,$D$190, "EQY_FUND_RELATIVE_PERIOD", I$3)))/100,I194),"NA "))</f>
        <v>0.13705197918493831</v>
      </c>
      <c r="J194" s="242">
        <f ca="1">(IFERROR(IF(BB_Switch=1,IF(_xll.BDP($D194,$D$190, "EQY_FUND_RELATIVE_PERIOD", J$3)="#N/A N/A","NA  ",(_xll.BDP($D194,$D$190, "EQY_FUND_RELATIVE_PERIOD", J$3)))/100,J194),"NA "))</f>
        <v>0.19735015042814161</v>
      </c>
      <c r="K194" s="242">
        <f ca="1">(IFERROR(IF(BB_Switch=1,IF(_xll.BDP($D194,$D$190, "EQY_FUND_RELATIVE_PERIOD", K$3)="#N/A N/A","NA  ",(_xll.BDP($D194,$D$190, "EQY_FUND_RELATIVE_PERIOD", K$3)))/100,K194),"NA "))</f>
        <v>0.2096240119632557</v>
      </c>
      <c r="L194" s="242">
        <f ca="1">(IFERROR(IF(BB_Switch=1,IF(_xll.BDP($D194,$D$190, "EQY_FUND_RELATIVE_PERIOD", L$3)="#N/A N/A","NA  ",(_xll.BDP($D194,$D$190, "EQY_FUND_RELATIVE_PERIOD", L$3)))/100,L194),"NA "))</f>
        <v>0.18067278287461772</v>
      </c>
      <c r="M194" s="242">
        <f ca="1">(IFERROR(IF(BB_Switch=1,IF(_xll.BDP($D194,$D$190, "EQY_FUND_RELATIVE_PERIOD", M$3)="#N/A N/A","NA  ",(_xll.BDP($D194,$D$190, "EQY_FUND_RELATIVE_PERIOD", M$3)))/100,M194),"NA "))</f>
        <v>0.19009913737607828</v>
      </c>
      <c r="N194" s="242">
        <f ca="1">(IFERROR(IF(BB_Switch=1,IF(_xll.BDP($D194,$D$190, "EQY_FUND_RELATIVE_PERIOD", N$3)="#N/A N/A","NA  ",(_xll.BDP($D194,$D$190, "EQY_FUND_RELATIVE_PERIOD", N$3)))/100,N194),"NA "))</f>
        <v>0.14313516228262915</v>
      </c>
      <c r="O194" s="242">
        <f ca="1">(IFERROR(IF(BB_Switch=1,IF(_xll.BDP($D194,$D$190, "EQY_FUND_RELATIVE_PERIOD", O$3)="#N/A N/A","NA  ",(_xll.BDP($D194,$D$190, "EQY_FUND_RELATIVE_PERIOD", O$3)))/100,O194),"NA "))</f>
        <v>0.20074844602308764</v>
      </c>
      <c r="P194" s="242">
        <f ca="1">(IFERROR(IF(BB_Switch=1,IF(_xll.BDP($D194,$D$190, "EQY_FUND_RELATIVE_PERIOD", P$3)="#N/A N/A","NA  ",(_xll.BDP($D194,$D$190, "EQY_FUND_RELATIVE_PERIOD", P$3)))/100,P194),"NA "))</f>
        <v>0.14829500396510706</v>
      </c>
      <c r="Q194" s="244"/>
      <c r="R194" s="244"/>
      <c r="S194" s="244"/>
      <c r="T194" s="244"/>
      <c r="U194" s="227"/>
      <c r="V194" s="242">
        <f ca="1">(IFERROR(IF(BB_Switch=1,IF(_xll.BDP($D194,$D$190, "EQY_FUND_RELATIVE_PERIOD", V$3)="#N/A N/A","NA  ",(_xll.BDP($D194,$D$190, "EQY_FUND_RELATIVE_PERIOD", V$3)))/100,V194),"NA "))</f>
        <v>0.12377829623557603</v>
      </c>
      <c r="W194" s="242">
        <f ca="1">(IFERROR(IF(BB_Switch=1,IF(_xll.BDP($D194,$D$190, "EQY_FUND_RELATIVE_PERIOD", W$3)="#N/A N/A","NA  ",(_xll.BDP($D194,$D$190, "EQY_FUND_RELATIVE_PERIOD", W$3)))/100,W194),"NA "))</f>
        <v>8.0312069756769161E-2</v>
      </c>
      <c r="X194" s="242">
        <f ca="1">(IFERROR(IF(BB_Switch=1,IF(_xll.BDP($D194,$D$190, "EQY_FUND_RELATIVE_PERIOD", X$3)="#N/A N/A","NA  ",(_xll.BDP($D194,$D$190, "EQY_FUND_RELATIVE_PERIOD", X$3)))/100,X194),"NA "))</f>
        <v>0.18290840847713646</v>
      </c>
      <c r="Y194" s="242">
        <f ca="1">(IFERROR(IF(BB_Switch=1,IF(_xll.BDP($D194,$D$190, "EQY_FUND_RELATIVE_PERIOD", Y$3)="#N/A N/A","NA  ",(_xll.BDP($D194,$D$190, "EQY_FUND_RELATIVE_PERIOD", Y$3)))/100,Y194),"NA "))</f>
        <v>0.16783300198807158</v>
      </c>
      <c r="Z194" s="242">
        <f ca="1">(IFERROR(IF(BB_Switch=1,IF(_xll.BDP($D194,$D$190, "EQY_FUND_RELATIVE_PERIOD", Z$3)="#N/A N/A","NA  ",(_xll.BDP($D194,$D$190, "EQY_FUND_RELATIVE_PERIOD", Z$3)))/100,Z194),"NA "))</f>
        <v>0.16348384793860432</v>
      </c>
      <c r="AA194" s="242">
        <f ca="1">(IFERROR(IF(BB_Switch=1,IF(_xll.BDP($D194,$D$190, "EQY_FUND_RELATIVE_PERIOD", AA$3)="#N/A N/A","NA  ",(_xll.BDP($D194,$D$190, "EQY_FUND_RELATIVE_PERIOD", AA$3)))/100,AA194),"NA "))</f>
        <v>0.14461883408071749</v>
      </c>
      <c r="AB194" s="242">
        <f ca="1">(IFERROR(IF(BB_Switch=1,IF(_xll.BDP($D194,$D$190, "EQY_FUND_RELATIVE_PERIOD", AB$3)="#N/A N/A","NA  ",(_xll.BDP($D194,$D$190, "EQY_FUND_RELATIVE_PERIOD", AB$3)))/100,AB194),"NA "))</f>
        <v>0.15254206752423161</v>
      </c>
      <c r="AC194" s="242">
        <f ca="1">(IFERROR(IF(BB_Switch=1,IF(_xll.BDP($D194,$D$190, "EQY_FUND_RELATIVE_PERIOD", AC$3)="#N/A N/A","NA  ",(_xll.BDP($D194,$D$190, "EQY_FUND_RELATIVE_PERIOD", AC$3)))/100,AC194),"NA "))</f>
        <v>0.14483759811116076</v>
      </c>
      <c r="AD194" s="242">
        <f ca="1">(IFERROR(IF(BB_Switch=1,IF(_xll.BDP($D194,$D$190, "EQY_FUND_RELATIVE_PERIOD", AD$3)="#N/A N/A","NA  ",(_xll.BDP($D194,$D$190, "EQY_FUND_RELATIVE_PERIOD", AD$3)))/100,AD194),"NA "))</f>
        <v>0.18188623832078432</v>
      </c>
      <c r="AE194" s="242">
        <f ca="1">(IFERROR(IF(BB_Switch=1,IF(_xll.BDP($D194,$D$190, "EQY_FUND_RELATIVE_PERIOD", AE$3)="#N/A N/A","NA  ",(_xll.BDP($D194,$D$190, "EQY_FUND_RELATIVE_PERIOD", AE$3)))/100,AE194),"NA "))</f>
        <v>0.17103109656301146</v>
      </c>
      <c r="AF194" s="245">
        <f ca="1">IFERROR(AVERAGE(V194:AE194),"NA  ")</f>
        <v>0.15132314589960633</v>
      </c>
      <c r="AG194" s="244"/>
      <c r="AH194" s="244"/>
      <c r="AI194" s="244"/>
      <c r="AJ194" s="244"/>
      <c r="AK194" s="230"/>
    </row>
    <row r="195" spans="3:37" ht="11.25" customHeight="1">
      <c r="C195" s="229" t="str">
        <f ca="1">IFERROR(IF(BB_Switch=1,_xll.BDP($D195,$C$270),C195), "NA ")</f>
        <v>LyondellBasell Industries NV</v>
      </c>
      <c r="D195" s="227" t="str">
        <f t="shared" si="56"/>
        <v>LYB US EQUITY</v>
      </c>
      <c r="E195" s="242">
        <f ca="1">(IFERROR(IF(BB_Switch=1,IF(_xll.BDP($D195,$D$190, "EQY_FUND_RELATIVE_PERIOD", E$3)="#N/A N/A","NA  ",(_xll.BDP($D195,$D$190, "EQY_FUND_RELATIVE_PERIOD", E$3)))/100,E195),"NA "))</f>
        <v>0.17497034400948991</v>
      </c>
      <c r="F195" s="242">
        <f ca="1">(IFERROR(IF(BB_Switch=1,IF(_xll.BDP($D195,$D$190, "EQY_FUND_RELATIVE_PERIOD", F$3)="#N/A N/A","NA  ",(_xll.BDP($D195,$D$190, "EQY_FUND_RELATIVE_PERIOD", F$3)))/100,F195),"NA "))</f>
        <v>0.22170653338093538</v>
      </c>
      <c r="G195" s="242">
        <f ca="1">(IFERROR(IF(BB_Switch=1,IF(_xll.BDP($D195,$D$190, "EQY_FUND_RELATIVE_PERIOD", G$3)="#N/A N/A","NA  ",(_xll.BDP($D195,$D$190, "EQY_FUND_RELATIVE_PERIOD", G$3)))/100,G195),"NA "))</f>
        <v>0.17825270079849695</v>
      </c>
      <c r="H195" s="242">
        <f ca="1">(IFERROR(IF(BB_Switch=1,IF(_xll.BDP($D195,$D$190, "EQY_FUND_RELATIVE_PERIOD", H$3)="#N/A N/A","NA  ",(_xll.BDP($D195,$D$190, "EQY_FUND_RELATIVE_PERIOD", H$3)))/100,H195),"NA "))</f>
        <v>0.17941981390257256</v>
      </c>
      <c r="I195" s="242">
        <f ca="1">(IFERROR(IF(BB_Switch=1,IF(_xll.BDP($D195,$D$190, "EQY_FUND_RELATIVE_PERIOD", I$3)="#N/A N/A","NA  ",(_xll.BDP($D195,$D$190, "EQY_FUND_RELATIVE_PERIOD", I$3)))/100,I195),"NA "))</f>
        <v>0.18357735230879496</v>
      </c>
      <c r="J195" s="242">
        <f ca="1">(IFERROR(IF(BB_Switch=1,IF(_xll.BDP($D195,$D$190, "EQY_FUND_RELATIVE_PERIOD", J$3)="#N/A N/A","NA  ",(_xll.BDP($D195,$D$190, "EQY_FUND_RELATIVE_PERIOD", J$3)))/100,J195),"NA "))</f>
        <v>0.18871252204585537</v>
      </c>
      <c r="K195" s="242">
        <f ca="1">(IFERROR(IF(BB_Switch=1,IF(_xll.BDP($D195,$D$190, "EQY_FUND_RELATIVE_PERIOD", K$3)="#N/A N/A","NA  ",(_xll.BDP($D195,$D$190, "EQY_FUND_RELATIVE_PERIOD", K$3)))/100,K195),"NA "))</f>
        <v>0.16533727227966519</v>
      </c>
      <c r="L195" s="242">
        <f ca="1">(IFERROR(IF(BB_Switch=1,IF(_xll.BDP($D195,$D$190, "EQY_FUND_RELATIVE_PERIOD", L$3)="#N/A N/A","NA  ",(_xll.BDP($D195,$D$190, "EQY_FUND_RELATIVE_PERIOD", L$3)))/100,L195),"NA "))</f>
        <v>0.12922487607030195</v>
      </c>
      <c r="M195" s="242">
        <f ca="1">(IFERROR(IF(BB_Switch=1,IF(_xll.BDP($D195,$D$190, "EQY_FUND_RELATIVE_PERIOD", M$3)="#N/A N/A","NA  ",(_xll.BDP($D195,$D$190, "EQY_FUND_RELATIVE_PERIOD", M$3)))/100,M195),"NA "))</f>
        <v>0.16461608566871724</v>
      </c>
      <c r="N195" s="242">
        <f ca="1">(IFERROR(IF(BB_Switch=1,IF(_xll.BDP($D195,$D$190, "EQY_FUND_RELATIVE_PERIOD", N$3)="#N/A N/A","NA  ",(_xll.BDP($D195,$D$190, "EQY_FUND_RELATIVE_PERIOD", N$3)))/100,N195),"NA "))</f>
        <v>0.17838196286472152</v>
      </c>
      <c r="O195" s="242">
        <f ca="1">(IFERROR(IF(BB_Switch=1,IF(_xll.BDP($D195,$D$190, "EQY_FUND_RELATIVE_PERIOD", O$3)="#N/A N/A","NA  ",(_xll.BDP($D195,$D$190, "EQY_FUND_RELATIVE_PERIOD", O$3)))/100,O195),"NA "))</f>
        <v>0.18160972254070168</v>
      </c>
      <c r="P195" s="242">
        <f ca="1">(IFERROR(IF(BB_Switch=1,IF(_xll.BDP($D195,$D$190, "EQY_FUND_RELATIVE_PERIOD", P$3)="#N/A N/A","NA  ",(_xll.BDP($D195,$D$190, "EQY_FUND_RELATIVE_PERIOD", P$3)))/100,P195),"NA "))</f>
        <v>0.15490891307005747</v>
      </c>
      <c r="Q195" s="244"/>
      <c r="R195" s="244"/>
      <c r="S195" s="244"/>
      <c r="T195" s="244"/>
      <c r="U195" s="227"/>
      <c r="V195" s="242">
        <f ca="1">(IFERROR(IF(BB_Switch=1,IF(_xll.BDP($D195,$D$190, "EQY_FUND_RELATIVE_PERIOD", V$3)="#N/A N/A","NA  ",(_xll.BDP($D195,$D$190, "EQY_FUND_RELATIVE_PERIOD", V$3)))/100,V195),"NA "))</f>
        <v>0.10184442662389735</v>
      </c>
      <c r="W195" s="242">
        <f ca="1">(IFERROR(IF(BB_Switch=1,IF(_xll.BDP($D195,$D$190, "EQY_FUND_RELATIVE_PERIOD", W$3)="#N/A N/A","NA  ",(_xll.BDP($D195,$D$190, "EQY_FUND_RELATIVE_PERIOD", W$3)))/100,W195),"NA "))</f>
        <v>0.11327646680364443</v>
      </c>
      <c r="X195" s="242">
        <f ca="1">(IFERROR(IF(BB_Switch=1,IF(_xll.BDP($D195,$D$190, "EQY_FUND_RELATIVE_PERIOD", X$3)="#N/A N/A","NA  ",(_xll.BDP($D195,$D$190, "EQY_FUND_RELATIVE_PERIOD", X$3)))/100,X195),"NA "))</f>
        <v>0.12369906509084494</v>
      </c>
      <c r="Y195" s="242">
        <f ca="1">(IFERROR(IF(BB_Switch=1,IF(_xll.BDP($D195,$D$190, "EQY_FUND_RELATIVE_PERIOD", Y$3)="#N/A N/A","NA  ",(_xll.BDP($D195,$D$190, "EQY_FUND_RELATIVE_PERIOD", Y$3)))/100,Y195),"NA "))</f>
        <v>0.13862284962098861</v>
      </c>
      <c r="Z195" s="242">
        <f ca="1">(IFERROR(IF(BB_Switch=1,IF(_xll.BDP($D195,$D$190, "EQY_FUND_RELATIVE_PERIOD", Z$3)="#N/A N/A","NA  ",(_xll.BDP($D195,$D$190, "EQY_FUND_RELATIVE_PERIOD", Z$3)))/100,Z195),"NA "))</f>
        <v>0.14696982985441151</v>
      </c>
      <c r="AA195" s="242">
        <f ca="1">(IFERROR(IF(BB_Switch=1,IF(_xll.BDP($D195,$D$190, "EQY_FUND_RELATIVE_PERIOD", AA$3)="#N/A N/A","NA  ",(_xll.BDP($D195,$D$190, "EQY_FUND_RELATIVE_PERIOD", AA$3)))/100,AA195),"NA "))</f>
        <v>0.21900106919199633</v>
      </c>
      <c r="AB195" s="242">
        <f ca="1">(IFERROR(IF(BB_Switch=1,IF(_xll.BDP($D195,$D$190, "EQY_FUND_RELATIVE_PERIOD", AB$3)="#N/A N/A","NA  ",(_xll.BDP($D195,$D$190, "EQY_FUND_RELATIVE_PERIOD", AB$3)))/100,AB195),"NA "))</f>
        <v>0.208785937018127</v>
      </c>
      <c r="AC195" s="242">
        <f ca="1">(IFERROR(IF(BB_Switch=1,IF(_xll.BDP($D195,$D$190, "EQY_FUND_RELATIVE_PERIOD", AC$3)="#N/A N/A","NA  ",(_xll.BDP($D195,$D$190, "EQY_FUND_RELATIVE_PERIOD", AC$3)))/100,AC195),"NA "))</f>
        <v>0.18924718710126434</v>
      </c>
      <c r="AD195" s="242">
        <f ca="1">(IFERROR(IF(BB_Switch=1,IF(_xll.BDP($D195,$D$190, "EQY_FUND_RELATIVE_PERIOD", AD$3)="#N/A N/A","NA  ",(_xll.BDP($D195,$D$190, "EQY_FUND_RELATIVE_PERIOD", AD$3)))/100,AD195),"NA "))</f>
        <v>0.16688031996718286</v>
      </c>
      <c r="AE195" s="242">
        <f ca="1">(IFERROR(IF(BB_Switch=1,IF(_xll.BDP($D195,$D$190, "EQY_FUND_RELATIVE_PERIOD", AE$3)="#N/A N/A","NA  ",(_xll.BDP($D195,$D$190, "EQY_FUND_RELATIVE_PERIOD", AE$3)))/100,AE195),"NA "))</f>
        <v>0.17018458260143404</v>
      </c>
      <c r="AF195" s="245">
        <f ca="1">IFERROR(AVERAGE(V195:AE195),"NA  ")</f>
        <v>0.15785117338737917</v>
      </c>
      <c r="AG195" s="244"/>
      <c r="AH195" s="244"/>
      <c r="AI195" s="244"/>
      <c r="AJ195" s="244"/>
    </row>
    <row r="196" spans="3:37" ht="11.25" customHeight="1">
      <c r="C196" s="229" t="str">
        <f ca="1">IFERROR(IF(BB_Switch=1,_xll.BDP($D196,$C$270),C196), "NA ")</f>
        <v>Westlake Chemical Corp</v>
      </c>
      <c r="D196" s="227" t="str">
        <f t="shared" si="56"/>
        <v>WLK US EQUITY</v>
      </c>
      <c r="E196" s="242">
        <f ca="1">(IFERROR(IF(BB_Switch=1,IF(_xll.BDP($D196,$D$190, "EQY_FUND_RELATIVE_PERIOD", E$3)="#N/A N/A","NA  ",(_xll.BDP($D196,$D$190, "EQY_FUND_RELATIVE_PERIOD", E$3)))/100,E196),"NA "))</f>
        <v>0.2032938754503345</v>
      </c>
      <c r="F196" s="242">
        <f ca="1">(IFERROR(IF(BB_Switch=1,IF(_xll.BDP($D196,$D$190, "EQY_FUND_RELATIVE_PERIOD", F$3)="#N/A N/A","NA  ",(_xll.BDP($D196,$D$190, "EQY_FUND_RELATIVE_PERIOD", F$3)))/100,F196),"NA "))</f>
        <v>0.21071248105103588</v>
      </c>
      <c r="G196" s="242">
        <f ca="1">(IFERROR(IF(BB_Switch=1,IF(_xll.BDP($D196,$D$190, "EQY_FUND_RELATIVE_PERIOD", G$3)="#N/A N/A","NA  ",(_xll.BDP($D196,$D$190, "EQY_FUND_RELATIVE_PERIOD", G$3)))/100,G196),"NA "))</f>
        <v>0.25225225225225223</v>
      </c>
      <c r="H196" s="242">
        <f ca="1">(IFERROR(IF(BB_Switch=1,IF(_xll.BDP($D196,$D$190, "EQY_FUND_RELATIVE_PERIOD", H$3)="#N/A N/A","NA  ",(_xll.BDP($D196,$D$190, "EQY_FUND_RELATIVE_PERIOD", H$3)))/100,H196),"NA "))</f>
        <v>0.26318407960199003</v>
      </c>
      <c r="I196" s="242">
        <f ca="1">(IFERROR(IF(BB_Switch=1,IF(_xll.BDP($D196,$D$190, "EQY_FUND_RELATIVE_PERIOD", I$3)="#N/A N/A","NA  ",(_xll.BDP($D196,$D$190, "EQY_FUND_RELATIVE_PERIOD", I$3)))/100,I196),"NA "))</f>
        <v>0.26511627906976742</v>
      </c>
      <c r="J196" s="242">
        <f ca="1">(IFERROR(IF(BB_Switch=1,IF(_xll.BDP($D196,$D$190, "EQY_FUND_RELATIVE_PERIOD", J$3)="#N/A N/A","NA  ",(_xll.BDP($D196,$D$190, "EQY_FUND_RELATIVE_PERIOD", J$3)))/100,J196),"NA "))</f>
        <v>0.25816554809843401</v>
      </c>
      <c r="K196" s="242">
        <f ca="1">(IFERROR(IF(BB_Switch=1,IF(_xll.BDP($D196,$D$190, "EQY_FUND_RELATIVE_PERIOD", K$3)="#N/A N/A","NA  ",(_xll.BDP($D196,$D$190, "EQY_FUND_RELATIVE_PERIOD", K$3)))/100,K196),"NA "))</f>
        <v>0.24789356984478936</v>
      </c>
      <c r="L196" s="242">
        <f ca="1">(IFERROR(IF(BB_Switch=1,IF(_xll.BDP($D196,$D$190, "EQY_FUND_RELATIVE_PERIOD", L$3)="#N/A N/A","NA  ",(_xll.BDP($D196,$D$190, "EQY_FUND_RELATIVE_PERIOD", L$3)))/100,L196),"NA "))</f>
        <v>0.20350877192982456</v>
      </c>
      <c r="M196" s="242">
        <f ca="1">(IFERROR(IF(BB_Switch=1,IF(_xll.BDP($D196,$D$190, "EQY_FUND_RELATIVE_PERIOD", M$3)="#N/A N/A","NA  ",(_xll.BDP($D196,$D$190, "EQY_FUND_RELATIVE_PERIOD", M$3)))/100,M196),"NA "))</f>
        <v>0.19209876543209878</v>
      </c>
      <c r="N196" s="242">
        <f ca="1">(IFERROR(IF(BB_Switch=1,IF(_xll.BDP($D196,$D$190, "EQY_FUND_RELATIVE_PERIOD", N$3)="#N/A N/A","NA  ",(_xll.BDP($D196,$D$190, "EQY_FUND_RELATIVE_PERIOD", N$3)))/100,N196),"NA "))</f>
        <v>0.19916044776119401</v>
      </c>
      <c r="O196" s="242">
        <f ca="1">(IFERROR(IF(BB_Switch=1,IF(_xll.BDP($D196,$D$190, "EQY_FUND_RELATIVE_PERIOD", O$3)="#N/A N/A","NA  ",(_xll.BDP($D196,$D$190, "EQY_FUND_RELATIVE_PERIOD", O$3)))/100,O196),"NA "))</f>
        <v>0.2158760890609874</v>
      </c>
      <c r="P196" s="242">
        <f ca="1">(IFERROR(IF(BB_Switch=1,IF(_xll.BDP($D196,$D$190, "EQY_FUND_RELATIVE_PERIOD", P$3)="#N/A N/A","NA  ",(_xll.BDP($D196,$D$190, "EQY_FUND_RELATIVE_PERIOD", P$3)))/100,P196),"NA "))</f>
        <v>0.18056293149229952</v>
      </c>
      <c r="Q196" s="244"/>
      <c r="R196" s="244"/>
      <c r="S196" s="244"/>
      <c r="T196" s="244"/>
      <c r="U196" s="227"/>
      <c r="V196" s="242">
        <f ca="1">(IFERROR(IF(BB_Switch=1,IF(_xll.BDP($D196,$D$190, "EQY_FUND_RELATIVE_PERIOD", V$3)="#N/A N/A","NA  ",(_xll.BDP($D196,$D$190, "EQY_FUND_RELATIVE_PERIOD", V$3)))/100,V196),"NA "))</f>
        <v>0.1590573389701137</v>
      </c>
      <c r="W196" s="242">
        <f ca="1">(IFERROR(IF(BB_Switch=1,IF(_xll.BDP($D196,$D$190, "EQY_FUND_RELATIVE_PERIOD", W$3)="#N/A N/A","NA  ",(_xll.BDP($D196,$D$190, "EQY_FUND_RELATIVE_PERIOD", W$3)))/100,W196),"NA "))</f>
        <v>0.1636414015174118</v>
      </c>
      <c r="X196" s="242">
        <f ca="1">(IFERROR(IF(BB_Switch=1,IF(_xll.BDP($D196,$D$190, "EQY_FUND_RELATIVE_PERIOD", X$3)="#N/A N/A","NA  ",(_xll.BDP($D196,$D$190, "EQY_FUND_RELATIVE_PERIOD", X$3)))/100,X196),"NA "))</f>
        <v>0.21354893433035355</v>
      </c>
      <c r="Y196" s="242">
        <f ca="1">(IFERROR(IF(BB_Switch=1,IF(_xll.BDP($D196,$D$190, "EQY_FUND_RELATIVE_PERIOD", Y$3)="#N/A N/A","NA  ",(_xll.BDP($D196,$D$190, "EQY_FUND_RELATIVE_PERIOD", Y$3)))/100,Y196),"NA "))</f>
        <v>0.29710779458032005</v>
      </c>
      <c r="Z196" s="242">
        <f ca="1">(IFERROR(IF(BB_Switch=1,IF(_xll.BDP($D196,$D$190, "EQY_FUND_RELATIVE_PERIOD", Z$3)="#N/A N/A","NA  ",(_xll.BDP($D196,$D$190, "EQY_FUND_RELATIVE_PERIOD", Z$3)))/100,Z196),"NA "))</f>
        <v>0.30577077694859978</v>
      </c>
      <c r="AA196" s="242">
        <f ca="1">(IFERROR(IF(BB_Switch=1,IF(_xll.BDP($D196,$D$190, "EQY_FUND_RELATIVE_PERIOD", AA$3)="#N/A N/A","NA  ",(_xll.BDP($D196,$D$190, "EQY_FUND_RELATIVE_PERIOD", AA$3)))/100,AA196),"NA "))</f>
        <v>0.26378139579901672</v>
      </c>
      <c r="AB196" s="242">
        <f ca="1">(IFERROR(IF(BB_Switch=1,IF(_xll.BDP($D196,$D$190, "EQY_FUND_RELATIVE_PERIOD", AB$3)="#N/A N/A","NA  ",(_xll.BDP($D196,$D$190, "EQY_FUND_RELATIVE_PERIOD", AB$3)))/100,AB196),"NA "))</f>
        <v>0.2115839243498818</v>
      </c>
      <c r="AC196" s="242">
        <f ca="1">(IFERROR(IF(BB_Switch=1,IF(_xll.BDP($D196,$D$190, "EQY_FUND_RELATIVE_PERIOD", AC$3)="#N/A N/A","NA  ",(_xll.BDP($D196,$D$190, "EQY_FUND_RELATIVE_PERIOD", AC$3)))/100,AC196),"NA "))</f>
        <v>0.23342867802512127</v>
      </c>
      <c r="AD196" s="242">
        <f ca="1">(IFERROR(IF(BB_Switch=1,IF(_xll.BDP($D196,$D$190, "EQY_FUND_RELATIVE_PERIOD", AD$3)="#N/A N/A","NA  ",(_xll.BDP($D196,$D$190, "EQY_FUND_RELATIVE_PERIOD", AD$3)))/100,AD196),"NA "))</f>
        <v>0.24458598726114653</v>
      </c>
      <c r="AE196" s="242">
        <f ca="1">(IFERROR(IF(BB_Switch=1,IF(_xll.BDP($D196,$D$190, "EQY_FUND_RELATIVE_PERIOD", AE$3)="#N/A N/A","NA  ",(_xll.BDP($D196,$D$190, "EQY_FUND_RELATIVE_PERIOD", AE$3)))/100,AE196),"NA "))</f>
        <v>0.19315102241931512</v>
      </c>
      <c r="AF196" s="245">
        <f ca="1">IFERROR(AVERAGE(V196:AE196),"NA  ")</f>
        <v>0.22856572542012804</v>
      </c>
      <c r="AG196" s="244"/>
      <c r="AH196" s="244"/>
      <c r="AI196" s="244"/>
      <c r="AJ196" s="244"/>
    </row>
    <row r="197" spans="3:37" ht="11.25" customHeight="1">
      <c r="C197" s="229" t="str">
        <f ca="1">IFERROR(IF(BB_Switch=1,_xll.BDP($D197,$C$270),C197), "NA ")</f>
        <v>Kraton Corp</v>
      </c>
      <c r="D197" s="227" t="str">
        <f t="shared" si="56"/>
        <v>KRA US EQUITY</v>
      </c>
      <c r="E197" s="242">
        <f ca="1">(IFERROR(IF(BB_Switch=1,IF(_xll.BDP($D197,$D$190, "EQY_FUND_RELATIVE_PERIOD", E$3)="#N/A N/A","NA  ",(_xll.BDP($D197,$D$190, "EQY_FUND_RELATIVE_PERIOD", E$3)))/100,E197),"NA "))</f>
        <v>0.22043983628922242</v>
      </c>
      <c r="F197" s="242">
        <f ca="1">(IFERROR(IF(BB_Switch=1,IF(_xll.BDP($D197,$D$190, "EQY_FUND_RELATIVE_PERIOD", F$3)="#N/A N/A","NA  ",(_xll.BDP($D197,$D$190, "EQY_FUND_RELATIVE_PERIOD", F$3)))/100,F197),"NA "))</f>
        <v>0.20041498515190739</v>
      </c>
      <c r="G197" s="242">
        <f ca="1">(IFERROR(IF(BB_Switch=1,IF(_xll.BDP($D197,$D$190, "EQY_FUND_RELATIVE_PERIOD", G$3)="#N/A N/A","NA  ",(_xll.BDP($D197,$D$190, "EQY_FUND_RELATIVE_PERIOD", G$3)))/100,G197),"NA "))</f>
        <v>0.16350032390835056</v>
      </c>
      <c r="H197" s="242">
        <f ca="1">(IFERROR(IF(BB_Switch=1,IF(_xll.BDP($D197,$D$190, "EQY_FUND_RELATIVE_PERIOD", H$3)="#N/A N/A","NA  ",(_xll.BDP($D197,$D$190, "EQY_FUND_RELATIVE_PERIOD", H$3)))/100,H197),"NA "))</f>
        <v>0.15559585381033114</v>
      </c>
      <c r="I197" s="242">
        <f ca="1">(IFERROR(IF(BB_Switch=1,IF(_xll.BDP($D197,$D$190, "EQY_FUND_RELATIVE_PERIOD", I$3)="#N/A N/A","NA  ",(_xll.BDP($D197,$D$190, "EQY_FUND_RELATIVE_PERIOD", I$3)))/100,I197),"NA "))</f>
        <v>0.17262615646745968</v>
      </c>
      <c r="J197" s="242">
        <f ca="1">(IFERROR(IF(BB_Switch=1,IF(_xll.BDP($D197,$D$190, "EQY_FUND_RELATIVE_PERIOD", J$3)="#N/A N/A","NA  ",(_xll.BDP($D197,$D$190, "EQY_FUND_RELATIVE_PERIOD", J$3)))/100,J197),"NA "))</f>
        <v>0.19450589251386066</v>
      </c>
      <c r="K197" s="242">
        <f ca="1">(IFERROR(IF(BB_Switch=1,IF(_xll.BDP($D197,$D$190, "EQY_FUND_RELATIVE_PERIOD", K$3)="#N/A N/A","NA  ",(_xll.BDP($D197,$D$190, "EQY_FUND_RELATIVE_PERIOD", K$3)))/100,K197),"NA "))</f>
        <v>0.20650920943214079</v>
      </c>
      <c r="L197" s="242">
        <f ca="1">(IFERROR(IF(BB_Switch=1,IF(_xll.BDP($D197,$D$190, "EQY_FUND_RELATIVE_PERIOD", L$3)="#N/A N/A","NA  ",(_xll.BDP($D197,$D$190, "EQY_FUND_RELATIVE_PERIOD", L$3)))/100,L197),"NA "))</f>
        <v>0.17411335401299291</v>
      </c>
      <c r="M197" s="242">
        <f ca="1">(IFERROR(IF(BB_Switch=1,IF(_xll.BDP($D197,$D$190, "EQY_FUND_RELATIVE_PERIOD", M$3)="#N/A N/A","NA  ",(_xll.BDP($D197,$D$190, "EQY_FUND_RELATIVE_PERIOD", M$3)))/100,M197),"NA "))</f>
        <v>0.17470437829061963</v>
      </c>
      <c r="N197" s="242">
        <f ca="1">(IFERROR(IF(BB_Switch=1,IF(_xll.BDP($D197,$D$190, "EQY_FUND_RELATIVE_PERIOD", N$3)="#N/A N/A","NA  ",(_xll.BDP($D197,$D$190, "EQY_FUND_RELATIVE_PERIOD", N$3)))/100,N197),"NA "))</f>
        <v>0.20990550799547733</v>
      </c>
      <c r="O197" s="242">
        <f ca="1">(IFERROR(IF(BB_Switch=1,IF(_xll.BDP($D197,$D$190, "EQY_FUND_RELATIVE_PERIOD", O$3)="#N/A N/A","NA  ",(_xll.BDP($D197,$D$190, "EQY_FUND_RELATIVE_PERIOD", O$3)))/100,O197),"NA "))</f>
        <v>0.17098921482775467</v>
      </c>
      <c r="P197" s="242">
        <f ca="1">(IFERROR(IF(BB_Switch=1,IF(_xll.BDP($D197,$D$190, "EQY_FUND_RELATIVE_PERIOD", P$3)="#N/A N/A","NA  ",(_xll.BDP($D197,$D$190, "EQY_FUND_RELATIVE_PERIOD", P$3)))/100,P197),"NA "))</f>
        <v>0.18863763206078465</v>
      </c>
      <c r="Q197" s="244"/>
      <c r="R197" s="244"/>
      <c r="S197" s="244"/>
      <c r="T197" s="244"/>
      <c r="U197" s="227"/>
      <c r="V197" s="242">
        <f ca="1">(IFERROR(IF(BB_Switch=1,IF(_xll.BDP($D197,$D$190, "EQY_FUND_RELATIVE_PERIOD", V$3)="#N/A N/A","NA  ",(_xll.BDP($D197,$D$190, "EQY_FUND_RELATIVE_PERIOD", V$3)))/100,V197),"NA "))</f>
        <v>0.15544050308321633</v>
      </c>
      <c r="W197" s="242">
        <f ca="1">(IFERROR(IF(BB_Switch=1,IF(_xll.BDP($D197,$D$190, "EQY_FUND_RELATIVE_PERIOD", W$3)="#N/A N/A","NA  ",(_xll.BDP($D197,$D$190, "EQY_FUND_RELATIVE_PERIOD", W$3)))/100,W197),"NA "))</f>
        <v>0.13102034881900884</v>
      </c>
      <c r="X197" s="242">
        <f ca="1">(IFERROR(IF(BB_Switch=1,IF(_xll.BDP($D197,$D$190, "EQY_FUND_RELATIVE_PERIOD", X$3)="#N/A N/A","NA  ",(_xll.BDP($D197,$D$190, "EQY_FUND_RELATIVE_PERIOD", X$3)))/100,X197),"NA "))</f>
        <v>7.3857336194648099E-2</v>
      </c>
      <c r="Y197" s="242">
        <f ca="1">(IFERROR(IF(BB_Switch=1,IF(_xll.BDP($D197,$D$190, "EQY_FUND_RELATIVE_PERIOD", Y$3)="#N/A N/A","NA  ",(_xll.BDP($D197,$D$190, "EQY_FUND_RELATIVE_PERIOD", Y$3)))/100,Y197),"NA "))</f>
        <v>7.1650410449176194E-2</v>
      </c>
      <c r="Z197" s="242">
        <f ca="1">(IFERROR(IF(BB_Switch=1,IF(_xll.BDP($D197,$D$190, "EQY_FUND_RELATIVE_PERIOD", Z$3)="#N/A N/A","NA  ",(_xll.BDP($D197,$D$190, "EQY_FUND_RELATIVE_PERIOD", Z$3)))/100,Z197),"NA "))</f>
        <v>0.10326202239374269</v>
      </c>
      <c r="AA197" s="242">
        <f ca="1">(IFERROR(IF(BB_Switch=1,IF(_xll.BDP($D197,$D$190, "EQY_FUND_RELATIVE_PERIOD", AA$3)="#N/A N/A","NA  ",(_xll.BDP($D197,$D$190, "EQY_FUND_RELATIVE_PERIOD", AA$3)))/100,AA197),"NA "))</f>
        <v>0.10331946036538808</v>
      </c>
      <c r="AB197" s="242">
        <f ca="1">(IFERROR(IF(BB_Switch=1,IF(_xll.BDP($D197,$D$190, "EQY_FUND_RELATIVE_PERIOD", AB$3)="#N/A N/A","NA  ",(_xll.BDP($D197,$D$190, "EQY_FUND_RELATIVE_PERIOD", AB$3)))/100,AB197),"NA "))</f>
        <v>0.17295528248315467</v>
      </c>
      <c r="AC197" s="242">
        <f ca="1">(IFERROR(IF(BB_Switch=1,IF(_xll.BDP($D197,$D$190, "EQY_FUND_RELATIVE_PERIOD", AC$3)="#N/A N/A","NA  ",(_xll.BDP($D197,$D$190, "EQY_FUND_RELATIVE_PERIOD", AC$3)))/100,AC197),"NA "))</f>
        <v>0.19268533056649739</v>
      </c>
      <c r="AD197" s="242">
        <f ca="1">(IFERROR(IF(BB_Switch=1,IF(_xll.BDP($D197,$D$190, "EQY_FUND_RELATIVE_PERIOD", AD$3)="#N/A N/A","NA  ",(_xll.BDP($D197,$D$190, "EQY_FUND_RELATIVE_PERIOD", AD$3)))/100,AD197),"NA "))</f>
        <v>0.18204282500900992</v>
      </c>
      <c r="AE197" s="242">
        <f ca="1">(IFERROR(IF(BB_Switch=1,IF(_xll.BDP($D197,$D$190, "EQY_FUND_RELATIVE_PERIOD", AE$3)="#N/A N/A","NA  ",(_xll.BDP($D197,$D$190, "EQY_FUND_RELATIVE_PERIOD", AE$3)))/100,AE197),"NA "))</f>
        <v>0.19251943543578165</v>
      </c>
      <c r="AF197" s="245">
        <f ca="1">IFERROR(AVERAGE(V197:AE197),"NA  ")</f>
        <v>0.13787529547996238</v>
      </c>
      <c r="AG197" s="244"/>
      <c r="AH197" s="244"/>
      <c r="AI197" s="244"/>
      <c r="AJ197" s="244"/>
    </row>
    <row r="198" spans="3:37" ht="11.25" customHeight="1">
      <c r="C198" s="229" t="str">
        <f ca="1">IFERROR(IF(BB_Switch=1,_xll.BDP($D198,$C$270),C198), "NA ")</f>
        <v>Dow Inc</v>
      </c>
      <c r="D198" s="227" t="str">
        <f t="shared" si="56"/>
        <v>DOW US EQUITY</v>
      </c>
      <c r="E198" s="242">
        <f ca="1">(IFERROR(IF(BB_Switch=1,IF(_xll.BDP($D198,$D$190, "EQY_FUND_RELATIVE_PERIOD", E$3)="#N/A N/A","NA  ",(_xll.BDP($D198,$D$190, "EQY_FUND_RELATIVE_PERIOD", E$3)))/100,E198),"NA "))</f>
        <v>0.16747457466020341</v>
      </c>
      <c r="F198" s="242">
        <f ca="1">(IFERROR(IF(BB_Switch=1,IF(_xll.BDP($D198,$D$190, "EQY_FUND_RELATIVE_PERIOD", F$3)="#N/A N/A","NA  ",(_xll.BDP($D198,$D$190, "EQY_FUND_RELATIVE_PERIOD", F$3)))/100,F198),"NA "))</f>
        <v>0.16623994147768836</v>
      </c>
      <c r="G198" s="242">
        <f ca="1">(IFERROR(IF(BB_Switch=1,IF(_xll.BDP($D198,$D$190, "EQY_FUND_RELATIVE_PERIOD", G$3)="#N/A N/A","NA  ",(_xll.BDP($D198,$D$190, "EQY_FUND_RELATIVE_PERIOD", G$3)))/100,G198),"NA "))</f>
        <v>0.18046916651857117</v>
      </c>
      <c r="H198" s="242">
        <f ca="1">(IFERROR(IF(BB_Switch=1,IF(_xll.BDP($D198,$D$190, "EQY_FUND_RELATIVE_PERIOD", H$3)="#N/A N/A","NA  ",(_xll.BDP($D198,$D$190, "EQY_FUND_RELATIVE_PERIOD", H$3)))/100,H198),"NA "))</f>
        <v>0.11952082766131228</v>
      </c>
      <c r="I198" s="242">
        <f ca="1">(IFERROR(IF(BB_Switch=1,IF(_xll.BDP($D198,$D$190, "EQY_FUND_RELATIVE_PERIOD", I$3)="#N/A N/A","NA  ",(_xll.BDP($D198,$D$190, "EQY_FUND_RELATIVE_PERIOD", I$3)))/100,I198),"NA "))</f>
        <v>0.17818802862719585</v>
      </c>
      <c r="J198" s="242">
        <f ca="1">(IFERROR(IF(BB_Switch=1,IF(_xll.BDP($D198,$D$190, "EQY_FUND_RELATIVE_PERIOD", J$3)="#N/A N/A","NA  ",(_xll.BDP($D198,$D$190, "EQY_FUND_RELATIVE_PERIOD", J$3)))/100,J198),"NA "))</f>
        <v>0.16670576276487606</v>
      </c>
      <c r="K198" s="242">
        <f ca="1">(IFERROR(IF(BB_Switch=1,IF(_xll.BDP($D198,$D$190, "EQY_FUND_RELATIVE_PERIOD", K$3)="#N/A N/A","NA  ",(_xll.BDP($D198,$D$190, "EQY_FUND_RELATIVE_PERIOD", K$3)))/100,K198),"NA "))</f>
        <v>0.17104638277663448</v>
      </c>
      <c r="L198" s="242">
        <f ca="1">(IFERROR(IF(BB_Switch=1,IF(_xll.BDP($D198,$D$190, "EQY_FUND_RELATIVE_PERIOD", L$3)="#N/A N/A","NA  ",(_xll.BDP($D198,$D$190, "EQY_FUND_RELATIVE_PERIOD", L$3)))/100,L198),"NA "))</f>
        <v>0.1537173476222371</v>
      </c>
      <c r="M198" s="242">
        <f ca="1">(IFERROR(IF(BB_Switch=1,IF(_xll.BDP($D198,$D$190, "EQY_FUND_RELATIVE_PERIOD", M$3)="#N/A N/A","NA  ",(_xll.BDP($D198,$D$190, "EQY_FUND_RELATIVE_PERIOD", M$3)))/100,M198),"NA "))</f>
        <v>0.16621278140885984</v>
      </c>
      <c r="N198" s="242">
        <f ca="1">(IFERROR(IF(BB_Switch=1,IF(_xll.BDP($D198,$D$190, "EQY_FUND_RELATIVE_PERIOD", N$3)="#N/A N/A","NA  ",(_xll.BDP($D198,$D$190, "EQY_FUND_RELATIVE_PERIOD", N$3)))/100,N198),"NA "))</f>
        <v>0.17759215543853277</v>
      </c>
      <c r="O198" s="242">
        <f ca="1">(IFERROR(IF(BB_Switch=1,IF(_xll.BDP($D198,$D$190, "EQY_FUND_RELATIVE_PERIOD", O$3)="#N/A N/A","NA  ",(_xll.BDP($D198,$D$190, "EQY_FUND_RELATIVE_PERIOD", O$3)))/100,O198),"NA "))</f>
        <v>0.20633593459680416</v>
      </c>
      <c r="P198" s="242">
        <f ca="1">(IFERROR(IF(BB_Switch=1,IF(_xll.BDP($D198,$D$190, "EQY_FUND_RELATIVE_PERIOD", P$3)="#N/A N/A","NA  ",(_xll.BDP($D198,$D$190, "EQY_FUND_RELATIVE_PERIOD", P$3)))/100,P198),"NA "))</f>
        <v>0.1714033712269698</v>
      </c>
      <c r="Q198" s="244"/>
      <c r="R198" s="244"/>
      <c r="S198" s="244"/>
      <c r="T198" s="244"/>
      <c r="U198" s="227"/>
      <c r="V198" s="242" t="str">
        <f ca="1">(IFERROR(IF(BB_Switch=1,IF(_xll.BDP($D198,$D$190, "EQY_FUND_RELATIVE_PERIOD", V$3)="#N/A N/A","NA  ",(_xll.BDP($D198,$D$190, "EQY_FUND_RELATIVE_PERIOD", V$3)))/100,V198),"NA "))</f>
        <v xml:space="preserve">NA </v>
      </c>
      <c r="W198" s="242" t="str">
        <f ca="1">(IFERROR(IF(BB_Switch=1,IF(_xll.BDP($D198,$D$190, "EQY_FUND_RELATIVE_PERIOD", W$3)="#N/A N/A","NA  ",(_xll.BDP($D198,$D$190, "EQY_FUND_RELATIVE_PERIOD", W$3)))/100,W198),"NA "))</f>
        <v xml:space="preserve">NA </v>
      </c>
      <c r="X198" s="242" t="str">
        <f ca="1">(IFERROR(IF(BB_Switch=1,IF(_xll.BDP($D198,$D$190, "EQY_FUND_RELATIVE_PERIOD", X$3)="#N/A N/A","NA  ",(_xll.BDP($D198,$D$190, "EQY_FUND_RELATIVE_PERIOD", X$3)))/100,X198),"NA "))</f>
        <v xml:space="preserve">NA </v>
      </c>
      <c r="Y198" s="242" t="str">
        <f ca="1">(IFERROR(IF(BB_Switch=1,IF(_xll.BDP($D198,$D$190, "EQY_FUND_RELATIVE_PERIOD", Y$3)="#N/A N/A","NA  ",(_xll.BDP($D198,$D$190, "EQY_FUND_RELATIVE_PERIOD", Y$3)))/100,Y198),"NA "))</f>
        <v xml:space="preserve">NA </v>
      </c>
      <c r="Z198" s="242" t="str">
        <f ca="1">(IFERROR(IF(BB_Switch=1,IF(_xll.BDP($D198,$D$190, "EQY_FUND_RELATIVE_PERIOD", Z$3)="#N/A N/A","NA  ",(_xll.BDP($D198,$D$190, "EQY_FUND_RELATIVE_PERIOD", Z$3)))/100,Z198),"NA "))</f>
        <v xml:space="preserve">NA </v>
      </c>
      <c r="AA198" s="242" t="str">
        <f ca="1">(IFERROR(IF(BB_Switch=1,IF(_xll.BDP($D198,$D$190, "EQY_FUND_RELATIVE_PERIOD", AA$3)="#N/A N/A","NA  ",(_xll.BDP($D198,$D$190, "EQY_FUND_RELATIVE_PERIOD", AA$3)))/100,AA198),"NA "))</f>
        <v xml:space="preserve">NA </v>
      </c>
      <c r="AB198" s="242" t="str">
        <f ca="1">(IFERROR(IF(BB_Switch=1,IF(_xll.BDP($D198,$D$190, "EQY_FUND_RELATIVE_PERIOD", AB$3)="#N/A N/A","NA  ",(_xll.BDP($D198,$D$190, "EQY_FUND_RELATIVE_PERIOD", AB$3)))/100,AB198),"NA "))</f>
        <v xml:space="preserve">NA </v>
      </c>
      <c r="AC198" s="242">
        <f ca="1">(IFERROR(IF(BB_Switch=1,IF(_xll.BDP($D198,$D$190, "EQY_FUND_RELATIVE_PERIOD", AC$3)="#N/A N/A","NA  ",(_xll.BDP($D198,$D$190, "EQY_FUND_RELATIVE_PERIOD", AC$3)))/100,AC198),"NA "))</f>
        <v>0.15842670935284703</v>
      </c>
      <c r="AD198" s="242">
        <f ca="1">(IFERROR(IF(BB_Switch=1,IF(_xll.BDP($D198,$D$190, "EQY_FUND_RELATIVE_PERIOD", AD$3)="#N/A N/A","NA  ",(_xll.BDP($D198,$D$190, "EQY_FUND_RELATIVE_PERIOD", AD$3)))/100,AD198),"NA "))</f>
        <v>0.15853560196758326</v>
      </c>
      <c r="AE198" s="242">
        <f ca="1">(IFERROR(IF(BB_Switch=1,IF(_xll.BDP($D198,$D$190, "EQY_FUND_RELATIVE_PERIOD", AE$3)="#N/A N/A","NA  ",(_xll.BDP($D198,$D$190, "EQY_FUND_RELATIVE_PERIOD", AE$3)))/100,AE198),"NA "))</f>
        <v>0.16958860096388906</v>
      </c>
      <c r="AF198" s="235" t="s">
        <v>727</v>
      </c>
      <c r="AG198" s="244"/>
      <c r="AH198" s="244"/>
      <c r="AI198" s="244"/>
      <c r="AJ198" s="244"/>
    </row>
    <row r="199" spans="3:37" ht="11.25" customHeight="1">
      <c r="C199" s="229"/>
      <c r="D199" s="227"/>
      <c r="E199" s="242"/>
      <c r="F199" s="242"/>
      <c r="G199" s="242"/>
      <c r="H199" s="242"/>
      <c r="I199" s="242"/>
      <c r="J199" s="242"/>
      <c r="K199" s="242"/>
      <c r="L199" s="242"/>
      <c r="M199" s="242"/>
      <c r="N199" s="242"/>
      <c r="O199" s="242"/>
      <c r="P199" s="242"/>
      <c r="Q199" s="244"/>
      <c r="R199" s="244"/>
      <c r="S199" s="244"/>
      <c r="T199" s="244"/>
      <c r="U199" s="227"/>
      <c r="V199" s="242"/>
      <c r="W199" s="242"/>
      <c r="X199" s="242"/>
      <c r="Y199" s="242"/>
      <c r="Z199" s="242"/>
      <c r="AA199" s="242"/>
      <c r="AB199" s="242"/>
      <c r="AC199" s="242"/>
      <c r="AD199" s="242"/>
      <c r="AE199" s="242"/>
      <c r="AF199" s="235"/>
      <c r="AG199" s="244"/>
      <c r="AH199" s="244"/>
      <c r="AI199" s="244"/>
      <c r="AJ199" s="244"/>
    </row>
    <row r="200" spans="3:37" ht="11.25" customHeight="1">
      <c r="C200" s="428" t="str">
        <f>+C20</f>
        <v>Specialty Chemicals</v>
      </c>
      <c r="D200" s="227"/>
      <c r="E200" s="242"/>
      <c r="F200" s="242"/>
      <c r="G200" s="242"/>
      <c r="H200" s="242"/>
      <c r="I200" s="242"/>
      <c r="J200" s="242"/>
      <c r="K200" s="242"/>
      <c r="L200" s="242"/>
      <c r="M200" s="242"/>
      <c r="N200" s="242"/>
      <c r="O200" s="242"/>
      <c r="P200" s="242"/>
      <c r="Q200" s="244"/>
      <c r="R200" s="244"/>
      <c r="S200" s="244"/>
      <c r="T200" s="244"/>
      <c r="U200" s="227"/>
      <c r="V200" s="242"/>
      <c r="W200" s="242"/>
      <c r="X200" s="242"/>
      <c r="Y200" s="242"/>
      <c r="Z200" s="242"/>
      <c r="AA200" s="242"/>
      <c r="AB200" s="242"/>
      <c r="AC200" s="242"/>
      <c r="AD200" s="242"/>
      <c r="AE200" s="242"/>
      <c r="AF200" s="235"/>
      <c r="AG200" s="244"/>
      <c r="AH200" s="244"/>
      <c r="AI200" s="244"/>
      <c r="AJ200" s="244"/>
    </row>
    <row r="201" spans="3:37" ht="11.25" customHeight="1">
      <c r="C201" s="229" t="str">
        <f ca="1">IFERROR(IF(BB_Switch=1,_xll.BDP($D201,$C$270),C201), "NA ")</f>
        <v>Eastman Chemical Co</v>
      </c>
      <c r="D201" s="227" t="str">
        <f>+D21</f>
        <v>EMN US EQUITY</v>
      </c>
      <c r="E201" s="242">
        <f ca="1">(IFERROR(IF(BB_Switch=1,IF(_xll.BDP($D201,$D$190, "EQY_FUND_RELATIVE_PERIOD", E$3)="#N/A N/A","NA  ",(_xll.BDP($D201,$D$190, "EQY_FUND_RELATIVE_PERIOD", E$3)))/100,E201),"NA "))</f>
        <v>0.23708206686930089</v>
      </c>
      <c r="F201" s="242">
        <f ca="1">(IFERROR(IF(BB_Switch=1,IF(_xll.BDP($D201,$D$190, "EQY_FUND_RELATIVE_PERIOD", F$3)="#N/A N/A","NA  ",(_xll.BDP($D201,$D$190, "EQY_FUND_RELATIVE_PERIOD", F$3)))/100,F201),"NA "))</f>
        <v>0.2343943778420835</v>
      </c>
      <c r="G201" s="242">
        <f ca="1">(IFERROR(IF(BB_Switch=1,IF(_xll.BDP($D201,$D$190, "EQY_FUND_RELATIVE_PERIOD", G$3)="#N/A N/A","NA  ",(_xll.BDP($D201,$D$190, "EQY_FUND_RELATIVE_PERIOD", G$3)))/100,G201),"NA "))</f>
        <v>0.24705882352941178</v>
      </c>
      <c r="H201" s="242">
        <f ca="1">(IFERROR(IF(BB_Switch=1,IF(_xll.BDP($D201,$D$190, "EQY_FUND_RELATIVE_PERIOD", H$3)="#N/A N/A","NA  ",(_xll.BDP($D201,$D$190, "EQY_FUND_RELATIVE_PERIOD", H$3)))/100,H201),"NA "))</f>
        <v>0.21168501270110077</v>
      </c>
      <c r="I201" s="242">
        <f ca="1">(IFERROR(IF(BB_Switch=1,IF(_xll.BDP($D201,$D$190, "EQY_FUND_RELATIVE_PERIOD", I$3)="#N/A N/A","NA  ",(_xll.BDP($D201,$D$190, "EQY_FUND_RELATIVE_PERIOD", I$3)))/100,I201),"NA "))</f>
        <v>0.23436900652090525</v>
      </c>
      <c r="J201" s="242">
        <f ca="1">(IFERROR(IF(BB_Switch=1,IF(_xll.BDP($D201,$D$190, "EQY_FUND_RELATIVE_PERIOD", J$3)="#N/A N/A","NA  ",(_xll.BDP($D201,$D$190, "EQY_FUND_RELATIVE_PERIOD", J$3)))/100,J201),"NA "))</f>
        <v>0.22701259061426937</v>
      </c>
      <c r="K201" s="242">
        <f ca="1">(IFERROR(IF(BB_Switch=1,IF(_xll.BDP($D201,$D$190, "EQY_FUND_RELATIVE_PERIOD", K$3)="#N/A N/A","NA  ",(_xll.BDP($D201,$D$190, "EQY_FUND_RELATIVE_PERIOD", K$3)))/100,K201),"NA "))</f>
        <v>0.2387122104436592</v>
      </c>
      <c r="L201" s="242">
        <f ca="1">(IFERROR(IF(BB_Switch=1,IF(_xll.BDP($D201,$D$190, "EQY_FUND_RELATIVE_PERIOD", L$3)="#N/A N/A","NA  ",(_xll.BDP($D201,$D$190, "EQY_FUND_RELATIVE_PERIOD", L$3)))/100,L201),"NA "))</f>
        <v>0.18055555555555552</v>
      </c>
      <c r="M201" s="242">
        <f ca="1">(IFERROR(IF(BB_Switch=1,IF(_xll.BDP($D201,$D$190, "EQY_FUND_RELATIVE_PERIOD", M$3)="#N/A N/A","NA  ",(_xll.BDP($D201,$D$190, "EQY_FUND_RELATIVE_PERIOD", M$3)))/100,M201),"NA "))</f>
        <v>0.21932773109243697</v>
      </c>
      <c r="N201" s="242">
        <f ca="1">(IFERROR(IF(BB_Switch=1,IF(_xll.BDP($D201,$D$190, "EQY_FUND_RELATIVE_PERIOD", N$3)="#N/A N/A","NA  ",(_xll.BDP($D201,$D$190, "EQY_FUND_RELATIVE_PERIOD", N$3)))/100,N201),"NA "))</f>
        <v>0.23741007194244601</v>
      </c>
      <c r="O201" s="242">
        <f ca="1">(IFERROR(IF(BB_Switch=1,IF(_xll.BDP($D201,$D$190, "EQY_FUND_RELATIVE_PERIOD", O$3)="#N/A N/A","NA  ",(_xll.BDP($D201,$D$190, "EQY_FUND_RELATIVE_PERIOD", O$3)))/100,O201),"NA "))</f>
        <v>0.23225806451612904</v>
      </c>
      <c r="P201" s="242">
        <f ca="1">(IFERROR(IF(BB_Switch=1,IF(_xll.BDP($D201,$D$190, "EQY_FUND_RELATIVE_PERIOD", P$3)="#N/A N/A","NA  ",(_xll.BDP($D201,$D$190, "EQY_FUND_RELATIVE_PERIOD", P$3)))/100,P201),"NA "))</f>
        <v>0.20453514739229026</v>
      </c>
      <c r="Q201" s="244"/>
      <c r="R201" s="244"/>
      <c r="S201" s="244"/>
      <c r="T201" s="244"/>
      <c r="U201" s="227"/>
      <c r="V201" s="242">
        <f ca="1">(IFERROR(IF(BB_Switch=1,IF(_xll.BDP($D201,$D$190, "EQY_FUND_RELATIVE_PERIOD", V$3)="#N/A N/A","NA  ",(_xll.BDP($D201,$D$190, "EQY_FUND_RELATIVE_PERIOD", V$3)))/100,V201),"NA "))</f>
        <v>0.20210412661628005</v>
      </c>
      <c r="W201" s="242">
        <f ca="1">(IFERROR(IF(BB_Switch=1,IF(_xll.BDP($D201,$D$190, "EQY_FUND_RELATIVE_PERIOD", W$3)="#N/A N/A","NA  ",(_xll.BDP($D201,$D$190, "EQY_FUND_RELATIVE_PERIOD", W$3)))/100,W201),"NA "))</f>
        <v>0.18751741432153804</v>
      </c>
      <c r="X201" s="242">
        <f ca="1">(IFERROR(IF(BB_Switch=1,IF(_xll.BDP($D201,$D$190, "EQY_FUND_RELATIVE_PERIOD", X$3)="#N/A N/A","NA  ",(_xll.BDP($D201,$D$190, "EQY_FUND_RELATIVE_PERIOD", X$3)))/100,X201),"NA "))</f>
        <v>0.2111824240928166</v>
      </c>
      <c r="Y201" s="242">
        <f ca="1">(IFERROR(IF(BB_Switch=1,IF(_xll.BDP($D201,$D$190, "EQY_FUND_RELATIVE_PERIOD", Y$3)="#N/A N/A","NA  ",(_xll.BDP($D201,$D$190, "EQY_FUND_RELATIVE_PERIOD", Y$3)))/100,Y201),"NA "))</f>
        <v>0.21647058823529408</v>
      </c>
      <c r="Z201" s="242">
        <f ca="1">(IFERROR(IF(BB_Switch=1,IF(_xll.BDP($D201,$D$190, "EQY_FUND_RELATIVE_PERIOD", Z$3)="#N/A N/A","NA  ",(_xll.BDP($D201,$D$190, "EQY_FUND_RELATIVE_PERIOD", Z$3)))/100,Z201),"NA "))</f>
        <v>0.21150414611105281</v>
      </c>
      <c r="AA201" s="242">
        <f ca="1">(IFERROR(IF(BB_Switch=1,IF(_xll.BDP($D201,$D$190, "EQY_FUND_RELATIVE_PERIOD", AA$3)="#N/A N/A","NA  ",(_xll.BDP($D201,$D$190, "EQY_FUND_RELATIVE_PERIOD", AA$3)))/100,AA201),"NA "))</f>
        <v>0.23652570480928689</v>
      </c>
      <c r="AB201" s="242">
        <f ca="1">(IFERROR(IF(BB_Switch=1,IF(_xll.BDP($D201,$D$190, "EQY_FUND_RELATIVE_PERIOD", AB$3)="#N/A N/A","NA  ",(_xll.BDP($D201,$D$190, "EQY_FUND_RELATIVE_PERIOD", AB$3)))/100,AB201),"NA "))</f>
        <v>0.23956483126110123</v>
      </c>
      <c r="AC201" s="242">
        <f ca="1">(IFERROR(IF(BB_Switch=1,IF(_xll.BDP($D201,$D$190, "EQY_FUND_RELATIVE_PERIOD", AC$3)="#N/A N/A","NA  ",(_xll.BDP($D201,$D$190, "EQY_FUND_RELATIVE_PERIOD", AC$3)))/100,AC201),"NA "))</f>
        <v>0.23395119907843753</v>
      </c>
      <c r="AD201" s="242">
        <f ca="1">(IFERROR(IF(BB_Switch=1,IF(_xll.BDP($D201,$D$190, "EQY_FUND_RELATIVE_PERIOD", AD$3)="#N/A N/A","NA  ",(_xll.BDP($D201,$D$190, "EQY_FUND_RELATIVE_PERIOD", AD$3)))/100,AD201),"NA "))</f>
        <v>0.22037237710570387</v>
      </c>
      <c r="AE201" s="242">
        <f ca="1">(IFERROR(IF(BB_Switch=1,IF(_xll.BDP($D201,$D$190, "EQY_FUND_RELATIVE_PERIOD", AE$3)="#N/A N/A","NA  ",(_xll.BDP($D201,$D$190, "EQY_FUND_RELATIVE_PERIOD", AE$3)))/100,AE201),"NA "))</f>
        <v>0.23110104604766527</v>
      </c>
      <c r="AF201" s="245">
        <f ca="1">IFERROR(AVERAGE(V201:AE201),"NA  ")</f>
        <v>0.21902938576791761</v>
      </c>
      <c r="AG201" s="244"/>
      <c r="AH201" s="244"/>
      <c r="AI201" s="244"/>
      <c r="AJ201" s="244"/>
    </row>
    <row r="202" spans="3:37" ht="11.25" customHeight="1">
      <c r="C202" s="229" t="str">
        <f ca="1">IFERROR(IF(BB_Switch=1,_xll.BDP($D202,$C$270),C202), "NA ")</f>
        <v>Celanese Corp</v>
      </c>
      <c r="D202" s="227" t="str">
        <f>+D22</f>
        <v>CE US EQUITY</v>
      </c>
      <c r="E202" s="242">
        <f ca="1">(IFERROR(IF(BB_Switch=1,IF(_xll.BDP($D202,$D$190, "EQY_FUND_RELATIVE_PERIOD", E$3)="#N/A N/A","NA  ",(_xll.BDP($D202,$D$190, "EQY_FUND_RELATIVE_PERIOD", E$3)))/100,E202),"NA "))</f>
        <v>0.22433718558803534</v>
      </c>
      <c r="F202" s="242">
        <f ca="1">(IFERROR(IF(BB_Switch=1,IF(_xll.BDP($D202,$D$190, "EQY_FUND_RELATIVE_PERIOD", F$3)="#N/A N/A","NA  ",(_xll.BDP($D202,$D$190, "EQY_FUND_RELATIVE_PERIOD", F$3)))/100,F202),"NA "))</f>
        <v>0.20993377483443709</v>
      </c>
      <c r="G202" s="242">
        <f ca="1">(IFERROR(IF(BB_Switch=1,IF(_xll.BDP($D202,$D$190, "EQY_FUND_RELATIVE_PERIOD", G$3)="#N/A N/A","NA  ",(_xll.BDP($D202,$D$190, "EQY_FUND_RELATIVE_PERIOD", G$3)))/100,G202),"NA "))</f>
        <v>0.21392081736909327</v>
      </c>
      <c r="H202" s="242">
        <f ca="1">(IFERROR(IF(BB_Switch=1,IF(_xll.BDP($D202,$D$190, "EQY_FUND_RELATIVE_PERIOD", H$3)="#N/A N/A","NA  ",(_xll.BDP($D202,$D$190, "EQY_FUND_RELATIVE_PERIOD", H$3)))/100,H202),"NA "))</f>
        <v>0.22284996861268047</v>
      </c>
      <c r="I202" s="242">
        <f ca="1">(IFERROR(IF(BB_Switch=1,IF(_xll.BDP($D202,$D$190, "EQY_FUND_RELATIVE_PERIOD", I$3)="#N/A N/A","NA  ",(_xll.BDP($D202,$D$190, "EQY_FUND_RELATIVE_PERIOD", I$3)))/100,I202),"NA "))</f>
        <v>0.23608860075634791</v>
      </c>
      <c r="J202" s="242">
        <f ca="1">(IFERROR(IF(BB_Switch=1,IF(_xll.BDP($D202,$D$190, "EQY_FUND_RELATIVE_PERIOD", J$3)="#N/A N/A","NA  ",(_xll.BDP($D202,$D$190, "EQY_FUND_RELATIVE_PERIOD", J$3)))/100,J202),"NA "))</f>
        <v>0.25108459869848154</v>
      </c>
      <c r="K202" s="242">
        <f ca="1">(IFERROR(IF(BB_Switch=1,IF(_xll.BDP($D202,$D$190, "EQY_FUND_RELATIVE_PERIOD", K$3)="#N/A N/A","NA  ",(_xll.BDP($D202,$D$190, "EQY_FUND_RELATIVE_PERIOD", K$3)))/100,K202),"NA "))</f>
        <v>0.25804630152456237</v>
      </c>
      <c r="L202" s="242">
        <f ca="1">(IFERROR(IF(BB_Switch=1,IF(_xll.BDP($D202,$D$190, "EQY_FUND_RELATIVE_PERIOD", L$3)="#N/A N/A","NA  ",(_xll.BDP($D202,$D$190, "EQY_FUND_RELATIVE_PERIOD", L$3)))/100,L202),"NA "))</f>
        <v>0.32267613972764947</v>
      </c>
      <c r="M202" s="242">
        <f ca="1">(IFERROR(IF(BB_Switch=1,IF(_xll.BDP($D202,$D$190, "EQY_FUND_RELATIVE_PERIOD", M$3)="#N/A N/A","NA  ",(_xll.BDP($D202,$D$190, "EQY_FUND_RELATIVE_PERIOD", M$3)))/100,M202),"NA "))</f>
        <v>0.24659158269116777</v>
      </c>
      <c r="N202" s="242">
        <f ca="1">(IFERROR(IF(BB_Switch=1,IF(_xll.BDP($D202,$D$190, "EQY_FUND_RELATIVE_PERIOD", N$3)="#N/A N/A","NA  ",(_xll.BDP($D202,$D$190, "EQY_FUND_RELATIVE_PERIOD", N$3)))/100,N202),"NA "))</f>
        <v>0.24371859296482412</v>
      </c>
      <c r="O202" s="242">
        <f ca="1">(IFERROR(IF(BB_Switch=1,IF(_xll.BDP($D202,$D$190, "EQY_FUND_RELATIVE_PERIOD", O$3)="#N/A N/A","NA  ",(_xll.BDP($D202,$D$190, "EQY_FUND_RELATIVE_PERIOD", O$3)))/100,O202),"NA "))</f>
        <v>0.2509457755359395</v>
      </c>
      <c r="P202" s="242">
        <f ca="1">(IFERROR(IF(BB_Switch=1,IF(_xll.BDP($D202,$D$190, "EQY_FUND_RELATIVE_PERIOD", P$3)="#N/A N/A","NA  ",(_xll.BDP($D202,$D$190, "EQY_FUND_RELATIVE_PERIOD", P$3)))/100,P202),"NA "))</f>
        <v>0.28212290502793297</v>
      </c>
      <c r="Q202" s="244"/>
      <c r="R202" s="244"/>
      <c r="S202" s="244"/>
      <c r="T202" s="244"/>
      <c r="U202" s="227"/>
      <c r="V202" s="242">
        <f ca="1">(IFERROR(IF(BB_Switch=1,IF(_xll.BDP($D202,$D$190, "EQY_FUND_RELATIVE_PERIOD", V$3)="#N/A N/A","NA  ",(_xll.BDP($D202,$D$190, "EQY_FUND_RELATIVE_PERIOD", V$3)))/100,V202),"NA "))</f>
        <v>0.15478202095302468</v>
      </c>
      <c r="W202" s="242">
        <f ca="1">(IFERROR(IF(BB_Switch=1,IF(_xll.BDP($D202,$D$190, "EQY_FUND_RELATIVE_PERIOD", W$3)="#N/A N/A","NA  ",(_xll.BDP($D202,$D$190, "EQY_FUND_RELATIVE_PERIOD", W$3)))/100,W202),"NA "))</f>
        <v>0.16264971166642023</v>
      </c>
      <c r="X202" s="242">
        <f ca="1">(IFERROR(IF(BB_Switch=1,IF(_xll.BDP($D202,$D$190, "EQY_FUND_RELATIVE_PERIOD", X$3)="#N/A N/A","NA  ",(_xll.BDP($D202,$D$190, "EQY_FUND_RELATIVE_PERIOD", X$3)))/100,X202),"NA "))</f>
        <v>0.15144904954814584</v>
      </c>
      <c r="Y202" s="242">
        <f ca="1">(IFERROR(IF(BB_Switch=1,IF(_xll.BDP($D202,$D$190, "EQY_FUND_RELATIVE_PERIOD", Y$3)="#N/A N/A","NA  ",(_xll.BDP($D202,$D$190, "EQY_FUND_RELATIVE_PERIOD", Y$3)))/100,Y202),"NA "))</f>
        <v>0.16927803379416281</v>
      </c>
      <c r="Z202" s="242">
        <f ca="1">(IFERROR(IF(BB_Switch=1,IF(_xll.BDP($D202,$D$190, "EQY_FUND_RELATIVE_PERIOD", Z$3)="#N/A N/A","NA  ",(_xll.BDP($D202,$D$190, "EQY_FUND_RELATIVE_PERIOD", Z$3)))/100,Z202),"NA "))</f>
        <v>0.17759482505145546</v>
      </c>
      <c r="AA202" s="242">
        <f ca="1">(IFERROR(IF(BB_Switch=1,IF(_xll.BDP($D202,$D$190, "EQY_FUND_RELATIVE_PERIOD", AA$3)="#N/A N/A","NA  ",(_xll.BDP($D202,$D$190, "EQY_FUND_RELATIVE_PERIOD", AA$3)))/100,AA202),"NA "))</f>
        <v>0.22982023264011278</v>
      </c>
      <c r="AB202" s="242">
        <f ca="1">(IFERROR(IF(BB_Switch=1,IF(_xll.BDP($D202,$D$190, "EQY_FUND_RELATIVE_PERIOD", AB$3)="#N/A N/A","NA  ",(_xll.BDP($D202,$D$190, "EQY_FUND_RELATIVE_PERIOD", AB$3)))/100,AB202),"NA "))</f>
        <v>0.25255149378363334</v>
      </c>
      <c r="AC202" s="242">
        <f ca="1">(IFERROR(IF(BB_Switch=1,IF(_xll.BDP($D202,$D$190, "EQY_FUND_RELATIVE_PERIOD", AC$3)="#N/A N/A","NA  ",(_xll.BDP($D202,$D$190, "EQY_FUND_RELATIVE_PERIOD", AC$3)))/100,AC202),"NA "))</f>
        <v>0.20032573289902281</v>
      </c>
      <c r="AD202" s="242">
        <f ca="1">(IFERROR(IF(BB_Switch=1,IF(_xll.BDP($D202,$D$190, "EQY_FUND_RELATIVE_PERIOD", AD$3)="#N/A N/A","NA  ",(_xll.BDP($D202,$D$190, "EQY_FUND_RELATIVE_PERIOD", AD$3)))/100,AD202),"NA "))</f>
        <v>0.26778476589797345</v>
      </c>
      <c r="AE202" s="242">
        <f ca="1">(IFERROR(IF(BB_Switch=1,IF(_xll.BDP($D202,$D$190, "EQY_FUND_RELATIVE_PERIOD", AE$3)="#N/A N/A","NA  ",(_xll.BDP($D202,$D$190, "EQY_FUND_RELATIVE_PERIOD", AE$3)))/100,AE202),"NA "))</f>
        <v>0.25488327775131014</v>
      </c>
      <c r="AF202" s="245">
        <f ca="1">IFERROR(AVERAGE(V202:AE202),"NA  ")</f>
        <v>0.20211191439852616</v>
      </c>
      <c r="AG202" s="244"/>
      <c r="AH202" s="244"/>
      <c r="AI202" s="244"/>
      <c r="AJ202" s="244"/>
    </row>
    <row r="203" spans="3:37" ht="11.25" customHeight="1">
      <c r="C203" s="229" t="str">
        <f ca="1">IFERROR(IF(BB_Switch=1,_xll.BDP($D203,$C$270),C203), "NA ")</f>
        <v>BASF SE</v>
      </c>
      <c r="D203" s="227" t="str">
        <f>+D23</f>
        <v>BAS GR EQUITY</v>
      </c>
      <c r="E203" s="242">
        <f ca="1">(IFERROR(IF(BB_Switch=1,IF(_xll.BDP($D203,$D$190, "EQY_FUND_RELATIVE_PERIOD", E$3)="#N/A N/A","NA  ",(_xll.BDP($D203,$D$190, "EQY_FUND_RELATIVE_PERIOD", E$3)))/100,E203),"NA "))</f>
        <v>0.20278280401821924</v>
      </c>
      <c r="F203" s="242">
        <f ca="1">(IFERROR(IF(BB_Switch=1,IF(_xll.BDP($D203,$D$190, "EQY_FUND_RELATIVE_PERIOD", F$3)="#N/A N/A","NA  ",(_xll.BDP($D203,$D$190, "EQY_FUND_RELATIVE_PERIOD", F$3)))/100,F203),"NA "))</f>
        <v>0.20098388245193863</v>
      </c>
      <c r="G203" s="242">
        <f ca="1">(IFERROR(IF(BB_Switch=1,IF(_xll.BDP($D203,$D$190, "EQY_FUND_RELATIVE_PERIOD", G$3)="#N/A N/A","NA  ",(_xll.BDP($D203,$D$190, "EQY_FUND_RELATIVE_PERIOD", G$3)))/100,G203),"NA "))</f>
        <v>0.18469275282446959</v>
      </c>
      <c r="H203" s="242">
        <f ca="1">(IFERROR(IF(BB_Switch=1,IF(_xll.BDP($D203,$D$190, "EQY_FUND_RELATIVE_PERIOD", H$3)="#N/A N/A","NA  ",(_xll.BDP($D203,$D$190, "EQY_FUND_RELATIVE_PERIOD", H$3)))/100,H203),"NA "))</f>
        <v>0.16210360449084107</v>
      </c>
      <c r="I203" s="242">
        <f ca="1">(IFERROR(IF(BB_Switch=1,IF(_xll.BDP($D203,$D$190, "EQY_FUND_RELATIVE_PERIOD", I$3)="#N/A N/A","NA  ",(_xll.BDP($D203,$D$190, "EQY_FUND_RELATIVE_PERIOD", I$3)))/100,I203),"NA "))</f>
        <v>0.20203821656050955</v>
      </c>
      <c r="J203" s="242">
        <f ca="1">(IFERROR(IF(BB_Switch=1,IF(_xll.BDP($D203,$D$190, "EQY_FUND_RELATIVE_PERIOD", J$3)="#N/A N/A","NA  ",(_xll.BDP($D203,$D$190, "EQY_FUND_RELATIVE_PERIOD", J$3)))/100,J203),"NA "))</f>
        <v>0.18082747259709811</v>
      </c>
      <c r="K203" s="242">
        <f ca="1">(IFERROR(IF(BB_Switch=1,IF(_xll.BDP($D203,$D$190, "EQY_FUND_RELATIVE_PERIOD", K$3)="#N/A N/A","NA  ",(_xll.BDP($D203,$D$190, "EQY_FUND_RELATIVE_PERIOD", K$3)))/100,K203),"NA "))</f>
        <v>0.15321030372933486</v>
      </c>
      <c r="L203" s="242">
        <f ca="1">(IFERROR(IF(BB_Switch=1,IF(_xll.BDP($D203,$D$190, "EQY_FUND_RELATIVE_PERIOD", L$3)="#N/A N/A","NA  ",(_xll.BDP($D203,$D$190, "EQY_FUND_RELATIVE_PERIOD", L$3)))/100,L203),"NA "))</f>
        <v>7.8147055049403308E-2</v>
      </c>
      <c r="M203" s="242">
        <f ca="1">(IFERROR(IF(BB_Switch=1,IF(_xll.BDP($D203,$D$190, "EQY_FUND_RELATIVE_PERIOD", M$3)="#N/A N/A","NA  ",(_xll.BDP($D203,$D$190, "EQY_FUND_RELATIVE_PERIOD", M$3)))/100,M203),"NA "))</f>
        <v>0.16838721641837176</v>
      </c>
      <c r="N203" s="242">
        <f ca="1">(IFERROR(IF(BB_Switch=1,IF(_xll.BDP($D203,$D$190, "EQY_FUND_RELATIVE_PERIOD", N$3)="#N/A N/A","NA  ",(_xll.BDP($D203,$D$190, "EQY_FUND_RELATIVE_PERIOD", N$3)))/100,N203),"NA "))</f>
        <v>0.13365879403615252</v>
      </c>
      <c r="O203" s="242">
        <f ca="1">(IFERROR(IF(BB_Switch=1,IF(_xll.BDP($D203,$D$190, "EQY_FUND_RELATIVE_PERIOD", O$3)="#N/A N/A","NA  ",(_xll.BDP($D203,$D$190, "EQY_FUND_RELATIVE_PERIOD", O$3)))/100,O203),"NA "))</f>
        <v>0.16486113846759898</v>
      </c>
      <c r="P203" s="242">
        <f ca="1">(IFERROR(IF(BB_Switch=1,IF(_xll.BDP($D203,$D$190, "EQY_FUND_RELATIVE_PERIOD", P$3)="#N/A N/A","NA  ",(_xll.BDP($D203,$D$190, "EQY_FUND_RELATIVE_PERIOD", P$3)))/100,P203),"NA "))</f>
        <v>0.11615686274509804</v>
      </c>
      <c r="Q203" s="244"/>
      <c r="R203" s="244"/>
      <c r="S203" s="244"/>
      <c r="T203" s="244"/>
      <c r="U203" s="227"/>
      <c r="V203" s="242">
        <f ca="1">(IFERROR(IF(BB_Switch=1,IF(_xll.BDP($D203,$D$190, "EQY_FUND_RELATIVE_PERIOD", V$3)="#N/A N/A","NA  ",(_xll.BDP($D203,$D$190, "EQY_FUND_RELATIVE_PERIOD", V$3)))/100,V203),"NA "))</f>
        <v>0.1789645076949572</v>
      </c>
      <c r="W203" s="242">
        <f ca="1">(IFERROR(IF(BB_Switch=1,IF(_xll.BDP($D203,$D$190, "EQY_FUND_RELATIVE_PERIOD", W$3)="#N/A N/A","NA  ",(_xll.BDP($D203,$D$190, "EQY_FUND_RELATIVE_PERIOD", W$3)))/100,W203),"NA "))</f>
        <v>0.15875477910663019</v>
      </c>
      <c r="X203" s="242">
        <f ca="1">(IFERROR(IF(BB_Switch=1,IF(_xll.BDP($D203,$D$190, "EQY_FUND_RELATIVE_PERIOD", X$3)="#N/A N/A","NA  ",(_xll.BDP($D203,$D$190, "EQY_FUND_RELATIVE_PERIOD", X$3)))/100,X203),"NA "))</f>
        <v>0.13392671463627667</v>
      </c>
      <c r="Y203" s="242">
        <f ca="1">(IFERROR(IF(BB_Switch=1,IF(_xll.BDP($D203,$D$190, "EQY_FUND_RELATIVE_PERIOD", Y$3)="#N/A N/A","NA  ",(_xll.BDP($D203,$D$190, "EQY_FUND_RELATIVE_PERIOD", Y$3)))/100,Y203),"NA "))</f>
        <v>0.14184905303286335</v>
      </c>
      <c r="Z203" s="242">
        <f ca="1">(IFERROR(IF(BB_Switch=1,IF(_xll.BDP($D203,$D$190, "EQY_FUND_RELATIVE_PERIOD", Z$3)="#N/A N/A","NA  ",(_xll.BDP($D203,$D$190, "EQY_FUND_RELATIVE_PERIOD", Z$3)))/100,Z203),"NA "))</f>
        <v>0.15240965476414714</v>
      </c>
      <c r="AA203" s="242">
        <f ca="1">(IFERROR(IF(BB_Switch=1,IF(_xll.BDP($D203,$D$190, "EQY_FUND_RELATIVE_PERIOD", AA$3)="#N/A N/A","NA  ",(_xll.BDP($D203,$D$190, "EQY_FUND_RELATIVE_PERIOD", AA$3)))/100,AA203),"NA "))</f>
        <v>0.15951965251458503</v>
      </c>
      <c r="AB203" s="242">
        <f ca="1">(IFERROR(IF(BB_Switch=1,IF(_xll.BDP($D203,$D$190, "EQY_FUND_RELATIVE_PERIOD", AB$3)="#N/A N/A","NA  ",(_xll.BDP($D203,$D$190, "EQY_FUND_RELATIVE_PERIOD", AB$3)))/100,AB203),"NA "))</f>
        <v>0.18681146828844483</v>
      </c>
      <c r="AC203" s="242">
        <f ca="1">(IFERROR(IF(BB_Switch=1,IF(_xll.BDP($D203,$D$190, "EQY_FUND_RELATIVE_PERIOD", AC$3)="#N/A N/A","NA  ",(_xll.BDP($D203,$D$190, "EQY_FUND_RELATIVE_PERIOD", AC$3)))/100,AC203),"NA "))</f>
        <v>0.18791957270960261</v>
      </c>
      <c r="AD203" s="242">
        <f ca="1">(IFERROR(IF(BB_Switch=1,IF(_xll.BDP($D203,$D$190, "EQY_FUND_RELATIVE_PERIOD", AD$3)="#N/A N/A","NA  ",(_xll.BDP($D203,$D$190, "EQY_FUND_RELATIVE_PERIOD", AD$3)))/100,AD203),"NA "))</f>
        <v>0.15900033211557621</v>
      </c>
      <c r="AE203" s="242">
        <f ca="1">(IFERROR(IF(BB_Switch=1,IF(_xll.BDP($D203,$D$190, "EQY_FUND_RELATIVE_PERIOD", AE$3)="#N/A N/A","NA  ",(_xll.BDP($D203,$D$190, "EQY_FUND_RELATIVE_PERIOD", AE$3)))/100,AE203),"NA "))</f>
        <v>0.144210668285117</v>
      </c>
      <c r="AF203" s="245">
        <f ca="1">IFERROR(AVERAGE(V203:AE203),"NA  ")</f>
        <v>0.16033664031482001</v>
      </c>
      <c r="AG203" s="244"/>
      <c r="AH203" s="244"/>
      <c r="AI203" s="244"/>
      <c r="AJ203" s="244"/>
    </row>
    <row r="204" spans="3:37" ht="11.25" customHeight="1">
      <c r="C204" s="229" t="str">
        <f ca="1">IFERROR(IF(BB_Switch=1,_xll.BDP($D204,$C$270),C204), "NA ")</f>
        <v>Trinseo SA</v>
      </c>
      <c r="D204" s="227" t="str">
        <f>+D24</f>
        <v>TSE US EQUITY</v>
      </c>
      <c r="E204" s="242">
        <f ca="1">(IFERROR(IF(BB_Switch=1,IF(_xll.BDP($D204,$D$190, "EQY_FUND_RELATIVE_PERIOD", E$3)="#N/A N/A","NA  ",(_xll.BDP($D204,$D$190, "EQY_FUND_RELATIVE_PERIOD", E$3)))/100,E204),"NA "))</f>
        <v>0.13968981158724841</v>
      </c>
      <c r="F204" s="242">
        <f ca="1">(IFERROR(IF(BB_Switch=1,IF(_xll.BDP($D204,$D$190, "EQY_FUND_RELATIVE_PERIOD", F$3)="#N/A N/A","NA  ",(_xll.BDP($D204,$D$190, "EQY_FUND_RELATIVE_PERIOD", F$3)))/100,F204),"NA "))</f>
        <v>8.756549074397485E-2</v>
      </c>
      <c r="G204" s="242">
        <f ca="1">(IFERROR(IF(BB_Switch=1,IF(_xll.BDP($D204,$D$190, "EQY_FUND_RELATIVE_PERIOD", G$3)="#N/A N/A","NA  ",(_xll.BDP($D204,$D$190, "EQY_FUND_RELATIVE_PERIOD", G$3)))/100,G204),"NA "))</f>
        <v>0.11344154659857746</v>
      </c>
      <c r="H204" s="242">
        <f ca="1">(IFERROR(IF(BB_Switch=1,IF(_xll.BDP($D204,$D$190, "EQY_FUND_RELATIVE_PERIOD", H$3)="#N/A N/A","NA  ",(_xll.BDP($D204,$D$190, "EQY_FUND_RELATIVE_PERIOD", H$3)))/100,H204),"NA "))</f>
        <v>0.10582682882555818</v>
      </c>
      <c r="I204" s="242">
        <f ca="1">(IFERROR(IF(BB_Switch=1,IF(_xll.BDP($D204,$D$190, "EQY_FUND_RELATIVE_PERIOD", I$3)="#N/A N/A","NA  ",(_xll.BDP($D204,$D$190, "EQY_FUND_RELATIVE_PERIOD", I$3)))/100,I204),"NA "))</f>
        <v>0.12990370898716119</v>
      </c>
      <c r="J204" s="242">
        <f ca="1">(IFERROR(IF(BB_Switch=1,IF(_xll.BDP($D204,$D$190, "EQY_FUND_RELATIVE_PERIOD", J$3)="#N/A N/A","NA  ",(_xll.BDP($D204,$D$190, "EQY_FUND_RELATIVE_PERIOD", J$3)))/100,J204),"NA "))</f>
        <v>0.10900857189066798</v>
      </c>
      <c r="K204" s="242">
        <f ca="1">(IFERROR(IF(BB_Switch=1,IF(_xll.BDP($D204,$D$190, "EQY_FUND_RELATIVE_PERIOD", K$3)="#N/A N/A","NA  ",(_xll.BDP($D204,$D$190, "EQY_FUND_RELATIVE_PERIOD", K$3)))/100,K204),"NA "))</f>
        <v>9.260648495457198E-2</v>
      </c>
      <c r="L204" s="242">
        <f ca="1">(IFERROR(IF(BB_Switch=1,IF(_xll.BDP($D204,$D$190, "EQY_FUND_RELATIVE_PERIOD", L$3)="#N/A N/A","NA  ",(_xll.BDP($D204,$D$190, "EQY_FUND_RELATIVE_PERIOD", L$3)))/100,L204),"NA "))</f>
        <v>3.2957746478873243E-2</v>
      </c>
      <c r="M204" s="242">
        <f ca="1">(IFERROR(IF(BB_Switch=1,IF(_xll.BDP($D204,$D$190, "EQY_FUND_RELATIVE_PERIOD", M$3)="#N/A N/A","NA  ",(_xll.BDP($D204,$D$190, "EQY_FUND_RELATIVE_PERIOD", M$3)))/100,M204),"NA "))</f>
        <v>7.7386240252689753E-2</v>
      </c>
      <c r="N204" s="242">
        <f ca="1">(IFERROR(IF(BB_Switch=1,IF(_xll.BDP($D204,$D$190, "EQY_FUND_RELATIVE_PERIOD", N$3)="#N/A N/A","NA  ",(_xll.BDP($D204,$D$190, "EQY_FUND_RELATIVE_PERIOD", N$3)))/100,N204),"NA "))</f>
        <v>7.2179029207816756E-2</v>
      </c>
      <c r="O204" s="242">
        <f ca="1">(IFERROR(IF(BB_Switch=1,IF(_xll.BDP($D204,$D$190, "EQY_FUND_RELATIVE_PERIOD", O$3)="#N/A N/A","NA  ",(_xll.BDP($D204,$D$190, "EQY_FUND_RELATIVE_PERIOD", O$3)))/100,O204),"NA "))</f>
        <v>7.6347467736688004E-2</v>
      </c>
      <c r="P204" s="242">
        <f ca="1">(IFERROR(IF(BB_Switch=1,IF(_xll.BDP($D204,$D$190, "EQY_FUND_RELATIVE_PERIOD", P$3)="#N/A N/A","NA  ",(_xll.BDP($D204,$D$190, "EQY_FUND_RELATIVE_PERIOD", P$3)))/100,P204),"NA "))</f>
        <v>4.2866786678667869E-2</v>
      </c>
      <c r="Q204" s="244"/>
      <c r="R204" s="244"/>
      <c r="S204" s="244"/>
      <c r="T204" s="244"/>
      <c r="U204" s="227"/>
      <c r="V204" s="242">
        <f ca="1">(IFERROR(IF(BB_Switch=1,IF(_xll.BDP($D204,$D$190, "EQY_FUND_RELATIVE_PERIOD", V$3)="#N/A N/A","NA  ",(_xll.BDP($D204,$D$190, "EQY_FUND_RELATIVE_PERIOD", V$3)))/100,V204),"NA "))</f>
        <v>7.0177921642321409E-2</v>
      </c>
      <c r="W204" s="242">
        <f ca="1">(IFERROR(IF(BB_Switch=1,IF(_xll.BDP($D204,$D$190, "EQY_FUND_RELATIVE_PERIOD", W$3)="#N/A N/A","NA  ",(_xll.BDP($D204,$D$190, "EQY_FUND_RELATIVE_PERIOD", W$3)))/100,W204),"NA "))</f>
        <v>3.7272290112255115E-2</v>
      </c>
      <c r="X204" s="242">
        <f ca="1">(IFERROR(IF(BB_Switch=1,IF(_xll.BDP($D204,$D$190, "EQY_FUND_RELATIVE_PERIOD", X$3)="#N/A N/A","NA  ",(_xll.BDP($D204,$D$190, "EQY_FUND_RELATIVE_PERIOD", X$3)))/100,X204),"NA "))</f>
        <v>5.308159032001452E-2</v>
      </c>
      <c r="Y204" s="242">
        <f ca="1">(IFERROR(IF(BB_Switch=1,IF(_xll.BDP($D204,$D$190, "EQY_FUND_RELATIVE_PERIOD", Y$3)="#N/A N/A","NA  ",(_xll.BDP($D204,$D$190, "EQY_FUND_RELATIVE_PERIOD", Y$3)))/100,Y204),"NA "))</f>
        <v>5.8651162317467607E-2</v>
      </c>
      <c r="Z204" s="242">
        <f ca="1">(IFERROR(IF(BB_Switch=1,IF(_xll.BDP($D204,$D$190, "EQY_FUND_RELATIVE_PERIOD", Z$3)="#N/A N/A","NA  ",(_xll.BDP($D204,$D$190, "EQY_FUND_RELATIVE_PERIOD", Z$3)))/100,Z204),"NA "))</f>
        <v>5.6433736528027412E-2</v>
      </c>
      <c r="AA204" s="242">
        <f ca="1">(IFERROR(IF(BB_Switch=1,IF(_xll.BDP($D204,$D$190, "EQY_FUND_RELATIVE_PERIOD", AA$3)="#N/A N/A","NA  ",(_xll.BDP($D204,$D$190, "EQY_FUND_RELATIVE_PERIOD", AA$3)))/100,AA204),"NA "))</f>
        <v>9.0860751347842938E-2</v>
      </c>
      <c r="AB204" s="242">
        <f ca="1">(IFERROR(IF(BB_Switch=1,IF(_xll.BDP($D204,$D$190, "EQY_FUND_RELATIVE_PERIOD", AB$3)="#N/A N/A","NA  ",(_xll.BDP($D204,$D$190, "EQY_FUND_RELATIVE_PERIOD", AB$3)))/100,AB204),"NA "))</f>
        <v>0.12195528170908895</v>
      </c>
      <c r="AC204" s="242">
        <f ca="1">(IFERROR(IF(BB_Switch=1,IF(_xll.BDP($D204,$D$190, "EQY_FUND_RELATIVE_PERIOD", AC$3)="#N/A N/A","NA  ",(_xll.BDP($D204,$D$190, "EQY_FUND_RELATIVE_PERIOD", AC$3)))/100,AC204),"NA "))</f>
        <v>0.11180054405251677</v>
      </c>
      <c r="AD204" s="242">
        <f ca="1">(IFERROR(IF(BB_Switch=1,IF(_xll.BDP($D204,$D$190, "EQY_FUND_RELATIVE_PERIOD", AD$3)="#N/A N/A","NA  ",(_xll.BDP($D204,$D$190, "EQY_FUND_RELATIVE_PERIOD", AD$3)))/100,AD204),"NA "))</f>
        <v>9.3579648697758908E-2</v>
      </c>
      <c r="AE204" s="242">
        <f ca="1">(IFERROR(IF(BB_Switch=1,IF(_xll.BDP($D204,$D$190, "EQY_FUND_RELATIVE_PERIOD", AE$3)="#N/A N/A","NA  ",(_xll.BDP($D204,$D$190, "EQY_FUND_RELATIVE_PERIOD", AE$3)))/100,AE204),"NA "))</f>
        <v>6.2715186185708982E-2</v>
      </c>
      <c r="AF204" s="243">
        <f ca="1">IFERROR(AVERAGE(V204:AE204),"NA  ")</f>
        <v>7.5652811291300262E-2</v>
      </c>
      <c r="AG204" s="244"/>
      <c r="AH204" s="244"/>
      <c r="AI204" s="244"/>
      <c r="AJ204" s="244"/>
    </row>
    <row r="205" spans="3:37" ht="11.25" customHeight="1">
      <c r="C205" s="229"/>
      <c r="D205" s="227"/>
      <c r="E205" s="227"/>
      <c r="F205" s="227"/>
      <c r="G205" s="227"/>
      <c r="H205" s="227"/>
      <c r="I205" s="227"/>
      <c r="J205" s="227"/>
      <c r="K205" s="227"/>
      <c r="L205" s="227"/>
      <c r="M205" s="227"/>
      <c r="N205" s="227"/>
      <c r="O205" s="227"/>
      <c r="P205" s="227"/>
      <c r="Q205" s="227"/>
      <c r="R205" s="227"/>
      <c r="S205" s="227"/>
      <c r="T205" s="227"/>
      <c r="U205" s="227"/>
      <c r="V205" s="242"/>
      <c r="W205" s="242"/>
      <c r="X205" s="242"/>
      <c r="Y205" s="242"/>
      <c r="Z205" s="242"/>
      <c r="AA205" s="242"/>
      <c r="AB205" s="242"/>
      <c r="AC205" s="242"/>
      <c r="AD205" s="242"/>
      <c r="AE205" s="242"/>
      <c r="AF205" s="242"/>
      <c r="AG205" s="242"/>
      <c r="AH205" s="242"/>
      <c r="AI205" s="242"/>
      <c r="AJ205" s="242"/>
    </row>
    <row r="206" spans="3:37" ht="11.25" customHeight="1">
      <c r="C206" s="224" t="s">
        <v>482</v>
      </c>
      <c r="D206" s="223"/>
      <c r="E206" s="254">
        <f t="shared" ref="E206:O206" ca="1" si="57">AVERAGE(E192:E198,E201:E204)</f>
        <v>0.1884823689904585</v>
      </c>
      <c r="F206" s="254">
        <f t="shared" ca="1" si="57"/>
        <v>0.17942590767422384</v>
      </c>
      <c r="G206" s="254">
        <f t="shared" ca="1" si="57"/>
        <v>0.1813454148702425</v>
      </c>
      <c r="H206" s="254">
        <f t="shared" ca="1" si="57"/>
        <v>0.1659632966644479</v>
      </c>
      <c r="I206" s="254">
        <f t="shared" ca="1" si="57"/>
        <v>0.18806169842924111</v>
      </c>
      <c r="J206" s="254">
        <f t="shared" ca="1" si="57"/>
        <v>0.20138968015360259</v>
      </c>
      <c r="K206" s="254">
        <f t="shared" ca="1" si="57"/>
        <v>0.20049067109670579</v>
      </c>
      <c r="L206" s="254">
        <f t="shared" ca="1" si="57"/>
        <v>0.17236573309609712</v>
      </c>
      <c r="M206" s="254">
        <f t="shared" ca="1" si="57"/>
        <v>0.17485720021449763</v>
      </c>
      <c r="N206" s="254">
        <f t="shared" ca="1" si="57"/>
        <v>0.18271457562948845</v>
      </c>
      <c r="O206" s="254">
        <f t="shared" ca="1" si="57"/>
        <v>0.18780282494857145</v>
      </c>
      <c r="P206" s="254">
        <f ca="1">AVERAGE(P192:P198,P201:P204)</f>
        <v>0.16962018007209934</v>
      </c>
      <c r="Q206" s="254"/>
      <c r="R206" s="254"/>
      <c r="S206" s="254"/>
      <c r="T206" s="441"/>
      <c r="U206" s="241"/>
      <c r="V206" s="421">
        <f t="shared" ref="V206:AF206" ca="1" si="58">AVERAGE(V192:V198,V201:V204)</f>
        <v>0.1374613166421404</v>
      </c>
      <c r="W206" s="254">
        <f t="shared" ca="1" si="58"/>
        <v>0.12682349783690824</v>
      </c>
      <c r="X206" s="254">
        <f t="shared" ca="1" si="58"/>
        <v>0.13645227433321794</v>
      </c>
      <c r="Y206" s="254">
        <f t="shared" ca="1" si="58"/>
        <v>0.15307031260082204</v>
      </c>
      <c r="Z206" s="254">
        <f t="shared" ca="1" si="58"/>
        <v>0.15738345903757592</v>
      </c>
      <c r="AA206" s="254">
        <f t="shared" ca="1" si="58"/>
        <v>0.17026800948050116</v>
      </c>
      <c r="AB206" s="254">
        <f t="shared" ca="1" si="58"/>
        <v>0.18175621803162118</v>
      </c>
      <c r="AC206" s="254">
        <f t="shared" ca="1" si="58"/>
        <v>0.19626653204124486</v>
      </c>
      <c r="AD206" s="254">
        <f t="shared" ca="1" si="58"/>
        <v>0.19377951200811203</v>
      </c>
      <c r="AE206" s="254">
        <f t="shared" ca="1" si="58"/>
        <v>0.18140744668494463</v>
      </c>
      <c r="AF206" s="254">
        <f t="shared" ca="1" si="58"/>
        <v>0.16036387951477871</v>
      </c>
      <c r="AG206" s="250"/>
      <c r="AH206" s="250"/>
      <c r="AI206" s="250"/>
      <c r="AJ206" s="291"/>
    </row>
    <row r="207" spans="3:37" ht="11.25" customHeight="1">
      <c r="C207" s="221" t="s">
        <v>481</v>
      </c>
      <c r="D207" s="220"/>
      <c r="E207" s="253">
        <f t="shared" ref="E207:O207" ca="1" si="59">MEDIAN(E192:E198,E201:E204)</f>
        <v>0.20278280401821924</v>
      </c>
      <c r="F207" s="253">
        <f t="shared" ca="1" si="59"/>
        <v>0.20041498515190739</v>
      </c>
      <c r="G207" s="253">
        <f t="shared" ca="1" si="59"/>
        <v>0.17825270079849695</v>
      </c>
      <c r="H207" s="253">
        <f t="shared" ca="1" si="59"/>
        <v>0.16210360449084107</v>
      </c>
      <c r="I207" s="253">
        <f t="shared" ca="1" si="59"/>
        <v>0.18357735230879496</v>
      </c>
      <c r="J207" s="253">
        <f t="shared" ca="1" si="59"/>
        <v>0.19450589251386066</v>
      </c>
      <c r="K207" s="253">
        <f t="shared" ca="1" si="59"/>
        <v>0.20650920943214079</v>
      </c>
      <c r="L207" s="253">
        <f t="shared" ca="1" si="59"/>
        <v>0.17411335401299291</v>
      </c>
      <c r="M207" s="253">
        <f t="shared" ca="1" si="59"/>
        <v>0.17470437829061963</v>
      </c>
      <c r="N207" s="253">
        <f t="shared" ca="1" si="59"/>
        <v>0.17838196286472152</v>
      </c>
      <c r="O207" s="253">
        <f t="shared" ca="1" si="59"/>
        <v>0.20074844602308764</v>
      </c>
      <c r="P207" s="253">
        <f ca="1">MEDIAN(P192:P198,P201:P204)</f>
        <v>0.1714033712269698</v>
      </c>
      <c r="Q207" s="253"/>
      <c r="R207" s="253"/>
      <c r="S207" s="253"/>
      <c r="T207" s="442"/>
      <c r="U207" s="241"/>
      <c r="V207" s="422">
        <f t="shared" ref="V207:AF207" ca="1" si="60">MEDIAN(V192:V198,V201:V204)</f>
        <v>0.15478202095302468</v>
      </c>
      <c r="W207" s="253">
        <f t="shared" ca="1" si="60"/>
        <v>0.13102034881900884</v>
      </c>
      <c r="X207" s="253">
        <f t="shared" ca="1" si="60"/>
        <v>0.13392671463627667</v>
      </c>
      <c r="Y207" s="253">
        <f t="shared" ca="1" si="60"/>
        <v>0.14184905303286335</v>
      </c>
      <c r="Z207" s="253">
        <f t="shared" ca="1" si="60"/>
        <v>0.15240965476414714</v>
      </c>
      <c r="AA207" s="253">
        <f t="shared" ca="1" si="60"/>
        <v>0.15206924329765126</v>
      </c>
      <c r="AB207" s="253">
        <f t="shared" ca="1" si="60"/>
        <v>0.17988337538579974</v>
      </c>
      <c r="AC207" s="253">
        <f t="shared" ca="1" si="60"/>
        <v>0.18924718710126434</v>
      </c>
      <c r="AD207" s="253">
        <f t="shared" ca="1" si="60"/>
        <v>0.18188623832078432</v>
      </c>
      <c r="AE207" s="253">
        <f t="shared" ca="1" si="60"/>
        <v>0.17103109656301146</v>
      </c>
      <c r="AF207" s="253">
        <f t="shared" ca="1" si="60"/>
        <v>0.15785117338737917</v>
      </c>
      <c r="AG207" s="249"/>
      <c r="AH207" s="249"/>
      <c r="AI207" s="249"/>
      <c r="AJ207" s="292"/>
    </row>
    <row r="208" spans="3:37" ht="11.25" customHeight="1">
      <c r="C208" s="219"/>
      <c r="D208" s="219"/>
      <c r="E208" s="219"/>
      <c r="F208" s="219"/>
      <c r="G208" s="219"/>
      <c r="H208" s="219"/>
      <c r="I208" s="219"/>
      <c r="J208" s="219"/>
      <c r="K208" s="219"/>
      <c r="L208" s="219"/>
      <c r="M208" s="219"/>
      <c r="N208" s="219"/>
      <c r="O208" s="219"/>
      <c r="P208" s="219"/>
      <c r="Q208" s="219"/>
      <c r="R208" s="219"/>
      <c r="S208" s="219"/>
      <c r="T208" s="219"/>
      <c r="U208" s="219"/>
      <c r="V208" s="239"/>
      <c r="W208" s="239"/>
      <c r="X208" s="239"/>
      <c r="Y208" s="239"/>
      <c r="Z208" s="239"/>
      <c r="AA208" s="239"/>
      <c r="AB208" s="239"/>
      <c r="AC208" s="239"/>
      <c r="AD208" s="239"/>
      <c r="AE208" s="239"/>
      <c r="AF208" s="239"/>
      <c r="AG208" s="239"/>
      <c r="AH208" s="239"/>
      <c r="AI208" s="239"/>
      <c r="AJ208" s="239"/>
    </row>
    <row r="209" spans="2:39" ht="11.25" customHeight="1">
      <c r="B209" s="231" t="s">
        <v>14</v>
      </c>
      <c r="C209" s="232" t="s">
        <v>525</v>
      </c>
      <c r="D209" s="232"/>
      <c r="E209" s="232"/>
      <c r="F209" s="232"/>
      <c r="G209" s="232"/>
      <c r="H209" s="232"/>
      <c r="I209" s="232"/>
      <c r="J209" s="232"/>
      <c r="K209" s="232"/>
      <c r="L209" s="232"/>
      <c r="M209" s="232"/>
      <c r="N209" s="232"/>
      <c r="O209" s="232"/>
      <c r="P209" s="232"/>
      <c r="Q209" s="232"/>
      <c r="R209" s="232"/>
      <c r="S209" s="232"/>
      <c r="T209" s="232"/>
      <c r="U209" s="233"/>
      <c r="V209" s="232"/>
      <c r="W209" s="231"/>
      <c r="X209" s="231"/>
      <c r="Y209" s="231"/>
      <c r="Z209" s="231"/>
      <c r="AA209" s="231"/>
      <c r="AB209" s="231"/>
      <c r="AC209" s="231"/>
      <c r="AD209" s="231"/>
      <c r="AE209" s="231"/>
      <c r="AF209" s="231" t="s">
        <v>394</v>
      </c>
      <c r="AG209" s="231"/>
      <c r="AH209" s="231"/>
      <c r="AI209" s="231"/>
      <c r="AJ209" s="231"/>
    </row>
    <row r="210" spans="2:39" ht="11.25" customHeight="1">
      <c r="C210" s="219"/>
      <c r="D210" s="217" t="s">
        <v>524</v>
      </c>
      <c r="E210" s="219"/>
      <c r="F210" s="219"/>
      <c r="G210" s="219"/>
      <c r="H210" s="219"/>
      <c r="I210" s="219"/>
      <c r="J210" s="219"/>
      <c r="K210" s="219"/>
      <c r="L210" s="219"/>
      <c r="M210" s="219"/>
      <c r="N210" s="219"/>
      <c r="O210" s="219"/>
      <c r="P210" s="219"/>
      <c r="Q210" s="219"/>
      <c r="R210" s="219"/>
      <c r="S210" s="219"/>
      <c r="T210" s="219"/>
      <c r="U210" s="219"/>
      <c r="V210" s="256" t="s">
        <v>523</v>
      </c>
      <c r="W210" s="239"/>
      <c r="X210" s="239"/>
      <c r="Y210" s="239"/>
      <c r="Z210" s="239"/>
      <c r="AA210" s="239"/>
      <c r="AB210" s="239"/>
      <c r="AC210" s="239"/>
      <c r="AD210" s="239"/>
      <c r="AE210" s="239"/>
      <c r="AF210" s="239"/>
      <c r="AG210" s="239"/>
      <c r="AH210" s="239"/>
      <c r="AI210" s="239"/>
      <c r="AJ210" s="239"/>
    </row>
    <row r="211" spans="2:39" ht="11.25" customHeight="1">
      <c r="C211" s="428" t="str">
        <f>+C11</f>
        <v>Commodity Chemicals</v>
      </c>
      <c r="D211" s="219"/>
      <c r="E211" s="219"/>
      <c r="F211" s="219"/>
      <c r="G211" s="219"/>
      <c r="H211" s="219"/>
      <c r="I211" s="219"/>
      <c r="J211" s="219"/>
      <c r="K211" s="219"/>
      <c r="L211" s="219"/>
      <c r="M211" s="219"/>
      <c r="N211" s="219"/>
      <c r="O211" s="219"/>
      <c r="P211" s="219"/>
      <c r="Q211" s="219"/>
      <c r="R211" s="219"/>
      <c r="S211" s="219"/>
      <c r="T211" s="227"/>
      <c r="U211" s="219"/>
      <c r="V211" s="239"/>
      <c r="W211" s="239"/>
      <c r="X211" s="239"/>
      <c r="Y211" s="239"/>
      <c r="Z211" s="239"/>
      <c r="AA211" s="239"/>
      <c r="AB211" s="239"/>
      <c r="AC211" s="239"/>
      <c r="AD211" s="239"/>
      <c r="AE211" s="239"/>
      <c r="AF211" s="239"/>
      <c r="AG211" s="239"/>
      <c r="AH211" s="239"/>
      <c r="AI211" s="239"/>
      <c r="AJ211" s="239"/>
    </row>
    <row r="212" spans="2:39" ht="11.25" customHeight="1">
      <c r="C212" s="229" t="str">
        <f ca="1">IFERROR(IF(BB_Switch=1,_xll.BDP($D212,$C$270),C212), "NA ")</f>
        <v>DuPont de Nemours Inc</v>
      </c>
      <c r="D212" s="227" t="str">
        <f t="shared" ref="D212:D218" si="61">+D12</f>
        <v>DD US EQUITY</v>
      </c>
      <c r="E212" s="242">
        <f ca="1">(IFERROR(IF(BB_Switch=1,IF(_xll.BDP($D212,$D$210, "EQY_FUND_RELATIVE_PERIOD", E$3)="#N/A N/A","NA  ",(_xll.BDP($D212,$D$210, "EQY_FUND_RELATIVE_PERIOD", E$3)))/100,E212),"NA "))</f>
        <v>0.22947845804988665</v>
      </c>
      <c r="F212" s="242">
        <f ca="1">(IFERROR(IF(BB_Switch=1,IF(_xll.BDP($D212,$D$210, "EQY_FUND_RELATIVE_PERIOD", F$3)="#N/A N/A","NA  ",(_xll.BDP($D212,$D$210, "EQY_FUND_RELATIVE_PERIOD", F$3)))/100,F212),"NA "))</f>
        <v>0.2789979244099049</v>
      </c>
      <c r="G212" s="242">
        <f ca="1">(IFERROR(IF(BB_Switch=1,IF(_xll.BDP($D212,$D$210, "EQY_FUND_RELATIVE_PERIOD", G$3)="#N/A N/A","NA  ",(_xll.BDP($D212,$D$210, "EQY_FUND_RELATIVE_PERIOD", G$3)))/100,G212),"NA "))</f>
        <v>0.20633059788980071</v>
      </c>
      <c r="H212" s="242">
        <f ca="1">(IFERROR(IF(BB_Switch=1,IF(_xll.BDP($D212,$D$210, "EQY_FUND_RELATIVE_PERIOD", H$3)="#N/A N/A","NA  ",(_xll.BDP($D212,$D$210, "EQY_FUND_RELATIVE_PERIOD", H$3)))/100,H212),"NA "))</f>
        <v>0.13864247981660516</v>
      </c>
      <c r="I212" s="242">
        <f ca="1">(IFERROR(IF(BB_Switch=1,IF(_xll.BDP($D212,$D$210, "EQY_FUND_RELATIVE_PERIOD", I$3)="#N/A N/A","NA  ",(_xll.BDP($D212,$D$210, "EQY_FUND_RELATIVE_PERIOD", I$3)))/100,I212),"NA "))</f>
        <v>0.24151557415155744</v>
      </c>
      <c r="J212" s="242">
        <f ca="1">(IFERROR(IF(BB_Switch=1,IF(_xll.BDP($D212,$D$210, "EQY_FUND_RELATIVE_PERIOD", J$3)="#N/A N/A","NA  ",(_xll.BDP($D212,$D$210, "EQY_FUND_RELATIVE_PERIOD", J$3)))/100,J212),"NA "))</f>
        <v>0.30254396448693865</v>
      </c>
      <c r="K212" s="242">
        <f ca="1">(IFERROR(IF(BB_Switch=1,IF(_xll.BDP($D212,$D$210, "EQY_FUND_RELATIVE_PERIOD", K$3)="#N/A N/A","NA  ",(_xll.BDP($D212,$D$210, "EQY_FUND_RELATIVE_PERIOD", K$3)))/100,K212),"NA "))</f>
        <v>0.33661798345944033</v>
      </c>
      <c r="L212" s="242">
        <f ca="1">(IFERROR(IF(BB_Switch=1,IF(_xll.BDP($D212,$D$210, "EQY_FUND_RELATIVE_PERIOD", L$3)="#N/A N/A","NA  ",(_xll.BDP($D212,$D$210, "EQY_FUND_RELATIVE_PERIOD", L$3)))/100,L212),"NA "))</f>
        <v>0.33260032985156684</v>
      </c>
      <c r="M212" s="242">
        <f ca="1">(IFERROR(IF(BB_Switch=1,IF(_xll.BDP($D212,$D$210, "EQY_FUND_RELATIVE_PERIOD", M$3)="#N/A N/A","NA  ",(_xll.BDP($D212,$D$210, "EQY_FUND_RELATIVE_PERIOD", M$3)))/100,M212),"NA "))</f>
        <v>0.25054710163367089</v>
      </c>
      <c r="N212" s="242">
        <f ca="1">(IFERROR(IF(BB_Switch=1,IF(_xll.BDP($D212,$D$210, "EQY_FUND_RELATIVE_PERIOD", N$3)="#N/A N/A","NA  ",(_xll.BDP($D212,$D$210, "EQY_FUND_RELATIVE_PERIOD", N$3)))/100,N212),"NA "))</f>
        <v>0.36064374542794442</v>
      </c>
      <c r="O212" s="242">
        <f ca="1">(IFERROR(IF(BB_Switch=1,IF(_xll.BDP($D212,$D$210, "EQY_FUND_RELATIVE_PERIOD", O$3)="#N/A N/A","NA  ",(_xll.BDP($D212,$D$210, "EQY_FUND_RELATIVE_PERIOD", O$3)))/100,O212),"NA "))</f>
        <v>0.34924437891632876</v>
      </c>
      <c r="P212" s="242">
        <f ca="1">(IFERROR(IF(BB_Switch=1,IF(_xll.BDP($D212,$D$210, "EQY_FUND_RELATIVE_PERIOD", P$3)="#N/A N/A","NA  ",(_xll.BDP($D212,$D$210, "EQY_FUND_RELATIVE_PERIOD", P$3)))/100,P212),"NA "))</f>
        <v>0.34511913912375092</v>
      </c>
      <c r="Q212" s="242"/>
      <c r="R212" s="242"/>
      <c r="S212" s="242"/>
      <c r="T212" s="242"/>
      <c r="U212" s="241"/>
      <c r="V212" s="242" t="str">
        <f ca="1">(IFERROR(IF(BB_Switch=1,IF(_xll.BDP($D212,$D$210, "EQY_FUND_RELATIVE_PERIOD", V$3)="#N/A N/A","NA  ",(_xll.BDP($D212,$D$210, "EQY_FUND_RELATIVE_PERIOD", V$3)))/100,V212),"NA "))</f>
        <v xml:space="preserve">NA </v>
      </c>
      <c r="W212" s="242" t="str">
        <f ca="1">(IFERROR(IF(BB_Switch=1,IF(_xll.BDP($D212,$D$210, "EQY_FUND_RELATIVE_PERIOD", W$3)="#N/A N/A","NA  ",(_xll.BDP($D212,$D$210, "EQY_FUND_RELATIVE_PERIOD", W$3)))/100,W212),"NA "))</f>
        <v xml:space="preserve">NA </v>
      </c>
      <c r="X212" s="242" t="str">
        <f ca="1">(IFERROR(IF(BB_Switch=1,IF(_xll.BDP($D212,$D$210, "EQY_FUND_RELATIVE_PERIOD", X$3)="#N/A N/A","NA  ",(_xll.BDP($D212,$D$210, "EQY_FUND_RELATIVE_PERIOD", X$3)))/100,X212),"NA "))</f>
        <v xml:space="preserve">NA </v>
      </c>
      <c r="Y212" s="242" t="str">
        <f ca="1">(IFERROR(IF(BB_Switch=1,IF(_xll.BDP($D212,$D$210, "EQY_FUND_RELATIVE_PERIOD", Y$3)="#N/A N/A","NA  ",(_xll.BDP($D212,$D$210, "EQY_FUND_RELATIVE_PERIOD", Y$3)))/100,Y212),"NA "))</f>
        <v xml:space="preserve">NA </v>
      </c>
      <c r="Z212" s="242" t="str">
        <f ca="1">(IFERROR(IF(BB_Switch=1,IF(_xll.BDP($D212,$D$210, "EQY_FUND_RELATIVE_PERIOD", Z$3)="#N/A N/A","NA  ",(_xll.BDP($D212,$D$210, "EQY_FUND_RELATIVE_PERIOD", Z$3)))/100,Z212),"NA "))</f>
        <v xml:space="preserve">NA </v>
      </c>
      <c r="AA212" s="242">
        <f ca="1">(IFERROR(IF(BB_Switch=1,IF(_xll.BDP($D212,$D$210, "EQY_FUND_RELATIVE_PERIOD", AA$3)="#N/A N/A","NA  ",(_xll.BDP($D212,$D$210, "EQY_FUND_RELATIVE_PERIOD", AA$3)))/100,AA212),"NA "))</f>
        <v>0.28418386694837205</v>
      </c>
      <c r="AB212" s="242">
        <f ca="1">(IFERROR(IF(BB_Switch=1,IF(_xll.BDP($D212,$D$210, "EQY_FUND_RELATIVE_PERIOD", AB$3)="#N/A N/A","NA  ",(_xll.BDP($D212,$D$210, "EQY_FUND_RELATIVE_PERIOD", AB$3)))/100,AB212),"NA "))</f>
        <v>0.26656698733320172</v>
      </c>
      <c r="AC212" s="242">
        <f ca="1">(IFERROR(IF(BB_Switch=1,IF(_xll.BDP($D212,$D$210, "EQY_FUND_RELATIVE_PERIOD", AC$3)="#N/A N/A","NA  ",(_xll.BDP($D212,$D$210, "EQY_FUND_RELATIVE_PERIOD", AC$3)))/100,AC212),"NA "))</f>
        <v>0.18111720356408501</v>
      </c>
      <c r="AD212" s="242">
        <f ca="1">(IFERROR(IF(BB_Switch=1,IF(_xll.BDP($D212,$D$210, "EQY_FUND_RELATIVE_PERIOD", AD$3)="#N/A N/A","NA  ",(_xll.BDP($D212,$D$210, "EQY_FUND_RELATIVE_PERIOD", AD$3)))/100,AD212),"NA "))</f>
        <v>0.32274055058865181</v>
      </c>
      <c r="AE212" s="242">
        <f ca="1">(IFERROR(IF(BB_Switch=1,IF(_xll.BDP($D212,$D$210, "EQY_FUND_RELATIVE_PERIOD", AE$3)="#N/A N/A","NA  ",(_xll.BDP($D212,$D$210, "EQY_FUND_RELATIVE_PERIOD", AE$3)))/100,AE212),"NA "))</f>
        <v>0.34659724804760139</v>
      </c>
      <c r="AF212" s="246">
        <f t="shared" ref="AF212:AF217" ca="1" si="62">IFERROR(+AVERAGEIFS(V212:AE212,V212:AE212,"&gt;="&amp;$AL$212,V212:AE212,"&lt;="&amp;$AL$213),"NA  ")</f>
        <v>0.30502216322945674</v>
      </c>
      <c r="AG212" s="242">
        <f ca="1">(IFERROR(IF(BB_Switch=1,IF(_xll.BDP($D212,$V$210, "EQY_FUND_RELATIVE_PERIOD", AG$3)="#N/A N/A","NA  ",(_xll.BDP($D212,$V$210, "EQY_FUND_RELATIVE_PERIOD", AG$3)))/100,AG212),"NA "))</f>
        <v>0.2961367387473075</v>
      </c>
      <c r="AH212" s="244"/>
      <c r="AI212" s="244"/>
      <c r="AJ212" s="244"/>
      <c r="AL212" s="255">
        <v>0.2</v>
      </c>
      <c r="AM212" s="217" t="s">
        <v>530</v>
      </c>
    </row>
    <row r="213" spans="2:39" ht="11.25" customHeight="1">
      <c r="C213" s="229" t="str">
        <f ca="1">IFERROR(IF(BB_Switch=1,_xll.BDP($D213,$C$270),C213), "NA ")</f>
        <v>PolyOne Corp</v>
      </c>
      <c r="D213" s="227" t="str">
        <f t="shared" si="61"/>
        <v>POL US EQUITY</v>
      </c>
      <c r="E213" s="242">
        <f ca="1">(IFERROR(IF(BB_Switch=1,IF(_xll.BDP($D213,$D$210, "EQY_FUND_RELATIVE_PERIOD", E$3)="#N/A N/A","NA  ",(_xll.BDP($D213,$D$210, "EQY_FUND_RELATIVE_PERIOD", E$3)))/100,E213),"NA "))</f>
        <v>0.22869336011045571</v>
      </c>
      <c r="F213" s="242">
        <f ca="1">(IFERROR(IF(BB_Switch=1,IF(_xll.BDP($D213,$D$210, "EQY_FUND_RELATIVE_PERIOD", F$3)="#N/A N/A","NA  ",(_xll.BDP($D213,$D$210, "EQY_FUND_RELATIVE_PERIOD", F$3)))/100,F213),"NA "))</f>
        <v>0.23080702616386195</v>
      </c>
      <c r="G213" s="242">
        <f ca="1">(IFERROR(IF(BB_Switch=1,IF(_xll.BDP($D213,$D$210, "EQY_FUND_RELATIVE_PERIOD", G$3)="#N/A N/A","NA  ",(_xll.BDP($D213,$D$210, "EQY_FUND_RELATIVE_PERIOD", G$3)))/100,G213),"NA "))</f>
        <v>0.21930360415394012</v>
      </c>
      <c r="H213" s="242">
        <f ca="1">(IFERROR(IF(BB_Switch=1,IF(_xll.BDP($D213,$D$210, "EQY_FUND_RELATIVE_PERIOD", H$3)="#N/A N/A","NA  ",(_xll.BDP($D213,$D$210, "EQY_FUND_RELATIVE_PERIOD", H$3)))/100,H213),"NA "))</f>
        <v>0.21146640019985019</v>
      </c>
      <c r="I213" s="242">
        <f ca="1">(IFERROR(IF(BB_Switch=1,IF(_xll.BDP($D213,$D$210, "EQY_FUND_RELATIVE_PERIOD", I$3)="#N/A N/A","NA  ",(_xll.BDP($D213,$D$210, "EQY_FUND_RELATIVE_PERIOD", I$3)))/100,I213),"NA "))</f>
        <v>0.22016415261756872</v>
      </c>
      <c r="J213" s="242">
        <f ca="1">(IFERROR(IF(BB_Switch=1,IF(_xll.BDP($D213,$D$210, "EQY_FUND_RELATIVE_PERIOD", J$3)="#N/A N/A","NA  ",(_xll.BDP($D213,$D$210, "EQY_FUND_RELATIVE_PERIOD", J$3)))/100,J213),"NA "))</f>
        <v>0.21480104940970701</v>
      </c>
      <c r="K213" s="242">
        <f ca="1">(IFERROR(IF(BB_Switch=1,IF(_xll.BDP($D213,$D$210, "EQY_FUND_RELATIVE_PERIOD", K$3)="#N/A N/A","NA  ",(_xll.BDP($D213,$D$210, "EQY_FUND_RELATIVE_PERIOD", K$3)))/100,K213),"NA "))</f>
        <v>0.21563786008230459</v>
      </c>
      <c r="L213" s="242">
        <f ca="1">(IFERROR(IF(BB_Switch=1,IF(_xll.BDP($D213,$D$210, "EQY_FUND_RELATIVE_PERIOD", L$3)="#N/A N/A","NA  ",(_xll.BDP($D213,$D$210, "EQY_FUND_RELATIVE_PERIOD", L$3)))/100,L213),"NA "))</f>
        <v>0.20809333924088017</v>
      </c>
      <c r="M213" s="242">
        <f ca="1">(IFERROR(IF(BB_Switch=1,IF(_xll.BDP($D213,$D$210, "EQY_FUND_RELATIVE_PERIOD", M$3)="#N/A N/A","NA  ",(_xll.BDP($D213,$D$210, "EQY_FUND_RELATIVE_PERIOD", M$3)))/100,M213),"NA "))</f>
        <v>0.21813534837204129</v>
      </c>
      <c r="N213" s="242">
        <f ca="1">(IFERROR(IF(BB_Switch=1,IF(_xll.BDP($D213,$D$210, "EQY_FUND_RELATIVE_PERIOD", N$3)="#N/A N/A","NA  ",(_xll.BDP($D213,$D$210, "EQY_FUND_RELATIVE_PERIOD", N$3)))/100,N213),"NA "))</f>
        <v>0.22737331267979644</v>
      </c>
      <c r="O213" s="242">
        <f ca="1">(IFERROR(IF(BB_Switch=1,IF(_xll.BDP($D213,$D$210, "EQY_FUND_RELATIVE_PERIOD", O$3)="#N/A N/A","NA  ",(_xll.BDP($D213,$D$210, "EQY_FUND_RELATIVE_PERIOD", O$3)))/100,O213),"NA "))</f>
        <v>0.22756273925988946</v>
      </c>
      <c r="P213" s="242">
        <f ca="1">(IFERROR(IF(BB_Switch=1,IF(_xll.BDP($D213,$D$210, "EQY_FUND_RELATIVE_PERIOD", P$3)="#N/A N/A","NA  ",(_xll.BDP($D213,$D$210, "EQY_FUND_RELATIVE_PERIOD", P$3)))/100,P213),"NA "))</f>
        <v>0.23276647433950803</v>
      </c>
      <c r="Q213" s="242"/>
      <c r="R213" s="242"/>
      <c r="S213" s="242"/>
      <c r="T213" s="242"/>
      <c r="U213" s="241"/>
      <c r="V213" s="242">
        <f ca="1">(IFERROR(IF(BB_Switch=1,IF(_xll.BDP($D213,$D$210, "EQY_FUND_RELATIVE_PERIOD", V$3)="#N/A N/A","NA  ",(_xll.BDP($D213,$D$210, "EQY_FUND_RELATIVE_PERIOD", V$3)))/100,V213),"NA "))</f>
        <v>0.1635836607040696</v>
      </c>
      <c r="W213" s="242">
        <f ca="1">(IFERROR(IF(BB_Switch=1,IF(_xll.BDP($D213,$D$210, "EQY_FUND_RELATIVE_PERIOD", W$3)="#N/A N/A","NA  ",(_xll.BDP($D213,$D$210, "EQY_FUND_RELATIVE_PERIOD", W$3)))/100,W213),"NA "))</f>
        <v>0.16158547232407883</v>
      </c>
      <c r="X213" s="242">
        <f ca="1">(IFERROR(IF(BB_Switch=1,IF(_xll.BDP($D213,$D$210, "EQY_FUND_RELATIVE_PERIOD", X$3)="#N/A N/A","NA  ",(_xll.BDP($D213,$D$210, "EQY_FUND_RELATIVE_PERIOD", X$3)))/100,X213),"NA "))</f>
        <v>0.18564737136465337</v>
      </c>
      <c r="Y213" s="242">
        <f ca="1">(IFERROR(IF(BB_Switch=1,IF(_xll.BDP($D213,$D$210, "EQY_FUND_RELATIVE_PERIOD", Y$3)="#N/A N/A","NA  ",(_xll.BDP($D213,$D$210, "EQY_FUND_RELATIVE_PERIOD", Y$3)))/100,Y213),"NA "))</f>
        <v>0.17559397539244803</v>
      </c>
      <c r="Z213" s="242">
        <f ca="1">(IFERROR(IF(BB_Switch=1,IF(_xll.BDP($D213,$D$210, "EQY_FUND_RELATIVE_PERIOD", Z$3)="#N/A N/A","NA  ",(_xll.BDP($D213,$D$210, "EQY_FUND_RELATIVE_PERIOD", Z$3)))/100,Z213),"NA "))</f>
        <v>0.18456524573067401</v>
      </c>
      <c r="AA213" s="242">
        <f ca="1">(IFERROR(IF(BB_Switch=1,IF(_xll.BDP($D213,$D$210, "EQY_FUND_RELATIVE_PERIOD", AA$3)="#N/A N/A","NA  ",(_xll.BDP($D213,$D$210, "EQY_FUND_RELATIVE_PERIOD", AA$3)))/100,AA213),"NA "))</f>
        <v>0.20177048792041685</v>
      </c>
      <c r="AB213" s="242">
        <f ca="1">(IFERROR(IF(BB_Switch=1,IF(_xll.BDP($D213,$D$210, "EQY_FUND_RELATIVE_PERIOD", AB$3)="#N/A N/A","NA  ",(_xll.BDP($D213,$D$210, "EQY_FUND_RELATIVE_PERIOD", AB$3)))/100,AB213),"NA "))</f>
        <v>0.23041584427958894</v>
      </c>
      <c r="AC213" s="242">
        <f ca="1">(IFERROR(IF(BB_Switch=1,IF(_xll.BDP($D213,$D$210, "EQY_FUND_RELATIVE_PERIOD", AC$3)="#N/A N/A","NA  ",(_xll.BDP($D213,$D$210, "EQY_FUND_RELATIVE_PERIOD", AC$3)))/100,AC213),"NA "))</f>
        <v>0.22257655035759627</v>
      </c>
      <c r="AD213" s="242">
        <f ca="1">(IFERROR(IF(BB_Switch=1,IF(_xll.BDP($D213,$D$210, "EQY_FUND_RELATIVE_PERIOD", AD$3)="#N/A N/A","NA  ",(_xll.BDP($D213,$D$210, "EQY_FUND_RELATIVE_PERIOD", AD$3)))/100,AD213),"NA "))</f>
        <v>0.21686914265879909</v>
      </c>
      <c r="AE213" s="242">
        <f ca="1">(IFERROR(IF(BB_Switch=1,IF(_xll.BDP($D213,$D$210, "EQY_FUND_RELATIVE_PERIOD", AE$3)="#N/A N/A","NA  ",(_xll.BDP($D213,$D$210, "EQY_FUND_RELATIVE_PERIOD", AE$3)))/100,AE213),"NA "))</f>
        <v>0.22957347958221253</v>
      </c>
      <c r="AF213" s="245">
        <f t="shared" ca="1" si="62"/>
        <v>0.22024110095972277</v>
      </c>
      <c r="AG213" s="242">
        <f ca="1">(IFERROR(IF(BB_Switch=1,IF(_xll.BDP($D213,$V$210, "EQY_FUND_RELATIVE_PERIOD", AG$3)="#N/A N/A","NA  ",(_xll.BDP($D213,$V$210, "EQY_FUND_RELATIVE_PERIOD", AG$3)))/100,AG213),"NA "))</f>
        <v>0.2259123626720545</v>
      </c>
      <c r="AH213" s="244"/>
      <c r="AI213" s="244"/>
      <c r="AJ213" s="244"/>
      <c r="AL213" s="255">
        <v>0.5</v>
      </c>
      <c r="AM213" s="217" t="s">
        <v>529</v>
      </c>
    </row>
    <row r="214" spans="2:39" ht="11.25" customHeight="1">
      <c r="C214" s="229" t="str">
        <f ca="1">IFERROR(IF(BB_Switch=1,_xll.BDP($D214,$C$270),C214), "NA ")</f>
        <v>Olin Corp</v>
      </c>
      <c r="D214" s="227" t="str">
        <f t="shared" si="61"/>
        <v>OLN US EQUITY</v>
      </c>
      <c r="E214" s="242">
        <f ca="1">(IFERROR(IF(BB_Switch=1,IF(_xll.BDP($D214,$D$210, "EQY_FUND_RELATIVE_PERIOD", E$3)="#N/A N/A","NA  ",(_xll.BDP($D214,$D$210, "EQY_FUND_RELATIVE_PERIOD", E$3)))/100,E214),"NA "))</f>
        <v>0.1082253844681258</v>
      </c>
      <c r="F214" s="242">
        <f ca="1">(IFERROR(IF(BB_Switch=1,IF(_xll.BDP($D214,$D$210, "EQY_FUND_RELATIVE_PERIOD", F$3)="#N/A N/A","NA  ",(_xll.BDP($D214,$D$210, "EQY_FUND_RELATIVE_PERIOD", F$3)))/100,F214),"NA "))</f>
        <v>7.7694071405175147E-2</v>
      </c>
      <c r="G214" s="242">
        <f ca="1">(IFERROR(IF(BB_Switch=1,IF(_xll.BDP($D214,$D$210, "EQY_FUND_RELATIVE_PERIOD", G$3)="#N/A N/A","NA  ",(_xll.BDP($D214,$D$210, "EQY_FUND_RELATIVE_PERIOD", G$3)))/100,G214),"NA "))</f>
        <v>0.13222715287156739</v>
      </c>
      <c r="H214" s="242">
        <f ca="1">(IFERROR(IF(BB_Switch=1,IF(_xll.BDP($D214,$D$210, "EQY_FUND_RELATIVE_PERIOD", H$3)="#N/A N/A","NA  ",(_xll.BDP($D214,$D$210, "EQY_FUND_RELATIVE_PERIOD", H$3)))/100,H214),"NA "))</f>
        <v>0.13562565590468545</v>
      </c>
      <c r="I214" s="242">
        <f ca="1">(IFERROR(IF(BB_Switch=1,IF(_xll.BDP($D214,$D$210, "EQY_FUND_RELATIVE_PERIOD", I$3)="#N/A N/A","NA  ",(_xll.BDP($D214,$D$210, "EQY_FUND_RELATIVE_PERIOD", I$3)))/100,I214),"NA "))</f>
        <v>0.10618020230368941</v>
      </c>
      <c r="J214" s="242">
        <f ca="1">(IFERROR(IF(BB_Switch=1,IF(_xll.BDP($D214,$D$210, "EQY_FUND_RELATIVE_PERIOD", J$3)="#N/A N/A","NA  ",(_xll.BDP($D214,$D$210, "EQY_FUND_RELATIVE_PERIOD", J$3)))/100,J214),"NA "))</f>
        <v>0.15488312890534606</v>
      </c>
      <c r="K214" s="242">
        <f ca="1">(IFERROR(IF(BB_Switch=1,IF(_xll.BDP($D214,$D$210, "EQY_FUND_RELATIVE_PERIOD", K$3)="#N/A N/A","NA  ",(_xll.BDP($D214,$D$210, "EQY_FUND_RELATIVE_PERIOD", K$3)))/100,K214),"NA "))</f>
        <v>0.23002563554795985</v>
      </c>
      <c r="L214" s="242">
        <f ca="1">(IFERROR(IF(BB_Switch=1,IF(_xll.BDP($D214,$D$210, "EQY_FUND_RELATIVE_PERIOD", L$3)="#N/A N/A","NA  ",(_xll.BDP($D214,$D$210, "EQY_FUND_RELATIVE_PERIOD", L$3)))/100,L214),"NA "))</f>
        <v>0.14923547400611625</v>
      </c>
      <c r="M214" s="242">
        <f ca="1">(IFERROR(IF(BB_Switch=1,IF(_xll.BDP($D214,$D$210, "EQY_FUND_RELATIVE_PERIOD", M$3)="#N/A N/A","NA  ",(_xll.BDP($D214,$D$210, "EQY_FUND_RELATIVE_PERIOD", M$3)))/100,M214),"NA "))</f>
        <v>0.13267670915411367</v>
      </c>
      <c r="N214" s="242">
        <f ca="1">(IFERROR(IF(BB_Switch=1,IF(_xll.BDP($D214,$D$210, "EQY_FUND_RELATIVE_PERIOD", N$3)="#N/A N/A","NA  ",(_xll.BDP($D214,$D$210, "EQY_FUND_RELATIVE_PERIOD", N$3)))/100,N214),"NA "))</f>
        <v>8.1109925293489926E-2</v>
      </c>
      <c r="O214" s="242">
        <f ca="1">(IFERROR(IF(BB_Switch=1,IF(_xll.BDP($D214,$D$210, "EQY_FUND_RELATIVE_PERIOD", O$3)="#N/A N/A","NA  ",(_xll.BDP($D214,$D$210, "EQY_FUND_RELATIVE_PERIOD", O$3)))/100,O214),"NA "))</f>
        <v>0.13890650767474311</v>
      </c>
      <c r="P214" s="242">
        <f ca="1">(IFERROR(IF(BB_Switch=1,IF(_xll.BDP($D214,$D$210, "EQY_FUND_RELATIVE_PERIOD", P$3)="#N/A N/A","NA  ",(_xll.BDP($D214,$D$210, "EQY_FUND_RELATIVE_PERIOD", P$3)))/100,P214),"NA "))</f>
        <v>8.3988176771681911E-2</v>
      </c>
      <c r="Q214" s="242"/>
      <c r="R214" s="242"/>
      <c r="S214" s="242"/>
      <c r="T214" s="242"/>
      <c r="U214" s="241"/>
      <c r="V214" s="242">
        <f ca="1">(IFERROR(IF(BB_Switch=1,IF(_xll.BDP($D214,$D$210, "EQY_FUND_RELATIVE_PERIOD", V$3)="#N/A N/A","NA  ",(_xll.BDP($D214,$D$210, "EQY_FUND_RELATIVE_PERIOD", V$3)))/100,V214),"NA "))</f>
        <v>0.14881140046661201</v>
      </c>
      <c r="W214" s="242">
        <f ca="1">(IFERROR(IF(BB_Switch=1,IF(_xll.BDP($D214,$D$210, "EQY_FUND_RELATIVE_PERIOD", W$3)="#N/A N/A","NA  ",(_xll.BDP($D214,$D$210, "EQY_FUND_RELATIVE_PERIOD", W$3)))/100,W214),"NA "))</f>
        <v>0.19744021212584761</v>
      </c>
      <c r="X214" s="242">
        <f ca="1">(IFERROR(IF(BB_Switch=1,IF(_xll.BDP($D214,$D$210, "EQY_FUND_RELATIVE_PERIOD", X$3)="#N/A N/A","NA  ",(_xll.BDP($D214,$D$210, "EQY_FUND_RELATIVE_PERIOD", X$3)))/100,X214),"NA "))</f>
        <v>0.19989014510001368</v>
      </c>
      <c r="Y214" s="242">
        <f ca="1">(IFERROR(IF(BB_Switch=1,IF(_xll.BDP($D214,$D$210, "EQY_FUND_RELATIVE_PERIOD", Y$3)="#N/A N/A","NA  ",(_xll.BDP($D214,$D$210, "EQY_FUND_RELATIVE_PERIOD", Y$3)))/100,Y214),"NA "))</f>
        <v>0.19137176938369785</v>
      </c>
      <c r="Z214" s="242">
        <f ca="1">(IFERROR(IF(BB_Switch=1,IF(_xll.BDP($D214,$D$210, "EQY_FUND_RELATIVE_PERIOD", Z$3)="#N/A N/A","NA  ",(_xll.BDP($D214,$D$210, "EQY_FUND_RELATIVE_PERIOD", Z$3)))/100,Z214),"NA "))</f>
        <v>0.17312154203105468</v>
      </c>
      <c r="AA214" s="242">
        <f ca="1">(IFERROR(IF(BB_Switch=1,IF(_xll.BDP($D214,$D$210, "EQY_FUND_RELATIVE_PERIOD", AA$3)="#N/A N/A","NA  ",(_xll.BDP($D214,$D$210, "EQY_FUND_RELATIVE_PERIOD", AA$3)))/100,AA214),"NA "))</f>
        <v>0.12878363228699552</v>
      </c>
      <c r="AB214" s="242">
        <f ca="1">(IFERROR(IF(BB_Switch=1,IF(_xll.BDP($D214,$D$210, "EQY_FUND_RELATIVE_PERIOD", AB$3)="#N/A N/A","NA  ",(_xll.BDP($D214,$D$210, "EQY_FUND_RELATIVE_PERIOD", AB$3)))/100,AB214),"NA "))</f>
        <v>0.11294274492847635</v>
      </c>
      <c r="AC214" s="242">
        <f ca="1">(IFERROR(IF(BB_Switch=1,IF(_xll.BDP($D214,$D$210, "EQY_FUND_RELATIVE_PERIOD", AC$3)="#N/A N/A","NA  ",(_xll.BDP($D214,$D$210, "EQY_FUND_RELATIVE_PERIOD", AC$3)))/100,AC214),"NA "))</f>
        <v>0.11382489949588415</v>
      </c>
      <c r="AD214" s="242">
        <f ca="1">(IFERROR(IF(BB_Switch=1,IF(_xll.BDP($D214,$D$210, "EQY_FUND_RELATIVE_PERIOD", AD$3)="#N/A N/A","NA  ",(_xll.BDP($D214,$D$210, "EQY_FUND_RELATIVE_PERIOD", AD$3)))/100,AD214),"NA "))</f>
        <v>0.16181742272642197</v>
      </c>
      <c r="AE214" s="242">
        <f ca="1">(IFERROR(IF(BB_Switch=1,IF(_xll.BDP($D214,$D$210, "EQY_FUND_RELATIVE_PERIOD", AE$3)="#N/A N/A","NA  ",(_xll.BDP($D214,$D$210, "EQY_FUND_RELATIVE_PERIOD", AE$3)))/100,AE214),"NA "))</f>
        <v>0.10978723404255319</v>
      </c>
      <c r="AF214" s="245" t="str">
        <f t="shared" ca="1" si="62"/>
        <v xml:space="preserve">NA  </v>
      </c>
      <c r="AG214" s="242">
        <f ca="1">(IFERROR(IF(BB_Switch=1,IF(_xll.BDP($D214,$V$210, "EQY_FUND_RELATIVE_PERIOD", AG$3)="#N/A N/A","NA  ",(_xll.BDP($D214,$V$210, "EQY_FUND_RELATIVE_PERIOD", AG$3)))/100,AG214),"NA "))</f>
        <v>0.10978723404255319</v>
      </c>
      <c r="AH214" s="244"/>
      <c r="AI214" s="244"/>
      <c r="AJ214" s="244"/>
    </row>
    <row r="215" spans="2:39" ht="11.25" customHeight="1">
      <c r="C215" s="229" t="str">
        <f ca="1">IFERROR(IF(BB_Switch=1,_xll.BDP($D215,$C$270),C215), "NA ")</f>
        <v>LyondellBasell Industries NV</v>
      </c>
      <c r="D215" s="227" t="str">
        <f t="shared" si="61"/>
        <v>LYB US EQUITY</v>
      </c>
      <c r="E215" s="242">
        <f ca="1">(IFERROR(IF(BB_Switch=1,IF(_xll.BDP($D215,$D$210, "EQY_FUND_RELATIVE_PERIOD", E$3)="#N/A N/A","NA  ",(_xll.BDP($D215,$D$210, "EQY_FUND_RELATIVE_PERIOD", E$3)))/100,E215),"NA "))</f>
        <v>0.17069988137603798</v>
      </c>
      <c r="F215" s="242">
        <f ca="1">(IFERROR(IF(BB_Switch=1,IF(_xll.BDP($D215,$D$210, "EQY_FUND_RELATIVE_PERIOD", F$3)="#N/A N/A","NA  ",(_xll.BDP($D215,$D$210, "EQY_FUND_RELATIVE_PERIOD", F$3)))/100,F215),"NA "))</f>
        <v>0.21444722123051296</v>
      </c>
      <c r="G215" s="242">
        <f ca="1">(IFERROR(IF(BB_Switch=1,IF(_xll.BDP($D215,$D$210, "EQY_FUND_RELATIVE_PERIOD", G$3)="#N/A N/A","NA  ",(_xll.BDP($D215,$D$210, "EQY_FUND_RELATIVE_PERIOD", G$3)))/100,G215),"NA "))</f>
        <v>0.18518083607327385</v>
      </c>
      <c r="H215" s="242">
        <f ca="1">(IFERROR(IF(BB_Switch=1,IF(_xll.BDP($D215,$D$210, "EQY_FUND_RELATIVE_PERIOD", H$3)="#N/A N/A","NA  ",(_xll.BDP($D215,$D$210, "EQY_FUND_RELATIVE_PERIOD", H$3)))/100,H215),"NA "))</f>
        <v>0.17591680350301042</v>
      </c>
      <c r="I215" s="242">
        <f ca="1">(IFERROR(IF(BB_Switch=1,IF(_xll.BDP($D215,$D$210, "EQY_FUND_RELATIVE_PERIOD", I$3)="#N/A N/A","NA  ",(_xll.BDP($D215,$D$210, "EQY_FUND_RELATIVE_PERIOD", I$3)))/100,I215),"NA "))</f>
        <v>0.17968670011262411</v>
      </c>
      <c r="J215" s="242">
        <f ca="1">(IFERROR(IF(BB_Switch=1,IF(_xll.BDP($D215,$D$210, "EQY_FUND_RELATIVE_PERIOD", J$3)="#N/A N/A","NA  ",(_xll.BDP($D215,$D$210, "EQY_FUND_RELATIVE_PERIOD", J$3)))/100,J215),"NA "))</f>
        <v>0.18773270625122473</v>
      </c>
      <c r="K215" s="242">
        <f ca="1">(IFERROR(IF(BB_Switch=1,IF(_xll.BDP($D215,$D$210, "EQY_FUND_RELATIVE_PERIOD", K$3)="#N/A N/A","NA  ",(_xll.BDP($D215,$D$210, "EQY_FUND_RELATIVE_PERIOD", K$3)))/100,K215),"NA "))</f>
        <v>0.1630723781388479</v>
      </c>
      <c r="L215" s="242">
        <f ca="1">(IFERROR(IF(BB_Switch=1,IF(_xll.BDP($D215,$D$210, "EQY_FUND_RELATIVE_PERIOD", L$3)="#N/A N/A","NA  ",(_xll.BDP($D215,$D$210, "EQY_FUND_RELATIVE_PERIOD", L$3)))/100,L215),"NA "))</f>
        <v>0.12933753943217663</v>
      </c>
      <c r="M215" s="242">
        <f ca="1">(IFERROR(IF(BB_Switch=1,IF(_xll.BDP($D215,$D$210, "EQY_FUND_RELATIVE_PERIOD", M$3)="#N/A N/A","NA  ",(_xll.BDP($D215,$D$210, "EQY_FUND_RELATIVE_PERIOD", M$3)))/100,M215),"NA "))</f>
        <v>0.15174299384825696</v>
      </c>
      <c r="N215" s="242">
        <f ca="1">(IFERROR(IF(BB_Switch=1,IF(_xll.BDP($D215,$D$210, "EQY_FUND_RELATIVE_PERIOD", N$3)="#N/A N/A","NA  ",(_xll.BDP($D215,$D$210, "EQY_FUND_RELATIVE_PERIOD", N$3)))/100,N215),"NA "))</f>
        <v>0.16644562334217505</v>
      </c>
      <c r="O215" s="242">
        <f ca="1">(IFERROR(IF(BB_Switch=1,IF(_xll.BDP($D215,$D$210, "EQY_FUND_RELATIVE_PERIOD", O$3)="#N/A N/A","NA  ",(_xll.BDP($D215,$D$210, "EQY_FUND_RELATIVE_PERIOD", O$3)))/100,O215),"NA "))</f>
        <v>0.16659023159825725</v>
      </c>
      <c r="P215" s="242">
        <f ca="1">(IFERROR(IF(BB_Switch=1,IF(_xll.BDP($D215,$D$210, "EQY_FUND_RELATIVE_PERIOD", P$3)="#N/A N/A","NA  ",(_xll.BDP($D215,$D$210, "EQY_FUND_RELATIVE_PERIOD", P$3)))/100,P215),"NA "))</f>
        <v>0.13877002078493705</v>
      </c>
      <c r="Q215" s="242"/>
      <c r="R215" s="242"/>
      <c r="S215" s="242"/>
      <c r="T215" s="242"/>
      <c r="U215" s="241"/>
      <c r="V215" s="242">
        <f ca="1">(IFERROR(IF(BB_Switch=1,IF(_xll.BDP($D215,$D$210, "EQY_FUND_RELATIVE_PERIOD", V$3)="#N/A N/A","NA  ",(_xll.BDP($D215,$D$210, "EQY_FUND_RELATIVE_PERIOD", V$3)))/100,V215),"NA "))</f>
        <v>9.8393720687225072E-2</v>
      </c>
      <c r="W215" s="242">
        <f ca="1">(IFERROR(IF(BB_Switch=1,IF(_xll.BDP($D215,$D$210, "EQY_FUND_RELATIVE_PERIOD", W$3)="#N/A N/A","NA  ",(_xll.BDP($D215,$D$210, "EQY_FUND_RELATIVE_PERIOD", W$3)))/100,W215),"NA "))</f>
        <v>0.11313118734823491</v>
      </c>
      <c r="X215" s="242">
        <f ca="1">(IFERROR(IF(BB_Switch=1,IF(_xll.BDP($D215,$D$210, "EQY_FUND_RELATIVE_PERIOD", X$3)="#N/A N/A","NA  ",(_xll.BDP($D215,$D$210, "EQY_FUND_RELATIVE_PERIOD", X$3)))/100,X215),"NA "))</f>
        <v>0.12694037749162113</v>
      </c>
      <c r="Y215" s="242">
        <f ca="1">(IFERROR(IF(BB_Switch=1,IF(_xll.BDP($D215,$D$210, "EQY_FUND_RELATIVE_PERIOD", Y$3)="#N/A N/A","NA  ",(_xll.BDP($D215,$D$210, "EQY_FUND_RELATIVE_PERIOD", Y$3)))/100,Y215),"NA "))</f>
        <v>0.13894058372293583</v>
      </c>
      <c r="Z215" s="242">
        <f ca="1">(IFERROR(IF(BB_Switch=1,IF(_xll.BDP($D215,$D$210, "EQY_FUND_RELATIVE_PERIOD", Z$3)="#N/A N/A","NA  ",(_xll.BDP($D215,$D$210, "EQY_FUND_RELATIVE_PERIOD", Z$3)))/100,Z215),"NA "))</f>
        <v>0.14622434660585859</v>
      </c>
      <c r="AA215" s="242">
        <f ca="1">(IFERROR(IF(BB_Switch=1,IF(_xll.BDP($D215,$D$210, "EQY_FUND_RELATIVE_PERIOD", AA$3)="#N/A N/A","NA  ",(_xll.BDP($D215,$D$210, "EQY_FUND_RELATIVE_PERIOD", AA$3)))/100,AA215),"NA "))</f>
        <v>0.21542691308996489</v>
      </c>
      <c r="AB215" s="242">
        <f ca="1">(IFERROR(IF(BB_Switch=1,IF(_xll.BDP($D215,$D$210, "EQY_FUND_RELATIVE_PERIOD", AB$3)="#N/A N/A","NA  ",(_xll.BDP($D215,$D$210, "EQY_FUND_RELATIVE_PERIOD", AB$3)))/100,AB215),"NA "))</f>
        <v>0.20532501798992564</v>
      </c>
      <c r="AC215" s="242">
        <f ca="1">(IFERROR(IF(BB_Switch=1,IF(_xll.BDP($D215,$D$210, "EQY_FUND_RELATIVE_PERIOD", AC$3)="#N/A N/A","NA  ",(_xll.BDP($D215,$D$210, "EQY_FUND_RELATIVE_PERIOD", AC$3)))/100,AC215),"NA "))</f>
        <v>0.18631829254146848</v>
      </c>
      <c r="AD215" s="242">
        <f ca="1">(IFERROR(IF(BB_Switch=1,IF(_xll.BDP($D215,$D$210, "EQY_FUND_RELATIVE_PERIOD", AD$3)="#N/A N/A","NA  ",(_xll.BDP($D215,$D$210, "EQY_FUND_RELATIVE_PERIOD", AD$3)))/100,AD215),"NA "))</f>
        <v>0.16600861450107687</v>
      </c>
      <c r="AE215" s="242">
        <f ca="1">(IFERROR(IF(BB_Switch=1,IF(_xll.BDP($D215,$D$210, "EQY_FUND_RELATIVE_PERIOD", AE$3)="#N/A N/A","NA  ",(_xll.BDP($D215,$D$210, "EQY_FUND_RELATIVE_PERIOD", AE$3)))/100,AE215),"NA "))</f>
        <v>0.15624730037146883</v>
      </c>
      <c r="AF215" s="245">
        <f t="shared" ca="1" si="62"/>
        <v>0.21037596553994525</v>
      </c>
      <c r="AG215" s="242">
        <f ca="1">(IFERROR(IF(BB_Switch=1,IF(_xll.BDP($D215,$V$210, "EQY_FUND_RELATIVE_PERIOD", AG$3)="#N/A N/A","NA  ",(_xll.BDP($D215,$V$210, "EQY_FUND_RELATIVE_PERIOD", AG$3)))/100,AG215),"NA "))</f>
        <v>0.15624730037146883</v>
      </c>
      <c r="AH215" s="244"/>
      <c r="AI215" s="244"/>
      <c r="AJ215" s="244"/>
    </row>
    <row r="216" spans="2:39" ht="11.25" customHeight="1">
      <c r="C216" s="229" t="str">
        <f ca="1">IFERROR(IF(BB_Switch=1,_xll.BDP($D216,$C$270),C216), "NA ")</f>
        <v>Westlake Chemical Corp</v>
      </c>
      <c r="D216" s="227" t="str">
        <f t="shared" si="61"/>
        <v>WLK US EQUITY</v>
      </c>
      <c r="E216" s="242">
        <f ca="1">(IFERROR(IF(BB_Switch=1,IF(_xll.BDP($D216,$D$210, "EQY_FUND_RELATIVE_PERIOD", E$3)="#N/A N/A","NA  ",(_xll.BDP($D216,$D$210, "EQY_FUND_RELATIVE_PERIOD", E$3)))/100,E216),"NA "))</f>
        <v>0.18836850231600621</v>
      </c>
      <c r="F216" s="242">
        <f ca="1">(IFERROR(IF(BB_Switch=1,IF(_xll.BDP($D216,$D$210, "EQY_FUND_RELATIVE_PERIOD", F$3)="#N/A N/A","NA  ",(_xll.BDP($D216,$D$210, "EQY_FUND_RELATIVE_PERIOD", F$3)))/100,F216),"NA "))</f>
        <v>0.20363820111167252</v>
      </c>
      <c r="G216" s="242">
        <f ca="1">(IFERROR(IF(BB_Switch=1,IF(_xll.BDP($D216,$D$210, "EQY_FUND_RELATIVE_PERIOD", G$3)="#N/A N/A","NA  ",(_xll.BDP($D216,$D$210, "EQY_FUND_RELATIVE_PERIOD", G$3)))/100,G216),"NA "))</f>
        <v>0.23518255097202467</v>
      </c>
      <c r="H216" s="242">
        <f ca="1">(IFERROR(IF(BB_Switch=1,IF(_xll.BDP($D216,$D$210, "EQY_FUND_RELATIVE_PERIOD", H$3)="#N/A N/A","NA  ",(_xll.BDP($D216,$D$210, "EQY_FUND_RELATIVE_PERIOD", H$3)))/100,H216),"NA "))</f>
        <v>0.24676616915422891</v>
      </c>
      <c r="I216" s="242">
        <f ca="1">(IFERROR(IF(BB_Switch=1,IF(_xll.BDP($D216,$D$210, "EQY_FUND_RELATIVE_PERIOD", I$3)="#N/A N/A","NA  ",(_xll.BDP($D216,$D$210, "EQY_FUND_RELATIVE_PERIOD", I$3)))/100,I216),"NA "))</f>
        <v>0.25209302325581395</v>
      </c>
      <c r="J216" s="242">
        <f ca="1">(IFERROR(IF(BB_Switch=1,IF(_xll.BDP($D216,$D$210, "EQY_FUND_RELATIVE_PERIOD", J$3)="#N/A N/A","NA  ",(_xll.BDP($D216,$D$210, "EQY_FUND_RELATIVE_PERIOD", J$3)))/100,J216),"NA "))</f>
        <v>0.24697986577181208</v>
      </c>
      <c r="K216" s="242">
        <f ca="1">(IFERROR(IF(BB_Switch=1,IF(_xll.BDP($D216,$D$210, "EQY_FUND_RELATIVE_PERIOD", K$3)="#N/A N/A","NA  ",(_xll.BDP($D216,$D$210, "EQY_FUND_RELATIVE_PERIOD", K$3)))/100,K216),"NA "))</f>
        <v>0.23902439024390243</v>
      </c>
      <c r="L216" s="242">
        <f ca="1">(IFERROR(IF(BB_Switch=1,IF(_xll.BDP($D216,$D$210, "EQY_FUND_RELATIVE_PERIOD", L$3)="#N/A N/A","NA  ",(_xll.BDP($D216,$D$210, "EQY_FUND_RELATIVE_PERIOD", L$3)))/100,L216),"NA "))</f>
        <v>0.1774436090225564</v>
      </c>
      <c r="M216" s="242">
        <f ca="1">(IFERROR(IF(BB_Switch=1,IF(_xll.BDP($D216,$D$210, "EQY_FUND_RELATIVE_PERIOD", M$3)="#N/A N/A","NA  ",(_xll.BDP($D216,$D$210, "EQY_FUND_RELATIVE_PERIOD", M$3)))/100,M216),"NA "))</f>
        <v>0.1476543209876543</v>
      </c>
      <c r="N216" s="242">
        <f ca="1">(IFERROR(IF(BB_Switch=1,IF(_xll.BDP($D216,$D$210, "EQY_FUND_RELATIVE_PERIOD", N$3)="#N/A N/A","NA  ",(_xll.BDP($D216,$D$210, "EQY_FUND_RELATIVE_PERIOD", N$3)))/100,N216),"NA "))</f>
        <v>0.15858208955223885</v>
      </c>
      <c r="O216" s="242">
        <f ca="1">(IFERROR(IF(BB_Switch=1,IF(_xll.BDP($D216,$D$210, "EQY_FUND_RELATIVE_PERIOD", O$3)="#N/A N/A","NA  ",(_xll.BDP($D216,$D$210, "EQY_FUND_RELATIVE_PERIOD", O$3)))/100,O216),"NA "))</f>
        <v>0.17957405614714428</v>
      </c>
      <c r="P216" s="242">
        <f ca="1">(IFERROR(IF(BB_Switch=1,IF(_xll.BDP($D216,$D$210, "EQY_FUND_RELATIVE_PERIOD", P$3)="#N/A N/A","NA  ",(_xll.BDP($D216,$D$210, "EQY_FUND_RELATIVE_PERIOD", P$3)))/100,P216),"NA "))</f>
        <v>0.13276686139139671</v>
      </c>
      <c r="Q216" s="242"/>
      <c r="R216" s="242"/>
      <c r="S216" s="242"/>
      <c r="T216" s="242"/>
      <c r="U216" s="241"/>
      <c r="V216" s="242">
        <f ca="1">(IFERROR(IF(BB_Switch=1,IF(_xll.BDP($D216,$D$210, "EQY_FUND_RELATIVE_PERIOD", V$3)="#N/A N/A","NA  ",(_xll.BDP($D216,$D$210, "EQY_FUND_RELATIVE_PERIOD", V$3)))/100,V216),"NA "))</f>
        <v>0.15218014324417117</v>
      </c>
      <c r="W216" s="242">
        <f ca="1">(IFERROR(IF(BB_Switch=1,IF(_xll.BDP($D216,$D$210, "EQY_FUND_RELATIVE_PERIOD", W$3)="#N/A N/A","NA  ",(_xll.BDP($D216,$D$210, "EQY_FUND_RELATIVE_PERIOD", W$3)))/100,W216),"NA "))</f>
        <v>0.15442803123225057</v>
      </c>
      <c r="X216" s="242">
        <f ca="1">(IFERROR(IF(BB_Switch=1,IF(_xll.BDP($D216,$D$210, "EQY_FUND_RELATIVE_PERIOD", X$3)="#N/A N/A","NA  ",(_xll.BDP($D216,$D$210, "EQY_FUND_RELATIVE_PERIOD", X$3)))/100,X216),"NA "))</f>
        <v>0.20637119540212503</v>
      </c>
      <c r="Y216" s="242">
        <f ca="1">(IFERROR(IF(BB_Switch=1,IF(_xll.BDP($D216,$D$210, "EQY_FUND_RELATIVE_PERIOD", Y$3)="#N/A N/A","NA  ",(_xll.BDP($D216,$D$210, "EQY_FUND_RELATIVE_PERIOD", Y$3)))/100,Y216),"NA "))</f>
        <v>0.29297584455739145</v>
      </c>
      <c r="Z216" s="242">
        <f ca="1">(IFERROR(IF(BB_Switch=1,IF(_xll.BDP($D216,$D$210, "EQY_FUND_RELATIVE_PERIOD", Z$3)="#N/A N/A","NA  ",(_xll.BDP($D216,$D$210, "EQY_FUND_RELATIVE_PERIOD", Z$3)))/100,Z216),"NA "))</f>
        <v>0.29835686865140931</v>
      </c>
      <c r="AA216" s="242">
        <f ca="1">(IFERROR(IF(BB_Switch=1,IF(_xll.BDP($D216,$D$210, "EQY_FUND_RELATIVE_PERIOD", AA$3)="#N/A N/A","NA  ",(_xll.BDP($D216,$D$210, "EQY_FUND_RELATIVE_PERIOD", AA$3)))/100,AA216),"NA "))</f>
        <v>0.26553927376294328</v>
      </c>
      <c r="AB216" s="242">
        <f ca="1">(IFERROR(IF(BB_Switch=1,IF(_xll.BDP($D216,$D$210, "EQY_FUND_RELATIVE_PERIOD", AB$3)="#N/A N/A","NA  ",(_xll.BDP($D216,$D$210, "EQY_FUND_RELATIVE_PERIOD", AB$3)))/100,AB216),"NA "))</f>
        <v>0.19365642237982661</v>
      </c>
      <c r="AC216" s="242">
        <f ca="1">(IFERROR(IF(BB_Switch=1,IF(_xll.BDP($D216,$D$210, "EQY_FUND_RELATIVE_PERIOD", AC$3)="#N/A N/A","NA  ",(_xll.BDP($D216,$D$210, "EQY_FUND_RELATIVE_PERIOD", AC$3)))/100,AC216),"NA "))</f>
        <v>0.21900261161547074</v>
      </c>
      <c r="AD216" s="242">
        <f ca="1">(IFERROR(IF(BB_Switch=1,IF(_xll.BDP($D216,$D$210, "EQY_FUND_RELATIVE_PERIOD", AD$3)="#N/A N/A","NA  ",(_xll.BDP($D216,$D$210, "EQY_FUND_RELATIVE_PERIOD", AD$3)))/100,AD216),"NA "))</f>
        <v>0.23011001737116388</v>
      </c>
      <c r="AE216" s="242">
        <f ca="1">(IFERROR(IF(BB_Switch=1,IF(_xll.BDP($D216,$D$210, "EQY_FUND_RELATIVE_PERIOD", AE$3)="#N/A N/A","NA  ",(_xll.BDP($D216,$D$210, "EQY_FUND_RELATIVE_PERIOD", AE$3)))/100,AE216),"NA "))</f>
        <v>0.15521064301552101</v>
      </c>
      <c r="AF216" s="245">
        <f t="shared" ca="1" si="62"/>
        <v>0.25205930189341724</v>
      </c>
      <c r="AG216" s="242">
        <f ca="1">(IFERROR(IF(BB_Switch=1,IF(_xll.BDP($D216,$V$210, "EQY_FUND_RELATIVE_PERIOD", AG$3)="#N/A N/A","NA  ",(_xll.BDP($D216,$V$210, "EQY_FUND_RELATIVE_PERIOD", AG$3)))/100,AG216),"NA "))</f>
        <v>0.15521064301552101</v>
      </c>
      <c r="AH216" s="244"/>
      <c r="AI216" s="244"/>
      <c r="AJ216" s="244"/>
    </row>
    <row r="217" spans="2:39" ht="11.25" customHeight="1">
      <c r="C217" s="229" t="str">
        <f ca="1">IFERROR(IF(BB_Switch=1,_xll.BDP($D217,$C$270),C217), "NA ")</f>
        <v>Kraton Corp</v>
      </c>
      <c r="D217" s="227" t="str">
        <f t="shared" si="61"/>
        <v>KRA US EQUITY</v>
      </c>
      <c r="E217" s="242">
        <f ca="1">(IFERROR(IF(BB_Switch=1,IF(_xll.BDP($D217,$D$210, "EQY_FUND_RELATIVE_PERIOD", E$3)="#N/A N/A","NA  ",(_xll.BDP($D217,$D$210, "EQY_FUND_RELATIVE_PERIOD", E$3)))/100,E217),"NA "))</f>
        <v>0.31416098226466582</v>
      </c>
      <c r="F217" s="242">
        <f ca="1">(IFERROR(IF(BB_Switch=1,IF(_xll.BDP($D217,$D$210, "EQY_FUND_RELATIVE_PERIOD", F$3)="#N/A N/A","NA  ",(_xll.BDP($D217,$D$210, "EQY_FUND_RELATIVE_PERIOD", F$3)))/100,F217),"NA "))</f>
        <v>0.28142275184649368</v>
      </c>
      <c r="G217" s="242">
        <f ca="1">(IFERROR(IF(BB_Switch=1,IF(_xll.BDP($D217,$D$210, "EQY_FUND_RELATIVE_PERIOD", G$3)="#N/A N/A","NA  ",(_xll.BDP($D217,$D$210, "EQY_FUND_RELATIVE_PERIOD", G$3)))/100,G217),"NA "))</f>
        <v>0.25304777207812157</v>
      </c>
      <c r="H217" s="242">
        <f ca="1">(IFERROR(IF(BB_Switch=1,IF(_xll.BDP($D217,$D$210, "EQY_FUND_RELATIVE_PERIOD", H$3)="#N/A N/A","NA  ",(_xll.BDP($D217,$D$210, "EQY_FUND_RELATIVE_PERIOD", H$3)))/100,H217),"NA "))</f>
        <v>0.26522308303109643</v>
      </c>
      <c r="I217" s="242">
        <f ca="1">(IFERROR(IF(BB_Switch=1,IF(_xll.BDP($D217,$D$210, "EQY_FUND_RELATIVE_PERIOD", I$3)="#N/A N/A","NA  ",(_xll.BDP($D217,$D$210, "EQY_FUND_RELATIVE_PERIOD", I$3)))/100,I217),"NA "))</f>
        <v>0.29275545788945678</v>
      </c>
      <c r="J217" s="242">
        <f ca="1">(IFERROR(IF(BB_Switch=1,IF(_xll.BDP($D217,$D$210, "EQY_FUND_RELATIVE_PERIOD", J$3)="#N/A N/A","NA  ",(_xll.BDP($D217,$D$210, "EQY_FUND_RELATIVE_PERIOD", J$3)))/100,J217),"NA "))</f>
        <v>0.31707018081520078</v>
      </c>
      <c r="K217" s="242">
        <f ca="1">(IFERROR(IF(BB_Switch=1,IF(_xll.BDP($D217,$D$210, "EQY_FUND_RELATIVE_PERIOD", K$3)="#N/A N/A","NA  ",(_xll.BDP($D217,$D$210, "EQY_FUND_RELATIVE_PERIOD", K$3)))/100,K217),"NA "))</f>
        <v>0.29488917139006521</v>
      </c>
      <c r="L217" s="242">
        <f ca="1">(IFERROR(IF(BB_Switch=1,IF(_xll.BDP($D217,$D$210, "EQY_FUND_RELATIVE_PERIOD", L$3)="#N/A N/A","NA  ",(_xll.BDP($D217,$D$210, "EQY_FUND_RELATIVE_PERIOD", L$3)))/100,L217),"NA "))</f>
        <v>0.24243439344503925</v>
      </c>
      <c r="M217" s="242">
        <f ca="1">(IFERROR(IF(BB_Switch=1,IF(_xll.BDP($D217,$D$210, "EQY_FUND_RELATIVE_PERIOD", M$3)="#N/A N/A","NA  ",(_xll.BDP($D217,$D$210, "EQY_FUND_RELATIVE_PERIOD", M$3)))/100,M217),"NA "))</f>
        <v>0.23444220231326596</v>
      </c>
      <c r="N217" s="242">
        <f ca="1">(IFERROR(IF(BB_Switch=1,IF(_xll.BDP($D217,$D$210, "EQY_FUND_RELATIVE_PERIOD", N$3)="#N/A N/A","NA  ",(_xll.BDP($D217,$D$210, "EQY_FUND_RELATIVE_PERIOD", N$3)))/100,N217),"NA "))</f>
        <v>0.2608665805201098</v>
      </c>
      <c r="O217" s="242">
        <f ca="1">(IFERROR(IF(BB_Switch=1,IF(_xll.BDP($D217,$D$210, "EQY_FUND_RELATIVE_PERIOD", O$3)="#N/A N/A","NA  ",(_xll.BDP($D217,$D$210, "EQY_FUND_RELATIVE_PERIOD", O$3)))/100,O217),"NA "))</f>
        <v>0.22799237316560905</v>
      </c>
      <c r="P217" s="242">
        <f ca="1">(IFERROR(IF(BB_Switch=1,IF(_xll.BDP($D217,$D$210, "EQY_FUND_RELATIVE_PERIOD", P$3)="#N/A N/A","NA  ",(_xll.BDP($D217,$D$210, "EQY_FUND_RELATIVE_PERIOD", P$3)))/100,P217),"NA "))</f>
        <v>0.1883512351783494</v>
      </c>
      <c r="Q217" s="244"/>
      <c r="R217" s="244"/>
      <c r="S217" s="244"/>
      <c r="T217" s="244"/>
      <c r="U217" s="219"/>
      <c r="V217" s="242">
        <f ca="1">(IFERROR(IF(BB_Switch=1,IF(_xll.BDP($D217,$D$210, "EQY_FUND_RELATIVE_PERIOD", V$3)="#N/A N/A","NA  ",(_xll.BDP($D217,$D$210, "EQY_FUND_RELATIVE_PERIOD", V$3)))/100,V217),"NA "))</f>
        <v>0.20454891426012978</v>
      </c>
      <c r="W217" s="242">
        <f ca="1">(IFERROR(IF(BB_Switch=1,IF(_xll.BDP($D217,$D$210, "EQY_FUND_RELATIVE_PERIOD", W$3)="#N/A N/A","NA  ",(_xll.BDP($D217,$D$210, "EQY_FUND_RELATIVE_PERIOD", W$3)))/100,W217),"NA "))</f>
        <v>0.17631631488181743</v>
      </c>
      <c r="X217" s="242">
        <f ca="1">(IFERROR(IF(BB_Switch=1,IF(_xll.BDP($D217,$D$210, "EQY_FUND_RELATIVE_PERIOD", X$3)="#N/A N/A","NA  ",(_xll.BDP($D217,$D$210, "EQY_FUND_RELATIVE_PERIOD", X$3)))/100,X217),"NA "))</f>
        <v>0.11726893407592609</v>
      </c>
      <c r="Y217" s="242">
        <f ca="1">(IFERROR(IF(BB_Switch=1,IF(_xll.BDP($D217,$D$210, "EQY_FUND_RELATIVE_PERIOD", Y$3)="#N/A N/A","NA  ",(_xll.BDP($D217,$D$210, "EQY_FUND_RELATIVE_PERIOD", Y$3)))/100,Y217),"NA "))</f>
        <v>0.12587830396688859</v>
      </c>
      <c r="Z217" s="242">
        <f ca="1">(IFERROR(IF(BB_Switch=1,IF(_xll.BDP($D217,$D$210, "EQY_FUND_RELATIVE_PERIOD", Z$3)="#N/A N/A","NA  ",(_xll.BDP($D217,$D$210, "EQY_FUND_RELATIVE_PERIOD", Z$3)))/100,Z217),"NA "))</f>
        <v>0.19266957241881522</v>
      </c>
      <c r="AA217" s="242">
        <f ca="1">(IFERROR(IF(BB_Switch=1,IF(_xll.BDP($D217,$D$210, "EQY_FUND_RELATIVE_PERIOD", AA$3)="#N/A N/A","NA  ",(_xll.BDP($D217,$D$210, "EQY_FUND_RELATIVE_PERIOD", AA$3)))/100,AA217),"NA "))</f>
        <v>0.22100353171097573</v>
      </c>
      <c r="AB217" s="242">
        <f ca="1">(IFERROR(IF(BB_Switch=1,IF(_xll.BDP($D217,$D$210, "EQY_FUND_RELATIVE_PERIOD", AB$3)="#N/A N/A","NA  ",(_xll.BDP($D217,$D$210, "EQY_FUND_RELATIVE_PERIOD", AB$3)))/100,AB217),"NA "))</f>
        <v>0.27465391972038367</v>
      </c>
      <c r="AC217" s="242">
        <f ca="1">(IFERROR(IF(BB_Switch=1,IF(_xll.BDP($D217,$D$210, "EQY_FUND_RELATIVE_PERIOD", AC$3)="#N/A N/A","NA  ",(_xll.BDP($D217,$D$210, "EQY_FUND_RELATIVE_PERIOD", AC$3)))/100,AC217),"NA "))</f>
        <v>0.27785837513683698</v>
      </c>
      <c r="AD217" s="242">
        <f ca="1">(IFERROR(IF(BB_Switch=1,IF(_xll.BDP($D217,$D$210, "EQY_FUND_RELATIVE_PERIOD", AD$3)="#N/A N/A","NA  ",(_xll.BDP($D217,$D$210, "EQY_FUND_RELATIVE_PERIOD", AD$3)))/100,AD217),"NA "))</f>
        <v>0.28861819130823818</v>
      </c>
      <c r="AE217" s="242">
        <f ca="1">(IFERROR(IF(BB_Switch=1,IF(_xll.BDP($D217,$D$210, "EQY_FUND_RELATIVE_PERIOD", AE$3)="#N/A N/A","NA  ",(_xll.BDP($D217,$D$210, "EQY_FUND_RELATIVE_PERIOD", AE$3)))/100,AE217),"NA "))</f>
        <v>0.22967231866356019</v>
      </c>
      <c r="AF217" s="245">
        <f t="shared" ca="1" si="62"/>
        <v>0.24939254180002077</v>
      </c>
      <c r="AG217" s="242">
        <f ca="1">(IFERROR(IF(BB_Switch=1,IF(_xll.BDP($D217,$V$210, "EQY_FUND_RELATIVE_PERIOD", AG$3)="#N/A N/A","NA  ",(_xll.BDP($D217,$V$210, "EQY_FUND_RELATIVE_PERIOD", AG$3)))/100,AG217),"NA "))</f>
        <v>0.2296723186635603</v>
      </c>
      <c r="AH217" s="244"/>
      <c r="AI217" s="244"/>
      <c r="AJ217" s="244"/>
    </row>
    <row r="218" spans="2:39" ht="11.25" customHeight="1">
      <c r="C218" s="229" t="str">
        <f ca="1">IFERROR(IF(BB_Switch=1,_xll.BDP($D218,$C$270),C218), "NA ")</f>
        <v>Dow Inc</v>
      </c>
      <c r="D218" s="227" t="str">
        <f t="shared" si="61"/>
        <v>DOW US EQUITY</v>
      </c>
      <c r="E218" s="242">
        <f ca="1">(IFERROR(IF(BB_Switch=1,IF(_xll.BDP($D218,$D$210, "EQY_FUND_RELATIVE_PERIOD", E$3)="#N/A N/A","NA  ",(_xll.BDP($D218,$D$210, "EQY_FUND_RELATIVE_PERIOD", E$3)))/100,E218),"NA "))</f>
        <v>0.18391787852865693</v>
      </c>
      <c r="F218" s="242">
        <f ca="1">(IFERROR(IF(BB_Switch=1,IF(_xll.BDP($D218,$D$210, "EQY_FUND_RELATIVE_PERIOD", F$3)="#N/A N/A","NA  ",(_xll.BDP($D218,$D$210, "EQY_FUND_RELATIVE_PERIOD", F$3)))/100,F218),"NA "))</f>
        <v>0.17986466715435256</v>
      </c>
      <c r="G218" s="242">
        <f ca="1">(IFERROR(IF(BB_Switch=1,IF(_xll.BDP($D218,$D$210, "EQY_FUND_RELATIVE_PERIOD", G$3)="#N/A N/A","NA  ",(_xll.BDP($D218,$D$210, "EQY_FUND_RELATIVE_PERIOD", G$3)))/100,G218),"NA "))</f>
        <v>0.18882175226586106</v>
      </c>
      <c r="H218" s="242">
        <f ca="1">(IFERROR(IF(BB_Switch=1,IF(_xll.BDP($D218,$D$210, "EQY_FUND_RELATIVE_PERIOD", H$3)="#N/A N/A","NA  ",(_xll.BDP($D218,$D$210, "EQY_FUND_RELATIVE_PERIOD", H$3)))/100,H218),"NA "))</f>
        <v>0.12278791178872861</v>
      </c>
      <c r="I218" s="242">
        <f ca="1">(IFERROR(IF(BB_Switch=1,IF(_xll.BDP($D218,$D$210, "EQY_FUND_RELATIVE_PERIOD", I$3)="#N/A N/A","NA  ",(_xll.BDP($D218,$D$210, "EQY_FUND_RELATIVE_PERIOD", I$3)))/100,I218),"NA "))</f>
        <v>0.18493819128171762</v>
      </c>
      <c r="J218" s="242">
        <f ca="1">(IFERROR(IF(BB_Switch=1,IF(_xll.BDP($D218,$D$210, "EQY_FUND_RELATIVE_PERIOD", J$3)="#N/A N/A","NA  ",(_xll.BDP($D218,$D$210, "EQY_FUND_RELATIVE_PERIOD", J$3)))/100,J218),"NA "))</f>
        <v>0.17585424974587538</v>
      </c>
      <c r="K218" s="242">
        <f ca="1">(IFERROR(IF(BB_Switch=1,IF(_xll.BDP($D218,$D$210, "EQY_FUND_RELATIVE_PERIOD", K$3)="#N/A N/A","NA  ",(_xll.BDP($D218,$D$210, "EQY_FUND_RELATIVE_PERIOD", K$3)))/100,K218),"NA "))</f>
        <v>0.17239195820801012</v>
      </c>
      <c r="L218" s="242">
        <f ca="1">(IFERROR(IF(BB_Switch=1,IF(_xll.BDP($D218,$D$210, "EQY_FUND_RELATIVE_PERIOD", L$3)="#N/A N/A","NA  ",(_xll.BDP($D218,$D$210, "EQY_FUND_RELATIVE_PERIOD", L$3)))/100,L218),"NA "))</f>
        <v>0.15455458807769595</v>
      </c>
      <c r="M218" s="242">
        <f ca="1">(IFERROR(IF(BB_Switch=1,IF(_xll.BDP($D218,$D$210, "EQY_FUND_RELATIVE_PERIOD", M$3)="#N/A N/A","NA  ",(_xll.BDP($D218,$D$210, "EQY_FUND_RELATIVE_PERIOD", M$3)))/100,M218),"NA "))</f>
        <v>0.16721132897603486</v>
      </c>
      <c r="N218" s="242">
        <f ca="1">(IFERROR(IF(BB_Switch=1,IF(_xll.BDP($D218,$D$210, "EQY_FUND_RELATIVE_PERIOD", N$3)="#N/A N/A","NA  ",(_xll.BDP($D218,$D$210, "EQY_FUND_RELATIVE_PERIOD", N$3)))/100,N218),"NA "))</f>
        <v>0.14472489558743418</v>
      </c>
      <c r="O218" s="242">
        <f ca="1">(IFERROR(IF(BB_Switch=1,IF(_xll.BDP($D218,$D$210, "EQY_FUND_RELATIVE_PERIOD", O$3)="#N/A N/A","NA  ",(_xll.BDP($D218,$D$210, "EQY_FUND_RELATIVE_PERIOD", O$3)))/100,O218),"NA "))</f>
        <v>0.12885544407283533</v>
      </c>
      <c r="P218" s="242">
        <f ca="1">(IFERROR(IF(BB_Switch=1,IF(_xll.BDP($D218,$D$210, "EQY_FUND_RELATIVE_PERIOD", P$3)="#N/A N/A","NA  ",(_xll.BDP($D218,$D$210, "EQY_FUND_RELATIVE_PERIOD", P$3)))/100,P218),"NA "))</f>
        <v>0.14562916503332024</v>
      </c>
      <c r="Q218" s="244"/>
      <c r="R218" s="244"/>
      <c r="S218" s="244"/>
      <c r="T218" s="244"/>
      <c r="U218" s="219"/>
      <c r="V218" s="242" t="str">
        <f ca="1">(IFERROR(IF(BB_Switch=1,IF(_xll.BDP($D218,$D$210, "EQY_FUND_RELATIVE_PERIOD", V$3)="#N/A N/A","NA  ",(_xll.BDP($D218,$D$210, "EQY_FUND_RELATIVE_PERIOD", V$3)))/100,V218),"NA "))</f>
        <v xml:space="preserve">NA </v>
      </c>
      <c r="W218" s="242" t="str">
        <f ca="1">(IFERROR(IF(BB_Switch=1,IF(_xll.BDP($D218,$D$210, "EQY_FUND_RELATIVE_PERIOD", W$3)="#N/A N/A","NA  ",(_xll.BDP($D218,$D$210, "EQY_FUND_RELATIVE_PERIOD", W$3)))/100,W218),"NA "))</f>
        <v xml:space="preserve">NA </v>
      </c>
      <c r="X218" s="242" t="str">
        <f ca="1">(IFERROR(IF(BB_Switch=1,IF(_xll.BDP($D218,$D$210, "EQY_FUND_RELATIVE_PERIOD", X$3)="#N/A N/A","NA  ",(_xll.BDP($D218,$D$210, "EQY_FUND_RELATIVE_PERIOD", X$3)))/100,X218),"NA "))</f>
        <v xml:space="preserve">NA </v>
      </c>
      <c r="Y218" s="242" t="str">
        <f ca="1">(IFERROR(IF(BB_Switch=1,IF(_xll.BDP($D218,$D$210, "EQY_FUND_RELATIVE_PERIOD", Y$3)="#N/A N/A","NA  ",(_xll.BDP($D218,$D$210, "EQY_FUND_RELATIVE_PERIOD", Y$3)))/100,Y218),"NA "))</f>
        <v xml:space="preserve">NA </v>
      </c>
      <c r="Z218" s="242" t="str">
        <f ca="1">(IFERROR(IF(BB_Switch=1,IF(_xll.BDP($D218,$D$210, "EQY_FUND_RELATIVE_PERIOD", Z$3)="#N/A N/A","NA  ",(_xll.BDP($D218,$D$210, "EQY_FUND_RELATIVE_PERIOD", Z$3)))/100,Z218),"NA "))</f>
        <v xml:space="preserve">NA </v>
      </c>
      <c r="AA218" s="242" t="str">
        <f ca="1">(IFERROR(IF(BB_Switch=1,IF(_xll.BDP($D218,$D$210, "EQY_FUND_RELATIVE_PERIOD", AA$3)="#N/A N/A","NA  ",(_xll.BDP($D218,$D$210, "EQY_FUND_RELATIVE_PERIOD", AA$3)))/100,AA218),"NA "))</f>
        <v xml:space="preserve">NA </v>
      </c>
      <c r="AB218" s="242">
        <f ca="1">(IFERROR(IF(BB_Switch=1,IF(_xll.BDP($D218,$D$210, "EQY_FUND_RELATIVE_PERIOD", AB$3)="#N/A N/A","NA  ",(_xll.BDP($D218,$D$210, "EQY_FUND_RELATIVE_PERIOD", AB$3)))/100,AB218),"NA "))</f>
        <v>0.17112048757618381</v>
      </c>
      <c r="AC218" s="242">
        <f ca="1">(IFERROR(IF(BB_Switch=1,IF(_xll.BDP($D218,$D$210, "EQY_FUND_RELATIVE_PERIOD", AC$3)="#N/A N/A","NA  ",(_xll.BDP($D218,$D$210, "EQY_FUND_RELATIVE_PERIOD", AC$3)))/100,AC218),"NA "))</f>
        <v>0.16876286302309629</v>
      </c>
      <c r="AD218" s="242">
        <f ca="1">(IFERROR(IF(BB_Switch=1,IF(_xll.BDP($D218,$D$210, "EQY_FUND_RELATIVE_PERIOD", AD$3)="#N/A N/A","NA  ",(_xll.BDP($D218,$D$210, "EQY_FUND_RELATIVE_PERIOD", AD$3)))/100,AD218),"NA "))</f>
        <v>0.17196193855334252</v>
      </c>
      <c r="AE218" s="242">
        <f ca="1">(IFERROR(IF(BB_Switch=1,IF(_xll.BDP($D218,$D$210, "EQY_FUND_RELATIVE_PERIOD", AE$3)="#N/A N/A","NA  ",(_xll.BDP($D218,$D$210, "EQY_FUND_RELATIVE_PERIOD", AE$3)))/100,AE218),"NA "))</f>
        <v>0.1465390794160788</v>
      </c>
      <c r="AF218" s="245" t="str">
        <f ca="1">IFERROR(+AVERAGEIFS(V218:AE218,V218:AE218,"&gt;="&amp;$AL$212,V218:AE218,"&lt;="&amp;$AL$213),"NA  ")</f>
        <v xml:space="preserve">NA  </v>
      </c>
      <c r="AG218" s="242">
        <f ca="1">(IFERROR(IF(BB_Switch=1,IF(_xll.BDP($D218,$V$210, "EQY_FUND_RELATIVE_PERIOD", AG$3)="#N/A N/A","NA  ",(_xll.BDP($D218,$V$210, "EQY_FUND_RELATIVE_PERIOD", AG$3)))/100,AG218),"NA "))</f>
        <v>0.14672775477929201</v>
      </c>
      <c r="AH218" s="244"/>
      <c r="AI218" s="244"/>
      <c r="AJ218" s="244"/>
    </row>
    <row r="219" spans="2:39" ht="11.25" customHeight="1">
      <c r="C219" s="229"/>
      <c r="D219" s="227"/>
      <c r="E219" s="242"/>
      <c r="F219" s="242"/>
      <c r="G219" s="242"/>
      <c r="H219" s="242"/>
      <c r="I219" s="242"/>
      <c r="J219" s="242"/>
      <c r="K219" s="242"/>
      <c r="L219" s="242"/>
      <c r="M219" s="242"/>
      <c r="N219" s="242"/>
      <c r="O219" s="242"/>
      <c r="P219" s="242"/>
      <c r="Q219" s="244"/>
      <c r="R219" s="244"/>
      <c r="S219" s="244"/>
      <c r="T219" s="244"/>
      <c r="U219" s="219"/>
      <c r="V219" s="242"/>
      <c r="W219" s="242"/>
      <c r="X219" s="242"/>
      <c r="Y219" s="242"/>
      <c r="Z219" s="242"/>
      <c r="AA219" s="242"/>
      <c r="AB219" s="242"/>
      <c r="AC219" s="242"/>
      <c r="AD219" s="242"/>
      <c r="AE219" s="242"/>
      <c r="AF219" s="245"/>
      <c r="AG219" s="242"/>
      <c r="AH219" s="244"/>
      <c r="AI219" s="244"/>
      <c r="AJ219" s="244"/>
    </row>
    <row r="220" spans="2:39" ht="11.25" customHeight="1">
      <c r="C220" s="428" t="str">
        <f>+C20</f>
        <v>Specialty Chemicals</v>
      </c>
      <c r="D220" s="227"/>
      <c r="E220" s="242"/>
      <c r="F220" s="242"/>
      <c r="G220" s="242"/>
      <c r="H220" s="242"/>
      <c r="I220" s="242"/>
      <c r="J220" s="242"/>
      <c r="K220" s="242"/>
      <c r="L220" s="242"/>
      <c r="M220" s="242"/>
      <c r="N220" s="242"/>
      <c r="O220" s="242"/>
      <c r="P220" s="242"/>
      <c r="Q220" s="244"/>
      <c r="R220" s="244"/>
      <c r="S220" s="244"/>
      <c r="T220" s="244"/>
      <c r="U220" s="219"/>
      <c r="V220" s="242"/>
      <c r="W220" s="242"/>
      <c r="X220" s="242"/>
      <c r="Y220" s="242"/>
      <c r="Z220" s="242"/>
      <c r="AA220" s="242"/>
      <c r="AB220" s="242"/>
      <c r="AC220" s="242"/>
      <c r="AD220" s="242"/>
      <c r="AE220" s="242"/>
      <c r="AF220" s="245"/>
      <c r="AG220" s="242"/>
      <c r="AH220" s="244"/>
      <c r="AI220" s="244"/>
      <c r="AJ220" s="244"/>
    </row>
    <row r="221" spans="2:39" ht="11.25" customHeight="1">
      <c r="C221" s="229" t="str">
        <f ca="1">IFERROR(IF(BB_Switch=1,_xll.BDP($D221,$C$270),C221), "NA ")</f>
        <v>Eastman Chemical Co</v>
      </c>
      <c r="D221" s="227" t="str">
        <f>+D21</f>
        <v>EMN US EQUITY</v>
      </c>
      <c r="E221" s="242">
        <f ca="1">(IFERROR(IF(BB_Switch=1,IF(_xll.BDP($D221,$D$210, "EQY_FUND_RELATIVE_PERIOD", E$3)="#N/A N/A","NA  ",(_xll.BDP($D221,$D$210, "EQY_FUND_RELATIVE_PERIOD", E$3)))/100,E221),"NA "))</f>
        <v>0.26270082501085545</v>
      </c>
      <c r="F221" s="242">
        <f ca="1">(IFERROR(IF(BB_Switch=1,IF(_xll.BDP($D221,$D$210, "EQY_FUND_RELATIVE_PERIOD", F$3)="#N/A N/A","NA  ",(_xll.BDP($D221,$D$210, "EQY_FUND_RELATIVE_PERIOD", F$3)))/100,F221),"NA "))</f>
        <v>0.26043819760231501</v>
      </c>
      <c r="G221" s="242">
        <f ca="1">(IFERROR(IF(BB_Switch=1,IF(_xll.BDP($D221,$D$210, "EQY_FUND_RELATIVE_PERIOD", G$3)="#N/A N/A","NA  ",(_xll.BDP($D221,$D$210, "EQY_FUND_RELATIVE_PERIOD", G$3)))/100,G221),"NA "))</f>
        <v>0.27221095334685597</v>
      </c>
      <c r="H221" s="242">
        <f ca="1">(IFERROR(IF(BB_Switch=1,IF(_xll.BDP($D221,$D$210, "EQY_FUND_RELATIVE_PERIOD", H$3)="#N/A N/A","NA  ",(_xll.BDP($D221,$D$210, "EQY_FUND_RELATIVE_PERIOD", H$3)))/100,H221),"NA "))</f>
        <v>0.19348010160880613</v>
      </c>
      <c r="I221" s="242">
        <f ca="1">(IFERROR(IF(BB_Switch=1,IF(_xll.BDP($D221,$D$210, "EQY_FUND_RELATIVE_PERIOD", I$3)="#N/A N/A","NA  ",(_xll.BDP($D221,$D$210, "EQY_FUND_RELATIVE_PERIOD", I$3)))/100,I221),"NA "))</f>
        <v>0.22286152665899508</v>
      </c>
      <c r="J221" s="242">
        <f ca="1">(IFERROR(IF(BB_Switch=1,IF(_xll.BDP($D221,$D$210, "EQY_FUND_RELATIVE_PERIOD", J$3)="#N/A N/A","NA  ",(_xll.BDP($D221,$D$210, "EQY_FUND_RELATIVE_PERIOD", J$3)))/100,J221),"NA "))</f>
        <v>0.26859977107974053</v>
      </c>
      <c r="K221" s="242">
        <f ca="1">(IFERROR(IF(BB_Switch=1,IF(_xll.BDP($D221,$D$210, "EQY_FUND_RELATIVE_PERIOD", K$3)="#N/A N/A","NA  ",(_xll.BDP($D221,$D$210, "EQY_FUND_RELATIVE_PERIOD", K$3)))/100,K221),"NA "))</f>
        <v>0.28582646250490773</v>
      </c>
      <c r="L221" s="242">
        <f ca="1">(IFERROR(IF(BB_Switch=1,IF(_xll.BDP($D221,$D$210, "EQY_FUND_RELATIVE_PERIOD", L$3)="#N/A N/A","NA  ",(_xll.BDP($D221,$D$210, "EQY_FUND_RELATIVE_PERIOD", L$3)))/100,L221),"NA "))</f>
        <v>0.19612794612794615</v>
      </c>
      <c r="M221" s="242">
        <f ca="1">(IFERROR(IF(BB_Switch=1,IF(_xll.BDP($D221,$D$210, "EQY_FUND_RELATIVE_PERIOD", M$3)="#N/A N/A","NA  ",(_xll.BDP($D221,$D$210, "EQY_FUND_RELATIVE_PERIOD", M$3)))/100,M221),"NA "))</f>
        <v>0.24117647058823533</v>
      </c>
      <c r="N221" s="242">
        <f ca="1">(IFERROR(IF(BB_Switch=1,IF(_xll.BDP($D221,$D$210, "EQY_FUND_RELATIVE_PERIOD", N$3)="#N/A N/A","NA  ",(_xll.BDP($D221,$D$210, "EQY_FUND_RELATIVE_PERIOD", N$3)))/100,N221),"NA "))</f>
        <v>0.2492594159966145</v>
      </c>
      <c r="O221" s="242">
        <f ca="1">(IFERROR(IF(BB_Switch=1,IF(_xll.BDP($D221,$D$210, "EQY_FUND_RELATIVE_PERIOD", O$3)="#N/A N/A","NA  ",(_xll.BDP($D221,$D$210, "EQY_FUND_RELATIVE_PERIOD", O$3)))/100,O221),"NA "))</f>
        <v>0.24688172043010748</v>
      </c>
      <c r="P221" s="242">
        <f ca="1">(IFERROR(IF(BB_Switch=1,IF(_xll.BDP($D221,$D$210, "EQY_FUND_RELATIVE_PERIOD", P$3)="#N/A N/A","NA  ",(_xll.BDP($D221,$D$210, "EQY_FUND_RELATIVE_PERIOD", P$3)))/100,P221),"NA "))</f>
        <v>0.22539682539682537</v>
      </c>
      <c r="Q221" s="244"/>
      <c r="R221" s="244"/>
      <c r="S221" s="244"/>
      <c r="T221" s="244"/>
      <c r="U221" s="219"/>
      <c r="V221" s="242">
        <f ca="1">(IFERROR(IF(BB_Switch=1,IF(_xll.BDP($D221,$D$210, "EQY_FUND_RELATIVE_PERIOD", V$3)="#N/A N/A","NA  ",(_xll.BDP($D221,$D$210, "EQY_FUND_RELATIVE_PERIOD", V$3)))/100,V221),"NA "))</f>
        <v>0.24974323861691203</v>
      </c>
      <c r="W221" s="242">
        <f ca="1">(IFERROR(IF(BB_Switch=1,IF(_xll.BDP($D221,$D$210, "EQY_FUND_RELATIVE_PERIOD", W$3)="#N/A N/A","NA  ",(_xll.BDP($D221,$D$210, "EQY_FUND_RELATIVE_PERIOD", W$3)))/100,W221),"NA "))</f>
        <v>0.21858456394538872</v>
      </c>
      <c r="X221" s="242">
        <f ca="1">(IFERROR(IF(BB_Switch=1,IF(_xll.BDP($D221,$D$210, "EQY_FUND_RELATIVE_PERIOD", X$3)="#N/A N/A","NA  ",(_xll.BDP($D221,$D$210, "EQY_FUND_RELATIVE_PERIOD", X$3)))/100,X221),"NA "))</f>
        <v>0.21747716613181933</v>
      </c>
      <c r="Y221" s="242">
        <f ca="1">(IFERROR(IF(BB_Switch=1,IF(_xll.BDP($D221,$D$210, "EQY_FUND_RELATIVE_PERIOD", Y$3)="#N/A N/A","NA  ",(_xll.BDP($D221,$D$210, "EQY_FUND_RELATIVE_PERIOD", Y$3)))/100,Y221),"NA "))</f>
        <v>0.29689839572192511</v>
      </c>
      <c r="Z221" s="242">
        <f ca="1">(IFERROR(IF(BB_Switch=1,IF(_xll.BDP($D221,$D$210, "EQY_FUND_RELATIVE_PERIOD", Z$3)="#N/A N/A","NA  ",(_xll.BDP($D221,$D$210, "EQY_FUND_RELATIVE_PERIOD", Z$3)))/100,Z221),"NA "))</f>
        <v>0.23312690248766665</v>
      </c>
      <c r="AA221" s="242">
        <f ca="1">(IFERROR(IF(BB_Switch=1,IF(_xll.BDP($D221,$D$210, "EQY_FUND_RELATIVE_PERIOD", AA$3)="#N/A N/A","NA  ",(_xll.BDP($D221,$D$210, "EQY_FUND_RELATIVE_PERIOD", AA$3)))/100,AA221),"NA "))</f>
        <v>0.26741293532338306</v>
      </c>
      <c r="AB221" s="242">
        <f ca="1">(IFERROR(IF(BB_Switch=1,IF(_xll.BDP($D221,$D$210, "EQY_FUND_RELATIVE_PERIOD", AB$3)="#N/A N/A","NA  ",(_xll.BDP($D221,$D$210, "EQY_FUND_RELATIVE_PERIOD", AB$3)))/100,AB221),"NA "))</f>
        <v>0.26087921847246887</v>
      </c>
      <c r="AC221" s="242">
        <f ca="1">(IFERROR(IF(BB_Switch=1,IF(_xll.BDP($D221,$D$210, "EQY_FUND_RELATIVE_PERIOD", AC$3)="#N/A N/A","NA  ",(_xll.BDP($D221,$D$210, "EQY_FUND_RELATIVE_PERIOD", AC$3)))/100,AC221),"NA "))</f>
        <v>0.24746046706461411</v>
      </c>
      <c r="AD221" s="242">
        <f ca="1">(IFERROR(IF(BB_Switch=1,IF(_xll.BDP($D221,$D$210, "EQY_FUND_RELATIVE_PERIOD", AD$3)="#N/A N/A","NA  ",(_xll.BDP($D221,$D$210, "EQY_FUND_RELATIVE_PERIOD", AD$3)))/100,AD221),"NA "))</f>
        <v>0.2442123928676978</v>
      </c>
      <c r="AE221" s="242">
        <f ca="1">(IFERROR(IF(BB_Switch=1,IF(_xll.BDP($D221,$D$210, "EQY_FUND_RELATIVE_PERIOD", AE$3)="#N/A N/A","NA  ",(_xll.BDP($D221,$D$210, "EQY_FUND_RELATIVE_PERIOD", AE$3)))/100,AE221),"NA "))</f>
        <v>0.2409144829073655</v>
      </c>
      <c r="AF221" s="245">
        <f ca="1">IFERROR(+AVERAGEIFS(V221:AE221,V221:AE221,"&gt;="&amp;$AL$212,V221:AE221,"&lt;="&amp;$AL$213),"NA  ")</f>
        <v>0.24767097635392413</v>
      </c>
      <c r="AG221" s="242">
        <f ca="1">(IFERROR(IF(BB_Switch=1,IF(_xll.BDP($D221,$V$210, "EQY_FUND_RELATIVE_PERIOD", AG$3)="#N/A N/A","NA  ",(_xll.BDP($D221,$V$210, "EQY_FUND_RELATIVE_PERIOD", AG$3)))/100,AG221),"NA "))</f>
        <v>0.2409144829073655</v>
      </c>
      <c r="AH221" s="244"/>
      <c r="AI221" s="244"/>
      <c r="AJ221" s="244"/>
    </row>
    <row r="222" spans="2:39" ht="11.25" customHeight="1">
      <c r="C222" s="229" t="str">
        <f ca="1">IFERROR(IF(BB_Switch=1,_xll.BDP($D222,$C$270),C222), "NA ")</f>
        <v>Celanese Corp</v>
      </c>
      <c r="D222" s="227" t="str">
        <f>+D22</f>
        <v>CE US EQUITY</v>
      </c>
      <c r="E222" s="242">
        <f ca="1">(IFERROR(IF(BB_Switch=1,IF(_xll.BDP($D222,$D$210, "EQY_FUND_RELATIVE_PERIOD", E$3)="#N/A N/A","NA  ",(_xll.BDP($D222,$D$210, "EQY_FUND_RELATIVE_PERIOD", E$3)))/100,E222),"NA "))</f>
        <v>0.23929299796057102</v>
      </c>
      <c r="F222" s="242">
        <f ca="1">(IFERROR(IF(BB_Switch=1,IF(_xll.BDP($D222,$D$210, "EQY_FUND_RELATIVE_PERIOD", F$3)="#N/A N/A","NA  ",(_xll.BDP($D222,$D$210, "EQY_FUND_RELATIVE_PERIOD", F$3)))/100,F222),"NA "))</f>
        <v>0.24172185430463577</v>
      </c>
      <c r="G222" s="242">
        <f ca="1">(IFERROR(IF(BB_Switch=1,IF(_xll.BDP($D222,$D$210, "EQY_FUND_RELATIVE_PERIOD", G$3)="#N/A N/A","NA  ",(_xll.BDP($D222,$D$210, "EQY_FUND_RELATIVE_PERIOD", G$3)))/100,G222),"NA "))</f>
        <v>0.2445721583652618</v>
      </c>
      <c r="H222" s="242">
        <f ca="1">(IFERROR(IF(BB_Switch=1,IF(_xll.BDP($D222,$D$210, "EQY_FUND_RELATIVE_PERIOD", H$3)="#N/A N/A","NA  ",(_xll.BDP($D222,$D$210, "EQY_FUND_RELATIVE_PERIOD", H$3)))/100,H222),"NA "))</f>
        <v>0.25800376647834278</v>
      </c>
      <c r="I222" s="242">
        <f ca="1">(IFERROR(IF(BB_Switch=1,IF(_xll.BDP($D222,$D$210, "EQY_FUND_RELATIVE_PERIOD", I$3)="#N/A N/A","NA  ",(_xll.BDP($D222,$D$210, "EQY_FUND_RELATIVE_PERIOD", I$3)))/100,I222),"NA "))</f>
        <v>0.27822798487304157</v>
      </c>
      <c r="J222" s="242">
        <f ca="1">(IFERROR(IF(BB_Switch=1,IF(_xll.BDP($D222,$D$210, "EQY_FUND_RELATIVE_PERIOD", J$3)="#N/A N/A","NA  ",(_xll.BDP($D222,$D$210, "EQY_FUND_RELATIVE_PERIOD", J$3)))/100,J222),"NA "))</f>
        <v>0.28253796095444683</v>
      </c>
      <c r="K222" s="242">
        <f ca="1">(IFERROR(IF(BB_Switch=1,IF(_xll.BDP($D222,$D$210, "EQY_FUND_RELATIVE_PERIOD", K$3)="#N/A N/A","NA  ",(_xll.BDP($D222,$D$210, "EQY_FUND_RELATIVE_PERIOD", K$3)))/100,K222),"NA "))</f>
        <v>0.29136081309994355</v>
      </c>
      <c r="L222" s="242">
        <f ca="1">(IFERROR(IF(BB_Switch=1,IF(_xll.BDP($D222,$D$210, "EQY_FUND_RELATIVE_PERIOD", L$3)="#N/A N/A","NA  ",(_xll.BDP($D222,$D$210, "EQY_FUND_RELATIVE_PERIOD", L$3)))/100,L222),"NA "))</f>
        <v>0.24866785079928955</v>
      </c>
      <c r="M222" s="242">
        <f ca="1">(IFERROR(IF(BB_Switch=1,IF(_xll.BDP($D222,$D$210, "EQY_FUND_RELATIVE_PERIOD", M$3)="#N/A N/A","NA  ",(_xll.BDP($D222,$D$210, "EQY_FUND_RELATIVE_PERIOD", M$3)))/100,M222),"NA "))</f>
        <v>0.26852400711321878</v>
      </c>
      <c r="N222" s="242">
        <f ca="1">(IFERROR(IF(BB_Switch=1,IF(_xll.BDP($D222,$D$210, "EQY_FUND_RELATIVE_PERIOD", N$3)="#N/A N/A","NA  ",(_xll.BDP($D222,$D$210, "EQY_FUND_RELATIVE_PERIOD", N$3)))/100,N222),"NA "))</f>
        <v>0.26570351758793975</v>
      </c>
      <c r="O222" s="242">
        <f ca="1">(IFERROR(IF(BB_Switch=1,IF(_xll.BDP($D222,$D$210, "EQY_FUND_RELATIVE_PERIOD", O$3)="#N/A N/A","NA  ",(_xll.BDP($D222,$D$210, "EQY_FUND_RELATIVE_PERIOD", O$3)))/100,O222),"NA "))</f>
        <v>0.26103404791929385</v>
      </c>
      <c r="P222" s="242">
        <f ca="1">(IFERROR(IF(BB_Switch=1,IF(_xll.BDP($D222,$D$210, "EQY_FUND_RELATIVE_PERIOD", P$3)="#N/A N/A","NA  ",(_xll.BDP($D222,$D$210, "EQY_FUND_RELATIVE_PERIOD", P$3)))/100,P222),"NA "))</f>
        <v>0.22067039106145248</v>
      </c>
      <c r="Q222" s="244"/>
      <c r="R222" s="244"/>
      <c r="S222" s="244"/>
      <c r="T222" s="244"/>
      <c r="U222" s="219"/>
      <c r="V222" s="242">
        <f ca="1">(IFERROR(IF(BB_Switch=1,IF(_xll.BDP($D222,$D$210, "EQY_FUND_RELATIVE_PERIOD", V$3)="#N/A N/A","NA  ",(_xll.BDP($D222,$D$210, "EQY_FUND_RELATIVE_PERIOD", V$3)))/100,V222),"NA "))</f>
        <v>0.18908415005069279</v>
      </c>
      <c r="W222" s="242">
        <f ca="1">(IFERROR(IF(BB_Switch=1,IF(_xll.BDP($D222,$D$210, "EQY_FUND_RELATIVE_PERIOD", W$3)="#N/A N/A","NA  ",(_xll.BDP($D222,$D$210, "EQY_FUND_RELATIVE_PERIOD", W$3)))/100,W222),"NA "))</f>
        <v>0.20286854946029861</v>
      </c>
      <c r="X222" s="242">
        <f ca="1">(IFERROR(IF(BB_Switch=1,IF(_xll.BDP($D222,$D$210, "EQY_FUND_RELATIVE_PERIOD", X$3)="#N/A N/A","NA  ",(_xll.BDP($D222,$D$210, "EQY_FUND_RELATIVE_PERIOD", X$3)))/100,X222),"NA "))</f>
        <v>0.18401371143658463</v>
      </c>
      <c r="Y222" s="242">
        <f ca="1">(IFERROR(IF(BB_Switch=1,IF(_xll.BDP($D222,$D$210, "EQY_FUND_RELATIVE_PERIOD", Y$3)="#N/A N/A","NA  ",(_xll.BDP($D222,$D$210, "EQY_FUND_RELATIVE_PERIOD", Y$3)))/100,Y222),"NA "))</f>
        <v>0.20967741935483875</v>
      </c>
      <c r="Z222" s="242">
        <f ca="1">(IFERROR(IF(BB_Switch=1,IF(_xll.BDP($D222,$D$210, "EQY_FUND_RELATIVE_PERIOD", Z$3)="#N/A N/A","NA  ",(_xll.BDP($D222,$D$210, "EQY_FUND_RELATIVE_PERIOD", Z$3)))/100,Z222),"NA "))</f>
        <v>0.23757718318141718</v>
      </c>
      <c r="AA222" s="242">
        <f ca="1">(IFERROR(IF(BB_Switch=1,IF(_xll.BDP($D222,$D$210, "EQY_FUND_RELATIVE_PERIOD", AA$3)="#N/A N/A","NA  ",(_xll.BDP($D222,$D$210, "EQY_FUND_RELATIVE_PERIOD", AA$3)))/100,AA222),"NA "))</f>
        <v>0.23228762777581957</v>
      </c>
      <c r="AB222" s="242">
        <f ca="1">(IFERROR(IF(BB_Switch=1,IF(_xll.BDP($D222,$D$210, "EQY_FUND_RELATIVE_PERIOD", AB$3)="#N/A N/A","NA  ",(_xll.BDP($D222,$D$210, "EQY_FUND_RELATIVE_PERIOD", AB$3)))/100,AB222),"NA "))</f>
        <v>0.26071627389125995</v>
      </c>
      <c r="AC222" s="242">
        <f ca="1">(IFERROR(IF(BB_Switch=1,IF(_xll.BDP($D222,$D$210, "EQY_FUND_RELATIVE_PERIOD", AC$3)="#N/A N/A","NA  ",(_xll.BDP($D222,$D$210, "EQY_FUND_RELATIVE_PERIOD", AC$3)))/100,AC222),"NA "))</f>
        <v>0.24609120521172634</v>
      </c>
      <c r="AD222" s="242">
        <f ca="1">(IFERROR(IF(BB_Switch=1,IF(_xll.BDP($D222,$D$210, "EQY_FUND_RELATIVE_PERIOD", AD$3)="#N/A N/A","NA  ",(_xll.BDP($D222,$D$210, "EQY_FUND_RELATIVE_PERIOD", AD$3)))/100,AD222),"NA "))</f>
        <v>0.27561146051712093</v>
      </c>
      <c r="AE222" s="242">
        <f ca="1">(IFERROR(IF(BB_Switch=1,IF(_xll.BDP($D222,$D$210, "EQY_FUND_RELATIVE_PERIOD", AE$3)="#N/A N/A","NA  ",(_xll.BDP($D222,$D$210, "EQY_FUND_RELATIVE_PERIOD", AE$3)))/100,AE222),"NA "))</f>
        <v>0.25504208353184055</v>
      </c>
      <c r="AF222" s="245">
        <f ca="1">IFERROR(+AVERAGEIFS(V222:AE222,V222:AE222,"&gt;="&amp;$AL$212,V222:AE222,"&lt;="&amp;$AL$213),"NA  ")</f>
        <v>0.23998397536554025</v>
      </c>
      <c r="AG222" s="242">
        <f ca="1">(IFERROR(IF(BB_Switch=1,IF(_xll.BDP($D222,$V$210, "EQY_FUND_RELATIVE_PERIOD", AG$3)="#N/A N/A","NA  ",(_xll.BDP($D222,$V$210, "EQY_FUND_RELATIVE_PERIOD", AG$3)))/100,AG222),"NA "))</f>
        <v>0.25504208353184055</v>
      </c>
      <c r="AH222" s="244"/>
      <c r="AI222" s="244"/>
      <c r="AJ222" s="244"/>
    </row>
    <row r="223" spans="2:39" ht="11.25" customHeight="1">
      <c r="C223" s="229" t="str">
        <f ca="1">IFERROR(IF(BB_Switch=1,_xll.BDP($D223,$C$270),C223), "NA ")</f>
        <v>BASF SE</v>
      </c>
      <c r="D223" s="227" t="str">
        <f>+D23</f>
        <v>BAS GR EQUITY</v>
      </c>
      <c r="E223" s="242">
        <f ca="1">(IFERROR(IF(BB_Switch=1,IF(_xll.BDP($D223,$D$210, "EQY_FUND_RELATIVE_PERIOD", E$3)="#N/A N/A","NA  ",(_xll.BDP($D223,$D$210, "EQY_FUND_RELATIVE_PERIOD", E$3)))/100,E223),"NA "))</f>
        <v>0.32401572346664997</v>
      </c>
      <c r="F223" s="242">
        <f ca="1">(IFERROR(IF(BB_Switch=1,IF(_xll.BDP($D223,$D$210, "EQY_FUND_RELATIVE_PERIOD", F$3)="#N/A N/A","NA  ",(_xll.BDP($D223,$D$210, "EQY_FUND_RELATIVE_PERIOD", F$3)))/100,F223),"NA "))</f>
        <v>0.31445400996828277</v>
      </c>
      <c r="G223" s="242">
        <f ca="1">(IFERROR(IF(BB_Switch=1,IF(_xll.BDP($D223,$D$210, "EQY_FUND_RELATIVE_PERIOD", G$3)="#N/A N/A","NA  ",(_xll.BDP($D223,$D$210, "EQY_FUND_RELATIVE_PERIOD", G$3)))/100,G223),"NA "))</f>
        <v>0.31950950675117107</v>
      </c>
      <c r="H223" s="242">
        <f ca="1">(IFERROR(IF(BB_Switch=1,IF(_xll.BDP($D223,$D$210, "EQY_FUND_RELATIVE_PERIOD", H$3)="#N/A N/A","NA  ",(_xll.BDP($D223,$D$210, "EQY_FUND_RELATIVE_PERIOD", H$3)))/100,H223),"NA "))</f>
        <v>0.32453548683605804</v>
      </c>
      <c r="I223" s="242">
        <f ca="1">(IFERROR(IF(BB_Switch=1,IF(_xll.BDP($D223,$D$210, "EQY_FUND_RELATIVE_PERIOD", I$3)="#N/A N/A","NA  ",(_xll.BDP($D223,$D$210, "EQY_FUND_RELATIVE_PERIOD", I$3)))/100,I223),"NA "))</f>
        <v>0.31757961783439492</v>
      </c>
      <c r="J223" s="242">
        <f ca="1">(IFERROR(IF(BB_Switch=1,IF(_xll.BDP($D223,$D$210, "EQY_FUND_RELATIVE_PERIOD", J$3)="#N/A N/A","NA  ",(_xll.BDP($D223,$D$210, "EQY_FUND_RELATIVE_PERIOD", J$3)))/100,J223),"NA "))</f>
        <v>0.30900335804346446</v>
      </c>
      <c r="K223" s="242">
        <f ca="1">(IFERROR(IF(BB_Switch=1,IF(_xll.BDP($D223,$D$210, "EQY_FUND_RELATIVE_PERIOD", K$3)="#N/A N/A","NA  ",(_xll.BDP($D223,$D$210, "EQY_FUND_RELATIVE_PERIOD", K$3)))/100,K223),"NA "))</f>
        <v>0.2880302447776496</v>
      </c>
      <c r="L223" s="242">
        <f ca="1">(IFERROR(IF(BB_Switch=1,IF(_xll.BDP($D223,$D$210, "EQY_FUND_RELATIVE_PERIOD", L$3)="#N/A N/A","NA  ",(_xll.BDP($D223,$D$210, "EQY_FUND_RELATIVE_PERIOD", L$3)))/100,L223),"NA "))</f>
        <v>0.25651225458745031</v>
      </c>
      <c r="M223" s="242">
        <f ca="1">(IFERROR(IF(BB_Switch=1,IF(_xll.BDP($D223,$D$210, "EQY_FUND_RELATIVE_PERIOD", M$3)="#N/A N/A","NA  ",(_xll.BDP($D223,$D$210, "EQY_FUND_RELATIVE_PERIOD", M$3)))/100,M223),"NA "))</f>
        <v>0.30432094949619826</v>
      </c>
      <c r="N223" s="242">
        <f ca="1">(IFERROR(IF(BB_Switch=1,IF(_xll.BDP($D223,$D$210, "EQY_FUND_RELATIVE_PERIOD", N$3)="#N/A N/A","NA  ",(_xll.BDP($D223,$D$210, "EQY_FUND_RELATIVE_PERIOD", N$3)))/100,N223),"NA "))</f>
        <v>0.28044596912521436</v>
      </c>
      <c r="O223" s="242">
        <f ca="1">(IFERROR(IF(BB_Switch=1,IF(_xll.BDP($D223,$D$210, "EQY_FUND_RELATIVE_PERIOD", O$3)="#N/A N/A","NA  ",(_xll.BDP($D223,$D$210, "EQY_FUND_RELATIVE_PERIOD", O$3)))/100,O223),"NA "))</f>
        <v>0.26991005186790096</v>
      </c>
      <c r="P223" s="242">
        <f ca="1">(IFERROR(IF(BB_Switch=1,IF(_xll.BDP($D223,$D$210, "EQY_FUND_RELATIVE_PERIOD", P$3)="#N/A N/A","NA  ",(_xll.BDP($D223,$D$210, "EQY_FUND_RELATIVE_PERIOD", P$3)))/100,P223),"NA "))</f>
        <v>0.23294117647058818</v>
      </c>
      <c r="Q223" s="244"/>
      <c r="R223" s="244"/>
      <c r="S223" s="244"/>
      <c r="T223" s="244"/>
      <c r="U223" s="219"/>
      <c r="V223" s="242">
        <f ca="1">(IFERROR(IF(BB_Switch=1,IF(_xll.BDP($D223,$D$210, "EQY_FUND_RELATIVE_PERIOD", V$3)="#N/A N/A","NA  ",(_xll.BDP($D223,$D$210, "EQY_FUND_RELATIVE_PERIOD", V$3)))/100,V223),"NA "))</f>
        <v>0.29062358116888198</v>
      </c>
      <c r="W223" s="242">
        <f ca="1">(IFERROR(IF(BB_Switch=1,IF(_xll.BDP($D223,$D$210, "EQY_FUND_RELATIVE_PERIOD", W$3)="#N/A N/A","NA  ",(_xll.BDP($D223,$D$210, "EQY_FUND_RELATIVE_PERIOD", W$3)))/100,W223),"NA "))</f>
        <v>0.26546661768507562</v>
      </c>
      <c r="X223" s="242">
        <f ca="1">(IFERROR(IF(BB_Switch=1,IF(_xll.BDP($D223,$D$210, "EQY_FUND_RELATIVE_PERIOD", X$3)="#N/A N/A","NA  ",(_xll.BDP($D223,$D$210, "EQY_FUND_RELATIVE_PERIOD", X$3)))/100,X223),"NA "))</f>
        <v>0.24765350968403832</v>
      </c>
      <c r="Y223" s="242">
        <f ca="1">(IFERROR(IF(BB_Switch=1,IF(_xll.BDP($D223,$D$210, "EQY_FUND_RELATIVE_PERIOD", Y$3)="#N/A N/A","NA  ",(_xll.BDP($D223,$D$210, "EQY_FUND_RELATIVE_PERIOD", Y$3)))/100,Y223),"NA "))</f>
        <v>0.24869884958025223</v>
      </c>
      <c r="Z223" s="242">
        <f ca="1">(IFERROR(IF(BB_Switch=1,IF(_xll.BDP($D223,$D$210, "EQY_FUND_RELATIVE_PERIOD", Z$3)="#N/A N/A","NA  ",(_xll.BDP($D223,$D$210, "EQY_FUND_RELATIVE_PERIOD", Z$3)))/100,Z223),"NA "))</f>
        <v>0.24872857411941987</v>
      </c>
      <c r="AA223" s="242">
        <f ca="1">(IFERROR(IF(BB_Switch=1,IF(_xll.BDP($D223,$D$210, "EQY_FUND_RELATIVE_PERIOD", AA$3)="#N/A N/A","NA  ",(_xll.BDP($D223,$D$210, "EQY_FUND_RELATIVE_PERIOD", AA$3)))/100,AA223),"NA "))</f>
        <v>0.2707916365030022</v>
      </c>
      <c r="AB223" s="242">
        <f ca="1">(IFERROR(IF(BB_Switch=1,IF(_xll.BDP($D223,$D$210, "EQY_FUND_RELATIVE_PERIOD", AB$3)="#N/A N/A","NA  ",(_xll.BDP($D223,$D$210, "EQY_FUND_RELATIVE_PERIOD", AB$3)))/100,AB223),"NA "))</f>
        <v>0.31772371850564729</v>
      </c>
      <c r="AC223" s="242">
        <f ca="1">(IFERROR(IF(BB_Switch=1,IF(_xll.BDP($D223,$D$210, "EQY_FUND_RELATIVE_PERIOD", AC$3)="#N/A N/A","NA  ",(_xll.BDP($D223,$D$210, "EQY_FUND_RELATIVE_PERIOD", AC$3)))/100,AC223),"NA "))</f>
        <v>0.32066380281920187</v>
      </c>
      <c r="AD223" s="242">
        <f ca="1">(IFERROR(IF(BB_Switch=1,IF(_xll.BDP($D223,$D$210, "EQY_FUND_RELATIVE_PERIOD", AD$3)="#N/A N/A","NA  ",(_xll.BDP($D223,$D$210, "EQY_FUND_RELATIVE_PERIOD", AD$3)))/100,AD223),"NA "))</f>
        <v>0.28737960810362007</v>
      </c>
      <c r="AE223" s="242">
        <f ca="1">(IFERROR(IF(BB_Switch=1,IF(_xll.BDP($D223,$D$210, "EQY_FUND_RELATIVE_PERIOD", AE$3)="#N/A N/A","NA  ",(_xll.BDP($D223,$D$210, "EQY_FUND_RELATIVE_PERIOD", AE$3)))/100,AE223),"NA "))</f>
        <v>0.27404073100006743</v>
      </c>
      <c r="AF223" s="245">
        <f ca="1">IFERROR(+AVERAGEIFS(V223:AE223,V223:AE223,"&gt;="&amp;$AL$212,V223:AE223,"&lt;="&amp;$AL$213),"NA  ")</f>
        <v>0.27717706291692068</v>
      </c>
      <c r="AG223" s="242">
        <f ca="1">(IFERROR(IF(BB_Switch=1,IF(_xll.BDP($D223,$V$210, "EQY_FUND_RELATIVE_PERIOD", AG$3)="#N/A N/A","NA  ",(_xll.BDP($D223,$V$210, "EQY_FUND_RELATIVE_PERIOD", AG$3)))/100,AG223),"NA "))</f>
        <v>0.27404073100006743</v>
      </c>
      <c r="AH223" s="244"/>
      <c r="AI223" s="244"/>
      <c r="AJ223" s="244"/>
    </row>
    <row r="224" spans="2:39" ht="11.25" customHeight="1">
      <c r="C224" s="229" t="str">
        <f ca="1">IFERROR(IF(BB_Switch=1,_xll.BDP($D224,$C$270),C224), "NA ")</f>
        <v>Trinseo SA</v>
      </c>
      <c r="D224" s="227" t="str">
        <f>+D24</f>
        <v>TSE US EQUITY</v>
      </c>
      <c r="E224" s="242">
        <f ca="1">(IFERROR(IF(BB_Switch=1,IF(_xll.BDP($D224,$D$210, "EQY_FUND_RELATIVE_PERIOD", E$3)="#N/A N/A","NA  ",(_xll.BDP($D224,$D$210, "EQY_FUND_RELATIVE_PERIOD", E$3)))/100,E224),"NA "))</f>
        <v>0.17908899129915168</v>
      </c>
      <c r="F224" s="242">
        <f ca="1">(IFERROR(IF(BB_Switch=1,IF(_xll.BDP($D224,$D$210, "EQY_FUND_RELATIVE_PERIOD", F$3)="#N/A N/A","NA  ",(_xll.BDP($D224,$D$210, "EQY_FUND_RELATIVE_PERIOD", F$3)))/100,F224),"NA "))</f>
        <v>0.11046105483758295</v>
      </c>
      <c r="G224" s="242">
        <f ca="1">(IFERROR(IF(BB_Switch=1,IF(_xll.BDP($D224,$D$210, "EQY_FUND_RELATIVE_PERIOD", G$3)="#N/A N/A","NA  ",(_xll.BDP($D224,$D$210, "EQY_FUND_RELATIVE_PERIOD", G$3)))/100,G224),"NA "))</f>
        <v>0.13541856647820527</v>
      </c>
      <c r="H224" s="242">
        <f ca="1">(IFERROR(IF(BB_Switch=1,IF(_xll.BDP($D224,$D$210, "EQY_FUND_RELATIVE_PERIOD", H$3)="#N/A N/A","NA  ",(_xll.BDP($D224,$D$210, "EQY_FUND_RELATIVE_PERIOD", H$3)))/100,H224),"NA "))</f>
        <v>0.15093483390815021</v>
      </c>
      <c r="I224" s="242">
        <f ca="1">(IFERROR(IF(BB_Switch=1,IF(_xll.BDP($D224,$D$210, "EQY_FUND_RELATIVE_PERIOD", I$3)="#N/A N/A","NA  ",(_xll.BDP($D224,$D$210, "EQY_FUND_RELATIVE_PERIOD", I$3)))/100,I224),"NA "))</f>
        <v>0.15620542082738942</v>
      </c>
      <c r="J224" s="242">
        <f ca="1">(IFERROR(IF(BB_Switch=1,IF(_xll.BDP($D224,$D$210, "EQY_FUND_RELATIVE_PERIOD", J$3)="#N/A N/A","NA  ",(_xll.BDP($D224,$D$210, "EQY_FUND_RELATIVE_PERIOD", J$3)))/100,J224),"NA "))</f>
        <v>0.13157043506388466</v>
      </c>
      <c r="K224" s="242">
        <f ca="1">(IFERROR(IF(BB_Switch=1,IF(_xll.BDP($D224,$D$210, "EQY_FUND_RELATIVE_PERIOD", K$3)="#N/A N/A","NA  ",(_xll.BDP($D224,$D$210, "EQY_FUND_RELATIVE_PERIOD", K$3)))/100,K224),"NA "))</f>
        <v>0.10969409018921406</v>
      </c>
      <c r="L224" s="242">
        <f ca="1">(IFERROR(IF(BB_Switch=1,IF(_xll.BDP($D224,$D$210, "EQY_FUND_RELATIVE_PERIOD", L$3)="#N/A N/A","NA  ",(_xll.BDP($D224,$D$210, "EQY_FUND_RELATIVE_PERIOD", L$3)))/100,L224),"NA "))</f>
        <v>5.5680751173708846E-2</v>
      </c>
      <c r="M224" s="242">
        <f ca="1">(IFERROR(IF(BB_Switch=1,IF(_xll.BDP($D224,$D$210, "EQY_FUND_RELATIVE_PERIOD", M$3)="#N/A N/A","NA  ",(_xll.BDP($D224,$D$210, "EQY_FUND_RELATIVE_PERIOD", M$3)))/100,M224),"NA "))</f>
        <v>9.6140558681275246E-2</v>
      </c>
      <c r="N224" s="242">
        <f ca="1">(IFERROR(IF(BB_Switch=1,IF(_xll.BDP($D224,$D$210, "EQY_FUND_RELATIVE_PERIOD", N$3)="#N/A N/A","NA  ",(_xll.BDP($D224,$D$210, "EQY_FUND_RELATIVE_PERIOD", N$3)))/100,N224),"NA "))</f>
        <v>9.0565244799327468E-2</v>
      </c>
      <c r="O224" s="242">
        <f ca="1">(IFERROR(IF(BB_Switch=1,IF(_xll.BDP($D224,$D$210, "EQY_FUND_RELATIVE_PERIOD", O$3)="#N/A N/A","NA  ",(_xll.BDP($D224,$D$210, "EQY_FUND_RELATIVE_PERIOD", O$3)))/100,O224),"NA "))</f>
        <v>9.2397787658605401E-2</v>
      </c>
      <c r="P224" s="242">
        <f ca="1">(IFERROR(IF(BB_Switch=1,IF(_xll.BDP($D224,$D$210, "EQY_FUND_RELATIVE_PERIOD", P$3)="#N/A N/A","NA  ",(_xll.BDP($D224,$D$210, "EQY_FUND_RELATIVE_PERIOD", P$3)))/100,P224),"NA "))</f>
        <v>6.7506750675067506E-2</v>
      </c>
      <c r="Q224" s="244"/>
      <c r="R224" s="244"/>
      <c r="S224" s="244"/>
      <c r="T224" s="244"/>
      <c r="U224" s="219"/>
      <c r="V224" s="242">
        <f ca="1">(IFERROR(IF(BB_Switch=1,IF(_xll.BDP($D224,$D$210, "EQY_FUND_RELATIVE_PERIOD", V$3)="#N/A N/A","NA  ",(_xll.BDP($D224,$D$210, "EQY_FUND_RELATIVE_PERIOD", V$3)))/100,V224),"NA "))</f>
        <v>8.2429940861901377E-2</v>
      </c>
      <c r="W224" s="242">
        <f ca="1">(IFERROR(IF(BB_Switch=1,IF(_xll.BDP($D224,$D$210, "EQY_FUND_RELATIVE_PERIOD", W$3)="#N/A N/A","NA  ",(_xll.BDP($D224,$D$210, "EQY_FUND_RELATIVE_PERIOD", W$3)))/100,W224),"NA "))</f>
        <v>6.3876969244248794E-2</v>
      </c>
      <c r="X224" s="242">
        <f ca="1">(IFERROR(IF(BB_Switch=1,IF(_xll.BDP($D224,$D$210, "EQY_FUND_RELATIVE_PERIOD", X$3)="#N/A N/A","NA  ",(_xll.BDP($D224,$D$210, "EQY_FUND_RELATIVE_PERIOD", X$3)))/100,X224),"NA "))</f>
        <v>6.1762036013440325E-2</v>
      </c>
      <c r="Y224" s="242">
        <f ca="1">(IFERROR(IF(BB_Switch=1,IF(_xll.BDP($D224,$D$210, "EQY_FUND_RELATIVE_PERIOD", Y$3)="#N/A N/A","NA  ",(_xll.BDP($D224,$D$210, "EQY_FUND_RELATIVE_PERIOD", Y$3)))/100,Y224),"NA "))</f>
        <v>6.7454696392631019E-2</v>
      </c>
      <c r="Z224" s="242">
        <f ca="1">(IFERROR(IF(BB_Switch=1,IF(_xll.BDP($D224,$D$210, "EQY_FUND_RELATIVE_PERIOD", Z$3)="#N/A N/A","NA  ",(_xll.BDP($D224,$D$210, "EQY_FUND_RELATIVE_PERIOD", Z$3)))/100,Z224),"NA "))</f>
        <v>5.7980355154807144E-2</v>
      </c>
      <c r="AA224" s="242">
        <f ca="1">(IFERROR(IF(BB_Switch=1,IF(_xll.BDP($D224,$D$210, "EQY_FUND_RELATIVE_PERIOD", AA$3)="#N/A N/A","NA  ",(_xll.BDP($D224,$D$210, "EQY_FUND_RELATIVE_PERIOD", AA$3)))/100,AA224),"NA "))</f>
        <v>0.11810512948204666</v>
      </c>
      <c r="AB224" s="242">
        <f ca="1">(IFERROR(IF(BB_Switch=1,IF(_xll.BDP($D224,$D$210, "EQY_FUND_RELATIVE_PERIOD", AB$3)="#N/A N/A","NA  ",(_xll.BDP($D224,$D$210, "EQY_FUND_RELATIVE_PERIOD", AB$3)))/100,AB224),"NA "))</f>
        <v>0.15810149060969703</v>
      </c>
      <c r="AC224" s="242">
        <f ca="1">(IFERROR(IF(BB_Switch=1,IF(_xll.BDP($D224,$D$210, "EQY_FUND_RELATIVE_PERIOD", AC$3)="#N/A N/A","NA  ",(_xll.BDP($D224,$D$210, "EQY_FUND_RELATIVE_PERIOD", AC$3)))/100,AC224),"NA "))</f>
        <v>0.14394910186371712</v>
      </c>
      <c r="AD224" s="242">
        <f ca="1">(IFERROR(IF(BB_Switch=1,IF(_xll.BDP($D224,$D$210, "EQY_FUND_RELATIVE_PERIOD", AD$3)="#N/A N/A","NA  ",(_xll.BDP($D224,$D$210, "EQY_FUND_RELATIVE_PERIOD", AD$3)))/100,AD224),"NA "))</f>
        <v>0.11438954746041363</v>
      </c>
      <c r="AE224" s="242">
        <f ca="1">(IFERROR(IF(BB_Switch=1,IF(_xll.BDP($D224,$D$210, "EQY_FUND_RELATIVE_PERIOD", AE$3)="#N/A N/A","NA  ",(_xll.BDP($D224,$D$210, "EQY_FUND_RELATIVE_PERIOD", AE$3)))/100,AE224),"NA "))</f>
        <v>8.7107367974998726E-2</v>
      </c>
      <c r="AF224" s="243" t="str">
        <f ca="1">IFERROR(+AVERAGEIFS(V224:AE224,V224:AE224,"&gt;="&amp;$AL$212,V224:AE224,"&lt;="&amp;$AL$213),"NA  ")</f>
        <v xml:space="preserve">NA  </v>
      </c>
      <c r="AG224" s="242">
        <f ca="1">(IFERROR(IF(BB_Switch=1,IF(_xll.BDP($D224,$V$210, "EQY_FUND_RELATIVE_PERIOD", AG$3)="#N/A N/A","NA  ",(_xll.BDP($D224,$V$210, "EQY_FUND_RELATIVE_PERIOD", AG$3)))/100,AG224),"NA "))</f>
        <v>8.7080883521372887E-2</v>
      </c>
      <c r="AH224" s="244"/>
      <c r="AI224" s="244"/>
      <c r="AJ224" s="244"/>
    </row>
    <row r="225" spans="2:36" ht="11.25" customHeight="1">
      <c r="C225" s="229"/>
      <c r="D225" s="240"/>
      <c r="E225" s="244"/>
      <c r="F225" s="244"/>
      <c r="G225" s="244"/>
      <c r="H225" s="244"/>
      <c r="I225" s="244"/>
      <c r="J225" s="244"/>
      <c r="K225" s="244"/>
      <c r="L225" s="244"/>
      <c r="M225" s="244"/>
      <c r="N225" s="244"/>
      <c r="O225" s="244"/>
      <c r="P225" s="244"/>
      <c r="Q225" s="244"/>
      <c r="R225" s="244"/>
      <c r="S225" s="244"/>
      <c r="T225" s="244"/>
      <c r="U225" s="219"/>
      <c r="V225" s="244"/>
      <c r="W225" s="244"/>
      <c r="X225" s="244"/>
      <c r="Y225" s="244"/>
      <c r="Z225" s="244"/>
      <c r="AA225" s="244"/>
      <c r="AB225" s="244"/>
      <c r="AC225" s="244"/>
      <c r="AD225" s="244"/>
      <c r="AE225" s="244"/>
      <c r="AF225" s="239"/>
      <c r="AG225" s="239"/>
      <c r="AH225" s="244"/>
      <c r="AI225" s="244"/>
      <c r="AJ225" s="244"/>
    </row>
    <row r="226" spans="2:36" ht="11.25" customHeight="1">
      <c r="C226" s="224" t="s">
        <v>482</v>
      </c>
      <c r="D226" s="223"/>
      <c r="E226" s="254">
        <f t="shared" ref="E226:O226" ca="1" si="63">AVERAGE(E212:E218,E221:E224)</f>
        <v>0.22078572589555118</v>
      </c>
      <c r="F226" s="254">
        <f t="shared" ca="1" si="63"/>
        <v>0.21763154363952639</v>
      </c>
      <c r="G226" s="254">
        <f t="shared" ca="1" si="63"/>
        <v>0.2174368592041894</v>
      </c>
      <c r="H226" s="254">
        <f t="shared" ca="1" si="63"/>
        <v>0.20212569929359658</v>
      </c>
      <c r="I226" s="254">
        <f t="shared" ca="1" si="63"/>
        <v>0.22292798652784079</v>
      </c>
      <c r="J226" s="254">
        <f t="shared" ca="1" si="63"/>
        <v>0.23559787913887648</v>
      </c>
      <c r="K226" s="254">
        <f t="shared" ca="1" si="63"/>
        <v>0.23877918069474957</v>
      </c>
      <c r="L226" s="254">
        <f t="shared" ca="1" si="63"/>
        <v>0.19551709779676604</v>
      </c>
      <c r="M226" s="254">
        <f t="shared" ca="1" si="63"/>
        <v>0.2011429082876332</v>
      </c>
      <c r="N226" s="254">
        <f t="shared" ca="1" si="63"/>
        <v>0.20779275635566224</v>
      </c>
      <c r="O226" s="254">
        <f t="shared" ca="1" si="63"/>
        <v>0.20808630351915591</v>
      </c>
      <c r="P226" s="254">
        <f ca="1">AVERAGE(P212:P218,P221:P224)</f>
        <v>0.18308238329335255</v>
      </c>
      <c r="Q226" s="254"/>
      <c r="R226" s="254"/>
      <c r="S226" s="254"/>
      <c r="T226" s="441"/>
      <c r="U226" s="241"/>
      <c r="V226" s="421">
        <f t="shared" ref="V226:AG226" ca="1" si="64">AVERAGE(V212:V218,V221:V224)</f>
        <v>0.17548875000673286</v>
      </c>
      <c r="W226" s="254">
        <f t="shared" ca="1" si="64"/>
        <v>0.17263310202747123</v>
      </c>
      <c r="X226" s="254">
        <f t="shared" ca="1" si="64"/>
        <v>0.17189160518891355</v>
      </c>
      <c r="Y226" s="254">
        <f t="shared" ca="1" si="64"/>
        <v>0.19416553756366764</v>
      </c>
      <c r="Z226" s="254">
        <f t="shared" ca="1" si="64"/>
        <v>0.19692784337568028</v>
      </c>
      <c r="AA226" s="254">
        <f t="shared" ca="1" si="64"/>
        <v>0.22053050348039202</v>
      </c>
      <c r="AB226" s="254">
        <f t="shared" ca="1" si="64"/>
        <v>0.22291837506242365</v>
      </c>
      <c r="AC226" s="254">
        <f t="shared" ca="1" si="64"/>
        <v>0.21160230660851795</v>
      </c>
      <c r="AD226" s="254">
        <f t="shared" ca="1" si="64"/>
        <v>0.22542898969604969</v>
      </c>
      <c r="AE226" s="254">
        <f t="shared" ca="1" si="64"/>
        <v>0.2027938153230244</v>
      </c>
      <c r="AF226" s="254">
        <f t="shared" ca="1" si="64"/>
        <v>0.25024038600736848</v>
      </c>
      <c r="AG226" s="254">
        <f t="shared" ca="1" si="64"/>
        <v>0.19788841211385488</v>
      </c>
      <c r="AH226" s="250"/>
      <c r="AI226" s="250"/>
      <c r="AJ226" s="291"/>
    </row>
    <row r="227" spans="2:36" ht="11.25" customHeight="1">
      <c r="C227" s="221" t="s">
        <v>481</v>
      </c>
      <c r="D227" s="220"/>
      <c r="E227" s="253">
        <f t="shared" ref="E227:O227" ca="1" si="65">MEDIAN(E212:E218,E221:E224)</f>
        <v>0.22869336011045571</v>
      </c>
      <c r="F227" s="253">
        <f t="shared" ca="1" si="65"/>
        <v>0.23080702616386195</v>
      </c>
      <c r="G227" s="253">
        <f t="shared" ca="1" si="65"/>
        <v>0.21930360415394012</v>
      </c>
      <c r="H227" s="253">
        <f t="shared" ca="1" si="65"/>
        <v>0.19348010160880613</v>
      </c>
      <c r="I227" s="253">
        <f t="shared" ca="1" si="65"/>
        <v>0.22286152665899508</v>
      </c>
      <c r="J227" s="253">
        <f t="shared" ca="1" si="65"/>
        <v>0.24697986577181208</v>
      </c>
      <c r="K227" s="253">
        <f t="shared" ca="1" si="65"/>
        <v>0.23902439024390243</v>
      </c>
      <c r="L227" s="253">
        <f t="shared" ca="1" si="65"/>
        <v>0.19612794612794615</v>
      </c>
      <c r="M227" s="253">
        <f t="shared" ca="1" si="65"/>
        <v>0.21813534837204129</v>
      </c>
      <c r="N227" s="253">
        <f t="shared" ca="1" si="65"/>
        <v>0.22737331267979644</v>
      </c>
      <c r="O227" s="253">
        <f t="shared" ca="1" si="65"/>
        <v>0.22756273925988946</v>
      </c>
      <c r="P227" s="253">
        <f ca="1">MEDIAN(P212:P218,P221:P224)</f>
        <v>0.1883512351783494</v>
      </c>
      <c r="Q227" s="253"/>
      <c r="R227" s="253"/>
      <c r="S227" s="253"/>
      <c r="T227" s="442"/>
      <c r="U227" s="241"/>
      <c r="V227" s="422">
        <f t="shared" ref="V227:AG227" ca="1" si="66">MEDIAN(V212:V218,V221:V224)</f>
        <v>0.1635836607040696</v>
      </c>
      <c r="W227" s="253">
        <f t="shared" ca="1" si="66"/>
        <v>0.17631631488181743</v>
      </c>
      <c r="X227" s="253">
        <f t="shared" ca="1" si="66"/>
        <v>0.18564737136465337</v>
      </c>
      <c r="Y227" s="253">
        <f t="shared" ca="1" si="66"/>
        <v>0.19137176938369785</v>
      </c>
      <c r="Z227" s="253">
        <f t="shared" ca="1" si="66"/>
        <v>0.19266957241881522</v>
      </c>
      <c r="AA227" s="253">
        <f t="shared" ca="1" si="66"/>
        <v>0.22664557974339766</v>
      </c>
      <c r="AB227" s="253">
        <f t="shared" ca="1" si="66"/>
        <v>0.23041584427958894</v>
      </c>
      <c r="AC227" s="253">
        <f t="shared" ca="1" si="66"/>
        <v>0.21900261161547074</v>
      </c>
      <c r="AD227" s="253">
        <f t="shared" ca="1" si="66"/>
        <v>0.23011001737116388</v>
      </c>
      <c r="AE227" s="253">
        <f t="shared" ca="1" si="66"/>
        <v>0.22957347958221253</v>
      </c>
      <c r="AF227" s="253">
        <f t="shared" ca="1" si="66"/>
        <v>0.24853175907697245</v>
      </c>
      <c r="AG227" s="253">
        <f t="shared" ca="1" si="66"/>
        <v>0.2259123626720545</v>
      </c>
      <c r="AH227" s="249"/>
      <c r="AI227" s="249"/>
      <c r="AJ227" s="292"/>
    </row>
    <row r="228" spans="2:36" ht="11.25" customHeight="1">
      <c r="C228" s="219"/>
      <c r="D228" s="219"/>
      <c r="E228" s="219"/>
      <c r="F228" s="219"/>
      <c r="G228" s="219"/>
      <c r="H228" s="219"/>
      <c r="I228" s="219"/>
      <c r="J228" s="219"/>
      <c r="K228" s="219"/>
      <c r="L228" s="219"/>
      <c r="M228" s="219"/>
      <c r="N228" s="219"/>
      <c r="O228" s="219"/>
      <c r="P228" s="219"/>
      <c r="Q228" s="219"/>
      <c r="R228" s="219"/>
      <c r="S228" s="219"/>
      <c r="T228" s="219"/>
      <c r="U228" s="219"/>
      <c r="V228" s="239"/>
      <c r="W228" s="239"/>
      <c r="X228" s="239"/>
      <c r="Y228" s="239"/>
      <c r="Z228" s="239"/>
      <c r="AA228" s="239"/>
      <c r="AB228" s="239"/>
      <c r="AC228" s="239"/>
      <c r="AD228" s="239"/>
      <c r="AE228" s="239"/>
      <c r="AF228" s="239"/>
      <c r="AG228" s="239"/>
      <c r="AH228" s="239"/>
      <c r="AI228" s="239"/>
      <c r="AJ228" s="239"/>
    </row>
    <row r="229" spans="2:36" ht="11.25" customHeight="1">
      <c r="B229" s="231" t="s">
        <v>14</v>
      </c>
      <c r="C229" s="232" t="s">
        <v>504</v>
      </c>
      <c r="D229" s="232"/>
      <c r="E229" s="232"/>
      <c r="F229" s="232"/>
      <c r="G229" s="232"/>
      <c r="H229" s="232"/>
      <c r="I229" s="232"/>
      <c r="J229" s="232"/>
      <c r="K229" s="232"/>
      <c r="L229" s="232"/>
      <c r="M229" s="232"/>
      <c r="N229" s="232"/>
      <c r="O229" s="232"/>
      <c r="P229" s="232"/>
      <c r="Q229" s="232"/>
      <c r="R229" s="232"/>
      <c r="S229" s="232"/>
      <c r="T229" s="232"/>
      <c r="U229" s="233"/>
      <c r="V229" s="232"/>
      <c r="W229" s="231"/>
      <c r="X229" s="231"/>
      <c r="Y229" s="231"/>
      <c r="Z229" s="231"/>
      <c r="AA229" s="231"/>
      <c r="AB229" s="231"/>
      <c r="AC229" s="231"/>
      <c r="AD229" s="231"/>
      <c r="AE229" s="231"/>
      <c r="AF229" s="231"/>
      <c r="AG229" s="231"/>
      <c r="AH229" s="231"/>
      <c r="AI229" s="231"/>
      <c r="AJ229" s="231"/>
    </row>
    <row r="230" spans="2:36" ht="11.25" customHeight="1">
      <c r="B230" s="227"/>
      <c r="C230" s="233"/>
      <c r="D230" s="227" t="s">
        <v>503</v>
      </c>
      <c r="E230" s="233"/>
      <c r="F230" s="233"/>
      <c r="G230" s="233"/>
      <c r="H230" s="233"/>
      <c r="I230" s="233"/>
      <c r="J230" s="233"/>
      <c r="K230" s="233"/>
      <c r="L230" s="233"/>
      <c r="M230" s="233"/>
      <c r="N230" s="233"/>
      <c r="O230" s="233"/>
      <c r="P230" s="233"/>
      <c r="Q230" s="233"/>
      <c r="R230" s="233"/>
      <c r="S230" s="233"/>
      <c r="T230" s="233"/>
      <c r="U230" s="233"/>
      <c r="V230" s="233"/>
      <c r="W230" s="227"/>
      <c r="X230" s="227"/>
      <c r="Y230" s="227"/>
      <c r="Z230" s="227"/>
      <c r="AA230" s="227"/>
      <c r="AB230" s="227"/>
      <c r="AC230" s="227"/>
      <c r="AD230" s="227"/>
      <c r="AE230" s="227"/>
      <c r="AF230" s="227"/>
      <c r="AG230" s="227"/>
      <c r="AH230" s="227"/>
      <c r="AI230" s="227"/>
      <c r="AJ230" s="227"/>
    </row>
    <row r="231" spans="2:36" ht="11.25" customHeight="1">
      <c r="C231" s="428" t="str">
        <f>+C11</f>
        <v>Commodity Chemicals</v>
      </c>
      <c r="D231" s="219"/>
      <c r="E231" s="219"/>
      <c r="F231" s="219"/>
      <c r="G231" s="219"/>
      <c r="H231" s="219"/>
      <c r="I231" s="219"/>
      <c r="J231" s="219"/>
      <c r="K231" s="219"/>
      <c r="L231" s="219"/>
      <c r="M231" s="219"/>
      <c r="N231" s="219"/>
      <c r="O231" s="219"/>
      <c r="P231" s="219"/>
      <c r="Q231" s="219"/>
      <c r="R231" s="219"/>
      <c r="S231" s="219"/>
      <c r="T231" s="219"/>
      <c r="U231" s="219"/>
      <c r="V231" s="241"/>
      <c r="W231" s="241"/>
      <c r="X231" s="241"/>
      <c r="Y231" s="241"/>
      <c r="Z231" s="241"/>
      <c r="AA231" s="241"/>
      <c r="AB231" s="241"/>
      <c r="AC231" s="241"/>
      <c r="AD231" s="241"/>
      <c r="AE231" s="241"/>
      <c r="AF231" s="241"/>
      <c r="AG231" s="241"/>
      <c r="AH231" s="241"/>
      <c r="AI231" s="241"/>
      <c r="AJ231" s="241"/>
    </row>
    <row r="232" spans="2:36" ht="11.25" customHeight="1">
      <c r="C232" s="229" t="str">
        <f ca="1">IFERROR(IF(BB_Switch=1,_xll.BDP($D232,$C$270),C232), "NA ")</f>
        <v>DuPont de Nemours Inc</v>
      </c>
      <c r="D232" s="227" t="str">
        <f t="shared" ref="D232:D238" si="67">+D12</f>
        <v>DD US EQUITY</v>
      </c>
      <c r="E232" s="287"/>
      <c r="F232" s="242">
        <f t="shared" ref="F232:P232" ca="1" si="68">IFERROR(F313/E313-1,"NA  ")</f>
        <v>0.56591080876795163</v>
      </c>
      <c r="G232" s="242">
        <f t="shared" ca="1" si="68"/>
        <v>-0.25886952744123182</v>
      </c>
      <c r="H232" s="242">
        <f t="shared" ca="1" si="68"/>
        <v>0.30689071251791056</v>
      </c>
      <c r="I232" s="242">
        <f t="shared" ca="1" si="68"/>
        <v>7.1962523671882828E-2</v>
      </c>
      <c r="J232" s="242">
        <f t="shared" ca="1" si="68"/>
        <v>-0.72770804277080425</v>
      </c>
      <c r="K232" s="242">
        <f t="shared" ca="1" si="68"/>
        <v>-2.9708041659552653E-2</v>
      </c>
      <c r="L232" s="242">
        <f t="shared" ca="1" si="68"/>
        <v>-3.9767728312510964E-2</v>
      </c>
      <c r="M232" s="242">
        <f t="shared" ca="1" si="68"/>
        <v>2.6006963533076783</v>
      </c>
      <c r="N232" s="242">
        <f t="shared" ca="1" si="68"/>
        <v>-0.7217161178685938</v>
      </c>
      <c r="O232" s="242">
        <f t="shared" ca="1" si="68"/>
        <v>-7.6810534016094056E-3</v>
      </c>
      <c r="P232" s="242">
        <f t="shared" ca="1" si="68"/>
        <v>-3.7930704017692607E-2</v>
      </c>
      <c r="Q232" s="219"/>
      <c r="R232" s="219"/>
      <c r="S232" s="219"/>
      <c r="T232" s="219"/>
      <c r="U232" s="219"/>
      <c r="V232" s="244"/>
      <c r="W232" s="242" t="str">
        <f t="shared" ref="W232:AE232" ca="1" si="69">IFERROR(W313/V313-1,"NA  ")</f>
        <v xml:space="preserve">NA  </v>
      </c>
      <c r="X232" s="242" t="str">
        <f t="shared" ca="1" si="69"/>
        <v xml:space="preserve">NA  </v>
      </c>
      <c r="Y232" s="242" t="str">
        <f t="shared" ca="1" si="69"/>
        <v xml:space="preserve">NA  </v>
      </c>
      <c r="Z232" s="242" t="str">
        <f t="shared" ca="1" si="69"/>
        <v xml:space="preserve">NA  </v>
      </c>
      <c r="AA232" s="242" t="str">
        <f t="shared" ca="1" si="69"/>
        <v xml:space="preserve">NA  </v>
      </c>
      <c r="AB232" s="242">
        <f t="shared" ca="1" si="69"/>
        <v>-3.9845062029362333E-2</v>
      </c>
      <c r="AC232" s="242">
        <f t="shared" ca="1" si="69"/>
        <v>-0.83535983299009786</v>
      </c>
      <c r="AD232" s="242">
        <f t="shared" ca="1" si="69"/>
        <v>0.93574366004112397</v>
      </c>
      <c r="AE232" s="242">
        <f t="shared" ca="1" si="69"/>
        <v>-4.7888820040718816E-2</v>
      </c>
      <c r="AF232" s="244"/>
      <c r="AG232" s="241"/>
      <c r="AH232" s="241"/>
      <c r="AI232" s="241"/>
      <c r="AJ232" s="241"/>
    </row>
    <row r="233" spans="2:36" ht="11.25" customHeight="1">
      <c r="C233" s="229" t="str">
        <f ca="1">IFERROR(IF(BB_Switch=1,_xll.BDP($D233,$C$270),C233), "NA ")</f>
        <v>PolyOne Corp</v>
      </c>
      <c r="D233" s="227" t="str">
        <f t="shared" si="67"/>
        <v>POL US EQUITY</v>
      </c>
      <c r="E233" s="287"/>
      <c r="F233" s="242">
        <f t="shared" ref="F233:P233" ca="1" si="70">IFERROR(F314/E314-1,"NA  ")</f>
        <v>2.1840090372787779E-2</v>
      </c>
      <c r="G233" s="242">
        <f t="shared" ca="1" si="70"/>
        <v>5.4047414322564435E-3</v>
      </c>
      <c r="H233" s="242">
        <f t="shared" ca="1" si="70"/>
        <v>-2.186927306047648E-2</v>
      </c>
      <c r="I233" s="242">
        <f t="shared" ca="1" si="70"/>
        <v>0.12615538346240318</v>
      </c>
      <c r="J233" s="242">
        <f t="shared" ca="1" si="70"/>
        <v>1.4640638864241273E-2</v>
      </c>
      <c r="K233" s="242">
        <f t="shared" ca="1" si="70"/>
        <v>-0.20310450371665933</v>
      </c>
      <c r="L233" s="242">
        <f t="shared" ca="1" si="70"/>
        <v>-7.119341563786008E-2</v>
      </c>
      <c r="M233" s="242">
        <f t="shared" ca="1" si="70"/>
        <v>0.3290503618372469</v>
      </c>
      <c r="N233" s="242">
        <f t="shared" ca="1" si="70"/>
        <v>4.3338148683187416E-3</v>
      </c>
      <c r="O233" s="242">
        <f t="shared" ca="1" si="70"/>
        <v>-0.21962823633547246</v>
      </c>
      <c r="P233" s="242">
        <f t="shared" ca="1" si="70"/>
        <v>-2.2873954345668412E-2</v>
      </c>
      <c r="Q233" s="219"/>
      <c r="R233" s="219"/>
      <c r="S233" s="219"/>
      <c r="T233" s="219"/>
      <c r="U233" s="219"/>
      <c r="V233" s="244"/>
      <c r="W233" s="242">
        <f t="shared" ref="W233:AE233" ca="1" si="71">IFERROR(W314/V314-1,"NA  ")</f>
        <v>9.2146916358366138E-2</v>
      </c>
      <c r="X233" s="242">
        <f t="shared" ca="1" si="71"/>
        <v>-9.4290204295433E-4</v>
      </c>
      <c r="Y233" s="242">
        <f t="shared" ca="1" si="71"/>
        <v>0.31823266219239366</v>
      </c>
      <c r="Z233" s="242">
        <f t="shared" ca="1" si="71"/>
        <v>1.7050275774289414E-2</v>
      </c>
      <c r="AA233" s="242">
        <f t="shared" ca="1" si="71"/>
        <v>-0.11938469560683096</v>
      </c>
      <c r="AB233" s="242">
        <f t="shared" ca="1" si="71"/>
        <v>-0.12997394599715772</v>
      </c>
      <c r="AC233" s="242">
        <f t="shared" ca="1" si="71"/>
        <v>9.9128836861090308E-2</v>
      </c>
      <c r="AD233" s="242">
        <f t="shared" ca="1" si="71"/>
        <v>-0.10802192018328738</v>
      </c>
      <c r="AE233" s="242">
        <f t="shared" ca="1" si="71"/>
        <v>-6.351961124609562E-3</v>
      </c>
      <c r="AF233" s="244"/>
      <c r="AG233" s="241"/>
      <c r="AH233" s="241"/>
      <c r="AI233" s="241"/>
      <c r="AJ233" s="241"/>
    </row>
    <row r="234" spans="2:36" ht="11.25" customHeight="1">
      <c r="C234" s="229" t="str">
        <f ca="1">IFERROR(IF(BB_Switch=1,_xll.BDP($D234,$C$270),C234), "NA ")</f>
        <v>Olin Corp</v>
      </c>
      <c r="D234" s="227" t="str">
        <f t="shared" si="67"/>
        <v>OLN US EQUITY</v>
      </c>
      <c r="E234" s="287"/>
      <c r="F234" s="242">
        <f t="shared" ref="F234:P234" ca="1" si="72">IFERROR(F315/E315-1,"NA  ")</f>
        <v>-2.5907727649798984E-2</v>
      </c>
      <c r="G234" s="242">
        <f t="shared" ca="1" si="72"/>
        <v>1.8604651162790864E-2</v>
      </c>
      <c r="H234" s="242">
        <f t="shared" ca="1" si="72"/>
        <v>4.1803331403948762E-2</v>
      </c>
      <c r="I234" s="242">
        <f t="shared" ca="1" si="72"/>
        <v>5.5805913945305097E-2</v>
      </c>
      <c r="J234" s="242">
        <f t="shared" ca="1" si="72"/>
        <v>1.0582938665731234E-2</v>
      </c>
      <c r="K234" s="242">
        <f t="shared" ca="1" si="72"/>
        <v>8.3314047674149405E-2</v>
      </c>
      <c r="L234" s="242">
        <f t="shared" ca="1" si="72"/>
        <v>-0.1267891476180304</v>
      </c>
      <c r="M234" s="242">
        <f t="shared" ca="1" si="72"/>
        <v>-4.9908256880733859E-2</v>
      </c>
      <c r="N234" s="242">
        <f t="shared" ca="1" si="72"/>
        <v>2.5428093214883374E-2</v>
      </c>
      <c r="O234" s="242">
        <f t="shared" ca="1" si="72"/>
        <v>-1.0232908531609075E-2</v>
      </c>
      <c r="P234" s="242">
        <f t="shared" ca="1" si="72"/>
        <v>-0.11778510719269308</v>
      </c>
      <c r="Q234" s="219"/>
      <c r="R234" s="219"/>
      <c r="S234" s="219"/>
      <c r="T234" s="219"/>
      <c r="U234" s="219"/>
      <c r="V234" s="244"/>
      <c r="W234" s="242">
        <f t="shared" ref="W234:AE234" ca="1" si="73">IFERROR(W315/V315-1,"NA  ")</f>
        <v>0.23658490447064739</v>
      </c>
      <c r="X234" s="242">
        <f t="shared" ca="1" si="73"/>
        <v>0.11401764315945129</v>
      </c>
      <c r="Y234" s="242">
        <f t="shared" ca="1" si="73"/>
        <v>0.15118780610610161</v>
      </c>
      <c r="Z234" s="242">
        <f t="shared" ca="1" si="73"/>
        <v>-0.10886679920477149</v>
      </c>
      <c r="AA234" s="242">
        <f t="shared" ca="1" si="73"/>
        <v>0.2736034267356775</v>
      </c>
      <c r="AB234" s="242">
        <f t="shared" ca="1" si="73"/>
        <v>0.94457679372197312</v>
      </c>
      <c r="AC234" s="242">
        <f t="shared" ca="1" si="73"/>
        <v>0.12931935286275342</v>
      </c>
      <c r="AD234" s="242">
        <f t="shared" ca="1" si="73"/>
        <v>0.10811371322825614</v>
      </c>
      <c r="AE234" s="242">
        <f t="shared" ca="1" si="73"/>
        <v>-0.12036970386259915</v>
      </c>
      <c r="AF234" s="244"/>
      <c r="AG234" s="241"/>
      <c r="AH234" s="241"/>
      <c r="AI234" s="241"/>
      <c r="AJ234" s="241"/>
    </row>
    <row r="235" spans="2:36" ht="11.25" customHeight="1">
      <c r="C235" s="229" t="str">
        <f ca="1">IFERROR(IF(BB_Switch=1,_xll.BDP($D235,$C$270),C235), "NA ")</f>
        <v>LyondellBasell Industries NV</v>
      </c>
      <c r="D235" s="227" t="str">
        <f t="shared" si="67"/>
        <v>LYB US EQUITY</v>
      </c>
      <c r="E235" s="287"/>
      <c r="F235" s="242">
        <f t="shared" ref="F235:P235" ca="1" si="74">IFERROR(F316/E316-1,"NA  ")</f>
        <v>-3.202846975088991E-3</v>
      </c>
      <c r="G235" s="242">
        <f t="shared" ca="1" si="74"/>
        <v>1.3447578245864511E-2</v>
      </c>
      <c r="H235" s="242">
        <f t="shared" ca="1" si="74"/>
        <v>7.2686707374354231E-2</v>
      </c>
      <c r="I235" s="242">
        <f t="shared" ca="1" si="74"/>
        <v>6.9184455391351873E-2</v>
      </c>
      <c r="J235" s="242">
        <f t="shared" ca="1" si="74"/>
        <v>4.4947271424183421E-2</v>
      </c>
      <c r="K235" s="242">
        <f t="shared" ca="1" si="74"/>
        <v>-4.9970605526160616E-3</v>
      </c>
      <c r="L235" s="242">
        <f t="shared" ca="1" si="74"/>
        <v>-0.12594780896110291</v>
      </c>
      <c r="M235" s="242">
        <f t="shared" ca="1" si="74"/>
        <v>-1.104100946372244E-2</v>
      </c>
      <c r="N235" s="242">
        <f t="shared" ca="1" si="74"/>
        <v>3.0758714969241208E-2</v>
      </c>
      <c r="O235" s="242">
        <f t="shared" ca="1" si="74"/>
        <v>-3.6030061892130871E-2</v>
      </c>
      <c r="P235" s="242">
        <f t="shared" ca="1" si="74"/>
        <v>-3.348670029809675E-2</v>
      </c>
      <c r="Q235" s="219"/>
      <c r="R235" s="219"/>
      <c r="S235" s="219"/>
      <c r="T235" s="219"/>
      <c r="U235" s="219"/>
      <c r="V235" s="244"/>
      <c r="W235" s="242">
        <f t="shared" ref="W235:AE235" ca="1" si="75">IFERROR(W316/V316-1,"NA  ")</f>
        <v>0.17088284610337534</v>
      </c>
      <c r="X235" s="242">
        <f t="shared" ca="1" si="75"/>
        <v>-5.875516260921898E-2</v>
      </c>
      <c r="Y235" s="242">
        <f t="shared" ca="1" si="75"/>
        <v>-2.8444170047627448E-2</v>
      </c>
      <c r="Z235" s="242">
        <f t="shared" ca="1" si="75"/>
        <v>3.5086922972175527E-2</v>
      </c>
      <c r="AA235" s="242">
        <f t="shared" ca="1" si="75"/>
        <v>-0.28225311348886162</v>
      </c>
      <c r="AB235" s="242">
        <f t="shared" ca="1" si="75"/>
        <v>-0.10850771345654497</v>
      </c>
      <c r="AC235" s="242">
        <f t="shared" ca="1" si="75"/>
        <v>0.18164684919302343</v>
      </c>
      <c r="AD235" s="242">
        <f t="shared" ca="1" si="75"/>
        <v>0.13107528128987367</v>
      </c>
      <c r="AE235" s="242">
        <f t="shared" ca="1" si="75"/>
        <v>-0.10965541995692751</v>
      </c>
      <c r="AF235" s="244"/>
      <c r="AG235" s="241"/>
      <c r="AH235" s="241"/>
      <c r="AI235" s="241"/>
      <c r="AJ235" s="241"/>
    </row>
    <row r="236" spans="2:36" ht="11.25" customHeight="1">
      <c r="C236" s="229" t="str">
        <f ca="1">IFERROR(IF(BB_Switch=1,_xll.BDP($D236,$C$270),C236), "NA ")</f>
        <v>Westlake Chemical Corp</v>
      </c>
      <c r="D236" s="227" t="str">
        <f t="shared" si="67"/>
        <v>WLK US EQUITY</v>
      </c>
      <c r="E236" s="287"/>
      <c r="F236" s="242">
        <f t="shared" ref="F236:P236" ca="1" si="76">IFERROR(F317/E317-1,"NA  ")</f>
        <v>1.8528049408131686E-2</v>
      </c>
      <c r="G236" s="242">
        <f t="shared" ca="1" si="76"/>
        <v>6.5689742294087861E-2</v>
      </c>
      <c r="H236" s="242">
        <f t="shared" ca="1" si="76"/>
        <v>-4.6941678520625918E-2</v>
      </c>
      <c r="I236" s="242">
        <f t="shared" ca="1" si="76"/>
        <v>6.9651741293532243E-2</v>
      </c>
      <c r="J236" s="242">
        <f t="shared" ca="1" si="76"/>
        <v>3.953488372093017E-2</v>
      </c>
      <c r="K236" s="242">
        <f t="shared" ca="1" si="76"/>
        <v>8.9485458612974522E-3</v>
      </c>
      <c r="L236" s="242">
        <f t="shared" ca="1" si="76"/>
        <v>-0.11529933481152999</v>
      </c>
      <c r="M236" s="242">
        <f t="shared" ca="1" si="76"/>
        <v>1.5037593984962516E-2</v>
      </c>
      <c r="N236" s="242">
        <f t="shared" ca="1" si="76"/>
        <v>5.8765432098765391E-2</v>
      </c>
      <c r="O236" s="242">
        <f t="shared" ca="1" si="76"/>
        <v>-3.6380597014925353E-2</v>
      </c>
      <c r="P236" s="242">
        <f t="shared" ca="1" si="76"/>
        <v>-7.1002904162633107E-2</v>
      </c>
      <c r="Q236" s="219"/>
      <c r="R236" s="219"/>
      <c r="S236" s="219"/>
      <c r="T236" s="219"/>
      <c r="U236" s="219"/>
      <c r="V236" s="244"/>
      <c r="W236" s="242">
        <f t="shared" ref="W236:AE236" ca="1" si="77">IFERROR(W317/V317-1,"NA  ")</f>
        <v>0.1412645300582922</v>
      </c>
      <c r="X236" s="242">
        <f t="shared" ca="1" si="77"/>
        <v>-1.3483162828936357E-2</v>
      </c>
      <c r="Y236" s="242">
        <f t="shared" ca="1" si="77"/>
        <v>5.27697665750686E-2</v>
      </c>
      <c r="Z236" s="242">
        <f t="shared" ca="1" si="77"/>
        <v>0.17445638816390763</v>
      </c>
      <c r="AA236" s="242">
        <f t="shared" ca="1" si="77"/>
        <v>1.0867994609713882E-2</v>
      </c>
      <c r="AB236" s="242">
        <f t="shared" ca="1" si="77"/>
        <v>0.13726593740645998</v>
      </c>
      <c r="AC236" s="242">
        <f t="shared" ca="1" si="77"/>
        <v>0.58412135539795118</v>
      </c>
      <c r="AD236" s="242">
        <f t="shared" ca="1" si="77"/>
        <v>7.3871409028727797E-2</v>
      </c>
      <c r="AE236" s="242">
        <f t="shared" ca="1" si="77"/>
        <v>-5.987261146496814E-2</v>
      </c>
      <c r="AF236" s="244"/>
      <c r="AG236" s="241"/>
      <c r="AH236" s="241"/>
      <c r="AI236" s="241"/>
      <c r="AJ236" s="241"/>
    </row>
    <row r="237" spans="2:36" ht="11.25" customHeight="1">
      <c r="C237" s="229" t="str">
        <f ca="1">IFERROR(IF(BB_Switch=1,_xll.BDP($D237,$C$270),C237), "NA ")</f>
        <v>Kraton Corp</v>
      </c>
      <c r="D237" s="227" t="str">
        <f t="shared" si="67"/>
        <v>KRA US EQUITY</v>
      </c>
      <c r="E237" s="288"/>
      <c r="F237" s="242">
        <f t="shared" ref="F237:P237" ca="1" si="78">IFERROR(F318/E318-1,"NA  ")</f>
        <v>0.14667394270122802</v>
      </c>
      <c r="G237" s="242">
        <f t="shared" ca="1" si="78"/>
        <v>-2.7360466001675299E-2</v>
      </c>
      <c r="H237" s="242">
        <f t="shared" ca="1" si="78"/>
        <v>-8.8026742499711319E-2</v>
      </c>
      <c r="I237" s="242">
        <f t="shared" ca="1" si="78"/>
        <v>7.8163830289503577E-2</v>
      </c>
      <c r="J237" s="242">
        <f t="shared" ca="1" si="78"/>
        <v>7.1663163426169074E-2</v>
      </c>
      <c r="K237" s="242">
        <f t="shared" ca="1" si="78"/>
        <v>-2.8399223618347014E-2</v>
      </c>
      <c r="L237" s="242">
        <f t="shared" ca="1" si="78"/>
        <v>-0.14399021229007558</v>
      </c>
      <c r="M237" s="242">
        <f t="shared" ca="1" si="78"/>
        <v>1.9268261635658313E-2</v>
      </c>
      <c r="N237" s="242">
        <f t="shared" ca="1" si="78"/>
        <v>8.5162276982807095E-2</v>
      </c>
      <c r="O237" s="242">
        <f t="shared" ca="1" si="78"/>
        <v>-0.10309118074624446</v>
      </c>
      <c r="P237" s="242">
        <f t="shared" ca="1" si="78"/>
        <v>-0.12993757611639256</v>
      </c>
      <c r="Q237" s="219"/>
      <c r="R237" s="219"/>
      <c r="S237" s="219"/>
      <c r="T237" s="219"/>
      <c r="U237" s="219"/>
      <c r="V237" s="241"/>
      <c r="W237" s="242">
        <f t="shared" ref="W237:AE238" ca="1" si="79">IFERROR(W318/V318-1,"NA  ")</f>
        <v>0.17018051570099924</v>
      </c>
      <c r="X237" s="242">
        <f t="shared" ca="1" si="79"/>
        <v>-9.9876241670312504E-3</v>
      </c>
      <c r="Y237" s="242">
        <f t="shared" ca="1" si="79"/>
        <v>-9.205184095249741E-2</v>
      </c>
      <c r="Z237" s="242">
        <f t="shared" ca="1" si="79"/>
        <v>-4.7741658869409398E-2</v>
      </c>
      <c r="AA237" s="242">
        <f t="shared" ca="1" si="79"/>
        <v>-0.15913666164675366</v>
      </c>
      <c r="AB237" s="242">
        <f t="shared" ca="1" si="79"/>
        <v>0.68573378206231062</v>
      </c>
      <c r="AC237" s="242">
        <f t="shared" ca="1" si="79"/>
        <v>0.12399375266612545</v>
      </c>
      <c r="AD237" s="242">
        <f t="shared" ca="1" si="79"/>
        <v>2.6175267629141796E-2</v>
      </c>
      <c r="AE237" s="242">
        <f t="shared" ca="1" si="79"/>
        <v>-0.10301813165645546</v>
      </c>
      <c r="AF237" s="244"/>
      <c r="AG237" s="241"/>
      <c r="AH237" s="241"/>
      <c r="AI237" s="241"/>
      <c r="AJ237" s="241"/>
    </row>
    <row r="238" spans="2:36" ht="11.25" customHeight="1">
      <c r="C238" s="229" t="str">
        <f ca="1">IFERROR(IF(BB_Switch=1,_xll.BDP($D238,$C$270),C238), "NA ")</f>
        <v>Dow Inc</v>
      </c>
      <c r="D238" s="227" t="str">
        <f t="shared" si="67"/>
        <v>DOW US EQUITY</v>
      </c>
      <c r="E238" s="219"/>
      <c r="F238" s="242">
        <f ca="1">IFERROR(F319/E319-1,"NA  ")</f>
        <v>3.9444919684440638E-2</v>
      </c>
      <c r="G238" s="242">
        <f t="shared" ref="G238:P238" ca="1" si="80">IFERROR(G319/F319-1,"NA  ")</f>
        <v>2.9078273591806925E-2</v>
      </c>
      <c r="H238" s="242">
        <f t="shared" ca="1" si="80"/>
        <v>-2.0881464368224578E-2</v>
      </c>
      <c r="I238" s="242">
        <f t="shared" ca="1" si="80"/>
        <v>0.11589073418640528</v>
      </c>
      <c r="J238" s="242">
        <f t="shared" ca="1" si="80"/>
        <v>4.0094339622641417E-2</v>
      </c>
      <c r="K238" s="242">
        <f t="shared" ca="1" si="80"/>
        <v>-1.2119790444913625E-2</v>
      </c>
      <c r="L238" s="242">
        <f t="shared" ca="1" si="80"/>
        <v>-5.461453221465884E-2</v>
      </c>
      <c r="M238" s="242">
        <f t="shared" ca="1" si="80"/>
        <v>-7.7695914266577404E-2</v>
      </c>
      <c r="N238" s="242">
        <f t="shared" ca="1" si="80"/>
        <v>-1.8155410312270526E-4</v>
      </c>
      <c r="O238" s="242">
        <f t="shared" ca="1" si="80"/>
        <v>-2.2698383875068062E-2</v>
      </c>
      <c r="P238" s="242">
        <f t="shared" ca="1" si="80"/>
        <v>-6.9305091044221445E-2</v>
      </c>
      <c r="Q238" s="219"/>
      <c r="R238" s="219"/>
      <c r="S238" s="219"/>
      <c r="T238" s="219"/>
      <c r="U238" s="219"/>
      <c r="V238" s="241"/>
      <c r="W238" s="242" t="str">
        <f t="shared" ca="1" si="79"/>
        <v xml:space="preserve">NA  </v>
      </c>
      <c r="X238" s="242" t="str">
        <f t="shared" ref="X238:AE238" ca="1" si="81">IFERROR(X319/W319-1,"NA  ")</f>
        <v xml:space="preserve">NA  </v>
      </c>
      <c r="Y238" s="242" t="str">
        <f t="shared" ca="1" si="81"/>
        <v xml:space="preserve">NA  </v>
      </c>
      <c r="Z238" s="242" t="str">
        <f t="shared" ca="1" si="81"/>
        <v xml:space="preserve">NA  </v>
      </c>
      <c r="AA238" s="242" t="str">
        <f t="shared" ca="1" si="81"/>
        <v xml:space="preserve">NA  </v>
      </c>
      <c r="AB238" s="242" t="str">
        <f t="shared" ca="1" si="81"/>
        <v xml:space="preserve">NA  </v>
      </c>
      <c r="AC238" s="242">
        <f t="shared" ca="1" si="81"/>
        <v>0.20597887537574811</v>
      </c>
      <c r="AD238" s="242">
        <f t="shared" ca="1" si="81"/>
        <v>0.13432426252000917</v>
      </c>
      <c r="AE238" s="242">
        <f t="shared" ca="1" si="81"/>
        <v>-0.13412224820578988</v>
      </c>
      <c r="AF238" s="244"/>
      <c r="AG238" s="241"/>
      <c r="AH238" s="241"/>
      <c r="AI238" s="241"/>
      <c r="AJ238" s="241"/>
    </row>
    <row r="239" spans="2:36" ht="11.25" customHeight="1">
      <c r="C239" s="229"/>
      <c r="D239" s="238"/>
      <c r="E239" s="219"/>
      <c r="F239" s="242"/>
      <c r="G239" s="242"/>
      <c r="H239" s="242"/>
      <c r="I239" s="242"/>
      <c r="J239" s="242"/>
      <c r="K239" s="242"/>
      <c r="L239" s="242"/>
      <c r="M239" s="242"/>
      <c r="N239" s="242"/>
      <c r="O239" s="242"/>
      <c r="P239" s="242"/>
      <c r="Q239" s="219"/>
      <c r="R239" s="219"/>
      <c r="S239" s="219"/>
      <c r="T239" s="219"/>
      <c r="U239" s="219"/>
      <c r="V239" s="241"/>
      <c r="W239" s="242"/>
      <c r="X239" s="242"/>
      <c r="Y239" s="242"/>
      <c r="Z239" s="242"/>
      <c r="AA239" s="242"/>
      <c r="AB239" s="242"/>
      <c r="AC239" s="242"/>
      <c r="AD239" s="242"/>
      <c r="AE239" s="242"/>
      <c r="AF239" s="244"/>
      <c r="AG239" s="241"/>
      <c r="AH239" s="241"/>
      <c r="AI239" s="241"/>
      <c r="AJ239" s="241"/>
    </row>
    <row r="240" spans="2:36" ht="11.25" customHeight="1">
      <c r="C240" s="428" t="str">
        <f>+C20</f>
        <v>Specialty Chemicals</v>
      </c>
      <c r="D240" s="238"/>
      <c r="E240" s="219"/>
      <c r="F240" s="242"/>
      <c r="G240" s="242"/>
      <c r="H240" s="242"/>
      <c r="I240" s="242"/>
      <c r="J240" s="242"/>
      <c r="K240" s="242"/>
      <c r="L240" s="242"/>
      <c r="M240" s="242"/>
      <c r="N240" s="242"/>
      <c r="O240" s="242"/>
      <c r="P240" s="242"/>
      <c r="Q240" s="219"/>
      <c r="R240" s="219"/>
      <c r="S240" s="219"/>
      <c r="T240" s="219"/>
      <c r="U240" s="219"/>
      <c r="V240" s="241"/>
      <c r="W240" s="242"/>
      <c r="X240" s="242"/>
      <c r="Y240" s="242"/>
      <c r="Z240" s="242"/>
      <c r="AA240" s="242"/>
      <c r="AB240" s="242"/>
      <c r="AC240" s="242"/>
      <c r="AD240" s="242"/>
      <c r="AE240" s="242"/>
      <c r="AF240" s="244"/>
      <c r="AG240" s="241"/>
      <c r="AH240" s="241"/>
      <c r="AI240" s="241"/>
      <c r="AJ240" s="241"/>
    </row>
    <row r="241" spans="2:36" ht="11.25" customHeight="1">
      <c r="C241" s="229" t="str">
        <f ca="1">IFERROR(IF(BB_Switch=1,_xll.BDP($D241,$C$270),C241), "NA ")</f>
        <v>Eastman Chemical Co</v>
      </c>
      <c r="D241" s="227" t="str">
        <f>+D21</f>
        <v>EMN US EQUITY</v>
      </c>
      <c r="E241" s="219"/>
      <c r="F241" s="242">
        <f ca="1">IFERROR(F322/E322-1,"NA  ")</f>
        <v>5.0369083803734283E-2</v>
      </c>
      <c r="G241" s="242">
        <f t="shared" ref="G241:P241" ca="1" si="82">IFERROR(G322/F322-1,"NA  ")</f>
        <v>1.9016122364613475E-2</v>
      </c>
      <c r="H241" s="242">
        <f t="shared" ca="1" si="82"/>
        <v>-4.1784989858012156E-2</v>
      </c>
      <c r="I241" s="242">
        <f t="shared" ca="1" si="82"/>
        <v>0.10372565622353935</v>
      </c>
      <c r="J241" s="242">
        <f t="shared" ca="1" si="82"/>
        <v>5.3701572688913402E-3</v>
      </c>
      <c r="K241" s="242">
        <f t="shared" ca="1" si="82"/>
        <v>-2.8233498664631873E-2</v>
      </c>
      <c r="L241" s="242">
        <f t="shared" ca="1" si="82"/>
        <v>-6.7137809187279185E-2</v>
      </c>
      <c r="M241" s="242">
        <f t="shared" ca="1" si="82"/>
        <v>1.6835016835017313E-3</v>
      </c>
      <c r="N241" s="242">
        <f t="shared" ca="1" si="82"/>
        <v>-7.1428571428571175E-3</v>
      </c>
      <c r="O241" s="242">
        <f t="shared" ca="1" si="82"/>
        <v>-1.6081252644942867E-2</v>
      </c>
      <c r="P241" s="242">
        <f t="shared" ca="1" si="82"/>
        <v>-5.1971182795699011E-2</v>
      </c>
      <c r="Q241" s="219"/>
      <c r="R241" s="219"/>
      <c r="S241" s="219"/>
      <c r="T241" s="219"/>
      <c r="U241" s="219"/>
      <c r="V241" s="241"/>
      <c r="W241" s="242">
        <f t="shared" ref="W241:AE241" ca="1" si="83">IFERROR(W322/V322-1,"NA  ")</f>
        <v>0.22868880520369728</v>
      </c>
      <c r="X241" s="242">
        <f t="shared" ca="1" si="83"/>
        <v>0.12872666480913897</v>
      </c>
      <c r="Y241" s="242">
        <f t="shared" ca="1" si="83"/>
        <v>0.15403604048383124</v>
      </c>
      <c r="Z241" s="242">
        <f t="shared" ca="1" si="83"/>
        <v>1.8930481283422562E-2</v>
      </c>
      <c r="AA241" s="242">
        <f t="shared" ca="1" si="83"/>
        <v>1.270074525034115E-2</v>
      </c>
      <c r="AB241" s="242">
        <f t="shared" ca="1" si="83"/>
        <v>-6.6334991708126068E-2</v>
      </c>
      <c r="AC241" s="242">
        <f t="shared" ca="1" si="83"/>
        <v>6.0057726465364114E-2</v>
      </c>
      <c r="AD241" s="242">
        <f t="shared" ca="1" si="83"/>
        <v>6.3043250602157208E-2</v>
      </c>
      <c r="AE241" s="242">
        <f t="shared" ca="1" si="83"/>
        <v>-8.6493941483597681E-2</v>
      </c>
      <c r="AF241" s="244"/>
      <c r="AG241" s="241"/>
      <c r="AH241" s="241"/>
      <c r="AI241" s="241"/>
      <c r="AJ241" s="241"/>
    </row>
    <row r="242" spans="2:36" ht="11.25" customHeight="1">
      <c r="C242" s="229" t="str">
        <f ca="1">IFERROR(IF(BB_Switch=1,_xll.BDP($D242,$C$270),C242), "NA ")</f>
        <v>Celanese Corp</v>
      </c>
      <c r="D242" s="227" t="str">
        <f>+D22</f>
        <v>CE US EQUITY</v>
      </c>
      <c r="E242" s="219"/>
      <c r="F242" s="242">
        <f t="shared" ref="F242:P242" ca="1" si="84">IFERROR(F323/E323-1,"NA  ")</f>
        <v>2.651257647858607E-2</v>
      </c>
      <c r="G242" s="242">
        <f t="shared" ca="1" si="84"/>
        <v>3.7086092715231889E-2</v>
      </c>
      <c r="H242" s="242">
        <f t="shared" ca="1" si="84"/>
        <v>1.7241379310344751E-2</v>
      </c>
      <c r="I242" s="242">
        <f t="shared" ca="1" si="84"/>
        <v>0.16195856873822967</v>
      </c>
      <c r="J242" s="242">
        <f t="shared" ca="1" si="84"/>
        <v>-3.7817396002161052E-3</v>
      </c>
      <c r="K242" s="242">
        <f t="shared" ca="1" si="84"/>
        <v>-3.9587852494576969E-2</v>
      </c>
      <c r="L242" s="242">
        <f t="shared" ca="1" si="84"/>
        <v>-4.6301524562394114E-2</v>
      </c>
      <c r="M242" s="242">
        <f t="shared" ca="1" si="84"/>
        <v>-1.184132622853773E-3</v>
      </c>
      <c r="N242" s="242">
        <f t="shared" ca="1" si="84"/>
        <v>-5.6312981624184966E-2</v>
      </c>
      <c r="O242" s="242">
        <f t="shared" ca="1" si="84"/>
        <v>-3.7688442211055717E-3</v>
      </c>
      <c r="P242" s="242">
        <f t="shared" ca="1" si="84"/>
        <v>-3.4145018915510694E-2</v>
      </c>
      <c r="Q242" s="219"/>
      <c r="R242" s="219"/>
      <c r="S242" s="219"/>
      <c r="T242" s="219"/>
      <c r="U242" s="219"/>
      <c r="V242" s="241"/>
      <c r="W242" s="242">
        <f t="shared" ref="W242:AE242" ca="1" si="85">IFERROR(W323/V323-1,"NA  ")</f>
        <v>0.14278472456911118</v>
      </c>
      <c r="X242" s="242">
        <f t="shared" ca="1" si="85"/>
        <v>-5.1012864113559098E-2</v>
      </c>
      <c r="Y242" s="242">
        <f t="shared" ca="1" si="85"/>
        <v>1.4334683702087903E-2</v>
      </c>
      <c r="Z242" s="242">
        <f t="shared" ca="1" si="85"/>
        <v>4.4854070660522272E-2</v>
      </c>
      <c r="AA242" s="242">
        <f t="shared" ca="1" si="85"/>
        <v>-0.16583357835930612</v>
      </c>
      <c r="AB242" s="242">
        <f t="shared" ca="1" si="85"/>
        <v>-5.022911526260132E-2</v>
      </c>
      <c r="AC242" s="242">
        <f t="shared" ca="1" si="85"/>
        <v>0.13935795138244567</v>
      </c>
      <c r="AD242" s="242">
        <f t="shared" ca="1" si="85"/>
        <v>0.16530944625407162</v>
      </c>
      <c r="AE242" s="242">
        <f t="shared" ca="1" si="85"/>
        <v>-0.11991614255765204</v>
      </c>
      <c r="AF242" s="244"/>
      <c r="AG242" s="241"/>
      <c r="AH242" s="241"/>
      <c r="AI242" s="241"/>
      <c r="AJ242" s="241"/>
    </row>
    <row r="243" spans="2:36" ht="11.25" customHeight="1">
      <c r="C243" s="229" t="str">
        <f ca="1">IFERROR(IF(BB_Switch=1,_xll.BDP($D243,$C$270),C243), "NA ")</f>
        <v>BASF SE</v>
      </c>
      <c r="D243" s="227" t="str">
        <f>+D23</f>
        <v>BAS GR EQUITY</v>
      </c>
      <c r="E243" s="219"/>
      <c r="F243" s="242">
        <f t="shared" ref="F243:P243" ca="1" si="86">IFERROR(F324/E324-1,"NA  ")</f>
        <v>-3.6064141760778656E-2</v>
      </c>
      <c r="G243" s="242">
        <f t="shared" ca="1" si="86"/>
        <v>-6.039225839860185E-2</v>
      </c>
      <c r="H243" s="242">
        <f t="shared" ca="1" si="86"/>
        <v>4.925599338660791E-2</v>
      </c>
      <c r="I243" s="242">
        <f t="shared" ca="1" si="86"/>
        <v>3.0792462740463433E-2</v>
      </c>
      <c r="J243" s="242">
        <f t="shared" ca="1" si="86"/>
        <v>5.2866242038216438E-3</v>
      </c>
      <c r="K243" s="242">
        <f t="shared" ca="1" si="86"/>
        <v>-1.121459798517388E-2</v>
      </c>
      <c r="L243" s="242">
        <f t="shared" ca="1" si="86"/>
        <v>-1.2815583749840043E-3</v>
      </c>
      <c r="M243" s="242">
        <f t="shared" ca="1" si="86"/>
        <v>3.7918644937764645E-2</v>
      </c>
      <c r="N243" s="242">
        <f t="shared" ca="1" si="86"/>
        <v>-6.2990665760029652E-2</v>
      </c>
      <c r="O243" s="242">
        <f t="shared" ca="1" si="86"/>
        <v>4.8159387782029661E-3</v>
      </c>
      <c r="P243" s="242">
        <f t="shared" ca="1" si="86"/>
        <v>-4.9241678156392021E-3</v>
      </c>
      <c r="Q243" s="219"/>
      <c r="R243" s="219"/>
      <c r="S243" s="219"/>
      <c r="T243" s="219"/>
      <c r="U243" s="219"/>
      <c r="V243" s="241"/>
      <c r="W243" s="242">
        <f t="shared" ref="W243:AE243" ca="1" si="87">IFERROR(W324/V324-1,"NA  ")</f>
        <v>0.15067399370626089</v>
      </c>
      <c r="X243" s="242">
        <f t="shared" ca="1" si="87"/>
        <v>-1.8613004612433204E-2</v>
      </c>
      <c r="Y243" s="242">
        <f t="shared" ca="1" si="87"/>
        <v>2.5565306603446691E-2</v>
      </c>
      <c r="Z243" s="242">
        <f t="shared" ca="1" si="87"/>
        <v>4.7720114095683996E-3</v>
      </c>
      <c r="AA243" s="242">
        <f t="shared" ca="1" si="87"/>
        <v>-5.2162096709092332E-2</v>
      </c>
      <c r="AB243" s="242">
        <f t="shared" ca="1" si="87"/>
        <v>-0.18309699215034991</v>
      </c>
      <c r="AC243" s="242">
        <f t="shared" ca="1" si="87"/>
        <v>6.3822762814943479E-2</v>
      </c>
      <c r="AD243" s="242">
        <f t="shared" ca="1" si="87"/>
        <v>-1.6382731979811549E-2</v>
      </c>
      <c r="AE243" s="242">
        <f t="shared" ca="1" si="87"/>
        <v>-1.501162404516776E-2</v>
      </c>
      <c r="AF243" s="244"/>
      <c r="AG243" s="241"/>
      <c r="AH243" s="241"/>
      <c r="AI243" s="241"/>
      <c r="AJ243" s="241"/>
    </row>
    <row r="244" spans="2:36" ht="11.25" customHeight="1">
      <c r="C244" s="229" t="str">
        <f ca="1">IFERROR(IF(BB_Switch=1,_xll.BDP($D244,$C$270),C244), "NA ")</f>
        <v>Trinseo SA</v>
      </c>
      <c r="D244" s="227" t="str">
        <f>+D24</f>
        <v>TSE US EQUITY</v>
      </c>
      <c r="E244" s="219"/>
      <c r="F244" s="242">
        <f t="shared" ref="F244:P244" ca="1" si="88">IFERROR(F325/E325-1,"NA  ")</f>
        <v>3.6858640639571227E-2</v>
      </c>
      <c r="G244" s="242">
        <f t="shared" ca="1" si="88"/>
        <v>-4.2438002095703919E-2</v>
      </c>
      <c r="H244" s="242">
        <f t="shared" ca="1" si="88"/>
        <v>4.7419296005837275E-3</v>
      </c>
      <c r="I244" s="242">
        <f t="shared" ca="1" si="88"/>
        <v>1.7970593574151428E-2</v>
      </c>
      <c r="J244" s="242">
        <f t="shared" ca="1" si="88"/>
        <v>0.10253209700427957</v>
      </c>
      <c r="K244" s="242">
        <f t="shared" ca="1" si="88"/>
        <v>-2.9839883551673885E-2</v>
      </c>
      <c r="L244" s="242">
        <f t="shared" ca="1" si="88"/>
        <v>-0.1122780695173794</v>
      </c>
      <c r="M244" s="242">
        <f t="shared" ca="1" si="88"/>
        <v>-4.873239436619714E-2</v>
      </c>
      <c r="N244" s="242">
        <f t="shared" ca="1" si="88"/>
        <v>-6.0507353666962804E-2</v>
      </c>
      <c r="O244" s="242">
        <f t="shared" ca="1" si="88"/>
        <v>-3.1204034461021157E-2</v>
      </c>
      <c r="P244" s="242">
        <f t="shared" ca="1" si="88"/>
        <v>-2.7762715540613825E-2</v>
      </c>
      <c r="Q244" s="219"/>
      <c r="R244" s="219"/>
      <c r="S244" s="219"/>
      <c r="T244" s="219"/>
      <c r="U244" s="219"/>
      <c r="V244" s="241"/>
      <c r="W244" s="242">
        <f t="shared" ref="W244:AE244" ca="1" si="89">IFERROR(W325/V325-1,"NA  ")</f>
        <v>0.24679596490288547</v>
      </c>
      <c r="X244" s="242">
        <f t="shared" ca="1" si="89"/>
        <v>-0.11964572738467449</v>
      </c>
      <c r="Y244" s="242">
        <f t="shared" ca="1" si="89"/>
        <v>-2.6503560495965695E-2</v>
      </c>
      <c r="Z244" s="242">
        <f t="shared" ca="1" si="89"/>
        <v>-3.3811758419448612E-2</v>
      </c>
      <c r="AA244" s="242">
        <f t="shared" ca="1" si="89"/>
        <v>-0.22544223717770084</v>
      </c>
      <c r="AB244" s="242">
        <f t="shared" ca="1" si="89"/>
        <v>-6.42770138840284E-2</v>
      </c>
      <c r="AC244" s="242">
        <f t="shared" ca="1" si="89"/>
        <v>0.19681967389549593</v>
      </c>
      <c r="AD244" s="242">
        <f t="shared" ca="1" si="89"/>
        <v>3.9275196151165703E-2</v>
      </c>
      <c r="AE244" s="242">
        <f t="shared" ca="1" si="89"/>
        <v>-0.1832222895215021</v>
      </c>
      <c r="AF244" s="244"/>
      <c r="AG244" s="241"/>
      <c r="AH244" s="241"/>
      <c r="AI244" s="241"/>
      <c r="AJ244" s="241"/>
    </row>
    <row r="245" spans="2:36" ht="11.25" customHeight="1">
      <c r="C245" s="219"/>
      <c r="D245" s="219"/>
      <c r="E245" s="219"/>
      <c r="F245" s="219"/>
      <c r="G245" s="219"/>
      <c r="H245" s="219"/>
      <c r="I245" s="219"/>
      <c r="J245" s="219"/>
      <c r="K245" s="219"/>
      <c r="L245" s="219"/>
      <c r="M245" s="219"/>
      <c r="N245" s="219"/>
      <c r="O245" s="219"/>
      <c r="P245" s="219"/>
      <c r="Q245" s="219"/>
      <c r="R245" s="219"/>
      <c r="S245" s="219"/>
      <c r="T245" s="219"/>
      <c r="U245" s="219"/>
      <c r="V245" s="241"/>
      <c r="W245" s="241"/>
      <c r="X245" s="241"/>
      <c r="Y245" s="241"/>
      <c r="Z245" s="241"/>
      <c r="AA245" s="241"/>
      <c r="AB245" s="241"/>
      <c r="AC245" s="241"/>
      <c r="AD245" s="241"/>
      <c r="AE245" s="241"/>
      <c r="AF245" s="241"/>
      <c r="AG245" s="241"/>
      <c r="AH245" s="241"/>
      <c r="AI245" s="241"/>
      <c r="AJ245" s="241"/>
    </row>
    <row r="246" spans="2:36" ht="11.25" customHeight="1">
      <c r="C246" s="224" t="s">
        <v>482</v>
      </c>
      <c r="D246" s="223"/>
      <c r="E246" s="250"/>
      <c r="F246" s="254">
        <f t="shared" ref="F246:O246" ca="1" si="90">AVERAGE(F232:F238,F241:F244)</f>
        <v>7.6451217770069524E-2</v>
      </c>
      <c r="G246" s="254">
        <f t="shared" ca="1" si="90"/>
        <v>-1.8248459284596449E-2</v>
      </c>
      <c r="H246" s="254">
        <f t="shared" ca="1" si="90"/>
        <v>2.4828718662427227E-2</v>
      </c>
      <c r="I246" s="254">
        <f t="shared" ca="1" si="90"/>
        <v>8.193289668334254E-2</v>
      </c>
      <c r="J246" s="254">
        <f t="shared" ca="1" si="90"/>
        <v>-3.6076151651830111E-2</v>
      </c>
      <c r="K246" s="254">
        <f t="shared" ca="1" si="90"/>
        <v>-2.6812896286608948E-2</v>
      </c>
      <c r="L246" s="254">
        <f t="shared" ca="1" si="90"/>
        <v>-8.2236467407982308E-2</v>
      </c>
      <c r="M246" s="254">
        <f t="shared" ca="1" si="90"/>
        <v>0.25591754634424796</v>
      </c>
      <c r="N246" s="254">
        <f t="shared" ca="1" si="90"/>
        <v>-6.4036654366521381E-2</v>
      </c>
      <c r="O246" s="254">
        <f t="shared" ca="1" si="90"/>
        <v>-4.3816419485993303E-2</v>
      </c>
      <c r="P246" s="254">
        <f ca="1">AVERAGE(P232:P238,P241:P244)</f>
        <v>-5.4647738385896427E-2</v>
      </c>
      <c r="Q246" s="254"/>
      <c r="R246" s="254"/>
      <c r="S246" s="254"/>
      <c r="T246" s="441"/>
      <c r="U246" s="241"/>
      <c r="V246" s="421"/>
      <c r="W246" s="254">
        <f t="shared" ref="W246:AE246" ca="1" si="91">AVERAGE(W232:W238,W241:W244)</f>
        <v>0.1755559112304039</v>
      </c>
      <c r="X246" s="254">
        <f t="shared" ca="1" si="91"/>
        <v>-3.2995710878019396E-3</v>
      </c>
      <c r="Y246" s="254">
        <f t="shared" ca="1" si="91"/>
        <v>6.3236299351871014E-2</v>
      </c>
      <c r="Z246" s="254">
        <f t="shared" ca="1" si="91"/>
        <v>1.1636659307806255E-2</v>
      </c>
      <c r="AA246" s="254">
        <f t="shared" ca="1" si="91"/>
        <v>-7.8560024043645885E-2</v>
      </c>
      <c r="AB246" s="254">
        <f t="shared" ca="1" si="91"/>
        <v>0.11253116787025727</v>
      </c>
      <c r="AC246" s="254">
        <f t="shared" ca="1" si="91"/>
        <v>8.626248217498575E-2</v>
      </c>
      <c r="AD246" s="254">
        <f t="shared" ca="1" si="91"/>
        <v>0.14113880314376617</v>
      </c>
      <c r="AE246" s="254">
        <f t="shared" ca="1" si="91"/>
        <v>-8.9629353992726188E-2</v>
      </c>
      <c r="AF246" s="250"/>
      <c r="AG246" s="250"/>
      <c r="AH246" s="250"/>
      <c r="AI246" s="250"/>
      <c r="AJ246" s="291"/>
    </row>
    <row r="247" spans="2:36" ht="11.25" customHeight="1">
      <c r="C247" s="221" t="s">
        <v>481</v>
      </c>
      <c r="D247" s="220"/>
      <c r="E247" s="249"/>
      <c r="F247" s="253">
        <f t="shared" ref="F247:O247" ca="1" si="92">MEDIAN(F232:F238,F241:F244)</f>
        <v>2.651257647858607E-2</v>
      </c>
      <c r="G247" s="253">
        <f t="shared" ca="1" si="92"/>
        <v>1.3447578245864511E-2</v>
      </c>
      <c r="H247" s="253">
        <f t="shared" ca="1" si="92"/>
        <v>4.7419296005837275E-3</v>
      </c>
      <c r="I247" s="253">
        <f t="shared" ca="1" si="92"/>
        <v>7.1962523671882828E-2</v>
      </c>
      <c r="J247" s="253">
        <f t="shared" ca="1" si="92"/>
        <v>1.4640638864241273E-2</v>
      </c>
      <c r="K247" s="253">
        <f t="shared" ca="1" si="92"/>
        <v>-2.8233498664631873E-2</v>
      </c>
      <c r="L247" s="253">
        <f t="shared" ca="1" si="92"/>
        <v>-7.119341563786008E-2</v>
      </c>
      <c r="M247" s="253">
        <f t="shared" ca="1" si="92"/>
        <v>1.6835016835017313E-3</v>
      </c>
      <c r="N247" s="253">
        <f t="shared" ca="1" si="92"/>
        <v>-1.8155410312270526E-4</v>
      </c>
      <c r="O247" s="253">
        <f t="shared" ca="1" si="92"/>
        <v>-2.2698383875068062E-2</v>
      </c>
      <c r="P247" s="253">
        <f ca="1">MEDIAN(P232:P238,P241:P244)</f>
        <v>-3.7930704017692607E-2</v>
      </c>
      <c r="Q247" s="253"/>
      <c r="R247" s="253"/>
      <c r="S247" s="253"/>
      <c r="T247" s="442"/>
      <c r="U247" s="241"/>
      <c r="V247" s="422"/>
      <c r="W247" s="253">
        <f t="shared" ref="W247:AE247" ca="1" si="93">MEDIAN(W232:W238,W241:W244)</f>
        <v>0.17018051570099924</v>
      </c>
      <c r="X247" s="253">
        <f t="shared" ca="1" si="93"/>
        <v>-1.3483162828936357E-2</v>
      </c>
      <c r="Y247" s="253">
        <f t="shared" ca="1" si="93"/>
        <v>2.5565306603446691E-2</v>
      </c>
      <c r="Z247" s="253">
        <f t="shared" ca="1" si="93"/>
        <v>1.7050275774289414E-2</v>
      </c>
      <c r="AA247" s="253">
        <f t="shared" ca="1" si="93"/>
        <v>-0.11938469560683096</v>
      </c>
      <c r="AB247" s="253">
        <f t="shared" ca="1" si="93"/>
        <v>-5.725306457331486E-2</v>
      </c>
      <c r="AC247" s="253">
        <f t="shared" ca="1" si="93"/>
        <v>0.12931935286275342</v>
      </c>
      <c r="AD247" s="253">
        <f t="shared" ca="1" si="93"/>
        <v>7.3871409028727797E-2</v>
      </c>
      <c r="AE247" s="253">
        <f t="shared" ca="1" si="93"/>
        <v>-0.10301813165645546</v>
      </c>
      <c r="AF247" s="249"/>
      <c r="AG247" s="249"/>
      <c r="AH247" s="249"/>
      <c r="AI247" s="249"/>
      <c r="AJ247" s="292"/>
    </row>
    <row r="248" spans="2:36" ht="11.25" customHeight="1">
      <c r="C248" s="219"/>
      <c r="D248" s="219"/>
      <c r="E248" s="219"/>
      <c r="F248" s="219"/>
      <c r="G248" s="219"/>
      <c r="H248" s="219"/>
      <c r="I248" s="219"/>
      <c r="J248" s="219"/>
      <c r="K248" s="219"/>
      <c r="L248" s="219"/>
      <c r="M248" s="219"/>
      <c r="N248" s="219"/>
      <c r="O248" s="219"/>
      <c r="P248" s="219"/>
      <c r="Q248" s="219"/>
      <c r="R248" s="219"/>
      <c r="S248" s="219"/>
      <c r="T248" s="219"/>
      <c r="U248" s="219"/>
      <c r="V248" s="241"/>
      <c r="W248" s="241"/>
      <c r="X248" s="241"/>
      <c r="Y248" s="241"/>
      <c r="Z248" s="241"/>
      <c r="AA248" s="241"/>
      <c r="AB248" s="241"/>
      <c r="AC248" s="241"/>
      <c r="AD248" s="241"/>
      <c r="AE248" s="241"/>
      <c r="AF248" s="241"/>
      <c r="AG248" s="241"/>
      <c r="AH248" s="241"/>
      <c r="AI248" s="241"/>
      <c r="AJ248" s="241"/>
    </row>
    <row r="249" spans="2:36" ht="11.25" customHeight="1">
      <c r="B249" s="231" t="s">
        <v>14</v>
      </c>
      <c r="C249" s="232" t="s">
        <v>502</v>
      </c>
      <c r="D249" s="232"/>
      <c r="E249" s="232"/>
      <c r="F249" s="232"/>
      <c r="G249" s="232"/>
      <c r="H249" s="232"/>
      <c r="I249" s="232"/>
      <c r="J249" s="232"/>
      <c r="K249" s="232"/>
      <c r="L249" s="232"/>
      <c r="M249" s="232"/>
      <c r="N249" s="232"/>
      <c r="O249" s="232"/>
      <c r="P249" s="232"/>
      <c r="Q249" s="232"/>
      <c r="R249" s="232"/>
      <c r="S249" s="232"/>
      <c r="T249" s="232"/>
      <c r="U249" s="233"/>
      <c r="V249" s="232"/>
      <c r="W249" s="231"/>
      <c r="X249" s="231"/>
      <c r="Y249" s="231"/>
      <c r="Z249" s="231"/>
      <c r="AA249" s="231"/>
      <c r="AB249" s="231"/>
      <c r="AC249" s="231"/>
      <c r="AD249" s="231"/>
      <c r="AE249" s="231"/>
      <c r="AF249" s="231"/>
      <c r="AG249" s="231"/>
      <c r="AH249" s="231"/>
      <c r="AI249" s="231"/>
      <c r="AJ249" s="231"/>
    </row>
    <row r="250" spans="2:36" ht="11.25" customHeight="1">
      <c r="B250" s="227"/>
      <c r="C250" s="233"/>
      <c r="D250" s="227" t="s">
        <v>501</v>
      </c>
      <c r="E250" s="233"/>
      <c r="F250" s="233"/>
      <c r="G250" s="233"/>
      <c r="H250" s="233"/>
      <c r="I250" s="233"/>
      <c r="J250" s="233"/>
      <c r="K250" s="233"/>
      <c r="L250" s="233"/>
      <c r="M250" s="233"/>
      <c r="N250" s="233"/>
      <c r="O250" s="233"/>
      <c r="P250" s="233"/>
      <c r="Q250" s="233"/>
      <c r="R250" s="233"/>
      <c r="S250" s="233"/>
      <c r="T250" s="233"/>
      <c r="U250" s="233"/>
      <c r="V250" s="233"/>
      <c r="W250" s="227"/>
      <c r="X250" s="227"/>
      <c r="Y250" s="227"/>
      <c r="Z250" s="227"/>
      <c r="AA250" s="227"/>
      <c r="AB250" s="227"/>
      <c r="AC250" s="227"/>
      <c r="AD250" s="227"/>
      <c r="AE250" s="227"/>
      <c r="AF250" s="227"/>
      <c r="AG250" s="227"/>
      <c r="AH250" s="227"/>
      <c r="AI250" s="227"/>
      <c r="AJ250" s="227"/>
    </row>
    <row r="251" spans="2:36" ht="11.25" customHeight="1">
      <c r="C251" s="428" t="str">
        <f>+C11</f>
        <v>Commodity Chemicals</v>
      </c>
      <c r="D251" s="219"/>
      <c r="E251" s="219"/>
      <c r="F251" s="219"/>
      <c r="G251" s="219"/>
      <c r="H251" s="219"/>
      <c r="I251" s="219"/>
      <c r="J251" s="219"/>
      <c r="K251" s="219"/>
      <c r="L251" s="219"/>
      <c r="M251" s="219"/>
      <c r="N251" s="219"/>
      <c r="O251" s="219"/>
      <c r="P251" s="219"/>
      <c r="Q251" s="219"/>
      <c r="R251" s="219"/>
      <c r="S251" s="219"/>
      <c r="T251" s="219"/>
      <c r="U251" s="219"/>
      <c r="V251" s="241"/>
      <c r="W251" s="241"/>
      <c r="X251" s="241"/>
      <c r="Y251" s="241"/>
      <c r="Z251" s="241"/>
      <c r="AA251" s="241"/>
      <c r="AB251" s="241"/>
      <c r="AC251" s="241"/>
      <c r="AD251" s="241"/>
      <c r="AE251" s="241"/>
      <c r="AF251" s="241"/>
      <c r="AG251" s="241"/>
      <c r="AH251" s="241"/>
      <c r="AI251" s="241"/>
      <c r="AJ251" s="241"/>
    </row>
    <row r="252" spans="2:36" ht="11.25" customHeight="1">
      <c r="C252" s="229" t="str">
        <f ca="1">IFERROR(IF(BB_Switch=1,_xll.BDP($D252,$C$270),C252), "NA ")</f>
        <v>DuPont de Nemours Inc</v>
      </c>
      <c r="D252" s="227" t="str">
        <f t="shared" ref="D252:D258" si="94">+D12</f>
        <v>DD US EQUITY</v>
      </c>
      <c r="E252" s="286"/>
      <c r="F252" s="242">
        <f t="shared" ref="F252:P252" ca="1" si="95">IFERROR(F333/E333-1,"NA  ")</f>
        <v>0.27774193548387105</v>
      </c>
      <c r="G252" s="242">
        <f t="shared" ca="1" si="95"/>
        <v>-0.33047210300429186</v>
      </c>
      <c r="H252" s="242">
        <f t="shared" ca="1" si="95"/>
        <v>6.6742081447963786E-2</v>
      </c>
      <c r="I252" s="242">
        <f t="shared" ca="1" si="95"/>
        <v>0.57511488158359847</v>
      </c>
      <c r="J252" s="242">
        <f t="shared" ca="1" si="95"/>
        <v>-0.58438061041292633</v>
      </c>
      <c r="K252" s="242">
        <f t="shared" ca="1" si="95"/>
        <v>7.8833693304535712E-2</v>
      </c>
      <c r="L252" s="242">
        <f t="shared" ca="1" si="95"/>
        <v>-3.703703703703709E-2</v>
      </c>
      <c r="M252" s="242">
        <f t="shared" ca="1" si="95"/>
        <v>1.0446985446985448</v>
      </c>
      <c r="N252" s="242">
        <f t="shared" ca="1" si="95"/>
        <v>-0.61057447890188099</v>
      </c>
      <c r="O252" s="242">
        <f t="shared" ca="1" si="95"/>
        <v>-0.13707571801566576</v>
      </c>
      <c r="P252" s="242">
        <f t="shared" ca="1" si="95"/>
        <v>5.8245083207261628E-2</v>
      </c>
      <c r="Q252" s="219"/>
      <c r="R252" s="219"/>
      <c r="S252" s="219"/>
      <c r="T252" s="219"/>
      <c r="U252" s="219"/>
      <c r="V252" s="244"/>
      <c r="W252" s="242" t="str">
        <f t="shared" ref="W252:AE252" ca="1" si="96">IFERROR(W333/V333-1,"NA  ")</f>
        <v xml:space="preserve">NA  </v>
      </c>
      <c r="X252" s="242" t="str">
        <f t="shared" ca="1" si="96"/>
        <v xml:space="preserve">NA  </v>
      </c>
      <c r="Y252" s="242" t="str">
        <f t="shared" ca="1" si="96"/>
        <v xml:space="preserve">NA  </v>
      </c>
      <c r="Z252" s="242" t="str">
        <f t="shared" ca="1" si="96"/>
        <v xml:space="preserve">NA  </v>
      </c>
      <c r="AA252" s="242" t="str">
        <f t="shared" ca="1" si="96"/>
        <v xml:space="preserve">NA  </v>
      </c>
      <c r="AB252" s="242">
        <f t="shared" ca="1" si="96"/>
        <v>-6.1850469175663392E-2</v>
      </c>
      <c r="AC252" s="242">
        <f t="shared" ca="1" si="96"/>
        <v>-0.504839750483975</v>
      </c>
      <c r="AD252" s="242">
        <f t="shared" ca="1" si="96"/>
        <v>0.67093831450912256</v>
      </c>
      <c r="AE252" s="242">
        <f t="shared" ca="1" si="96"/>
        <v>-0.19654231119199272</v>
      </c>
      <c r="AF252" s="242"/>
      <c r="AG252" s="241"/>
      <c r="AH252" s="241"/>
      <c r="AI252" s="241"/>
      <c r="AJ252" s="241"/>
    </row>
    <row r="253" spans="2:36" ht="11.25" customHeight="1">
      <c r="C253" s="229" t="str">
        <f ca="1">IFERROR(IF(BB_Switch=1,_xll.BDP($D253,$C$270),C253), "NA ")</f>
        <v>PolyOne Corp</v>
      </c>
      <c r="D253" s="227" t="str">
        <f t="shared" si="94"/>
        <v>POL US EQUITY</v>
      </c>
      <c r="E253" s="286"/>
      <c r="F253" s="242">
        <f t="shared" ref="F253:P253" ca="1" si="97">IFERROR(F334/E334-1,"NA  ")</f>
        <v>6.0778727445393921E-2</v>
      </c>
      <c r="G253" s="242">
        <f t="shared" ca="1" si="97"/>
        <v>-9.5792300805729647E-2</v>
      </c>
      <c r="H253" s="242">
        <f t="shared" ca="1" si="97"/>
        <v>-0.21881188118811878</v>
      </c>
      <c r="I253" s="242">
        <f t="shared" ca="1" si="97"/>
        <v>0.40050697084917597</v>
      </c>
      <c r="J253" s="242">
        <f t="shared" ca="1" si="97"/>
        <v>4.0723981900452566E-2</v>
      </c>
      <c r="K253" s="242">
        <f t="shared" ca="1" si="97"/>
        <v>-0.29739130434782612</v>
      </c>
      <c r="L253" s="242">
        <f t="shared" ca="1" si="97"/>
        <v>-0.26361386138613863</v>
      </c>
      <c r="M253" s="242">
        <f t="shared" ca="1" si="97"/>
        <v>0.872268907563025</v>
      </c>
      <c r="N253" s="242">
        <f t="shared" ca="1" si="97"/>
        <v>9.1561938958707456E-2</v>
      </c>
      <c r="O253" s="242">
        <f t="shared" ca="1" si="97"/>
        <v>-0.29111842105263153</v>
      </c>
      <c r="P253" s="242">
        <f t="shared" ca="1" si="97"/>
        <v>-0.17865429234338748</v>
      </c>
      <c r="Q253" s="219"/>
      <c r="R253" s="219"/>
      <c r="S253" s="219"/>
      <c r="T253" s="219"/>
      <c r="U253" s="219"/>
      <c r="V253" s="244"/>
      <c r="W253" s="242">
        <f t="shared" ref="W253:AE253" ca="1" si="98">IFERROR(W334/V334-1,"NA  ")</f>
        <v>0.28373847443419953</v>
      </c>
      <c r="X253" s="242">
        <f t="shared" ca="1" si="98"/>
        <v>-0.21155729676787471</v>
      </c>
      <c r="Y253" s="242">
        <f t="shared" ca="1" si="98"/>
        <v>0.81407867494824027</v>
      </c>
      <c r="Z253" s="242">
        <f t="shared" ca="1" si="98"/>
        <v>-0.13307464049303819</v>
      </c>
      <c r="AA253" s="242">
        <f t="shared" ca="1" si="98"/>
        <v>7.6092680358083253E-2</v>
      </c>
      <c r="AB253" s="242">
        <f t="shared" ca="1" si="98"/>
        <v>4.1595302177634963E-3</v>
      </c>
      <c r="AC253" s="242">
        <f t="shared" ca="1" si="98"/>
        <v>-0.11963937621832366</v>
      </c>
      <c r="AD253" s="242">
        <f t="shared" ca="1" si="98"/>
        <v>-7.1685579850539694E-2</v>
      </c>
      <c r="AE253" s="242">
        <f t="shared" ca="1" si="98"/>
        <v>1.3714967203339423E-2</v>
      </c>
      <c r="AF253" s="242"/>
      <c r="AG253" s="241"/>
      <c r="AH253" s="241"/>
      <c r="AI253" s="241"/>
      <c r="AJ253" s="241"/>
    </row>
    <row r="254" spans="2:36" ht="11.25" customHeight="1">
      <c r="C254" s="229" t="str">
        <f ca="1">IFERROR(IF(BB_Switch=1,_xll.BDP($D254,$C$270),C254), "NA ")</f>
        <v>Olin Corp</v>
      </c>
      <c r="D254" s="227" t="str">
        <f t="shared" si="94"/>
        <v>OLN US EQUITY</v>
      </c>
      <c r="E254" s="286"/>
      <c r="F254" s="242">
        <f t="shared" ref="F254:P254" ca="1" si="99">IFERROR(F335/E335-1,"NA  ")</f>
        <v>-0.19272048530097996</v>
      </c>
      <c r="G254" s="242">
        <f t="shared" ca="1" si="99"/>
        <v>0.483815028901734</v>
      </c>
      <c r="H254" s="242">
        <f t="shared" ca="1" si="99"/>
        <v>4.6747175691468579E-2</v>
      </c>
      <c r="I254" s="242">
        <f t="shared" ca="1" si="99"/>
        <v>-0.1276516561220693</v>
      </c>
      <c r="J254" s="242">
        <f t="shared" ca="1" si="99"/>
        <v>0.45520477815699678</v>
      </c>
      <c r="K254" s="242">
        <f t="shared" ca="1" si="99"/>
        <v>0.15068894752272044</v>
      </c>
      <c r="L254" s="242">
        <f t="shared" ca="1" si="99"/>
        <v>-0.24738853503184721</v>
      </c>
      <c r="M254" s="242">
        <f t="shared" ca="1" si="99"/>
        <v>-3.3852403520640006E-4</v>
      </c>
      <c r="N254" s="242">
        <f t="shared" ca="1" si="99"/>
        <v>-0.22790382661699971</v>
      </c>
      <c r="O254" s="242">
        <f t="shared" ca="1" si="99"/>
        <v>0.38815789473684204</v>
      </c>
      <c r="P254" s="242">
        <f t="shared" ca="1" si="99"/>
        <v>-0.35007898894154821</v>
      </c>
      <c r="Q254" s="219"/>
      <c r="R254" s="219"/>
      <c r="S254" s="219"/>
      <c r="T254" s="219"/>
      <c r="U254" s="219"/>
      <c r="V254" s="244"/>
      <c r="W254" s="242">
        <f t="shared" ref="W254:AE254" ca="1" si="100">IFERROR(W335/V335-1,"NA  ")</f>
        <v>-0.19765664798777383</v>
      </c>
      <c r="X254" s="242">
        <f t="shared" ca="1" si="100"/>
        <v>1.5371428571428574</v>
      </c>
      <c r="Y254" s="242">
        <f t="shared" ca="1" si="100"/>
        <v>5.6306306306306286E-2</v>
      </c>
      <c r="Z254" s="242">
        <f t="shared" ca="1" si="100"/>
        <v>-0.13195925136223652</v>
      </c>
      <c r="AA254" s="242">
        <f t="shared" ca="1" si="100"/>
        <v>0.12663755458515302</v>
      </c>
      <c r="AB254" s="242">
        <f t="shared" ca="1" si="100"/>
        <v>1.0511143410852712</v>
      </c>
      <c r="AC254" s="242">
        <f t="shared" ca="1" si="100"/>
        <v>7.2280618873272529E-2</v>
      </c>
      <c r="AD254" s="242">
        <f t="shared" ca="1" si="100"/>
        <v>0.39156294746117437</v>
      </c>
      <c r="AE254" s="242">
        <f t="shared" ca="1" si="100"/>
        <v>-0.17286686718378985</v>
      </c>
      <c r="AF254" s="242"/>
      <c r="AG254" s="241"/>
      <c r="AH254" s="241"/>
      <c r="AI254" s="241"/>
      <c r="AJ254" s="241"/>
    </row>
    <row r="255" spans="2:36" ht="11.25" customHeight="1">
      <c r="C255" s="229" t="str">
        <f ca="1">IFERROR(IF(BB_Switch=1,_xll.BDP($D255,$C$270),C255), "NA ")</f>
        <v>LyondellBasell Industries NV</v>
      </c>
      <c r="D255" s="227" t="str">
        <f t="shared" si="94"/>
        <v>LYB US EQUITY</v>
      </c>
      <c r="E255" s="286"/>
      <c r="F255" s="242">
        <f t="shared" ref="F255:P255" ca="1" si="101">IFERROR(F336/E336-1,"NA  ")</f>
        <v>0.26305084745762719</v>
      </c>
      <c r="G255" s="242">
        <f t="shared" ca="1" si="101"/>
        <v>-0.18518518518518523</v>
      </c>
      <c r="H255" s="242">
        <f t="shared" ca="1" si="101"/>
        <v>7.9710144927536142E-2</v>
      </c>
      <c r="I255" s="242">
        <f t="shared" ca="1" si="101"/>
        <v>9.3959731543624248E-2</v>
      </c>
      <c r="J255" s="242">
        <f t="shared" ca="1" si="101"/>
        <v>7.4177356385945359E-2</v>
      </c>
      <c r="K255" s="242">
        <f t="shared" ca="1" si="101"/>
        <v>-0.12824506749740394</v>
      </c>
      <c r="L255" s="242">
        <f t="shared" ca="1" si="101"/>
        <v>-0.31685527099463962</v>
      </c>
      <c r="M255" s="242">
        <f t="shared" ca="1" si="101"/>
        <v>0.25980819529206634</v>
      </c>
      <c r="N255" s="242">
        <f t="shared" ca="1" si="101"/>
        <v>0.11695501730103808</v>
      </c>
      <c r="O255" s="242">
        <f t="shared" ca="1" si="101"/>
        <v>-1.8587360594795488E-2</v>
      </c>
      <c r="P255" s="242">
        <f t="shared" ca="1" si="101"/>
        <v>-0.20012626262626265</v>
      </c>
      <c r="Q255" s="219"/>
      <c r="R255" s="219"/>
      <c r="S255" s="219"/>
      <c r="T255" s="219"/>
      <c r="U255" s="219"/>
      <c r="V255" s="244"/>
      <c r="W255" s="242">
        <f t="shared" ref="W255:AE255" ca="1" si="102">IFERROR(W336/V336-1,"NA  ")</f>
        <v>0.30231448341684564</v>
      </c>
      <c r="X255" s="242">
        <f t="shared" ca="1" si="102"/>
        <v>2.7849028948332633E-2</v>
      </c>
      <c r="Y255" s="242">
        <f t="shared" ca="1" si="102"/>
        <v>8.8770053475935917E-2</v>
      </c>
      <c r="Z255" s="242">
        <f t="shared" ca="1" si="102"/>
        <v>9.7413228552717834E-2</v>
      </c>
      <c r="AA255" s="242">
        <f t="shared" ca="1" si="102"/>
        <v>6.9521109950768212E-2</v>
      </c>
      <c r="AB255" s="242">
        <f t="shared" ca="1" si="102"/>
        <v>-0.1500906681545543</v>
      </c>
      <c r="AC255" s="242">
        <f t="shared" ca="1" si="102"/>
        <v>7.1065156737239565E-2</v>
      </c>
      <c r="AD255" s="242">
        <f t="shared" ca="1" si="102"/>
        <v>-2.6049647563591849E-3</v>
      </c>
      <c r="AE255" s="242">
        <f t="shared" ca="1" si="102"/>
        <v>-9.2026424950069186E-2</v>
      </c>
      <c r="AF255" s="242"/>
      <c r="AG255" s="241"/>
      <c r="AH255" s="241"/>
      <c r="AI255" s="241"/>
      <c r="AJ255" s="241"/>
    </row>
    <row r="256" spans="2:36" ht="11.25" customHeight="1">
      <c r="C256" s="229" t="str">
        <f ca="1">IFERROR(IF(BB_Switch=1,_xll.BDP($D256,$C$270),C256), "NA ")</f>
        <v>Westlake Chemical Corp</v>
      </c>
      <c r="D256" s="227" t="str">
        <f t="shared" si="94"/>
        <v>WLK US EQUITY</v>
      </c>
      <c r="E256" s="286"/>
      <c r="F256" s="242">
        <f t="shared" ref="F256:P256" ca="1" si="103">IFERROR(F337/E337-1,"NA  ")</f>
        <v>5.5696202531645644E-2</v>
      </c>
      <c r="G256" s="242">
        <f t="shared" ca="1" si="103"/>
        <v>0.27577937649880102</v>
      </c>
      <c r="H256" s="242">
        <f t="shared" ca="1" si="103"/>
        <v>-5.6390977443608881E-3</v>
      </c>
      <c r="I256" s="242">
        <f t="shared" ca="1" si="103"/>
        <v>7.7504725897920679E-2</v>
      </c>
      <c r="J256" s="242">
        <f t="shared" ca="1" si="103"/>
        <v>1.2280701754386003E-2</v>
      </c>
      <c r="K256" s="242">
        <f t="shared" ca="1" si="103"/>
        <v>-3.119584055459268E-2</v>
      </c>
      <c r="L256" s="242">
        <f t="shared" ca="1" si="103"/>
        <v>-0.27370304114490163</v>
      </c>
      <c r="M256" s="242">
        <f t="shared" ca="1" si="103"/>
        <v>-4.1871921182266014E-2</v>
      </c>
      <c r="N256" s="242">
        <f t="shared" ca="1" si="103"/>
        <v>9.7686375321336838E-2</v>
      </c>
      <c r="O256" s="242">
        <f t="shared" ca="1" si="103"/>
        <v>4.4496487119437989E-2</v>
      </c>
      <c r="P256" s="242">
        <f t="shared" ca="1" si="103"/>
        <v>-0.2376681614349776</v>
      </c>
      <c r="Q256" s="219"/>
      <c r="R256" s="219"/>
      <c r="S256" s="219"/>
      <c r="T256" s="219"/>
      <c r="U256" s="219"/>
      <c r="V256" s="244"/>
      <c r="W256" s="242">
        <f t="shared" ref="W256:AE256" ca="1" si="104">IFERROR(W337/V337-1,"NA  ")</f>
        <v>0.17415598934382026</v>
      </c>
      <c r="X256" s="242">
        <f t="shared" ca="1" si="104"/>
        <v>0.28738581632360227</v>
      </c>
      <c r="Y256" s="242">
        <f t="shared" ca="1" si="104"/>
        <v>0.46470458646301016</v>
      </c>
      <c r="Z256" s="242">
        <f t="shared" ca="1" si="104"/>
        <v>0.2087008447839338</v>
      </c>
      <c r="AA256" s="242">
        <f t="shared" ca="1" si="104"/>
        <v>-0.1279474996018769</v>
      </c>
      <c r="AB256" s="242">
        <f t="shared" ca="1" si="104"/>
        <v>-8.7778008994814583E-2</v>
      </c>
      <c r="AC256" s="242">
        <f t="shared" ca="1" si="104"/>
        <v>0.74767225325884534</v>
      </c>
      <c r="AD256" s="242">
        <f t="shared" ca="1" si="104"/>
        <v>0.12519978689397981</v>
      </c>
      <c r="AE256" s="242">
        <f t="shared" ca="1" si="104"/>
        <v>-0.25757575757575757</v>
      </c>
      <c r="AF256" s="242"/>
      <c r="AG256" s="241"/>
      <c r="AH256" s="241"/>
      <c r="AI256" s="241"/>
      <c r="AJ256" s="241"/>
    </row>
    <row r="257" spans="2:36" ht="11.25" customHeight="1">
      <c r="C257" s="229" t="str">
        <f ca="1">IFERROR(IF(BB_Switch=1,_xll.BDP($D257,$C$270),C257), "NA ")</f>
        <v>Kraton Corp</v>
      </c>
      <c r="D257" s="227" t="str">
        <f t="shared" si="94"/>
        <v>KRA US EQUITY</v>
      </c>
      <c r="E257" s="286"/>
      <c r="F257" s="242">
        <f t="shared" ref="F257:P257" ca="1" si="105">IFERROR(F338/E338-1,"NA  ")</f>
        <v>4.250958025131446E-2</v>
      </c>
      <c r="G257" s="242">
        <f t="shared" ca="1" si="105"/>
        <v>-0.20651203434585219</v>
      </c>
      <c r="H257" s="242">
        <f t="shared" ca="1" si="105"/>
        <v>-0.13211635144840783</v>
      </c>
      <c r="I257" s="242">
        <f t="shared" ca="1" si="105"/>
        <v>0.19617119291615515</v>
      </c>
      <c r="J257" s="242">
        <f t="shared" ca="1" si="105"/>
        <v>0.20749256278394035</v>
      </c>
      <c r="K257" s="242">
        <f t="shared" ca="1" si="105"/>
        <v>3.1560050037719334E-2</v>
      </c>
      <c r="L257" s="242">
        <f t="shared" ca="1" si="105"/>
        <v>-0.2782756003184419</v>
      </c>
      <c r="M257" s="242">
        <f t="shared" ca="1" si="105"/>
        <v>2.2728147245558716E-2</v>
      </c>
      <c r="N257" s="242">
        <f t="shared" ca="1" si="105"/>
        <v>0.30381127958162479</v>
      </c>
      <c r="O257" s="242">
        <f t="shared" ca="1" si="105"/>
        <v>-0.26937727246493903</v>
      </c>
      <c r="P257" s="242">
        <f t="shared" ca="1" si="105"/>
        <v>1.4560869965901668E-2</v>
      </c>
      <c r="Q257" s="219"/>
      <c r="R257" s="219"/>
      <c r="S257" s="219"/>
      <c r="T257" s="219"/>
      <c r="U257" s="219"/>
      <c r="V257" s="244"/>
      <c r="W257" s="242">
        <f t="shared" ref="W257:AE258" ca="1" si="106">IFERROR(W338/V338-1,"NA  ")</f>
        <v>-1.3658240244675213E-2</v>
      </c>
      <c r="X257" s="242">
        <f t="shared" ca="1" si="106"/>
        <v>-0.44192121652976812</v>
      </c>
      <c r="Y257" s="242">
        <f t="shared" ca="1" si="106"/>
        <v>-0.11918217452525026</v>
      </c>
      <c r="Z257" s="242">
        <f t="shared" ca="1" si="106"/>
        <v>0.37238742290534765</v>
      </c>
      <c r="AA257" s="242">
        <f t="shared" ca="1" si="106"/>
        <v>-0.15866894385984243</v>
      </c>
      <c r="AB257" s="242">
        <f t="shared" ca="1" si="106"/>
        <v>1.821893972702695</v>
      </c>
      <c r="AC257" s="242">
        <f t="shared" ca="1" si="106"/>
        <v>0.25221447230583594</v>
      </c>
      <c r="AD257" s="242">
        <f t="shared" ca="1" si="106"/>
        <v>-3.0503027270585292E-2</v>
      </c>
      <c r="AE257" s="242">
        <f t="shared" ca="1" si="106"/>
        <v>-5.1396599228313633E-2</v>
      </c>
      <c r="AF257" s="242"/>
      <c r="AG257" s="241"/>
      <c r="AH257" s="241"/>
      <c r="AI257" s="241"/>
      <c r="AJ257" s="241"/>
    </row>
    <row r="258" spans="2:36" ht="11.25" customHeight="1">
      <c r="C258" s="229" t="str">
        <f ca="1">IFERROR(IF(BB_Switch=1,_xll.BDP($D258,$C$270),C258), "NA ")</f>
        <v>Dow Inc</v>
      </c>
      <c r="D258" s="227" t="str">
        <f t="shared" si="94"/>
        <v>DOW US EQUITY</v>
      </c>
      <c r="E258" s="219"/>
      <c r="F258" s="242">
        <f ca="1">IFERROR(F339/E339-1,"NA  ")</f>
        <v>3.1782065834279338E-2</v>
      </c>
      <c r="G258" s="242">
        <f t="shared" ref="G258:P258" ca="1" si="107">IFERROR(G339/F339-1,"NA  ")</f>
        <v>0.11716171617161719</v>
      </c>
      <c r="H258" s="242">
        <f t="shared" ca="1" si="107"/>
        <v>-0.35155096011816844</v>
      </c>
      <c r="I258" s="242">
        <f t="shared" ca="1" si="107"/>
        <v>0.66362946089597563</v>
      </c>
      <c r="J258" s="242">
        <f t="shared" ca="1" si="107"/>
        <v>-2.6928343222272888E-2</v>
      </c>
      <c r="K258" s="242">
        <f t="shared" ca="1" si="107"/>
        <v>1.3602251407129451E-2</v>
      </c>
      <c r="L258" s="242">
        <f t="shared" ca="1" si="107"/>
        <v>-0.15039333641832486</v>
      </c>
      <c r="M258" s="242">
        <f t="shared" ca="1" si="107"/>
        <v>-2.7233115468409119E-3</v>
      </c>
      <c r="N258" s="242">
        <f t="shared" ca="1" si="107"/>
        <v>6.8268705625341264E-2</v>
      </c>
      <c r="O258" s="242">
        <f t="shared" ca="1" si="107"/>
        <v>0.13548057259713708</v>
      </c>
      <c r="P258" s="242">
        <f t="shared" ca="1" si="107"/>
        <v>-0.21251688428635751</v>
      </c>
      <c r="Q258" s="219"/>
      <c r="R258" s="219"/>
      <c r="S258" s="219"/>
      <c r="T258" s="219"/>
      <c r="U258" s="219"/>
      <c r="V258" s="241"/>
      <c r="W258" s="242" t="str">
        <f t="shared" ca="1" si="106"/>
        <v xml:space="preserve">NA  </v>
      </c>
      <c r="X258" s="242" t="str">
        <f t="shared" ref="X258:AE258" ca="1" si="108">IFERROR(X339/W339-1,"NA  ")</f>
        <v xml:space="preserve">NA  </v>
      </c>
      <c r="Y258" s="242" t="str">
        <f t="shared" ca="1" si="108"/>
        <v xml:space="preserve">NA  </v>
      </c>
      <c r="Z258" s="242" t="str">
        <f t="shared" ca="1" si="108"/>
        <v xml:space="preserve">NA  </v>
      </c>
      <c r="AA258" s="242" t="str">
        <f t="shared" ca="1" si="108"/>
        <v xml:space="preserve">NA  </v>
      </c>
      <c r="AB258" s="242" t="str">
        <f t="shared" ca="1" si="108"/>
        <v xml:space="preserve">NA  </v>
      </c>
      <c r="AC258" s="242" t="str">
        <f t="shared" ca="1" si="108"/>
        <v xml:space="preserve">NA  </v>
      </c>
      <c r="AD258" s="242">
        <f t="shared" ca="1" si="108"/>
        <v>0.13510392609699773</v>
      </c>
      <c r="AE258" s="242">
        <f t="shared" ca="1" si="108"/>
        <v>-7.3753814852492328E-2</v>
      </c>
      <c r="AF258" s="242"/>
      <c r="AG258" s="241"/>
      <c r="AH258" s="241"/>
      <c r="AI258" s="241"/>
      <c r="AJ258" s="241"/>
    </row>
    <row r="259" spans="2:36" ht="11.25" customHeight="1">
      <c r="C259" s="229"/>
      <c r="D259" s="238"/>
      <c r="E259" s="219"/>
      <c r="F259" s="242"/>
      <c r="G259" s="242"/>
      <c r="H259" s="242"/>
      <c r="I259" s="242"/>
      <c r="J259" s="242"/>
      <c r="K259" s="242"/>
      <c r="L259" s="242"/>
      <c r="M259" s="242"/>
      <c r="N259" s="242"/>
      <c r="O259" s="242"/>
      <c r="P259" s="242"/>
      <c r="Q259" s="219"/>
      <c r="R259" s="219"/>
      <c r="S259" s="219"/>
      <c r="T259" s="219"/>
      <c r="U259" s="219"/>
      <c r="V259" s="241"/>
      <c r="W259" s="242"/>
      <c r="X259" s="242"/>
      <c r="Y259" s="242"/>
      <c r="Z259" s="242"/>
      <c r="AA259" s="242"/>
      <c r="AB259" s="242"/>
      <c r="AC259" s="242"/>
      <c r="AD259" s="242"/>
      <c r="AE259" s="242"/>
      <c r="AF259" s="242"/>
      <c r="AG259" s="241"/>
      <c r="AH259" s="241"/>
      <c r="AI259" s="241"/>
      <c r="AJ259" s="241"/>
    </row>
    <row r="260" spans="2:36" ht="11.25" customHeight="1">
      <c r="C260" s="428" t="str">
        <f>+C20</f>
        <v>Specialty Chemicals</v>
      </c>
      <c r="D260" s="238"/>
      <c r="E260" s="219"/>
      <c r="F260" s="242"/>
      <c r="G260" s="242"/>
      <c r="H260" s="242"/>
      <c r="I260" s="242"/>
      <c r="J260" s="242"/>
      <c r="K260" s="242"/>
      <c r="L260" s="242"/>
      <c r="M260" s="242"/>
      <c r="N260" s="242"/>
      <c r="O260" s="242"/>
      <c r="P260" s="242"/>
      <c r="Q260" s="219"/>
      <c r="R260" s="219"/>
      <c r="S260" s="219"/>
      <c r="T260" s="219"/>
      <c r="U260" s="219"/>
      <c r="V260" s="241"/>
      <c r="W260" s="242"/>
      <c r="X260" s="242"/>
      <c r="Y260" s="242"/>
      <c r="Z260" s="242"/>
      <c r="AA260" s="242"/>
      <c r="AB260" s="242"/>
      <c r="AC260" s="242"/>
      <c r="AD260" s="242"/>
      <c r="AE260" s="242"/>
      <c r="AF260" s="242"/>
      <c r="AG260" s="241"/>
      <c r="AH260" s="241"/>
      <c r="AI260" s="241"/>
      <c r="AJ260" s="241"/>
    </row>
    <row r="261" spans="2:36" ht="11.25" customHeight="1">
      <c r="C261" s="229" t="str">
        <f ca="1">IFERROR(IF(BB_Switch=1,_xll.BDP($D261,$C$270),C261), "NA ")</f>
        <v>Eastman Chemical Co</v>
      </c>
      <c r="D261" s="227" t="str">
        <f>+D21</f>
        <v>EMN US EQUITY</v>
      </c>
      <c r="E261" s="219"/>
      <c r="F261" s="242">
        <f ca="1">IFERROR(F342/E342-1,"NA  ")</f>
        <v>3.8461538461538547E-2</v>
      </c>
      <c r="G261" s="242">
        <f t="shared" ref="G261:P261" ca="1" si="109">IFERROR(G342/F342-1,"NA  ")</f>
        <v>7.4074074074074181E-2</v>
      </c>
      <c r="H261" s="242">
        <f t="shared" ca="1" si="109"/>
        <v>-0.17898193760262726</v>
      </c>
      <c r="I261" s="242">
        <f t="shared" ca="1" si="109"/>
        <v>0.22199999999999998</v>
      </c>
      <c r="J261" s="242">
        <f t="shared" ca="1" si="109"/>
        <v>-2.6186579378068786E-2</v>
      </c>
      <c r="K261" s="242">
        <f t="shared" ca="1" si="109"/>
        <v>2.1848739495798242E-2</v>
      </c>
      <c r="L261" s="242">
        <f t="shared" ca="1" si="109"/>
        <v>-0.29440789473684215</v>
      </c>
      <c r="M261" s="242">
        <f t="shared" ca="1" si="109"/>
        <v>0.21678321678321688</v>
      </c>
      <c r="N261" s="242">
        <f t="shared" ca="1" si="109"/>
        <v>7.4712643678160884E-2</v>
      </c>
      <c r="O261" s="242">
        <f t="shared" ca="1" si="109"/>
        <v>-3.7433155080213942E-2</v>
      </c>
      <c r="P261" s="242">
        <f t="shared" ca="1" si="109"/>
        <v>-0.16481481481481486</v>
      </c>
      <c r="Q261" s="219"/>
      <c r="R261" s="219"/>
      <c r="S261" s="219"/>
      <c r="T261" s="219"/>
      <c r="U261" s="219"/>
      <c r="V261" s="241"/>
      <c r="W261" s="242">
        <f t="shared" ref="W261:AE261" ca="1" si="110">IFERROR(W342/V342-1,"NA  ")</f>
        <v>0.14000912111538177</v>
      </c>
      <c r="X261" s="242">
        <f t="shared" ca="1" si="110"/>
        <v>0.27117384843982162</v>
      </c>
      <c r="Y261" s="242">
        <f t="shared" ca="1" si="110"/>
        <v>0.18293395675043844</v>
      </c>
      <c r="Z261" s="242">
        <f t="shared" ca="1" si="110"/>
        <v>-4.4466403162055634E-3</v>
      </c>
      <c r="AA261" s="242">
        <f t="shared" ca="1" si="110"/>
        <v>0.13250620347394548</v>
      </c>
      <c r="AB261" s="242">
        <f t="shared" ca="1" si="110"/>
        <v>-5.4338299737072715E-2</v>
      </c>
      <c r="AC261" s="242">
        <f t="shared" ca="1" si="110"/>
        <v>3.5217794253938894E-2</v>
      </c>
      <c r="AD261" s="242">
        <f t="shared" ca="1" si="110"/>
        <v>1.3428827215755668E-3</v>
      </c>
      <c r="AE261" s="242">
        <f t="shared" ca="1" si="110"/>
        <v>-4.2020563254358545E-2</v>
      </c>
      <c r="AF261" s="242"/>
      <c r="AG261" s="241"/>
      <c r="AH261" s="241"/>
      <c r="AI261" s="241"/>
      <c r="AJ261" s="241"/>
    </row>
    <row r="262" spans="2:36" ht="11.25" customHeight="1">
      <c r="C262" s="229" t="str">
        <f ca="1">IFERROR(IF(BB_Switch=1,_xll.BDP($D262,$C$270),C262), "NA ")</f>
        <v>Celanese Corp</v>
      </c>
      <c r="D262" s="227" t="str">
        <f>+D22</f>
        <v>CE US EQUITY</v>
      </c>
      <c r="E262" s="219"/>
      <c r="F262" s="242">
        <f t="shared" ref="F262:P262" ca="1" si="111">IFERROR(F343/E343-1,"NA  ")</f>
        <v>-3.9393939393939426E-2</v>
      </c>
      <c r="G262" s="242">
        <f t="shared" ca="1" si="111"/>
        <v>5.6782334384858135E-2</v>
      </c>
      <c r="H262" s="242">
        <f t="shared" ca="1" si="111"/>
        <v>5.9701492537313383E-2</v>
      </c>
      <c r="I262" s="242">
        <f t="shared" ca="1" si="111"/>
        <v>0.23098591549295766</v>
      </c>
      <c r="J262" s="242">
        <f t="shared" ca="1" si="111"/>
        <v>5.9496567505720854E-2</v>
      </c>
      <c r="K262" s="242">
        <f t="shared" ca="1" si="111"/>
        <v>-1.295896328293733E-2</v>
      </c>
      <c r="L262" s="242">
        <f t="shared" ca="1" si="111"/>
        <v>0.19256017505470457</v>
      </c>
      <c r="M262" s="242">
        <f t="shared" ca="1" si="111"/>
        <v>-0.23669724770642198</v>
      </c>
      <c r="N262" s="242">
        <f t="shared" ca="1" si="111"/>
        <v>-6.7307692307692291E-2</v>
      </c>
      <c r="O262" s="242">
        <f t="shared" ca="1" si="111"/>
        <v>2.5773195876288568E-2</v>
      </c>
      <c r="P262" s="242">
        <f t="shared" ca="1" si="111"/>
        <v>1.5075376884422065E-2</v>
      </c>
      <c r="Q262" s="219"/>
      <c r="R262" s="219"/>
      <c r="S262" s="219"/>
      <c r="T262" s="219"/>
      <c r="U262" s="219"/>
      <c r="V262" s="241"/>
      <c r="W262" s="242">
        <f t="shared" ref="W262:AE262" ca="1" si="112">IFERROR(W343/V343-1,"NA  ")</f>
        <v>0.20087336244541487</v>
      </c>
      <c r="X262" s="242">
        <f t="shared" ca="1" si="112"/>
        <v>-0.11636363636363634</v>
      </c>
      <c r="Y262" s="242">
        <f t="shared" ca="1" si="112"/>
        <v>0.13374485596707819</v>
      </c>
      <c r="Z262" s="242">
        <f t="shared" ca="1" si="112"/>
        <v>9.6188747731397406E-2</v>
      </c>
      <c r="AA262" s="242">
        <f t="shared" ca="1" si="112"/>
        <v>7.9470198675496651E-2</v>
      </c>
      <c r="AB262" s="242">
        <f t="shared" ca="1" si="112"/>
        <v>4.3711656441717706E-2</v>
      </c>
      <c r="AC262" s="242">
        <f t="shared" ca="1" si="112"/>
        <v>-9.6252755326965422E-2</v>
      </c>
      <c r="AD262" s="242">
        <f t="shared" ca="1" si="112"/>
        <v>0.55772357723577226</v>
      </c>
      <c r="AE262" s="242">
        <f t="shared" ca="1" si="112"/>
        <v>-0.16231732776617958</v>
      </c>
      <c r="AF262" s="242"/>
      <c r="AG262" s="241"/>
      <c r="AH262" s="241"/>
      <c r="AI262" s="241"/>
      <c r="AJ262" s="241"/>
    </row>
    <row r="263" spans="2:36" ht="11.25" customHeight="1">
      <c r="C263" s="229" t="str">
        <f ca="1">IFERROR(IF(BB_Switch=1,_xll.BDP($D263,$C$270),C263), "NA ")</f>
        <v>BASF SE</v>
      </c>
      <c r="D263" s="227" t="str">
        <f>+D23</f>
        <v>BAS GR EQUITY</v>
      </c>
      <c r="E263" s="219"/>
      <c r="F263" s="242">
        <f t="shared" ref="F263:P263" ca="1" si="113">IFERROR(F344/E344-1,"NA  ")</f>
        <v>-4.4615384615384612E-2</v>
      </c>
      <c r="G263" s="242">
        <f t="shared" ca="1" si="113"/>
        <v>-0.13655394524959741</v>
      </c>
      <c r="H263" s="242">
        <f t="shared" ca="1" si="113"/>
        <v>-7.9074972025363621E-2</v>
      </c>
      <c r="I263" s="242">
        <f t="shared" ca="1" si="113"/>
        <v>0.28473066018631021</v>
      </c>
      <c r="J263" s="242">
        <f t="shared" ca="1" si="113"/>
        <v>-0.10025220680958391</v>
      </c>
      <c r="K263" s="242">
        <f t="shared" ca="1" si="113"/>
        <v>-0.16222845129642605</v>
      </c>
      <c r="L263" s="242">
        <f t="shared" ca="1" si="113"/>
        <v>-0.49058971141781682</v>
      </c>
      <c r="M263" s="242">
        <f t="shared" ca="1" si="113"/>
        <v>1.2364532019704435</v>
      </c>
      <c r="N263" s="242">
        <f t="shared" ca="1" si="113"/>
        <v>-0.25624082232011747</v>
      </c>
      <c r="O263" s="242">
        <f t="shared" ca="1" si="113"/>
        <v>0.2393879565646595</v>
      </c>
      <c r="P263" s="242">
        <f t="shared" ca="1" si="113"/>
        <v>-0.41019514137793711</v>
      </c>
      <c r="Q263" s="219"/>
      <c r="R263" s="219"/>
      <c r="S263" s="219"/>
      <c r="T263" s="219"/>
      <c r="U263" s="219"/>
      <c r="V263" s="241"/>
      <c r="W263" s="242">
        <f t="shared" ref="W263:AE263" ca="1" si="114">IFERROR(W344/V344-1,"NA  ")</f>
        <v>2.073309421747882E-2</v>
      </c>
      <c r="X263" s="242">
        <f t="shared" ca="1" si="114"/>
        <v>-0.17209461775797052</v>
      </c>
      <c r="Y263" s="242">
        <f t="shared" ca="1" si="114"/>
        <v>8.6231884057970998E-2</v>
      </c>
      <c r="Z263" s="242">
        <f t="shared" ca="1" si="114"/>
        <v>7.9576860764319024E-2</v>
      </c>
      <c r="AA263" s="242">
        <f t="shared" ca="1" si="114"/>
        <v>-7.9449152542372392E-3</v>
      </c>
      <c r="AB263" s="242">
        <f t="shared" ca="1" si="114"/>
        <v>-4.3335113009432269E-2</v>
      </c>
      <c r="AC263" s="242">
        <f t="shared" ca="1" si="114"/>
        <v>7.0133010882708513E-2</v>
      </c>
      <c r="AD263" s="242">
        <f t="shared" ca="1" si="114"/>
        <v>-0.16775315080399822</v>
      </c>
      <c r="AE263" s="242">
        <f t="shared" ca="1" si="114"/>
        <v>-0.10663185378590079</v>
      </c>
      <c r="AF263" s="242"/>
      <c r="AG263" s="241"/>
      <c r="AH263" s="241"/>
      <c r="AI263" s="241"/>
      <c r="AJ263" s="241"/>
    </row>
    <row r="264" spans="2:36" ht="11.25" customHeight="1">
      <c r="C264" s="229" t="str">
        <f ca="1">IFERROR(IF(BB_Switch=1,_xll.BDP($D264,$C$270),C264), "NA ")</f>
        <v>Trinseo SA</v>
      </c>
      <c r="D264" s="227" t="str">
        <f>+D24</f>
        <v>TSE US EQUITY</v>
      </c>
      <c r="E264" s="219"/>
      <c r="F264" s="242">
        <f t="shared" ref="F264:P264" ca="1" si="115">IFERROR(F345/E345-1,"NA  ")</f>
        <v>-0.35003824066992473</v>
      </c>
      <c r="G264" s="242">
        <f t="shared" ca="1" si="115"/>
        <v>0.24052652572796185</v>
      </c>
      <c r="H264" s="242">
        <f t="shared" ca="1" si="115"/>
        <v>-6.270096463022512E-2</v>
      </c>
      <c r="I264" s="242">
        <f t="shared" ca="1" si="115"/>
        <v>0.24957118353344754</v>
      </c>
      <c r="J264" s="242">
        <f t="shared" ca="1" si="115"/>
        <v>-7.4811256005490545E-2</v>
      </c>
      <c r="K264" s="242">
        <f t="shared" ca="1" si="115"/>
        <v>-0.1758160237388724</v>
      </c>
      <c r="L264" s="242">
        <f t="shared" ca="1" si="115"/>
        <v>-0.68406840684068415</v>
      </c>
      <c r="M264" s="242">
        <f t="shared" ca="1" si="115"/>
        <v>1.2336182336182331</v>
      </c>
      <c r="N264" s="242">
        <f t="shared" ca="1" si="115"/>
        <v>-0.12372448979591844</v>
      </c>
      <c r="O264" s="242">
        <f t="shared" ca="1" si="115"/>
        <v>2.4745269286754246E-2</v>
      </c>
      <c r="P264" s="242">
        <f t="shared" ca="1" si="115"/>
        <v>-0.45880681818181823</v>
      </c>
      <c r="Q264" s="219"/>
      <c r="R264" s="219"/>
      <c r="S264" s="219"/>
      <c r="T264" s="219"/>
      <c r="U264" s="219"/>
      <c r="V264" s="241"/>
      <c r="W264" s="242">
        <f t="shared" ref="W264:AE264" ca="1" si="116">IFERROR(W345/V345-1,"NA  ")</f>
        <v>-0.33781252241268012</v>
      </c>
      <c r="X264" s="242">
        <f t="shared" ca="1" si="116"/>
        <v>0.25376263960974255</v>
      </c>
      <c r="Y264" s="242">
        <f t="shared" ca="1" si="116"/>
        <v>7.5640299105723674E-2</v>
      </c>
      <c r="Z264" s="242">
        <f t="shared" ca="1" si="116"/>
        <v>-7.0340458613622259E-2</v>
      </c>
      <c r="AA264" s="242">
        <f t="shared" ca="1" si="116"/>
        <v>0.24707142610318256</v>
      </c>
      <c r="AB264" s="242">
        <f t="shared" ca="1" si="116"/>
        <v>0.25594779572723003</v>
      </c>
      <c r="AC264" s="242">
        <f t="shared" ca="1" si="116"/>
        <v>9.7165196940380616E-2</v>
      </c>
      <c r="AD264" s="242">
        <f t="shared" ca="1" si="116"/>
        <v>-0.13010255379046853</v>
      </c>
      <c r="AE264" s="242">
        <f t="shared" ca="1" si="116"/>
        <v>-0.45261211280628755</v>
      </c>
      <c r="AF264" s="242"/>
      <c r="AG264" s="241"/>
      <c r="AH264" s="241"/>
      <c r="AI264" s="241"/>
      <c r="AJ264" s="241"/>
    </row>
    <row r="265" spans="2:36" ht="11.25" customHeight="1">
      <c r="C265" s="229"/>
      <c r="D265" s="227"/>
      <c r="E265" s="219"/>
      <c r="F265" s="242"/>
      <c r="G265" s="242"/>
      <c r="H265" s="242"/>
      <c r="I265" s="242"/>
      <c r="J265" s="242"/>
      <c r="K265" s="242"/>
      <c r="L265" s="242"/>
      <c r="M265" s="242"/>
      <c r="N265" s="242"/>
      <c r="O265" s="242"/>
      <c r="P265" s="242"/>
      <c r="Q265" s="219"/>
      <c r="R265" s="219"/>
      <c r="S265" s="219"/>
      <c r="T265" s="219"/>
      <c r="U265" s="219"/>
      <c r="V265" s="241"/>
      <c r="W265" s="242"/>
      <c r="X265" s="242"/>
      <c r="Y265" s="242"/>
      <c r="Z265" s="242"/>
      <c r="AA265" s="242"/>
      <c r="AB265" s="242"/>
      <c r="AC265" s="242"/>
      <c r="AD265" s="242"/>
      <c r="AE265" s="242"/>
      <c r="AF265" s="242"/>
      <c r="AG265" s="241"/>
      <c r="AH265" s="241"/>
      <c r="AI265" s="241"/>
      <c r="AJ265" s="241"/>
    </row>
    <row r="266" spans="2:36" ht="11.25" customHeight="1">
      <c r="C266" s="224" t="s">
        <v>482</v>
      </c>
      <c r="D266" s="223"/>
      <c r="E266" s="250"/>
      <c r="F266" s="254">
        <f t="shared" ref="F266:O266" ca="1" si="117">AVERAGE(F252:F258,F261:F264)</f>
        <v>1.302298613504013E-2</v>
      </c>
      <c r="G266" s="254">
        <f t="shared" ca="1" si="117"/>
        <v>2.6693044288035459E-2</v>
      </c>
      <c r="H266" s="254">
        <f t="shared" ca="1" si="117"/>
        <v>-7.0543206377544548E-2</v>
      </c>
      <c r="I266" s="254">
        <f t="shared" ca="1" si="117"/>
        <v>0.26059300607064512</v>
      </c>
      <c r="J266" s="254">
        <f t="shared" ca="1" si="117"/>
        <v>3.3469956962817685E-3</v>
      </c>
      <c r="K266" s="254">
        <f t="shared" ca="1" si="117"/>
        <v>-4.6481997177286849E-2</v>
      </c>
      <c r="L266" s="254">
        <f t="shared" ca="1" si="117"/>
        <v>-0.25852477457017903</v>
      </c>
      <c r="M266" s="254">
        <f t="shared" ca="1" si="117"/>
        <v>0.4186115857000321</v>
      </c>
      <c r="N266" s="254">
        <f t="shared" ca="1" si="117"/>
        <v>-4.843230449785451E-2</v>
      </c>
      <c r="O266" s="254">
        <f t="shared" ca="1" si="117"/>
        <v>9.4954044520794249E-3</v>
      </c>
      <c r="P266" s="254">
        <f ca="1">AVERAGE(P252:P258,P261:P264)</f>
        <v>-0.19318000308631983</v>
      </c>
      <c r="Q266" s="254"/>
      <c r="R266" s="254"/>
      <c r="S266" s="254"/>
      <c r="T266" s="441"/>
      <c r="U266" s="241"/>
      <c r="V266" s="421"/>
      <c r="W266" s="254">
        <f t="shared" ref="W266:AE266" ca="1" si="118">AVERAGE(W252:W258,W261:W264)</f>
        <v>6.3633012703112418E-2</v>
      </c>
      <c r="X266" s="254">
        <f t="shared" ca="1" si="118"/>
        <v>0.1594863803383452</v>
      </c>
      <c r="Y266" s="254">
        <f t="shared" ca="1" si="118"/>
        <v>0.19813649361660596</v>
      </c>
      <c r="Z266" s="254">
        <f t="shared" ca="1" si="118"/>
        <v>5.7160679328068134E-2</v>
      </c>
      <c r="AA266" s="254">
        <f t="shared" ca="1" si="118"/>
        <v>4.8526423825630292E-2</v>
      </c>
      <c r="AB266" s="254">
        <f t="shared" ca="1" si="118"/>
        <v>0.27794347371031403</v>
      </c>
      <c r="AC266" s="254">
        <f t="shared" ca="1" si="118"/>
        <v>6.2501662122295729E-2</v>
      </c>
      <c r="AD266" s="254">
        <f t="shared" ca="1" si="118"/>
        <v>0.13447474167697013</v>
      </c>
      <c r="AE266" s="254">
        <f t="shared" ca="1" si="118"/>
        <v>-0.1449116968538002</v>
      </c>
      <c r="AF266" s="254"/>
      <c r="AG266" s="250"/>
      <c r="AH266" s="250"/>
      <c r="AI266" s="250"/>
      <c r="AJ266" s="291"/>
    </row>
    <row r="267" spans="2:36" ht="11.25" customHeight="1">
      <c r="C267" s="221" t="s">
        <v>481</v>
      </c>
      <c r="D267" s="220"/>
      <c r="E267" s="249"/>
      <c r="F267" s="253">
        <f t="shared" ref="F267:O267" ca="1" si="119">MEDIAN(F252:F258,F261:F264)</f>
        <v>3.8461538461538547E-2</v>
      </c>
      <c r="G267" s="253">
        <f t="shared" ca="1" si="119"/>
        <v>5.6782334384858135E-2</v>
      </c>
      <c r="H267" s="253">
        <f t="shared" ca="1" si="119"/>
        <v>-6.270096463022512E-2</v>
      </c>
      <c r="I267" s="253">
        <f t="shared" ca="1" si="119"/>
        <v>0.23098591549295766</v>
      </c>
      <c r="J267" s="253">
        <f t="shared" ca="1" si="119"/>
        <v>1.2280701754386003E-2</v>
      </c>
      <c r="K267" s="253">
        <f t="shared" ca="1" si="119"/>
        <v>-1.295896328293733E-2</v>
      </c>
      <c r="L267" s="253">
        <f t="shared" ca="1" si="119"/>
        <v>-0.27370304114490163</v>
      </c>
      <c r="M267" s="253">
        <f t="shared" ca="1" si="119"/>
        <v>0.21678321678321688</v>
      </c>
      <c r="N267" s="253">
        <f t="shared" ca="1" si="119"/>
        <v>6.8268705625341264E-2</v>
      </c>
      <c r="O267" s="253">
        <f t="shared" ca="1" si="119"/>
        <v>2.4745269286754246E-2</v>
      </c>
      <c r="P267" s="253">
        <f ca="1">MEDIAN(P252:P258,P261:P264)</f>
        <v>-0.20012626262626265</v>
      </c>
      <c r="Q267" s="253"/>
      <c r="R267" s="253"/>
      <c r="S267" s="253"/>
      <c r="T267" s="442"/>
      <c r="U267" s="241"/>
      <c r="V267" s="422"/>
      <c r="W267" s="253">
        <f t="shared" ref="W267:AE267" ca="1" si="120">MEDIAN(W252:W258,W261:W264)</f>
        <v>0.14000912111538177</v>
      </c>
      <c r="X267" s="253">
        <f t="shared" ca="1" si="120"/>
        <v>2.7849028948332633E-2</v>
      </c>
      <c r="Y267" s="253">
        <f t="shared" ca="1" si="120"/>
        <v>8.8770053475935917E-2</v>
      </c>
      <c r="Z267" s="253">
        <f t="shared" ca="1" si="120"/>
        <v>7.9576860764319024E-2</v>
      </c>
      <c r="AA267" s="253">
        <f t="shared" ca="1" si="120"/>
        <v>7.6092680358083253E-2</v>
      </c>
      <c r="AB267" s="253">
        <f t="shared" ca="1" si="120"/>
        <v>-1.9587791395834386E-2</v>
      </c>
      <c r="AC267" s="253">
        <f t="shared" ca="1" si="120"/>
        <v>7.0599083809974039E-2</v>
      </c>
      <c r="AD267" s="253">
        <f t="shared" ca="1" si="120"/>
        <v>1.3428827215755668E-3</v>
      </c>
      <c r="AE267" s="253">
        <f t="shared" ca="1" si="120"/>
        <v>-0.10663185378590079</v>
      </c>
      <c r="AF267" s="253"/>
      <c r="AG267" s="249"/>
      <c r="AH267" s="249"/>
      <c r="AI267" s="249"/>
      <c r="AJ267" s="292"/>
    </row>
    <row r="268" spans="2:36" ht="11.25" customHeight="1">
      <c r="C268" s="219"/>
      <c r="D268" s="219"/>
      <c r="E268" s="219"/>
      <c r="F268" s="219"/>
      <c r="G268" s="219"/>
      <c r="H268" s="219"/>
      <c r="I268" s="219"/>
      <c r="J268" s="219"/>
      <c r="K268" s="219"/>
      <c r="L268" s="219"/>
      <c r="M268" s="219"/>
      <c r="N268" s="219"/>
      <c r="O268" s="219"/>
      <c r="P268" s="219"/>
      <c r="Q268" s="219"/>
      <c r="R268" s="219"/>
      <c r="S268" s="219"/>
      <c r="T268" s="219"/>
      <c r="U268" s="219"/>
      <c r="V268" s="241"/>
      <c r="W268" s="241"/>
      <c r="X268" s="241"/>
      <c r="Y268" s="241"/>
      <c r="Z268" s="241"/>
      <c r="AA268" s="241"/>
      <c r="AB268" s="241"/>
      <c r="AC268" s="241"/>
      <c r="AD268" s="241"/>
      <c r="AE268" s="241"/>
      <c r="AF268" s="241"/>
      <c r="AG268" s="241"/>
      <c r="AH268" s="241"/>
      <c r="AI268" s="241"/>
      <c r="AJ268" s="241"/>
    </row>
    <row r="269" spans="2:36" ht="11.25" customHeight="1">
      <c r="B269" s="231" t="s">
        <v>14</v>
      </c>
      <c r="C269" s="232" t="s">
        <v>500</v>
      </c>
      <c r="D269" s="232"/>
      <c r="E269" s="232"/>
      <c r="F269" s="232"/>
      <c r="G269" s="232"/>
      <c r="H269" s="232"/>
      <c r="I269" s="232"/>
      <c r="J269" s="232"/>
      <c r="K269" s="232"/>
      <c r="L269" s="232"/>
      <c r="M269" s="232"/>
      <c r="N269" s="232"/>
      <c r="O269" s="232"/>
      <c r="P269" s="232"/>
      <c r="Q269" s="232"/>
      <c r="R269" s="232"/>
      <c r="S269" s="232"/>
      <c r="T269" s="232"/>
      <c r="U269" s="233"/>
      <c r="V269" s="232"/>
      <c r="W269" s="231"/>
      <c r="X269" s="231"/>
      <c r="Y269" s="231"/>
      <c r="Z269" s="231"/>
      <c r="AA269" s="231"/>
      <c r="AB269" s="231"/>
      <c r="AC269" s="231"/>
      <c r="AD269" s="231"/>
      <c r="AE269" s="231"/>
      <c r="AF269" s="231"/>
      <c r="AG269" s="231"/>
      <c r="AH269" s="231"/>
      <c r="AI269" s="231"/>
      <c r="AJ269" s="231"/>
    </row>
    <row r="270" spans="2:36" ht="11.25" customHeight="1">
      <c r="C270" s="217" t="s">
        <v>499</v>
      </c>
      <c r="D270" s="217" t="s">
        <v>498</v>
      </c>
      <c r="V270" s="217" t="s">
        <v>497</v>
      </c>
    </row>
    <row r="271" spans="2:36" ht="11.25" customHeight="1"/>
    <row r="272" spans="2:36" ht="11.25" customHeight="1">
      <c r="C272" s="428" t="str">
        <f>+C11</f>
        <v>Commodity Chemicals</v>
      </c>
    </row>
    <row r="273" spans="2:37" s="227" customFormat="1" ht="11.25" customHeight="1">
      <c r="B273" s="217"/>
      <c r="C273" s="229" t="str">
        <f ca="1">IFERROR(IF(BB_Switch=1,_xll.BDP($D273,$C$270),C273), "NA ")</f>
        <v>DuPont de Nemours Inc</v>
      </c>
      <c r="D273" s="227" t="str">
        <f t="shared" ref="D273:D279" si="121">+D12</f>
        <v>DD US EQUITY</v>
      </c>
      <c r="E273" s="228" t="str">
        <f ca="1">IFERROR(IF(BB_Switch=1,IF(_xll.BDP($D273,$D$270, "EQY_FUND_RELATIVE_PERIOD", E$3)="#N/A N/A","NA  ",(_xll.BDP($D273,$D$270, "EQY_FUND_RELATIVE_PERIOD", E$3))),E273),"NA ")</f>
        <v xml:space="preserve">NA  </v>
      </c>
      <c r="F273" s="228" t="str">
        <f ca="1">IFERROR(IF(BB_Switch=1,IF(_xll.BDP($D273,$D$270, "EQY_FUND_RELATIVE_PERIOD", F$3)="#N/A N/A","NA  ",(_xll.BDP($D273,$D$270, "EQY_FUND_RELATIVE_PERIOD", F$3))),F273),"NA ")</f>
        <v xml:space="preserve">NA  </v>
      </c>
      <c r="G273" s="228">
        <f ca="1">IFERROR(IF(BB_Switch=1,IF(_xll.BDP($D273,$D$270, "EQY_FUND_RELATIVE_PERIOD", G$3)="#N/A N/A","NA  ",(_xll.BDP($D273,$D$270, "EQY_FUND_RELATIVE_PERIOD", G$3))),G273),"NA ")</f>
        <v>161956.44953313001</v>
      </c>
      <c r="H273" s="228">
        <f ca="1">IFERROR(IF(BB_Switch=1,IF(_xll.BDP($D273,$D$270, "EQY_FUND_RELATIVE_PERIOD", H$3)="#N/A N/A","NA  ",(_xll.BDP($D273,$D$270, "EQY_FUND_RELATIVE_PERIOD", H$3))),H273),"NA ")</f>
        <v>165752.61844217998</v>
      </c>
      <c r="I273" s="228">
        <f ca="1">IFERROR(IF(BB_Switch=1,IF(_xll.BDP($D273,$D$270, "EQY_FUND_RELATIVE_PERIOD", I$3)="#N/A N/A","NA  ",(_xll.BDP($D273,$D$270, "EQY_FUND_RELATIVE_PERIOD", I$3))),I273),"NA ")</f>
        <v>147841.9576276</v>
      </c>
      <c r="J273" s="228">
        <f ca="1">IFERROR(IF(BB_Switch=1,IF(_xll.BDP($D273,$D$270, "EQY_FUND_RELATIVE_PERIOD", J$3)="#N/A N/A","NA  ",(_xll.BDP($D273,$D$270, "EQY_FUND_RELATIVE_PERIOD", J$3))),J273),"NA ")</f>
        <v>152083.61880825079</v>
      </c>
      <c r="K273" s="228">
        <f ca="1">IFERROR(IF(BB_Switch=1,IF(_xll.BDP($D273,$D$270, "EQY_FUND_RELATIVE_PERIOD", K$3)="#N/A N/A","NA  ",(_xll.BDP($D273,$D$270, "EQY_FUND_RELATIVE_PERIOD", K$3))),K273),"NA ")</f>
        <v>147529.90835533853</v>
      </c>
      <c r="L273" s="228">
        <f ca="1">IFERROR(IF(BB_Switch=1,IF(_xll.BDP($D273,$D$270, "EQY_FUND_RELATIVE_PERIOD", L$3)="#N/A N/A","NA  ",(_xll.BDP($D273,$D$270, "EQY_FUND_RELATIVE_PERIOD", L$3))),L273),"NA ")</f>
        <v>121345.05114765093</v>
      </c>
      <c r="M273" s="228">
        <f ca="1">IFERROR(IF(BB_Switch=1,IF(_xll.BDP($D273,$D$270, "EQY_FUND_RELATIVE_PERIOD", M$3)="#N/A N/A","NA  ",(_xll.BDP($D273,$D$270, "EQY_FUND_RELATIVE_PERIOD", M$3))),M273),"NA ")</f>
        <v>119750.98435989002</v>
      </c>
      <c r="N273" s="228">
        <f ca="1">IFERROR(IF(BB_Switch=1,IF(_xll.BDP($D273,$D$270, "EQY_FUND_RELATIVE_PERIOD", N$3)="#N/A N/A","NA  ",(_xll.BDP($D273,$D$270, "EQY_FUND_RELATIVE_PERIOD", N$3))),N273),"NA ")</f>
        <v>56110.584821190001</v>
      </c>
      <c r="O273" s="228">
        <f ca="1">IFERROR(IF(BB_Switch=1,IF(_xll.BDP($D273,$D$270, "EQY_FUND_RELATIVE_PERIOD", O$3)="#N/A N/A","NA  ",(_xll.BDP($D273,$D$270, "EQY_FUND_RELATIVE_PERIOD", O$3))),O273),"NA ")</f>
        <v>52960.432358999999</v>
      </c>
      <c r="P273" s="228">
        <f ca="1">IFERROR(IF(BB_Switch=1,IF(_xll.BDP($D273,$D$270, "EQY_FUND_RELATIVE_PERIOD", P$3)="#N/A N/A","NA  ",(_xll.BDP($D273,$D$270, "EQY_FUND_RELATIVE_PERIOD", P$3))),P273),"NA ")</f>
        <v>47415.8555376</v>
      </c>
      <c r="Q273" s="228"/>
      <c r="R273" s="228"/>
      <c r="S273" s="228"/>
      <c r="T273" s="228"/>
      <c r="V273" s="228" t="str">
        <f ca="1">IFERROR(IF(BB_Switch=1,IF(_xll.BDP($D273,$D$270, "EQY_FUND_RELATIVE_PERIOD", V$3)="#N/A N/A","NA  ",(_xll.BDP($D273,$D$270, "EQY_FUND_RELATIVE_PERIOD", V$3))),V273),"NA ")</f>
        <v xml:space="preserve">NA  </v>
      </c>
      <c r="W273" s="228" t="str">
        <f ca="1">IFERROR(IF(BB_Switch=1,IF(_xll.BDP($D273,$D$270, "EQY_FUND_RELATIVE_PERIOD", W$3)="#N/A N/A","NA  ",(_xll.BDP($D273,$D$270, "EQY_FUND_RELATIVE_PERIOD", W$3))),W273),"NA ")</f>
        <v xml:space="preserve">NA  </v>
      </c>
      <c r="X273" s="228" t="str">
        <f ca="1">IFERROR(IF(BB_Switch=1,IF(_xll.BDP($D273,$D$270, "EQY_FUND_RELATIVE_PERIOD", X$3)="#N/A N/A","NA  ",(_xll.BDP($D273,$D$270, "EQY_FUND_RELATIVE_PERIOD", X$3))),X273),"NA ")</f>
        <v xml:space="preserve">NA  </v>
      </c>
      <c r="Y273" s="228" t="str">
        <f ca="1">IFERROR(IF(BB_Switch=1,IF(_xll.BDP($D273,$D$270, "EQY_FUND_RELATIVE_PERIOD", Y$3)="#N/A N/A","NA  ",(_xll.BDP($D273,$D$270, "EQY_FUND_RELATIVE_PERIOD", Y$3))),Y273),"NA ")</f>
        <v xml:space="preserve">NA  </v>
      </c>
      <c r="Z273" s="228" t="str">
        <f ca="1">IFERROR(IF(BB_Switch=1,IF(_xll.BDP($D273,$D$270, "EQY_FUND_RELATIVE_PERIOD", Z$3)="#N/A N/A","NA  ",(_xll.BDP($D273,$D$270, "EQY_FUND_RELATIVE_PERIOD", Z$3))),Z273),"NA ")</f>
        <v xml:space="preserve">NA  </v>
      </c>
      <c r="AA273" s="228" t="str">
        <f ca="1">IFERROR(IF(BB_Switch=1,IF(_xll.BDP($D273,$D$270, "EQY_FUND_RELATIVE_PERIOD", AA$3)="#N/A N/A","NA  ",(_xll.BDP($D273,$D$270, "EQY_FUND_RELATIVE_PERIOD", AA$3))),AA273),"NA ")</f>
        <v xml:space="preserve">NA  </v>
      </c>
      <c r="AB273" s="228">
        <f ca="1">IFERROR(IF(BB_Switch=1,IF(_xll.BDP($D273,$D$270, "EQY_FUND_RELATIVE_PERIOD", AB$3)="#N/A N/A","NA  ",(_xll.BDP($D273,$D$270, "EQY_FUND_RELATIVE_PERIOD", AB$3))),AB273),"NA ")</f>
        <v>69301.049428700004</v>
      </c>
      <c r="AC273" s="228">
        <f ca="1">IFERROR(IF(BB_Switch=1,IF(_xll.BDP($D273,$D$270, "EQY_FUND_RELATIVE_PERIOD", AC$3)="#N/A N/A","NA  ",(_xll.BDP($D273,$D$270, "EQY_FUND_RELATIVE_PERIOD", AC$3))),AC273),"NA ")</f>
        <v>165752.61844217998</v>
      </c>
      <c r="AD273" s="228">
        <f ca="1">IFERROR(IF(BB_Switch=1,IF(_xll.BDP($D273,$D$270, "EQY_FUND_RELATIVE_PERIOD", AD$3)="#N/A N/A","NA  ",(_xll.BDP($D273,$D$270, "EQY_FUND_RELATIVE_PERIOD", AD$3))),AD273),"NA ")</f>
        <v>121345.05114765093</v>
      </c>
      <c r="AE273" s="228">
        <f ca="1">IFERROR(IF(BB_Switch=1,IF(_xll.BDP($D273,$D$270, "EQY_FUND_RELATIVE_PERIOD", AE$3)="#N/A N/A","NA  ",(_xll.BDP($D273,$D$270, "EQY_FUND_RELATIVE_PERIOD", AE$3))),AE273),"NA ")</f>
        <v>47415.8555376</v>
      </c>
      <c r="AF273" s="244"/>
      <c r="AG273" s="228">
        <f ca="1">IFERROR(IF(BB_Switch=1,IF(_xll.BDP($D273,$V$270)="#N/A N/A","NA  ",(_xll.BDP($D273,$V$270))/1000000),AG273),"NA ")</f>
        <v>25324.054823499999</v>
      </c>
      <c r="AH273" s="228"/>
      <c r="AI273" s="228"/>
      <c r="AJ273" s="228"/>
    </row>
    <row r="274" spans="2:37" ht="11.25" customHeight="1">
      <c r="C274" s="229" t="str">
        <f ca="1">IFERROR(IF(BB_Switch=1,_xll.BDP($D274,$C$270),C274), "NA ")</f>
        <v>PolyOne Corp</v>
      </c>
      <c r="D274" s="227" t="str">
        <f t="shared" si="121"/>
        <v>POL US EQUITY</v>
      </c>
      <c r="E274" s="228">
        <f ca="1">IFERROR(IF(BB_Switch=1,IF(_xll.BDP($D274,$D$270, "EQY_FUND_RELATIVE_PERIOD", E$3)="#N/A N/A","NA  ",(_xll.BDP($D274,$D$270, "EQY_FUND_RELATIVE_PERIOD", E$3))),E274),"NA ")</f>
        <v>2787.0603014100002</v>
      </c>
      <c r="F274" s="228">
        <f ca="1">IFERROR(IF(BB_Switch=1,IF(_xll.BDP($D274,$D$270, "EQY_FUND_RELATIVE_PERIOD", F$3)="#N/A N/A","NA  ",(_xll.BDP($D274,$D$270, "EQY_FUND_RELATIVE_PERIOD", F$3))),F274),"NA ")</f>
        <v>3168.6041046400001</v>
      </c>
      <c r="G274" s="228">
        <f ca="1">IFERROR(IF(BB_Switch=1,IF(_xll.BDP($D274,$D$270, "EQY_FUND_RELATIVE_PERIOD", G$3)="#N/A N/A","NA  ",(_xll.BDP($D274,$D$270, "EQY_FUND_RELATIVE_PERIOD", G$3))),G274),"NA ")</f>
        <v>3234.5927264500001</v>
      </c>
      <c r="H274" s="228">
        <f ca="1">IFERROR(IF(BB_Switch=1,IF(_xll.BDP($D274,$D$270, "EQY_FUND_RELATIVE_PERIOD", H$3)="#N/A N/A","NA  ",(_xll.BDP($D274,$D$270, "EQY_FUND_RELATIVE_PERIOD", H$3))),H274),"NA ")</f>
        <v>3519.15</v>
      </c>
      <c r="I274" s="228">
        <f ca="1">IFERROR(IF(BB_Switch=1,IF(_xll.BDP($D274,$D$270, "EQY_FUND_RELATIVE_PERIOD", I$3)="#N/A N/A","NA  ",(_xll.BDP($D274,$D$270, "EQY_FUND_RELATIVE_PERIOD", I$3))),I274),"NA ")</f>
        <v>3400.3674727600001</v>
      </c>
      <c r="J274" s="228">
        <f ca="1">IFERROR(IF(BB_Switch=1,IF(_xll.BDP($D274,$D$270, "EQY_FUND_RELATIVE_PERIOD", J$3)="#N/A N/A","NA  ",(_xll.BDP($D274,$D$270, "EQY_FUND_RELATIVE_PERIOD", J$3))),J274),"NA ")</f>
        <v>3455.0708952600003</v>
      </c>
      <c r="K274" s="228">
        <f ca="1">IFERROR(IF(BB_Switch=1,IF(_xll.BDP($D274,$D$270, "EQY_FUND_RELATIVE_PERIOD", K$3)="#N/A N/A","NA  ",(_xll.BDP($D274,$D$270, "EQY_FUND_RELATIVE_PERIOD", K$3))),K274),"NA ")</f>
        <v>3489.7496805199999</v>
      </c>
      <c r="L274" s="228">
        <f ca="1">IFERROR(IF(BB_Switch=1,IF(_xll.BDP($D274,$D$270, "EQY_FUND_RELATIVE_PERIOD", L$3)="#N/A N/A","NA  ",(_xll.BDP($D274,$D$270, "EQY_FUND_RELATIVE_PERIOD", L$3))),L274),"NA ")</f>
        <v>2222.2200000000003</v>
      </c>
      <c r="M274" s="228">
        <f ca="1">IFERROR(IF(BB_Switch=1,IF(_xll.BDP($D274,$D$270, "EQY_FUND_RELATIVE_PERIOD", M$3)="#N/A N/A","NA  ",(_xll.BDP($D274,$D$270, "EQY_FUND_RELATIVE_PERIOD", M$3))),M274),"NA ")</f>
        <v>2280.3179999999998</v>
      </c>
      <c r="N274" s="228">
        <f ca="1">IFERROR(IF(BB_Switch=1,IF(_xll.BDP($D274,$D$270, "EQY_FUND_RELATIVE_PERIOD", N$3)="#N/A N/A","NA  ",(_xll.BDP($D274,$D$270, "EQY_FUND_RELATIVE_PERIOD", N$3))),N274),"NA ")</f>
        <v>2413.8910000000001</v>
      </c>
      <c r="O274" s="228">
        <f ca="1">IFERROR(IF(BB_Switch=1,IF(_xll.BDP($D274,$D$270, "EQY_FUND_RELATIVE_PERIOD", O$3)="#N/A N/A","NA  ",(_xll.BDP($D274,$D$270, "EQY_FUND_RELATIVE_PERIOD", O$3))),O274),"NA ")</f>
        <v>2511.27798235</v>
      </c>
      <c r="P274" s="228">
        <f ca="1">IFERROR(IF(BB_Switch=1,IF(_xll.BDP($D274,$D$270, "EQY_FUND_RELATIVE_PERIOD", P$3)="#N/A N/A","NA  ",(_xll.BDP($D274,$D$270, "EQY_FUND_RELATIVE_PERIOD", P$3))),P274),"NA ")</f>
        <v>2829.1510000000003</v>
      </c>
      <c r="Q274" s="228"/>
      <c r="R274" s="228"/>
      <c r="S274" s="228"/>
      <c r="T274" s="228"/>
      <c r="U274" s="227"/>
      <c r="V274" s="228">
        <f ca="1">IFERROR(IF(BB_Switch=1,IF(_xll.BDP($D274,$D$270, "EQY_FUND_RELATIVE_PERIOD", V$3)="#N/A N/A","NA  ",(_xll.BDP($D274,$D$270, "EQY_FUND_RELATIVE_PERIOD", V$3))),V274),"NA ")</f>
        <v>1172.8110000000001</v>
      </c>
      <c r="W274" s="228">
        <f ca="1">IFERROR(IF(BB_Switch=1,IF(_xll.BDP($D274,$D$270, "EQY_FUND_RELATIVE_PERIOD", W$3)="#N/A N/A","NA  ",(_xll.BDP($D274,$D$270, "EQY_FUND_RELATIVE_PERIOD", W$3))),W274),"NA ")</f>
        <v>1025.6400000000001</v>
      </c>
      <c r="X274" s="228">
        <f ca="1">IFERROR(IF(BB_Switch=1,IF(_xll.BDP($D274,$D$270, "EQY_FUND_RELATIVE_PERIOD", X$3)="#N/A N/A","NA  ",(_xll.BDP($D274,$D$270, "EQY_FUND_RELATIVE_PERIOD", X$3))),X274),"NA ")</f>
        <v>1827.5900000000001</v>
      </c>
      <c r="Y274" s="228">
        <f ca="1">IFERROR(IF(BB_Switch=1,IF(_xll.BDP($D274,$D$270, "EQY_FUND_RELATIVE_PERIOD", Y$3)="#N/A N/A","NA  ",(_xll.BDP($D274,$D$270, "EQY_FUND_RELATIVE_PERIOD", Y$3))),Y274),"NA ")</f>
        <v>3361.7849999999999</v>
      </c>
      <c r="Z274" s="228">
        <f ca="1">IFERROR(IF(BB_Switch=1,IF(_xll.BDP($D274,$D$270, "EQY_FUND_RELATIVE_PERIOD", Z$3)="#N/A N/A","NA  ",(_xll.BDP($D274,$D$270, "EQY_FUND_RELATIVE_PERIOD", Z$3))),Z274),"NA ")</f>
        <v>3385.3629999999994</v>
      </c>
      <c r="AA274" s="228">
        <f ca="1">IFERROR(IF(BB_Switch=1,IF(_xll.BDP($D274,$D$270, "EQY_FUND_RELATIVE_PERIOD", AA$3)="#N/A N/A","NA  ",(_xll.BDP($D274,$D$270, "EQY_FUND_RELATIVE_PERIOD", AA$3))),AA274),"NA ")</f>
        <v>2709.1280000000002</v>
      </c>
      <c r="AB274" s="228">
        <f ca="1">IFERROR(IF(BB_Switch=1,IF(_xll.BDP($D274,$D$270, "EQY_FUND_RELATIVE_PERIOD", AB$3)="#N/A N/A","NA  ",(_xll.BDP($D274,$D$270, "EQY_FUND_RELATIVE_PERIOD", AB$3))),AB274),"NA ")</f>
        <v>2646.5039999999999</v>
      </c>
      <c r="AC274" s="228">
        <f ca="1">IFERROR(IF(BB_Switch=1,IF(_xll.BDP($D274,$D$270, "EQY_FUND_RELATIVE_PERIOD", AC$3)="#N/A N/A","NA  ",(_xll.BDP($D274,$D$270, "EQY_FUND_RELATIVE_PERIOD", AC$3))),AC274),"NA ")</f>
        <v>3519.15</v>
      </c>
      <c r="AD274" s="228">
        <f ca="1">IFERROR(IF(BB_Switch=1,IF(_xll.BDP($D274,$D$270, "EQY_FUND_RELATIVE_PERIOD", AD$3)="#N/A N/A","NA  ",(_xll.BDP($D274,$D$270, "EQY_FUND_RELATIVE_PERIOD", AD$3))),AD274),"NA ")</f>
        <v>2222.2200000000003</v>
      </c>
      <c r="AE274" s="228">
        <f ca="1">IFERROR(IF(BB_Switch=1,IF(_xll.BDP($D274,$D$270, "EQY_FUND_RELATIVE_PERIOD", AE$3)="#N/A N/A","NA  ",(_xll.BDP($D274,$D$270, "EQY_FUND_RELATIVE_PERIOD", AE$3))),AE274),"NA ")</f>
        <v>2829.1510000000003</v>
      </c>
      <c r="AF274" s="228"/>
      <c r="AG274" s="228">
        <f ca="1">IFERROR(IF(BB_Switch=1,IF(_xll.BDP($D274,$V$270)="#N/A N/A","NA  ",(_xll.BDP($D274,$V$270))/1000000),AG274),"NA ")</f>
        <v>1410.0680431999999</v>
      </c>
      <c r="AH274" s="228"/>
      <c r="AI274" s="228"/>
      <c r="AJ274" s="228"/>
    </row>
    <row r="275" spans="2:37" ht="11.25" customHeight="1">
      <c r="C275" s="229" t="str">
        <f ca="1">IFERROR(IF(BB_Switch=1,_xll.BDP($D275,$C$270),C275), "NA ")</f>
        <v>Olin Corp</v>
      </c>
      <c r="D275" s="227" t="str">
        <f t="shared" si="121"/>
        <v>OLN US EQUITY</v>
      </c>
      <c r="E275" s="228">
        <f ca="1">IFERROR(IF(BB_Switch=1,IF(_xll.BDP($D275,$D$270, "EQY_FUND_RELATIVE_PERIOD", E$3)="#N/A N/A","NA  ",(_xll.BDP($D275,$D$270, "EQY_FUND_RELATIVE_PERIOD", E$3))),E275),"NA ")</f>
        <v>5453.1329999999998</v>
      </c>
      <c r="F275" s="228">
        <f ca="1">IFERROR(IF(BB_Switch=1,IF(_xll.BDP($D275,$D$270, "EQY_FUND_RELATIVE_PERIOD", F$3)="#N/A N/A","NA  ",(_xll.BDP($D275,$D$270, "EQY_FUND_RELATIVE_PERIOD", F$3))),F275),"NA ")</f>
        <v>5035.5640000000003</v>
      </c>
      <c r="G275" s="228">
        <f ca="1">IFERROR(IF(BB_Switch=1,IF(_xll.BDP($D275,$D$270, "EQY_FUND_RELATIVE_PERIOD", G$3)="#N/A N/A","NA  ",(_xll.BDP($D275,$D$270, "EQY_FUND_RELATIVE_PERIOD", G$3))),G275),"NA ")</f>
        <v>5664.95</v>
      </c>
      <c r="H275" s="228">
        <f ca="1">IFERROR(IF(BB_Switch=1,IF(_xll.BDP($D275,$D$270, "EQY_FUND_RELATIVE_PERIOD", H$3)="#N/A N/A","NA  ",(_xll.BDP($D275,$D$270, "EQY_FUND_RELATIVE_PERIOD", H$3))),H275),"NA ")</f>
        <v>5945.4179999999997</v>
      </c>
      <c r="I275" s="228">
        <f ca="1">IFERROR(IF(BB_Switch=1,IF(_xll.BDP($D275,$D$270, "EQY_FUND_RELATIVE_PERIOD", I$3)="#N/A N/A","NA  ",(_xll.BDP($D275,$D$270, "EQY_FUND_RELATIVE_PERIOD", I$3))),I275),"NA ")</f>
        <v>5081.2079999999996</v>
      </c>
      <c r="J275" s="228">
        <f ca="1">IFERROR(IF(BB_Switch=1,IF(_xll.BDP($D275,$D$270, "EQY_FUND_RELATIVE_PERIOD", J$3)="#N/A N/A","NA  ",(_xll.BDP($D275,$D$270, "EQY_FUND_RELATIVE_PERIOD", J$3))),J275),"NA ")</f>
        <v>4796.24</v>
      </c>
      <c r="K275" s="228">
        <f ca="1">IFERROR(IF(BB_Switch=1,IF(_xll.BDP($D275,$D$270, "EQY_FUND_RELATIVE_PERIOD", K$3)="#N/A N/A","NA  ",(_xll.BDP($D275,$D$270, "EQY_FUND_RELATIVE_PERIOD", K$3))),K275),"NA ")</f>
        <v>4283.424</v>
      </c>
      <c r="L275" s="228">
        <f ca="1">IFERROR(IF(BB_Switch=1,IF(_xll.BDP($D275,$D$270, "EQY_FUND_RELATIVE_PERIOD", L$3)="#N/A N/A","NA  ",(_xll.BDP($D275,$D$270, "EQY_FUND_RELATIVE_PERIOD", L$3))),L275),"NA ")</f>
        <v>3324.183</v>
      </c>
      <c r="M275" s="228">
        <f ca="1">IFERROR(IF(BB_Switch=1,IF(_xll.BDP($D275,$D$270, "EQY_FUND_RELATIVE_PERIOD", M$3)="#N/A N/A","NA  ",(_xll.BDP($D275,$D$270, "EQY_FUND_RELATIVE_PERIOD", M$3))),M275),"NA ")</f>
        <v>3815.7860000000001</v>
      </c>
      <c r="N275" s="228">
        <f ca="1">IFERROR(IF(BB_Switch=1,IF(_xll.BDP($D275,$D$270, "EQY_FUND_RELATIVE_PERIOD", N$3)="#N/A N/A","NA  ",(_xll.BDP($D275,$D$270, "EQY_FUND_RELATIVE_PERIOD", N$3))),N275),"NA ")</f>
        <v>3599.8130000000001</v>
      </c>
      <c r="O275" s="228">
        <f ca="1">IFERROR(IF(BB_Switch=1,IF(_xll.BDP($D275,$D$270, "EQY_FUND_RELATIVE_PERIOD", O$3)="#N/A N/A","NA  ",(_xll.BDP($D275,$D$270, "EQY_FUND_RELATIVE_PERIOD", O$3))),O275),"NA ")</f>
        <v>2989.5839999999998</v>
      </c>
      <c r="P275" s="228">
        <f ca="1">IFERROR(IF(BB_Switch=1,IF(_xll.BDP($D275,$D$270, "EQY_FUND_RELATIVE_PERIOD", P$3)="#N/A N/A","NA  ",(_xll.BDP($D275,$D$270, "EQY_FUND_RELATIVE_PERIOD", P$3))),P275),"NA ")</f>
        <v>2720.3249999999998</v>
      </c>
      <c r="Q275" s="228"/>
      <c r="R275" s="228"/>
      <c r="S275" s="228"/>
      <c r="T275" s="228"/>
      <c r="U275" s="227"/>
      <c r="V275" s="228">
        <f ca="1">IFERROR(IF(BB_Switch=1,IF(_xll.BDP($D275,$D$270, "EQY_FUND_RELATIVE_PERIOD", V$3)="#N/A N/A","NA  ",(_xll.BDP($D275,$D$270, "EQY_FUND_RELATIVE_PERIOD", V$3))),V275),"NA ")</f>
        <v>1632.96852876</v>
      </c>
      <c r="W275" s="228">
        <f ca="1">IFERROR(IF(BB_Switch=1,IF(_xll.BDP($D275,$D$270, "EQY_FUND_RELATIVE_PERIOD", W$3)="#N/A N/A","NA  ",(_xll.BDP($D275,$D$270, "EQY_FUND_RELATIVE_PERIOD", W$3))),W275),"NA ")</f>
        <v>1573.9649999999997</v>
      </c>
      <c r="X275" s="228">
        <f ca="1">IFERROR(IF(BB_Switch=1,IF(_xll.BDP($D275,$D$270, "EQY_FUND_RELATIVE_PERIOD", X$3)="#N/A N/A","NA  ",(_xll.BDP($D275,$D$270, "EQY_FUND_RELATIVE_PERIOD", X$3))),X275),"NA ")</f>
        <v>1731.518</v>
      </c>
      <c r="Y275" s="228">
        <f ca="1">IFERROR(IF(BB_Switch=1,IF(_xll.BDP($D275,$D$270, "EQY_FUND_RELATIVE_PERIOD", Y$3)="#N/A N/A","NA  ",(_xll.BDP($D275,$D$270, "EQY_FUND_RELATIVE_PERIOD", Y$3))),Y275),"NA ")</f>
        <v>2290.69</v>
      </c>
      <c r="Z275" s="228">
        <f ca="1">IFERROR(IF(BB_Switch=1,IF(_xll.BDP($D275,$D$270, "EQY_FUND_RELATIVE_PERIOD", Z$3)="#N/A N/A","NA  ",(_xll.BDP($D275,$D$270, "EQY_FUND_RELATIVE_PERIOD", Z$3))),Z275),"NA ")</f>
        <v>1762.3980000000001</v>
      </c>
      <c r="AA275" s="228">
        <f ca="1">IFERROR(IF(BB_Switch=1,IF(_xll.BDP($D275,$D$270, "EQY_FUND_RELATIVE_PERIOD", AA$3)="#N/A N/A","NA  ",(_xll.BDP($D275,$D$270, "EQY_FUND_RELATIVE_PERIOD", AA$3))),AA275),"NA ")</f>
        <v>2849.6260000000002</v>
      </c>
      <c r="AB275" s="228">
        <f ca="1">IFERROR(IF(BB_Switch=1,IF(_xll.BDP($D275,$D$270, "EQY_FUND_RELATIVE_PERIOD", AB$3)="#N/A N/A","NA  ",(_xll.BDP($D275,$D$270, "EQY_FUND_RELATIVE_PERIOD", AB$3))),AB275),"NA ")</f>
        <v>4235.8940000000002</v>
      </c>
      <c r="AC275" s="228">
        <f ca="1">IFERROR(IF(BB_Switch=1,IF(_xll.BDP($D275,$D$270, "EQY_FUND_RELATIVE_PERIOD", AC$3)="#N/A N/A","NA  ",(_xll.BDP($D275,$D$270, "EQY_FUND_RELATIVE_PERIOD", AC$3))),AC275),"NA ")</f>
        <v>5945.4179999999997</v>
      </c>
      <c r="AD275" s="228">
        <f ca="1">IFERROR(IF(BB_Switch=1,IF(_xll.BDP($D275,$D$270, "EQY_FUND_RELATIVE_PERIOD", AD$3)="#N/A N/A","NA  ",(_xll.BDP($D275,$D$270, "EQY_FUND_RELATIVE_PERIOD", AD$3))),AD275),"NA ")</f>
        <v>3324.183</v>
      </c>
      <c r="AE275" s="228">
        <f ca="1">IFERROR(IF(BB_Switch=1,IF(_xll.BDP($D275,$D$270, "EQY_FUND_RELATIVE_PERIOD", AE$3)="#N/A N/A","NA  ",(_xll.BDP($D275,$D$270, "EQY_FUND_RELATIVE_PERIOD", AE$3))),AE275),"NA ")</f>
        <v>2720.3249999999998</v>
      </c>
      <c r="AF275" s="228"/>
      <c r="AG275" s="228">
        <f ca="1">IFERROR(IF(BB_Switch=1,IF(_xll.BDP($D275,$V$270)="#N/A N/A","NA  ",(_xll.BDP($D275,$V$270))/1000000),AG275),"NA ")</f>
        <v>1473.12585236</v>
      </c>
      <c r="AH275" s="228"/>
      <c r="AI275" s="228"/>
      <c r="AJ275" s="228"/>
      <c r="AK275" s="230"/>
    </row>
    <row r="276" spans="2:37" ht="11.25" customHeight="1">
      <c r="C276" s="229" t="str">
        <f ca="1">IFERROR(IF(BB_Switch=1,_xll.BDP($D276,$C$270),C276), "NA ")</f>
        <v>LyondellBasell Industries NV</v>
      </c>
      <c r="D276" s="227" t="str">
        <f t="shared" si="121"/>
        <v>LYB US EQUITY</v>
      </c>
      <c r="E276" s="228">
        <f ca="1">IFERROR(IF(BB_Switch=1,IF(_xll.BDP($D276,$D$270, "EQY_FUND_RELATIVE_PERIOD", E$3)="#N/A N/A","NA  ",(_xll.BDP($D276,$D$270, "EQY_FUND_RELATIVE_PERIOD", E$3))),E276),"NA ")</f>
        <v>36729.634406960002</v>
      </c>
      <c r="F276" s="228">
        <f ca="1">IFERROR(IF(BB_Switch=1,IF(_xll.BDP($D276,$D$270, "EQY_FUND_RELATIVE_PERIOD", F$3)="#N/A N/A","NA  ",(_xll.BDP($D276,$D$270, "EQY_FUND_RELATIVE_PERIOD", F$3))),F276),"NA ")</f>
        <v>33541.42922649</v>
      </c>
      <c r="G276" s="228">
        <f ca="1">IFERROR(IF(BB_Switch=1,IF(_xll.BDP($D276,$D$270, "EQY_FUND_RELATIVE_PERIOD", G$3)="#N/A N/A","NA  ",(_xll.BDP($D276,$D$270, "EQY_FUND_RELATIVE_PERIOD", G$3))),G276),"NA ")</f>
        <v>39071.078866049997</v>
      </c>
      <c r="H276" s="228">
        <f ca="1">IFERROR(IF(BB_Switch=1,IF(_xll.BDP($D276,$D$270, "EQY_FUND_RELATIVE_PERIOD", H$3)="#N/A N/A","NA  ",(_xll.BDP($D276,$D$270, "EQY_FUND_RELATIVE_PERIOD", H$3))),H276),"NA ")</f>
        <v>43522.569797279997</v>
      </c>
      <c r="I276" s="228">
        <f ca="1">IFERROR(IF(BB_Switch=1,IF(_xll.BDP($D276,$D$270, "EQY_FUND_RELATIVE_PERIOD", I$3)="#N/A N/A","NA  ",(_xll.BDP($D276,$D$270, "EQY_FUND_RELATIVE_PERIOD", I$3))),I276),"NA ")</f>
        <v>41583.222568320001</v>
      </c>
      <c r="J276" s="228">
        <f ca="1">IFERROR(IF(BB_Switch=1,IF(_xll.BDP($D276,$D$270, "EQY_FUND_RELATIVE_PERIOD", J$3)="#N/A N/A","NA  ",(_xll.BDP($D276,$D$270, "EQY_FUND_RELATIVE_PERIOD", J$3))),J276),"NA ")</f>
        <v>42879.209637549997</v>
      </c>
      <c r="K276" s="228">
        <f ca="1">IFERROR(IF(BB_Switch=1,IF(_xll.BDP($D276,$D$270, "EQY_FUND_RELATIVE_PERIOD", K$3)="#N/A N/A","NA  ",(_xll.BDP($D276,$D$270, "EQY_FUND_RELATIVE_PERIOD", K$3))),K276),"NA ")</f>
        <v>39689.593817760004</v>
      </c>
      <c r="L276" s="228">
        <f ca="1">IFERROR(IF(BB_Switch=1,IF(_xll.BDP($D276,$D$270, "EQY_FUND_RELATIVE_PERIOD", L$3)="#N/A N/A","NA  ",(_xll.BDP($D276,$D$270, "EQY_FUND_RELATIVE_PERIOD", L$3))),L276),"NA ")</f>
        <v>31242.934328759999</v>
      </c>
      <c r="M276" s="228">
        <f ca="1">IFERROR(IF(BB_Switch=1,IF(_xll.BDP($D276,$D$270, "EQY_FUND_RELATIVE_PERIOD", M$3)="#N/A N/A","NA  ",(_xll.BDP($D276,$D$270, "EQY_FUND_RELATIVE_PERIOD", M$3))),M276),"NA ")</f>
        <v>31137.018740239997</v>
      </c>
      <c r="N276" s="228">
        <f ca="1">IFERROR(IF(BB_Switch=1,IF(_xll.BDP($D276,$D$270, "EQY_FUND_RELATIVE_PERIOD", N$3)="#N/A N/A","NA  ",(_xll.BDP($D276,$D$270, "EQY_FUND_RELATIVE_PERIOD", N$3))),N276),"NA ")</f>
        <v>31901.464522620001</v>
      </c>
      <c r="O276" s="228">
        <f ca="1">IFERROR(IF(BB_Switch=1,IF(_xll.BDP($D276,$D$270, "EQY_FUND_RELATIVE_PERIOD", O$3)="#N/A N/A","NA  ",(_xll.BDP($D276,$D$270, "EQY_FUND_RELATIVE_PERIOD", O$3))),O276),"NA ")</f>
        <v>29830.00266572</v>
      </c>
      <c r="P276" s="228">
        <f ca="1">IFERROR(IF(BB_Switch=1,IF(_xll.BDP($D276,$D$270, "EQY_FUND_RELATIVE_PERIOD", P$3)="#N/A N/A","NA  ",(_xll.BDP($D276,$D$270, "EQY_FUND_RELATIVE_PERIOD", P$3))),P276),"NA ")</f>
        <v>31506.89590584</v>
      </c>
      <c r="Q276" s="228"/>
      <c r="R276" s="228"/>
      <c r="S276" s="228"/>
      <c r="T276" s="228"/>
      <c r="U276" s="227"/>
      <c r="V276" s="228">
        <f ca="1">IFERROR(IF(BB_Switch=1,IF(_xll.BDP($D276,$D$270, "EQY_FUND_RELATIVE_PERIOD", V$3)="#N/A N/A","NA  ",(_xll.BDP($D276,$D$270, "EQY_FUND_RELATIVE_PERIOD", V$3))),V276),"NA ")</f>
        <v>19420.642842400001</v>
      </c>
      <c r="W276" s="228">
        <f ca="1">IFERROR(IF(BB_Switch=1,IF(_xll.BDP($D276,$D$270, "EQY_FUND_RELATIVE_PERIOD", W$3)="#N/A N/A","NA  ",(_xll.BDP($D276,$D$270, "EQY_FUND_RELATIVE_PERIOD", W$3))),W276),"NA ")</f>
        <v>18497.840387490003</v>
      </c>
      <c r="X276" s="228">
        <f ca="1">IFERROR(IF(BB_Switch=1,IF(_xll.BDP($D276,$D$270, "EQY_FUND_RELATIVE_PERIOD", X$3)="#N/A N/A","NA  ",(_xll.BDP($D276,$D$270, "EQY_FUND_RELATIVE_PERIOD", X$3))),X276),"NA ")</f>
        <v>32839.121916810007</v>
      </c>
      <c r="Y276" s="228">
        <f ca="1">IFERROR(IF(BB_Switch=1,IF(_xll.BDP($D276,$D$270, "EQY_FUND_RELATIVE_PERIOD", Y$3)="#N/A N/A","NA  ",(_xll.BDP($D276,$D$270, "EQY_FUND_RELATIVE_PERIOD", Y$3))),Y276),"NA ")</f>
        <v>44059.601798639997</v>
      </c>
      <c r="Z276" s="228">
        <f ca="1">IFERROR(IF(BB_Switch=1,IF(_xll.BDP($D276,$D$270, "EQY_FUND_RELATIVE_PERIOD", Z$3)="#N/A N/A","NA  ",(_xll.BDP($D276,$D$270, "EQY_FUND_RELATIVE_PERIOD", Z$3))),Z276),"NA ")</f>
        <v>38660.50082478</v>
      </c>
      <c r="AA276" s="228">
        <f ca="1">IFERROR(IF(BB_Switch=1,IF(_xll.BDP($D276,$D$270, "EQY_FUND_RELATIVE_PERIOD", AA$3)="#N/A N/A","NA  ",(_xll.BDP($D276,$D$270, "EQY_FUND_RELATIVE_PERIOD", AA$3))),AA276),"NA ")</f>
        <v>38249.040996099997</v>
      </c>
      <c r="AB276" s="228">
        <f ca="1">IFERROR(IF(BB_Switch=1,IF(_xll.BDP($D276,$D$270, "EQY_FUND_RELATIVE_PERIOD", AB$3)="#N/A N/A","NA  ",(_xll.BDP($D276,$D$270, "EQY_FUND_RELATIVE_PERIOD", AB$3))),AB276),"NA ")</f>
        <v>34659.094273180002</v>
      </c>
      <c r="AC276" s="228">
        <f ca="1">IFERROR(IF(BB_Switch=1,IF(_xll.BDP($D276,$D$270, "EQY_FUND_RELATIVE_PERIOD", AC$3)="#N/A N/A","NA  ",(_xll.BDP($D276,$D$270, "EQY_FUND_RELATIVE_PERIOD", AC$3))),AC276),"NA ")</f>
        <v>43522.569797279997</v>
      </c>
      <c r="AD276" s="228">
        <f ca="1">IFERROR(IF(BB_Switch=1,IF(_xll.BDP($D276,$D$270, "EQY_FUND_RELATIVE_PERIOD", AD$3)="#N/A N/A","NA  ",(_xll.BDP($D276,$D$270, "EQY_FUND_RELATIVE_PERIOD", AD$3))),AD276),"NA ")</f>
        <v>31242.934328759999</v>
      </c>
      <c r="AE276" s="228">
        <f ca="1">IFERROR(IF(BB_Switch=1,IF(_xll.BDP($D276,$D$270, "EQY_FUND_RELATIVE_PERIOD", AE$3)="#N/A N/A","NA  ",(_xll.BDP($D276,$D$270, "EQY_FUND_RELATIVE_PERIOD", AE$3))),AE276),"NA ")</f>
        <v>31506.89590584</v>
      </c>
      <c r="AF276" s="228"/>
      <c r="AG276" s="228">
        <f ca="1">IFERROR(IF(BB_Switch=1,IF(_xll.BDP($D276,$V$270)="#N/A N/A","NA  ",(_xll.BDP($D276,$V$270))/1000000),AG276),"NA ")</f>
        <v>11641.0655214</v>
      </c>
      <c r="AH276" s="228"/>
      <c r="AI276" s="228"/>
      <c r="AJ276" s="228"/>
    </row>
    <row r="277" spans="2:37" ht="11.25" customHeight="1">
      <c r="C277" s="229" t="str">
        <f ca="1">IFERROR(IF(BB_Switch=1,_xll.BDP($D277,$C$270),C277), "NA ")</f>
        <v>Westlake Chemical Corp</v>
      </c>
      <c r="D277" s="227" t="str">
        <f t="shared" si="121"/>
        <v>WLK US EQUITY</v>
      </c>
      <c r="E277" s="228">
        <f ca="1">IFERROR(IF(BB_Switch=1,IF(_xll.BDP($D277,$D$270, "EQY_FUND_RELATIVE_PERIOD", E$3)="#N/A N/A","NA  ",(_xll.BDP($D277,$D$270, "EQY_FUND_RELATIVE_PERIOD", E$3))),E277),"NA ")</f>
        <v>8523.2901500000007</v>
      </c>
      <c r="F277" s="228">
        <f ca="1">IFERROR(IF(BB_Switch=1,IF(_xll.BDP($D277,$D$270, "EQY_FUND_RELATIVE_PERIOD", F$3)="#N/A N/A","NA  ",(_xll.BDP($D277,$D$270, "EQY_FUND_RELATIVE_PERIOD", F$3))),F277),"NA ")</f>
        <v>8544.5882715600001</v>
      </c>
      <c r="G277" s="228">
        <f ca="1">IFERROR(IF(BB_Switch=1,IF(_xll.BDP($D277,$D$270, "EQY_FUND_RELATIVE_PERIOD", G$3)="#N/A N/A","NA  ",(_xll.BDP($D277,$D$270, "EQY_FUND_RELATIVE_PERIOD", G$3))),G277),"NA ")</f>
        <v>10726.89299283</v>
      </c>
      <c r="H277" s="228">
        <f ca="1">IFERROR(IF(BB_Switch=1,IF(_xll.BDP($D277,$D$270, "EQY_FUND_RELATIVE_PERIOD", H$3)="#N/A N/A","NA  ",(_xll.BDP($D277,$D$270, "EQY_FUND_RELATIVE_PERIOD", H$3))),H277),"NA ")</f>
        <v>13786.953337650002</v>
      </c>
      <c r="I277" s="228">
        <f ca="1">IFERROR(IF(BB_Switch=1,IF(_xll.BDP($D277,$D$270, "EQY_FUND_RELATIVE_PERIOD", I$3)="#N/A N/A","NA  ",(_xll.BDP($D277,$D$270, "EQY_FUND_RELATIVE_PERIOD", I$3))),I277),"NA ")</f>
        <v>14404.333975200001</v>
      </c>
      <c r="J277" s="228">
        <f ca="1">IFERROR(IF(BB_Switch=1,IF(_xll.BDP($D277,$D$270, "EQY_FUND_RELATIVE_PERIOD", J$3)="#N/A N/A","NA  ",(_xll.BDP($D277,$D$270, "EQY_FUND_RELATIVE_PERIOD", J$3))),J277),"NA ")</f>
        <v>13954.403322449998</v>
      </c>
      <c r="K277" s="228">
        <f ca="1">IFERROR(IF(BB_Switch=1,IF(_xll.BDP($D277,$D$270, "EQY_FUND_RELATIVE_PERIOD", K$3)="#N/A N/A","NA  ",(_xll.BDP($D277,$D$270, "EQY_FUND_RELATIVE_PERIOD", K$3))),K277),"NA ")</f>
        <v>10734.921101759999</v>
      </c>
      <c r="L277" s="228">
        <f ca="1">IFERROR(IF(BB_Switch=1,IF(_xll.BDP($D277,$D$270, "EQY_FUND_RELATIVE_PERIOD", L$3)="#N/A N/A","NA  ",(_xll.BDP($D277,$D$270, "EQY_FUND_RELATIVE_PERIOD", L$3))),L277),"NA ")</f>
        <v>8500.7444333500007</v>
      </c>
      <c r="M277" s="228">
        <f ca="1">IFERROR(IF(BB_Switch=1,IF(_xll.BDP($D277,$D$270, "EQY_FUND_RELATIVE_PERIOD", M$3)="#N/A N/A","NA  ",(_xll.BDP($D277,$D$270, "EQY_FUND_RELATIVE_PERIOD", M$3))),M277),"NA ")</f>
        <v>8726.2739530199997</v>
      </c>
      <c r="N277" s="228">
        <f ca="1">IFERROR(IF(BB_Switch=1,IF(_xll.BDP($D277,$D$270, "EQY_FUND_RELATIVE_PERIOD", N$3)="#N/A N/A","NA  ",(_xll.BDP($D277,$D$270, "EQY_FUND_RELATIVE_PERIOD", N$3))),N277),"NA ")</f>
        <v>8909.5466803999989</v>
      </c>
      <c r="O277" s="228">
        <f ca="1">IFERROR(IF(BB_Switch=1,IF(_xll.BDP($D277,$D$270, "EQY_FUND_RELATIVE_PERIOD", O$3)="#N/A N/A","NA  ",(_xll.BDP($D277,$D$270, "EQY_FUND_RELATIVE_PERIOD", O$3))),O277),"NA ")</f>
        <v>8395.4823170399995</v>
      </c>
      <c r="P277" s="228">
        <f ca="1">IFERROR(IF(BB_Switch=1,IF(_xll.BDP($D277,$D$270, "EQY_FUND_RELATIVE_PERIOD", P$3)="#N/A N/A","NA  ",(_xll.BDP($D277,$D$270, "EQY_FUND_RELATIVE_PERIOD", P$3))),P277),"NA ")</f>
        <v>9006.1916856500011</v>
      </c>
      <c r="Q277" s="228"/>
      <c r="R277" s="228"/>
      <c r="S277" s="228"/>
      <c r="T277" s="228"/>
      <c r="U277" s="227"/>
      <c r="V277" s="228">
        <f ca="1">IFERROR(IF(BB_Switch=1,IF(_xll.BDP($D277,$D$270, "EQY_FUND_RELATIVE_PERIOD", V$3)="#N/A N/A","NA  ",(_xll.BDP($D277,$D$270, "EQY_FUND_RELATIVE_PERIOD", V$3))),V277),"NA ")</f>
        <v>2880.1545796800001</v>
      </c>
      <c r="W277" s="228">
        <f ca="1">IFERROR(IF(BB_Switch=1,IF(_xll.BDP($D277,$D$270, "EQY_FUND_RELATIVE_PERIOD", W$3)="#N/A N/A","NA  ",(_xll.BDP($D277,$D$270, "EQY_FUND_RELATIVE_PERIOD", W$3))),W277),"NA ")</f>
        <v>2680.0608181600005</v>
      </c>
      <c r="X277" s="228">
        <f ca="1">IFERROR(IF(BB_Switch=1,IF(_xll.BDP($D277,$D$270, "EQY_FUND_RELATIVE_PERIOD", X$3)="#N/A N/A","NA  ",(_xll.BDP($D277,$D$270, "EQY_FUND_RELATIVE_PERIOD", X$3))),X277),"NA ")</f>
        <v>5305.3865683000004</v>
      </c>
      <c r="Y277" s="228">
        <f ca="1">IFERROR(IF(BB_Switch=1,IF(_xll.BDP($D277,$D$270, "EQY_FUND_RELATIVE_PERIOD", Y$3)="#N/A N/A","NA  ",(_xll.BDP($D277,$D$270, "EQY_FUND_RELATIVE_PERIOD", Y$3))),Y277),"NA ")</f>
        <v>8137.6309010099985</v>
      </c>
      <c r="Z277" s="228">
        <f ca="1">IFERROR(IF(BB_Switch=1,IF(_xll.BDP($D277,$D$270, "EQY_FUND_RELATIVE_PERIOD", Z$3)="#N/A N/A","NA  ",(_xll.BDP($D277,$D$270, "EQY_FUND_RELATIVE_PERIOD", Z$3))),Z277),"NA ")</f>
        <v>8118.3428346199998</v>
      </c>
      <c r="AA277" s="228">
        <f ca="1">IFERROR(IF(BB_Switch=1,IF(_xll.BDP($D277,$D$270, "EQY_FUND_RELATIVE_PERIOD", AA$3)="#N/A N/A","NA  ",(_xll.BDP($D277,$D$270, "EQY_FUND_RELATIVE_PERIOD", AA$3))),AA277),"NA ")</f>
        <v>7073.4605547199999</v>
      </c>
      <c r="AB277" s="228">
        <f ca="1">IFERROR(IF(BB_Switch=1,IF(_xll.BDP($D277,$D$270, "EQY_FUND_RELATIVE_PERIOD", AB$3)="#N/A N/A","NA  ",(_xll.BDP($D277,$D$270, "EQY_FUND_RELATIVE_PERIOD", AB$3))),AB277),"NA ")</f>
        <v>7218.5109179700003</v>
      </c>
      <c r="AC277" s="228">
        <f ca="1">IFERROR(IF(BB_Switch=1,IF(_xll.BDP($D277,$D$270, "EQY_FUND_RELATIVE_PERIOD", AC$3)="#N/A N/A","NA  ",(_xll.BDP($D277,$D$270, "EQY_FUND_RELATIVE_PERIOD", AC$3))),AC277),"NA ")</f>
        <v>13786.953337650002</v>
      </c>
      <c r="AD277" s="228">
        <f ca="1">IFERROR(IF(BB_Switch=1,IF(_xll.BDP($D277,$D$270, "EQY_FUND_RELATIVE_PERIOD", AD$3)="#N/A N/A","NA  ",(_xll.BDP($D277,$D$270, "EQY_FUND_RELATIVE_PERIOD", AD$3))),AD277),"NA ")</f>
        <v>8500.7444333500007</v>
      </c>
      <c r="AE277" s="228">
        <f ca="1">IFERROR(IF(BB_Switch=1,IF(_xll.BDP($D277,$D$270, "EQY_FUND_RELATIVE_PERIOD", AE$3)="#N/A N/A","NA  ",(_xll.BDP($D277,$D$270, "EQY_FUND_RELATIVE_PERIOD", AE$3))),AE277),"NA ")</f>
        <v>9006.1916856500011</v>
      </c>
      <c r="AF277" s="228"/>
      <c r="AG277" s="228">
        <f ca="1">IFERROR(IF(BB_Switch=1,IF(_xll.BDP($D277,$V$270)="#N/A N/A","NA  ",(_xll.BDP($D277,$V$270))/1000000),AG277),"NA ")</f>
        <v>3835.0915321100001</v>
      </c>
      <c r="AH277" s="228"/>
      <c r="AI277" s="228"/>
      <c r="AJ277" s="228"/>
    </row>
    <row r="278" spans="2:37" ht="11.25" customHeight="1">
      <c r="C278" s="229" t="str">
        <f ca="1">IFERROR(IF(BB_Switch=1,_xll.BDP($D278,$C$270),C278), "NA ")</f>
        <v>Kraton Corp</v>
      </c>
      <c r="D278" s="227" t="str">
        <f t="shared" si="121"/>
        <v>KRA US EQUITY</v>
      </c>
      <c r="E278" s="228">
        <f ca="1">IFERROR(IF(BB_Switch=1,IF(_xll.BDP($D278,$D$270, "EQY_FUND_RELATIVE_PERIOD", E$3)="#N/A N/A","NA  ",(_xll.BDP($D278,$D$270, "EQY_FUND_RELATIVE_PERIOD", E$3))),E278),"NA ")</f>
        <v>963.96191999999996</v>
      </c>
      <c r="F278" s="228">
        <f ca="1">IFERROR(IF(BB_Switch=1,IF(_xll.BDP($D278,$D$270, "EQY_FUND_RELATIVE_PERIOD", F$3)="#N/A N/A","NA  ",(_xll.BDP($D278,$D$270, "EQY_FUND_RELATIVE_PERIOD", F$3))),F278),"NA ")</f>
        <v>1074.76908</v>
      </c>
      <c r="G278" s="228">
        <f ca="1">IFERROR(IF(BB_Switch=1,IF(_xll.BDP($D278,$D$270, "EQY_FUND_RELATIVE_PERIOD", G$3)="#N/A N/A","NA  ",(_xll.BDP($D278,$D$270, "EQY_FUND_RELATIVE_PERIOD", G$3))),G278),"NA ")</f>
        <v>1264.1948399999999</v>
      </c>
      <c r="H278" s="228">
        <f ca="1">IFERROR(IF(BB_Switch=1,IF(_xll.BDP($D278,$D$270, "EQY_FUND_RELATIVE_PERIOD", H$3)="#N/A N/A","NA  ",(_xll.BDP($D278,$D$270, "EQY_FUND_RELATIVE_PERIOD", H$3))),H278),"NA ")</f>
        <v>1522.4128500000002</v>
      </c>
      <c r="I278" s="228">
        <f ca="1">IFERROR(IF(BB_Switch=1,IF(_xll.BDP($D278,$D$270, "EQY_FUND_RELATIVE_PERIOD", I$3)="#N/A N/A","NA  ",(_xll.BDP($D278,$D$270, "EQY_FUND_RELATIVE_PERIOD", I$3))),I278),"NA ")</f>
        <v>1521.3287700000001</v>
      </c>
      <c r="J278" s="228">
        <f ca="1">IFERROR(IF(BB_Switch=1,IF(_xll.BDP($D278,$D$270, "EQY_FUND_RELATIVE_PERIOD", J$3)="#N/A N/A","NA  ",(_xll.BDP($D278,$D$270, "EQY_FUND_RELATIVE_PERIOD", J$3))),J278),"NA ")</f>
        <v>1471.2200399999999</v>
      </c>
      <c r="K278" s="228">
        <f ca="1">IFERROR(IF(BB_Switch=1,IF(_xll.BDP($D278,$D$270, "EQY_FUND_RELATIVE_PERIOD", K$3)="#N/A N/A","NA  ",(_xll.BDP($D278,$D$270, "EQY_FUND_RELATIVE_PERIOD", K$3))),K278),"NA ")</f>
        <v>1506.7725499999999</v>
      </c>
      <c r="L278" s="228">
        <f ca="1">IFERROR(IF(BB_Switch=1,IF(_xll.BDP($D278,$D$270, "EQY_FUND_RELATIVE_PERIOD", L$3)="#N/A N/A","NA  ",(_xll.BDP($D278,$D$270, "EQY_FUND_RELATIVE_PERIOD", L$3))),L278),"NA ")</f>
        <v>697.06727999999998</v>
      </c>
      <c r="M278" s="228">
        <f ca="1">IFERROR(IF(BB_Switch=1,IF(_xll.BDP($D278,$D$270, "EQY_FUND_RELATIVE_PERIOD", M$3)="#N/A N/A","NA  ",(_xll.BDP($D278,$D$270, "EQY_FUND_RELATIVE_PERIOD", M$3))),M278),"NA ")</f>
        <v>1030.3714199999999</v>
      </c>
      <c r="N278" s="228">
        <f ca="1">IFERROR(IF(BB_Switch=1,IF(_xll.BDP($D278,$D$270, "EQY_FUND_RELATIVE_PERIOD", N$3)="#N/A N/A","NA  ",(_xll.BDP($D278,$D$270, "EQY_FUND_RELATIVE_PERIOD", N$3))),N278),"NA ")</f>
        <v>990.13875999999993</v>
      </c>
      <c r="O278" s="228">
        <f ca="1">IFERROR(IF(BB_Switch=1,IF(_xll.BDP($D278,$D$270, "EQY_FUND_RELATIVE_PERIOD", O$3)="#N/A N/A","NA  ",(_xll.BDP($D278,$D$270, "EQY_FUND_RELATIVE_PERIOD", O$3))),O278),"NA ")</f>
        <v>1023.81903</v>
      </c>
      <c r="P278" s="228">
        <f ca="1">IFERROR(IF(BB_Switch=1,IF(_xll.BDP($D278,$D$270, "EQY_FUND_RELATIVE_PERIOD", P$3)="#N/A N/A","NA  ",(_xll.BDP($D278,$D$270, "EQY_FUND_RELATIVE_PERIOD", P$3))),P278),"NA ")</f>
        <v>803.93532000000005</v>
      </c>
      <c r="Q278" s="228"/>
      <c r="R278" s="228"/>
      <c r="S278" s="228"/>
      <c r="T278" s="228"/>
      <c r="V278" s="228">
        <f ca="1">IFERROR(IF(BB_Switch=1,IF(_xll.BDP($D278,$D$270, "EQY_FUND_RELATIVE_PERIOD", V$3)="#N/A N/A","NA  ",(_xll.BDP($D278,$D$270, "EQY_FUND_RELATIVE_PERIOD", V$3))),V278),"NA ")</f>
        <v>971.52049999999997</v>
      </c>
      <c r="W278" s="228">
        <f ca="1">IFERROR(IF(BB_Switch=1,IF(_xll.BDP($D278,$D$270, "EQY_FUND_RELATIVE_PERIOD", W$3)="#N/A N/A","NA  ",(_xll.BDP($D278,$D$270, "EQY_FUND_RELATIVE_PERIOD", W$3))),W278),"NA ")</f>
        <v>651.46759999999995</v>
      </c>
      <c r="X278" s="228">
        <f ca="1">IFERROR(IF(BB_Switch=1,IF(_xll.BDP($D278,$D$270, "EQY_FUND_RELATIVE_PERIOD", X$3)="#N/A N/A","NA  ",(_xll.BDP($D278,$D$270, "EQY_FUND_RELATIVE_PERIOD", X$3))),X278),"NA ")</f>
        <v>775.61631000000011</v>
      </c>
      <c r="Y278" s="228">
        <f ca="1">IFERROR(IF(BB_Switch=1,IF(_xll.BDP($D278,$D$270, "EQY_FUND_RELATIVE_PERIOD", Y$3)="#N/A N/A","NA  ",(_xll.BDP($D278,$D$270, "EQY_FUND_RELATIVE_PERIOD", Y$3))),Y278),"NA ")</f>
        <v>750.20835</v>
      </c>
      <c r="Z278" s="228">
        <f ca="1">IFERROR(IF(BB_Switch=1,IF(_xll.BDP($D278,$D$270, "EQY_FUND_RELATIVE_PERIOD", Z$3)="#N/A N/A","NA  ",(_xll.BDP($D278,$D$270, "EQY_FUND_RELATIVE_PERIOD", Z$3))),Z278),"NA ")</f>
        <v>661.76648999999998</v>
      </c>
      <c r="AA278" s="228">
        <f ca="1">IFERROR(IF(BB_Switch=1,IF(_xll.BDP($D278,$D$270, "EQY_FUND_RELATIVE_PERIOD", AA$3)="#N/A N/A","NA  ",(_xll.BDP($D278,$D$270, "EQY_FUND_RELATIVE_PERIOD", AA$3))),AA278),"NA ")</f>
        <v>507.75108999999998</v>
      </c>
      <c r="AB278" s="228">
        <f ca="1">IFERROR(IF(BB_Switch=1,IF(_xll.BDP($D278,$D$270, "EQY_FUND_RELATIVE_PERIOD", AB$3)="#N/A N/A","NA  ",(_xll.BDP($D278,$D$270, "EQY_FUND_RELATIVE_PERIOD", AB$3))),AB278),"NA ")</f>
        <v>881.74080000000004</v>
      </c>
      <c r="AC278" s="228">
        <f ca="1">IFERROR(IF(BB_Switch=1,IF(_xll.BDP($D278,$D$270, "EQY_FUND_RELATIVE_PERIOD", AC$3)="#N/A N/A","NA  ",(_xll.BDP($D278,$D$270, "EQY_FUND_RELATIVE_PERIOD", AC$3))),AC278),"NA ")</f>
        <v>1522.4128500000002</v>
      </c>
      <c r="AD278" s="228">
        <f ca="1">IFERROR(IF(BB_Switch=1,IF(_xll.BDP($D278,$D$270, "EQY_FUND_RELATIVE_PERIOD", AD$3)="#N/A N/A","NA  ",(_xll.BDP($D278,$D$270, "EQY_FUND_RELATIVE_PERIOD", AD$3))),AD278),"NA ")</f>
        <v>697.06727999999998</v>
      </c>
      <c r="AE278" s="228">
        <f ca="1">IFERROR(IF(BB_Switch=1,IF(_xll.BDP($D278,$D$270, "EQY_FUND_RELATIVE_PERIOD", AE$3)="#N/A N/A","NA  ",(_xll.BDP($D278,$D$270, "EQY_FUND_RELATIVE_PERIOD", AE$3))),AE278),"NA ")</f>
        <v>803.93532000000005</v>
      </c>
      <c r="AF278" s="228"/>
      <c r="AG278" s="228">
        <f ca="1">IFERROR(IF(BB_Switch=1,IF(_xll.BDP($D278,$V$270)="#N/A N/A","NA  ",(_xll.BDP($D278,$V$270))/1000000),AG278),"NA ")</f>
        <v>258.76912595000005</v>
      </c>
      <c r="AH278" s="227"/>
      <c r="AI278" s="227"/>
      <c r="AJ278" s="227"/>
    </row>
    <row r="279" spans="2:37" ht="11.25" customHeight="1">
      <c r="C279" s="229" t="str">
        <f ca="1">IFERROR(IF(BB_Switch=1,_xll.BDP($D279,$C$270),C279), "NA ")</f>
        <v>Dow Inc</v>
      </c>
      <c r="D279" s="227" t="str">
        <f t="shared" si="121"/>
        <v>DOW US EQUITY</v>
      </c>
      <c r="E279" s="228" t="str">
        <f ca="1">IFERROR(IF(BB_Switch=1,IF(_xll.BDP($D279,$D$270, "EQY_FUND_RELATIVE_PERIOD", E$3)="#N/A N/A","NA  ",(_xll.BDP($D279,$D$270, "EQY_FUND_RELATIVE_PERIOD", E$3))),E279),"NA ")</f>
        <v xml:space="preserve">NA  </v>
      </c>
      <c r="F279" s="228" t="str">
        <f ca="1">IFERROR(IF(BB_Switch=1,IF(_xll.BDP($D279,$D$270, "EQY_FUND_RELATIVE_PERIOD", F$3)="#N/A N/A","NA  ",(_xll.BDP($D279,$D$270, "EQY_FUND_RELATIVE_PERIOD", F$3))),F279),"NA ")</f>
        <v xml:space="preserve">NA  </v>
      </c>
      <c r="G279" s="228" t="str">
        <f ca="1">IFERROR(IF(BB_Switch=1,IF(_xll.BDP($D279,$D$270, "EQY_FUND_RELATIVE_PERIOD", G$3)="#N/A N/A","NA  ",(_xll.BDP($D279,$D$270, "EQY_FUND_RELATIVE_PERIOD", G$3))),G279),"NA ")</f>
        <v xml:space="preserve">NA  </v>
      </c>
      <c r="H279" s="228" t="str">
        <f ca="1">IFERROR(IF(BB_Switch=1,IF(_xll.BDP($D279,$D$270, "EQY_FUND_RELATIVE_PERIOD", H$3)="#N/A N/A","NA  ",(_xll.BDP($D279,$D$270, "EQY_FUND_RELATIVE_PERIOD", H$3))),H279),"NA ")</f>
        <v xml:space="preserve">NA  </v>
      </c>
      <c r="I279" s="228" t="str">
        <f ca="1">IFERROR(IF(BB_Switch=1,IF(_xll.BDP($D279,$D$270, "EQY_FUND_RELATIVE_PERIOD", I$3)="#N/A N/A","NA  ",(_xll.BDP($D279,$D$270, "EQY_FUND_RELATIVE_PERIOD", I$3))),I279),"NA ")</f>
        <v xml:space="preserve">NA  </v>
      </c>
      <c r="J279" s="228" t="str">
        <f ca="1">IFERROR(IF(BB_Switch=1,IF(_xll.BDP($D279,$D$270, "EQY_FUND_RELATIVE_PERIOD", J$3)="#N/A N/A","NA  ",(_xll.BDP($D279,$D$270, "EQY_FUND_RELATIVE_PERIOD", J$3))),J279),"NA ")</f>
        <v xml:space="preserve">NA  </v>
      </c>
      <c r="K279" s="228" t="str">
        <f ca="1">IFERROR(IF(BB_Switch=1,IF(_xll.BDP($D279,$D$270, "EQY_FUND_RELATIVE_PERIOD", K$3)="#N/A N/A","NA  ",(_xll.BDP($D279,$D$270, "EQY_FUND_RELATIVE_PERIOD", K$3))),K279),"NA ")</f>
        <v xml:space="preserve">NA  </v>
      </c>
      <c r="L279" s="228" t="str">
        <f ca="1">IFERROR(IF(BB_Switch=1,IF(_xll.BDP($D279,$D$270, "EQY_FUND_RELATIVE_PERIOD", L$3)="#N/A N/A","NA  ",(_xll.BDP($D279,$D$270, "EQY_FUND_RELATIVE_PERIOD", L$3))),L279),"NA ")</f>
        <v xml:space="preserve">NA  </v>
      </c>
      <c r="M279" s="228" t="str">
        <f ca="1">IFERROR(IF(BB_Switch=1,IF(_xll.BDP($D279,$D$270, "EQY_FUND_RELATIVE_PERIOD", M$3)="#N/A N/A","NA  ",(_xll.BDP($D279,$D$270, "EQY_FUND_RELATIVE_PERIOD", M$3))),M279),"NA ")</f>
        <v xml:space="preserve">NA  </v>
      </c>
      <c r="N279" s="228">
        <f ca="1">IFERROR(IF(BB_Switch=1,IF(_xll.BDP($D279,$D$270, "EQY_FUND_RELATIVE_PERIOD", N$3)="#N/A N/A","NA  ",(_xll.BDP($D279,$D$270, "EQY_FUND_RELATIVE_PERIOD", N$3))),N279),"NA ")</f>
        <v>36647.784015860001</v>
      </c>
      <c r="O279" s="228">
        <f ca="1">IFERROR(IF(BB_Switch=1,IF(_xll.BDP($D279,$D$270, "EQY_FUND_RELATIVE_PERIOD", O$3)="#N/A N/A","NA  ",(_xll.BDP($D279,$D$270, "EQY_FUND_RELATIVE_PERIOD", O$3))),O279),"NA ")</f>
        <v>35332.279873250001</v>
      </c>
      <c r="P279" s="228">
        <f ca="1">IFERROR(IF(BB_Switch=1,IF(_xll.BDP($D279,$D$270, "EQY_FUND_RELATIVE_PERIOD", P$3)="#N/A N/A","NA  ",(_xll.BDP($D279,$D$270, "EQY_FUND_RELATIVE_PERIOD", P$3))),P279),"NA ")</f>
        <v>40582.229871299998</v>
      </c>
      <c r="Q279" s="228"/>
      <c r="R279" s="228"/>
      <c r="S279" s="228"/>
      <c r="T279" s="228"/>
      <c r="V279" s="228" t="str">
        <f ca="1">IFERROR(IF(BB_Switch=1,IF(_xll.BDP($D279,$D$270, "EQY_FUND_RELATIVE_PERIOD", V$3)="#N/A N/A","NA  ",(_xll.BDP($D279,$D$270, "EQY_FUND_RELATIVE_PERIOD", V$3))),V279),"NA ")</f>
        <v xml:space="preserve">NA  </v>
      </c>
      <c r="W279" s="228" t="str">
        <f ca="1">IFERROR(IF(BB_Switch=1,IF(_xll.BDP($D279,$D$270, "EQY_FUND_RELATIVE_PERIOD", W$3)="#N/A N/A","NA  ",(_xll.BDP($D279,$D$270, "EQY_FUND_RELATIVE_PERIOD", W$3))),W279),"NA ")</f>
        <v xml:space="preserve">NA  </v>
      </c>
      <c r="X279" s="228" t="str">
        <f ca="1">IFERROR(IF(BB_Switch=1,IF(_xll.BDP($D279,$D$270, "EQY_FUND_RELATIVE_PERIOD", X$3)="#N/A N/A","NA  ",(_xll.BDP($D279,$D$270, "EQY_FUND_RELATIVE_PERIOD", X$3))),X279),"NA ")</f>
        <v xml:space="preserve">NA  </v>
      </c>
      <c r="Y279" s="228" t="str">
        <f ca="1">IFERROR(IF(BB_Switch=1,IF(_xll.BDP($D279,$D$270, "EQY_FUND_RELATIVE_PERIOD", Y$3)="#N/A N/A","NA  ",(_xll.BDP($D279,$D$270, "EQY_FUND_RELATIVE_PERIOD", Y$3))),Y279),"NA ")</f>
        <v xml:space="preserve">NA  </v>
      </c>
      <c r="Z279" s="228" t="str">
        <f ca="1">IFERROR(IF(BB_Switch=1,IF(_xll.BDP($D279,$D$270, "EQY_FUND_RELATIVE_PERIOD", Z$3)="#N/A N/A","NA  ",(_xll.BDP($D279,$D$270, "EQY_FUND_RELATIVE_PERIOD", Z$3))),Z279),"NA ")</f>
        <v xml:space="preserve">NA  </v>
      </c>
      <c r="AA279" s="228" t="str">
        <f ca="1">IFERROR(IF(BB_Switch=1,IF(_xll.BDP($D279,$D$270, "EQY_FUND_RELATIVE_PERIOD", AA$3)="#N/A N/A","NA  ",(_xll.BDP($D279,$D$270, "EQY_FUND_RELATIVE_PERIOD", AA$3))),AA279),"NA ")</f>
        <v xml:space="preserve">NA  </v>
      </c>
      <c r="AB279" s="228" t="str">
        <f ca="1">IFERROR(IF(BB_Switch=1,IF(_xll.BDP($D279,$D$270, "EQY_FUND_RELATIVE_PERIOD", AB$3)="#N/A N/A","NA  ",(_xll.BDP($D279,$D$270, "EQY_FUND_RELATIVE_PERIOD", AB$3))),AB279),"NA ")</f>
        <v xml:space="preserve">NA  </v>
      </c>
      <c r="AC279" s="228" t="str">
        <f ca="1">IFERROR(IF(BB_Switch=1,IF(_xll.BDP($D279,$D$270, "EQY_FUND_RELATIVE_PERIOD", AC$3)="#N/A N/A","NA  ",(_xll.BDP($D279,$D$270, "EQY_FUND_RELATIVE_PERIOD", AC$3))),AC279),"NA ")</f>
        <v xml:space="preserve">NA  </v>
      </c>
      <c r="AD279" s="228" t="str">
        <f ca="1">IFERROR(IF(BB_Switch=1,IF(_xll.BDP($D279,$D$270, "EQY_FUND_RELATIVE_PERIOD", AD$3)="#N/A N/A","NA  ",(_xll.BDP($D279,$D$270, "EQY_FUND_RELATIVE_PERIOD", AD$3))),AD279),"NA ")</f>
        <v xml:space="preserve">NA  </v>
      </c>
      <c r="AE279" s="228">
        <f ca="1">IFERROR(IF(BB_Switch=1,IF(_xll.BDP($D279,$D$270, "EQY_FUND_RELATIVE_PERIOD", AE$3)="#N/A N/A","NA  ",(_xll.BDP($D279,$D$270, "EQY_FUND_RELATIVE_PERIOD", AE$3))),AE279),"NA ")</f>
        <v>40582.229871299998</v>
      </c>
      <c r="AF279" s="244"/>
      <c r="AG279" s="228">
        <f ca="1">IFERROR(IF(BB_Switch=1,IF(_xll.BDP($D279,$V$270)="#N/A N/A","NA  ",(_xll.BDP($D279,$V$270))/1000000),AG279),"NA ")</f>
        <v>16338.956150000002</v>
      </c>
      <c r="AH279" s="227"/>
      <c r="AI279" s="227"/>
      <c r="AJ279" s="227"/>
    </row>
    <row r="280" spans="2:37" ht="11.25" customHeight="1">
      <c r="C280" s="229"/>
      <c r="D280" s="227"/>
      <c r="E280" s="228"/>
      <c r="F280" s="228"/>
      <c r="G280" s="228"/>
      <c r="H280" s="228"/>
      <c r="I280" s="228"/>
      <c r="J280" s="228"/>
      <c r="K280" s="228"/>
      <c r="L280" s="228"/>
      <c r="M280" s="228"/>
      <c r="N280" s="228"/>
      <c r="O280" s="228"/>
      <c r="P280" s="228"/>
      <c r="Q280" s="228"/>
      <c r="R280" s="228"/>
      <c r="S280" s="228"/>
      <c r="T280" s="228"/>
      <c r="V280" s="228"/>
      <c r="W280" s="228"/>
      <c r="X280" s="228"/>
      <c r="Y280" s="228"/>
      <c r="Z280" s="228"/>
      <c r="AA280" s="228"/>
      <c r="AB280" s="228"/>
      <c r="AC280" s="228"/>
      <c r="AD280" s="228"/>
      <c r="AE280" s="228"/>
      <c r="AF280" s="244"/>
      <c r="AG280" s="228"/>
      <c r="AH280" s="227"/>
      <c r="AI280" s="227"/>
      <c r="AJ280" s="227"/>
    </row>
    <row r="281" spans="2:37" ht="11.25" customHeight="1">
      <c r="C281" s="428" t="str">
        <f>+C20</f>
        <v>Specialty Chemicals</v>
      </c>
      <c r="D281" s="227"/>
      <c r="E281" s="228"/>
      <c r="F281" s="228"/>
      <c r="G281" s="228"/>
      <c r="H281" s="228"/>
      <c r="I281" s="228"/>
      <c r="J281" s="228"/>
      <c r="K281" s="228"/>
      <c r="L281" s="228"/>
      <c r="M281" s="228"/>
      <c r="N281" s="228"/>
      <c r="O281" s="228"/>
      <c r="P281" s="228"/>
      <c r="Q281" s="228"/>
      <c r="R281" s="228"/>
      <c r="S281" s="228"/>
      <c r="T281" s="228"/>
      <c r="V281" s="228"/>
      <c r="W281" s="228"/>
      <c r="X281" s="228"/>
      <c r="Y281" s="228"/>
      <c r="Z281" s="228"/>
      <c r="AA281" s="228"/>
      <c r="AB281" s="228"/>
      <c r="AC281" s="228"/>
      <c r="AD281" s="228"/>
      <c r="AE281" s="228"/>
      <c r="AF281" s="244"/>
      <c r="AG281" s="228"/>
      <c r="AH281" s="227"/>
      <c r="AI281" s="227"/>
      <c r="AJ281" s="227"/>
    </row>
    <row r="282" spans="2:37" ht="11.25" customHeight="1">
      <c r="C282" s="229" t="str">
        <f ca="1">IFERROR(IF(BB_Switch=1,_xll.BDP($D282,$C$270),C282), "NA ")</f>
        <v>Eastman Chemical Co</v>
      </c>
      <c r="D282" s="227" t="str">
        <f>+D21</f>
        <v>EMN US EQUITY</v>
      </c>
      <c r="E282" s="228">
        <f ca="1">IFERROR(IF(BB_Switch=1,IF(_xll.BDP($D282,$D$270, "EQY_FUND_RELATIVE_PERIOD", E$3)="#N/A N/A","NA  ",(_xll.BDP($D282,$D$270, "EQY_FUND_RELATIVE_PERIOD", E$3))),E282),"NA ")</f>
        <v>11778.7211616</v>
      </c>
      <c r="F282" s="228">
        <f ca="1">IFERROR(IF(BB_Switch=1,IF(_xll.BDP($D282,$D$270, "EQY_FUND_RELATIVE_PERIOD", F$3)="#N/A N/A","NA  ",(_xll.BDP($D282,$D$270, "EQY_FUND_RELATIVE_PERIOD", F$3))),F282),"NA ")</f>
        <v>12164.128917</v>
      </c>
      <c r="G282" s="228">
        <f ca="1">IFERROR(IF(BB_Switch=1,IF(_xll.BDP($D282,$D$270, "EQY_FUND_RELATIVE_PERIOD", G$3)="#N/A N/A","NA  ",(_xll.BDP($D282,$D$270, "EQY_FUND_RELATIVE_PERIOD", G$3))),G282),"NA ")</f>
        <v>13001.92905449</v>
      </c>
      <c r="H282" s="228">
        <f ca="1">IFERROR(IF(BB_Switch=1,IF(_xll.BDP($D282,$D$270, "EQY_FUND_RELATIVE_PERIOD", H$3)="#N/A N/A","NA  ",(_xll.BDP($D282,$D$270, "EQY_FUND_RELATIVE_PERIOD", H$3))),H282),"NA ")</f>
        <v>13239.727215840001</v>
      </c>
      <c r="I282" s="228">
        <f ca="1">IFERROR(IF(BB_Switch=1,IF(_xll.BDP($D282,$D$270, "EQY_FUND_RELATIVE_PERIOD", I$3)="#N/A N/A","NA  ",(_xll.BDP($D282,$D$270, "EQY_FUND_RELATIVE_PERIOD", I$3))),I282),"NA ")</f>
        <v>15054.048704719999</v>
      </c>
      <c r="J282" s="228">
        <f ca="1">IFERROR(IF(BB_Switch=1,IF(_xll.BDP($D282,$D$270, "EQY_FUND_RELATIVE_PERIOD", J$3)="#N/A N/A","NA  ",(_xll.BDP($D282,$D$270, "EQY_FUND_RELATIVE_PERIOD", J$3))),J282),"NA ")</f>
        <v>14117.275630080001</v>
      </c>
      <c r="K282" s="228">
        <f ca="1">IFERROR(IF(BB_Switch=1,IF(_xll.BDP($D282,$D$270, "EQY_FUND_RELATIVE_PERIOD", K$3)="#N/A N/A","NA  ",(_xll.BDP($D282,$D$270, "EQY_FUND_RELATIVE_PERIOD", K$3))),K282),"NA ")</f>
        <v>13399.967906040001</v>
      </c>
      <c r="L282" s="228">
        <f ca="1">IFERROR(IF(BB_Switch=1,IF(_xll.BDP($D282,$D$270, "EQY_FUND_RELATIVE_PERIOD", L$3)="#N/A N/A","NA  ",(_xll.BDP($D282,$D$270, "EQY_FUND_RELATIVE_PERIOD", L$3))),L282),"NA ")</f>
        <v>10215.406900739999</v>
      </c>
      <c r="M282" s="228">
        <f ca="1">IFERROR(IF(BB_Switch=1,IF(_xll.BDP($D282,$D$270, "EQY_FUND_RELATIVE_PERIOD", M$3)="#N/A N/A","NA  ",(_xll.BDP($D282,$D$270, "EQY_FUND_RELATIVE_PERIOD", M$3))),M282),"NA ")</f>
        <v>10511.48900872</v>
      </c>
      <c r="N282" s="228">
        <f ca="1">IFERROR(IF(BB_Switch=1,IF(_xll.BDP($D282,$D$270, "EQY_FUND_RELATIVE_PERIOD", N$3)="#N/A N/A","NA  ",(_xll.BDP($D282,$D$270, "EQY_FUND_RELATIVE_PERIOD", N$3))),N282),"NA ")</f>
        <v>10658.3009305</v>
      </c>
      <c r="O282" s="228">
        <f ca="1">IFERROR(IF(BB_Switch=1,IF(_xll.BDP($D282,$D$270, "EQY_FUND_RELATIVE_PERIOD", O$3)="#N/A N/A","NA  ",(_xll.BDP($D282,$D$270, "EQY_FUND_RELATIVE_PERIOD", O$3))),O282),"NA ")</f>
        <v>10035.595027109999</v>
      </c>
      <c r="P282" s="228">
        <f ca="1">IFERROR(IF(BB_Switch=1,IF(_xll.BDP($D282,$D$270, "EQY_FUND_RELATIVE_PERIOD", P$3)="#N/A N/A","NA  ",(_xll.BDP($D282,$D$270, "EQY_FUND_RELATIVE_PERIOD", P$3))),P282),"NA ")</f>
        <v>10774.782576480002</v>
      </c>
      <c r="Q282" s="228"/>
      <c r="R282" s="228"/>
      <c r="S282" s="228"/>
      <c r="T282" s="228"/>
      <c r="V282" s="228">
        <f ca="1">IFERROR(IF(BB_Switch=1,IF(_xll.BDP($D282,$D$270, "EQY_FUND_RELATIVE_PERIOD", V$3)="#N/A N/A","NA  ",(_xll.BDP($D282,$D$270, "EQY_FUND_RELATIVE_PERIOD", V$3))),V282),"NA ")</f>
        <v>5942.0841872800002</v>
      </c>
      <c r="W282" s="228">
        <f ca="1">IFERROR(IF(BB_Switch=1,IF(_xll.BDP($D282,$D$270, "EQY_FUND_RELATIVE_PERIOD", W$3)="#N/A N/A","NA  ",(_xll.BDP($D282,$D$270, "EQY_FUND_RELATIVE_PERIOD", W$3))),W282),"NA ")</f>
        <v>2673.9596759400006</v>
      </c>
      <c r="X282" s="228">
        <f ca="1">IFERROR(IF(BB_Switch=1,IF(_xll.BDP($D282,$D$270, "EQY_FUND_RELATIVE_PERIOD", X$3)="#N/A N/A","NA  ",(_xll.BDP($D282,$D$270, "EQY_FUND_RELATIVE_PERIOD", X$3))),X282),"NA ")</f>
        <v>10472.545291049999</v>
      </c>
      <c r="Y282" s="228">
        <f ca="1">IFERROR(IF(BB_Switch=1,IF(_xll.BDP($D282,$D$270, "EQY_FUND_RELATIVE_PERIOD", Y$3)="#N/A N/A","NA  ",(_xll.BDP($D282,$D$270, "EQY_FUND_RELATIVE_PERIOD", Y$3))),Y282),"NA ")</f>
        <v>12300.001543200002</v>
      </c>
      <c r="Z282" s="228">
        <f ca="1">IFERROR(IF(BB_Switch=1,IF(_xll.BDP($D282,$D$270, "EQY_FUND_RELATIVE_PERIOD", Z$3)="#N/A N/A","NA  ",(_xll.BDP($D282,$D$270, "EQY_FUND_RELATIVE_PERIOD", Z$3))),Z282),"NA ")</f>
        <v>11272.54247588</v>
      </c>
      <c r="AA282" s="228">
        <f ca="1">IFERROR(IF(BB_Switch=1,IF(_xll.BDP($D282,$D$270, "EQY_FUND_RELATIVE_PERIOD", AA$3)="#N/A N/A","NA  ",(_xll.BDP($D282,$D$270, "EQY_FUND_RELATIVE_PERIOD", AA$3))),AA282),"NA ")</f>
        <v>9975.4120124100009</v>
      </c>
      <c r="AB282" s="228">
        <f ca="1">IFERROR(IF(BB_Switch=1,IF(_xll.BDP($D282,$D$270, "EQY_FUND_RELATIVE_PERIOD", AB$3)="#N/A N/A","NA  ",(_xll.BDP($D282,$D$270, "EQY_FUND_RELATIVE_PERIOD", AB$3))),AB282),"NA ")</f>
        <v>11013.611456459999</v>
      </c>
      <c r="AC282" s="228">
        <f ca="1">IFERROR(IF(BB_Switch=1,IF(_xll.BDP($D282,$D$270, "EQY_FUND_RELATIVE_PERIOD", AC$3)="#N/A N/A","NA  ",(_xll.BDP($D282,$D$270, "EQY_FUND_RELATIVE_PERIOD", AC$3))),AC282),"NA ")</f>
        <v>13239.727215840001</v>
      </c>
      <c r="AD282" s="228">
        <f ca="1">IFERROR(IF(BB_Switch=1,IF(_xll.BDP($D282,$D$270, "EQY_FUND_RELATIVE_PERIOD", AD$3)="#N/A N/A","NA  ",(_xll.BDP($D282,$D$270, "EQY_FUND_RELATIVE_PERIOD", AD$3))),AD282),"NA ")</f>
        <v>10215.406900739999</v>
      </c>
      <c r="AE282" s="228">
        <f ca="1">IFERROR(IF(BB_Switch=1,IF(_xll.BDP($D282,$D$270, "EQY_FUND_RELATIVE_PERIOD", AE$3)="#N/A N/A","NA  ",(_xll.BDP($D282,$D$270, "EQY_FUND_RELATIVE_PERIOD", AE$3))),AE282),"NA ")</f>
        <v>10774.782576480002</v>
      </c>
      <c r="AF282" s="228"/>
      <c r="AG282" s="228">
        <f ca="1">IFERROR(IF(BB_Switch=1,IF(_xll.BDP($D282,$V$270)="#N/A N/A","NA  ",(_xll.BDP($D282,$V$270))/1000000),AG282),"NA ")</f>
        <v>5441.0817704599995</v>
      </c>
      <c r="AH282" s="227"/>
      <c r="AI282" s="227"/>
      <c r="AJ282" s="227"/>
    </row>
    <row r="283" spans="2:37" ht="11.25" customHeight="1">
      <c r="B283" s="217" t="s">
        <v>14</v>
      </c>
      <c r="C283" s="229" t="str">
        <f ca="1">IFERROR(IF(BB_Switch=1,_xll.BDP($D283,$C$270),C283), "NA ")</f>
        <v>Celanese Corp</v>
      </c>
      <c r="D283" s="227" t="str">
        <f>+D22</f>
        <v>CE US EQUITY</v>
      </c>
      <c r="E283" s="228">
        <f ca="1">IFERROR(IF(BB_Switch=1,IF(_xll.BDP($D283,$D$270, "EQY_FUND_RELATIVE_PERIOD", E$3)="#N/A N/A","NA  ",(_xll.BDP($D283,$D$270, "EQY_FUND_RELATIVE_PERIOD", E$3))),E283),"NA ")</f>
        <v>12538.796887049999</v>
      </c>
      <c r="F283" s="228">
        <f ca="1">IFERROR(IF(BB_Switch=1,IF(_xll.BDP($D283,$D$270, "EQY_FUND_RELATIVE_PERIOD", F$3)="#N/A N/A","NA  ",(_xll.BDP($D283,$D$270, "EQY_FUND_RELATIVE_PERIOD", F$3))),F283),"NA ")</f>
        <v>13068.943578979999</v>
      </c>
      <c r="G283" s="228">
        <f ca="1">IFERROR(IF(BB_Switch=1,IF(_xll.BDP($D283,$D$270, "EQY_FUND_RELATIVE_PERIOD", G$3)="#N/A N/A","NA  ",(_xll.BDP($D283,$D$270, "EQY_FUND_RELATIVE_PERIOD", G$3))),G283),"NA ")</f>
        <v>14142.80555114</v>
      </c>
      <c r="H283" s="228">
        <f ca="1">IFERROR(IF(BB_Switch=1,IF(_xll.BDP($D283,$D$270, "EQY_FUND_RELATIVE_PERIOD", H$3)="#N/A N/A","NA  ",(_xll.BDP($D283,$D$270, "EQY_FUND_RELATIVE_PERIOD", H$3))),H283),"NA ")</f>
        <v>14538.171932480001</v>
      </c>
      <c r="I283" s="228">
        <f ca="1">IFERROR(IF(BB_Switch=1,IF(_xll.BDP($D283,$D$270, "EQY_FUND_RELATIVE_PERIOD", I$3)="#N/A N/A","NA  ",(_xll.BDP($D283,$D$270, "EQY_FUND_RELATIVE_PERIOD", I$3))),I283),"NA ")</f>
        <v>13614.100699099998</v>
      </c>
      <c r="J283" s="228">
        <f ca="1">IFERROR(IF(BB_Switch=1,IF(_xll.BDP($D283,$D$270, "EQY_FUND_RELATIVE_PERIOD", J$3)="#N/A N/A","NA  ",(_xll.BDP($D283,$D$270, "EQY_FUND_RELATIVE_PERIOD", J$3))),J283),"NA ")</f>
        <v>14995.11551688</v>
      </c>
      <c r="K283" s="228">
        <f ca="1">IFERROR(IF(BB_Switch=1,IF(_xll.BDP($D283,$D$270, "EQY_FUND_RELATIVE_PERIOD", K$3)="#N/A N/A","NA  ",(_xll.BDP($D283,$D$270, "EQY_FUND_RELATIVE_PERIOD", K$3))),K283),"NA ")</f>
        <v>15245.392026</v>
      </c>
      <c r="L283" s="228">
        <f ca="1">IFERROR(IF(BB_Switch=1,IF(_xll.BDP($D283,$D$270, "EQY_FUND_RELATIVE_PERIOD", L$3)="#N/A N/A","NA  ",(_xll.BDP($D283,$D$270, "EQY_FUND_RELATIVE_PERIOD", L$3))),L283),"NA ")</f>
        <v>11524.783534529999</v>
      </c>
      <c r="M283" s="228">
        <f ca="1">IFERROR(IF(BB_Switch=1,IF(_xll.BDP($D283,$D$270, "EQY_FUND_RELATIVE_PERIOD", M$3)="#N/A N/A","NA  ",(_xll.BDP($D283,$D$270, "EQY_FUND_RELATIVE_PERIOD", M$3))),M283),"NA ")</f>
        <v>12485.257836119999</v>
      </c>
      <c r="N283" s="228">
        <f ca="1">IFERROR(IF(BB_Switch=1,IF(_xll.BDP($D283,$D$270, "EQY_FUND_RELATIVE_PERIOD", N$3)="#N/A N/A","NA  ",(_xll.BDP($D283,$D$270, "EQY_FUND_RELATIVE_PERIOD", N$3))),N283),"NA ")</f>
        <v>13339.209622199998</v>
      </c>
      <c r="O283" s="228">
        <f ca="1">IFERROR(IF(BB_Switch=1,IF(_xll.BDP($D283,$D$270, "EQY_FUND_RELATIVE_PERIOD", O$3)="#N/A N/A","NA  ",(_xll.BDP($D283,$D$270, "EQY_FUND_RELATIVE_PERIOD", O$3))),O283),"NA ")</f>
        <v>14837.849623870001</v>
      </c>
      <c r="P283" s="228">
        <f ca="1">IFERROR(IF(BB_Switch=1,IF(_xll.BDP($D283,$D$270, "EQY_FUND_RELATIVE_PERIOD", P$3)="#N/A N/A","NA  ",(_xll.BDP($D283,$D$270, "EQY_FUND_RELATIVE_PERIOD", P$3))),P283),"NA ")</f>
        <v>14719.637085840001</v>
      </c>
      <c r="Q283" s="228"/>
      <c r="R283" s="228"/>
      <c r="S283" s="228"/>
      <c r="T283" s="228"/>
      <c r="V283" s="228">
        <f ca="1">IFERROR(IF(BB_Switch=1,IF(_xll.BDP($D283,$D$270, "EQY_FUND_RELATIVE_PERIOD", V$3)="#N/A N/A","NA  ",(_xll.BDP($D283,$D$270, "EQY_FUND_RELATIVE_PERIOD", V$3))),V283),"NA ")</f>
        <v>6412.6100928100004</v>
      </c>
      <c r="W283" s="228">
        <f ca="1">IFERROR(IF(BB_Switch=1,IF(_xll.BDP($D283,$D$270, "EQY_FUND_RELATIVE_PERIOD", W$3)="#N/A N/A","NA  ",(_xll.BDP($D283,$D$270, "EQY_FUND_RELATIVE_PERIOD", W$3))),W283),"NA ")</f>
        <v>6926.6529129700002</v>
      </c>
      <c r="X283" s="228">
        <f ca="1">IFERROR(IF(BB_Switch=1,IF(_xll.BDP($D283,$D$270, "EQY_FUND_RELATIVE_PERIOD", X$3)="#N/A N/A","NA  ",(_xll.BDP($D283,$D$270, "EQY_FUND_RELATIVE_PERIOD", X$3))),X283),"NA ")</f>
        <v>7108.8761165300002</v>
      </c>
      <c r="Y283" s="228">
        <f ca="1">IFERROR(IF(BB_Switch=1,IF(_xll.BDP($D283,$D$270, "EQY_FUND_RELATIVE_PERIOD", Y$3)="#N/A N/A","NA  ",(_xll.BDP($D283,$D$270, "EQY_FUND_RELATIVE_PERIOD", Y$3))),Y283),"NA ")</f>
        <v>8680.3418866800002</v>
      </c>
      <c r="Z283" s="228">
        <f ca="1">IFERROR(IF(BB_Switch=1,IF(_xll.BDP($D283,$D$270, "EQY_FUND_RELATIVE_PERIOD", Z$3)="#N/A N/A","NA  ",(_xll.BDP($D283,$D$270, "EQY_FUND_RELATIVE_PERIOD", Z$3))),Z283),"NA ")</f>
        <v>9168.0464916000001</v>
      </c>
      <c r="AA283" s="228">
        <f ca="1">IFERROR(IF(BB_Switch=1,IF(_xll.BDP($D283,$D$270, "EQY_FUND_RELATIVE_PERIOD", AA$3)="#N/A N/A","NA  ",(_xll.BDP($D283,$D$270, "EQY_FUND_RELATIVE_PERIOD", AA$3))),AA283),"NA ")</f>
        <v>9882.852057009999</v>
      </c>
      <c r="AB283" s="228">
        <f ca="1">IFERROR(IF(BB_Switch=1,IF(_xll.BDP($D283,$D$270, "EQY_FUND_RELATIVE_PERIOD", AB$3)="#N/A N/A","NA  ",(_xll.BDP($D283,$D$270, "EQY_FUND_RELATIVE_PERIOD", AB$3))),AB283),"NA ")</f>
        <v>11075.60359678</v>
      </c>
      <c r="AC283" s="228">
        <f ca="1">IFERROR(IF(BB_Switch=1,IF(_xll.BDP($D283,$D$270, "EQY_FUND_RELATIVE_PERIOD", AC$3)="#N/A N/A","NA  ",(_xll.BDP($D283,$D$270, "EQY_FUND_RELATIVE_PERIOD", AC$3))),AC283),"NA ")</f>
        <v>14538.171932480001</v>
      </c>
      <c r="AD283" s="228">
        <f ca="1">IFERROR(IF(BB_Switch=1,IF(_xll.BDP($D283,$D$270, "EQY_FUND_RELATIVE_PERIOD", AD$3)="#N/A N/A","NA  ",(_xll.BDP($D283,$D$270, "EQY_FUND_RELATIVE_PERIOD", AD$3))),AD283),"NA ")</f>
        <v>11524.783534529999</v>
      </c>
      <c r="AE283" s="228">
        <f ca="1">IFERROR(IF(BB_Switch=1,IF(_xll.BDP($D283,$D$270, "EQY_FUND_RELATIVE_PERIOD", AE$3)="#N/A N/A","NA  ",(_xll.BDP($D283,$D$270, "EQY_FUND_RELATIVE_PERIOD", AE$3))),AE283),"NA ")</f>
        <v>14719.637085840001</v>
      </c>
      <c r="AF283" s="228"/>
      <c r="AG283" s="228">
        <f ca="1">IFERROR(IF(BB_Switch=1,IF(_xll.BDP($D283,$V$270)="#N/A N/A","NA  ",(_xll.BDP($D283,$V$270))/1000000),AG283),"NA ")</f>
        <v>7906.9149221599992</v>
      </c>
      <c r="AH283" s="227"/>
      <c r="AI283" s="227"/>
      <c r="AJ283" s="227"/>
    </row>
    <row r="284" spans="2:37" ht="11.25" customHeight="1">
      <c r="C284" s="229" t="str">
        <f ca="1">IFERROR(IF(BB_Switch=1,_xll.BDP($D284,$C$270),C284), "NA ")</f>
        <v>BASF SE</v>
      </c>
      <c r="D284" s="227" t="str">
        <f>+D23</f>
        <v>BAS GR EQUITY</v>
      </c>
      <c r="E284" s="228">
        <f ca="1">IFERROR(IF(BB_Switch=1,IF(_xll.BDP($D284,$D$270, "EQY_FUND_RELATIVE_PERIOD", E$3)="#N/A N/A","NA  ",(_xll.BDP($D284,$D$270, "EQY_FUND_RELATIVE_PERIOD", E$3))),E284),"NA ")</f>
        <v>85246.763026222005</v>
      </c>
      <c r="F284" s="228">
        <f ca="1">IFERROR(IF(BB_Switch=1,IF(_xll.BDP($D284,$D$270, "EQY_FUND_RELATIVE_PERIOD", F$3)="#N/A N/A","NA  ",(_xll.BDP($D284,$D$270, "EQY_FUND_RELATIVE_PERIOD", F$3))),F284),"NA ")</f>
        <v>75058.078873680002</v>
      </c>
      <c r="G284" s="228">
        <f ca="1">IFERROR(IF(BB_Switch=1,IF(_xll.BDP($D284,$D$270, "EQY_FUND_RELATIVE_PERIOD", G$3)="#N/A N/A","NA  ",(_xll.BDP($D284,$D$270, "EQY_FUND_RELATIVE_PERIOD", G$3))),G284),"NA ")</f>
        <v>82424.305460000003</v>
      </c>
      <c r="H284" s="228">
        <f ca="1">IFERROR(IF(BB_Switch=1,IF(_xll.BDP($D284,$D$270, "EQY_FUND_RELATIVE_PERIOD", H$3)="#N/A N/A","NA  ",(_xll.BDP($D284,$D$270, "EQY_FUND_RELATIVE_PERIOD", H$3))),H284),"NA ")</f>
        <v>84261.235387559995</v>
      </c>
      <c r="I284" s="228">
        <f ca="1">IFERROR(IF(BB_Switch=1,IF(_xll.BDP($D284,$D$270, "EQY_FUND_RELATIVE_PERIOD", I$3)="#N/A N/A","NA  ",(_xll.BDP($D284,$D$270, "EQY_FUND_RELATIVE_PERIOD", I$3))),I284),"NA ")</f>
        <v>75783.677041940013</v>
      </c>
      <c r="J284" s="228">
        <f ca="1">IFERROR(IF(BB_Switch=1,IF(_xll.BDP($D284,$D$270, "EQY_FUND_RELATIVE_PERIOD", J$3)="#N/A N/A","NA  ",(_xll.BDP($D284,$D$270, "EQY_FUND_RELATIVE_PERIOD", J$3))),J284),"NA ")</f>
        <v>75067.26366062001</v>
      </c>
      <c r="K284" s="228">
        <f ca="1">IFERROR(IF(BB_Switch=1,IF(_xll.BDP($D284,$D$270, "EQY_FUND_RELATIVE_PERIOD", K$3)="#N/A N/A","NA  ",(_xll.BDP($D284,$D$270, "EQY_FUND_RELATIVE_PERIOD", K$3))),K284),"NA ")</f>
        <v>70208.534759999995</v>
      </c>
      <c r="L284" s="228">
        <f ca="1">IFERROR(IF(BB_Switch=1,IF(_xll.BDP($D284,$D$270, "EQY_FUND_RELATIVE_PERIOD", L$3)="#N/A N/A","NA  ",(_xll.BDP($D284,$D$270, "EQY_FUND_RELATIVE_PERIOD", L$3))),L284),"NA ")</f>
        <v>55476.131600000001</v>
      </c>
      <c r="M284" s="228">
        <f ca="1">IFERROR(IF(BB_Switch=1,IF(_xll.BDP($D284,$D$270, "EQY_FUND_RELATIVE_PERIOD", M$3)="#N/A N/A","NA  ",(_xll.BDP($D284,$D$270, "EQY_FUND_RELATIVE_PERIOD", M$3))),M284),"NA ")</f>
        <v>60233.85282</v>
      </c>
      <c r="N284" s="228">
        <f ca="1">IFERROR(IF(BB_Switch=1,IF(_xll.BDP($D284,$D$270, "EQY_FUND_RELATIVE_PERIOD", N$3)="#N/A N/A","NA  ",(_xll.BDP($D284,$D$270, "EQY_FUND_RELATIVE_PERIOD", N$3))),N284),"NA ")</f>
        <v>58764.26684212</v>
      </c>
      <c r="O284" s="228">
        <f ca="1">IFERROR(IF(BB_Switch=1,IF(_xll.BDP($D284,$D$270, "EQY_FUND_RELATIVE_PERIOD", O$3)="#N/A N/A","NA  ",(_xll.BDP($D284,$D$270, "EQY_FUND_RELATIVE_PERIOD", O$3))),O284),"NA ")</f>
        <v>58736.712481300005</v>
      </c>
      <c r="P284" s="228">
        <f ca="1">IFERROR(IF(BB_Switch=1,IF(_xll.BDP($D284,$D$270, "EQY_FUND_RELATIVE_PERIOD", P$3)="#N/A N/A","NA  ",(_xll.BDP($D284,$D$270, "EQY_FUND_RELATIVE_PERIOD", P$3))),P284),"NA ")</f>
        <v>61859.540040899999</v>
      </c>
      <c r="Q284" s="228"/>
      <c r="R284" s="228"/>
      <c r="S284" s="228"/>
      <c r="T284" s="228"/>
      <c r="V284" s="228">
        <f ca="1">IFERROR(IF(BB_Switch=1,IF(_xll.BDP($D284,$D$270, "EQY_FUND_RELATIVE_PERIOD", V$3)="#N/A N/A","NA  ",(_xll.BDP($D284,$D$270, "EQY_FUND_RELATIVE_PERIOD", V$3))),V284),"NA ")</f>
        <v>54833.178031800002</v>
      </c>
      <c r="W284" s="228">
        <f ca="1">IFERROR(IF(BB_Switch=1,IF(_xll.BDP($D284,$D$270, "EQY_FUND_RELATIVE_PERIOD", W$3)="#N/A N/A","NA  ",(_xll.BDP($D284,$D$270, "EQY_FUND_RELATIVE_PERIOD", W$3))),W284),"NA ")</f>
        <v>49496.816819660002</v>
      </c>
      <c r="X284" s="228">
        <f ca="1">IFERROR(IF(BB_Switch=1,IF(_xll.BDP($D284,$D$270, "EQY_FUND_RELATIVE_PERIOD", X$3)="#N/A N/A","NA  ",(_xll.BDP($D284,$D$270, "EQY_FUND_RELATIVE_PERIOD", X$3))),X284),"NA ")</f>
        <v>65349.759078100004</v>
      </c>
      <c r="Y284" s="228">
        <f ca="1">IFERROR(IF(BB_Switch=1,IF(_xll.BDP($D284,$D$270, "EQY_FUND_RELATIVE_PERIOD", Y$3)="#N/A N/A","NA  ",(_xll.BDP($D284,$D$270, "EQY_FUND_RELATIVE_PERIOD", Y$3))),Y284),"NA ")</f>
        <v>71172.913998060001</v>
      </c>
      <c r="Z284" s="228">
        <f ca="1">IFERROR(IF(BB_Switch=1,IF(_xll.BDP($D284,$D$270, "EQY_FUND_RELATIVE_PERIOD", Z$3)="#N/A N/A","NA  ",(_xll.BDP($D284,$D$270, "EQY_FUND_RELATIVE_PERIOD", Z$3))),Z284),"NA ")</f>
        <v>64183.291136719999</v>
      </c>
      <c r="AA284" s="228">
        <f ca="1">IFERROR(IF(BB_Switch=1,IF(_xll.BDP($D284,$D$270, "EQY_FUND_RELATIVE_PERIOD", AA$3)="#N/A N/A","NA  ",(_xll.BDP($D284,$D$270, "EQY_FUND_RELATIVE_PERIOD", AA$3))),AA284),"NA ")</f>
        <v>64954.813239679999</v>
      </c>
      <c r="AB284" s="228">
        <f ca="1">IFERROR(IF(BB_Switch=1,IF(_xll.BDP($D284,$D$270, "EQY_FUND_RELATIVE_PERIOD", AB$3)="#N/A N/A","NA  ",(_xll.BDP($D284,$D$270, "EQY_FUND_RELATIVE_PERIOD", AB$3))),AB284),"NA ")</f>
        <v>81110.853467139998</v>
      </c>
      <c r="AC284" s="228">
        <f ca="1">IFERROR(IF(BB_Switch=1,IF(_xll.BDP($D284,$D$270, "EQY_FUND_RELATIVE_PERIOD", AC$3)="#N/A N/A","NA  ",(_xll.BDP($D284,$D$270, "EQY_FUND_RELATIVE_PERIOD", AC$3))),AC284),"NA ")</f>
        <v>84261.235387559995</v>
      </c>
      <c r="AD284" s="228">
        <f ca="1">IFERROR(IF(BB_Switch=1,IF(_xll.BDP($D284,$D$270, "EQY_FUND_RELATIVE_PERIOD", AD$3)="#N/A N/A","NA  ",(_xll.BDP($D284,$D$270, "EQY_FUND_RELATIVE_PERIOD", AD$3))),AD284),"NA ")</f>
        <v>55476.113117599998</v>
      </c>
      <c r="AE284" s="228">
        <f ca="1">IFERROR(IF(BB_Switch=1,IF(_xll.BDP($D284,$D$270, "EQY_FUND_RELATIVE_PERIOD", AE$3)="#N/A N/A","NA  ",(_xll.BDP($D284,$D$270, "EQY_FUND_RELATIVE_PERIOD", AE$3))),AE284),"NA ")</f>
        <v>61859.540040899999</v>
      </c>
      <c r="AF284" s="228"/>
      <c r="AG284" s="228">
        <f ca="1">IFERROR(IF(BB_Switch=1,IF(_xll.BDP($D284,$V$270)="#N/A N/A","NA  ",(_xll.BDP($D284,$V$270))/1000000),AG284),"NA ")</f>
        <v>36711.593399179998</v>
      </c>
      <c r="AH284" s="227"/>
      <c r="AI284" s="227"/>
      <c r="AJ284" s="227"/>
    </row>
    <row r="285" spans="2:37" ht="11.25" customHeight="1">
      <c r="C285" s="229" t="str">
        <f ca="1">IFERROR(IF(BB_Switch=1,_xll.BDP($D285,$C$270),C285), "NA ")</f>
        <v>Trinseo SA</v>
      </c>
      <c r="D285" s="227" t="str">
        <f>+D24</f>
        <v>TSE US EQUITY</v>
      </c>
      <c r="E285" s="228">
        <f ca="1">IFERROR(IF(BB_Switch=1,IF(_xll.BDP($D285,$D$270, "EQY_FUND_RELATIVE_PERIOD", E$3)="#N/A N/A","NA  ",(_xll.BDP($D285,$D$270, "EQY_FUND_RELATIVE_PERIOD", E$3))),E285),"NA ")</f>
        <v>2956.9627999999998</v>
      </c>
      <c r="F285" s="228">
        <f ca="1">IFERROR(IF(BB_Switch=1,IF(_xll.BDP($D285,$D$270, "EQY_FUND_RELATIVE_PERIOD", F$3)="#N/A N/A","NA  ",(_xll.BDP($D285,$D$270, "EQY_FUND_RELATIVE_PERIOD", F$3))),F285),"NA ")</f>
        <v>3004.4571000000001</v>
      </c>
      <c r="G285" s="228">
        <f ca="1">IFERROR(IF(BB_Switch=1,IF(_xll.BDP($D285,$D$270, "EQY_FUND_RELATIVE_PERIOD", G$3)="#N/A N/A","NA  ",(_xll.BDP($D285,$D$270, "EQY_FUND_RELATIVE_PERIOD", G$3))),G285),"NA ")</f>
        <v>2932.4713000000002</v>
      </c>
      <c r="H285" s="228">
        <f ca="1">IFERROR(IF(BB_Switch=1,IF(_xll.BDP($D285,$D$270, "EQY_FUND_RELATIVE_PERIOD", H$3)="#N/A N/A","NA  ",(_xll.BDP($D285,$D$270, "EQY_FUND_RELATIVE_PERIOD", H$3))),H285),"NA ")</f>
        <v>3150.8399999999997</v>
      </c>
      <c r="I285" s="228">
        <f ca="1">IFERROR(IF(BB_Switch=1,IF(_xll.BDP($D285,$D$270, "EQY_FUND_RELATIVE_PERIOD", I$3)="#N/A N/A","NA  ",(_xll.BDP($D285,$D$270, "EQY_FUND_RELATIVE_PERIOD", I$3))),I285),"NA ")</f>
        <v>3213.77</v>
      </c>
      <c r="J285" s="228">
        <f ca="1">IFERROR(IF(BB_Switch=1,IF(_xll.BDP($D285,$D$270, "EQY_FUND_RELATIVE_PERIOD", J$3)="#N/A N/A","NA  ",(_xll.BDP($D285,$D$270, "EQY_FUND_RELATIVE_PERIOD", J$3))),J285),"NA ")</f>
        <v>3050.85</v>
      </c>
      <c r="K285" s="228">
        <f ca="1">IFERROR(IF(BB_Switch=1,IF(_xll.BDP($D285,$D$270, "EQY_FUND_RELATIVE_PERIOD", K$3)="#N/A N/A","NA  ",(_xll.BDP($D285,$D$270, "EQY_FUND_RELATIVE_PERIOD", K$3))),K285),"NA ")</f>
        <v>3327.75</v>
      </c>
      <c r="L285" s="228">
        <f ca="1">IFERROR(IF(BB_Switch=1,IF(_xll.BDP($D285,$D$270, "EQY_FUND_RELATIVE_PERIOD", L$3)="#N/A N/A","NA  ",(_xll.BDP($D285,$D$270, "EQY_FUND_RELATIVE_PERIOD", L$3))),L285),"NA ")</f>
        <v>1904.4480000000001</v>
      </c>
      <c r="M285" s="228">
        <f ca="1">IFERROR(IF(BB_Switch=1,IF(_xll.BDP($D285,$D$270, "EQY_FUND_RELATIVE_PERIOD", M$3)="#N/A N/A","NA  ",(_xll.BDP($D285,$D$270, "EQY_FUND_RELATIVE_PERIOD", M$3))),M285),"NA ")</f>
        <v>1857.3</v>
      </c>
      <c r="N285" s="228">
        <f ca="1">IFERROR(IF(BB_Switch=1,IF(_xll.BDP($D285,$D$270, "EQY_FUND_RELATIVE_PERIOD", N$3)="#N/A N/A","NA  ",(_xll.BDP($D285,$D$270, "EQY_FUND_RELATIVE_PERIOD", N$3))),N285),"NA ")</f>
        <v>1719.0040000000001</v>
      </c>
      <c r="O285" s="228">
        <f ca="1">IFERROR(IF(BB_Switch=1,IF(_xll.BDP($D285,$D$270, "EQY_FUND_RELATIVE_PERIOD", O$3)="#N/A N/A","NA  ",(_xll.BDP($D285,$D$270, "EQY_FUND_RELATIVE_PERIOD", O$3))),O285),"NA ")</f>
        <v>1696.5250000000001</v>
      </c>
      <c r="P285" s="228">
        <f ca="1">IFERROR(IF(BB_Switch=1,IF(_xll.BDP($D285,$D$270, "EQY_FUND_RELATIVE_PERIOD", P$3)="#N/A N/A","NA  ",(_xll.BDP($D285,$D$270, "EQY_FUND_RELATIVE_PERIOD", P$3))),P285),"NA ")</f>
        <v>1454.9110000000001</v>
      </c>
      <c r="Q285" s="228"/>
      <c r="R285" s="228"/>
      <c r="S285" s="228"/>
      <c r="T285" s="228"/>
      <c r="V285" s="228" t="str">
        <f ca="1">IFERROR(IF(BB_Switch=1,IF(_xll.BDP($D285,$D$270, "EQY_FUND_RELATIVE_PERIOD", V$3)="#N/A N/A","NA  ",(_xll.BDP($D285,$D$270, "EQY_FUND_RELATIVE_PERIOD", V$3))),V285),"NA ")</f>
        <v xml:space="preserve">NA  </v>
      </c>
      <c r="W285" s="228" t="str">
        <f ca="1">IFERROR(IF(BB_Switch=1,IF(_xll.BDP($D285,$D$270, "EQY_FUND_RELATIVE_PERIOD", W$3)="#N/A N/A","NA  ",(_xll.BDP($D285,$D$270, "EQY_FUND_RELATIVE_PERIOD", W$3))),W285),"NA ")</f>
        <v xml:space="preserve">NA  </v>
      </c>
      <c r="X285" s="228" t="str">
        <f ca="1">IFERROR(IF(BB_Switch=1,IF(_xll.BDP($D285,$D$270, "EQY_FUND_RELATIVE_PERIOD", X$3)="#N/A N/A","NA  ",(_xll.BDP($D285,$D$270, "EQY_FUND_RELATIVE_PERIOD", X$3))),X285),"NA ")</f>
        <v xml:space="preserve">NA  </v>
      </c>
      <c r="Y285" s="228" t="str">
        <f ca="1">IFERROR(IF(BB_Switch=1,IF(_xll.BDP($D285,$D$270, "EQY_FUND_RELATIVE_PERIOD", Y$3)="#N/A N/A","NA  ",(_xll.BDP($D285,$D$270, "EQY_FUND_RELATIVE_PERIOD", Y$3))),Y285),"NA ")</f>
        <v xml:space="preserve">NA  </v>
      </c>
      <c r="Z285" s="228">
        <f ca="1">IFERROR(IF(BB_Switch=1,IF(_xll.BDP($D285,$D$270, "EQY_FUND_RELATIVE_PERIOD", Z$3)="#N/A N/A","NA  ",(_xll.BDP($D285,$D$270, "EQY_FUND_RELATIVE_PERIOD", Z$3))),Z285),"NA ")</f>
        <v>851.03650000000005</v>
      </c>
      <c r="AA285" s="228">
        <f ca="1">IFERROR(IF(BB_Switch=1,IF(_xll.BDP($D285,$D$270, "EQY_FUND_RELATIVE_PERIOD", AA$3)="#N/A N/A","NA  ",(_xll.BDP($D285,$D$270, "EQY_FUND_RELATIVE_PERIOD", AA$3))),AA285),"NA ")</f>
        <v>1375.5395999999998</v>
      </c>
      <c r="AB285" s="228">
        <f ca="1">IFERROR(IF(BB_Switch=1,IF(_xll.BDP($D285,$D$270, "EQY_FUND_RELATIVE_PERIOD", AB$3)="#N/A N/A","NA  ",(_xll.BDP($D285,$D$270, "EQY_FUND_RELATIVE_PERIOD", AB$3))),AB285),"NA ")</f>
        <v>2626.99</v>
      </c>
      <c r="AC285" s="228">
        <f ca="1">IFERROR(IF(BB_Switch=1,IF(_xll.BDP($D285,$D$270, "EQY_FUND_RELATIVE_PERIOD", AC$3)="#N/A N/A","NA  ",(_xll.BDP($D285,$D$270, "EQY_FUND_RELATIVE_PERIOD", AC$3))),AC285),"NA ")</f>
        <v>3150.8399999999997</v>
      </c>
      <c r="AD285" s="228">
        <f ca="1">IFERROR(IF(BB_Switch=1,IF(_xll.BDP($D285,$D$270, "EQY_FUND_RELATIVE_PERIOD", AD$3)="#N/A N/A","NA  ",(_xll.BDP($D285,$D$270, "EQY_FUND_RELATIVE_PERIOD", AD$3))),AD285),"NA ")</f>
        <v>1904.4480000000001</v>
      </c>
      <c r="AE285" s="228">
        <f ca="1">IFERROR(IF(BB_Switch=1,IF(_xll.BDP($D285,$D$270, "EQY_FUND_RELATIVE_PERIOD", AE$3)="#N/A N/A","NA  ",(_xll.BDP($D285,$D$270, "EQY_FUND_RELATIVE_PERIOD", AE$3))),AE285),"NA ")</f>
        <v>1454.9110000000001</v>
      </c>
      <c r="AF285" s="228"/>
      <c r="AG285" s="228">
        <f ca="1">IFERROR(IF(BB_Switch=1,IF(_xll.BDP($D285,$V$270)="#N/A N/A","NA  ",(_xll.BDP($D285,$V$270))/1000000),AG285),"NA ")</f>
        <v>581.32210635999991</v>
      </c>
      <c r="AH285" s="227"/>
      <c r="AI285" s="227"/>
      <c r="AJ285" s="227"/>
    </row>
    <row r="286" spans="2:37" ht="11.25" customHeight="1">
      <c r="C286" s="229"/>
      <c r="D286" s="227"/>
      <c r="E286" s="228"/>
      <c r="F286" s="228"/>
      <c r="G286" s="228"/>
      <c r="H286" s="228"/>
      <c r="I286" s="228"/>
      <c r="J286" s="228"/>
      <c r="K286" s="228"/>
      <c r="L286" s="228"/>
      <c r="M286" s="228"/>
      <c r="N286" s="228"/>
      <c r="O286" s="228"/>
      <c r="P286" s="228"/>
      <c r="Q286" s="228"/>
      <c r="R286" s="228"/>
      <c r="S286" s="228"/>
      <c r="T286" s="228"/>
      <c r="V286" s="228"/>
      <c r="W286" s="228"/>
      <c r="X286" s="228"/>
      <c r="Y286" s="228"/>
      <c r="Z286" s="228"/>
      <c r="AA286" s="228"/>
      <c r="AB286" s="228"/>
      <c r="AC286" s="228"/>
      <c r="AD286" s="228"/>
      <c r="AE286" s="228"/>
      <c r="AF286" s="228"/>
      <c r="AG286" s="228"/>
      <c r="AH286" s="227"/>
      <c r="AI286" s="227"/>
      <c r="AJ286" s="227"/>
    </row>
    <row r="287" spans="2:37" ht="11.25" customHeight="1">
      <c r="C287" s="224" t="s">
        <v>482</v>
      </c>
      <c r="D287" s="223"/>
      <c r="E287" s="222"/>
      <c r="F287" s="222"/>
      <c r="G287" s="222"/>
      <c r="H287" s="222"/>
      <c r="I287" s="222"/>
      <c r="J287" s="222"/>
      <c r="K287" s="222"/>
      <c r="L287" s="222"/>
      <c r="M287" s="222"/>
      <c r="N287" s="222"/>
      <c r="O287" s="222"/>
      <c r="P287" s="222"/>
      <c r="Q287" s="222"/>
      <c r="R287" s="222"/>
      <c r="S287" s="222"/>
      <c r="T287" s="289"/>
      <c r="U287" s="359"/>
      <c r="V287" s="295"/>
      <c r="W287" s="222"/>
      <c r="X287" s="222"/>
      <c r="Y287" s="222"/>
      <c r="Z287" s="222"/>
      <c r="AA287" s="222"/>
      <c r="AB287" s="222"/>
      <c r="AC287" s="222"/>
      <c r="AD287" s="222"/>
      <c r="AE287" s="222"/>
      <c r="AF287" s="222"/>
      <c r="AG287" s="222">
        <f ca="1">AVERAGE(AG273:AG279,AG282:AG285)</f>
        <v>10083.822113334545</v>
      </c>
      <c r="AH287" s="250"/>
      <c r="AI287" s="250"/>
      <c r="AJ287" s="291"/>
    </row>
    <row r="288" spans="2:37" ht="11.25" customHeight="1">
      <c r="C288" s="221" t="s">
        <v>481</v>
      </c>
      <c r="D288" s="220"/>
      <c r="E288" s="218"/>
      <c r="F288" s="218"/>
      <c r="G288" s="218"/>
      <c r="H288" s="218"/>
      <c r="I288" s="218"/>
      <c r="J288" s="218"/>
      <c r="K288" s="218"/>
      <c r="L288" s="218"/>
      <c r="M288" s="218"/>
      <c r="N288" s="218"/>
      <c r="O288" s="218"/>
      <c r="P288" s="218"/>
      <c r="Q288" s="218"/>
      <c r="R288" s="218"/>
      <c r="S288" s="218"/>
      <c r="T288" s="290"/>
      <c r="U288" s="359"/>
      <c r="V288" s="296"/>
      <c r="W288" s="218"/>
      <c r="X288" s="218"/>
      <c r="Y288" s="218"/>
      <c r="Z288" s="218"/>
      <c r="AA288" s="218"/>
      <c r="AB288" s="218"/>
      <c r="AC288" s="218"/>
      <c r="AD288" s="218"/>
      <c r="AE288" s="218"/>
      <c r="AF288" s="218"/>
      <c r="AG288" s="218">
        <f ca="1">MEDIAN(AG273:AG279,AG282:AG285)</f>
        <v>5441.0817704599995</v>
      </c>
      <c r="AH288" s="249"/>
      <c r="AI288" s="249"/>
      <c r="AJ288" s="292"/>
    </row>
    <row r="289" spans="2:36" ht="11.25" customHeight="1"/>
    <row r="290" spans="2:36" ht="11.25" customHeight="1">
      <c r="B290" s="231" t="s">
        <v>14</v>
      </c>
      <c r="C290" s="232" t="s">
        <v>496</v>
      </c>
      <c r="D290" s="232"/>
      <c r="E290" s="232"/>
      <c r="F290" s="232"/>
      <c r="G290" s="232"/>
      <c r="H290" s="232"/>
      <c r="I290" s="232"/>
      <c r="J290" s="232"/>
      <c r="K290" s="232"/>
      <c r="L290" s="232"/>
      <c r="M290" s="232"/>
      <c r="N290" s="232"/>
      <c r="O290" s="232"/>
      <c r="P290" s="232"/>
      <c r="Q290" s="232"/>
      <c r="R290" s="232"/>
      <c r="S290" s="232"/>
      <c r="T290" s="232"/>
      <c r="U290" s="233"/>
      <c r="V290" s="232"/>
      <c r="W290" s="231"/>
      <c r="X290" s="231"/>
      <c r="Y290" s="231"/>
      <c r="Z290" s="231"/>
      <c r="AA290" s="231"/>
      <c r="AB290" s="231"/>
      <c r="AC290" s="231"/>
      <c r="AD290" s="231"/>
      <c r="AE290" s="231"/>
      <c r="AF290" s="231"/>
      <c r="AG290" s="231"/>
      <c r="AH290" s="231"/>
      <c r="AI290" s="231"/>
      <c r="AJ290" s="231"/>
    </row>
    <row r="291" spans="2:36" ht="11.25" customHeight="1">
      <c r="D291" s="217" t="s">
        <v>495</v>
      </c>
      <c r="V291" s="217" t="s">
        <v>494</v>
      </c>
    </row>
    <row r="292" spans="2:36" ht="11.25" customHeight="1">
      <c r="C292" s="428" t="str">
        <f>+C11</f>
        <v>Commodity Chemicals</v>
      </c>
      <c r="AE292" s="256"/>
      <c r="AF292" s="256"/>
      <c r="AG292" s="256"/>
      <c r="AH292" s="256"/>
      <c r="AI292" s="256"/>
      <c r="AJ292" s="256"/>
    </row>
    <row r="293" spans="2:36" ht="11.25" customHeight="1">
      <c r="C293" s="229" t="str">
        <f ca="1">IFERROR(IF(BB_Switch=1,_xll.BDP($D293,$C$270),C293), "NA ")</f>
        <v>DuPont de Nemours Inc</v>
      </c>
      <c r="D293" s="227" t="str">
        <f t="shared" ref="D293:D299" si="122">+D12</f>
        <v>DD US EQUITY</v>
      </c>
      <c r="E293" s="228" t="str">
        <f ca="1">IFERROR(IF(BB_Switch=1,IF(_xll.BDP($D293,$D$291, "EQY_FUND_RELATIVE_PERIOD", E$3)="#N/A N/A","NA  ",(_xll.BDP($D293,$D$291, "EQY_FUND_RELATIVE_PERIOD", E$3))),E293),"NA ")</f>
        <v xml:space="preserve">NA  </v>
      </c>
      <c r="F293" s="228" t="str">
        <f ca="1">IFERROR(IF(BB_Switch=1,IF(_xll.BDP($D293,$D$291, "EQY_FUND_RELATIVE_PERIOD", F$3)="#N/A N/A","NA  ",(_xll.BDP($D293,$D$291, "EQY_FUND_RELATIVE_PERIOD", F$3))),F293),"NA ")</f>
        <v xml:space="preserve">NA  </v>
      </c>
      <c r="G293" s="228">
        <f ca="1">IFERROR(IF(BB_Switch=1,IF(_xll.BDP($D293,$D$291, "EQY_FUND_RELATIVE_PERIOD", G$3)="#N/A N/A","NA  ",(_xll.BDP($D293,$D$291, "EQY_FUND_RELATIVE_PERIOD", G$3))),G293),"NA ")</f>
        <v>185471.44953313001</v>
      </c>
      <c r="H293" s="228">
        <f ca="1">IFERROR(IF(BB_Switch=1,IF(_xll.BDP($D293,$D$291, "EQY_FUND_RELATIVE_PERIOD", H$3)="#N/A N/A","NA  ",(_xll.BDP($D293,$D$291, "EQY_FUND_RELATIVE_PERIOD", H$3))),H293),"NA ")</f>
        <v>187026.61844217998</v>
      </c>
      <c r="I293" s="228">
        <f ca="1">IFERROR(IF(BB_Switch=1,IF(_xll.BDP($D293,$D$291, "EQY_FUND_RELATIVE_PERIOD", I$3)="#N/A N/A","NA  ",(_xll.BDP($D293,$D$291, "EQY_FUND_RELATIVE_PERIOD", I$3))),I293),"NA ")</f>
        <v>173428.9576276</v>
      </c>
      <c r="J293" s="228">
        <f ca="1">IFERROR(IF(BB_Switch=1,IF(_xll.BDP($D293,$D$291, "EQY_FUND_RELATIVE_PERIOD", J$3)="#N/A N/A","NA  ",(_xll.BDP($D293,$D$291, "EQY_FUND_RELATIVE_PERIOD", J$3))),J293),"NA ")</f>
        <v>178202.61880825079</v>
      </c>
      <c r="K293" s="228">
        <f ca="1">IFERROR(IF(BB_Switch=1,IF(_xll.BDP($D293,$D$291, "EQY_FUND_RELATIVE_PERIOD", K$3)="#N/A N/A","NA  ",(_xll.BDP($D293,$D$291, "EQY_FUND_RELATIVE_PERIOD", K$3))),K293),"NA ")</f>
        <v>177042.90835533853</v>
      </c>
      <c r="L293" s="228">
        <f ca="1">IFERROR(IF(BB_Switch=1,IF(_xll.BDP($D293,$D$291, "EQY_FUND_RELATIVE_PERIOD", L$3)="#N/A N/A","NA  ",(_xll.BDP($D293,$D$291, "EQY_FUND_RELATIVE_PERIOD", L$3))),L293),"NA ")</f>
        <v>127015.05114765093</v>
      </c>
      <c r="M293" s="228">
        <f ca="1">IFERROR(IF(BB_Switch=1,IF(_xll.BDP($D293,$D$291, "EQY_FUND_RELATIVE_PERIOD", M$3)="#N/A N/A","NA  ",(_xll.BDP($D293,$D$291, "EQY_FUND_RELATIVE_PERIOD", M$3))),M293),"NA ")</f>
        <v>155022.98435989002</v>
      </c>
      <c r="N293" s="228">
        <f ca="1">IFERROR(IF(BB_Switch=1,IF(_xll.BDP($D293,$D$291, "EQY_FUND_RELATIVE_PERIOD", N$3)="#N/A N/A","NA  ",(_xll.BDP($D293,$D$291, "EQY_FUND_RELATIVE_PERIOD", N$3))),N293),"NA ")</f>
        <v>72778.584821190001</v>
      </c>
      <c r="O293" s="228">
        <f ca="1">IFERROR(IF(BB_Switch=1,IF(_xll.BDP($D293,$D$291, "EQY_FUND_RELATIVE_PERIOD", O$3)="#N/A N/A","NA  ",(_xll.BDP($D293,$D$291, "EQY_FUND_RELATIVE_PERIOD", O$3))),O293),"NA ")</f>
        <v>69599.432358999999</v>
      </c>
      <c r="P293" s="228">
        <f ca="1">IFERROR(IF(BB_Switch=1,IF(_xll.BDP($D293,$D$291, "EQY_FUND_RELATIVE_PERIOD", P$3)="#N/A N/A","NA  ",(_xll.BDP($D293,$D$291, "EQY_FUND_RELATIVE_PERIOD", P$3))),P293),"NA ")</f>
        <v>64445.8555376</v>
      </c>
      <c r="Q293" s="228"/>
      <c r="R293" s="228"/>
      <c r="S293" s="228"/>
      <c r="T293" s="228"/>
      <c r="U293" s="227"/>
      <c r="V293" s="228" t="str">
        <f ca="1">IFERROR(IF(BB_Switch=1,IF(_xll.BDP($D293,$D$291, "EQY_FUND_RELATIVE_PERIOD", V$3)="#N/A N/A","NA  ",(_xll.BDP($D293,$D$291, "EQY_FUND_RELATIVE_PERIOD", V$3))),V293),"NA ")</f>
        <v xml:space="preserve">NA  </v>
      </c>
      <c r="W293" s="228" t="str">
        <f ca="1">IFERROR(IF(BB_Switch=1,IF(_xll.BDP($D293,$D$291, "EQY_FUND_RELATIVE_PERIOD", W$3)="#N/A N/A","NA  ",(_xll.BDP($D293,$D$291, "EQY_FUND_RELATIVE_PERIOD", W$3))),W293),"NA ")</f>
        <v xml:space="preserve">NA  </v>
      </c>
      <c r="X293" s="228" t="str">
        <f ca="1">IFERROR(IF(BB_Switch=1,IF(_xll.BDP($D293,$D$291, "EQY_FUND_RELATIVE_PERIOD", X$3)="#N/A N/A","NA  ",(_xll.BDP($D293,$D$291, "EQY_FUND_RELATIVE_PERIOD", X$3))),X293),"NA ")</f>
        <v xml:space="preserve">NA  </v>
      </c>
      <c r="Y293" s="228" t="str">
        <f ca="1">IFERROR(IF(BB_Switch=1,IF(_xll.BDP($D293,$D$291, "EQY_FUND_RELATIVE_PERIOD", Y$3)="#N/A N/A","NA  ",(_xll.BDP($D293,$D$291, "EQY_FUND_RELATIVE_PERIOD", Y$3))),Y293),"NA ")</f>
        <v xml:space="preserve">NA  </v>
      </c>
      <c r="Z293" s="228" t="str">
        <f ca="1">IFERROR(IF(BB_Switch=1,IF(_xll.BDP($D293,$D$291, "EQY_FUND_RELATIVE_PERIOD", Z$3)="#N/A N/A","NA  ",(_xll.BDP($D293,$D$291, "EQY_FUND_RELATIVE_PERIOD", Z$3))),Z293),"NA ")</f>
        <v xml:space="preserve">NA  </v>
      </c>
      <c r="AA293" s="228" t="str">
        <f ca="1">IFERROR(IF(BB_Switch=1,IF(_xll.BDP($D293,$D$291, "EQY_FUND_RELATIVE_PERIOD", AA$3)="#N/A N/A","NA  ",(_xll.BDP($D293,$D$291, "EQY_FUND_RELATIVE_PERIOD", AA$3))),AA293),"NA ")</f>
        <v xml:space="preserve">NA  </v>
      </c>
      <c r="AB293" s="228">
        <f ca="1">IFERROR(IF(BB_Switch=1,IF(_xll.BDP($D293,$D$291, "EQY_FUND_RELATIVE_PERIOD", AB$3)="#N/A N/A","NA  ",(_xll.BDP($D293,$D$291, "EQY_FUND_RELATIVE_PERIOD", AB$3))),AB293),"NA ")</f>
        <v>85299.049428700004</v>
      </c>
      <c r="AC293" s="228">
        <f ca="1">IFERROR(IF(BB_Switch=1,IF(_xll.BDP($D293,$D$291, "EQY_FUND_RELATIVE_PERIOD", AC$3)="#N/A N/A","NA  ",(_xll.BDP($D293,$D$291, "EQY_FUND_RELATIVE_PERIOD", AC$3))),AC293),"NA ")</f>
        <v>187026.61844217998</v>
      </c>
      <c r="AD293" s="228">
        <f ca="1">IFERROR(IF(BB_Switch=1,IF(_xll.BDP($D293,$D$291, "EQY_FUND_RELATIVE_PERIOD", AD$3)="#N/A N/A","NA  ",(_xll.BDP($D293,$D$291, "EQY_FUND_RELATIVE_PERIOD", AD$3))),AD293),"NA ")</f>
        <v>127015.05114765093</v>
      </c>
      <c r="AE293" s="228">
        <f ca="1">IFERROR(IF(BB_Switch=1,IF(_xll.BDP($D293,$D$291, "EQY_FUND_RELATIVE_PERIOD", AE$3)="#N/A N/A","NA  ",(_xll.BDP($D293,$D$291, "EQY_FUND_RELATIVE_PERIOD", AE$3))),AE293),"NA ")</f>
        <v>64445.8555376</v>
      </c>
      <c r="AF293" s="244"/>
      <c r="AG293" s="228">
        <f ca="1">IFERROR(IF(BB_Switch=1,IF(_xll.BDP($D293,$V$291)="#N/A N/A","NA  ",(_xll.BDP($D293,$V$291))),AG293),"NA ")</f>
        <v>42354.054823500002</v>
      </c>
      <c r="AH293" s="228"/>
      <c r="AI293" s="228"/>
      <c r="AJ293" s="228"/>
    </row>
    <row r="294" spans="2:36" ht="11.25" customHeight="1">
      <c r="C294" s="229" t="str">
        <f ca="1">IFERROR(IF(BB_Switch=1,_xll.BDP($D294,$C$270),C294), "NA ")</f>
        <v>PolyOne Corp</v>
      </c>
      <c r="D294" s="227" t="str">
        <f t="shared" si="122"/>
        <v>POL US EQUITY</v>
      </c>
      <c r="E294" s="228">
        <f ca="1">IFERROR(IF(BB_Switch=1,IF(_xll.BDP($D294,$D$291, "EQY_FUND_RELATIVE_PERIOD", E$3)="#N/A N/A","NA  ",(_xll.BDP($D294,$D$291, "EQY_FUND_RELATIVE_PERIOD", E$3))),E294),"NA ")</f>
        <v>3927.2603014100005</v>
      </c>
      <c r="F294" s="228">
        <f ca="1">IFERROR(IF(BB_Switch=1,IF(_xll.BDP($D294,$D$291, "EQY_FUND_RELATIVE_PERIOD", F$3)="#N/A N/A","NA  ",(_xll.BDP($D294,$D$291, "EQY_FUND_RELATIVE_PERIOD", F$3))),F294),"NA ")</f>
        <v>4378.4041046399998</v>
      </c>
      <c r="G294" s="228">
        <f ca="1">IFERROR(IF(BB_Switch=1,IF(_xll.BDP($D294,$D$291, "EQY_FUND_RELATIVE_PERIOD", G$3)="#N/A N/A","NA  ",(_xll.BDP($D294,$D$291, "EQY_FUND_RELATIVE_PERIOD", G$3))),G294),"NA ")</f>
        <v>4353.8927264499998</v>
      </c>
      <c r="H294" s="228">
        <f ca="1">IFERROR(IF(BB_Switch=1,IF(_xll.BDP($D294,$D$291, "EQY_FUND_RELATIVE_PERIOD", H$3)="#N/A N/A","NA  ",(_xll.BDP($D294,$D$291, "EQY_FUND_RELATIVE_PERIOD", H$3))),H294),"NA ")</f>
        <v>4696.4500000000007</v>
      </c>
      <c r="I294" s="228">
        <f ca="1">IFERROR(IF(BB_Switch=1,IF(_xll.BDP($D294,$D$291, "EQY_FUND_RELATIVE_PERIOD", I$3)="#N/A N/A","NA  ",(_xll.BDP($D294,$D$291, "EQY_FUND_RELATIVE_PERIOD", I$3))),I294),"NA ")</f>
        <v>4589.6674727600002</v>
      </c>
      <c r="J294" s="228">
        <f ca="1">IFERROR(IF(BB_Switch=1,IF(_xll.BDP($D294,$D$291, "EQY_FUND_RELATIVE_PERIOD", J$3)="#N/A N/A","NA  ",(_xll.BDP($D294,$D$291, "EQY_FUND_RELATIVE_PERIOD", J$3))),J294),"NA ")</f>
        <v>4628.4708952600004</v>
      </c>
      <c r="K294" s="228">
        <f ca="1">IFERROR(IF(BB_Switch=1,IF(_xll.BDP($D294,$D$291, "EQY_FUND_RELATIVE_PERIOD", K$3)="#N/A N/A","NA  ",(_xll.BDP($D294,$D$291, "EQY_FUND_RELATIVE_PERIOD", K$3))),K294),"NA ")</f>
        <v>4645.9496805199997</v>
      </c>
      <c r="L294" s="228">
        <f ca="1">IFERROR(IF(BB_Switch=1,IF(_xll.BDP($D294,$D$291, "EQY_FUND_RELATIVE_PERIOD", L$3)="#N/A N/A","NA  ",(_xll.BDP($D294,$D$291, "EQY_FUND_RELATIVE_PERIOD", L$3))),L294),"NA ")</f>
        <v>3494.5200000000004</v>
      </c>
      <c r="M294" s="228">
        <f ca="1">IFERROR(IF(BB_Switch=1,IF(_xll.BDP($D294,$D$291, "EQY_FUND_RELATIVE_PERIOD", M$3)="#N/A N/A","NA  ",(_xll.BDP($D294,$D$291, "EQY_FUND_RELATIVE_PERIOD", M$3))),M294),"NA ")</f>
        <v>3709.018</v>
      </c>
      <c r="N294" s="228">
        <f ca="1">IFERROR(IF(BB_Switch=1,IF(_xll.BDP($D294,$D$291, "EQY_FUND_RELATIVE_PERIOD", N$3)="#N/A N/A","NA  ",(_xll.BDP($D294,$D$291, "EQY_FUND_RELATIVE_PERIOD", N$3))),N294),"NA ")</f>
        <v>3773.991</v>
      </c>
      <c r="O294" s="228">
        <f ca="1">IFERROR(IF(BB_Switch=1,IF(_xll.BDP($D294,$D$291, "EQY_FUND_RELATIVE_PERIOD", O$3)="#N/A N/A","NA  ",(_xll.BDP($D294,$D$291, "EQY_FUND_RELATIVE_PERIOD", O$3))),O294),"NA ")</f>
        <v>3802.3779823499999</v>
      </c>
      <c r="P294" s="228">
        <f ca="1">IFERROR(IF(BB_Switch=1,IF(_xll.BDP($D294,$D$291, "EQY_FUND_RELATIVE_PERIOD", P$3)="#N/A N/A","NA  ",(_xll.BDP($D294,$D$291, "EQY_FUND_RELATIVE_PERIOD", P$3))),P294),"NA ")</f>
        <v>3442.7510000000002</v>
      </c>
      <c r="Q294" s="228"/>
      <c r="R294" s="228"/>
      <c r="S294" s="228"/>
      <c r="T294" s="228"/>
      <c r="U294" s="227"/>
      <c r="V294" s="228">
        <f ca="1">IFERROR(IF(BB_Switch=1,IF(_xll.BDP($D294,$D$291, "EQY_FUND_RELATIVE_PERIOD", V$3)="#N/A N/A","NA  ",(_xll.BDP($D294,$D$291, "EQY_FUND_RELATIVE_PERIOD", V$3))),V294),"NA ")</f>
        <v>1247.6110000000003</v>
      </c>
      <c r="W294" s="228">
        <f ca="1">IFERROR(IF(BB_Switch=1,IF(_xll.BDP($D294,$D$291, "EQY_FUND_RELATIVE_PERIOD", W$3)="#N/A N/A","NA  ",(_xll.BDP($D294,$D$291, "EQY_FUND_RELATIVE_PERIOD", W$3))),W294),"NA ")</f>
        <v>1540.74</v>
      </c>
      <c r="X294" s="228">
        <f ca="1">IFERROR(IF(BB_Switch=1,IF(_xll.BDP($D294,$D$291, "EQY_FUND_RELATIVE_PERIOD", X$3)="#N/A N/A","NA  ",(_xll.BDP($D294,$D$291, "EQY_FUND_RELATIVE_PERIOD", X$3))),X294),"NA ")</f>
        <v>2326.79</v>
      </c>
      <c r="Y294" s="228">
        <f ca="1">IFERROR(IF(BB_Switch=1,IF(_xll.BDP($D294,$D$291, "EQY_FUND_RELATIVE_PERIOD", Y$3)="#N/A N/A","NA  ",(_xll.BDP($D294,$D$291, "EQY_FUND_RELATIVE_PERIOD", Y$3))),Y294),"NA ")</f>
        <v>3987.1849999999999</v>
      </c>
      <c r="Z294" s="228">
        <f ca="1">IFERROR(IF(BB_Switch=1,IF(_xll.BDP($D294,$D$291, "EQY_FUND_RELATIVE_PERIOD", Z$3)="#N/A N/A","NA  ",(_xll.BDP($D294,$D$291, "EQY_FUND_RELATIVE_PERIOD", Z$3))),Z294),"NA ")</f>
        <v>4158.262999999999</v>
      </c>
      <c r="AA294" s="228">
        <f ca="1">IFERROR(IF(BB_Switch=1,IF(_xll.BDP($D294,$D$291, "EQY_FUND_RELATIVE_PERIOD", AA$3)="#N/A N/A","NA  ",(_xll.BDP($D294,$D$291, "EQY_FUND_RELATIVE_PERIOD", AA$3))),AA294),"NA ")</f>
        <v>3576.9279999999999</v>
      </c>
      <c r="AB294" s="228">
        <f ca="1">IFERROR(IF(BB_Switch=1,IF(_xll.BDP($D294,$D$291, "EQY_FUND_RELATIVE_PERIOD", AB$3)="#N/A N/A","NA  ",(_xll.BDP($D294,$D$291, "EQY_FUND_RELATIVE_PERIOD", AB$3))),AB294),"NA ")</f>
        <v>3776.2039999999997</v>
      </c>
      <c r="AC294" s="228">
        <f ca="1">IFERROR(IF(BB_Switch=1,IF(_xll.BDP($D294,$D$291, "EQY_FUND_RELATIVE_PERIOD", AC$3)="#N/A N/A","NA  ",(_xll.BDP($D294,$D$291, "EQY_FUND_RELATIVE_PERIOD", AC$3))),AC294),"NA ")</f>
        <v>4696.4500000000007</v>
      </c>
      <c r="AD294" s="228">
        <f ca="1">IFERROR(IF(BB_Switch=1,IF(_xll.BDP($D294,$D$291, "EQY_FUND_RELATIVE_PERIOD", AD$3)="#N/A N/A","NA  ",(_xll.BDP($D294,$D$291, "EQY_FUND_RELATIVE_PERIOD", AD$3))),AD294),"NA ")</f>
        <v>3494.5200000000004</v>
      </c>
      <c r="AE294" s="228">
        <f ca="1">IFERROR(IF(BB_Switch=1,IF(_xll.BDP($D294,$D$291, "EQY_FUND_RELATIVE_PERIOD", AE$3)="#N/A N/A","NA  ",(_xll.BDP($D294,$D$291, "EQY_FUND_RELATIVE_PERIOD", AE$3))),AE294),"NA ")</f>
        <v>3442.7510000000002</v>
      </c>
      <c r="AF294" s="228"/>
      <c r="AG294" s="228">
        <f ca="1">IFERROR(IF(BB_Switch=1,IF(_xll.BDP($D294,$V$291)="#N/A N/A","NA  ",(_xll.BDP($D294,$V$291))),AG294),"NA ")</f>
        <v>2023.6680431999998</v>
      </c>
      <c r="AH294" s="228"/>
      <c r="AI294" s="228"/>
      <c r="AJ294" s="228"/>
    </row>
    <row r="295" spans="2:36" ht="11.25" customHeight="1">
      <c r="C295" s="229" t="str">
        <f ca="1">IFERROR(IF(BB_Switch=1,_xll.BDP($D295,$C$270),C295), "NA ")</f>
        <v>Olin Corp</v>
      </c>
      <c r="D295" s="227" t="str">
        <f t="shared" si="122"/>
        <v>OLN US EQUITY</v>
      </c>
      <c r="E295" s="228">
        <f ca="1">IFERROR(IF(BB_Switch=1,IF(_xll.BDP($D295,$D$291, "EQY_FUND_RELATIVE_PERIOD", E$3)="#N/A N/A","NA  ",(_xll.BDP($D295,$D$291, "EQY_FUND_RELATIVE_PERIOD", E$3))),E295),"NA ")</f>
        <v>8897.2330000000002</v>
      </c>
      <c r="F295" s="228">
        <f ca="1">IFERROR(IF(BB_Switch=1,IF(_xll.BDP($D295,$D$291, "EQY_FUND_RELATIVE_PERIOD", F$3)="#N/A N/A","NA  ",(_xll.BDP($D295,$D$291, "EQY_FUND_RELATIVE_PERIOD", F$3))),F295),"NA ")</f>
        <v>8451.6640000000007</v>
      </c>
      <c r="G295" s="228">
        <f ca="1">IFERROR(IF(BB_Switch=1,IF(_xll.BDP($D295,$D$291, "EQY_FUND_RELATIVE_PERIOD", G$3)="#N/A N/A","NA  ",(_xll.BDP($D295,$D$291, "EQY_FUND_RELATIVE_PERIOD", G$3))),G295),"NA ")</f>
        <v>9154.25</v>
      </c>
      <c r="H295" s="228">
        <f ca="1">IFERROR(IF(BB_Switch=1,IF(_xll.BDP($D295,$D$291, "EQY_FUND_RELATIVE_PERIOD", H$3)="#N/A N/A","NA  ",(_xll.BDP($D295,$D$291, "EQY_FUND_RELATIVE_PERIOD", H$3))),H295),"NA ")</f>
        <v>9339.018</v>
      </c>
      <c r="I295" s="228">
        <f ca="1">IFERROR(IF(BB_Switch=1,IF(_xll.BDP($D295,$D$291, "EQY_FUND_RELATIVE_PERIOD", I$3)="#N/A N/A","NA  ",(_xll.BDP($D295,$D$291, "EQY_FUND_RELATIVE_PERIOD", I$3))),I295),"NA ")</f>
        <v>8507.5079999999998</v>
      </c>
      <c r="J295" s="228">
        <f ca="1">IFERROR(IF(BB_Switch=1,IF(_xll.BDP($D295,$D$291, "EQY_FUND_RELATIVE_PERIOD", J$3)="#N/A N/A","NA  ",(_xll.BDP($D295,$D$291, "EQY_FUND_RELATIVE_PERIOD", J$3))),J295),"NA ")</f>
        <v>8165.54</v>
      </c>
      <c r="K295" s="228">
        <f ca="1">IFERROR(IF(BB_Switch=1,IF(_xll.BDP($D295,$D$291, "EQY_FUND_RELATIVE_PERIOD", K$3)="#N/A N/A","NA  ",(_xll.BDP($D295,$D$291, "EQY_FUND_RELATIVE_PERIOD", K$3))),K295),"NA ")</f>
        <v>7464.0240000000003</v>
      </c>
      <c r="L295" s="228">
        <f ca="1">IFERROR(IF(BB_Switch=1,IF(_xll.BDP($D295,$D$291, "EQY_FUND_RELATIVE_PERIOD", L$3)="#N/A N/A","NA  ",(_xll.BDP($D295,$D$291, "EQY_FUND_RELATIVE_PERIOD", L$3))),L295),"NA ")</f>
        <v>6375.683</v>
      </c>
      <c r="M295" s="228">
        <f ca="1">IFERROR(IF(BB_Switch=1,IF(_xll.BDP($D295,$D$291, "EQY_FUND_RELATIVE_PERIOD", M$3)="#N/A N/A","NA  ",(_xll.BDP($D295,$D$291, "EQY_FUND_RELATIVE_PERIOD", M$3))),M295),"NA ")</f>
        <v>7178.7860000000001</v>
      </c>
      <c r="N295" s="228">
        <f ca="1">IFERROR(IF(BB_Switch=1,IF(_xll.BDP($D295,$D$291, "EQY_FUND_RELATIVE_PERIOD", N$3)="#N/A N/A","NA  ",(_xll.BDP($D295,$D$291, "EQY_FUND_RELATIVE_PERIOD", N$3))),N295),"NA ")</f>
        <v>7007.3130000000001</v>
      </c>
      <c r="O295" s="228">
        <f ca="1">IFERROR(IF(BB_Switch=1,IF(_xll.BDP($D295,$D$291, "EQY_FUND_RELATIVE_PERIOD", O$3)="#N/A N/A","NA  ",(_xll.BDP($D295,$D$291, "EQY_FUND_RELATIVE_PERIOD", O$3))),O295),"NA ")</f>
        <v>6471.6839999999993</v>
      </c>
      <c r="P295" s="228">
        <f ca="1">IFERROR(IF(BB_Switch=1,IF(_xll.BDP($D295,$D$291, "EQY_FUND_RELATIVE_PERIOD", P$3)="#N/A N/A","NA  ",(_xll.BDP($D295,$D$291, "EQY_FUND_RELATIVE_PERIOD", P$3))),P295),"NA ")</f>
        <v>6222.9249999999993</v>
      </c>
      <c r="Q295" s="228"/>
      <c r="R295" s="228"/>
      <c r="S295" s="228"/>
      <c r="T295" s="228"/>
      <c r="U295" s="227"/>
      <c r="V295" s="228">
        <f ca="1">IFERROR(IF(BB_Switch=1,IF(_xll.BDP($D295,$D$291, "EQY_FUND_RELATIVE_PERIOD", V$3)="#N/A N/A","NA  ",(_xll.BDP($D295,$D$291, "EQY_FUND_RELATIVE_PERIOD", V$3))),V295),"NA ")</f>
        <v>1670.3685287600001</v>
      </c>
      <c r="W295" s="228">
        <f ca="1">IFERROR(IF(BB_Switch=1,IF(_xll.BDP($D295,$D$291, "EQY_FUND_RELATIVE_PERIOD", W$3)="#N/A N/A","NA  ",(_xll.BDP($D295,$D$291, "EQY_FUND_RELATIVE_PERIOD", W$3))),W295),"NA ")</f>
        <v>1805.5649999999998</v>
      </c>
      <c r="X295" s="228">
        <f ca="1">IFERROR(IF(BB_Switch=1,IF(_xll.BDP($D295,$D$291, "EQY_FUND_RELATIVE_PERIOD", X$3)="#N/A N/A","NA  ",(_xll.BDP($D295,$D$291, "EQY_FUND_RELATIVE_PERIOD", X$3))),X295),"NA ")</f>
        <v>2280.018</v>
      </c>
      <c r="Y295" s="228">
        <f ca="1">IFERROR(IF(BB_Switch=1,IF(_xll.BDP($D295,$D$291, "EQY_FUND_RELATIVE_PERIOD", Y$3)="#N/A N/A","NA  ",(_xll.BDP($D295,$D$291, "EQY_FUND_RELATIVE_PERIOD", Y$3))),Y295),"NA ")</f>
        <v>2673.89</v>
      </c>
      <c r="Z295" s="228">
        <f ca="1">IFERROR(IF(BB_Switch=1,IF(_xll.BDP($D295,$D$291, "EQY_FUND_RELATIVE_PERIOD", Z$3)="#N/A N/A","NA  ",(_xll.BDP($D295,$D$291, "EQY_FUND_RELATIVE_PERIOD", Z$3))),Z295),"NA ")</f>
        <v>2180.6980000000003</v>
      </c>
      <c r="AA295" s="228">
        <f ca="1">IFERROR(IF(BB_Switch=1,IF(_xll.BDP($D295,$D$291, "EQY_FUND_RELATIVE_PERIOD", AA$3)="#N/A N/A","NA  ",(_xll.BDP($D295,$D$291, "EQY_FUND_RELATIVE_PERIOD", AA$3))),AA295),"NA ")</f>
        <v>6339.326</v>
      </c>
      <c r="AB295" s="228">
        <f ca="1">IFERROR(IF(BB_Switch=1,IF(_xll.BDP($D295,$D$291, "EQY_FUND_RELATIVE_PERIOD", AB$3)="#N/A N/A","NA  ",(_xll.BDP($D295,$D$291, "EQY_FUND_RELATIVE_PERIOD", AB$3))),AB295),"NA ")</f>
        <v>7668.9940000000006</v>
      </c>
      <c r="AC295" s="228">
        <f ca="1">IFERROR(IF(BB_Switch=1,IF(_xll.BDP($D295,$D$291, "EQY_FUND_RELATIVE_PERIOD", AC$3)="#N/A N/A","NA  ",(_xll.BDP($D295,$D$291, "EQY_FUND_RELATIVE_PERIOD", AC$3))),AC295),"NA ")</f>
        <v>9339.018</v>
      </c>
      <c r="AD295" s="228">
        <f ca="1">IFERROR(IF(BB_Switch=1,IF(_xll.BDP($D295,$D$291, "EQY_FUND_RELATIVE_PERIOD", AD$3)="#N/A N/A","NA  ",(_xll.BDP($D295,$D$291, "EQY_FUND_RELATIVE_PERIOD", AD$3))),AD295),"NA ")</f>
        <v>6375.683</v>
      </c>
      <c r="AE295" s="228">
        <f ca="1">IFERROR(IF(BB_Switch=1,IF(_xll.BDP($D295,$D$291, "EQY_FUND_RELATIVE_PERIOD", AE$3)="#N/A N/A","NA  ",(_xll.BDP($D295,$D$291, "EQY_FUND_RELATIVE_PERIOD", AE$3))),AE295),"NA ")</f>
        <v>6222.9249999999993</v>
      </c>
      <c r="AF295" s="228"/>
      <c r="AG295" s="228">
        <f ca="1">IFERROR(IF(BB_Switch=1,IF(_xll.BDP($D295,$V$291)="#N/A N/A","NA  ",(_xll.BDP($D295,$V$291))),AG295),"NA ")</f>
        <v>4975.7258523599994</v>
      </c>
      <c r="AH295" s="228"/>
      <c r="AI295" s="228"/>
      <c r="AJ295" s="228"/>
    </row>
    <row r="296" spans="2:36" ht="11.25" customHeight="1">
      <c r="C296" s="229" t="str">
        <f ca="1">IFERROR(IF(BB_Switch=1,_xll.BDP($D296,$C$270),C296), "NA ")</f>
        <v>LyondellBasell Industries NV</v>
      </c>
      <c r="D296" s="227" t="str">
        <f t="shared" si="122"/>
        <v>LYB US EQUITY</v>
      </c>
      <c r="E296" s="228">
        <f ca="1">IFERROR(IF(BB_Switch=1,IF(_xll.BDP($D296,$D$291, "EQY_FUND_RELATIVE_PERIOD", E$3)="#N/A N/A","NA  ",(_xll.BDP($D296,$D$291, "EQY_FUND_RELATIVE_PERIOD", E$3))),E296),"NA ")</f>
        <v>44125.634406960002</v>
      </c>
      <c r="F296" s="228">
        <f ca="1">IFERROR(IF(BB_Switch=1,IF(_xll.BDP($D296,$D$291, "EQY_FUND_RELATIVE_PERIOD", F$3)="#N/A N/A","NA  ",(_xll.BDP($D296,$D$291, "EQY_FUND_RELATIVE_PERIOD", F$3))),F296),"NA ")</f>
        <v>40584.42922649</v>
      </c>
      <c r="G296" s="228">
        <f ca="1">IFERROR(IF(BB_Switch=1,IF(_xll.BDP($D296,$D$291, "EQY_FUND_RELATIVE_PERIOD", G$3)="#N/A N/A","NA  ",(_xll.BDP($D296,$D$291, "EQY_FUND_RELATIVE_PERIOD", G$3))),G296),"NA ")</f>
        <v>45488.078866049997</v>
      </c>
      <c r="H296" s="228">
        <f ca="1">IFERROR(IF(BB_Switch=1,IF(_xll.BDP($D296,$D$291, "EQY_FUND_RELATIVE_PERIOD", H$3)="#N/A N/A","NA  ",(_xll.BDP($D296,$D$291, "EQY_FUND_RELATIVE_PERIOD", H$3))),H296),"NA ")</f>
        <v>49312.569797279997</v>
      </c>
      <c r="I296" s="228">
        <f ca="1">IFERROR(IF(BB_Switch=1,IF(_xll.BDP($D296,$D$291, "EQY_FUND_RELATIVE_PERIOD", I$3)="#N/A N/A","NA  ",(_xll.BDP($D296,$D$291, "EQY_FUND_RELATIVE_PERIOD", I$3))),I296),"NA ")</f>
        <v>47315.222568320001</v>
      </c>
      <c r="J296" s="228">
        <f ca="1">IFERROR(IF(BB_Switch=1,IF(_xll.BDP($D296,$D$291, "EQY_FUND_RELATIVE_PERIOD", J$3)="#N/A N/A","NA  ",(_xll.BDP($D296,$D$291, "EQY_FUND_RELATIVE_PERIOD", J$3))),J296),"NA ")</f>
        <v>48101.209637549997</v>
      </c>
      <c r="K296" s="228">
        <f ca="1">IFERROR(IF(BB_Switch=1,IF(_xll.BDP($D296,$D$291, "EQY_FUND_RELATIVE_PERIOD", K$3)="#N/A N/A","NA  ",(_xll.BDP($D296,$D$291, "EQY_FUND_RELATIVE_PERIOD", K$3))),K296),"NA ")</f>
        <v>47041.593817760004</v>
      </c>
      <c r="L296" s="228">
        <f ca="1">IFERROR(IF(BB_Switch=1,IF(_xll.BDP($D296,$D$291, "EQY_FUND_RELATIVE_PERIOD", L$3)="#N/A N/A","NA  ",(_xll.BDP($D296,$D$291, "EQY_FUND_RELATIVE_PERIOD", L$3))),L296),"NA ")</f>
        <v>39544.934328759999</v>
      </c>
      <c r="M296" s="228">
        <f ca="1">IFERROR(IF(BB_Switch=1,IF(_xll.BDP($D296,$D$291, "EQY_FUND_RELATIVE_PERIOD", M$3)="#N/A N/A","NA  ",(_xll.BDP($D296,$D$291, "EQY_FUND_RELATIVE_PERIOD", M$3))),M296),"NA ")</f>
        <v>41972.018740239997</v>
      </c>
      <c r="N296" s="228">
        <f ca="1">IFERROR(IF(BB_Switch=1,IF(_xll.BDP($D296,$D$291, "EQY_FUND_RELATIVE_PERIOD", N$3)="#N/A N/A","NA  ",(_xll.BDP($D296,$D$291, "EQY_FUND_RELATIVE_PERIOD", N$3))),N296),"NA ")</f>
        <v>42692.464522620001</v>
      </c>
      <c r="O296" s="228">
        <f ca="1">IFERROR(IF(BB_Switch=1,IF(_xll.BDP($D296,$D$291, "EQY_FUND_RELATIVE_PERIOD", O$3)="#N/A N/A","NA  ",(_xll.BDP($D296,$D$291, "EQY_FUND_RELATIVE_PERIOD", O$3))),O296),"NA ")</f>
        <v>43036.00266572</v>
      </c>
      <c r="P296" s="228">
        <f ca="1">IFERROR(IF(BB_Switch=1,IF(_xll.BDP($D296,$D$291, "EQY_FUND_RELATIVE_PERIOD", P$3)="#N/A N/A","NA  ",(_xll.BDP($D296,$D$291, "EQY_FUND_RELATIVE_PERIOD", P$3))),P296),"NA ")</f>
        <v>44138.89590584</v>
      </c>
      <c r="Q296" s="228"/>
      <c r="R296" s="228"/>
      <c r="S296" s="228"/>
      <c r="T296" s="228"/>
      <c r="U296" s="227"/>
      <c r="V296" s="228">
        <f ca="1">IFERROR(IF(BB_Switch=1,IF(_xll.BDP($D296,$D$291, "EQY_FUND_RELATIVE_PERIOD", V$3)="#N/A N/A","NA  ",(_xll.BDP($D296,$D$291, "EQY_FUND_RELATIVE_PERIOD", V$3))),V296),"NA ")</f>
        <v>21341.642842400001</v>
      </c>
      <c r="W296" s="228">
        <f ca="1">IFERROR(IF(BB_Switch=1,IF(_xll.BDP($D296,$D$291, "EQY_FUND_RELATIVE_PERIOD", W$3)="#N/A N/A","NA  ",(_xll.BDP($D296,$D$291, "EQY_FUND_RELATIVE_PERIOD", W$3))),W296),"NA ")</f>
        <v>21518.840387490003</v>
      </c>
      <c r="X296" s="228">
        <f ca="1">IFERROR(IF(BB_Switch=1,IF(_xll.BDP($D296,$D$291, "EQY_FUND_RELATIVE_PERIOD", X$3)="#N/A N/A","NA  ",(_xll.BDP($D296,$D$291, "EQY_FUND_RELATIVE_PERIOD", X$3))),X296),"NA ")</f>
        <v>34547.121916810007</v>
      </c>
      <c r="Y296" s="228">
        <f ca="1">IFERROR(IF(BB_Switch=1,IF(_xll.BDP($D296,$D$291, "EQY_FUND_RELATIVE_PERIOD", Y$3)="#N/A N/A","NA  ",(_xll.BDP($D296,$D$291, "EQY_FUND_RELATIVE_PERIOD", Y$3))),Y296),"NA ")</f>
        <v>45480.601798639997</v>
      </c>
      <c r="Z296" s="228">
        <f ca="1">IFERROR(IF(BB_Switch=1,IF(_xll.BDP($D296,$D$291, "EQY_FUND_RELATIVE_PERIOD", Z$3)="#N/A N/A","NA  ",(_xll.BDP($D296,$D$291, "EQY_FUND_RELATIVE_PERIOD", Z$3))),Z296),"NA ")</f>
        <v>43111.50082478</v>
      </c>
      <c r="AA296" s="228">
        <f ca="1">IFERROR(IF(BB_Switch=1,IF(_xll.BDP($D296,$D$291, "EQY_FUND_RELATIVE_PERIOD", AA$3)="#N/A N/A","NA  ",(_xll.BDP($D296,$D$291, "EQY_FUND_RELATIVE_PERIOD", AA$3))),AA296),"NA ")</f>
        <v>44313.040996099997</v>
      </c>
      <c r="AB296" s="228">
        <f ca="1">IFERROR(IF(BB_Switch=1,IF(_xll.BDP($D296,$D$291, "EQY_FUND_RELATIVE_PERIOD", AB$3)="#N/A N/A","NA  ",(_xll.BDP($D296,$D$291, "EQY_FUND_RELATIVE_PERIOD", AB$3))),AB296),"NA ")</f>
        <v>41643.094273180002</v>
      </c>
      <c r="AC296" s="228">
        <f ca="1">IFERROR(IF(BB_Switch=1,IF(_xll.BDP($D296,$D$291, "EQY_FUND_RELATIVE_PERIOD", AC$3)="#N/A N/A","NA  ",(_xll.BDP($D296,$D$291, "EQY_FUND_RELATIVE_PERIOD", AC$3))),AC296),"NA ")</f>
        <v>49312.569797279997</v>
      </c>
      <c r="AD296" s="228">
        <f ca="1">IFERROR(IF(BB_Switch=1,IF(_xll.BDP($D296,$D$291, "EQY_FUND_RELATIVE_PERIOD", AD$3)="#N/A N/A","NA  ",(_xll.BDP($D296,$D$291, "EQY_FUND_RELATIVE_PERIOD", AD$3))),AD296),"NA ")</f>
        <v>39544.934328759999</v>
      </c>
      <c r="AE296" s="228">
        <f ca="1">IFERROR(IF(BB_Switch=1,IF(_xll.BDP($D296,$D$291, "EQY_FUND_RELATIVE_PERIOD", AE$3)="#N/A N/A","NA  ",(_xll.BDP($D296,$D$291, "EQY_FUND_RELATIVE_PERIOD", AE$3))),AE296),"NA ")</f>
        <v>44138.89590584</v>
      </c>
      <c r="AF296" s="228"/>
      <c r="AG296" s="228">
        <f ca="1">IFERROR(IF(BB_Switch=1,IF(_xll.BDP($D296,$V$291)="#N/A N/A","NA  ",(_xll.BDP($D296,$V$291))),AG296),"NA ")</f>
        <v>24273.0655214</v>
      </c>
      <c r="AH296" s="228"/>
      <c r="AI296" s="228"/>
      <c r="AJ296" s="228"/>
    </row>
    <row r="297" spans="2:36" ht="11.25" customHeight="1">
      <c r="C297" s="229" t="str">
        <f ca="1">IFERROR(IF(BB_Switch=1,_xll.BDP($D297,$C$270),C297), "NA ")</f>
        <v>Westlake Chemical Corp</v>
      </c>
      <c r="D297" s="227" t="str">
        <f t="shared" si="122"/>
        <v>WLK US EQUITY</v>
      </c>
      <c r="E297" s="228">
        <f ca="1">IFERROR(IF(BB_Switch=1,IF(_xll.BDP($D297,$D$291, "EQY_FUND_RELATIVE_PERIOD", E$3)="#N/A N/A","NA  ",(_xll.BDP($D297,$D$291, "EQY_FUND_RELATIVE_PERIOD", E$3))),E297),"NA ")</f>
        <v>12125.977150000001</v>
      </c>
      <c r="F297" s="228">
        <f ca="1">IFERROR(IF(BB_Switch=1,IF(_xll.BDP($D297,$D$291, "EQY_FUND_RELATIVE_PERIOD", F$3)="#N/A N/A","NA  ",(_xll.BDP($D297,$D$291, "EQY_FUND_RELATIVE_PERIOD", F$3))),F297),"NA ")</f>
        <v>12006.91827156</v>
      </c>
      <c r="G297" s="228">
        <f ca="1">IFERROR(IF(BB_Switch=1,IF(_xll.BDP($D297,$D$291, "EQY_FUND_RELATIVE_PERIOD", G$3)="#N/A N/A","NA  ",(_xll.BDP($D297,$D$291, "EQY_FUND_RELATIVE_PERIOD", G$3))),G297),"NA ")</f>
        <v>13880.786992830001</v>
      </c>
      <c r="H297" s="228">
        <f ca="1">IFERROR(IF(BB_Switch=1,IF(_xll.BDP($D297,$D$291, "EQY_FUND_RELATIVE_PERIOD", H$3)="#N/A N/A","NA  ",(_xll.BDP($D297,$D$291, "EQY_FUND_RELATIVE_PERIOD", H$3))),H297),"NA ")</f>
        <v>16587.953337650004</v>
      </c>
      <c r="I297" s="228">
        <f ca="1">IFERROR(IF(BB_Switch=1,IF(_xll.BDP($D297,$D$291, "EQY_FUND_RELATIVE_PERIOD", I$3)="#N/A N/A","NA  ",(_xll.BDP($D297,$D$291, "EQY_FUND_RELATIVE_PERIOD", I$3))),I297),"NA ")</f>
        <v>17180.333975200003</v>
      </c>
      <c r="J297" s="228">
        <f ca="1">IFERROR(IF(BB_Switch=1,IF(_xll.BDP($D297,$D$291, "EQY_FUND_RELATIVE_PERIOD", J$3)="#N/A N/A","NA  ",(_xll.BDP($D297,$D$291, "EQY_FUND_RELATIVE_PERIOD", J$3))),J297),"NA ")</f>
        <v>16622.403322449998</v>
      </c>
      <c r="K297" s="228">
        <f ca="1">IFERROR(IF(BB_Switch=1,IF(_xll.BDP($D297,$D$291, "EQY_FUND_RELATIVE_PERIOD", K$3)="#N/A N/A","NA  ",(_xll.BDP($D297,$D$291, "EQY_FUND_RELATIVE_PERIOD", K$3))),K297),"NA ")</f>
        <v>13099.921101759999</v>
      </c>
      <c r="L297" s="228">
        <f ca="1">IFERROR(IF(BB_Switch=1,IF(_xll.BDP($D297,$D$291, "EQY_FUND_RELATIVE_PERIOD", L$3)="#N/A N/A","NA  ",(_xll.BDP($D297,$D$291, "EQY_FUND_RELATIVE_PERIOD", L$3))),L297),"NA ")</f>
        <v>10901.744433350001</v>
      </c>
      <c r="M297" s="228">
        <f ca="1">IFERROR(IF(BB_Switch=1,IF(_xll.BDP($D297,$D$291, "EQY_FUND_RELATIVE_PERIOD", M$3)="#N/A N/A","NA  ",(_xll.BDP($D297,$D$291, "EQY_FUND_RELATIVE_PERIOD", M$3))),M297),"NA ")</f>
        <v>11907.27395302</v>
      </c>
      <c r="N297" s="228">
        <f ca="1">IFERROR(IF(BB_Switch=1,IF(_xll.BDP($D297,$D$291, "EQY_FUND_RELATIVE_PERIOD", N$3)="#N/A N/A","NA  ",(_xll.BDP($D297,$D$291, "EQY_FUND_RELATIVE_PERIOD", N$3))),N297),"NA ")</f>
        <v>12094.546680399999</v>
      </c>
      <c r="O297" s="228">
        <f ca="1">IFERROR(IF(BB_Switch=1,IF(_xll.BDP($D297,$D$291, "EQY_FUND_RELATIVE_PERIOD", O$3)="#N/A N/A","NA  ",(_xll.BDP($D297,$D$291, "EQY_FUND_RELATIVE_PERIOD", O$3))),O297),"NA ")</f>
        <v>11342.48231704</v>
      </c>
      <c r="P297" s="228">
        <f ca="1">IFERROR(IF(BB_Switch=1,IF(_xll.BDP($D297,$D$291, "EQY_FUND_RELATIVE_PERIOD", P$3)="#N/A N/A","NA  ",(_xll.BDP($D297,$D$291, "EQY_FUND_RELATIVE_PERIOD", P$3))),P297),"NA ")</f>
        <v>12714.191685650001</v>
      </c>
      <c r="Q297" s="228"/>
      <c r="R297" s="228"/>
      <c r="S297" s="228"/>
      <c r="T297" s="228"/>
      <c r="U297" s="227"/>
      <c r="V297" s="228">
        <f ca="1">IFERROR(IF(BB_Switch=1,IF(_xll.BDP($D297,$D$291, "EQY_FUND_RELATIVE_PERIOD", V$3)="#N/A N/A","NA  ",(_xll.BDP($D297,$D$291, "EQY_FUND_RELATIVE_PERIOD", V$3))),V297),"NA ")</f>
        <v>3014.3375796800001</v>
      </c>
      <c r="W297" s="228">
        <f ca="1">IFERROR(IF(BB_Switch=1,IF(_xll.BDP($D297,$D$291, "EQY_FUND_RELATIVE_PERIOD", W$3)="#N/A N/A","NA  ",(_xll.BDP($D297,$D$291, "EQY_FUND_RELATIVE_PERIOD", W$3))),W297),"NA ")</f>
        <v>2618.7228181600008</v>
      </c>
      <c r="X297" s="228">
        <f ca="1">IFERROR(IF(BB_Switch=1,IF(_xll.BDP($D297,$D$291, "EQY_FUND_RELATIVE_PERIOD", X$3)="#N/A N/A","NA  ",(_xll.BDP($D297,$D$291, "EQY_FUND_RELATIVE_PERIOD", X$3))),X297),"NA ")</f>
        <v>5154.1965682999999</v>
      </c>
      <c r="Y297" s="228">
        <f ca="1">IFERROR(IF(BB_Switch=1,IF(_xll.BDP($D297,$D$291, "EQY_FUND_RELATIVE_PERIOD", Y$3)="#N/A N/A","NA  ",(_xll.BDP($D297,$D$291, "EQY_FUND_RELATIVE_PERIOD", Y$3))),Y297),"NA ")</f>
        <v>8200.8209010099981</v>
      </c>
      <c r="Z297" s="228">
        <f ca="1">IFERROR(IF(BB_Switch=1,IF(_xll.BDP($D297,$D$291, "EQY_FUND_RELATIVE_PERIOD", Z$3)="#N/A N/A","NA  ",(_xll.BDP($D297,$D$291, "EQY_FUND_RELATIVE_PERIOD", Z$3))),Z297),"NA ")</f>
        <v>8292.1158346199991</v>
      </c>
      <c r="AA297" s="228">
        <f ca="1">IFERROR(IF(BB_Switch=1,IF(_xll.BDP($D297,$D$291, "EQY_FUND_RELATIVE_PERIOD", AA$3)="#N/A N/A","NA  ",(_xll.BDP($D297,$D$291, "EQY_FUND_RELATIVE_PERIOD", AA$3))),AA297),"NA ")</f>
        <v>6944.99255472</v>
      </c>
      <c r="AB297" s="228">
        <f ca="1">IFERROR(IF(BB_Switch=1,IF(_xll.BDP($D297,$D$291, "EQY_FUND_RELATIVE_PERIOD", AB$3)="#N/A N/A","NA  ",(_xll.BDP($D297,$D$291, "EQY_FUND_RELATIVE_PERIOD", AB$3))),AB297),"NA ")</f>
        <v>10806.12791797</v>
      </c>
      <c r="AC297" s="228">
        <f ca="1">IFERROR(IF(BB_Switch=1,IF(_xll.BDP($D297,$D$291, "EQY_FUND_RELATIVE_PERIOD", AC$3)="#N/A N/A","NA  ",(_xll.BDP($D297,$D$291, "EQY_FUND_RELATIVE_PERIOD", AC$3))),AC297),"NA ")</f>
        <v>16587.953337650004</v>
      </c>
      <c r="AD297" s="228">
        <f ca="1">IFERROR(IF(BB_Switch=1,IF(_xll.BDP($D297,$D$291, "EQY_FUND_RELATIVE_PERIOD", AD$3)="#N/A N/A","NA  ",(_xll.BDP($D297,$D$291, "EQY_FUND_RELATIVE_PERIOD", AD$3))),AD297),"NA ")</f>
        <v>10901.744433350001</v>
      </c>
      <c r="AE297" s="228">
        <f ca="1">IFERROR(IF(BB_Switch=1,IF(_xll.BDP($D297,$D$291, "EQY_FUND_RELATIVE_PERIOD", AE$3)="#N/A N/A","NA  ",(_xll.BDP($D297,$D$291, "EQY_FUND_RELATIVE_PERIOD", AE$3))),AE297),"NA ")</f>
        <v>12714.191685650001</v>
      </c>
      <c r="AF297" s="228"/>
      <c r="AG297" s="228">
        <f ca="1">IFERROR(IF(BB_Switch=1,IF(_xll.BDP($D297,$V$291)="#N/A N/A","NA  ",(_xll.BDP($D297,$V$291))),AG297),"NA ")</f>
        <v>7543.0915321100001</v>
      </c>
      <c r="AH297" s="228"/>
      <c r="AI297" s="228"/>
      <c r="AJ297" s="228"/>
    </row>
    <row r="298" spans="2:36" ht="11.25" customHeight="1">
      <c r="C298" s="229" t="str">
        <f ca="1">IFERROR(IF(BB_Switch=1,_xll.BDP($D298,$C$270),C298), "NA ")</f>
        <v>Kraton Corp</v>
      </c>
      <c r="D298" s="227" t="str">
        <f t="shared" si="122"/>
        <v>KRA US EQUITY</v>
      </c>
      <c r="E298" s="228">
        <f ca="1">IFERROR(IF(BB_Switch=1,IF(_xll.BDP($D298,$D$291, "EQY_FUND_RELATIVE_PERIOD", E$3)="#N/A N/A","NA  ",(_xll.BDP($D298,$D$291, "EQY_FUND_RELATIVE_PERIOD", E$3))),E298),"NA ")</f>
        <v>2673.46792</v>
      </c>
      <c r="F298" s="228">
        <f ca="1">IFERROR(IF(BB_Switch=1,IF(_xll.BDP($D298,$D$291, "EQY_FUND_RELATIVE_PERIOD", F$3)="#N/A N/A","NA  ",(_xll.BDP($D298,$D$291, "EQY_FUND_RELATIVE_PERIOD", F$3))),F298),"NA ")</f>
        <v>2786.89608</v>
      </c>
      <c r="G298" s="228">
        <f ca="1">IFERROR(IF(BB_Switch=1,IF(_xll.BDP($D298,$D$291, "EQY_FUND_RELATIVE_PERIOD", G$3)="#N/A N/A","NA  ",(_xll.BDP($D298,$D$291, "EQY_FUND_RELATIVE_PERIOD", G$3))),G298),"NA ")</f>
        <v>2904.7818399999996</v>
      </c>
      <c r="H298" s="228">
        <f ca="1">IFERROR(IF(BB_Switch=1,IF(_xll.BDP($D298,$D$291, "EQY_FUND_RELATIVE_PERIOD", H$3)="#N/A N/A","NA  ",(_xll.BDP($D298,$D$291, "EQY_FUND_RELATIVE_PERIOD", H$3))),H298),"NA ")</f>
        <v>3080.9268500000003</v>
      </c>
      <c r="I298" s="228">
        <f ca="1">IFERROR(IF(BB_Switch=1,IF(_xll.BDP($D298,$D$291, "EQY_FUND_RELATIVE_PERIOD", I$3)="#N/A N/A","NA  ",(_xll.BDP($D298,$D$291, "EQY_FUND_RELATIVE_PERIOD", I$3))),I298),"NA ")</f>
        <v>3105.2447700000002</v>
      </c>
      <c r="J298" s="228">
        <f ca="1">IFERROR(IF(BB_Switch=1,IF(_xll.BDP($D298,$D$291, "EQY_FUND_RELATIVE_PERIOD", J$3)="#N/A N/A","NA  ",(_xll.BDP($D298,$D$291, "EQY_FUND_RELATIVE_PERIOD", J$3))),J298),"NA ")</f>
        <v>3092.7360399999998</v>
      </c>
      <c r="K298" s="228">
        <f ca="1">IFERROR(IF(BB_Switch=1,IF(_xll.BDP($D298,$D$291, "EQY_FUND_RELATIVE_PERIOD", K$3)="#N/A N/A","NA  ",(_xll.BDP($D298,$D$291, "EQY_FUND_RELATIVE_PERIOD", K$3))),K298),"NA ")</f>
        <v>3064.2225499999995</v>
      </c>
      <c r="L298" s="228">
        <f ca="1">IFERROR(IF(BB_Switch=1,IF(_xll.BDP($D298,$D$291, "EQY_FUND_RELATIVE_PERIOD", L$3)="#N/A N/A","NA  ",(_xll.BDP($D298,$D$291, "EQY_FUND_RELATIVE_PERIOD", L$3))),L298),"NA ")</f>
        <v>2176.2562799999996</v>
      </c>
      <c r="M298" s="228">
        <f ca="1">IFERROR(IF(BB_Switch=1,IF(_xll.BDP($D298,$D$291, "EQY_FUND_RELATIVE_PERIOD", M$3)="#N/A N/A","NA  ",(_xll.BDP($D298,$D$291, "EQY_FUND_RELATIVE_PERIOD", M$3))),M298),"NA ")</f>
        <v>2625.4494199999999</v>
      </c>
      <c r="N298" s="228">
        <f ca="1">IFERROR(IF(BB_Switch=1,IF(_xll.BDP($D298,$D$291, "EQY_FUND_RELATIVE_PERIOD", N$3)="#N/A N/A","NA  ",(_xll.BDP($D298,$D$291, "EQY_FUND_RELATIVE_PERIOD", N$3))),N298),"NA ")</f>
        <v>2571.4337599999999</v>
      </c>
      <c r="O298" s="228">
        <f ca="1">IFERROR(IF(BB_Switch=1,IF(_xll.BDP($D298,$D$291, "EQY_FUND_RELATIVE_PERIOD", O$3)="#N/A N/A","NA  ",(_xll.BDP($D298,$D$291, "EQY_FUND_RELATIVE_PERIOD", O$3))),O298),"NA ")</f>
        <v>2525.0610299999998</v>
      </c>
      <c r="P298" s="228">
        <f ca="1">IFERROR(IF(BB_Switch=1,IF(_xll.BDP($D298,$D$291, "EQY_FUND_RELATIVE_PERIOD", P$3)="#N/A N/A","NA  ",(_xll.BDP($D298,$D$291, "EQY_FUND_RELATIVE_PERIOD", P$3))),P298),"NA ")</f>
        <v>2259.04432</v>
      </c>
      <c r="Q298" s="228"/>
      <c r="R298" s="228"/>
      <c r="S298" s="228"/>
      <c r="T298" s="228"/>
      <c r="U298" s="227"/>
      <c r="V298" s="228">
        <f ca="1">IFERROR(IF(BB_Switch=1,IF(_xll.BDP($D298,$D$291, "EQY_FUND_RELATIVE_PERIOD", V$3)="#N/A N/A","NA  ",(_xll.BDP($D298,$D$291, "EQY_FUND_RELATIVE_PERIOD", V$3))),V298),"NA ")</f>
        <v>1261.4454999999998</v>
      </c>
      <c r="W298" s="228">
        <f ca="1">IFERROR(IF(BB_Switch=1,IF(_xll.BDP($D298,$D$291, "EQY_FUND_RELATIVE_PERIOD", W$3)="#N/A N/A","NA  ",(_xll.BDP($D298,$D$291, "EQY_FUND_RELATIVE_PERIOD", W$3))),W298),"NA ")</f>
        <v>955.3886</v>
      </c>
      <c r="X298" s="228">
        <f ca="1">IFERROR(IF(BB_Switch=1,IF(_xll.BDP($D298,$D$291, "EQY_FUND_RELATIVE_PERIOD", X$3)="#N/A N/A","NA  ",(_xll.BDP($D298,$D$291, "EQY_FUND_RELATIVE_PERIOD", X$3))),X298),"NA ")</f>
        <v>1003.4673100000002</v>
      </c>
      <c r="Y298" s="228">
        <f ca="1">IFERROR(IF(BB_Switch=1,IF(_xll.BDP($D298,$D$291, "EQY_FUND_RELATIVE_PERIOD", Y$3)="#N/A N/A","NA  ",(_xll.BDP($D298,$D$291, "EQY_FUND_RELATIVE_PERIOD", Y$3))),Y298),"NA ")</f>
        <v>967.83335</v>
      </c>
      <c r="Z298" s="228">
        <f ca="1">IFERROR(IF(BB_Switch=1,IF(_xll.BDP($D298,$D$291, "EQY_FUND_RELATIVE_PERIOD", Z$3)="#N/A N/A","NA  ",(_xll.BDP($D298,$D$291, "EQY_FUND_RELATIVE_PERIOD", Z$3))),Z298),"NA ")</f>
        <v>997.48848999999996</v>
      </c>
      <c r="AA298" s="228">
        <f ca="1">IFERROR(IF(BB_Switch=1,IF(_xll.BDP($D298,$D$291, "EQY_FUND_RELATIVE_PERIOD", AA$3)="#N/A N/A","NA  ",(_xll.BDP($D298,$D$291, "EQY_FUND_RELATIVE_PERIOD", AA$3))),AA298),"NA ")</f>
        <v>887.68608999999992</v>
      </c>
      <c r="AB298" s="228">
        <f ca="1">IFERROR(IF(BB_Switch=1,IF(_xll.BDP($D298,$D$291, "EQY_FUND_RELATIVE_PERIOD", AB$3)="#N/A N/A","NA  ",(_xll.BDP($D298,$D$291, "EQY_FUND_RELATIVE_PERIOD", AB$3))),AB298),"NA ")</f>
        <v>2531.8528000000001</v>
      </c>
      <c r="AC298" s="228">
        <f ca="1">IFERROR(IF(BB_Switch=1,IF(_xll.BDP($D298,$D$291, "EQY_FUND_RELATIVE_PERIOD", AC$3)="#N/A N/A","NA  ",(_xll.BDP($D298,$D$291, "EQY_FUND_RELATIVE_PERIOD", AC$3))),AC298),"NA ")</f>
        <v>3080.9268500000003</v>
      </c>
      <c r="AD298" s="228">
        <f ca="1">IFERROR(IF(BB_Switch=1,IF(_xll.BDP($D298,$D$291, "EQY_FUND_RELATIVE_PERIOD", AD$3)="#N/A N/A","NA  ",(_xll.BDP($D298,$D$291, "EQY_FUND_RELATIVE_PERIOD", AD$3))),AD298),"NA ")</f>
        <v>2176.2562799999996</v>
      </c>
      <c r="AE298" s="228">
        <f ca="1">IFERROR(IF(BB_Switch=1,IF(_xll.BDP($D298,$D$291, "EQY_FUND_RELATIVE_PERIOD", AE$3)="#N/A N/A","NA  ",(_xll.BDP($D298,$D$291, "EQY_FUND_RELATIVE_PERIOD", AE$3))),AE298),"NA ")</f>
        <v>2259.04432</v>
      </c>
      <c r="AF298" s="228"/>
      <c r="AG298" s="228">
        <f ca="1">IFERROR(IF(BB_Switch=1,IF(_xll.BDP($D298,$V$291)="#N/A N/A","NA  ",(_xll.BDP($D298,$V$291))),AG298),"NA ")</f>
        <v>1713.8781259499999</v>
      </c>
      <c r="AH298" s="228"/>
      <c r="AI298" s="228"/>
      <c r="AJ298" s="228"/>
    </row>
    <row r="299" spans="2:36" ht="11.25" customHeight="1">
      <c r="C299" s="229" t="str">
        <f ca="1">IFERROR(IF(BB_Switch=1,_xll.BDP($D299,$C$270),C299), "NA ")</f>
        <v>Dow Inc</v>
      </c>
      <c r="D299" s="227" t="str">
        <f t="shared" si="122"/>
        <v>DOW US EQUITY</v>
      </c>
      <c r="E299" s="228" t="str">
        <f ca="1">IFERROR(IF(BB_Switch=1,IF(_xll.BDP($D299,$D$291, "EQY_FUND_RELATIVE_PERIOD", E$3)="#N/A N/A","NA  ",(_xll.BDP($D299,$D$291, "EQY_FUND_RELATIVE_PERIOD", E$3))),E299),"NA ")</f>
        <v xml:space="preserve">NA  </v>
      </c>
      <c r="F299" s="228" t="str">
        <f ca="1">IFERROR(IF(BB_Switch=1,IF(_xll.BDP($D299,$D$291, "EQY_FUND_RELATIVE_PERIOD", F$3)="#N/A N/A","NA  ",(_xll.BDP($D299,$D$291, "EQY_FUND_RELATIVE_PERIOD", F$3))),F299),"NA ")</f>
        <v xml:space="preserve">NA  </v>
      </c>
      <c r="G299" s="228" t="str">
        <f ca="1">IFERROR(IF(BB_Switch=1,IF(_xll.BDP($D299,$D$291, "EQY_FUND_RELATIVE_PERIOD", G$3)="#N/A N/A","NA  ",(_xll.BDP($D299,$D$291, "EQY_FUND_RELATIVE_PERIOD", G$3))),G299),"NA ")</f>
        <v xml:space="preserve">NA  </v>
      </c>
      <c r="H299" s="228" t="str">
        <f ca="1">IFERROR(IF(BB_Switch=1,IF(_xll.BDP($D299,$D$291, "EQY_FUND_RELATIVE_PERIOD", H$3)="#N/A N/A","NA  ",(_xll.BDP($D299,$D$291, "EQY_FUND_RELATIVE_PERIOD", H$3))),H299),"NA ")</f>
        <v xml:space="preserve">NA  </v>
      </c>
      <c r="I299" s="228" t="str">
        <f ca="1">IFERROR(IF(BB_Switch=1,IF(_xll.BDP($D299,$D$291, "EQY_FUND_RELATIVE_PERIOD", I$3)="#N/A N/A","NA  ",(_xll.BDP($D299,$D$291, "EQY_FUND_RELATIVE_PERIOD", I$3))),I299),"NA ")</f>
        <v xml:space="preserve">NA  </v>
      </c>
      <c r="J299" s="228" t="str">
        <f ca="1">IFERROR(IF(BB_Switch=1,IF(_xll.BDP($D299,$D$291, "EQY_FUND_RELATIVE_PERIOD", J$3)="#N/A N/A","NA  ",(_xll.BDP($D299,$D$291, "EQY_FUND_RELATIVE_PERIOD", J$3))),J299),"NA ")</f>
        <v xml:space="preserve">NA  </v>
      </c>
      <c r="K299" s="228" t="str">
        <f ca="1">IFERROR(IF(BB_Switch=1,IF(_xll.BDP($D299,$D$291, "EQY_FUND_RELATIVE_PERIOD", K$3)="#N/A N/A","NA  ",(_xll.BDP($D299,$D$291, "EQY_FUND_RELATIVE_PERIOD", K$3))),K299),"NA ")</f>
        <v xml:space="preserve">NA  </v>
      </c>
      <c r="L299" s="228" t="str">
        <f ca="1">IFERROR(IF(BB_Switch=1,IF(_xll.BDP($D299,$D$291, "EQY_FUND_RELATIVE_PERIOD", L$3)="#N/A N/A","NA  ",(_xll.BDP($D299,$D$291, "EQY_FUND_RELATIVE_PERIOD", L$3))),L299),"NA ")</f>
        <v xml:space="preserve">NA  </v>
      </c>
      <c r="M299" s="228" t="str">
        <f ca="1">IFERROR(IF(BB_Switch=1,IF(_xll.BDP($D299,$D$291, "EQY_FUND_RELATIVE_PERIOD", M$3)="#N/A N/A","NA  ",(_xll.BDP($D299,$D$291, "EQY_FUND_RELATIVE_PERIOD", M$3))),M299),"NA ")</f>
        <v xml:space="preserve">NA  </v>
      </c>
      <c r="N299" s="228">
        <f ca="1">IFERROR(IF(BB_Switch=1,IF(_xll.BDP($D299,$D$291, "EQY_FUND_RELATIVE_PERIOD", N$3)="#N/A N/A","NA  ",(_xll.BDP($D299,$D$291, "EQY_FUND_RELATIVE_PERIOD", N$3))),N299),"NA ")</f>
        <v>54966.784015860001</v>
      </c>
      <c r="O299" s="228">
        <f ca="1">IFERROR(IF(BB_Switch=1,IF(_xll.BDP($D299,$D$291, "EQY_FUND_RELATIVE_PERIOD", O$3)="#N/A N/A","NA  ",(_xll.BDP($D299,$D$291, "EQY_FUND_RELATIVE_PERIOD", O$3))),O299),"NA ")</f>
        <v>53346.279873250001</v>
      </c>
      <c r="P299" s="228">
        <f ca="1">IFERROR(IF(BB_Switch=1,IF(_xll.BDP($D299,$D$291, "EQY_FUND_RELATIVE_PERIOD", P$3)="#N/A N/A","NA  ",(_xll.BDP($D299,$D$291, "EQY_FUND_RELATIVE_PERIOD", P$3))),P299),"NA ")</f>
        <v>57903.229871299998</v>
      </c>
      <c r="Q299" s="228"/>
      <c r="R299" s="228"/>
      <c r="S299" s="228"/>
      <c r="T299" s="228"/>
      <c r="U299" s="227"/>
      <c r="V299" s="228" t="str">
        <f ca="1">IFERROR(IF(BB_Switch=1,IF(_xll.BDP($D299,$D$291, "EQY_FUND_RELATIVE_PERIOD", V$3)="#N/A N/A","NA  ",(_xll.BDP($D299,$D$291, "EQY_FUND_RELATIVE_PERIOD", V$3))),V299),"NA ")</f>
        <v xml:space="preserve">NA  </v>
      </c>
      <c r="W299" s="228" t="str">
        <f ca="1">IFERROR(IF(BB_Switch=1,IF(_xll.BDP($D299,$D$291, "EQY_FUND_RELATIVE_PERIOD", W$3)="#N/A N/A","NA  ",(_xll.BDP($D299,$D$291, "EQY_FUND_RELATIVE_PERIOD", W$3))),W299),"NA ")</f>
        <v xml:space="preserve">NA  </v>
      </c>
      <c r="X299" s="228" t="str">
        <f ca="1">IFERROR(IF(BB_Switch=1,IF(_xll.BDP($D299,$D$291, "EQY_FUND_RELATIVE_PERIOD", X$3)="#N/A N/A","NA  ",(_xll.BDP($D299,$D$291, "EQY_FUND_RELATIVE_PERIOD", X$3))),X299),"NA ")</f>
        <v xml:space="preserve">NA  </v>
      </c>
      <c r="Y299" s="228" t="str">
        <f ca="1">IFERROR(IF(BB_Switch=1,IF(_xll.BDP($D299,$D$291, "EQY_FUND_RELATIVE_PERIOD", Y$3)="#N/A N/A","NA  ",(_xll.BDP($D299,$D$291, "EQY_FUND_RELATIVE_PERIOD", Y$3))),Y299),"NA ")</f>
        <v xml:space="preserve">NA  </v>
      </c>
      <c r="Z299" s="228" t="str">
        <f ca="1">IFERROR(IF(BB_Switch=1,IF(_xll.BDP($D299,$D$291, "EQY_FUND_RELATIVE_PERIOD", Z$3)="#N/A N/A","NA  ",(_xll.BDP($D299,$D$291, "EQY_FUND_RELATIVE_PERIOD", Z$3))),Z299),"NA ")</f>
        <v xml:space="preserve">NA  </v>
      </c>
      <c r="AA299" s="228" t="str">
        <f ca="1">IFERROR(IF(BB_Switch=1,IF(_xll.BDP($D299,$D$291, "EQY_FUND_RELATIVE_PERIOD", AA$3)="#N/A N/A","NA  ",(_xll.BDP($D299,$D$291, "EQY_FUND_RELATIVE_PERIOD", AA$3))),AA299),"NA ")</f>
        <v xml:space="preserve">NA  </v>
      </c>
      <c r="AB299" s="228" t="str">
        <f ca="1">IFERROR(IF(BB_Switch=1,IF(_xll.BDP($D299,$D$291, "EQY_FUND_RELATIVE_PERIOD", AB$3)="#N/A N/A","NA  ",(_xll.BDP($D299,$D$291, "EQY_FUND_RELATIVE_PERIOD", AB$3))),AB299),"NA ")</f>
        <v xml:space="preserve">NA  </v>
      </c>
      <c r="AC299" s="228" t="str">
        <f ca="1">IFERROR(IF(BB_Switch=1,IF(_xll.BDP($D299,$D$291, "EQY_FUND_RELATIVE_PERIOD", AC$3)="#N/A N/A","NA  ",(_xll.BDP($D299,$D$291, "EQY_FUND_RELATIVE_PERIOD", AC$3))),AC299),"NA ")</f>
        <v xml:space="preserve">NA  </v>
      </c>
      <c r="AD299" s="228" t="str">
        <f ca="1">IFERROR(IF(BB_Switch=1,IF(_xll.BDP($D299,$D$291, "EQY_FUND_RELATIVE_PERIOD", AD$3)="#N/A N/A","NA  ",(_xll.BDP($D299,$D$291, "EQY_FUND_RELATIVE_PERIOD", AD$3))),AD299),"NA ")</f>
        <v xml:space="preserve">NA  </v>
      </c>
      <c r="AE299" s="228">
        <f ca="1">IFERROR(IF(BB_Switch=1,IF(_xll.BDP($D299,$D$291, "EQY_FUND_RELATIVE_PERIOD", AE$3)="#N/A N/A","NA  ",(_xll.BDP($D299,$D$291, "EQY_FUND_RELATIVE_PERIOD", AE$3))),AE299),"NA ")</f>
        <v>57903.229871299998</v>
      </c>
      <c r="AF299" s="244"/>
      <c r="AG299" s="228">
        <f ca="1">IFERROR(IF(BB_Switch=1,IF(_xll.BDP($D299,$V$291)="#N/A N/A","NA  ",(_xll.BDP($D299,$V$291))),AG299),"NA ")</f>
        <v>33659.956149999998</v>
      </c>
      <c r="AH299" s="228"/>
      <c r="AI299" s="228"/>
      <c r="AJ299" s="228"/>
    </row>
    <row r="300" spans="2:36" ht="11.25" customHeight="1">
      <c r="C300" s="229"/>
      <c r="D300" s="227"/>
      <c r="E300" s="228"/>
      <c r="F300" s="228"/>
      <c r="G300" s="228"/>
      <c r="H300" s="228"/>
      <c r="I300" s="228"/>
      <c r="J300" s="228"/>
      <c r="K300" s="228"/>
      <c r="L300" s="228"/>
      <c r="M300" s="228"/>
      <c r="N300" s="228"/>
      <c r="O300" s="228"/>
      <c r="P300" s="228"/>
      <c r="Q300" s="228"/>
      <c r="R300" s="228"/>
      <c r="S300" s="228"/>
      <c r="T300" s="228"/>
      <c r="U300" s="227"/>
      <c r="V300" s="228"/>
      <c r="W300" s="228"/>
      <c r="X300" s="228"/>
      <c r="Y300" s="228"/>
      <c r="Z300" s="228"/>
      <c r="AA300" s="228"/>
      <c r="AB300" s="228"/>
      <c r="AC300" s="228"/>
      <c r="AD300" s="228"/>
      <c r="AE300" s="228"/>
      <c r="AF300" s="244"/>
      <c r="AG300" s="228"/>
      <c r="AH300" s="228"/>
      <c r="AI300" s="228"/>
      <c r="AJ300" s="228"/>
    </row>
    <row r="301" spans="2:36" ht="11.25" customHeight="1">
      <c r="C301" s="428" t="str">
        <f>+C20</f>
        <v>Specialty Chemicals</v>
      </c>
      <c r="D301" s="227"/>
      <c r="E301" s="228"/>
      <c r="F301" s="228"/>
      <c r="G301" s="228"/>
      <c r="H301" s="228"/>
      <c r="I301" s="228"/>
      <c r="J301" s="228"/>
      <c r="K301" s="228"/>
      <c r="L301" s="228"/>
      <c r="M301" s="228"/>
      <c r="N301" s="228"/>
      <c r="O301" s="228"/>
      <c r="P301" s="228"/>
      <c r="Q301" s="228"/>
      <c r="R301" s="228"/>
      <c r="S301" s="228"/>
      <c r="T301" s="228"/>
      <c r="U301" s="227"/>
      <c r="V301" s="228"/>
      <c r="W301" s="228"/>
      <c r="X301" s="228"/>
      <c r="Y301" s="228"/>
      <c r="Z301" s="228"/>
      <c r="AA301" s="228"/>
      <c r="AB301" s="228"/>
      <c r="AC301" s="228"/>
      <c r="AD301" s="228"/>
      <c r="AE301" s="228"/>
      <c r="AF301" s="244"/>
      <c r="AG301" s="228"/>
      <c r="AH301" s="228"/>
      <c r="AI301" s="228"/>
      <c r="AJ301" s="228"/>
    </row>
    <row r="302" spans="2:36" ht="11.25" customHeight="1">
      <c r="C302" s="229" t="str">
        <f ca="1">IFERROR(IF(BB_Switch=1,_xll.BDP($D302,$C$270),C302), "NA ")</f>
        <v>Eastman Chemical Co</v>
      </c>
      <c r="D302" s="227" t="str">
        <f>+D21</f>
        <v>EMN US EQUITY</v>
      </c>
      <c r="E302" s="228">
        <f ca="1">IFERROR(IF(BB_Switch=1,IF(_xll.BDP($D302,$D$291, "EQY_FUND_RELATIVE_PERIOD", E$3)="#N/A N/A","NA  ",(_xll.BDP($D302,$D$291, "EQY_FUND_RELATIVE_PERIOD", E$3))),E302),"NA ")</f>
        <v>18540.721161599999</v>
      </c>
      <c r="F302" s="228">
        <f ca="1">IFERROR(IF(BB_Switch=1,IF(_xll.BDP($D302,$D$291, "EQY_FUND_RELATIVE_PERIOD", F$3)="#N/A N/A","NA  ",(_xll.BDP($D302,$D$291, "EQY_FUND_RELATIVE_PERIOD", F$3))),F302),"NA ")</f>
        <v>18898.128917000002</v>
      </c>
      <c r="G302" s="228">
        <f ca="1">IFERROR(IF(BB_Switch=1,IF(_xll.BDP($D302,$D$291, "EQY_FUND_RELATIVE_PERIOD", G$3)="#N/A N/A","NA  ",(_xll.BDP($D302,$D$291, "EQY_FUND_RELATIVE_PERIOD", G$3))),G302),"NA ")</f>
        <v>19576.92905449</v>
      </c>
      <c r="H302" s="228">
        <f ca="1">IFERROR(IF(BB_Switch=1,IF(_xll.BDP($D302,$D$291, "EQY_FUND_RELATIVE_PERIOD", H$3)="#N/A N/A","NA  ",(_xll.BDP($D302,$D$291, "EQY_FUND_RELATIVE_PERIOD", H$3))),H302),"NA ")</f>
        <v>19661.727215840001</v>
      </c>
      <c r="I302" s="228">
        <f ca="1">IFERROR(IF(BB_Switch=1,IF(_xll.BDP($D302,$D$291, "EQY_FUND_RELATIVE_PERIOD", I$3)="#N/A N/A","NA  ",(_xll.BDP($D302,$D$291, "EQY_FUND_RELATIVE_PERIOD", I$3))),I302),"NA ")</f>
        <v>21808.04870472</v>
      </c>
      <c r="J302" s="228">
        <f ca="1">IFERROR(IF(BB_Switch=1,IF(_xll.BDP($D302,$D$291, "EQY_FUND_RELATIVE_PERIOD", J$3)="#N/A N/A","NA  ",(_xll.BDP($D302,$D$291, "EQY_FUND_RELATIVE_PERIOD", J$3))),J302),"NA ")</f>
        <v>20690.275630080003</v>
      </c>
      <c r="K302" s="228">
        <f ca="1">IFERROR(IF(BB_Switch=1,IF(_xll.BDP($D302,$D$291, "EQY_FUND_RELATIVE_PERIOD", K$3)="#N/A N/A","NA  ",(_xll.BDP($D302,$D$291, "EQY_FUND_RELATIVE_PERIOD", K$3))),K302),"NA ")</f>
        <v>19901.967906040001</v>
      </c>
      <c r="L302" s="228">
        <f ca="1">IFERROR(IF(BB_Switch=1,IF(_xll.BDP($D302,$D$291, "EQY_FUND_RELATIVE_PERIOD", L$3)="#N/A N/A","NA  ",(_xll.BDP($D302,$D$291, "EQY_FUND_RELATIVE_PERIOD", L$3))),L302),"NA ")</f>
        <v>16228.406900739999</v>
      </c>
      <c r="M302" s="228">
        <f ca="1">IFERROR(IF(BB_Switch=1,IF(_xll.BDP($D302,$D$291, "EQY_FUND_RELATIVE_PERIOD", M$3)="#N/A N/A","NA  ",(_xll.BDP($D302,$D$291, "EQY_FUND_RELATIVE_PERIOD", M$3))),M302),"NA ")</f>
        <v>17063.48900872</v>
      </c>
      <c r="N302" s="228">
        <f ca="1">IFERROR(IF(BB_Switch=1,IF(_xll.BDP($D302,$D$291, "EQY_FUND_RELATIVE_PERIOD", N$3)="#N/A N/A","NA  ",(_xll.BDP($D302,$D$291, "EQY_FUND_RELATIVE_PERIOD", N$3))),N302),"NA ")</f>
        <v>17105.300930500001</v>
      </c>
      <c r="O302" s="228">
        <f ca="1">IFERROR(IF(BB_Switch=1,IF(_xll.BDP($D302,$D$291, "EQY_FUND_RELATIVE_PERIOD", O$3)="#N/A N/A","NA  ",(_xll.BDP($D302,$D$291, "EQY_FUND_RELATIVE_PERIOD", O$3))),O302),"NA ")</f>
        <v>16311.595027109999</v>
      </c>
      <c r="P302" s="228">
        <f ca="1">IFERROR(IF(BB_Switch=1,IF(_xll.BDP($D302,$D$291, "EQY_FUND_RELATIVE_PERIOD", P$3)="#N/A N/A","NA  ",(_xll.BDP($D302,$D$291, "EQY_FUND_RELATIVE_PERIOD", P$3))),P302),"NA ")</f>
        <v>16621.78257648</v>
      </c>
      <c r="Q302" s="228"/>
      <c r="R302" s="228"/>
      <c r="S302" s="228"/>
      <c r="T302" s="228"/>
      <c r="U302" s="227"/>
      <c r="V302" s="228">
        <f ca="1">IFERROR(IF(BB_Switch=1,IF(_xll.BDP($D302,$D$291, "EQY_FUND_RELATIVE_PERIOD", V$3)="#N/A N/A","NA  ",(_xll.BDP($D302,$D$291, "EQY_FUND_RELATIVE_PERIOD", V$3))),V302),"NA ")</f>
        <v>7030.0841872800002</v>
      </c>
      <c r="W302" s="228">
        <f ca="1">IFERROR(IF(BB_Switch=1,IF(_xll.BDP($D302,$D$291, "EQY_FUND_RELATIVE_PERIOD", W$3)="#N/A N/A","NA  ",(_xll.BDP($D302,$D$291, "EQY_FUND_RELATIVE_PERIOD", W$3))),W302),"NA ")</f>
        <v>3525.9596759400006</v>
      </c>
      <c r="X302" s="228">
        <f ca="1">IFERROR(IF(BB_Switch=1,IF(_xll.BDP($D302,$D$291, "EQY_FUND_RELATIVE_PERIOD", X$3)="#N/A N/A","NA  ",(_xll.BDP($D302,$D$291, "EQY_FUND_RELATIVE_PERIOD", X$3))),X302),"NA ")</f>
        <v>15091.545291049999</v>
      </c>
      <c r="Y302" s="228">
        <f ca="1">IFERROR(IF(BB_Switch=1,IF(_xll.BDP($D302,$D$291, "EQY_FUND_RELATIVE_PERIOD", Y$3)="#N/A N/A","NA  ",(_xll.BDP($D302,$D$291, "EQY_FUND_RELATIVE_PERIOD", Y$3))),Y302),"NA ")</f>
        <v>16396.0015432</v>
      </c>
      <c r="Z302" s="228">
        <f ca="1">IFERROR(IF(BB_Switch=1,IF(_xll.BDP($D302,$D$291, "EQY_FUND_RELATIVE_PERIOD", Z$3)="#N/A N/A","NA  ",(_xll.BDP($D302,$D$291, "EQY_FUND_RELATIVE_PERIOD", Z$3))),Z302),"NA ")</f>
        <v>18687.54247588</v>
      </c>
      <c r="AA302" s="228">
        <f ca="1">IFERROR(IF(BB_Switch=1,IF(_xll.BDP($D302,$D$291, "EQY_FUND_RELATIVE_PERIOD", AA$3)="#N/A N/A","NA  ",(_xll.BDP($D302,$D$291, "EQY_FUND_RELATIVE_PERIOD", AA$3))),AA302),"NA ")</f>
        <v>16770.412012410001</v>
      </c>
      <c r="AB302" s="228">
        <f ca="1">IFERROR(IF(BB_Switch=1,IF(_xll.BDP($D302,$D$291, "EQY_FUND_RELATIVE_PERIOD", AB$3)="#N/A N/A","NA  ",(_xll.BDP($D302,$D$291, "EQY_FUND_RELATIVE_PERIOD", AB$3))),AB302),"NA ")</f>
        <v>17498.611456459999</v>
      </c>
      <c r="AC302" s="228">
        <f ca="1">IFERROR(IF(BB_Switch=1,IF(_xll.BDP($D302,$D$291, "EQY_FUND_RELATIVE_PERIOD", AC$3)="#N/A N/A","NA  ",(_xll.BDP($D302,$D$291, "EQY_FUND_RELATIVE_PERIOD", AC$3))),AC302),"NA ")</f>
        <v>19661.727215840001</v>
      </c>
      <c r="AD302" s="228">
        <f ca="1">IFERROR(IF(BB_Switch=1,IF(_xll.BDP($D302,$D$291, "EQY_FUND_RELATIVE_PERIOD", AD$3)="#N/A N/A","NA  ",(_xll.BDP($D302,$D$291, "EQY_FUND_RELATIVE_PERIOD", AD$3))),AD302),"NA ")</f>
        <v>16228.406900739999</v>
      </c>
      <c r="AE302" s="228">
        <f ca="1">IFERROR(IF(BB_Switch=1,IF(_xll.BDP($D302,$D$291, "EQY_FUND_RELATIVE_PERIOD", AE$3)="#N/A N/A","NA  ",(_xll.BDP($D302,$D$291, "EQY_FUND_RELATIVE_PERIOD", AE$3))),AE302),"NA ")</f>
        <v>16621.78257648</v>
      </c>
      <c r="AF302" s="228"/>
      <c r="AG302" s="228">
        <f ca="1">IFERROR(IF(BB_Switch=1,IF(_xll.BDP($D302,$V$291)="#N/A N/A","NA  ",(_xll.BDP($D302,$V$291))),AG302),"NA ")</f>
        <v>11288.081770459999</v>
      </c>
      <c r="AH302" s="228"/>
      <c r="AI302" s="228"/>
      <c r="AJ302" s="228"/>
    </row>
    <row r="303" spans="2:36" ht="11.25" customHeight="1">
      <c r="C303" s="229" t="str">
        <f ca="1">IFERROR(IF(BB_Switch=1,_xll.BDP($D303,$C$270),C303), "NA ")</f>
        <v>Celanese Corp</v>
      </c>
      <c r="D303" s="227" t="str">
        <f>+D22</f>
        <v>CE US EQUITY</v>
      </c>
      <c r="E303" s="228">
        <f ca="1">IFERROR(IF(BB_Switch=1,IF(_xll.BDP($D303,$D$291, "EQY_FUND_RELATIVE_PERIOD", E$3)="#N/A N/A","NA  ",(_xll.BDP($D303,$D$291, "EQY_FUND_RELATIVE_PERIOD", E$3))),E303),"NA ")</f>
        <v>15394.796887049999</v>
      </c>
      <c r="F303" s="228">
        <f ca="1">IFERROR(IF(BB_Switch=1,IF(_xll.BDP($D303,$D$291, "EQY_FUND_RELATIVE_PERIOD", F$3)="#N/A N/A","NA  ",(_xll.BDP($D303,$D$291, "EQY_FUND_RELATIVE_PERIOD", F$3))),F303),"NA ")</f>
        <v>16270.943578979999</v>
      </c>
      <c r="G303" s="228">
        <f ca="1">IFERROR(IF(BB_Switch=1,IF(_xll.BDP($D303,$D$291, "EQY_FUND_RELATIVE_PERIOD", G$3)="#N/A N/A","NA  ",(_xll.BDP($D303,$D$291, "EQY_FUND_RELATIVE_PERIOD", G$3))),G303),"NA ")</f>
        <v>17459.805551140002</v>
      </c>
      <c r="H303" s="228">
        <f ca="1">IFERROR(IF(BB_Switch=1,IF(_xll.BDP($D303,$D$291, "EQY_FUND_RELATIVE_PERIOD", H$3)="#N/A N/A","NA  ",(_xll.BDP($D303,$D$291, "EQY_FUND_RELATIVE_PERIOD", H$3))),H303),"NA ")</f>
        <v>17983.17193248</v>
      </c>
      <c r="I303" s="228">
        <f ca="1">IFERROR(IF(BB_Switch=1,IF(_xll.BDP($D303,$D$291, "EQY_FUND_RELATIVE_PERIOD", I$3)="#N/A N/A","NA  ",(_xll.BDP($D303,$D$291, "EQY_FUND_RELATIVE_PERIOD", I$3))),I303),"NA ")</f>
        <v>17272.100699099996</v>
      </c>
      <c r="J303" s="228">
        <f ca="1">IFERROR(IF(BB_Switch=1,IF(_xll.BDP($D303,$D$291, "EQY_FUND_RELATIVE_PERIOD", J$3)="#N/A N/A","NA  ",(_xll.BDP($D303,$D$291, "EQY_FUND_RELATIVE_PERIOD", J$3))),J303),"NA ")</f>
        <v>18256.11551688</v>
      </c>
      <c r="K303" s="228">
        <f ca="1">IFERROR(IF(BB_Switch=1,IF(_xll.BDP($D303,$D$291, "EQY_FUND_RELATIVE_PERIOD", K$3)="#N/A N/A","NA  ",(_xll.BDP($D303,$D$291, "EQY_FUND_RELATIVE_PERIOD", K$3))),K303),"NA ")</f>
        <v>18338.392026000001</v>
      </c>
      <c r="L303" s="228">
        <f ca="1">IFERROR(IF(BB_Switch=1,IF(_xll.BDP($D303,$D$291, "EQY_FUND_RELATIVE_PERIOD", L$3)="#N/A N/A","NA  ",(_xll.BDP($D303,$D$291, "EQY_FUND_RELATIVE_PERIOD", L$3))),L303),"NA ")</f>
        <v>14980.783534529999</v>
      </c>
      <c r="M303" s="228">
        <f ca="1">IFERROR(IF(BB_Switch=1,IF(_xll.BDP($D303,$D$291, "EQY_FUND_RELATIVE_PERIOD", M$3)="#N/A N/A","NA  ",(_xll.BDP($D303,$D$291, "EQY_FUND_RELATIVE_PERIOD", M$3))),M303),"NA ")</f>
        <v>16308.257836119999</v>
      </c>
      <c r="N303" s="228">
        <f ca="1">IFERROR(IF(BB_Switch=1,IF(_xll.BDP($D303,$D$291, "EQY_FUND_RELATIVE_PERIOD", N$3)="#N/A N/A","NA  ",(_xll.BDP($D303,$D$291, "EQY_FUND_RELATIVE_PERIOD", N$3))),N303),"NA ")</f>
        <v>17197.209622199996</v>
      </c>
      <c r="O303" s="228">
        <f ca="1">IFERROR(IF(BB_Switch=1,IF(_xll.BDP($D303,$D$291, "EQY_FUND_RELATIVE_PERIOD", O$3)="#N/A N/A","NA  ",(_xll.BDP($D303,$D$291, "EQY_FUND_RELATIVE_PERIOD", O$3))),O303),"NA ")</f>
        <v>18646.849623870003</v>
      </c>
      <c r="P303" s="228">
        <f ca="1">IFERROR(IF(BB_Switch=1,IF(_xll.BDP($D303,$D$291, "EQY_FUND_RELATIVE_PERIOD", P$3)="#N/A N/A","NA  ",(_xll.BDP($D303,$D$291, "EQY_FUND_RELATIVE_PERIOD", P$3))),P303),"NA ")</f>
        <v>18722.637085840001</v>
      </c>
      <c r="Q303" s="228"/>
      <c r="R303" s="228"/>
      <c r="S303" s="228"/>
      <c r="T303" s="228"/>
      <c r="U303" s="227"/>
      <c r="V303" s="228">
        <f ca="1">IFERROR(IF(BB_Switch=1,IF(_xll.BDP($D303,$D$291, "EQY_FUND_RELATIVE_PERIOD", V$3)="#N/A N/A","NA  ",(_xll.BDP($D303,$D$291, "EQY_FUND_RELATIVE_PERIOD", V$3))),V303),"NA ")</f>
        <v>8812.6100928100004</v>
      </c>
      <c r="W303" s="228">
        <f ca="1">IFERROR(IF(BB_Switch=1,IF(_xll.BDP($D303,$D$291, "EQY_FUND_RELATIVE_PERIOD", W$3)="#N/A N/A","NA  ",(_xll.BDP($D303,$D$291, "EQY_FUND_RELATIVE_PERIOD", W$3))),W303),"NA ")</f>
        <v>9197.6529129699993</v>
      </c>
      <c r="X303" s="228">
        <f ca="1">IFERROR(IF(BB_Switch=1,IF(_xll.BDP($D303,$D$291, "EQY_FUND_RELATIVE_PERIOD", X$3)="#N/A N/A","NA  ",(_xll.BDP($D303,$D$291, "EQY_FUND_RELATIVE_PERIOD", X$3))),X303),"NA ")</f>
        <v>9194.8761165300002</v>
      </c>
      <c r="Y303" s="228">
        <f ca="1">IFERROR(IF(BB_Switch=1,IF(_xll.BDP($D303,$D$291, "EQY_FUND_RELATIVE_PERIOD", Y$3)="#N/A N/A","NA  ",(_xll.BDP($D303,$D$291, "EQY_FUND_RELATIVE_PERIOD", Y$3))),Y303),"NA ")</f>
        <v>10719.34188668</v>
      </c>
      <c r="Z303" s="228">
        <f ca="1">IFERROR(IF(BB_Switch=1,IF(_xll.BDP($D303,$D$291, "EQY_FUND_RELATIVE_PERIOD", Z$3)="#N/A N/A","NA  ",(_xll.BDP($D303,$D$291, "EQY_FUND_RELATIVE_PERIOD", Z$3))),Z303),"NA ")</f>
        <v>11339.0464916</v>
      </c>
      <c r="AA303" s="228">
        <f ca="1">IFERROR(IF(BB_Switch=1,IF(_xll.BDP($D303,$D$291, "EQY_FUND_RELATIVE_PERIOD", AA$3)="#N/A N/A","NA  ",(_xll.BDP($D303,$D$291, "EQY_FUND_RELATIVE_PERIOD", AA$3))),AA303),"NA ")</f>
        <v>12317.852057009999</v>
      </c>
      <c r="AB303" s="228">
        <f ca="1">IFERROR(IF(BB_Switch=1,IF(_xll.BDP($D303,$D$291, "EQY_FUND_RELATIVE_PERIOD", AB$3)="#N/A N/A","NA  ",(_xll.BDP($D303,$D$291, "EQY_FUND_RELATIVE_PERIOD", AB$3))),AB303),"NA ")</f>
        <v>13848.60359678</v>
      </c>
      <c r="AC303" s="228">
        <f ca="1">IFERROR(IF(BB_Switch=1,IF(_xll.BDP($D303,$D$291, "EQY_FUND_RELATIVE_PERIOD", AC$3)="#N/A N/A","NA  ",(_xll.BDP($D303,$D$291, "EQY_FUND_RELATIVE_PERIOD", AC$3))),AC303),"NA ")</f>
        <v>17983.17193248</v>
      </c>
      <c r="AD303" s="228">
        <f ca="1">IFERROR(IF(BB_Switch=1,IF(_xll.BDP($D303,$D$291, "EQY_FUND_RELATIVE_PERIOD", AD$3)="#N/A N/A","NA  ",(_xll.BDP($D303,$D$291, "EQY_FUND_RELATIVE_PERIOD", AD$3))),AD303),"NA ")</f>
        <v>14980.783534529999</v>
      </c>
      <c r="AE303" s="228">
        <f ca="1">IFERROR(IF(BB_Switch=1,IF(_xll.BDP($D303,$D$291, "EQY_FUND_RELATIVE_PERIOD", AE$3)="#N/A N/A","NA  ",(_xll.BDP($D303,$D$291, "EQY_FUND_RELATIVE_PERIOD", AE$3))),AE303),"NA ")</f>
        <v>18722.637085840001</v>
      </c>
      <c r="AF303" s="228"/>
      <c r="AG303" s="228">
        <f ca="1">IFERROR(IF(BB_Switch=1,IF(_xll.BDP($D303,$V$291)="#N/A N/A","NA  ",(_xll.BDP($D303,$V$291))),AG303),"NA ")</f>
        <v>11909.914922159998</v>
      </c>
      <c r="AH303" s="228"/>
      <c r="AI303" s="228"/>
      <c r="AJ303" s="228"/>
    </row>
    <row r="304" spans="2:36" ht="11.25" customHeight="1">
      <c r="C304" s="229" t="str">
        <f ca="1">IFERROR(IF(BB_Switch=1,_xll.BDP($D304,$C$270),C304), "NA ")</f>
        <v>BASF SE</v>
      </c>
      <c r="D304" s="227" t="str">
        <f>+D23</f>
        <v>BAS GR EQUITY</v>
      </c>
      <c r="E304" s="228">
        <f ca="1">IFERROR(IF(BB_Switch=1,IF(_xll.BDP($D304,$D$291, "EQY_FUND_RELATIVE_PERIOD", E$3)="#N/A N/A","NA  ",(_xll.BDP($D304,$D$291, "EQY_FUND_RELATIVE_PERIOD", E$3))),E304),"NA ")</f>
        <v>101018.763026222</v>
      </c>
      <c r="F304" s="228">
        <f ca="1">IFERROR(IF(BB_Switch=1,IF(_xll.BDP($D304,$D$291, "EQY_FUND_RELATIVE_PERIOD", F$3)="#N/A N/A","NA  ",(_xll.BDP($D304,$D$291, "EQY_FUND_RELATIVE_PERIOD", F$3))),F304),"NA ")</f>
        <v>91435.078873680002</v>
      </c>
      <c r="G304" s="228">
        <f ca="1">IFERROR(IF(BB_Switch=1,IF(_xll.BDP($D304,$D$291, "EQY_FUND_RELATIVE_PERIOD", G$3)="#N/A N/A","NA  ",(_xll.BDP($D304,$D$291, "EQY_FUND_RELATIVE_PERIOD", G$3))),G304),"NA ")</f>
        <v>95560.305460000003</v>
      </c>
      <c r="H304" s="228">
        <f ca="1">IFERROR(IF(BB_Switch=1,IF(_xll.BDP($D304,$D$291, "EQY_FUND_RELATIVE_PERIOD", H$3)="#N/A N/A","NA  ",(_xll.BDP($D304,$D$291, "EQY_FUND_RELATIVE_PERIOD", H$3))),H304),"NA ")</f>
        <v>96665.235387559995</v>
      </c>
      <c r="I304" s="228">
        <f ca="1">IFERROR(IF(BB_Switch=1,IF(_xll.BDP($D304,$D$291, "EQY_FUND_RELATIVE_PERIOD", I$3)="#N/A N/A","NA  ",(_xll.BDP($D304,$D$291, "EQY_FUND_RELATIVE_PERIOD", I$3))),I304),"NA ")</f>
        <v>87255.677041940013</v>
      </c>
      <c r="J304" s="228">
        <f ca="1">IFERROR(IF(BB_Switch=1,IF(_xll.BDP($D304,$D$291, "EQY_FUND_RELATIVE_PERIOD", J$3)="#N/A N/A","NA  ",(_xll.BDP($D304,$D$291, "EQY_FUND_RELATIVE_PERIOD", J$3))),J304),"NA ")</f>
        <v>88550.26366062001</v>
      </c>
      <c r="K304" s="228">
        <f ca="1">IFERROR(IF(BB_Switch=1,IF(_xll.BDP($D304,$D$291, "EQY_FUND_RELATIVE_PERIOD", K$3)="#N/A N/A","NA  ",(_xll.BDP($D304,$D$291, "EQY_FUND_RELATIVE_PERIOD", K$3))),K304),"NA ")</f>
        <v>89195.534759999995</v>
      </c>
      <c r="L304" s="228">
        <f ca="1">IFERROR(IF(BB_Switch=1,IF(_xll.BDP($D304,$D$291, "EQY_FUND_RELATIVE_PERIOD", L$3)="#N/A N/A","NA  ",(_xll.BDP($D304,$D$291, "EQY_FUND_RELATIVE_PERIOD", L$3))),L304),"NA ")</f>
        <v>74728.131599999993</v>
      </c>
      <c r="M304" s="228">
        <f ca="1">IFERROR(IF(BB_Switch=1,IF(_xll.BDP($D304,$D$291, "EQY_FUND_RELATIVE_PERIOD", M$3)="#N/A N/A","NA  ",(_xll.BDP($D304,$D$291, "EQY_FUND_RELATIVE_PERIOD", M$3))),M304),"NA ")</f>
        <v>82003.85282</v>
      </c>
      <c r="N304" s="228">
        <f ca="1">IFERROR(IF(BB_Switch=1,IF(_xll.BDP($D304,$D$291, "EQY_FUND_RELATIVE_PERIOD", N$3)="#N/A N/A","NA  ",(_xll.BDP($D304,$D$291, "EQY_FUND_RELATIVE_PERIOD", N$3))),N304),"NA ")</f>
        <v>78476.266842120007</v>
      </c>
      <c r="O304" s="228">
        <f ca="1">IFERROR(IF(BB_Switch=1,IF(_xll.BDP($D304,$D$291, "EQY_FUND_RELATIVE_PERIOD", O$3)="#N/A N/A","NA  ",(_xll.BDP($D304,$D$291, "EQY_FUND_RELATIVE_PERIOD", O$3))),O304),"NA ")</f>
        <v>78522.712481299997</v>
      </c>
      <c r="P304" s="228">
        <f ca="1">IFERROR(IF(BB_Switch=1,IF(_xll.BDP($D304,$D$291, "EQY_FUND_RELATIVE_PERIOD", P$3)="#N/A N/A","NA  ",(_xll.BDP($D304,$D$291, "EQY_FUND_RELATIVE_PERIOD", P$3))),P304),"NA ")</f>
        <v>79638.540040899999</v>
      </c>
      <c r="Q304" s="228"/>
      <c r="R304" s="228"/>
      <c r="S304" s="228"/>
      <c r="T304" s="228"/>
      <c r="U304" s="227"/>
      <c r="V304" s="228">
        <f ca="1">IFERROR(IF(BB_Switch=1,IF(_xll.BDP($D304,$D$291, "EQY_FUND_RELATIVE_PERIOD", V$3)="#N/A N/A","NA  ",(_xll.BDP($D304,$D$291, "EQY_FUND_RELATIVE_PERIOD", V$3))),V304),"NA ")</f>
        <v>69675.178031799995</v>
      </c>
      <c r="W304" s="228">
        <f ca="1">IFERROR(IF(BB_Switch=1,IF(_xll.BDP($D304,$D$291, "EQY_FUND_RELATIVE_PERIOD", W$3)="#N/A N/A","NA  ",(_xll.BDP($D304,$D$291, "EQY_FUND_RELATIVE_PERIOD", W$3))),W304),"NA ")</f>
        <v>61739.816819660002</v>
      </c>
      <c r="X304" s="228">
        <f ca="1">IFERROR(IF(BB_Switch=1,IF(_xll.BDP($D304,$D$291, "EQY_FUND_RELATIVE_PERIOD", X$3)="#N/A N/A","NA  ",(_xll.BDP($D304,$D$291, "EQY_FUND_RELATIVE_PERIOD", X$3))),X304),"NA ")</f>
        <v>77496.759078100004</v>
      </c>
      <c r="Y304" s="228">
        <f ca="1">IFERROR(IF(BB_Switch=1,IF(_xll.BDP($D304,$D$291, "EQY_FUND_RELATIVE_PERIOD", Y$3)="#N/A N/A","NA  ",(_xll.BDP($D304,$D$291, "EQY_FUND_RELATIVE_PERIOD", Y$3))),Y304),"NA ")</f>
        <v>84365.913998060001</v>
      </c>
      <c r="Z304" s="228">
        <f ca="1">IFERROR(IF(BB_Switch=1,IF(_xll.BDP($D304,$D$291, "EQY_FUND_RELATIVE_PERIOD", Z$3)="#N/A N/A","NA  ",(_xll.BDP($D304,$D$291, "EQY_FUND_RELATIVE_PERIOD", Z$3))),Z304),"NA ")</f>
        <v>78411.291136719999</v>
      </c>
      <c r="AA304" s="228">
        <f ca="1">IFERROR(IF(BB_Switch=1,IF(_xll.BDP($D304,$D$291, "EQY_FUND_RELATIVE_PERIOD", AA$3)="#N/A N/A","NA  ",(_xll.BDP($D304,$D$291, "EQY_FUND_RELATIVE_PERIOD", AA$3))),AA304),"NA ")</f>
        <v>78518.813239679992</v>
      </c>
      <c r="AB304" s="228">
        <f ca="1">IFERROR(IF(BB_Switch=1,IF(_xll.BDP($D304,$D$291, "EQY_FUND_RELATIVE_PERIOD", AB$3)="#N/A N/A","NA  ",(_xll.BDP($D304,$D$291, "EQY_FUND_RELATIVE_PERIOD", AB$3))),AB304),"NA ")</f>
        <v>96272.853467139998</v>
      </c>
      <c r="AC304" s="228">
        <f ca="1">IFERROR(IF(BB_Switch=1,IF(_xll.BDP($D304,$D$291, "EQY_FUND_RELATIVE_PERIOD", AC$3)="#N/A N/A","NA  ",(_xll.BDP($D304,$D$291, "EQY_FUND_RELATIVE_PERIOD", AC$3))),AC304),"NA ")</f>
        <v>96665.235387559995</v>
      </c>
      <c r="AD304" s="228">
        <f ca="1">IFERROR(IF(BB_Switch=1,IF(_xll.BDP($D304,$D$291, "EQY_FUND_RELATIVE_PERIOD", AD$3)="#N/A N/A","NA  ",(_xll.BDP($D304,$D$291, "EQY_FUND_RELATIVE_PERIOD", AD$3))),AD304),"NA ")</f>
        <v>74728.113117600005</v>
      </c>
      <c r="AE304" s="228">
        <f ca="1">IFERROR(IF(BB_Switch=1,IF(_xll.BDP($D304,$D$291, "EQY_FUND_RELATIVE_PERIOD", AE$3)="#N/A N/A","NA  ",(_xll.BDP($D304,$D$291, "EQY_FUND_RELATIVE_PERIOD", AE$3))),AE304),"NA ")</f>
        <v>79638.540040899999</v>
      </c>
      <c r="AF304" s="228"/>
      <c r="AG304" s="228">
        <f ca="1">IFERROR(IF(BB_Switch=1,IF(_xll.BDP($D304,$V$291)="#N/A N/A","NA  ",(_xll.BDP($D304,$V$291))),AG304),"NA ")</f>
        <v>54490.593399179998</v>
      </c>
      <c r="AH304" s="228"/>
      <c r="AI304" s="228"/>
      <c r="AJ304" s="228"/>
    </row>
    <row r="305" spans="2:36" ht="11.25" customHeight="1">
      <c r="C305" s="229" t="str">
        <f ca="1">IFERROR(IF(BB_Switch=1,_xll.BDP($D305,$C$270),C305), "NA ")</f>
        <v>Trinseo SA</v>
      </c>
      <c r="D305" s="227" t="str">
        <f>+D24</f>
        <v>TSE US EQUITY</v>
      </c>
      <c r="E305" s="228">
        <f ca="1">IFERROR(IF(BB_Switch=1,IF(_xll.BDP($D305,$D$291, "EQY_FUND_RELATIVE_PERIOD", E$3)="#N/A N/A","NA  ",(_xll.BDP($D305,$D$291, "EQY_FUND_RELATIVE_PERIOD", E$3))),E305),"NA ")</f>
        <v>3718.5757999999996</v>
      </c>
      <c r="F305" s="228">
        <f ca="1">IFERROR(IF(BB_Switch=1,IF(_xll.BDP($D305,$D$291, "EQY_FUND_RELATIVE_PERIOD", F$3)="#N/A N/A","NA  ",(_xll.BDP($D305,$D$291, "EQY_FUND_RELATIVE_PERIOD", F$3))),F305),"NA ")</f>
        <v>3802.3731000000002</v>
      </c>
      <c r="G305" s="228">
        <f ca="1">IFERROR(IF(BB_Switch=1,IF(_xll.BDP($D305,$D$291, "EQY_FUND_RELATIVE_PERIOD", G$3)="#N/A N/A","NA  ",(_xll.BDP($D305,$D$291, "EQY_FUND_RELATIVE_PERIOD", G$3))),G305),"NA ")</f>
        <v>3786.6923000000002</v>
      </c>
      <c r="H305" s="228">
        <f ca="1">IFERROR(IF(BB_Switch=1,IF(_xll.BDP($D305,$D$291, "EQY_FUND_RELATIVE_PERIOD", H$3)="#N/A N/A","NA  ",(_xll.BDP($D305,$D$291, "EQY_FUND_RELATIVE_PERIOD", H$3))),H305),"NA ")</f>
        <v>3890.04</v>
      </c>
      <c r="I305" s="228">
        <f ca="1">IFERROR(IF(BB_Switch=1,IF(_xll.BDP($D305,$D$291, "EQY_FUND_RELATIVE_PERIOD", I$3)="#N/A N/A","NA  ",(_xll.BDP($D305,$D$291, "EQY_FUND_RELATIVE_PERIOD", I$3))),I305),"NA ")</f>
        <v>3985.87</v>
      </c>
      <c r="J305" s="228">
        <f ca="1">IFERROR(IF(BB_Switch=1,IF(_xll.BDP($D305,$D$291, "EQY_FUND_RELATIVE_PERIOD", J$3)="#N/A N/A","NA  ",(_xll.BDP($D305,$D$291, "EQY_FUND_RELATIVE_PERIOD", J$3))),J305),"NA ")</f>
        <v>3769.0499999999997</v>
      </c>
      <c r="K305" s="228">
        <f ca="1">IFERROR(IF(BB_Switch=1,IF(_xll.BDP($D305,$D$291, "EQY_FUND_RELATIVE_PERIOD", K$3)="#N/A N/A","NA  ",(_xll.BDP($D305,$D$291, "EQY_FUND_RELATIVE_PERIOD", K$3))),K305),"NA ")</f>
        <v>4075.05</v>
      </c>
      <c r="L305" s="228">
        <f ca="1">IFERROR(IF(BB_Switch=1,IF(_xll.BDP($D305,$D$291, "EQY_FUND_RELATIVE_PERIOD", L$3)="#N/A N/A","NA  ",(_xll.BDP($D305,$D$291, "EQY_FUND_RELATIVE_PERIOD", L$3))),L305),"NA ")</f>
        <v>2619.9480000000003</v>
      </c>
      <c r="M305" s="228">
        <f ca="1">IFERROR(IF(BB_Switch=1,IF(_xll.BDP($D305,$D$291, "EQY_FUND_RELATIVE_PERIOD", M$3)="#N/A N/A","NA  ",(_xll.BDP($D305,$D$291, "EQY_FUND_RELATIVE_PERIOD", M$3))),M305),"NA ")</f>
        <v>2577.4</v>
      </c>
      <c r="N305" s="228">
        <f ca="1">IFERROR(IF(BB_Switch=1,IF(_xll.BDP($D305,$D$291, "EQY_FUND_RELATIVE_PERIOD", N$3)="#N/A N/A","NA  ",(_xll.BDP($D305,$D$291, "EQY_FUND_RELATIVE_PERIOD", N$3))),N305),"NA ")</f>
        <v>2426.404</v>
      </c>
      <c r="O305" s="228">
        <f ca="1">IFERROR(IF(BB_Switch=1,IF(_xll.BDP($D305,$D$291, "EQY_FUND_RELATIVE_PERIOD", O$3)="#N/A N/A","NA  ",(_xll.BDP($D305,$D$291, "EQY_FUND_RELATIVE_PERIOD", O$3))),O305),"NA ")</f>
        <v>2461.125</v>
      </c>
      <c r="P305" s="228">
        <f ca="1">IFERROR(IF(BB_Switch=1,IF(_xll.BDP($D305,$D$291, "EQY_FUND_RELATIVE_PERIOD", P$3)="#N/A N/A","NA  ",(_xll.BDP($D305,$D$291, "EQY_FUND_RELATIVE_PERIOD", P$3))),P305),"NA ")</f>
        <v>2219.3109999999997</v>
      </c>
      <c r="Q305" s="228"/>
      <c r="R305" s="228"/>
      <c r="S305" s="228"/>
      <c r="T305" s="228"/>
      <c r="U305" s="227"/>
      <c r="V305" s="228" t="str">
        <f ca="1">IFERROR(IF(BB_Switch=1,IF(_xll.BDP($D305,$D$291, "EQY_FUND_RELATIVE_PERIOD", V$3)="#N/A N/A","NA  ",(_xll.BDP($D305,$D$291, "EQY_FUND_RELATIVE_PERIOD", V$3))),V305),"NA ")</f>
        <v xml:space="preserve">NA  </v>
      </c>
      <c r="W305" s="228" t="str">
        <f ca="1">IFERROR(IF(BB_Switch=1,IF(_xll.BDP($D305,$D$291, "EQY_FUND_RELATIVE_PERIOD", W$3)="#N/A N/A","NA  ",(_xll.BDP($D305,$D$291, "EQY_FUND_RELATIVE_PERIOD", W$3))),W305),"NA ")</f>
        <v xml:space="preserve">NA  </v>
      </c>
      <c r="X305" s="228" t="str">
        <f ca="1">IFERROR(IF(BB_Switch=1,IF(_xll.BDP($D305,$D$291, "EQY_FUND_RELATIVE_PERIOD", X$3)="#N/A N/A","NA  ",(_xll.BDP($D305,$D$291, "EQY_FUND_RELATIVE_PERIOD", X$3))),X305),"NA ")</f>
        <v xml:space="preserve">NA  </v>
      </c>
      <c r="Y305" s="228" t="str">
        <f ca="1">IFERROR(IF(BB_Switch=1,IF(_xll.BDP($D305,$D$291, "EQY_FUND_RELATIVE_PERIOD", Y$3)="#N/A N/A","NA  ",(_xll.BDP($D305,$D$291, "EQY_FUND_RELATIVE_PERIOD", Y$3))),Y305),"NA ")</f>
        <v xml:space="preserve">NA  </v>
      </c>
      <c r="Z305" s="228">
        <f ca="1">IFERROR(IF(BB_Switch=1,IF(_xll.BDP($D305,$D$291, "EQY_FUND_RELATIVE_PERIOD", Z$3)="#N/A N/A","NA  ",(_xll.BDP($D305,$D$291, "EQY_FUND_RELATIVE_PERIOD", Z$3))),Z305),"NA ")</f>
        <v>1832.4575</v>
      </c>
      <c r="AA305" s="228">
        <f ca="1">IFERROR(IF(BB_Switch=1,IF(_xll.BDP($D305,$D$291, "EQY_FUND_RELATIVE_PERIOD", AA$3)="#N/A N/A","NA  ",(_xll.BDP($D305,$D$291, "EQY_FUND_RELATIVE_PERIOD", AA$3))),AA305),"NA ")</f>
        <v>2126.3985999999995</v>
      </c>
      <c r="AB305" s="228">
        <f ca="1">IFERROR(IF(BB_Switch=1,IF(_xll.BDP($D305,$D$291, "EQY_FUND_RELATIVE_PERIOD", AB$3)="#N/A N/A","NA  ",(_xll.BDP($D305,$D$291, "EQY_FUND_RELATIVE_PERIOD", AB$3))),AB305),"NA ")</f>
        <v>3327.29</v>
      </c>
      <c r="AC305" s="228">
        <f ca="1">IFERROR(IF(BB_Switch=1,IF(_xll.BDP($D305,$D$291, "EQY_FUND_RELATIVE_PERIOD", AC$3)="#N/A N/A","NA  ",(_xll.BDP($D305,$D$291, "EQY_FUND_RELATIVE_PERIOD", AC$3))),AC305),"NA ")</f>
        <v>3890.04</v>
      </c>
      <c r="AD305" s="228">
        <f ca="1">IFERROR(IF(BB_Switch=1,IF(_xll.BDP($D305,$D$291, "EQY_FUND_RELATIVE_PERIOD", AD$3)="#N/A N/A","NA  ",(_xll.BDP($D305,$D$291, "EQY_FUND_RELATIVE_PERIOD", AD$3))),AD305),"NA ")</f>
        <v>2619.9480000000003</v>
      </c>
      <c r="AE305" s="228">
        <f ca="1">IFERROR(IF(BB_Switch=1,IF(_xll.BDP($D305,$D$291, "EQY_FUND_RELATIVE_PERIOD", AE$3)="#N/A N/A","NA  ",(_xll.BDP($D305,$D$291, "EQY_FUND_RELATIVE_PERIOD", AE$3))),AE305),"NA ")</f>
        <v>2219.3109999999997</v>
      </c>
      <c r="AF305" s="228"/>
      <c r="AG305" s="228">
        <f ca="1">IFERROR(IF(BB_Switch=1,IF(_xll.BDP($D305,$V$291)="#N/A N/A","NA  ",(_xll.BDP($D305,$V$291))),AG305),"NA ")</f>
        <v>1345.7221063599998</v>
      </c>
      <c r="AH305" s="228"/>
      <c r="AI305" s="228"/>
      <c r="AJ305" s="228"/>
    </row>
    <row r="306" spans="2:36" ht="11.25" customHeight="1">
      <c r="C306" s="229"/>
      <c r="D306" s="227"/>
      <c r="E306" s="228"/>
      <c r="F306" s="228"/>
      <c r="G306" s="228"/>
      <c r="H306" s="228"/>
      <c r="I306" s="228"/>
      <c r="J306" s="228"/>
      <c r="K306" s="228"/>
      <c r="L306" s="228"/>
      <c r="M306" s="228"/>
      <c r="N306" s="228"/>
      <c r="O306" s="228"/>
      <c r="P306" s="228"/>
      <c r="Q306" s="228"/>
      <c r="R306" s="228"/>
      <c r="S306" s="228"/>
      <c r="T306" s="228"/>
      <c r="U306" s="227"/>
      <c r="V306" s="228"/>
      <c r="W306" s="228"/>
      <c r="X306" s="228"/>
      <c r="Y306" s="228"/>
      <c r="Z306" s="228"/>
      <c r="AA306" s="228"/>
      <c r="AB306" s="228"/>
      <c r="AC306" s="228"/>
      <c r="AD306" s="228"/>
      <c r="AE306" s="228"/>
      <c r="AF306" s="228"/>
      <c r="AG306" s="228"/>
      <c r="AH306" s="228"/>
      <c r="AI306" s="228"/>
      <c r="AJ306" s="228"/>
    </row>
    <row r="307" spans="2:36" ht="11.25" customHeight="1">
      <c r="C307" s="224"/>
      <c r="D307" s="223"/>
      <c r="E307" s="222"/>
      <c r="F307" s="222"/>
      <c r="G307" s="222"/>
      <c r="H307" s="222"/>
      <c r="I307" s="222"/>
      <c r="J307" s="222"/>
      <c r="K307" s="222"/>
      <c r="L307" s="222"/>
      <c r="M307" s="222"/>
      <c r="N307" s="222"/>
      <c r="O307" s="222"/>
      <c r="P307" s="222"/>
      <c r="Q307" s="222"/>
      <c r="R307" s="222"/>
      <c r="S307" s="222"/>
      <c r="T307" s="289"/>
      <c r="U307" s="359"/>
      <c r="V307" s="295"/>
      <c r="W307" s="222"/>
      <c r="X307" s="222"/>
      <c r="Y307" s="222"/>
      <c r="Z307" s="222"/>
      <c r="AA307" s="222"/>
      <c r="AB307" s="222"/>
      <c r="AC307" s="222"/>
      <c r="AD307" s="222"/>
      <c r="AE307" s="222"/>
      <c r="AF307" s="222"/>
      <c r="AG307" s="222">
        <f ca="1">AVERAGE(AG293:AG299,AG302:AG305)</f>
        <v>17779.795658789091</v>
      </c>
      <c r="AH307" s="250"/>
      <c r="AI307" s="250"/>
      <c r="AJ307" s="291"/>
    </row>
    <row r="308" spans="2:36" ht="11.25" customHeight="1">
      <c r="C308" s="221"/>
      <c r="D308" s="220"/>
      <c r="E308" s="218"/>
      <c r="F308" s="218"/>
      <c r="G308" s="218"/>
      <c r="H308" s="218"/>
      <c r="I308" s="218"/>
      <c r="J308" s="218"/>
      <c r="K308" s="218"/>
      <c r="L308" s="218"/>
      <c r="M308" s="218"/>
      <c r="N308" s="218"/>
      <c r="O308" s="218"/>
      <c r="P308" s="218"/>
      <c r="Q308" s="218"/>
      <c r="R308" s="218"/>
      <c r="S308" s="218"/>
      <c r="T308" s="290"/>
      <c r="U308" s="359"/>
      <c r="V308" s="296"/>
      <c r="W308" s="218"/>
      <c r="X308" s="218"/>
      <c r="Y308" s="218"/>
      <c r="Z308" s="218"/>
      <c r="AA308" s="218"/>
      <c r="AB308" s="218"/>
      <c r="AC308" s="218"/>
      <c r="AD308" s="218"/>
      <c r="AE308" s="218"/>
      <c r="AF308" s="218"/>
      <c r="AG308" s="218">
        <f ca="1">MEDIAN(AG293:AG299,AG302:AG305)</f>
        <v>11288.081770459999</v>
      </c>
      <c r="AH308" s="249"/>
      <c r="AI308" s="249"/>
      <c r="AJ308" s="292"/>
    </row>
    <row r="309" spans="2:36" ht="11.25" customHeight="1">
      <c r="C309" s="219"/>
      <c r="D309" s="219"/>
      <c r="E309" s="219"/>
      <c r="F309" s="219"/>
      <c r="G309" s="219"/>
      <c r="H309" s="219"/>
      <c r="I309" s="219"/>
      <c r="J309" s="219"/>
      <c r="K309" s="219"/>
      <c r="L309" s="219"/>
      <c r="M309" s="219"/>
      <c r="N309" s="219"/>
      <c r="O309" s="219"/>
      <c r="P309" s="219"/>
      <c r="Q309" s="219"/>
      <c r="R309" s="219"/>
      <c r="S309" s="219"/>
      <c r="T309" s="219"/>
      <c r="U309" s="219"/>
      <c r="V309" s="239"/>
      <c r="W309" s="239"/>
      <c r="X309" s="239"/>
      <c r="Y309" s="239"/>
      <c r="Z309" s="239"/>
      <c r="AA309" s="239"/>
      <c r="AB309" s="239"/>
      <c r="AC309" s="239"/>
      <c r="AD309" s="239"/>
      <c r="AE309" s="239"/>
      <c r="AF309" s="239"/>
      <c r="AG309" s="239"/>
      <c r="AH309" s="239"/>
      <c r="AI309" s="239"/>
      <c r="AJ309" s="239"/>
    </row>
    <row r="310" spans="2:36" ht="11.25" customHeight="1">
      <c r="B310" s="231" t="s">
        <v>14</v>
      </c>
      <c r="C310" s="232" t="s">
        <v>493</v>
      </c>
      <c r="D310" s="232"/>
      <c r="E310" s="232"/>
      <c r="F310" s="232"/>
      <c r="G310" s="232"/>
      <c r="H310" s="232"/>
      <c r="I310" s="232"/>
      <c r="J310" s="232"/>
      <c r="K310" s="232"/>
      <c r="L310" s="232"/>
      <c r="M310" s="232"/>
      <c r="N310" s="232"/>
      <c r="O310" s="232"/>
      <c r="P310" s="232"/>
      <c r="Q310" s="232"/>
      <c r="R310" s="232"/>
      <c r="S310" s="232"/>
      <c r="T310" s="232"/>
      <c r="U310" s="233"/>
      <c r="V310" s="232"/>
      <c r="W310" s="231"/>
      <c r="X310" s="231"/>
      <c r="Y310" s="231"/>
      <c r="Z310" s="231"/>
      <c r="AA310" s="231"/>
      <c r="AB310" s="231"/>
      <c r="AC310" s="231"/>
      <c r="AD310" s="231"/>
      <c r="AE310" s="231"/>
      <c r="AF310" s="231"/>
      <c r="AG310" s="231"/>
      <c r="AH310" s="231"/>
      <c r="AI310" s="231"/>
      <c r="AJ310" s="231"/>
    </row>
    <row r="311" spans="2:36" ht="11.25" customHeight="1">
      <c r="D311" s="217" t="s">
        <v>492</v>
      </c>
      <c r="F311" s="217" t="s">
        <v>490</v>
      </c>
      <c r="V311" s="217" t="s">
        <v>491</v>
      </c>
      <c r="X311" s="217" t="s">
        <v>490</v>
      </c>
    </row>
    <row r="312" spans="2:36" ht="11.25" customHeight="1">
      <c r="C312" s="428" t="str">
        <f>+C11</f>
        <v>Commodity Chemicals</v>
      </c>
    </row>
    <row r="313" spans="2:36" ht="11.25" customHeight="1">
      <c r="C313" s="229" t="str">
        <f ca="1">IFERROR(IF(BB_Switch=1,_xll.BDP($D313,$C$270),C313), "NA ")</f>
        <v>DuPont de Nemours Inc</v>
      </c>
      <c r="D313" s="227" t="str">
        <f t="shared" ref="D313:D319" si="123">+D12</f>
        <v>DD US EQUITY</v>
      </c>
      <c r="E313" s="228">
        <f ca="1">IFERROR(IF(BB_Switch=1,IF(_xll.BDP($D313,$D$311, "EQY_FUND_RELATIVE_PERIOD", E$3)="#N/A N/A","NA  ",(_xll.BDP($D313,$D$311, "EQY_FUND_RELATIVE_PERIOD", E$3))),E313),"NA ")</f>
        <v>13230</v>
      </c>
      <c r="F313" s="228">
        <f ca="1">IFERROR(IF(BB_Switch=1,IF(_xll.BDP($D313,$D$311, "EQY_FUND_RELATIVE_PERIOD", F$3)="#N/A N/A","NA  ",(_xll.BDP($D313,$D$311, "EQY_FUND_RELATIVE_PERIOD", F$3))),F313),"NA ")</f>
        <v>20717</v>
      </c>
      <c r="G313" s="228">
        <f ca="1">IFERROR(IF(BB_Switch=1,IF(_xll.BDP($D313,$D$311, "EQY_FUND_RELATIVE_PERIOD", G$3)="#N/A N/A","NA  ",(_xll.BDP($D313,$D$311, "EQY_FUND_RELATIVE_PERIOD", G$3))),G313),"NA ")</f>
        <v>15354</v>
      </c>
      <c r="H313" s="228">
        <f ca="1">IFERROR(IF(BB_Switch=1,IF(_xll.BDP($D313,$D$311, "EQY_FUND_RELATIVE_PERIOD", H$3)="#N/A N/A","NA  ",(_xll.BDP($D313,$D$311, "EQY_FUND_RELATIVE_PERIOD", H$3))),H313),"NA ")</f>
        <v>20066</v>
      </c>
      <c r="I313" s="228">
        <f ca="1">IFERROR(IF(BB_Switch=1,IF(_xll.BDP($D313,$D$311, "EQY_FUND_RELATIVE_PERIOD", I$3)="#N/A N/A","NA  ",(_xll.BDP($D313,$D$311, "EQY_FUND_RELATIVE_PERIOD", I$3))),I313),"NA ")</f>
        <v>21510</v>
      </c>
      <c r="J313" s="228">
        <f ca="1">IFERROR(IF(BB_Switch=1,IF(_xll.BDP($D313,$D$311, "EQY_FUND_RELATIVE_PERIOD", J$3)="#N/A N/A","NA  ",(_xll.BDP($D313,$D$311, "EQY_FUND_RELATIVE_PERIOD", J$3))),J313),"NA ")</f>
        <v>5857</v>
      </c>
      <c r="K313" s="228">
        <f ca="1">IFERROR(IF(BB_Switch=1,IF(_xll.BDP($D313,$D$311, "EQY_FUND_RELATIVE_PERIOD", K$3)="#N/A N/A","NA  ",(_xll.BDP($D313,$D$311, "EQY_FUND_RELATIVE_PERIOD", K$3))),K313),"NA ")</f>
        <v>5683</v>
      </c>
      <c r="L313" s="228">
        <f ca="1">IFERROR(IF(BB_Switch=1,IF(_xll.BDP($D313,$D$311, "EQY_FUND_RELATIVE_PERIOD", L$3)="#N/A N/A","NA  ",(_xll.BDP($D313,$D$311, "EQY_FUND_RELATIVE_PERIOD", L$3))),L313),"NA ")</f>
        <v>5457</v>
      </c>
      <c r="M313" s="228">
        <f ca="1">IFERROR(IF(BB_Switch=1,IF(_xll.BDP($D313,$D$311, "EQY_FUND_RELATIVE_PERIOD", M$3)="#N/A N/A","NA  ",(_xll.BDP($D313,$D$311, "EQY_FUND_RELATIVE_PERIOD", M$3))),M313),"NA ")</f>
        <v>19649</v>
      </c>
      <c r="N313" s="228">
        <f ca="1">IFERROR(IF(BB_Switch=1,IF(_xll.BDP($D313,$D$311, "EQY_FUND_RELATIVE_PERIOD", N$3)="#N/A N/A","NA  ",(_xll.BDP($D313,$D$311, "EQY_FUND_RELATIVE_PERIOD", N$3))),N313),"NA ")</f>
        <v>5468</v>
      </c>
      <c r="O313" s="228">
        <f ca="1">IFERROR(IF(BB_Switch=1,IF(_xll.BDP($D313,$D$311, "EQY_FUND_RELATIVE_PERIOD", O$3)="#N/A N/A","NA  ",(_xll.BDP($D313,$D$311, "EQY_FUND_RELATIVE_PERIOD", O$3))),O313),"NA ")</f>
        <v>5426</v>
      </c>
      <c r="P313" s="228">
        <f ca="1">IFERROR(IF(BB_Switch=1,IF(_xll.BDP($D313,$F$311, "BEST_FPERIOD_OVERRIDE", P$3)="#N/A N/A","NA  ",(_xll.BDP($D313,$F$311, "BEST_FPERIOD_OVERRIDE", P$3))),P313),"NM ")</f>
        <v>5220.1880000000001</v>
      </c>
      <c r="Q313" s="228">
        <f ca="1">IFERROR(IF(BB_Switch=1,IF(_xll.BDP($D313,$F$311, "BEST_FPERIOD_OVERRIDE", Q$3)="#N/A N/A","NA  ",(_xll.BDP($D313,$F$311, "BEST_FPERIOD_OVERRIDE", Q$3))),Q313),"NM ")</f>
        <v>5073.4549999999999</v>
      </c>
      <c r="R313" s="228">
        <f ca="1">IFERROR(IF(BB_Switch=1,IF(_xll.BDP($D313,$F$311, "BEST_FPERIOD_OVERRIDE", R$3)="#N/A N/A","NA  ",(_xll.BDP($D313,$F$311, "BEST_FPERIOD_OVERRIDE", R$3))),R313),"NM ")</f>
        <v>5454.7269999999999</v>
      </c>
      <c r="S313" s="228">
        <f ca="1">IFERROR(IF(BB_Switch=1,IF(_xll.BDP($D313,$F$311, "BEST_FPERIOD_OVERRIDE", S$3)="#N/A N/A","NA  ",(_xll.BDP($D313,$F$311, "BEST_FPERIOD_OVERRIDE", S$3))),S313),"NM ")</f>
        <v>5561.8180000000002</v>
      </c>
      <c r="T313" s="228">
        <f ca="1">IFERROR(IF(BB_Switch=1,IF(_xll.BDP($D313,$F$311, "BEST_FPERIOD_OVERRIDE", T$3)="#N/A N/A","NA  ",(_xll.BDP($D313,$F$311, "BEST_FPERIOD_OVERRIDE", T$3))),T313),"NM ")</f>
        <v>5380.7269999999999</v>
      </c>
      <c r="U313" s="227"/>
      <c r="V313" s="228" t="str">
        <f ca="1">IFERROR(IF(BB_Switch=1,IF(_xll.BDP($D313,$D$311, "EQY_FUND_RELATIVE_PERIOD", V$3)="#N/A N/A","NA  ",(_xll.BDP($D313,$D$311, "EQY_FUND_RELATIVE_PERIOD", V$3))),V313),"NA ")</f>
        <v xml:space="preserve">NA  </v>
      </c>
      <c r="W313" s="228" t="str">
        <f ca="1">IFERROR(IF(BB_Switch=1,IF(_xll.BDP($D313,$D$311, "EQY_FUND_RELATIVE_PERIOD", W$3)="#N/A N/A","NA  ",(_xll.BDP($D313,$D$311, "EQY_FUND_RELATIVE_PERIOD", W$3))),W313),"NA ")</f>
        <v xml:space="preserve">NA  </v>
      </c>
      <c r="X313" s="228" t="str">
        <f ca="1">IFERROR(IF(BB_Switch=1,IF(_xll.BDP($D313,$D$311, "EQY_FUND_RELATIVE_PERIOD", X$3)="#N/A N/A","NA  ",(_xll.BDP($D313,$D$311, "EQY_FUND_RELATIVE_PERIOD", X$3))),X313),"NA ")</f>
        <v xml:space="preserve">NA  </v>
      </c>
      <c r="Y313" s="228" t="str">
        <f ca="1">IFERROR(IF(BB_Switch=1,IF(_xll.BDP($D313,$D$311, "EQY_FUND_RELATIVE_PERIOD", Y$3)="#N/A N/A","NA  ",(_xll.BDP($D313,$D$311, "EQY_FUND_RELATIVE_PERIOD", Y$3))),Y313),"NA ")</f>
        <v xml:space="preserve">NA  </v>
      </c>
      <c r="Z313" s="228" t="str">
        <f ca="1">IFERROR(IF(BB_Switch=1,IF(_xll.BDP($D313,$D$311, "EQY_FUND_RELATIVE_PERIOD", Z$3)="#N/A N/A","NA  ",(_xll.BDP($D313,$D$311, "EQY_FUND_RELATIVE_PERIOD", Z$3))),Z313),"NA ")</f>
        <v xml:space="preserve">NA  </v>
      </c>
      <c r="AA313" s="228">
        <f ca="1">IFERROR(IF(BB_Switch=1,IF(_xll.BDP($D313,$D$311, "EQY_FUND_RELATIVE_PERIOD", AA$3)="#N/A N/A","NA  ",(_xll.BDP($D313,$D$311, "EQY_FUND_RELATIVE_PERIOD", AA$3))),AA313),"NA ")</f>
        <v>73836</v>
      </c>
      <c r="AB313" s="228">
        <f ca="1">IFERROR(IF(BB_Switch=1,IF(_xll.BDP($D313,$D$311, "EQY_FUND_RELATIVE_PERIOD", AB$3)="#N/A N/A","NA  ",(_xll.BDP($D313,$D$311, "EQY_FUND_RELATIVE_PERIOD", AB$3))),AB313),"NA ")</f>
        <v>70894</v>
      </c>
      <c r="AC313" s="228">
        <f ca="1">IFERROR(IF(BB_Switch=1,IF(_xll.BDP($D313,$D$311, "EQY_FUND_RELATIVE_PERIOD", AC$3)="#N/A N/A","NA  ",(_xll.BDP($D313,$D$311, "EQY_FUND_RELATIVE_PERIOD", AC$3))),AC313),"NA ")</f>
        <v>11672</v>
      </c>
      <c r="AD313" s="228">
        <f ca="1">IFERROR(IF(BB_Switch=1,IF(_xll.BDP($D313,$D$311, "EQY_FUND_RELATIVE_PERIOD", AD$3)="#N/A N/A","NA  ",(_xll.BDP($D313,$D$311, "EQY_FUND_RELATIVE_PERIOD", AD$3))),AD313),"NA ")</f>
        <v>22594</v>
      </c>
      <c r="AE313" s="228">
        <f ca="1">IFERROR(IF(BB_Switch=1,IF(_xll.BDP($D313,$D$311, "EQY_FUND_RELATIVE_PERIOD", AE$3)="#N/A N/A","NA  ",(_xll.BDP($D313,$D$311, "EQY_FUND_RELATIVE_PERIOD", AE$3))),AE313),"NA ")</f>
        <v>21512</v>
      </c>
      <c r="AF313" s="228"/>
      <c r="AG313" s="228">
        <f ca="1">IFERROR(IF(BB_Switch=1,IF(_xll.BDP($D313,$V$311)="#N/A N/A","NA  ",(_xll.BDP($D313,$V$311))),AG313),"NA ")</f>
        <v>35747</v>
      </c>
      <c r="AH313" s="228">
        <f ca="1">IFERROR(IF(BB_Switch=1,IF(_xll.BDP($D313,$F$311, "BEST_FPERIOD_OVERRIDE", AH$3)="#N/A N/A","NA  ",(_xll.BDP($D313,$F$311, "BEST_FPERIOD_OVERRIDE", AH$3))),AH313),"NM ")</f>
        <v>21406.3</v>
      </c>
      <c r="AI313" s="228">
        <f ca="1">IFERROR(IF(BB_Switch=1,IF(_xll.BDP($D313,$F$311, "BEST_FPERIOD_OVERRIDE", AI$3)="#N/A N/A","NA  ",(_xll.BDP($D313,$F$311, "BEST_FPERIOD_OVERRIDE", AI$3))),AI313),"NM ")</f>
        <v>22113.947</v>
      </c>
      <c r="AJ313" s="228">
        <f ca="1">IFERROR(IF(BB_Switch=1,IF(_xll.BDP($D313,$F$311, "BEST_FPERIOD_OVERRIDE", AJ$3)="#N/A N/A","NA  ",(_xll.BDP($D313,$F$311, "BEST_FPERIOD_OVERRIDE", AJ$3))),AJ313),"NM ")</f>
        <v>22913.625</v>
      </c>
    </row>
    <row r="314" spans="2:36" ht="11.25" customHeight="1">
      <c r="C314" s="229" t="str">
        <f ca="1">IFERROR(IF(BB_Switch=1,_xll.BDP($D314,$C$270),C314), "NA ")</f>
        <v>PolyOne Corp</v>
      </c>
      <c r="D314" s="227" t="str">
        <f t="shared" si="123"/>
        <v>POL US EQUITY</v>
      </c>
      <c r="E314" s="228">
        <f ca="1">IFERROR(IF(BB_Switch=1,IF(_xll.BDP($D314,$D$311, "EQY_FUND_RELATIVE_PERIOD", E$3)="#N/A N/A","NA  ",(_xll.BDP($D314,$D$311, "EQY_FUND_RELATIVE_PERIOD", E$3))),E314),"NA ")</f>
        <v>796.7</v>
      </c>
      <c r="F314" s="228">
        <f ca="1">IFERROR(IF(BB_Switch=1,IF(_xll.BDP($D314,$D$311, "EQY_FUND_RELATIVE_PERIOD", F$3)="#N/A N/A","NA  ",(_xll.BDP($D314,$D$311, "EQY_FUND_RELATIVE_PERIOD", F$3))),F314),"NA ")</f>
        <v>814.1</v>
      </c>
      <c r="G314" s="228">
        <f ca="1">IFERROR(IF(BB_Switch=1,IF(_xll.BDP($D314,$D$311, "EQY_FUND_RELATIVE_PERIOD", G$3)="#N/A N/A","NA  ",(_xll.BDP($D314,$D$311, "EQY_FUND_RELATIVE_PERIOD", G$3))),G314),"NA ")</f>
        <v>818.5</v>
      </c>
      <c r="H314" s="228">
        <f ca="1">IFERROR(IF(BB_Switch=1,IF(_xll.BDP($D314,$D$311, "EQY_FUND_RELATIVE_PERIOD", H$3)="#N/A N/A","NA  ",(_xll.BDP($D314,$D$311, "EQY_FUND_RELATIVE_PERIOD", H$3))),H314),"NA ")</f>
        <v>800.6</v>
      </c>
      <c r="I314" s="228">
        <f ca="1">IFERROR(IF(BB_Switch=1,IF(_xll.BDP($D314,$D$311, "EQY_FUND_RELATIVE_PERIOD", I$3)="#N/A N/A","NA  ",(_xll.BDP($D314,$D$311, "EQY_FUND_RELATIVE_PERIOD", I$3))),I314),"NA ")</f>
        <v>901.6</v>
      </c>
      <c r="J314" s="228">
        <f ca="1">IFERROR(IF(BB_Switch=1,IF(_xll.BDP($D314,$D$311, "EQY_FUND_RELATIVE_PERIOD", J$3)="#N/A N/A","NA  ",(_xll.BDP($D314,$D$311, "EQY_FUND_RELATIVE_PERIOD", J$3))),J314),"NA ")</f>
        <v>914.8</v>
      </c>
      <c r="K314" s="228">
        <f ca="1">IFERROR(IF(BB_Switch=1,IF(_xll.BDP($D314,$D$311, "EQY_FUND_RELATIVE_PERIOD", K$3)="#N/A N/A","NA  ",(_xll.BDP($D314,$D$311, "EQY_FUND_RELATIVE_PERIOD", K$3))),K314),"NA ")</f>
        <v>729</v>
      </c>
      <c r="L314" s="228">
        <f ca="1">IFERROR(IF(BB_Switch=1,IF(_xll.BDP($D314,$D$311, "EQY_FUND_RELATIVE_PERIOD", L$3)="#N/A N/A","NA  ",(_xll.BDP($D314,$D$311, "EQY_FUND_RELATIVE_PERIOD", L$3))),L314),"NA ")</f>
        <v>677.1</v>
      </c>
      <c r="M314" s="228">
        <f ca="1">IFERROR(IF(BB_Switch=1,IF(_xll.BDP($D314,$D$311, "EQY_FUND_RELATIVE_PERIOD", M$3)="#N/A N/A","NA  ",(_xll.BDP($D314,$D$311, "EQY_FUND_RELATIVE_PERIOD", M$3))),M314),"NA ")</f>
        <v>899.9</v>
      </c>
      <c r="N314" s="228">
        <f ca="1">IFERROR(IF(BB_Switch=1,IF(_xll.BDP($D314,$D$311, "EQY_FUND_RELATIVE_PERIOD", N$3)="#N/A N/A","NA  ",(_xll.BDP($D314,$D$311, "EQY_FUND_RELATIVE_PERIOD", N$3))),N314),"NA ")</f>
        <v>903.8</v>
      </c>
      <c r="O314" s="228">
        <f ca="1">IFERROR(IF(BB_Switch=1,IF(_xll.BDP($D314,$D$311, "EQY_FUND_RELATIVE_PERIOD", O$3)="#N/A N/A","NA  ",(_xll.BDP($D314,$D$311, "EQY_FUND_RELATIVE_PERIOD", O$3))),O314),"NA ")</f>
        <v>705.3</v>
      </c>
      <c r="P314" s="228">
        <f ca="1">IFERROR(IF(BB_Switch=1,IF(_xll.BDP($D314,$F$311, "BEST_FPERIOD_OVERRIDE", P$3)="#N/A N/A","NA  ",(_xll.BDP($D314,$F$311, "BEST_FPERIOD_OVERRIDE", P$3))),P314),"NM ")</f>
        <v>689.16700000000003</v>
      </c>
      <c r="Q314" s="228">
        <f ca="1">IFERROR(IF(BB_Switch=1,IF(_xll.BDP($D314,$F$311, "BEST_FPERIOD_OVERRIDE", Q$3)="#N/A N/A","NA  ",(_xll.BDP($D314,$F$311, "BEST_FPERIOD_OVERRIDE", Q$3))),Q314),"NM ")</f>
        <v>740.66700000000003</v>
      </c>
      <c r="R314" s="228">
        <f ca="1">IFERROR(IF(BB_Switch=1,IF(_xll.BDP($D314,$F$311, "BEST_FPERIOD_OVERRIDE", R$3)="#N/A N/A","NA  ",(_xll.BDP($D314,$F$311, "BEST_FPERIOD_OVERRIDE", R$3))),R314),"NM ")</f>
        <v>752.33299999999997</v>
      </c>
      <c r="S314" s="228">
        <f ca="1">IFERROR(IF(BB_Switch=1,IF(_xll.BDP($D314,$F$311, "BEST_FPERIOD_OVERRIDE", S$3)="#N/A N/A","NA  ",(_xll.BDP($D314,$F$311, "BEST_FPERIOD_OVERRIDE", S$3))),S314),"NM ")</f>
        <v>814.66700000000003</v>
      </c>
      <c r="T314" s="228">
        <f ca="1">IFERROR(IF(BB_Switch=1,IF(_xll.BDP($D314,$F$311, "BEST_FPERIOD_OVERRIDE", T$3)="#N/A N/A","NA  ",(_xll.BDP($D314,$F$311, "BEST_FPERIOD_OVERRIDE", T$3))),T314),"NM ")</f>
        <v>758.5</v>
      </c>
      <c r="U314" s="227"/>
      <c r="V314" s="228">
        <f ca="1">IFERROR(IF(BB_Switch=1,IF(_xll.BDP($D314,$D$311, "EQY_FUND_RELATIVE_PERIOD", V$3)="#N/A N/A","NA  ",(_xll.BDP($D314,$D$311, "EQY_FUND_RELATIVE_PERIOD", V$3))),V314),"NA ")</f>
        <v>2621.9</v>
      </c>
      <c r="W314" s="228">
        <f ca="1">IFERROR(IF(BB_Switch=1,IF(_xll.BDP($D314,$D$311, "EQY_FUND_RELATIVE_PERIOD", W$3)="#N/A N/A","NA  ",(_xll.BDP($D314,$D$311, "EQY_FUND_RELATIVE_PERIOD", W$3))),W314),"NA ")</f>
        <v>2863.5</v>
      </c>
      <c r="X314" s="228">
        <f ca="1">IFERROR(IF(BB_Switch=1,IF(_xll.BDP($D314,$D$311, "EQY_FUND_RELATIVE_PERIOD", X$3)="#N/A N/A","NA  ",(_xll.BDP($D314,$D$311, "EQY_FUND_RELATIVE_PERIOD", X$3))),X314),"NA ")</f>
        <v>2860.8</v>
      </c>
      <c r="Y314" s="228">
        <f ca="1">IFERROR(IF(BB_Switch=1,IF(_xll.BDP($D314,$D$311, "EQY_FUND_RELATIVE_PERIOD", Y$3)="#N/A N/A","NA  ",(_xll.BDP($D314,$D$311, "EQY_FUND_RELATIVE_PERIOD", Y$3))),Y314),"NA ")</f>
        <v>3771.2</v>
      </c>
      <c r="Z314" s="228">
        <f ca="1">IFERROR(IF(BB_Switch=1,IF(_xll.BDP($D314,$D$311, "EQY_FUND_RELATIVE_PERIOD", Z$3)="#N/A N/A","NA  ",(_xll.BDP($D314,$D$311, "EQY_FUND_RELATIVE_PERIOD", Z$3))),Z314),"NA ")</f>
        <v>3835.5</v>
      </c>
      <c r="AA314" s="228">
        <f ca="1">IFERROR(IF(BB_Switch=1,IF(_xll.BDP($D314,$D$311, "EQY_FUND_RELATIVE_PERIOD", AA$3)="#N/A N/A","NA  ",(_xll.BDP($D314,$D$311, "EQY_FUND_RELATIVE_PERIOD", AA$3))),AA314),"NA ")</f>
        <v>3377.6</v>
      </c>
      <c r="AB314" s="228">
        <f ca="1">IFERROR(IF(BB_Switch=1,IF(_xll.BDP($D314,$D$311, "EQY_FUND_RELATIVE_PERIOD", AB$3)="#N/A N/A","NA  ",(_xll.BDP($D314,$D$311, "EQY_FUND_RELATIVE_PERIOD", AB$3))),AB314),"NA ")</f>
        <v>2938.6</v>
      </c>
      <c r="AC314" s="228">
        <f ca="1">IFERROR(IF(BB_Switch=1,IF(_xll.BDP($D314,$D$311, "EQY_FUND_RELATIVE_PERIOD", AC$3)="#N/A N/A","NA  ",(_xll.BDP($D314,$D$311, "EQY_FUND_RELATIVE_PERIOD", AC$3))),AC314),"NA ")</f>
        <v>3229.9</v>
      </c>
      <c r="AD314" s="228">
        <f ca="1">IFERROR(IF(BB_Switch=1,IF(_xll.BDP($D314,$D$311, "EQY_FUND_RELATIVE_PERIOD", AD$3)="#N/A N/A","NA  ",(_xll.BDP($D314,$D$311, "EQY_FUND_RELATIVE_PERIOD", AD$3))),AD314),"NA ")</f>
        <v>2881</v>
      </c>
      <c r="AE314" s="228">
        <f ca="1">IFERROR(IF(BB_Switch=1,IF(_xll.BDP($D314,$D$311, "EQY_FUND_RELATIVE_PERIOD", AE$3)="#N/A N/A","NA  ",(_xll.BDP($D314,$D$311, "EQY_FUND_RELATIVE_PERIOD", AE$3))),AE314),"NA ")</f>
        <v>2862.7</v>
      </c>
      <c r="AF314" s="228"/>
      <c r="AG314" s="228">
        <f ca="1">IFERROR(IF(BB_Switch=1,IF(_xll.BDP($D314,$V$311)="#N/A N/A","NA  ",(_xll.BDP($D314,$V$311))),AG314),"NA ")</f>
        <v>3167.6</v>
      </c>
      <c r="AH314" s="228">
        <f ca="1">IFERROR(IF(BB_Switch=1,IF(_xll.BDP($D314,$F$311, "BEST_FPERIOD_OVERRIDE", AH$3)="#N/A N/A","NA  ",(_xll.BDP($D314,$F$311, "BEST_FPERIOD_OVERRIDE", AH$3))),AH314),"NM ")</f>
        <v>3093.25</v>
      </c>
      <c r="AI314" s="228">
        <f ca="1">IFERROR(IF(BB_Switch=1,IF(_xll.BDP($D314,$F$311, "BEST_FPERIOD_OVERRIDE", AI$3)="#N/A N/A","NA  ",(_xll.BDP($D314,$F$311, "BEST_FPERIOD_OVERRIDE", AI$3))),AI314),"NM ")</f>
        <v>3420.75</v>
      </c>
      <c r="AJ314" s="228">
        <f ca="1">IFERROR(IF(BB_Switch=1,IF(_xll.BDP($D314,$F$311, "BEST_FPERIOD_OVERRIDE", AJ$3)="#N/A N/A","NA  ",(_xll.BDP($D314,$F$311, "BEST_FPERIOD_OVERRIDE", AJ$3))),AJ314),"NM ")</f>
        <v>3659</v>
      </c>
    </row>
    <row r="315" spans="2:36" ht="11.25" customHeight="1">
      <c r="C315" s="229" t="str">
        <f ca="1">IFERROR(IF(BB_Switch=1,_xll.BDP($D315,$C$270),C315), "NA ")</f>
        <v>Olin Corp</v>
      </c>
      <c r="D315" s="227" t="str">
        <f t="shared" si="123"/>
        <v>OLN US EQUITY</v>
      </c>
      <c r="E315" s="228">
        <f ca="1">IFERROR(IF(BB_Switch=1,IF(_xll.BDP($D315,$D$311, "EQY_FUND_RELATIVE_PERIOD", E$3)="#N/A N/A","NA  ",(_xll.BDP($D315,$D$311, "EQY_FUND_RELATIVE_PERIOD", E$3))),E315),"NA ")</f>
        <v>1567.1</v>
      </c>
      <c r="F315" s="228">
        <f ca="1">IFERROR(IF(BB_Switch=1,IF(_xll.BDP($D315,$D$311, "EQY_FUND_RELATIVE_PERIOD", F$3)="#N/A N/A","NA  ",(_xll.BDP($D315,$D$311, "EQY_FUND_RELATIVE_PERIOD", F$3))),F315),"NA ")</f>
        <v>1526.5</v>
      </c>
      <c r="G315" s="228">
        <f ca="1">IFERROR(IF(BB_Switch=1,IF(_xll.BDP($D315,$D$311, "EQY_FUND_RELATIVE_PERIOD", G$3)="#N/A N/A","NA  ",(_xll.BDP($D315,$D$311, "EQY_FUND_RELATIVE_PERIOD", G$3))),G315),"NA ")</f>
        <v>1554.9</v>
      </c>
      <c r="H315" s="228">
        <f ca="1">IFERROR(IF(BB_Switch=1,IF(_xll.BDP($D315,$D$311, "EQY_FUND_RELATIVE_PERIOD", H$3)="#N/A N/A","NA  ",(_xll.BDP($D315,$D$311, "EQY_FUND_RELATIVE_PERIOD", H$3))),H315),"NA ")</f>
        <v>1619.9</v>
      </c>
      <c r="I315" s="228">
        <f ca="1">IFERROR(IF(BB_Switch=1,IF(_xll.BDP($D315,$D$311, "EQY_FUND_RELATIVE_PERIOD", I$3)="#N/A N/A","NA  ",(_xll.BDP($D315,$D$311, "EQY_FUND_RELATIVE_PERIOD", I$3))),I315),"NA ")</f>
        <v>1710.3</v>
      </c>
      <c r="J315" s="228">
        <f ca="1">IFERROR(IF(BB_Switch=1,IF(_xll.BDP($D315,$D$311, "EQY_FUND_RELATIVE_PERIOD", J$3)="#N/A N/A","NA  ",(_xll.BDP($D315,$D$311, "EQY_FUND_RELATIVE_PERIOD", J$3))),J315),"NA ")</f>
        <v>1728.4</v>
      </c>
      <c r="K315" s="228">
        <f ca="1">IFERROR(IF(BB_Switch=1,IF(_xll.BDP($D315,$D$311, "EQY_FUND_RELATIVE_PERIOD", K$3)="#N/A N/A","NA  ",(_xll.BDP($D315,$D$311, "EQY_FUND_RELATIVE_PERIOD", K$3))),K315),"NA ")</f>
        <v>1872.4</v>
      </c>
      <c r="L315" s="228">
        <f ca="1">IFERROR(IF(BB_Switch=1,IF(_xll.BDP($D315,$D$311, "EQY_FUND_RELATIVE_PERIOD", L$3)="#N/A N/A","NA  ",(_xll.BDP($D315,$D$311, "EQY_FUND_RELATIVE_PERIOD", L$3))),L315),"NA ")</f>
        <v>1635</v>
      </c>
      <c r="M315" s="228">
        <f ca="1">IFERROR(IF(BB_Switch=1,IF(_xll.BDP($D315,$D$311, "EQY_FUND_RELATIVE_PERIOD", M$3)="#N/A N/A","NA  ",(_xll.BDP($D315,$D$311, "EQY_FUND_RELATIVE_PERIOD", M$3))),M315),"NA ")</f>
        <v>1553.4</v>
      </c>
      <c r="N315" s="228">
        <f ca="1">IFERROR(IF(BB_Switch=1,IF(_xll.BDP($D315,$D$311, "EQY_FUND_RELATIVE_PERIOD", N$3)="#N/A N/A","NA  ",(_xll.BDP($D315,$D$311, "EQY_FUND_RELATIVE_PERIOD", N$3))),N315),"NA ")</f>
        <v>1592.9</v>
      </c>
      <c r="O315" s="228">
        <f ca="1">IFERROR(IF(BB_Switch=1,IF(_xll.BDP($D315,$D$311, "EQY_FUND_RELATIVE_PERIOD", O$3)="#N/A N/A","NA  ",(_xll.BDP($D315,$D$311, "EQY_FUND_RELATIVE_PERIOD", O$3))),O315),"NA ")</f>
        <v>1576.6</v>
      </c>
      <c r="P315" s="228">
        <f ca="1">IFERROR(IF(BB_Switch=1,IF(_xll.BDP($D315,$F$311, "BEST_FPERIOD_OVERRIDE", P$3)="#N/A N/A","NA  ",(_xll.BDP($D315,$F$311, "BEST_FPERIOD_OVERRIDE", P$3))),P315),"NM ")</f>
        <v>1390.9</v>
      </c>
      <c r="Q315" s="228">
        <f ca="1">IFERROR(IF(BB_Switch=1,IF(_xll.BDP($D315,$F$311, "BEST_FPERIOD_OVERRIDE", Q$3)="#N/A N/A","NA  ",(_xll.BDP($D315,$F$311, "BEST_FPERIOD_OVERRIDE", Q$3))),Q315),"NM ")</f>
        <v>1396.4</v>
      </c>
      <c r="R315" s="228">
        <f ca="1">IFERROR(IF(BB_Switch=1,IF(_xll.BDP($D315,$F$311, "BEST_FPERIOD_OVERRIDE", R$3)="#N/A N/A","NA  ",(_xll.BDP($D315,$F$311, "BEST_FPERIOD_OVERRIDE", R$3))),R315),"NM ")</f>
        <v>1473.7</v>
      </c>
      <c r="S315" s="228">
        <f ca="1">IFERROR(IF(BB_Switch=1,IF(_xll.BDP($D315,$F$311, "BEST_FPERIOD_OVERRIDE", S$3)="#N/A N/A","NA  ",(_xll.BDP($D315,$F$311, "BEST_FPERIOD_OVERRIDE", S$3))),S315),"NM ")</f>
        <v>1527.2</v>
      </c>
      <c r="T315" s="228">
        <f ca="1">IFERROR(IF(BB_Switch=1,IF(_xll.BDP($D315,$F$311, "BEST_FPERIOD_OVERRIDE", T$3)="#N/A N/A","NA  ",(_xll.BDP($D315,$F$311, "BEST_FPERIOD_OVERRIDE", T$3))),T315),"NM ")</f>
        <v>1493.2</v>
      </c>
      <c r="U315" s="227"/>
      <c r="V315" s="228">
        <f ca="1">IFERROR(IF(BB_Switch=1,IF(_xll.BDP($D315,$D$311, "EQY_FUND_RELATIVE_PERIOD", V$3)="#N/A N/A","NA  ",(_xll.BDP($D315,$D$311, "EQY_FUND_RELATIVE_PERIOD", V$3))),V315),"NA ")</f>
        <v>1585.9</v>
      </c>
      <c r="W315" s="228">
        <f ca="1">IFERROR(IF(BB_Switch=1,IF(_xll.BDP($D315,$D$311, "EQY_FUND_RELATIVE_PERIOD", W$3)="#N/A N/A","NA  ",(_xll.BDP($D315,$D$311, "EQY_FUND_RELATIVE_PERIOD", W$3))),W315),"NA ")</f>
        <v>1961.1</v>
      </c>
      <c r="X315" s="228">
        <f ca="1">IFERROR(IF(BB_Switch=1,IF(_xll.BDP($D315,$D$311, "EQY_FUND_RELATIVE_PERIOD", X$3)="#N/A N/A","NA  ",(_xll.BDP($D315,$D$311, "EQY_FUND_RELATIVE_PERIOD", X$3))),X315),"NA ")</f>
        <v>2184.6999999999998</v>
      </c>
      <c r="Y315" s="228">
        <f ca="1">IFERROR(IF(BB_Switch=1,IF(_xll.BDP($D315,$D$311, "EQY_FUND_RELATIVE_PERIOD", Y$3)="#N/A N/A","NA  ",(_xll.BDP($D315,$D$311, "EQY_FUND_RELATIVE_PERIOD", Y$3))),Y315),"NA ")</f>
        <v>2515</v>
      </c>
      <c r="Z315" s="228">
        <f ca="1">IFERROR(IF(BB_Switch=1,IF(_xll.BDP($D315,$D$311, "EQY_FUND_RELATIVE_PERIOD", Z$3)="#N/A N/A","NA  ",(_xll.BDP($D315,$D$311, "EQY_FUND_RELATIVE_PERIOD", Z$3))),Z315),"NA ")</f>
        <v>2241.1999999999998</v>
      </c>
      <c r="AA315" s="228">
        <f ca="1">IFERROR(IF(BB_Switch=1,IF(_xll.BDP($D315,$D$311, "EQY_FUND_RELATIVE_PERIOD", AA$3)="#N/A N/A","NA  ",(_xll.BDP($D315,$D$311, "EQY_FUND_RELATIVE_PERIOD", AA$3))),AA315),"NA ")</f>
        <v>2854.4</v>
      </c>
      <c r="AB315" s="228">
        <f ca="1">IFERROR(IF(BB_Switch=1,IF(_xll.BDP($D315,$D$311, "EQY_FUND_RELATIVE_PERIOD", AB$3)="#N/A N/A","NA  ",(_xll.BDP($D315,$D$311, "EQY_FUND_RELATIVE_PERIOD", AB$3))),AB315),"NA ")</f>
        <v>5550.6</v>
      </c>
      <c r="AC315" s="228">
        <f ca="1">IFERROR(IF(BB_Switch=1,IF(_xll.BDP($D315,$D$311, "EQY_FUND_RELATIVE_PERIOD", AC$3)="#N/A N/A","NA  ",(_xll.BDP($D315,$D$311, "EQY_FUND_RELATIVE_PERIOD", AC$3))),AC315),"NA ")</f>
        <v>6268.4</v>
      </c>
      <c r="AD315" s="228">
        <f ca="1">IFERROR(IF(BB_Switch=1,IF(_xll.BDP($D315,$D$311, "EQY_FUND_RELATIVE_PERIOD", AD$3)="#N/A N/A","NA  ",(_xll.BDP($D315,$D$311, "EQY_FUND_RELATIVE_PERIOD", AD$3))),AD315),"NA ")</f>
        <v>6946.1</v>
      </c>
      <c r="AE315" s="228">
        <f ca="1">IFERROR(IF(BB_Switch=1,IF(_xll.BDP($D315,$D$311, "EQY_FUND_RELATIVE_PERIOD", AE$3)="#N/A N/A","NA  ",(_xll.BDP($D315,$D$311, "EQY_FUND_RELATIVE_PERIOD", AE$3))),AE315),"NA ")</f>
        <v>6110</v>
      </c>
      <c r="AF315" s="228"/>
      <c r="AG315" s="228">
        <f ca="1">IFERROR(IF(BB_Switch=1,IF(_xll.BDP($D315,$V$311)="#N/A N/A","NA  ",(_xll.BDP($D315,$V$311))),AG315),"NA ")</f>
        <v>6110</v>
      </c>
      <c r="AH315" s="228">
        <f ca="1">IFERROR(IF(BB_Switch=1,IF(_xll.BDP($D315,$F$311, "BEST_FPERIOD_OVERRIDE", AH$3)="#N/A N/A","NA  ",(_xll.BDP($D315,$F$311, "BEST_FPERIOD_OVERRIDE", AH$3))),AH315),"NM ")</f>
        <v>5911.6360000000004</v>
      </c>
      <c r="AI315" s="228">
        <f ca="1">IFERROR(IF(BB_Switch=1,IF(_xll.BDP($D315,$F$311, "BEST_FPERIOD_OVERRIDE", AI$3)="#N/A N/A","NA  ",(_xll.BDP($D315,$F$311, "BEST_FPERIOD_OVERRIDE", AI$3))),AI315),"NM ")</f>
        <v>6431.1</v>
      </c>
      <c r="AJ315" s="228">
        <f ca="1">IFERROR(IF(BB_Switch=1,IF(_xll.BDP($D315,$F$311, "BEST_FPERIOD_OVERRIDE", AJ$3)="#N/A N/A","NA  ",(_xll.BDP($D315,$F$311, "BEST_FPERIOD_OVERRIDE", AJ$3))),AJ315),"NM ")</f>
        <v>6487</v>
      </c>
    </row>
    <row r="316" spans="2:36" ht="11.25" customHeight="1">
      <c r="C316" s="229" t="str">
        <f ca="1">IFERROR(IF(BB_Switch=1,_xll.BDP($D316,$C$270),C316), "NA ")</f>
        <v>LyondellBasell Industries NV</v>
      </c>
      <c r="D316" s="227" t="str">
        <f t="shared" si="123"/>
        <v>LYB US EQUITY</v>
      </c>
      <c r="E316" s="228">
        <f ca="1">IFERROR(IF(BB_Switch=1,IF(_xll.BDP($D316,$D$311, "EQY_FUND_RELATIVE_PERIOD", E$3)="#N/A N/A","NA  ",(_xll.BDP($D316,$D$311, "EQY_FUND_RELATIVE_PERIOD", E$3))),E316),"NA ")</f>
        <v>8430</v>
      </c>
      <c r="F316" s="228">
        <f ca="1">IFERROR(IF(BB_Switch=1,IF(_xll.BDP($D316,$D$311, "EQY_FUND_RELATIVE_PERIOD", F$3)="#N/A N/A","NA  ",(_xll.BDP($D316,$D$311, "EQY_FUND_RELATIVE_PERIOD", F$3))),F316),"NA ")</f>
        <v>8403</v>
      </c>
      <c r="G316" s="228">
        <f ca="1">IFERROR(IF(BB_Switch=1,IF(_xll.BDP($D316,$D$311, "EQY_FUND_RELATIVE_PERIOD", G$3)="#N/A N/A","NA  ",(_xll.BDP($D316,$D$311, "EQY_FUND_RELATIVE_PERIOD", G$3))),G316),"NA ")</f>
        <v>8516</v>
      </c>
      <c r="H316" s="228">
        <f ca="1">IFERROR(IF(BB_Switch=1,IF(_xll.BDP($D316,$D$311, "EQY_FUND_RELATIVE_PERIOD", H$3)="#N/A N/A","NA  ",(_xll.BDP($D316,$D$311, "EQY_FUND_RELATIVE_PERIOD", H$3))),H316),"NA ")</f>
        <v>9135</v>
      </c>
      <c r="I316" s="228">
        <f ca="1">IFERROR(IF(BB_Switch=1,IF(_xll.BDP($D316,$D$311, "EQY_FUND_RELATIVE_PERIOD", I$3)="#N/A N/A","NA  ",(_xll.BDP($D316,$D$311, "EQY_FUND_RELATIVE_PERIOD", I$3))),I316),"NA ")</f>
        <v>9767</v>
      </c>
      <c r="J316" s="228">
        <f ca="1">IFERROR(IF(BB_Switch=1,IF(_xll.BDP($D316,$D$311, "EQY_FUND_RELATIVE_PERIOD", J$3)="#N/A N/A","NA  ",(_xll.BDP($D316,$D$311, "EQY_FUND_RELATIVE_PERIOD", J$3))),J316),"NA ")</f>
        <v>10206</v>
      </c>
      <c r="K316" s="228">
        <f ca="1">IFERROR(IF(BB_Switch=1,IF(_xll.BDP($D316,$D$311, "EQY_FUND_RELATIVE_PERIOD", K$3)="#N/A N/A","NA  ",(_xll.BDP($D316,$D$311, "EQY_FUND_RELATIVE_PERIOD", K$3))),K316),"NA ")</f>
        <v>10155</v>
      </c>
      <c r="L316" s="228">
        <f ca="1">IFERROR(IF(BB_Switch=1,IF(_xll.BDP($D316,$D$311, "EQY_FUND_RELATIVE_PERIOD", L$3)="#N/A N/A","NA  ",(_xll.BDP($D316,$D$311, "EQY_FUND_RELATIVE_PERIOD", L$3))),L316),"NA ")</f>
        <v>8876</v>
      </c>
      <c r="M316" s="228">
        <f ca="1">IFERROR(IF(BB_Switch=1,IF(_xll.BDP($D316,$D$311, "EQY_FUND_RELATIVE_PERIOD", M$3)="#N/A N/A","NA  ",(_xll.BDP($D316,$D$311, "EQY_FUND_RELATIVE_PERIOD", M$3))),M316),"NA ")</f>
        <v>8778</v>
      </c>
      <c r="N316" s="228">
        <f ca="1">IFERROR(IF(BB_Switch=1,IF(_xll.BDP($D316,$D$311, "EQY_FUND_RELATIVE_PERIOD", N$3)="#N/A N/A","NA  ",(_xll.BDP($D316,$D$311, "EQY_FUND_RELATIVE_PERIOD", N$3))),N316),"NA ")</f>
        <v>9048</v>
      </c>
      <c r="O316" s="228">
        <f ca="1">IFERROR(IF(BB_Switch=1,IF(_xll.BDP($D316,$D$311, "EQY_FUND_RELATIVE_PERIOD", O$3)="#N/A N/A","NA  ",(_xll.BDP($D316,$D$311, "EQY_FUND_RELATIVE_PERIOD", O$3))),O316),"NA ")</f>
        <v>8722</v>
      </c>
      <c r="P316" s="228">
        <f ca="1">IFERROR(IF(BB_Switch=1,IF(_xll.BDP($D316,$F$311, "BEST_FPERIOD_OVERRIDE", P$3)="#N/A N/A","NA  ",(_xll.BDP($D316,$F$311, "BEST_FPERIOD_OVERRIDE", P$3))),P316),"NM ")</f>
        <v>8429.9290000000001</v>
      </c>
      <c r="Q316" s="228">
        <f ca="1">IFERROR(IF(BB_Switch=1,IF(_xll.BDP($D316,$F$311, "BEST_FPERIOD_OVERRIDE", Q$3)="#N/A N/A","NA  ",(_xll.BDP($D316,$F$311, "BEST_FPERIOD_OVERRIDE", Q$3))),Q316),"NM ")</f>
        <v>8042.5830000000005</v>
      </c>
      <c r="R316" s="228">
        <f ca="1">IFERROR(IF(BB_Switch=1,IF(_xll.BDP($D316,$F$311, "BEST_FPERIOD_OVERRIDE", R$3)="#N/A N/A","NA  ",(_xll.BDP($D316,$F$311, "BEST_FPERIOD_OVERRIDE", R$3))),R316),"NM ")</f>
        <v>8276.5830000000005</v>
      </c>
      <c r="S316" s="228">
        <f ca="1">IFERROR(IF(BB_Switch=1,IF(_xll.BDP($D316,$F$311, "BEST_FPERIOD_OVERRIDE", S$3)="#N/A N/A","NA  ",(_xll.BDP($D316,$F$311, "BEST_FPERIOD_OVERRIDE", S$3))),S316),"NM ")</f>
        <v>8457.6669999999995</v>
      </c>
      <c r="T316" s="228">
        <f ca="1">IFERROR(IF(BB_Switch=1,IF(_xll.BDP($D316,$F$311, "BEST_FPERIOD_OVERRIDE", T$3)="#N/A N/A","NA  ",(_xll.BDP($D316,$F$311, "BEST_FPERIOD_OVERRIDE", T$3))),T316),"NM ")</f>
        <v>8144.1670000000004</v>
      </c>
      <c r="U316" s="227"/>
      <c r="V316" s="228">
        <f ca="1">IFERROR(IF(BB_Switch=1,IF(_xll.BDP($D316,$D$311, "EQY_FUND_RELATIVE_PERIOD", V$3)="#N/A N/A","NA  ",(_xll.BDP($D316,$D$311, "EQY_FUND_RELATIVE_PERIOD", V$3))),V316),"NA ")</f>
        <v>41151</v>
      </c>
      <c r="W316" s="228">
        <f ca="1">IFERROR(IF(BB_Switch=1,IF(_xll.BDP($D316,$D$311, "EQY_FUND_RELATIVE_PERIOD", W$3)="#N/A N/A","NA  ",(_xll.BDP($D316,$D$311, "EQY_FUND_RELATIVE_PERIOD", W$3))),W316),"NA ")</f>
        <v>48183</v>
      </c>
      <c r="X316" s="228">
        <f ca="1">IFERROR(IF(BB_Switch=1,IF(_xll.BDP($D316,$D$311, "EQY_FUND_RELATIVE_PERIOD", X$3)="#N/A N/A","NA  ",(_xll.BDP($D316,$D$311, "EQY_FUND_RELATIVE_PERIOD", X$3))),X316),"NA ")</f>
        <v>45352</v>
      </c>
      <c r="Y316" s="228">
        <f ca="1">IFERROR(IF(BB_Switch=1,IF(_xll.BDP($D316,$D$311, "EQY_FUND_RELATIVE_PERIOD", Y$3)="#N/A N/A","NA  ",(_xll.BDP($D316,$D$311, "EQY_FUND_RELATIVE_PERIOD", Y$3))),Y316),"NA ")</f>
        <v>44062</v>
      </c>
      <c r="Z316" s="228">
        <f ca="1">IFERROR(IF(BB_Switch=1,IF(_xll.BDP($D316,$D$311, "EQY_FUND_RELATIVE_PERIOD", Z$3)="#N/A N/A","NA  ",(_xll.BDP($D316,$D$311, "EQY_FUND_RELATIVE_PERIOD", Z$3))),Z316),"NA ")</f>
        <v>45608</v>
      </c>
      <c r="AA316" s="228">
        <f ca="1">IFERROR(IF(BB_Switch=1,IF(_xll.BDP($D316,$D$311, "EQY_FUND_RELATIVE_PERIOD", AA$3)="#N/A N/A","NA  ",(_xll.BDP($D316,$D$311, "EQY_FUND_RELATIVE_PERIOD", AA$3))),AA316),"NA ")</f>
        <v>32735</v>
      </c>
      <c r="AB316" s="228">
        <f ca="1">IFERROR(IF(BB_Switch=1,IF(_xll.BDP($D316,$D$311, "EQY_FUND_RELATIVE_PERIOD", AB$3)="#N/A N/A","NA  ",(_xll.BDP($D316,$D$311, "EQY_FUND_RELATIVE_PERIOD", AB$3))),AB316),"NA ")</f>
        <v>29183</v>
      </c>
      <c r="AC316" s="228">
        <f ca="1">IFERROR(IF(BB_Switch=1,IF(_xll.BDP($D316,$D$311, "EQY_FUND_RELATIVE_PERIOD", AC$3)="#N/A N/A","NA  ",(_xll.BDP($D316,$D$311, "EQY_FUND_RELATIVE_PERIOD", AC$3))),AC316),"NA ")</f>
        <v>34484</v>
      </c>
      <c r="AD316" s="228">
        <f ca="1">IFERROR(IF(BB_Switch=1,IF(_xll.BDP($D316,$D$311, "EQY_FUND_RELATIVE_PERIOD", AD$3)="#N/A N/A","NA  ",(_xll.BDP($D316,$D$311, "EQY_FUND_RELATIVE_PERIOD", AD$3))),AD316),"NA ")</f>
        <v>39004</v>
      </c>
      <c r="AE316" s="228">
        <f ca="1">IFERROR(IF(BB_Switch=1,IF(_xll.BDP($D316,$D$311, "EQY_FUND_RELATIVE_PERIOD", AE$3)="#N/A N/A","NA  ",(_xll.BDP($D316,$D$311, "EQY_FUND_RELATIVE_PERIOD", AE$3))),AE316),"NA ")</f>
        <v>34727</v>
      </c>
      <c r="AF316" s="228"/>
      <c r="AG316" s="228">
        <f ca="1">IFERROR(IF(BB_Switch=1,IF(_xll.BDP($D316,$V$311)="#N/A N/A","NA  ",(_xll.BDP($D316,$V$311))),AG316),"NA ")</f>
        <v>34727</v>
      </c>
      <c r="AH316" s="228">
        <f ca="1">IFERROR(IF(BB_Switch=1,IF(_xll.BDP($D316,$F$311, "BEST_FPERIOD_OVERRIDE", AH$3)="#N/A N/A","NA  ",(_xll.BDP($D316,$F$311, "BEST_FPERIOD_OVERRIDE", AH$3))),AH316),"NM ")</f>
        <v>32495.938000000002</v>
      </c>
      <c r="AI316" s="228">
        <f ca="1">IFERROR(IF(BB_Switch=1,IF(_xll.BDP($D316,$F$311, "BEST_FPERIOD_OVERRIDE", AI$3)="#N/A N/A","NA  ",(_xll.BDP($D316,$F$311, "BEST_FPERIOD_OVERRIDE", AI$3))),AI316),"NM ")</f>
        <v>33261.199999999997</v>
      </c>
      <c r="AJ316" s="228">
        <f ca="1">IFERROR(IF(BB_Switch=1,IF(_xll.BDP($D316,$F$311, "BEST_FPERIOD_OVERRIDE", AJ$3)="#N/A N/A","NA  ",(_xll.BDP($D316,$F$311, "BEST_FPERIOD_OVERRIDE", AJ$3))),AJ316),"NM ")</f>
        <v>33921.222000000002</v>
      </c>
    </row>
    <row r="317" spans="2:36" s="227" customFormat="1" ht="11.25" customHeight="1">
      <c r="B317" s="217"/>
      <c r="C317" s="229" t="str">
        <f ca="1">IFERROR(IF(BB_Switch=1,_xll.BDP($D317,$C$270),C317), "NA ")</f>
        <v>Westlake Chemical Corp</v>
      </c>
      <c r="D317" s="227" t="str">
        <f t="shared" si="123"/>
        <v>WLK US EQUITY</v>
      </c>
      <c r="E317" s="228">
        <f ca="1">IFERROR(IF(BB_Switch=1,IF(_xll.BDP($D317,$D$311, "EQY_FUND_RELATIVE_PERIOD", E$3)="#N/A N/A","NA  ",(_xll.BDP($D317,$D$311, "EQY_FUND_RELATIVE_PERIOD", E$3))),E317),"NA ")</f>
        <v>1943</v>
      </c>
      <c r="F317" s="228">
        <f ca="1">IFERROR(IF(BB_Switch=1,IF(_xll.BDP($D317,$D$311, "EQY_FUND_RELATIVE_PERIOD", F$3)="#N/A N/A","NA  ",(_xll.BDP($D317,$D$311, "EQY_FUND_RELATIVE_PERIOD", F$3))),F317),"NA ")</f>
        <v>1979</v>
      </c>
      <c r="G317" s="228">
        <f ca="1">IFERROR(IF(BB_Switch=1,IF(_xll.BDP($D317,$D$311, "EQY_FUND_RELATIVE_PERIOD", G$3)="#N/A N/A","NA  ",(_xll.BDP($D317,$D$311, "EQY_FUND_RELATIVE_PERIOD", G$3))),G317),"NA ")</f>
        <v>2109</v>
      </c>
      <c r="H317" s="228">
        <f ca="1">IFERROR(IF(BB_Switch=1,IF(_xll.BDP($D317,$D$311, "EQY_FUND_RELATIVE_PERIOD", H$3)="#N/A N/A","NA  ",(_xll.BDP($D317,$D$311, "EQY_FUND_RELATIVE_PERIOD", H$3))),H317),"NA ")</f>
        <v>2010</v>
      </c>
      <c r="I317" s="228">
        <f ca="1">IFERROR(IF(BB_Switch=1,IF(_xll.BDP($D317,$D$311, "EQY_FUND_RELATIVE_PERIOD", I$3)="#N/A N/A","NA  ",(_xll.BDP($D317,$D$311, "EQY_FUND_RELATIVE_PERIOD", I$3))),I317),"NA ")</f>
        <v>2150</v>
      </c>
      <c r="J317" s="228">
        <f ca="1">IFERROR(IF(BB_Switch=1,IF(_xll.BDP($D317,$D$311, "EQY_FUND_RELATIVE_PERIOD", J$3)="#N/A N/A","NA  ",(_xll.BDP($D317,$D$311, "EQY_FUND_RELATIVE_PERIOD", J$3))),J317),"NA ")</f>
        <v>2235</v>
      </c>
      <c r="K317" s="228">
        <f ca="1">IFERROR(IF(BB_Switch=1,IF(_xll.BDP($D317,$D$311, "EQY_FUND_RELATIVE_PERIOD", K$3)="#N/A N/A","NA  ",(_xll.BDP($D317,$D$311, "EQY_FUND_RELATIVE_PERIOD", K$3))),K317),"NA ")</f>
        <v>2255</v>
      </c>
      <c r="L317" s="228">
        <f ca="1">IFERROR(IF(BB_Switch=1,IF(_xll.BDP($D317,$D$311, "EQY_FUND_RELATIVE_PERIOD", L$3)="#N/A N/A","NA  ",(_xll.BDP($D317,$D$311, "EQY_FUND_RELATIVE_PERIOD", L$3))),L317),"NA ")</f>
        <v>1995</v>
      </c>
      <c r="M317" s="228">
        <f ca="1">IFERROR(IF(BB_Switch=1,IF(_xll.BDP($D317,$D$311, "EQY_FUND_RELATIVE_PERIOD", M$3)="#N/A N/A","NA  ",(_xll.BDP($D317,$D$311, "EQY_FUND_RELATIVE_PERIOD", M$3))),M317),"NA ")</f>
        <v>2025</v>
      </c>
      <c r="N317" s="228">
        <f ca="1">IFERROR(IF(BB_Switch=1,IF(_xll.BDP($D317,$D$311, "EQY_FUND_RELATIVE_PERIOD", N$3)="#N/A N/A","NA  ",(_xll.BDP($D317,$D$311, "EQY_FUND_RELATIVE_PERIOD", N$3))),N317),"NA ")</f>
        <v>2144</v>
      </c>
      <c r="O317" s="228">
        <f ca="1">IFERROR(IF(BB_Switch=1,IF(_xll.BDP($D317,$D$311, "EQY_FUND_RELATIVE_PERIOD", O$3)="#N/A N/A","NA  ",(_xll.BDP($D317,$D$311, "EQY_FUND_RELATIVE_PERIOD", O$3))),O317),"NA ")</f>
        <v>2066</v>
      </c>
      <c r="P317" s="228">
        <f ca="1">IFERROR(IF(BB_Switch=1,IF(_xll.BDP($D317,$F$311, "BEST_FPERIOD_OVERRIDE", P$3)="#N/A N/A","NA  ",(_xll.BDP($D317,$F$311, "BEST_FPERIOD_OVERRIDE", P$3))),P317),"NM ")</f>
        <v>1919.308</v>
      </c>
      <c r="Q317" s="228">
        <f ca="1">IFERROR(IF(BB_Switch=1,IF(_xll.BDP($D317,$F$311, "BEST_FPERIOD_OVERRIDE", Q$3)="#N/A N/A","NA  ",(_xll.BDP($D317,$F$311, "BEST_FPERIOD_OVERRIDE", Q$3))),Q317),"NM ")</f>
        <v>1967</v>
      </c>
      <c r="R317" s="228">
        <f ca="1">IFERROR(IF(BB_Switch=1,IF(_xll.BDP($D317,$F$311, "BEST_FPERIOD_OVERRIDE", R$3)="#N/A N/A","NA  ",(_xll.BDP($D317,$F$311, "BEST_FPERIOD_OVERRIDE", R$3))),R317),"NM ")</f>
        <v>2099.5830000000001</v>
      </c>
      <c r="S317" s="228">
        <f ca="1">IFERROR(IF(BB_Switch=1,IF(_xll.BDP($D317,$F$311, "BEST_FPERIOD_OVERRIDE", S$3)="#N/A N/A","NA  ",(_xll.BDP($D317,$F$311, "BEST_FPERIOD_OVERRIDE", S$3))),S317),"NM ")</f>
        <v>2081.6669999999999</v>
      </c>
      <c r="T317" s="228">
        <f ca="1">IFERROR(IF(BB_Switch=1,IF(_xll.BDP($D317,$F$311, "BEST_FPERIOD_OVERRIDE", T$3)="#N/A N/A","NA  ",(_xll.BDP($D317,$F$311, "BEST_FPERIOD_OVERRIDE", T$3))),T317),"NM ")</f>
        <v>1964.1670000000001</v>
      </c>
      <c r="V317" s="228">
        <f ca="1">IFERROR(IF(BB_Switch=1,IF(_xll.BDP($D317,$D$311, "EQY_FUND_RELATIVE_PERIOD", V$3)="#N/A N/A","NA  ",(_xll.BDP($D317,$D$311, "EQY_FUND_RELATIVE_PERIOD", V$3))),V317),"NA ")</f>
        <v>3171.7869999999998</v>
      </c>
      <c r="W317" s="228">
        <f ca="1">IFERROR(IF(BB_Switch=1,IF(_xll.BDP($D317,$D$311, "EQY_FUND_RELATIVE_PERIOD", W$3)="#N/A N/A","NA  ",(_xll.BDP($D317,$D$311, "EQY_FUND_RELATIVE_PERIOD", W$3))),W317),"NA ")</f>
        <v>3619.848</v>
      </c>
      <c r="X317" s="228">
        <f ca="1">IFERROR(IF(BB_Switch=1,IF(_xll.BDP($D317,$D$311, "EQY_FUND_RELATIVE_PERIOD", X$3)="#N/A N/A","NA  ",(_xll.BDP($D317,$D$311, "EQY_FUND_RELATIVE_PERIOD", X$3))),X317),"NA ")</f>
        <v>3571.0410000000002</v>
      </c>
      <c r="Y317" s="228">
        <f ca="1">IFERROR(IF(BB_Switch=1,IF(_xll.BDP($D317,$D$311, "EQY_FUND_RELATIVE_PERIOD", Y$3)="#N/A N/A","NA  ",(_xll.BDP($D317,$D$311, "EQY_FUND_RELATIVE_PERIOD", Y$3))),Y317),"NA ")</f>
        <v>3759.4839999999999</v>
      </c>
      <c r="Z317" s="228">
        <f ca="1">IFERROR(IF(BB_Switch=1,IF(_xll.BDP($D317,$D$311, "EQY_FUND_RELATIVE_PERIOD", Z$3)="#N/A N/A","NA  ",(_xll.BDP($D317,$D$311, "EQY_FUND_RELATIVE_PERIOD", Z$3))),Z317),"NA ")</f>
        <v>4415.3500000000004</v>
      </c>
      <c r="AA317" s="228">
        <f ca="1">IFERROR(IF(BB_Switch=1,IF(_xll.BDP($D317,$D$311, "EQY_FUND_RELATIVE_PERIOD", AA$3)="#N/A N/A","NA  ",(_xll.BDP($D317,$D$311, "EQY_FUND_RELATIVE_PERIOD", AA$3))),AA317),"NA ")</f>
        <v>4463.3360000000002</v>
      </c>
      <c r="AB317" s="228">
        <f ca="1">IFERROR(IF(BB_Switch=1,IF(_xll.BDP($D317,$D$311, "EQY_FUND_RELATIVE_PERIOD", AB$3)="#N/A N/A","NA  ",(_xll.BDP($D317,$D$311, "EQY_FUND_RELATIVE_PERIOD", AB$3))),AB317),"NA ")</f>
        <v>5076</v>
      </c>
      <c r="AC317" s="228">
        <f ca="1">IFERROR(IF(BB_Switch=1,IF(_xll.BDP($D317,$D$311, "EQY_FUND_RELATIVE_PERIOD", AC$3)="#N/A N/A","NA  ",(_xll.BDP($D317,$D$311, "EQY_FUND_RELATIVE_PERIOD", AC$3))),AC317),"NA ")</f>
        <v>8041</v>
      </c>
      <c r="AD317" s="228">
        <f ca="1">IFERROR(IF(BB_Switch=1,IF(_xll.BDP($D317,$D$311, "EQY_FUND_RELATIVE_PERIOD", AD$3)="#N/A N/A","NA  ",(_xll.BDP($D317,$D$311, "EQY_FUND_RELATIVE_PERIOD", AD$3))),AD317),"NA ")</f>
        <v>8635</v>
      </c>
      <c r="AE317" s="228">
        <f ca="1">IFERROR(IF(BB_Switch=1,IF(_xll.BDP($D317,$D$311, "EQY_FUND_RELATIVE_PERIOD", AE$3)="#N/A N/A","NA  ",(_xll.BDP($D317,$D$311, "EQY_FUND_RELATIVE_PERIOD", AE$3))),AE317),"NA ")</f>
        <v>8118</v>
      </c>
      <c r="AF317" s="228"/>
      <c r="AG317" s="228">
        <f ca="1">IFERROR(IF(BB_Switch=1,IF(_xll.BDP($D317,$V$311)="#N/A N/A","NA  ",(_xll.BDP($D317,$V$311))),AG317),"NA ")</f>
        <v>8118</v>
      </c>
      <c r="AH317" s="228">
        <f ca="1">IFERROR(IF(BB_Switch=1,IF(_xll.BDP($D317,$F$311, "BEST_FPERIOD_OVERRIDE", AH$3)="#N/A N/A","NA  ",(_xll.BDP($D317,$F$311, "BEST_FPERIOD_OVERRIDE", AH$3))),AH317),"NM ")</f>
        <v>8094.643</v>
      </c>
      <c r="AI317" s="228">
        <f ca="1">IFERROR(IF(BB_Switch=1,IF(_xll.BDP($D317,$F$311, "BEST_FPERIOD_OVERRIDE", AI$3)="#N/A N/A","NA  ",(_xll.BDP($D317,$F$311, "BEST_FPERIOD_OVERRIDE", AI$3))),AI317),"NM ")</f>
        <v>8294.8459999999995</v>
      </c>
      <c r="AJ317" s="228">
        <f ca="1">IFERROR(IF(BB_Switch=1,IF(_xll.BDP($D317,$F$311, "BEST_FPERIOD_OVERRIDE", AJ$3)="#N/A N/A","NA  ",(_xll.BDP($D317,$F$311, "BEST_FPERIOD_OVERRIDE", AJ$3))),AJ317),"NM ")</f>
        <v>8623.5709999999999</v>
      </c>
    </row>
    <row r="318" spans="2:36" s="227" customFormat="1" ht="11.25" customHeight="1">
      <c r="B318" s="217"/>
      <c r="C318" s="229" t="str">
        <f ca="1">IFERROR(IF(BB_Switch=1,_xll.BDP($D318,$C$270),C318), "NA ")</f>
        <v>Kraton Corp</v>
      </c>
      <c r="D318" s="227" t="str">
        <f t="shared" si="123"/>
        <v>KRA US EQUITY</v>
      </c>
      <c r="E318" s="228">
        <f ca="1">IFERROR(IF(BB_Switch=1,IF(_xll.BDP($D318,$D$311, "EQY_FUND_RELATIVE_PERIOD", E$3)="#N/A N/A","NA  ",(_xll.BDP($D318,$D$311, "EQY_FUND_RELATIVE_PERIOD", E$3))),E318),"NA ")</f>
        <v>458.125</v>
      </c>
      <c r="F318" s="228">
        <f ca="1">IFERROR(IF(BB_Switch=1,IF(_xll.BDP($D318,$D$311, "EQY_FUND_RELATIVE_PERIOD", F$3)="#N/A N/A","NA  ",(_xll.BDP($D318,$D$311, "EQY_FUND_RELATIVE_PERIOD", F$3))),F318),"NA ")</f>
        <v>525.32000000000005</v>
      </c>
      <c r="G318" s="228">
        <f ca="1">IFERROR(IF(BB_Switch=1,IF(_xll.BDP($D318,$D$311, "EQY_FUND_RELATIVE_PERIOD", G$3)="#N/A N/A","NA  ",(_xll.BDP($D318,$D$311, "EQY_FUND_RELATIVE_PERIOD", G$3))),G318),"NA ")</f>
        <v>510.947</v>
      </c>
      <c r="H318" s="228">
        <f ca="1">IFERROR(IF(BB_Switch=1,IF(_xll.BDP($D318,$D$311, "EQY_FUND_RELATIVE_PERIOD", H$3)="#N/A N/A","NA  ",(_xll.BDP($D318,$D$311, "EQY_FUND_RELATIVE_PERIOD", H$3))),H318),"NA ")</f>
        <v>465.97</v>
      </c>
      <c r="I318" s="228">
        <f ca="1">IFERROR(IF(BB_Switch=1,IF(_xll.BDP($D318,$D$311, "EQY_FUND_RELATIVE_PERIOD", I$3)="#N/A N/A","NA  ",(_xll.BDP($D318,$D$311, "EQY_FUND_RELATIVE_PERIOD", I$3))),I318),"NA ")</f>
        <v>502.392</v>
      </c>
      <c r="J318" s="228">
        <f ca="1">IFERROR(IF(BB_Switch=1,IF(_xll.BDP($D318,$D$311, "EQY_FUND_RELATIVE_PERIOD", J$3)="#N/A N/A","NA  ",(_xll.BDP($D318,$D$311, "EQY_FUND_RELATIVE_PERIOD", J$3))),J318),"NA ")</f>
        <v>538.39499999999998</v>
      </c>
      <c r="K318" s="228">
        <f ca="1">IFERROR(IF(BB_Switch=1,IF(_xll.BDP($D318,$D$311, "EQY_FUND_RELATIVE_PERIOD", K$3)="#N/A N/A","NA  ",(_xll.BDP($D318,$D$311, "EQY_FUND_RELATIVE_PERIOD", K$3))),K318),"NA ")</f>
        <v>523.10500000000002</v>
      </c>
      <c r="L318" s="228">
        <f ca="1">IFERROR(IF(BB_Switch=1,IF(_xll.BDP($D318,$D$311, "EQY_FUND_RELATIVE_PERIOD", L$3)="#N/A N/A","NA  ",(_xll.BDP($D318,$D$311, "EQY_FUND_RELATIVE_PERIOD", L$3))),L318),"NA ")</f>
        <v>447.78300000000002</v>
      </c>
      <c r="M318" s="228">
        <f ca="1">IFERROR(IF(BB_Switch=1,IF(_xll.BDP($D318,$D$311, "EQY_FUND_RELATIVE_PERIOD", M$3)="#N/A N/A","NA  ",(_xll.BDP($D318,$D$311, "EQY_FUND_RELATIVE_PERIOD", M$3))),M318),"NA ")</f>
        <v>456.411</v>
      </c>
      <c r="N318" s="228">
        <f ca="1">IFERROR(IF(BB_Switch=1,IF(_xll.BDP($D318,$D$311, "EQY_FUND_RELATIVE_PERIOD", N$3)="#N/A N/A","NA  ",(_xll.BDP($D318,$D$311, "EQY_FUND_RELATIVE_PERIOD", N$3))),N318),"NA ")</f>
        <v>495.28</v>
      </c>
      <c r="O318" s="228">
        <f ca="1">IFERROR(IF(BB_Switch=1,IF(_xll.BDP($D318,$D$311, "EQY_FUND_RELATIVE_PERIOD", O$3)="#N/A N/A","NA  ",(_xll.BDP($D318,$D$311, "EQY_FUND_RELATIVE_PERIOD", O$3))),O318),"NA ")</f>
        <v>444.221</v>
      </c>
      <c r="P318" s="228">
        <f ca="1">IFERROR(IF(BB_Switch=1,IF(_xll.BDP($D318,$F$311, "BEST_FPERIOD_OVERRIDE", P$3)="#N/A N/A","NA  ",(_xll.BDP($D318,$F$311, "BEST_FPERIOD_OVERRIDE", P$3))),P318),"NM ")</f>
        <v>386.5</v>
      </c>
      <c r="Q318" s="228">
        <f ca="1">IFERROR(IF(BB_Switch=1,IF(_xll.BDP($D318,$F$311, "BEST_FPERIOD_OVERRIDE", Q$3)="#N/A N/A","NA  ",(_xll.BDP($D318,$F$311, "BEST_FPERIOD_OVERRIDE", Q$3))),Q318),"NM ")</f>
        <v>407.75</v>
      </c>
      <c r="R318" s="228">
        <f ca="1">IFERROR(IF(BB_Switch=1,IF(_xll.BDP($D318,$F$311, "BEST_FPERIOD_OVERRIDE", R$3)="#N/A N/A","NA  ",(_xll.BDP($D318,$F$311, "BEST_FPERIOD_OVERRIDE", R$3))),R318),"NM ")</f>
        <v>423.5</v>
      </c>
      <c r="S318" s="228">
        <f ca="1">IFERROR(IF(BB_Switch=1,IF(_xll.BDP($D318,$F$311, "BEST_FPERIOD_OVERRIDE", S$3)="#N/A N/A","NA  ",(_xll.BDP($D318,$F$311, "BEST_FPERIOD_OVERRIDE", S$3))),S318),"NM ")</f>
        <v>413.25</v>
      </c>
      <c r="T318" s="228">
        <f ca="1">IFERROR(IF(BB_Switch=1,IF(_xll.BDP($D318,$F$311, "BEST_FPERIOD_OVERRIDE", T$3)="#N/A N/A","NA  ",(_xll.BDP($D318,$F$311, "BEST_FPERIOD_OVERRIDE", T$3))),T318),"NM ")</f>
        <v>375.75</v>
      </c>
      <c r="V318" s="228">
        <f ca="1">IFERROR(IF(BB_Switch=1,IF(_xll.BDP($D318,$D$311, "EQY_FUND_RELATIVE_PERIOD", V$3)="#N/A N/A","NA  ",(_xll.BDP($D318,$D$311, "EQY_FUND_RELATIVE_PERIOD", V$3))),V318),"NA ")</f>
        <v>1228.425</v>
      </c>
      <c r="W318" s="228">
        <f ca="1">IFERROR(IF(BB_Switch=1,IF(_xll.BDP($D318,$D$311, "EQY_FUND_RELATIVE_PERIOD", W$3)="#N/A N/A","NA  ",(_xll.BDP($D318,$D$311, "EQY_FUND_RELATIVE_PERIOD", W$3))),W318),"NA ")</f>
        <v>1437.479</v>
      </c>
      <c r="X318" s="228">
        <f ca="1">IFERROR(IF(BB_Switch=1,IF(_xll.BDP($D318,$D$311, "EQY_FUND_RELATIVE_PERIOD", X$3)="#N/A N/A","NA  ",(_xll.BDP($D318,$D$311, "EQY_FUND_RELATIVE_PERIOD", X$3))),X318),"NA ")</f>
        <v>1423.1220000000001</v>
      </c>
      <c r="Y318" s="228">
        <f ca="1">IFERROR(IF(BB_Switch=1,IF(_xll.BDP($D318,$D$311, "EQY_FUND_RELATIVE_PERIOD", Y$3)="#N/A N/A","NA  ",(_xll.BDP($D318,$D$311, "EQY_FUND_RELATIVE_PERIOD", Y$3))),Y318),"NA ")</f>
        <v>1292.1210000000001</v>
      </c>
      <c r="Z318" s="228">
        <f ca="1">IFERROR(IF(BB_Switch=1,IF(_xll.BDP($D318,$D$311, "EQY_FUND_RELATIVE_PERIOD", Z$3)="#N/A N/A","NA  ",(_xll.BDP($D318,$D$311, "EQY_FUND_RELATIVE_PERIOD", Z$3))),Z318),"NA ")</f>
        <v>1230.433</v>
      </c>
      <c r="AA318" s="228">
        <f ca="1">IFERROR(IF(BB_Switch=1,IF(_xll.BDP($D318,$D$311, "EQY_FUND_RELATIVE_PERIOD", AA$3)="#N/A N/A","NA  ",(_xll.BDP($D318,$D$311, "EQY_FUND_RELATIVE_PERIOD", AA$3))),AA318),"NA ")</f>
        <v>1034.626</v>
      </c>
      <c r="AB318" s="228">
        <f ca="1">IFERROR(IF(BB_Switch=1,IF(_xll.BDP($D318,$D$311, "EQY_FUND_RELATIVE_PERIOD", AB$3)="#N/A N/A","NA  ",(_xll.BDP($D318,$D$311, "EQY_FUND_RELATIVE_PERIOD", AB$3))),AB318),"NA ")</f>
        <v>1744.104</v>
      </c>
      <c r="AC318" s="228">
        <f ca="1">IFERROR(IF(BB_Switch=1,IF(_xll.BDP($D318,$D$311, "EQY_FUND_RELATIVE_PERIOD", AC$3)="#N/A N/A","NA  ",(_xll.BDP($D318,$D$311, "EQY_FUND_RELATIVE_PERIOD", AC$3))),AC318),"NA ")</f>
        <v>1960.3620000000001</v>
      </c>
      <c r="AD318" s="228">
        <f ca="1">IFERROR(IF(BB_Switch=1,IF(_xll.BDP($D318,$D$311, "EQY_FUND_RELATIVE_PERIOD", AD$3)="#N/A N/A","NA  ",(_xll.BDP($D318,$D$311, "EQY_FUND_RELATIVE_PERIOD", AD$3))),AD318),"NA ")</f>
        <v>2011.675</v>
      </c>
      <c r="AE318" s="228">
        <f ca="1">IFERROR(IF(BB_Switch=1,IF(_xll.BDP($D318,$D$311, "EQY_FUND_RELATIVE_PERIOD", AE$3)="#N/A N/A","NA  ",(_xll.BDP($D318,$D$311, "EQY_FUND_RELATIVE_PERIOD", AE$3))),AE318),"NA ")</f>
        <v>1804.4359999999999</v>
      </c>
      <c r="AF318" s="228"/>
      <c r="AG318" s="228">
        <f ca="1">IFERROR(IF(BB_Switch=1,IF(_xll.BDP($D318,$V$311)="#N/A N/A","NA  ",(_xll.BDP($D318,$V$311))),AG318),"NA ")</f>
        <v>1804.4360000000001</v>
      </c>
      <c r="AH318" s="228">
        <f ca="1">IFERROR(IF(BB_Switch=1,IF(_xll.BDP($D318,$F$311, "BEST_FPERIOD_OVERRIDE", AH$3)="#N/A N/A","NA  ",(_xll.BDP($D318,$F$311, "BEST_FPERIOD_OVERRIDE", AH$3))),AH318),"NM ")</f>
        <v>1620.5</v>
      </c>
      <c r="AI318" s="228">
        <f ca="1">IFERROR(IF(BB_Switch=1,IF(_xll.BDP($D318,$F$311, "BEST_FPERIOD_OVERRIDE", AI$3)="#N/A N/A","NA  ",(_xll.BDP($D318,$F$311, "BEST_FPERIOD_OVERRIDE", AI$3))),AI318),"NM ")</f>
        <v>1652.25</v>
      </c>
      <c r="AJ318" s="228">
        <f ca="1">IFERROR(IF(BB_Switch=1,IF(_xll.BDP($D318,$F$311, "BEST_FPERIOD_OVERRIDE", AJ$3)="#N/A N/A","NA  ",(_xll.BDP($D318,$F$311, "BEST_FPERIOD_OVERRIDE", AJ$3))),AJ318),"NM ")</f>
        <v>1587</v>
      </c>
    </row>
    <row r="319" spans="2:36" s="227" customFormat="1" ht="11.25" customHeight="1">
      <c r="B319" s="217"/>
      <c r="C319" s="229" t="str">
        <f ca="1">IFERROR(IF(BB_Switch=1,_xll.BDP($D319,$C$270),C319), "NA ")</f>
        <v>Dow Inc</v>
      </c>
      <c r="D319" s="227" t="str">
        <f t="shared" si="123"/>
        <v>DOW US EQUITY</v>
      </c>
      <c r="E319" s="228">
        <f ca="1">IFERROR(IF(BB_Switch=1,IF(_xll.BDP($D319,$D$311, "EQY_FUND_RELATIVE_PERIOD", E$3)="#N/A N/A","NA  ",(_xll.BDP($D319,$D$311, "EQY_FUND_RELATIVE_PERIOD", E$3))),E319),"NA ")</f>
        <v>10521</v>
      </c>
      <c r="F319" s="228">
        <f ca="1">IFERROR(IF(BB_Switch=1,IF(_xll.BDP($D319,$D$311, "EQY_FUND_RELATIVE_PERIOD", F$3)="#N/A N/A","NA  ",(_xll.BDP($D319,$D$311, "EQY_FUND_RELATIVE_PERIOD", F$3))),F319),"NA ")</f>
        <v>10936</v>
      </c>
      <c r="G319" s="228">
        <f ca="1">IFERROR(IF(BB_Switch=1,IF(_xll.BDP($D319,$D$311, "EQY_FUND_RELATIVE_PERIOD", G$3)="#N/A N/A","NA  ",(_xll.BDP($D319,$D$311, "EQY_FUND_RELATIVE_PERIOD", G$3))),G319),"NA ")</f>
        <v>11254</v>
      </c>
      <c r="H319" s="228">
        <f ca="1">IFERROR(IF(BB_Switch=1,IF(_xll.BDP($D319,$D$311, "EQY_FUND_RELATIVE_PERIOD", H$3)="#N/A N/A","NA  ",(_xll.BDP($D319,$D$311, "EQY_FUND_RELATIVE_PERIOD", H$3))),H319),"NA ")</f>
        <v>11019</v>
      </c>
      <c r="I319" s="228">
        <f ca="1">IFERROR(IF(BB_Switch=1,IF(_xll.BDP($D319,$D$311, "EQY_FUND_RELATIVE_PERIOD", I$3)="#N/A N/A","NA  ",(_xll.BDP($D319,$D$311, "EQY_FUND_RELATIVE_PERIOD", I$3))),I319),"NA ")</f>
        <v>12296</v>
      </c>
      <c r="J319" s="228">
        <f ca="1">IFERROR(IF(BB_Switch=1,IF(_xll.BDP($D319,$D$311, "EQY_FUND_RELATIVE_PERIOD", J$3)="#N/A N/A","NA  ",(_xll.BDP($D319,$D$311, "EQY_FUND_RELATIVE_PERIOD", J$3))),J319),"NA ")</f>
        <v>12789</v>
      </c>
      <c r="K319" s="228">
        <f ca="1">IFERROR(IF(BB_Switch=1,IF(_xll.BDP($D319,$D$311, "EQY_FUND_RELATIVE_PERIOD", K$3)="#N/A N/A","NA  ",(_xll.BDP($D319,$D$311, "EQY_FUND_RELATIVE_PERIOD", K$3))),K319),"NA ")</f>
        <v>12634</v>
      </c>
      <c r="L319" s="228">
        <f ca="1">IFERROR(IF(BB_Switch=1,IF(_xll.BDP($D319,$D$311, "EQY_FUND_RELATIVE_PERIOD", L$3)="#N/A N/A","NA  ",(_xll.BDP($D319,$D$311, "EQY_FUND_RELATIVE_PERIOD", L$3))),L319),"NA ")</f>
        <v>11944</v>
      </c>
      <c r="M319" s="228">
        <f ca="1">IFERROR(IF(BB_Switch=1,IF(_xll.BDP($D319,$D$311, "EQY_FUND_RELATIVE_PERIOD", M$3)="#N/A N/A","NA  ",(_xll.BDP($D319,$D$311, "EQY_FUND_RELATIVE_PERIOD", M$3))),M319),"NA ")</f>
        <v>11016</v>
      </c>
      <c r="N319" s="228">
        <f ca="1">IFERROR(IF(BB_Switch=1,IF(_xll.BDP($D319,$D$311, "EQY_FUND_RELATIVE_PERIOD", N$3)="#N/A N/A","NA  ",(_xll.BDP($D319,$D$311, "EQY_FUND_RELATIVE_PERIOD", N$3))),N319),"NA ")</f>
        <v>11014</v>
      </c>
      <c r="O319" s="228">
        <f ca="1">IFERROR(IF(BB_Switch=1,IF(_xll.BDP($D319,$D$311, "EQY_FUND_RELATIVE_PERIOD", O$3)="#N/A N/A","NA  ",(_xll.BDP($D319,$D$311, "EQY_FUND_RELATIVE_PERIOD", O$3))),O319),"NA ")</f>
        <v>10764</v>
      </c>
      <c r="P319" s="228">
        <f ca="1">IFERROR(IF(BB_Switch=1,IF(_xll.BDP($D319,$F$311, "BEST_FPERIOD_OVERRIDE", P$3)="#N/A N/A","NA  ",(_xll.BDP($D319,$F$311, "BEST_FPERIOD_OVERRIDE", P$3))),P319),"NM ")</f>
        <v>10018</v>
      </c>
      <c r="Q319" s="228">
        <f ca="1">IFERROR(IF(BB_Switch=1,IF(_xll.BDP($D319,$F$311, "BEST_FPERIOD_OVERRIDE", Q$3)="#N/A N/A","NA  ",(_xll.BDP($D319,$F$311, "BEST_FPERIOD_OVERRIDE", Q$3))),Q319),"NM ")</f>
        <v>10132.091</v>
      </c>
      <c r="R319" s="228">
        <f ca="1">IFERROR(IF(BB_Switch=1,IF(_xll.BDP($D319,$F$311, "BEST_FPERIOD_OVERRIDE", R$3)="#N/A N/A","NA  ",(_xll.BDP($D319,$F$311, "BEST_FPERIOD_OVERRIDE", R$3))),R319),"NM ")</f>
        <v>10441.615</v>
      </c>
      <c r="S319" s="228">
        <f ca="1">IFERROR(IF(BB_Switch=1,IF(_xll.BDP($D319,$F$311, "BEST_FPERIOD_OVERRIDE", S$3)="#N/A N/A","NA  ",(_xll.BDP($D319,$F$311, "BEST_FPERIOD_OVERRIDE", S$3))),S319),"NM ")</f>
        <v>10593.692000000001</v>
      </c>
      <c r="T319" s="228">
        <f ca="1">IFERROR(IF(BB_Switch=1,IF(_xll.BDP($D319,$F$311, "BEST_FPERIOD_OVERRIDE", T$3)="#N/A N/A","NA  ",(_xll.BDP($D319,$F$311, "BEST_FPERIOD_OVERRIDE", T$3))),T319),"NM ")</f>
        <v>10322.154</v>
      </c>
      <c r="V319" s="228" t="str">
        <f ca="1">IFERROR(IF(BB_Switch=1,IF(_xll.BDP($D319,$D$311, "EQY_FUND_RELATIVE_PERIOD", V$3)="#N/A N/A","NA  ",(_xll.BDP($D319,$D$311, "EQY_FUND_RELATIVE_PERIOD", V$3))),V319),"NA ")</f>
        <v xml:space="preserve">NA  </v>
      </c>
      <c r="W319" s="228" t="str">
        <f ca="1">IFERROR(IF(BB_Switch=1,IF(_xll.BDP($D319,$D$311, "EQY_FUND_RELATIVE_PERIOD", W$3)="#N/A N/A","NA  ",(_xll.BDP($D319,$D$311, "EQY_FUND_RELATIVE_PERIOD", W$3))),W319),"NA ")</f>
        <v xml:space="preserve">NA  </v>
      </c>
      <c r="X319" s="228" t="str">
        <f ca="1">IFERROR(IF(BB_Switch=1,IF(_xll.BDP($D319,$D$311, "EQY_FUND_RELATIVE_PERIOD", X$3)="#N/A N/A","NA  ",(_xll.BDP($D319,$D$311, "EQY_FUND_RELATIVE_PERIOD", X$3))),X319),"NA ")</f>
        <v xml:space="preserve">NA  </v>
      </c>
      <c r="Y319" s="228" t="str">
        <f ca="1">IFERROR(IF(BB_Switch=1,IF(_xll.BDP($D319,$D$311, "EQY_FUND_RELATIVE_PERIOD", Y$3)="#N/A N/A","NA  ",(_xll.BDP($D319,$D$311, "EQY_FUND_RELATIVE_PERIOD", Y$3))),Y319),"NA ")</f>
        <v xml:space="preserve">NA  </v>
      </c>
      <c r="Z319" s="228" t="str">
        <f ca="1">IFERROR(IF(BB_Switch=1,IF(_xll.BDP($D319,$D$311, "EQY_FUND_RELATIVE_PERIOD", Z$3)="#N/A N/A","NA  ",(_xll.BDP($D319,$D$311, "EQY_FUND_RELATIVE_PERIOD", Z$3))),Z319),"NA ")</f>
        <v xml:space="preserve">NA  </v>
      </c>
      <c r="AA319" s="228" t="str">
        <f ca="1">IFERROR(IF(BB_Switch=1,IF(_xll.BDP($D319,$D$311, "EQY_FUND_RELATIVE_PERIOD", AA$3)="#N/A N/A","NA  ",(_xll.BDP($D319,$D$311, "EQY_FUND_RELATIVE_PERIOD", AA$3))),AA319),"NA ")</f>
        <v xml:space="preserve">NA  </v>
      </c>
      <c r="AB319" s="228">
        <f ca="1">IFERROR(IF(BB_Switch=1,IF(_xll.BDP($D319,$D$311, "EQY_FUND_RELATIVE_PERIOD", AB$3)="#N/A N/A","NA  ",(_xll.BDP($D319,$D$311, "EQY_FUND_RELATIVE_PERIOD", AB$3))),AB319),"NA ")</f>
        <v>36261</v>
      </c>
      <c r="AC319" s="228">
        <f ca="1">IFERROR(IF(BB_Switch=1,IF(_xll.BDP($D319,$D$311, "EQY_FUND_RELATIVE_PERIOD", AC$3)="#N/A N/A","NA  ",(_xll.BDP($D319,$D$311, "EQY_FUND_RELATIVE_PERIOD", AC$3))),AC319),"NA ")</f>
        <v>43730</v>
      </c>
      <c r="AD319" s="228">
        <f ca="1">IFERROR(IF(BB_Switch=1,IF(_xll.BDP($D319,$D$311, "EQY_FUND_RELATIVE_PERIOD", AD$3)="#N/A N/A","NA  ",(_xll.BDP($D319,$D$311, "EQY_FUND_RELATIVE_PERIOD", AD$3))),AD319),"NA ")</f>
        <v>49604</v>
      </c>
      <c r="AE319" s="228">
        <f ca="1">IFERROR(IF(BB_Switch=1,IF(_xll.BDP($D319,$D$311, "EQY_FUND_RELATIVE_PERIOD", AE$3)="#N/A N/A","NA  ",(_xll.BDP($D319,$D$311, "EQY_FUND_RELATIVE_PERIOD", AE$3))),AE319),"NA ")</f>
        <v>42951</v>
      </c>
      <c r="AF319" s="228"/>
      <c r="AG319" s="228">
        <f ca="1">IFERROR(IF(BB_Switch=1,IF(_xll.BDP($D319,$V$311)="#N/A N/A","NA  ",(_xll.BDP($D319,$V$311))),AG319),"NA ")</f>
        <v>42998</v>
      </c>
      <c r="AH319" s="228">
        <f ca="1">IFERROR(IF(BB_Switch=1,IF(_xll.BDP($D319,$F$311, "BEST_FPERIOD_OVERRIDE", AH$3)="#N/A N/A","NA  ",(_xll.BDP($D319,$F$311, "BEST_FPERIOD_OVERRIDE", AH$3))),AH319),"NM ")</f>
        <v>41185.932999999997</v>
      </c>
      <c r="AI319" s="228">
        <f ca="1">IFERROR(IF(BB_Switch=1,IF(_xll.BDP($D319,$F$311, "BEST_FPERIOD_OVERRIDE", AI$3)="#N/A N/A","NA  ",(_xll.BDP($D319,$F$311, "BEST_FPERIOD_OVERRIDE", AI$3))),AI319),"NM ")</f>
        <v>42686.733</v>
      </c>
      <c r="AJ319" s="228">
        <f ca="1">IFERROR(IF(BB_Switch=1,IF(_xll.BDP($D319,$F$311, "BEST_FPERIOD_OVERRIDE", AJ$3)="#N/A N/A","NA  ",(_xll.BDP($D319,$F$311, "BEST_FPERIOD_OVERRIDE", AJ$3))),AJ319),"NM ")</f>
        <v>44246.875</v>
      </c>
    </row>
    <row r="320" spans="2:36" s="227" customFormat="1" ht="11.25" customHeight="1">
      <c r="B320" s="217"/>
      <c r="C320" s="229"/>
      <c r="E320" s="228"/>
      <c r="F320" s="228"/>
      <c r="G320" s="228"/>
      <c r="H320" s="228"/>
      <c r="I320" s="228"/>
      <c r="J320" s="228"/>
      <c r="K320" s="228"/>
      <c r="L320" s="228"/>
      <c r="M320" s="228"/>
      <c r="N320" s="228"/>
      <c r="O320" s="228"/>
      <c r="P320" s="228"/>
      <c r="Q320" s="228"/>
      <c r="R320" s="228"/>
      <c r="S320" s="228"/>
      <c r="T320" s="228"/>
      <c r="V320" s="228"/>
      <c r="W320" s="228"/>
      <c r="X320" s="228"/>
      <c r="Y320" s="228"/>
      <c r="Z320" s="228"/>
      <c r="AA320" s="228"/>
      <c r="AB320" s="228"/>
      <c r="AC320" s="228"/>
      <c r="AD320" s="228"/>
      <c r="AE320" s="228"/>
      <c r="AF320" s="228"/>
      <c r="AG320" s="228"/>
      <c r="AH320" s="228"/>
      <c r="AI320" s="228"/>
      <c r="AJ320" s="228"/>
    </row>
    <row r="321" spans="2:37" s="227" customFormat="1" ht="11.25" customHeight="1">
      <c r="B321" s="217"/>
      <c r="C321" s="428" t="str">
        <f>+C20</f>
        <v>Specialty Chemicals</v>
      </c>
      <c r="E321" s="228"/>
      <c r="F321" s="228"/>
      <c r="G321" s="228"/>
      <c r="H321" s="228"/>
      <c r="I321" s="228"/>
      <c r="J321" s="228"/>
      <c r="K321" s="228"/>
      <c r="L321" s="228"/>
      <c r="M321" s="228"/>
      <c r="N321" s="228"/>
      <c r="O321" s="228"/>
      <c r="P321" s="228"/>
      <c r="Q321" s="228"/>
      <c r="R321" s="228"/>
      <c r="S321" s="228"/>
      <c r="T321" s="228"/>
      <c r="V321" s="228"/>
      <c r="W321" s="228"/>
      <c r="X321" s="228"/>
      <c r="Y321" s="228"/>
      <c r="Z321" s="228"/>
      <c r="AA321" s="228"/>
      <c r="AB321" s="228"/>
      <c r="AC321" s="228"/>
      <c r="AD321" s="228"/>
      <c r="AE321" s="228"/>
      <c r="AF321" s="228"/>
      <c r="AG321" s="228"/>
      <c r="AH321" s="228"/>
      <c r="AI321" s="228"/>
      <c r="AJ321" s="228"/>
    </row>
    <row r="322" spans="2:37" s="227" customFormat="1" ht="11.25" customHeight="1">
      <c r="B322" s="217"/>
      <c r="C322" s="229" t="str">
        <f ca="1">IFERROR(IF(BB_Switch=1,_xll.BDP($D322,$C$270),C322), "NA ")</f>
        <v>Eastman Chemical Co</v>
      </c>
      <c r="D322" s="227" t="str">
        <f>+D21</f>
        <v>EMN US EQUITY</v>
      </c>
      <c r="E322" s="228">
        <f ca="1">IFERROR(IF(BB_Switch=1,IF(_xll.BDP($D322,$D$311, "EQY_FUND_RELATIVE_PERIOD", E$3)="#N/A N/A","NA  ",(_xll.BDP($D322,$D$311, "EQY_FUND_RELATIVE_PERIOD", E$3))),E322),"NA ")</f>
        <v>2303</v>
      </c>
      <c r="F322" s="228">
        <f ca="1">IFERROR(IF(BB_Switch=1,IF(_xll.BDP($D322,$D$311, "EQY_FUND_RELATIVE_PERIOD", F$3)="#N/A N/A","NA  ",(_xll.BDP($D322,$D$311, "EQY_FUND_RELATIVE_PERIOD", F$3))),F322),"NA ")</f>
        <v>2419</v>
      </c>
      <c r="G322" s="228">
        <f ca="1">IFERROR(IF(BB_Switch=1,IF(_xll.BDP($D322,$D$311, "EQY_FUND_RELATIVE_PERIOD", G$3)="#N/A N/A","NA  ",(_xll.BDP($D322,$D$311, "EQY_FUND_RELATIVE_PERIOD", G$3))),G322),"NA ")</f>
        <v>2465</v>
      </c>
      <c r="H322" s="228">
        <f ca="1">IFERROR(IF(BB_Switch=1,IF(_xll.BDP($D322,$D$311, "EQY_FUND_RELATIVE_PERIOD", H$3)="#N/A N/A","NA  ",(_xll.BDP($D322,$D$311, "EQY_FUND_RELATIVE_PERIOD", H$3))),H322),"NA ")</f>
        <v>2362</v>
      </c>
      <c r="I322" s="228">
        <f ca="1">IFERROR(IF(BB_Switch=1,IF(_xll.BDP($D322,$D$311, "EQY_FUND_RELATIVE_PERIOD", I$3)="#N/A N/A","NA  ",(_xll.BDP($D322,$D$311, "EQY_FUND_RELATIVE_PERIOD", I$3))),I322),"NA ")</f>
        <v>2607</v>
      </c>
      <c r="J322" s="228">
        <f ca="1">IFERROR(IF(BB_Switch=1,IF(_xll.BDP($D322,$D$311, "EQY_FUND_RELATIVE_PERIOD", J$3)="#N/A N/A","NA  ",(_xll.BDP($D322,$D$311, "EQY_FUND_RELATIVE_PERIOD", J$3))),J322),"NA ")</f>
        <v>2621</v>
      </c>
      <c r="K322" s="228">
        <f ca="1">IFERROR(IF(BB_Switch=1,IF(_xll.BDP($D322,$D$311, "EQY_FUND_RELATIVE_PERIOD", K$3)="#N/A N/A","NA  ",(_xll.BDP($D322,$D$311, "EQY_FUND_RELATIVE_PERIOD", K$3))),K322),"NA ")</f>
        <v>2547</v>
      </c>
      <c r="L322" s="228">
        <f ca="1">IFERROR(IF(BB_Switch=1,IF(_xll.BDP($D322,$D$311, "EQY_FUND_RELATIVE_PERIOD", L$3)="#N/A N/A","NA  ",(_xll.BDP($D322,$D$311, "EQY_FUND_RELATIVE_PERIOD", L$3))),L322),"NA ")</f>
        <v>2376</v>
      </c>
      <c r="M322" s="228">
        <f ca="1">IFERROR(IF(BB_Switch=1,IF(_xll.BDP($D322,$D$311, "EQY_FUND_RELATIVE_PERIOD", M$3)="#N/A N/A","NA  ",(_xll.BDP($D322,$D$311, "EQY_FUND_RELATIVE_PERIOD", M$3))),M322),"NA ")</f>
        <v>2380</v>
      </c>
      <c r="N322" s="228">
        <f ca="1">IFERROR(IF(BB_Switch=1,IF(_xll.BDP($D322,$D$311, "EQY_FUND_RELATIVE_PERIOD", N$3)="#N/A N/A","NA  ",(_xll.BDP($D322,$D$311, "EQY_FUND_RELATIVE_PERIOD", N$3))),N322),"NA ")</f>
        <v>2363</v>
      </c>
      <c r="O322" s="228">
        <f ca="1">IFERROR(IF(BB_Switch=1,IF(_xll.BDP($D322,$D$311, "EQY_FUND_RELATIVE_PERIOD", O$3)="#N/A N/A","NA  ",(_xll.BDP($D322,$D$311, "EQY_FUND_RELATIVE_PERIOD", O$3))),O322),"NA ")</f>
        <v>2325</v>
      </c>
      <c r="P322" s="228">
        <f ca="1">IFERROR(IF(BB_Switch=1,IF(_xll.BDP($D322,$F$311, "BEST_FPERIOD_OVERRIDE", P$3)="#N/A N/A","NA  ",(_xll.BDP($D322,$F$311, "BEST_FPERIOD_OVERRIDE", P$3))),P322),"NM ")</f>
        <v>2204.1669999999999</v>
      </c>
      <c r="Q322" s="228">
        <f ca="1">IFERROR(IF(BB_Switch=1,IF(_xll.BDP($D322,$F$311, "BEST_FPERIOD_OVERRIDE", Q$3)="#N/A N/A","NA  ",(_xll.BDP($D322,$F$311, "BEST_FPERIOD_OVERRIDE", Q$3))),Q322),"NM ")</f>
        <v>2273.8180000000002</v>
      </c>
      <c r="R322" s="228">
        <f ca="1">IFERROR(IF(BB_Switch=1,IF(_xll.BDP($D322,$F$311, "BEST_FPERIOD_OVERRIDE", R$3)="#N/A N/A","NA  ",(_xll.BDP($D322,$F$311, "BEST_FPERIOD_OVERRIDE", R$3))),R322),"NM ")</f>
        <v>2318.5450000000001</v>
      </c>
      <c r="S322" s="228">
        <f ca="1">IFERROR(IF(BB_Switch=1,IF(_xll.BDP($D322,$F$311, "BEST_FPERIOD_OVERRIDE", S$3)="#N/A N/A","NA  ",(_xll.BDP($D322,$F$311, "BEST_FPERIOD_OVERRIDE", S$3))),S322),"NM ")</f>
        <v>2349.9090000000001</v>
      </c>
      <c r="T322" s="228">
        <f ca="1">IFERROR(IF(BB_Switch=1,IF(_xll.BDP($D322,$F$311, "BEST_FPERIOD_OVERRIDE", T$3)="#N/A N/A","NA  ",(_xll.BDP($D322,$F$311, "BEST_FPERIOD_OVERRIDE", T$3))),T322),"NM ")</f>
        <v>2240.1</v>
      </c>
      <c r="V322" s="228">
        <f ca="1">IFERROR(IF(BB_Switch=1,IF(_xll.BDP($D322,$D$311, "EQY_FUND_RELATIVE_PERIOD", V$3)="#N/A N/A","NA  ",(_xll.BDP($D322,$D$311, "EQY_FUND_RELATIVE_PERIOD", V$3))),V322),"NA ")</f>
        <v>5842</v>
      </c>
      <c r="W322" s="228">
        <f ca="1">IFERROR(IF(BB_Switch=1,IF(_xll.BDP($D322,$D$311, "EQY_FUND_RELATIVE_PERIOD", W$3)="#N/A N/A","NA  ",(_xll.BDP($D322,$D$311, "EQY_FUND_RELATIVE_PERIOD", W$3))),W322),"NA ")</f>
        <v>7178</v>
      </c>
      <c r="X322" s="228">
        <f ca="1">IFERROR(IF(BB_Switch=1,IF(_xll.BDP($D322,$D$311, "EQY_FUND_RELATIVE_PERIOD", X$3)="#N/A N/A","NA  ",(_xll.BDP($D322,$D$311, "EQY_FUND_RELATIVE_PERIOD", X$3))),X322),"NA ")</f>
        <v>8102</v>
      </c>
      <c r="Y322" s="228">
        <f ca="1">IFERROR(IF(BB_Switch=1,IF(_xll.BDP($D322,$D$311, "EQY_FUND_RELATIVE_PERIOD", Y$3)="#N/A N/A","NA  ",(_xll.BDP($D322,$D$311, "EQY_FUND_RELATIVE_PERIOD", Y$3))),Y322),"NA ")</f>
        <v>9350</v>
      </c>
      <c r="Z322" s="228">
        <f ca="1">IFERROR(IF(BB_Switch=1,IF(_xll.BDP($D322,$D$311, "EQY_FUND_RELATIVE_PERIOD", Z$3)="#N/A N/A","NA  ",(_xll.BDP($D322,$D$311, "EQY_FUND_RELATIVE_PERIOD", Z$3))),Z322),"NA ")</f>
        <v>9527</v>
      </c>
      <c r="AA322" s="228">
        <f ca="1">IFERROR(IF(BB_Switch=1,IF(_xll.BDP($D322,$D$311, "EQY_FUND_RELATIVE_PERIOD", AA$3)="#N/A N/A","NA  ",(_xll.BDP($D322,$D$311, "EQY_FUND_RELATIVE_PERIOD", AA$3))),AA322),"NA ")</f>
        <v>9648</v>
      </c>
      <c r="AB322" s="228">
        <f ca="1">IFERROR(IF(BB_Switch=1,IF(_xll.BDP($D322,$D$311, "EQY_FUND_RELATIVE_PERIOD", AB$3)="#N/A N/A","NA  ",(_xll.BDP($D322,$D$311, "EQY_FUND_RELATIVE_PERIOD", AB$3))),AB322),"NA ")</f>
        <v>9008</v>
      </c>
      <c r="AC322" s="228">
        <f ca="1">IFERROR(IF(BB_Switch=1,IF(_xll.BDP($D322,$D$311, "EQY_FUND_RELATIVE_PERIOD", AC$3)="#N/A N/A","NA  ",(_xll.BDP($D322,$D$311, "EQY_FUND_RELATIVE_PERIOD", AC$3))),AC322),"NA ")</f>
        <v>9549</v>
      </c>
      <c r="AD322" s="228">
        <f ca="1">IFERROR(IF(BB_Switch=1,IF(_xll.BDP($D322,$D$311, "EQY_FUND_RELATIVE_PERIOD", AD$3)="#N/A N/A","NA  ",(_xll.BDP($D322,$D$311, "EQY_FUND_RELATIVE_PERIOD", AD$3))),AD322),"NA ")</f>
        <v>10151</v>
      </c>
      <c r="AE322" s="228">
        <f ca="1">IFERROR(IF(BB_Switch=1,IF(_xll.BDP($D322,$D$311, "EQY_FUND_RELATIVE_PERIOD", AE$3)="#N/A N/A","NA  ",(_xll.BDP($D322,$D$311, "EQY_FUND_RELATIVE_PERIOD", AE$3))),AE322),"NA ")</f>
        <v>9273</v>
      </c>
      <c r="AF322" s="228"/>
      <c r="AG322" s="228">
        <f ca="1">IFERROR(IF(BB_Switch=1,IF(_xll.BDP($D322,$V$311)="#N/A N/A","NA  ",(_xll.BDP($D322,$V$311))),AG322),"NA ")</f>
        <v>9273</v>
      </c>
      <c r="AH322" s="228">
        <f ca="1">IFERROR(IF(BB_Switch=1,IF(_xll.BDP($D322,$F$311, "BEST_FPERIOD_OVERRIDE", AH$3)="#N/A N/A","NA  ",(_xll.BDP($D322,$F$311, "BEST_FPERIOD_OVERRIDE", AH$3))),AH322),"NM ")</f>
        <v>9196.5830000000005</v>
      </c>
      <c r="AI322" s="228">
        <f ca="1">IFERROR(IF(BB_Switch=1,IF(_xll.BDP($D322,$F$311, "BEST_FPERIOD_OVERRIDE", AI$3)="#N/A N/A","NA  ",(_xll.BDP($D322,$F$311, "BEST_FPERIOD_OVERRIDE", AI$3))),AI322),"NM ")</f>
        <v>9411.0769999999993</v>
      </c>
      <c r="AJ322" s="228">
        <f ca="1">IFERROR(IF(BB_Switch=1,IF(_xll.BDP($D322,$F$311, "BEST_FPERIOD_OVERRIDE", AJ$3)="#N/A N/A","NA  ",(_xll.BDP($D322,$F$311, "BEST_FPERIOD_OVERRIDE", AJ$3))),AJ322),"NM ")</f>
        <v>9708.1669999999995</v>
      </c>
    </row>
    <row r="323" spans="2:37" s="227" customFormat="1" ht="11.25" customHeight="1">
      <c r="B323" s="217"/>
      <c r="C323" s="229" t="str">
        <f ca="1">IFERROR(IF(BB_Switch=1,_xll.BDP($D323,$C$270),C323), "NA ")</f>
        <v>Celanese Corp</v>
      </c>
      <c r="D323" s="227" t="str">
        <f>+D22</f>
        <v>CE US EQUITY</v>
      </c>
      <c r="E323" s="228">
        <f ca="1">IFERROR(IF(BB_Switch=1,IF(_xll.BDP($D323,$D$311, "EQY_FUND_RELATIVE_PERIOD", E$3)="#N/A N/A","NA  ",(_xll.BDP($D323,$D$311, "EQY_FUND_RELATIVE_PERIOD", E$3))),E323),"NA ")</f>
        <v>1471</v>
      </c>
      <c r="F323" s="228">
        <f ca="1">IFERROR(IF(BB_Switch=1,IF(_xll.BDP($D323,$D$311, "EQY_FUND_RELATIVE_PERIOD", F$3)="#N/A N/A","NA  ",(_xll.BDP($D323,$D$311, "EQY_FUND_RELATIVE_PERIOD", F$3))),F323),"NA ")</f>
        <v>1510</v>
      </c>
      <c r="G323" s="228">
        <f ca="1">IFERROR(IF(BB_Switch=1,IF(_xll.BDP($D323,$D$311, "EQY_FUND_RELATIVE_PERIOD", G$3)="#N/A N/A","NA  ",(_xll.BDP($D323,$D$311, "EQY_FUND_RELATIVE_PERIOD", G$3))),G323),"NA ")</f>
        <v>1566</v>
      </c>
      <c r="H323" s="228">
        <f ca="1">IFERROR(IF(BB_Switch=1,IF(_xll.BDP($D323,$D$311, "EQY_FUND_RELATIVE_PERIOD", H$3)="#N/A N/A","NA  ",(_xll.BDP($D323,$D$311, "EQY_FUND_RELATIVE_PERIOD", H$3))),H323),"NA ")</f>
        <v>1593</v>
      </c>
      <c r="I323" s="228">
        <f ca="1">IFERROR(IF(BB_Switch=1,IF(_xll.BDP($D323,$D$311, "EQY_FUND_RELATIVE_PERIOD", I$3)="#N/A N/A","NA  ",(_xll.BDP($D323,$D$311, "EQY_FUND_RELATIVE_PERIOD", I$3))),I323),"NA ")</f>
        <v>1851</v>
      </c>
      <c r="J323" s="228">
        <f ca="1">IFERROR(IF(BB_Switch=1,IF(_xll.BDP($D323,$D$311, "EQY_FUND_RELATIVE_PERIOD", J$3)="#N/A N/A","NA  ",(_xll.BDP($D323,$D$311, "EQY_FUND_RELATIVE_PERIOD", J$3))),J323),"NA ")</f>
        <v>1844</v>
      </c>
      <c r="K323" s="228">
        <f ca="1">IFERROR(IF(BB_Switch=1,IF(_xll.BDP($D323,$D$311, "EQY_FUND_RELATIVE_PERIOD", K$3)="#N/A N/A","NA  ",(_xll.BDP($D323,$D$311, "EQY_FUND_RELATIVE_PERIOD", K$3))),K323),"NA ")</f>
        <v>1771</v>
      </c>
      <c r="L323" s="228">
        <f ca="1">IFERROR(IF(BB_Switch=1,IF(_xll.BDP($D323,$D$311, "EQY_FUND_RELATIVE_PERIOD", L$3)="#N/A N/A","NA  ",(_xll.BDP($D323,$D$311, "EQY_FUND_RELATIVE_PERIOD", L$3))),L323),"NA ")</f>
        <v>1689</v>
      </c>
      <c r="M323" s="228">
        <f ca="1">IFERROR(IF(BB_Switch=1,IF(_xll.BDP($D323,$D$311, "EQY_FUND_RELATIVE_PERIOD", M$3)="#N/A N/A","NA  ",(_xll.BDP($D323,$D$311, "EQY_FUND_RELATIVE_PERIOD", M$3))),M323),"NA ")</f>
        <v>1687</v>
      </c>
      <c r="N323" s="228">
        <f ca="1">IFERROR(IF(BB_Switch=1,IF(_xll.BDP($D323,$D$311, "EQY_FUND_RELATIVE_PERIOD", N$3)="#N/A N/A","NA  ",(_xll.BDP($D323,$D$311, "EQY_FUND_RELATIVE_PERIOD", N$3))),N323),"NA ")</f>
        <v>1592</v>
      </c>
      <c r="O323" s="228">
        <f ca="1">IFERROR(IF(BB_Switch=1,IF(_xll.BDP($D323,$D$311, "EQY_FUND_RELATIVE_PERIOD", O$3)="#N/A N/A","NA  ",(_xll.BDP($D323,$D$311, "EQY_FUND_RELATIVE_PERIOD", O$3))),O323),"NA ")</f>
        <v>1586</v>
      </c>
      <c r="P323" s="228">
        <f ca="1">IFERROR(IF(BB_Switch=1,IF(_xll.BDP($D323,$F$311, "BEST_FPERIOD_OVERRIDE", P$3)="#N/A N/A","NA  ",(_xll.BDP($D323,$F$311, "BEST_FPERIOD_OVERRIDE", P$3))),P323),"NM ")</f>
        <v>1531.846</v>
      </c>
      <c r="Q323" s="228">
        <f ca="1">IFERROR(IF(BB_Switch=1,IF(_xll.BDP($D323,$F$311, "BEST_FPERIOD_OVERRIDE", Q$3)="#N/A N/A","NA  ",(_xll.BDP($D323,$F$311, "BEST_FPERIOD_OVERRIDE", Q$3))),Q323),"NM ")</f>
        <v>1609.4170000000001</v>
      </c>
      <c r="R323" s="228">
        <f ca="1">IFERROR(IF(BB_Switch=1,IF(_xll.BDP($D323,$F$311, "BEST_FPERIOD_OVERRIDE", R$3)="#N/A N/A","NA  ",(_xll.BDP($D323,$F$311, "BEST_FPERIOD_OVERRIDE", R$3))),R323),"NM ")</f>
        <v>1590.1670000000001</v>
      </c>
      <c r="S323" s="228">
        <f ca="1">IFERROR(IF(BB_Switch=1,IF(_xll.BDP($D323,$F$311, "BEST_FPERIOD_OVERRIDE", S$3)="#N/A N/A","NA  ",(_xll.BDP($D323,$F$311, "BEST_FPERIOD_OVERRIDE", S$3))),S323),"NM ")</f>
        <v>1649.1670000000001</v>
      </c>
      <c r="T323" s="228">
        <f ca="1">IFERROR(IF(BB_Switch=1,IF(_xll.BDP($D323,$F$311, "BEST_FPERIOD_OVERRIDE", T$3)="#N/A N/A","NA  ",(_xll.BDP($D323,$F$311, "BEST_FPERIOD_OVERRIDE", T$3))),T323),"NM ")</f>
        <v>1567.818</v>
      </c>
      <c r="V323" s="228">
        <f ca="1">IFERROR(IF(BB_Switch=1,IF(_xll.BDP($D323,$D$311, "EQY_FUND_RELATIVE_PERIOD", V$3)="#N/A N/A","NA  ",(_xll.BDP($D323,$D$311, "EQY_FUND_RELATIVE_PERIOD", V$3))),V323),"NA ")</f>
        <v>5918</v>
      </c>
      <c r="W323" s="228">
        <f ca="1">IFERROR(IF(BB_Switch=1,IF(_xll.BDP($D323,$D$311, "EQY_FUND_RELATIVE_PERIOD", W$3)="#N/A N/A","NA  ",(_xll.BDP($D323,$D$311, "EQY_FUND_RELATIVE_PERIOD", W$3))),W323),"NA ")</f>
        <v>6763</v>
      </c>
      <c r="X323" s="228">
        <f ca="1">IFERROR(IF(BB_Switch=1,IF(_xll.BDP($D323,$D$311, "EQY_FUND_RELATIVE_PERIOD", X$3)="#N/A N/A","NA  ",(_xll.BDP($D323,$D$311, "EQY_FUND_RELATIVE_PERIOD", X$3))),X323),"NA ")</f>
        <v>6418</v>
      </c>
      <c r="Y323" s="228">
        <f ca="1">IFERROR(IF(BB_Switch=1,IF(_xll.BDP($D323,$D$311, "EQY_FUND_RELATIVE_PERIOD", Y$3)="#N/A N/A","NA  ",(_xll.BDP($D323,$D$311, "EQY_FUND_RELATIVE_PERIOD", Y$3))),Y323),"NA ")</f>
        <v>6510</v>
      </c>
      <c r="Z323" s="228">
        <f ca="1">IFERROR(IF(BB_Switch=1,IF(_xll.BDP($D323,$D$311, "EQY_FUND_RELATIVE_PERIOD", Z$3)="#N/A N/A","NA  ",(_xll.BDP($D323,$D$311, "EQY_FUND_RELATIVE_PERIOD", Z$3))),Z323),"NA ")</f>
        <v>6802</v>
      </c>
      <c r="AA323" s="228">
        <f ca="1">IFERROR(IF(BB_Switch=1,IF(_xll.BDP($D323,$D$311, "EQY_FUND_RELATIVE_PERIOD", AA$3)="#N/A N/A","NA  ",(_xll.BDP($D323,$D$311, "EQY_FUND_RELATIVE_PERIOD", AA$3))),AA323),"NA ")</f>
        <v>5674</v>
      </c>
      <c r="AB323" s="228">
        <f ca="1">IFERROR(IF(BB_Switch=1,IF(_xll.BDP($D323,$D$311, "EQY_FUND_RELATIVE_PERIOD", AB$3)="#N/A N/A","NA  ",(_xll.BDP($D323,$D$311, "EQY_FUND_RELATIVE_PERIOD", AB$3))),AB323),"NA ")</f>
        <v>5389</v>
      </c>
      <c r="AC323" s="228">
        <f ca="1">IFERROR(IF(BB_Switch=1,IF(_xll.BDP($D323,$D$311, "EQY_FUND_RELATIVE_PERIOD", AC$3)="#N/A N/A","NA  ",(_xll.BDP($D323,$D$311, "EQY_FUND_RELATIVE_PERIOD", AC$3))),AC323),"NA ")</f>
        <v>6140</v>
      </c>
      <c r="AD323" s="228">
        <f ca="1">IFERROR(IF(BB_Switch=1,IF(_xll.BDP($D323,$D$311, "EQY_FUND_RELATIVE_PERIOD", AD$3)="#N/A N/A","NA  ",(_xll.BDP($D323,$D$311, "EQY_FUND_RELATIVE_PERIOD", AD$3))),AD323),"NA ")</f>
        <v>7155</v>
      </c>
      <c r="AE323" s="228">
        <f ca="1">IFERROR(IF(BB_Switch=1,IF(_xll.BDP($D323,$D$311, "EQY_FUND_RELATIVE_PERIOD", AE$3)="#N/A N/A","NA  ",(_xll.BDP($D323,$D$311, "EQY_FUND_RELATIVE_PERIOD", AE$3))),AE323),"NA ")</f>
        <v>6297</v>
      </c>
      <c r="AF323" s="228"/>
      <c r="AG323" s="228">
        <f ca="1">IFERROR(IF(BB_Switch=1,IF(_xll.BDP($D323,$V$311)="#N/A N/A","NA  ",(_xll.BDP($D323,$V$311))),AG323),"NA ")</f>
        <v>6297</v>
      </c>
      <c r="AH323" s="228">
        <f ca="1">IFERROR(IF(BB_Switch=1,IF(_xll.BDP($D323,$F$311, "BEST_FPERIOD_OVERRIDE", AH$3)="#N/A N/A","NA  ",(_xll.BDP($D323,$F$311, "BEST_FPERIOD_OVERRIDE", AH$3))),AH323),"NM ")</f>
        <v>6419.9290000000001</v>
      </c>
      <c r="AI323" s="228">
        <f ca="1">IFERROR(IF(BB_Switch=1,IF(_xll.BDP($D323,$F$311, "BEST_FPERIOD_OVERRIDE", AI$3)="#N/A N/A","NA  ",(_xll.BDP($D323,$F$311, "BEST_FPERIOD_OVERRIDE", AI$3))),AI323),"NM ")</f>
        <v>6604.357</v>
      </c>
      <c r="AJ323" s="228">
        <f ca="1">IFERROR(IF(BB_Switch=1,IF(_xll.BDP($D323,$F$311, "BEST_FPERIOD_OVERRIDE", AJ$3)="#N/A N/A","NA  ",(_xll.BDP($D323,$F$311, "BEST_FPERIOD_OVERRIDE", AJ$3))),AJ323),"NM ")</f>
        <v>7079.75</v>
      </c>
    </row>
    <row r="324" spans="2:37" s="227" customFormat="1" ht="11.25" customHeight="1">
      <c r="B324" s="217"/>
      <c r="C324" s="229" t="str">
        <f ca="1">IFERROR(IF(BB_Switch=1,_xll.BDP($D324,$C$270),C324), "NA ")</f>
        <v>BASF SE</v>
      </c>
      <c r="D324" s="227" t="str">
        <f>+D23</f>
        <v>BAS GR EQUITY</v>
      </c>
      <c r="E324" s="228">
        <f ca="1">IFERROR(IF(BB_Switch=1,IF(_xll.BDP($D324,$D$311, "EQY_FUND_RELATIVE_PERIOD", E$3)="#N/A N/A","NA  ",(_xll.BDP($D324,$D$311, "EQY_FUND_RELATIVE_PERIOD", E$3))),E324),"NA ")</f>
        <v>16027</v>
      </c>
      <c r="F324" s="228">
        <f ca="1">IFERROR(IF(BB_Switch=1,IF(_xll.BDP($D324,$D$311, "EQY_FUND_RELATIVE_PERIOD", F$3)="#N/A N/A","NA  ",(_xll.BDP($D324,$D$311, "EQY_FUND_RELATIVE_PERIOD", F$3))),F324),"NA ")</f>
        <v>15449</v>
      </c>
      <c r="G324" s="228">
        <f ca="1">IFERROR(IF(BB_Switch=1,IF(_xll.BDP($D324,$D$311, "EQY_FUND_RELATIVE_PERIOD", G$3)="#N/A N/A","NA  ",(_xll.BDP($D324,$D$311, "EQY_FUND_RELATIVE_PERIOD", G$3))),G324),"NA ")</f>
        <v>14516</v>
      </c>
      <c r="H324" s="228">
        <f ca="1">IFERROR(IF(BB_Switch=1,IF(_xll.BDP($D324,$D$311, "EQY_FUND_RELATIVE_PERIOD", H$3)="#N/A N/A","NA  ",(_xll.BDP($D324,$D$311, "EQY_FUND_RELATIVE_PERIOD", H$3))),H324),"NA ")</f>
        <v>15231</v>
      </c>
      <c r="I324" s="228">
        <f ca="1">IFERROR(IF(BB_Switch=1,IF(_xll.BDP($D324,$D$311, "EQY_FUND_RELATIVE_PERIOD", I$3)="#N/A N/A","NA  ",(_xll.BDP($D324,$D$311, "EQY_FUND_RELATIVE_PERIOD", I$3))),I324),"NA ")</f>
        <v>15700</v>
      </c>
      <c r="J324" s="228">
        <f ca="1">IFERROR(IF(BB_Switch=1,IF(_xll.BDP($D324,$D$311, "EQY_FUND_RELATIVE_PERIOD", J$3)="#N/A N/A","NA  ",(_xll.BDP($D324,$D$311, "EQY_FUND_RELATIVE_PERIOD", J$3))),J324),"NA ")</f>
        <v>15783</v>
      </c>
      <c r="K324" s="228">
        <f ca="1">IFERROR(IF(BB_Switch=1,IF(_xll.BDP($D324,$D$311, "EQY_FUND_RELATIVE_PERIOD", K$3)="#N/A N/A","NA  ",(_xll.BDP($D324,$D$311, "EQY_FUND_RELATIVE_PERIOD", K$3))),K324),"NA ")</f>
        <v>15606</v>
      </c>
      <c r="L324" s="228">
        <f ca="1">IFERROR(IF(BB_Switch=1,IF(_xll.BDP($D324,$D$311, "EQY_FUND_RELATIVE_PERIOD", L$3)="#N/A N/A","NA  ",(_xll.BDP($D324,$D$311, "EQY_FUND_RELATIVE_PERIOD", L$3))),L324),"NA ")</f>
        <v>15586</v>
      </c>
      <c r="M324" s="228">
        <f ca="1">IFERROR(IF(BB_Switch=1,IF(_xll.BDP($D324,$D$311, "EQY_FUND_RELATIVE_PERIOD", M$3)="#N/A N/A","NA  ",(_xll.BDP($D324,$D$311, "EQY_FUND_RELATIVE_PERIOD", M$3))),M324),"NA ")</f>
        <v>16177</v>
      </c>
      <c r="N324" s="228">
        <f ca="1">IFERROR(IF(BB_Switch=1,IF(_xll.BDP($D324,$D$311, "EQY_FUND_RELATIVE_PERIOD", N$3)="#N/A N/A","NA  ",(_xll.BDP($D324,$D$311, "EQY_FUND_RELATIVE_PERIOD", N$3))),N324),"NA ")</f>
        <v>15158</v>
      </c>
      <c r="O324" s="228">
        <f ca="1">IFERROR(IF(BB_Switch=1,IF(_xll.BDP($D324,$D$311, "EQY_FUND_RELATIVE_PERIOD", O$3)="#N/A N/A","NA  ",(_xll.BDP($D324,$D$311, "EQY_FUND_RELATIVE_PERIOD", O$3))),O324),"NA ")</f>
        <v>15231</v>
      </c>
      <c r="P324" s="228">
        <f ca="1">IFERROR(IF(BB_Switch=1,IF(_xll.BDP($D324,$F$311, "BEST_FPERIOD_OVERRIDE", P$3)="#N/A N/A","NA  ",(_xll.BDP($D324,$F$311, "BEST_FPERIOD_OVERRIDE", P$3))),P324),"NM ")</f>
        <v>15156</v>
      </c>
      <c r="Q324" s="228">
        <f ca="1">IFERROR(IF(BB_Switch=1,IF(_xll.BDP($D324,$F$311, "BEST_FPERIOD_OVERRIDE", Q$3)="#N/A N/A","NA  ",(_xll.BDP($D324,$F$311, "BEST_FPERIOD_OVERRIDE", Q$3))),Q324),"NM ")</f>
        <v>15591.25</v>
      </c>
      <c r="R324" s="228">
        <f ca="1">IFERROR(IF(BB_Switch=1,IF(_xll.BDP($D324,$F$311, "BEST_FPERIOD_OVERRIDE", R$3)="#N/A N/A","NA  ",(_xll.BDP($D324,$F$311, "BEST_FPERIOD_OVERRIDE", R$3))),R324),"NM ")</f>
        <v>14710</v>
      </c>
      <c r="S324" s="228">
        <f ca="1">IFERROR(IF(BB_Switch=1,IF(_xll.BDP($D324,$F$311, "BEST_FPERIOD_OVERRIDE", S$3)="#N/A N/A","NA  ",(_xll.BDP($D324,$F$311, "BEST_FPERIOD_OVERRIDE", S$3))),S324),"NM ")</f>
        <v>15056.75</v>
      </c>
      <c r="T324" s="228">
        <f ca="1">IFERROR(IF(BB_Switch=1,IF(_xll.BDP($D324,$F$311, "BEST_FPERIOD_OVERRIDE", T$3)="#N/A N/A","NA  ",(_xll.BDP($D324,$F$311, "BEST_FPERIOD_OVERRIDE", T$3))),T324),"NM ")</f>
        <v>15465.5</v>
      </c>
      <c r="V324" s="228">
        <f ca="1">IFERROR(IF(BB_Switch=1,IF(_xll.BDP($D324,$D$311, "EQY_FUND_RELATIVE_PERIOD", V$3)="#N/A N/A","NA  ",(_xll.BDP($D324,$D$311, "EQY_FUND_RELATIVE_PERIOD", V$3))),V324),"NA ")</f>
        <v>63873</v>
      </c>
      <c r="W324" s="228">
        <f ca="1">IFERROR(IF(BB_Switch=1,IF(_xll.BDP($D324,$D$311, "EQY_FUND_RELATIVE_PERIOD", W$3)="#N/A N/A","NA  ",(_xll.BDP($D324,$D$311, "EQY_FUND_RELATIVE_PERIOD", W$3))),W324),"NA ")</f>
        <v>73497</v>
      </c>
      <c r="X324" s="228">
        <f ca="1">IFERROR(IF(BB_Switch=1,IF(_xll.BDP($D324,$D$311, "EQY_FUND_RELATIVE_PERIOD", X$3)="#N/A N/A","NA  ",(_xll.BDP($D324,$D$311, "EQY_FUND_RELATIVE_PERIOD", X$3))),X324),"NA ")</f>
        <v>72129</v>
      </c>
      <c r="Y324" s="228">
        <f ca="1">IFERROR(IF(BB_Switch=1,IF(_xll.BDP($D324,$D$311, "EQY_FUND_RELATIVE_PERIOD", Y$3)="#N/A N/A","NA  ",(_xll.BDP($D324,$D$311, "EQY_FUND_RELATIVE_PERIOD", Y$3))),Y324),"NA ")</f>
        <v>73973</v>
      </c>
      <c r="Z324" s="228">
        <f ca="1">IFERROR(IF(BB_Switch=1,IF(_xll.BDP($D324,$D$311, "EQY_FUND_RELATIVE_PERIOD", Z$3)="#N/A N/A","NA  ",(_xll.BDP($D324,$D$311, "EQY_FUND_RELATIVE_PERIOD", Z$3))),Z324),"NA ")</f>
        <v>74326</v>
      </c>
      <c r="AA324" s="228">
        <f ca="1">IFERROR(IF(BB_Switch=1,IF(_xll.BDP($D324,$D$311, "EQY_FUND_RELATIVE_PERIOD", AA$3)="#N/A N/A","NA  ",(_xll.BDP($D324,$D$311, "EQY_FUND_RELATIVE_PERIOD", AA$3))),AA324),"NA ")</f>
        <v>70449</v>
      </c>
      <c r="AB324" s="228">
        <f ca="1">IFERROR(IF(BB_Switch=1,IF(_xll.BDP($D324,$D$311, "EQY_FUND_RELATIVE_PERIOD", AB$3)="#N/A N/A","NA  ",(_xll.BDP($D324,$D$311, "EQY_FUND_RELATIVE_PERIOD", AB$3))),AB324),"NA ")</f>
        <v>57550</v>
      </c>
      <c r="AC324" s="228">
        <f ca="1">IFERROR(IF(BB_Switch=1,IF(_xll.BDP($D324,$D$311, "EQY_FUND_RELATIVE_PERIOD", AC$3)="#N/A N/A","NA  ",(_xll.BDP($D324,$D$311, "EQY_FUND_RELATIVE_PERIOD", AC$3))),AC324),"NA ")</f>
        <v>61223</v>
      </c>
      <c r="AD324" s="228">
        <f ca="1">IFERROR(IF(BB_Switch=1,IF(_xll.BDP($D324,$D$311, "EQY_FUND_RELATIVE_PERIOD", AD$3)="#N/A N/A","NA  ",(_xll.BDP($D324,$D$311, "EQY_FUND_RELATIVE_PERIOD", AD$3))),AD324),"NA ")</f>
        <v>60220</v>
      </c>
      <c r="AE324" s="228">
        <f ca="1">IFERROR(IF(BB_Switch=1,IF(_xll.BDP($D324,$D$311, "EQY_FUND_RELATIVE_PERIOD", AE$3)="#N/A N/A","NA  ",(_xll.BDP($D324,$D$311, "EQY_FUND_RELATIVE_PERIOD", AE$3))),AE324),"NA ")</f>
        <v>59316</v>
      </c>
      <c r="AF324" s="228"/>
      <c r="AG324" s="228">
        <f ca="1">IFERROR(IF(BB_Switch=1,IF(_xll.BDP($D324,$V$311)="#N/A N/A","NA  ",(_xll.BDP($D324,$V$311))),AG324),"NA ")</f>
        <v>59316</v>
      </c>
      <c r="AH324" s="228">
        <f ca="1">IFERROR(IF(BB_Switch=1,IF(_xll.BDP($D324,$F$311, "BEST_FPERIOD_OVERRIDE", AH$3)="#N/A N/A","NA  ",(_xll.BDP($D324,$F$311, "BEST_FPERIOD_OVERRIDE", AH$3))),AH324),"NM ")</f>
        <v>61222</v>
      </c>
      <c r="AI324" s="228">
        <f ca="1">IFERROR(IF(BB_Switch=1,IF(_xll.BDP($D324,$F$311, "BEST_FPERIOD_OVERRIDE", AI$3)="#N/A N/A","NA  ",(_xll.BDP($D324,$F$311, "BEST_FPERIOD_OVERRIDE", AI$3))),AI324),"NM ")</f>
        <v>62921.238000000005</v>
      </c>
      <c r="AJ324" s="228">
        <f ca="1">IFERROR(IF(BB_Switch=1,IF(_xll.BDP($D324,$F$311, "BEST_FPERIOD_OVERRIDE", AJ$3)="#N/A N/A","NA  ",(_xll.BDP($D324,$F$311, "BEST_FPERIOD_OVERRIDE", AJ$3))),AJ324),"NM ")</f>
        <v>64602.582999999999</v>
      </c>
    </row>
    <row r="325" spans="2:37" s="227" customFormat="1" ht="11.25" customHeight="1">
      <c r="B325" s="217"/>
      <c r="C325" s="229" t="str">
        <f ca="1">IFERROR(IF(BB_Switch=1,_xll.BDP($D325,$C$270),C325), "NA ")</f>
        <v>Trinseo SA</v>
      </c>
      <c r="D325" s="227" t="str">
        <f>+D24</f>
        <v>TSE US EQUITY</v>
      </c>
      <c r="E325" s="228">
        <f ca="1">IFERROR(IF(BB_Switch=1,IF(_xll.BDP($D325,$D$311, "EQY_FUND_RELATIVE_PERIOD", E$3)="#N/A N/A","NA  ",(_xll.BDP($D325,$D$311, "EQY_FUND_RELATIVE_PERIOD", E$3))),E325),"NA ")</f>
        <v>1104.49</v>
      </c>
      <c r="F325" s="228">
        <f ca="1">IFERROR(IF(BB_Switch=1,IF(_xll.BDP($D325,$D$311, "EQY_FUND_RELATIVE_PERIOD", F$3)="#N/A N/A","NA  ",(_xll.BDP($D325,$D$311, "EQY_FUND_RELATIVE_PERIOD", F$3))),F325),"NA ")</f>
        <v>1145.2</v>
      </c>
      <c r="G325" s="228">
        <f ca="1">IFERROR(IF(BB_Switch=1,IF(_xll.BDP($D325,$D$311, "EQY_FUND_RELATIVE_PERIOD", G$3)="#N/A N/A","NA  ",(_xll.BDP($D325,$D$311, "EQY_FUND_RELATIVE_PERIOD", G$3))),G325),"NA ")</f>
        <v>1096.5999999999999</v>
      </c>
      <c r="H325" s="228">
        <f ca="1">IFERROR(IF(BB_Switch=1,IF(_xll.BDP($D325,$D$311, "EQY_FUND_RELATIVE_PERIOD", H$3)="#N/A N/A","NA  ",(_xll.BDP($D325,$D$311, "EQY_FUND_RELATIVE_PERIOD", H$3))),H325),"NA ")</f>
        <v>1101.8</v>
      </c>
      <c r="I325" s="228">
        <f ca="1">IFERROR(IF(BB_Switch=1,IF(_xll.BDP($D325,$D$311, "EQY_FUND_RELATIVE_PERIOD", I$3)="#N/A N/A","NA  ",(_xll.BDP($D325,$D$311, "EQY_FUND_RELATIVE_PERIOD", I$3))),I325),"NA ")</f>
        <v>1121.5999999999999</v>
      </c>
      <c r="J325" s="228">
        <f ca="1">IFERROR(IF(BB_Switch=1,IF(_xll.BDP($D325,$D$311, "EQY_FUND_RELATIVE_PERIOD", J$3)="#N/A N/A","NA  ",(_xll.BDP($D325,$D$311, "EQY_FUND_RELATIVE_PERIOD", J$3))),J325),"NA ")</f>
        <v>1236.5999999999999</v>
      </c>
      <c r="K325" s="228">
        <f ca="1">IFERROR(IF(BB_Switch=1,IF(_xll.BDP($D325,$D$311, "EQY_FUND_RELATIVE_PERIOD", K$3)="#N/A N/A","NA  ",(_xll.BDP($D325,$D$311, "EQY_FUND_RELATIVE_PERIOD", K$3))),K325),"NA ")</f>
        <v>1199.7</v>
      </c>
      <c r="L325" s="228">
        <f ca="1">IFERROR(IF(BB_Switch=1,IF(_xll.BDP($D325,$D$311, "EQY_FUND_RELATIVE_PERIOD", L$3)="#N/A N/A","NA  ",(_xll.BDP($D325,$D$311, "EQY_FUND_RELATIVE_PERIOD", L$3))),L325),"NA ")</f>
        <v>1065</v>
      </c>
      <c r="M325" s="228">
        <f ca="1">IFERROR(IF(BB_Switch=1,IF(_xll.BDP($D325,$D$311, "EQY_FUND_RELATIVE_PERIOD", M$3)="#N/A N/A","NA  ",(_xll.BDP($D325,$D$311, "EQY_FUND_RELATIVE_PERIOD", M$3))),M325),"NA ")</f>
        <v>1013.1</v>
      </c>
      <c r="N325" s="228">
        <f ca="1">IFERROR(IF(BB_Switch=1,IF(_xll.BDP($D325,$D$311, "EQY_FUND_RELATIVE_PERIOD", N$3)="#N/A N/A","NA  ",(_xll.BDP($D325,$D$311, "EQY_FUND_RELATIVE_PERIOD", N$3))),N325),"NA ")</f>
        <v>951.8</v>
      </c>
      <c r="O325" s="228">
        <f ca="1">IFERROR(IF(BB_Switch=1,IF(_xll.BDP($D325,$D$311, "EQY_FUND_RELATIVE_PERIOD", O$3)="#N/A N/A","NA  ",(_xll.BDP($D325,$D$311, "EQY_FUND_RELATIVE_PERIOD", O$3))),O325),"NA ")</f>
        <v>922.1</v>
      </c>
      <c r="P325" s="228">
        <f ca="1">IFERROR(IF(BB_Switch=1,IF(_xll.BDP($D325,$F$311, "BEST_FPERIOD_OVERRIDE", P$3)="#N/A N/A","NA  ",(_xll.BDP($D325,$F$311, "BEST_FPERIOD_OVERRIDE", P$3))),P325),"NM ")</f>
        <v>896.5</v>
      </c>
      <c r="Q325" s="228">
        <f ca="1">IFERROR(IF(BB_Switch=1,IF(_xll.BDP($D325,$F$311, "BEST_FPERIOD_OVERRIDE", Q$3)="#N/A N/A","NA  ",(_xll.BDP($D325,$F$311, "BEST_FPERIOD_OVERRIDE", Q$3))),Q325),"NM ")</f>
        <v>925.25</v>
      </c>
      <c r="R325" s="228">
        <f ca="1">IFERROR(IF(BB_Switch=1,IF(_xll.BDP($D325,$F$311, "BEST_FPERIOD_OVERRIDE", R$3)="#N/A N/A","NA  ",(_xll.BDP($D325,$F$311, "BEST_FPERIOD_OVERRIDE", R$3))),R325),"NM ")</f>
        <v>927.5</v>
      </c>
      <c r="S325" s="228">
        <f ca="1">IFERROR(IF(BB_Switch=1,IF(_xll.BDP($D325,$F$311, "BEST_FPERIOD_OVERRIDE", S$3)="#N/A N/A","NA  ",(_xll.BDP($D325,$F$311, "BEST_FPERIOD_OVERRIDE", S$3))),S325),"NM ")</f>
        <v>929</v>
      </c>
      <c r="T325" s="228">
        <f ca="1">IFERROR(IF(BB_Switch=1,IF(_xll.BDP($D325,$F$311, "BEST_FPERIOD_OVERRIDE", T$3)="#N/A N/A","NA  ",(_xll.BDP($D325,$F$311, "BEST_FPERIOD_OVERRIDE", T$3))),T325),"NM ")</f>
        <v>911</v>
      </c>
      <c r="V325" s="228">
        <f ca="1">IFERROR(IF(BB_Switch=1,IF(_xll.BDP($D325,$D$311, "EQY_FUND_RELATIVE_PERIOD", V$3)="#N/A N/A","NA  ",(_xll.BDP($D325,$D$311, "EQY_FUND_RELATIVE_PERIOD", V$3))),V325),"NA ")</f>
        <v>4967.018</v>
      </c>
      <c r="W325" s="228">
        <f ca="1">IFERROR(IF(BB_Switch=1,IF(_xll.BDP($D325,$D$311, "EQY_FUND_RELATIVE_PERIOD", W$3)="#N/A N/A","NA  ",(_xll.BDP($D325,$D$311, "EQY_FUND_RELATIVE_PERIOD", W$3))),W325),"NA ")</f>
        <v>6192.8580000000002</v>
      </c>
      <c r="X325" s="228">
        <f ca="1">IFERROR(IF(BB_Switch=1,IF(_xll.BDP($D325,$D$311, "EQY_FUND_RELATIVE_PERIOD", X$3)="#N/A N/A","NA  ",(_xll.BDP($D325,$D$311, "EQY_FUND_RELATIVE_PERIOD", X$3))),X325),"NA ")</f>
        <v>5451.9089999999997</v>
      </c>
      <c r="Y325" s="228">
        <f ca="1">IFERROR(IF(BB_Switch=1,IF(_xll.BDP($D325,$D$311, "EQY_FUND_RELATIVE_PERIOD", Y$3)="#N/A N/A","NA  ",(_xll.BDP($D325,$D$311, "EQY_FUND_RELATIVE_PERIOD", Y$3))),Y325),"NA ")</f>
        <v>5307.4139999999998</v>
      </c>
      <c r="Z325" s="228">
        <f ca="1">IFERROR(IF(BB_Switch=1,IF(_xll.BDP($D325,$D$311, "EQY_FUND_RELATIVE_PERIOD", Z$3)="#N/A N/A","NA  ",(_xll.BDP($D325,$D$311, "EQY_FUND_RELATIVE_PERIOD", Z$3))),Z325),"NA ")</f>
        <v>5127.9610000000002</v>
      </c>
      <c r="AA325" s="228">
        <f ca="1">IFERROR(IF(BB_Switch=1,IF(_xll.BDP($D325,$D$311, "EQY_FUND_RELATIVE_PERIOD", AA$3)="#N/A N/A","NA  ",(_xll.BDP($D325,$D$311, "EQY_FUND_RELATIVE_PERIOD", AA$3))),AA325),"NA ")</f>
        <v>3971.902</v>
      </c>
      <c r="AB325" s="228">
        <f ca="1">IFERROR(IF(BB_Switch=1,IF(_xll.BDP($D325,$D$311, "EQY_FUND_RELATIVE_PERIOD", AB$3)="#N/A N/A","NA  ",(_xll.BDP($D325,$D$311, "EQY_FUND_RELATIVE_PERIOD", AB$3))),AB325),"NA ")</f>
        <v>3716.6</v>
      </c>
      <c r="AC325" s="228">
        <f ca="1">IFERROR(IF(BB_Switch=1,IF(_xll.BDP($D325,$D$311, "EQY_FUND_RELATIVE_PERIOD", AC$3)="#N/A N/A","NA  ",(_xll.BDP($D325,$D$311, "EQY_FUND_RELATIVE_PERIOD", AC$3))),AC325),"NA ")</f>
        <v>4448.1000000000004</v>
      </c>
      <c r="AD325" s="228">
        <f ca="1">IFERROR(IF(BB_Switch=1,IF(_xll.BDP($D325,$D$311, "EQY_FUND_RELATIVE_PERIOD", AD$3)="#N/A N/A","NA  ",(_xll.BDP($D325,$D$311, "EQY_FUND_RELATIVE_PERIOD", AD$3))),AD325),"NA ")</f>
        <v>4622.8</v>
      </c>
      <c r="AE325" s="228">
        <f ca="1">IFERROR(IF(BB_Switch=1,IF(_xll.BDP($D325,$D$311, "EQY_FUND_RELATIVE_PERIOD", AE$3)="#N/A N/A","NA  ",(_xll.BDP($D325,$D$311, "EQY_FUND_RELATIVE_PERIOD", AE$3))),AE325),"NA ")</f>
        <v>3775.8</v>
      </c>
      <c r="AF325" s="228"/>
      <c r="AG325" s="228">
        <f ca="1">IFERROR(IF(BB_Switch=1,IF(_xll.BDP($D325,$V$311)="#N/A N/A","NA  ",(_xll.BDP($D325,$V$311))),AG325),"NA ")</f>
        <v>3775.7999999999997</v>
      </c>
      <c r="AH325" s="228">
        <f ca="1">IFERROR(IF(BB_Switch=1,IF(_xll.BDP($D325,$F$311, "BEST_FPERIOD_OVERRIDE", AH$3)="#N/A N/A","NA  ",(_xll.BDP($D325,$F$311, "BEST_FPERIOD_OVERRIDE", AH$3))),AH325),"NM ")</f>
        <v>3715</v>
      </c>
      <c r="AI325" s="228">
        <f ca="1">IFERROR(IF(BB_Switch=1,IF(_xll.BDP($D325,$F$311, "BEST_FPERIOD_OVERRIDE", AI$3)="#N/A N/A","NA  ",(_xll.BDP($D325,$F$311, "BEST_FPERIOD_OVERRIDE", AI$3))),AI325),"NM ")</f>
        <v>4019</v>
      </c>
      <c r="AJ325" s="228">
        <f ca="1">IFERROR(IF(BB_Switch=1,IF(_xll.BDP($D325,$F$311, "BEST_FPERIOD_OVERRIDE", AJ$3)="#N/A N/A","NA  ",(_xll.BDP($D325,$F$311, "BEST_FPERIOD_OVERRIDE", AJ$3))),AJ325),"NM ")</f>
        <v>4160.3999999999996</v>
      </c>
    </row>
    <row r="326" spans="2:37" s="227" customFormat="1" ht="11.25" customHeight="1">
      <c r="B326" s="217"/>
      <c r="C326" s="229"/>
      <c r="E326" s="228"/>
      <c r="F326" s="228"/>
      <c r="G326" s="228"/>
      <c r="H326" s="228"/>
      <c r="I326" s="228"/>
      <c r="J326" s="228"/>
      <c r="K326" s="228"/>
      <c r="L326" s="228"/>
      <c r="M326" s="228"/>
      <c r="N326" s="228"/>
      <c r="O326" s="228"/>
      <c r="V326" s="228"/>
      <c r="W326" s="228"/>
      <c r="X326" s="228"/>
      <c r="Y326" s="228"/>
      <c r="Z326" s="228"/>
      <c r="AA326" s="228"/>
      <c r="AB326" s="228"/>
      <c r="AC326" s="228"/>
      <c r="AD326" s="228"/>
      <c r="AE326" s="228"/>
      <c r="AG326" s="574"/>
      <c r="AH326" s="228"/>
      <c r="AI326" s="228"/>
      <c r="AJ326" s="228"/>
    </row>
    <row r="327" spans="2:37" ht="11.25" customHeight="1">
      <c r="C327" s="224" t="s">
        <v>482</v>
      </c>
      <c r="D327" s="223"/>
      <c r="E327" s="222"/>
      <c r="F327" s="222"/>
      <c r="G327" s="222"/>
      <c r="H327" s="222"/>
      <c r="I327" s="222"/>
      <c r="J327" s="222"/>
      <c r="K327" s="222"/>
      <c r="L327" s="222"/>
      <c r="M327" s="222"/>
      <c r="N327" s="222"/>
      <c r="O327" s="222"/>
      <c r="P327" s="222"/>
      <c r="Q327" s="222"/>
      <c r="R327" s="222"/>
      <c r="S327" s="222"/>
      <c r="T327" s="289"/>
      <c r="U327" s="359"/>
      <c r="V327" s="295"/>
      <c r="W327" s="222"/>
      <c r="X327" s="222"/>
      <c r="Y327" s="222"/>
      <c r="Z327" s="222"/>
      <c r="AA327" s="222"/>
      <c r="AB327" s="222"/>
      <c r="AC327" s="222"/>
      <c r="AD327" s="222"/>
      <c r="AE327" s="222"/>
      <c r="AF327" s="222"/>
      <c r="AG327" s="222"/>
      <c r="AH327" s="222"/>
      <c r="AI327" s="222"/>
      <c r="AJ327" s="289"/>
    </row>
    <row r="328" spans="2:37" ht="11.25" customHeight="1">
      <c r="C328" s="221" t="s">
        <v>481</v>
      </c>
      <c r="D328" s="220"/>
      <c r="E328" s="218"/>
      <c r="F328" s="218"/>
      <c r="G328" s="218"/>
      <c r="H328" s="218"/>
      <c r="I328" s="218"/>
      <c r="J328" s="218"/>
      <c r="K328" s="218"/>
      <c r="L328" s="218"/>
      <c r="M328" s="218"/>
      <c r="N328" s="218"/>
      <c r="O328" s="218"/>
      <c r="P328" s="218"/>
      <c r="Q328" s="218"/>
      <c r="R328" s="218"/>
      <c r="S328" s="218"/>
      <c r="T328" s="290"/>
      <c r="U328" s="359"/>
      <c r="V328" s="296"/>
      <c r="W328" s="218"/>
      <c r="X328" s="218"/>
      <c r="Y328" s="218"/>
      <c r="Z328" s="218"/>
      <c r="AA328" s="218"/>
      <c r="AB328" s="218"/>
      <c r="AC328" s="218"/>
      <c r="AD328" s="218"/>
      <c r="AE328" s="218"/>
      <c r="AF328" s="218"/>
      <c r="AG328" s="218"/>
      <c r="AH328" s="218"/>
      <c r="AI328" s="218"/>
      <c r="AJ328" s="290"/>
    </row>
    <row r="329" spans="2:37" ht="11.25" customHeight="1"/>
    <row r="330" spans="2:37" s="227" customFormat="1" ht="11.25" customHeight="1">
      <c r="B330" s="231" t="s">
        <v>14</v>
      </c>
      <c r="C330" s="232" t="s">
        <v>472</v>
      </c>
      <c r="D330" s="232"/>
      <c r="E330" s="232"/>
      <c r="F330" s="232"/>
      <c r="G330" s="232"/>
      <c r="H330" s="232"/>
      <c r="I330" s="232"/>
      <c r="J330" s="232"/>
      <c r="K330" s="232"/>
      <c r="L330" s="232"/>
      <c r="M330" s="232"/>
      <c r="N330" s="232"/>
      <c r="O330" s="232"/>
      <c r="P330" s="232"/>
      <c r="Q330" s="232"/>
      <c r="R330" s="232"/>
      <c r="S330" s="232"/>
      <c r="T330" s="232"/>
      <c r="U330" s="233"/>
      <c r="V330" s="232"/>
      <c r="W330" s="231"/>
      <c r="X330" s="231"/>
      <c r="Y330" s="231"/>
      <c r="Z330" s="231"/>
      <c r="AA330" s="231"/>
      <c r="AB330" s="231"/>
      <c r="AC330" s="231"/>
      <c r="AD330" s="231"/>
      <c r="AE330" s="231"/>
      <c r="AF330" s="231"/>
      <c r="AG330" s="231"/>
      <c r="AH330" s="231"/>
      <c r="AI330" s="231"/>
      <c r="AJ330" s="231"/>
    </row>
    <row r="331" spans="2:37" ht="11.25" customHeight="1">
      <c r="D331" s="217" t="s">
        <v>489</v>
      </c>
      <c r="E331" s="238"/>
      <c r="F331" s="217" t="s">
        <v>1113</v>
      </c>
      <c r="V331" s="217" t="s">
        <v>1111</v>
      </c>
    </row>
    <row r="332" spans="2:37" ht="11.25" customHeight="1">
      <c r="C332" s="428" t="str">
        <f>+C11</f>
        <v>Commodity Chemicals</v>
      </c>
      <c r="AK332" s="230"/>
    </row>
    <row r="333" spans="2:37" ht="11.25" customHeight="1">
      <c r="C333" s="229" t="str">
        <f ca="1">IFERROR(IF(BB_Switch=1,_xll.BDP($D333,$C$270),C333), "NA ")</f>
        <v>DuPont de Nemours Inc</v>
      </c>
      <c r="D333" s="227" t="str">
        <f t="shared" ref="D333:D339" si="124">+D12</f>
        <v>DD US EQUITY</v>
      </c>
      <c r="E333" s="228">
        <f ca="1">IFERROR(IF(BB_Switch=1,IF(_xll.BDP($D333,$D$331, "EQY_FUND_RELATIVE_PERIOD", E$3)="#N/A N/A","NA  ",(_xll.BDP($D333,$D$331, "EQY_FUND_RELATIVE_PERIOD", E$3))),E333),"NA ")</f>
        <v>3100</v>
      </c>
      <c r="F333" s="228">
        <f ca="1">IFERROR(IF(BB_Switch=1,IF(_xll.BDP($D333,$D$331, "EQY_FUND_RELATIVE_PERIOD", F$3)="#N/A N/A","NA  ",(_xll.BDP($D333,$D$331, "EQY_FUND_RELATIVE_PERIOD", F$3))),F333),"NA ")</f>
        <v>3961</v>
      </c>
      <c r="G333" s="228">
        <f ca="1">IFERROR(IF(BB_Switch=1,IF(_xll.BDP($D333,$D$331, "EQY_FUND_RELATIVE_PERIOD", G$3)="#N/A N/A","NA  ",(_xll.BDP($D333,$D$331, "EQY_FUND_RELATIVE_PERIOD", G$3))),G333),"NA ")</f>
        <v>2652</v>
      </c>
      <c r="H333" s="228">
        <f ca="1">IFERROR(IF(BB_Switch=1,IF(_xll.BDP($D333,$D$331, "EQY_FUND_RELATIVE_PERIOD", H$3)="#N/A N/A","NA  ",(_xll.BDP($D333,$D$331, "EQY_FUND_RELATIVE_PERIOD", H$3))),H333),"NA ")</f>
        <v>2829</v>
      </c>
      <c r="I333" s="228">
        <f ca="1">IFERROR(IF(BB_Switch=1,IF(_xll.BDP($D333,$D$331, "EQY_FUND_RELATIVE_PERIOD", I$3)="#N/A N/A","NA  ",(_xll.BDP($D333,$D$331, "EQY_FUND_RELATIVE_PERIOD", I$3))),I333),"NA ")</f>
        <v>4456</v>
      </c>
      <c r="J333" s="228">
        <f ca="1">IFERROR(IF(BB_Switch=1,IF(_xll.BDP($D333,$D$331, "EQY_FUND_RELATIVE_PERIOD", J$3)="#N/A N/A","NA  ",(_xll.BDP($D333,$D$331, "EQY_FUND_RELATIVE_PERIOD", J$3))),J333),"NA ")</f>
        <v>1852</v>
      </c>
      <c r="K333" s="228">
        <f ca="1">IFERROR(IF(BB_Switch=1,IF(_xll.BDP($D333,$D$331, "EQY_FUND_RELATIVE_PERIOD", K$3)="#N/A N/A","NA  ",(_xll.BDP($D333,$D$331, "EQY_FUND_RELATIVE_PERIOD", K$3))),K333),"NA ")</f>
        <v>1998</v>
      </c>
      <c r="L333" s="228">
        <f ca="1">IFERROR(IF(BB_Switch=1,IF(_xll.BDP($D333,$D$331, "EQY_FUND_RELATIVE_PERIOD", L$3)="#N/A N/A","NA  ",(_xll.BDP($D333,$D$331, "EQY_FUND_RELATIVE_PERIOD", L$3))),L333),"NA ")</f>
        <v>1924</v>
      </c>
      <c r="M333" s="228">
        <f ca="1">IFERROR(IF(BB_Switch=1,IF(_xll.BDP($D333,$D$331, "EQY_FUND_RELATIVE_PERIOD", M$3)="#N/A N/A","NA  ",(_xll.BDP($D333,$D$331, "EQY_FUND_RELATIVE_PERIOD", M$3))),M333),"NA ")</f>
        <v>3934</v>
      </c>
      <c r="N333" s="228">
        <f ca="1">IFERROR(IF(BB_Switch=1,IF(_xll.BDP($D333,$D$331, "EQY_FUND_RELATIVE_PERIOD", N$3)="#N/A N/A","NA  ",(_xll.BDP($D333,$D$331, "EQY_FUND_RELATIVE_PERIOD", N$3))),N333),"NA ")</f>
        <v>1532</v>
      </c>
      <c r="O333" s="228">
        <f ca="1">IFERROR(IF(BB_Switch=1,IF(_xll.BDP($D333,$D$331, "EQY_FUND_RELATIVE_PERIOD", O$3)="#N/A N/A","NA  ",(_xll.BDP($D333,$D$331, "EQY_FUND_RELATIVE_PERIOD", O$3))),O333),"NA ")</f>
        <v>1322</v>
      </c>
      <c r="P333" s="228">
        <f ca="1">IFERROR(IF(BB_Switch=1,IF(_xll.BDP($D333,$D$331, "EQY_FUND_RELATIVE_PERIOD", P$3)="#N/A N/A","NA  ",(_xll.BDP($D333,$D$331, "EQY_FUND_RELATIVE_PERIOD", P$3))),P333),"NA ")</f>
        <v>1399</v>
      </c>
      <c r="Q333" s="227"/>
      <c r="R333" s="227"/>
      <c r="S333" s="227"/>
      <c r="T333" s="227"/>
      <c r="U333" s="227"/>
      <c r="V333" s="228" t="str">
        <f ca="1">IFERROR(IF(BB_Switch=1,IF(_xll.BDP($D333,$D$331, "EQY_FUND_RELATIVE_PERIOD", V$3)="#N/A N/A","NA  ",(_xll.BDP($D333,$D$331, "EQY_FUND_RELATIVE_PERIOD", V$3))),V333),"NA ")</f>
        <v xml:space="preserve">NA  </v>
      </c>
      <c r="W333" s="228" t="str">
        <f ca="1">IFERROR(IF(BB_Switch=1,IF(_xll.BDP($D333,$D$331, "EQY_FUND_RELATIVE_PERIOD", W$3)="#N/A N/A","NA  ",(_xll.BDP($D333,$D$331, "EQY_FUND_RELATIVE_PERIOD", W$3))),W333),"NA ")</f>
        <v xml:space="preserve">NA  </v>
      </c>
      <c r="X333" s="228" t="str">
        <f ca="1">IFERROR(IF(BB_Switch=1,IF(_xll.BDP($D333,$D$331, "EQY_FUND_RELATIVE_PERIOD", X$3)="#N/A N/A","NA  ",(_xll.BDP($D333,$D$331, "EQY_FUND_RELATIVE_PERIOD", X$3))),X333),"NA ")</f>
        <v xml:space="preserve">NA  </v>
      </c>
      <c r="Y333" s="228" t="str">
        <f ca="1">IFERROR(IF(BB_Switch=1,IF(_xll.BDP($D333,$D$331, "EQY_FUND_RELATIVE_PERIOD", Y$3)="#N/A N/A","NA  ",(_xll.BDP($D333,$D$331, "EQY_FUND_RELATIVE_PERIOD", Y$3))),Y333),"NA ")</f>
        <v xml:space="preserve">NA  </v>
      </c>
      <c r="Z333" s="228" t="str">
        <f ca="1">IFERROR(IF(BB_Switch=1,IF(_xll.BDP($D333,$D$331, "EQY_FUND_RELATIVE_PERIOD", Z$3)="#N/A N/A","NA  ",(_xll.BDP($D333,$D$331, "EQY_FUND_RELATIVE_PERIOD", Z$3))),Z333),"NA ")</f>
        <v xml:space="preserve">NA  </v>
      </c>
      <c r="AA333" s="228">
        <f ca="1">IFERROR(IF(BB_Switch=1,IF(_xll.BDP($D333,$D$331, "EQY_FUND_RELATIVE_PERIOD", AA$3)="#N/A N/A","NA  ",(_xll.BDP($D333,$D$331, "EQY_FUND_RELATIVE_PERIOD", AA$3))),AA333),"NA ")</f>
        <v>9911</v>
      </c>
      <c r="AB333" s="228">
        <f ca="1">IFERROR(IF(BB_Switch=1,IF(_xll.BDP($D333,$D$331, "EQY_FUND_RELATIVE_PERIOD", AB$3)="#N/A N/A","NA  ",(_xll.BDP($D333,$D$331, "EQY_FUND_RELATIVE_PERIOD", AB$3))),AB333),"NA ")</f>
        <v>9298</v>
      </c>
      <c r="AC333" s="228">
        <f ca="1">IFERROR(IF(BB_Switch=1,IF(_xll.BDP($D333,$D$331, "EQY_FUND_RELATIVE_PERIOD", AC$3)="#N/A N/A","NA  ",(_xll.BDP($D333,$D$331, "EQY_FUND_RELATIVE_PERIOD", AC$3))),AC333),"NA ")</f>
        <v>4604</v>
      </c>
      <c r="AD333" s="228">
        <f ca="1">IFERROR(IF(BB_Switch=1,IF(_xll.BDP($D333,$D$331, "EQY_FUND_RELATIVE_PERIOD", AD$3)="#N/A N/A","NA  ",(_xll.BDP($D333,$D$331, "EQY_FUND_RELATIVE_PERIOD", AD$3))),AD333),"NA ")</f>
        <v>7693</v>
      </c>
      <c r="AE333" s="228">
        <f ca="1">IFERROR(IF(BB_Switch=1,IF(_xll.BDP($D333,$D$331, "EQY_FUND_RELATIVE_PERIOD", AE$3)="#N/A N/A","NA  ",(_xll.BDP($D333,$D$331, "EQY_FUND_RELATIVE_PERIOD", AE$3))),AE333),"NA ")</f>
        <v>6181</v>
      </c>
      <c r="AF333" s="228"/>
      <c r="AG333" s="228">
        <f ca="1">IFERROR(IF(BB_Switch=1,IF(_xll.BDP($D333,$V$331)="#N/A N/A","NA  ",(_xll.BDP($D333,$V$331))),AG333),"NA ")</f>
        <v>8229</v>
      </c>
      <c r="AH333" s="228">
        <f ca="1">IFERROR(IF(BB_Switch=1,IF(_xll.BDP($D333,$F$331, "BEST_FPERIOD_OVERRIDE", AH$3)="#N/A N/A","NA  ",(_xll.BDP($D333,$F$331, "BEST_FPERIOD_OVERRIDE", AH$3))),AH333),"NM ")</f>
        <v>5388.8330000000005</v>
      </c>
      <c r="AI333" s="228">
        <f ca="1">IFERROR(IF(BB_Switch=1,IF(_xll.BDP($D333,$F$331, "BEST_FPERIOD_OVERRIDE", AI$3)="#N/A N/A","NA  ",(_xll.BDP($D333,$F$331, "BEST_FPERIOD_OVERRIDE", AI$3))),AI333),"NM ")</f>
        <v>5657.5879999999997</v>
      </c>
      <c r="AJ333" s="228">
        <f ca="1">IFERROR(IF(BB_Switch=1,IF(_xll.BDP($D333,$F$331, "BEST_FPERIOD_OVERRIDE", AJ$3)="#N/A N/A","NA  ",(_xll.BDP($D333,$F$331, "BEST_FPERIOD_OVERRIDE", AJ$3))),AJ333),"NM ")</f>
        <v>6120.4290000000001</v>
      </c>
    </row>
    <row r="334" spans="2:37" ht="11.25" customHeight="1">
      <c r="C334" s="229" t="str">
        <f ca="1">IFERROR(IF(BB_Switch=1,_xll.BDP($D334,$C$270),C334), "NA ")</f>
        <v>PolyOne Corp</v>
      </c>
      <c r="D334" s="227" t="str">
        <f t="shared" si="124"/>
        <v>POL US EQUITY</v>
      </c>
      <c r="E334" s="228">
        <f ca="1">IFERROR(IF(BB_Switch=1,IF(_xll.BDP($D334,$D$331, "EQY_FUND_RELATIVE_PERIOD", E$3)="#N/A N/A","NA  ",(_xll.BDP($D334,$D$331, "EQY_FUND_RELATIVE_PERIOD", E$3))),E334),"NA ")</f>
        <v>105.30000000000001</v>
      </c>
      <c r="F334" s="228">
        <f ca="1">IFERROR(IF(BB_Switch=1,IF(_xll.BDP($D334,$D$331, "EQY_FUND_RELATIVE_PERIOD", F$3)="#N/A N/A","NA  ",(_xll.BDP($D334,$D$331, "EQY_FUND_RELATIVE_PERIOD", F$3))),F334),"NA ")</f>
        <v>111.7</v>
      </c>
      <c r="G334" s="228">
        <f ca="1">IFERROR(IF(BB_Switch=1,IF(_xll.BDP($D334,$D$331, "EQY_FUND_RELATIVE_PERIOD", G$3)="#N/A N/A","NA  ",(_xll.BDP($D334,$D$331, "EQY_FUND_RELATIVE_PERIOD", G$3))),G334),"NA ")</f>
        <v>101</v>
      </c>
      <c r="H334" s="228">
        <f ca="1">IFERROR(IF(BB_Switch=1,IF(_xll.BDP($D334,$D$331, "EQY_FUND_RELATIVE_PERIOD", H$3)="#N/A N/A","NA  ",(_xll.BDP($D334,$D$331, "EQY_FUND_RELATIVE_PERIOD", H$3))),H334),"NA ")</f>
        <v>78.900000000000006</v>
      </c>
      <c r="I334" s="228">
        <f ca="1">IFERROR(IF(BB_Switch=1,IF(_xll.BDP($D334,$D$331, "EQY_FUND_RELATIVE_PERIOD", I$3)="#N/A N/A","NA  ",(_xll.BDP($D334,$D$331, "EQY_FUND_RELATIVE_PERIOD", I$3))),I334),"NA ")</f>
        <v>110.5</v>
      </c>
      <c r="J334" s="228">
        <f ca="1">IFERROR(IF(BB_Switch=1,IF(_xll.BDP($D334,$D$331, "EQY_FUND_RELATIVE_PERIOD", J$3)="#N/A N/A","NA  ",(_xll.BDP($D334,$D$331, "EQY_FUND_RELATIVE_PERIOD", J$3))),J334),"NA ")</f>
        <v>115</v>
      </c>
      <c r="K334" s="228">
        <f ca="1">IFERROR(IF(BB_Switch=1,IF(_xll.BDP($D334,$D$331, "EQY_FUND_RELATIVE_PERIOD", K$3)="#N/A N/A","NA  ",(_xll.BDP($D334,$D$331, "EQY_FUND_RELATIVE_PERIOD", K$3))),K334),"NA ")</f>
        <v>80.8</v>
      </c>
      <c r="L334" s="228">
        <f ca="1">IFERROR(IF(BB_Switch=1,IF(_xll.BDP($D334,$D$331, "EQY_FUND_RELATIVE_PERIOD", L$3)="#N/A N/A","NA  ",(_xll.BDP($D334,$D$331, "EQY_FUND_RELATIVE_PERIOD", L$3))),L334),"NA ")</f>
        <v>59.5</v>
      </c>
      <c r="M334" s="228">
        <f ca="1">IFERROR(IF(BB_Switch=1,IF(_xll.BDP($D334,$D$331, "EQY_FUND_RELATIVE_PERIOD", M$3)="#N/A N/A","NA  ",(_xll.BDP($D334,$D$331, "EQY_FUND_RELATIVE_PERIOD", M$3))),M334),"NA ")</f>
        <v>111.39999999999999</v>
      </c>
      <c r="N334" s="228">
        <f ca="1">IFERROR(IF(BB_Switch=1,IF(_xll.BDP($D334,$D$331, "EQY_FUND_RELATIVE_PERIOD", N$3)="#N/A N/A","NA  ",(_xll.BDP($D334,$D$331, "EQY_FUND_RELATIVE_PERIOD", N$3))),N334),"NA ")</f>
        <v>121.6</v>
      </c>
      <c r="O334" s="228">
        <f ca="1">IFERROR(IF(BB_Switch=1,IF(_xll.BDP($D334,$D$331, "EQY_FUND_RELATIVE_PERIOD", O$3)="#N/A N/A","NA  ",(_xll.BDP($D334,$D$331, "EQY_FUND_RELATIVE_PERIOD", O$3))),O334),"NA ")</f>
        <v>86.2</v>
      </c>
      <c r="P334" s="228">
        <f ca="1">IFERROR(IF(BB_Switch=1,IF(_xll.BDP($D334,$D$331, "EQY_FUND_RELATIVE_PERIOD", P$3)="#N/A N/A","NA  ",(_xll.BDP($D334,$D$331, "EQY_FUND_RELATIVE_PERIOD", P$3))),P334),"NA ")</f>
        <v>70.8</v>
      </c>
      <c r="Q334" s="227"/>
      <c r="R334" s="227"/>
      <c r="S334" s="227"/>
      <c r="T334" s="227"/>
      <c r="U334" s="227"/>
      <c r="V334" s="228">
        <f ca="1">IFERROR(IF(BB_Switch=1,IF(_xll.BDP($D334,$D$331, "EQY_FUND_RELATIVE_PERIOD", V$3)="#N/A N/A","NA  ",(_xll.BDP($D334,$D$331, "EQY_FUND_RELATIVE_PERIOD", V$3))),V334),"NA ")</f>
        <v>238.60000000000002</v>
      </c>
      <c r="W334" s="228">
        <f ca="1">IFERROR(IF(BB_Switch=1,IF(_xll.BDP($D334,$D$331, "EQY_FUND_RELATIVE_PERIOD", W$3)="#N/A N/A","NA  ",(_xll.BDP($D334,$D$331, "EQY_FUND_RELATIVE_PERIOD", W$3))),W334),"NA ")</f>
        <v>306.3</v>
      </c>
      <c r="X334" s="228">
        <f ca="1">IFERROR(IF(BB_Switch=1,IF(_xll.BDP($D334,$D$331, "EQY_FUND_RELATIVE_PERIOD", X$3)="#N/A N/A","NA  ",(_xll.BDP($D334,$D$331, "EQY_FUND_RELATIVE_PERIOD", X$3))),X334),"NA ")</f>
        <v>241.5</v>
      </c>
      <c r="Y334" s="228">
        <f ca="1">IFERROR(IF(BB_Switch=1,IF(_xll.BDP($D334,$D$331, "EQY_FUND_RELATIVE_PERIOD", Y$3)="#N/A N/A","NA  ",(_xll.BDP($D334,$D$331, "EQY_FUND_RELATIVE_PERIOD", Y$3))),Y334),"NA ")</f>
        <v>438.1</v>
      </c>
      <c r="Z334" s="228">
        <f ca="1">IFERROR(IF(BB_Switch=1,IF(_xll.BDP($D334,$D$331, "EQY_FUND_RELATIVE_PERIOD", Z$3)="#N/A N/A","NA  ",(_xll.BDP($D334,$D$331, "EQY_FUND_RELATIVE_PERIOD", Z$3))),Z334),"NA ")</f>
        <v>379.8</v>
      </c>
      <c r="AA334" s="228">
        <f ca="1">IFERROR(IF(BB_Switch=1,IF(_xll.BDP($D334,$D$331, "EQY_FUND_RELATIVE_PERIOD", AA$3)="#N/A N/A","NA  ",(_xll.BDP($D334,$D$331, "EQY_FUND_RELATIVE_PERIOD", AA$3))),AA334),"NA ")</f>
        <v>408.70000000000005</v>
      </c>
      <c r="AB334" s="228">
        <f ca="1">IFERROR(IF(BB_Switch=1,IF(_xll.BDP($D334,$D$331, "EQY_FUND_RELATIVE_PERIOD", AB$3)="#N/A N/A","NA  ",(_xll.BDP($D334,$D$331, "EQY_FUND_RELATIVE_PERIOD", AB$3))),AB334),"NA ")</f>
        <v>410.4</v>
      </c>
      <c r="AC334" s="228">
        <f ca="1">IFERROR(IF(BB_Switch=1,IF(_xll.BDP($D334,$D$331, "EQY_FUND_RELATIVE_PERIOD", AC$3)="#N/A N/A","NA  ",(_xll.BDP($D334,$D$331, "EQY_FUND_RELATIVE_PERIOD", AC$3))),AC334),"NA ")</f>
        <v>361.29999999999995</v>
      </c>
      <c r="AD334" s="228">
        <f ca="1">IFERROR(IF(BB_Switch=1,IF(_xll.BDP($D334,$D$331, "EQY_FUND_RELATIVE_PERIOD", AD$3)="#N/A N/A","NA  ",(_xll.BDP($D334,$D$331, "EQY_FUND_RELATIVE_PERIOD", AD$3))),AD334),"NA ")</f>
        <v>335.4</v>
      </c>
      <c r="AE334" s="228">
        <f ca="1">IFERROR(IF(BB_Switch=1,IF(_xll.BDP($D334,$D$331, "EQY_FUND_RELATIVE_PERIOD", AE$3)="#N/A N/A","NA  ",(_xll.BDP($D334,$D$331, "EQY_FUND_RELATIVE_PERIOD", AE$3))),AE334),"NA ")</f>
        <v>340</v>
      </c>
      <c r="AF334" s="228"/>
      <c r="AG334" s="715">
        <f ca="1">+AE334</f>
        <v>340</v>
      </c>
      <c r="AH334" s="228">
        <f ca="1">IFERROR(IF(BB_Switch=1,IF(_xll.BDP($D334,$F$331, "BEST_FPERIOD_OVERRIDE", AH$3)="#N/A N/A","NA  ",(_xll.BDP($D334,$F$331, "BEST_FPERIOD_OVERRIDE", AH$3))),AH334),"NM ")</f>
        <v>341.66700000000003</v>
      </c>
      <c r="AI334" s="228">
        <f ca="1">IFERROR(IF(BB_Switch=1,IF(_xll.BDP($D334,$F$331, "BEST_FPERIOD_OVERRIDE", AI$3)="#N/A N/A","NA  ",(_xll.BDP($D334,$F$331, "BEST_FPERIOD_OVERRIDE", AI$3))),AI334),"NM ")</f>
        <v>376</v>
      </c>
      <c r="AJ334" s="228">
        <f ca="1">IFERROR(IF(BB_Switch=1,IF(_xll.BDP($D334,$F$331, "BEST_FPERIOD_OVERRIDE", AJ$3)="#N/A N/A","NA  ",(_xll.BDP($D334,$F$331, "BEST_FPERIOD_OVERRIDE", AJ$3))),AJ334),"NM ")</f>
        <v>352.66700000000003</v>
      </c>
    </row>
    <row r="335" spans="2:37" ht="11.25" customHeight="1">
      <c r="C335" s="229" t="str">
        <f ca="1">IFERROR(IF(BB_Switch=1,_xll.BDP($D335,$C$270),C335), "NA ")</f>
        <v>Olin Corp</v>
      </c>
      <c r="D335" s="227" t="str">
        <f t="shared" si="124"/>
        <v>OLN US EQUITY</v>
      </c>
      <c r="E335" s="228">
        <f ca="1">IFERROR(IF(BB_Switch=1,IF(_xll.BDP($D335,$D$331, "EQY_FUND_RELATIVE_PERIOD", E$3)="#N/A N/A","NA  ",(_xll.BDP($D335,$D$331, "EQY_FUND_RELATIVE_PERIOD", E$3))),E335),"NA ")</f>
        <v>214.3</v>
      </c>
      <c r="F335" s="228">
        <f ca="1">IFERROR(IF(BB_Switch=1,IF(_xll.BDP($D335,$D$331, "EQY_FUND_RELATIVE_PERIOD", F$3)="#N/A N/A","NA  ",(_xll.BDP($D335,$D$331, "EQY_FUND_RELATIVE_PERIOD", F$3))),F335),"NA ")</f>
        <v>173</v>
      </c>
      <c r="G335" s="228">
        <f ca="1">IFERROR(IF(BB_Switch=1,IF(_xll.BDP($D335,$D$331, "EQY_FUND_RELATIVE_PERIOD", G$3)="#N/A N/A","NA  ",(_xll.BDP($D335,$D$331, "EQY_FUND_RELATIVE_PERIOD", G$3))),G335),"NA ")</f>
        <v>256.7</v>
      </c>
      <c r="H335" s="228">
        <f ca="1">IFERROR(IF(BB_Switch=1,IF(_xll.BDP($D335,$D$331, "EQY_FUND_RELATIVE_PERIOD", H$3)="#N/A N/A","NA  ",(_xll.BDP($D335,$D$331, "EQY_FUND_RELATIVE_PERIOD", H$3))),H335),"NA ")</f>
        <v>268.7</v>
      </c>
      <c r="I335" s="228">
        <f ca="1">IFERROR(IF(BB_Switch=1,IF(_xll.BDP($D335,$D$331, "EQY_FUND_RELATIVE_PERIOD", I$3)="#N/A N/A","NA  ",(_xll.BDP($D335,$D$331, "EQY_FUND_RELATIVE_PERIOD", I$3))),I335),"NA ")</f>
        <v>234.39999999999998</v>
      </c>
      <c r="J335" s="228">
        <f ca="1">IFERROR(IF(BB_Switch=1,IF(_xll.BDP($D335,$D$331, "EQY_FUND_RELATIVE_PERIOD", J$3)="#N/A N/A","NA  ",(_xll.BDP($D335,$D$331, "EQY_FUND_RELATIVE_PERIOD", J$3))),J335),"NA ")</f>
        <v>341.1</v>
      </c>
      <c r="K335" s="228">
        <f ca="1">IFERROR(IF(BB_Switch=1,IF(_xll.BDP($D335,$D$331, "EQY_FUND_RELATIVE_PERIOD", K$3)="#N/A N/A","NA  ",(_xll.BDP($D335,$D$331, "EQY_FUND_RELATIVE_PERIOD", K$3))),K335),"NA ")</f>
        <v>392.5</v>
      </c>
      <c r="L335" s="228">
        <f ca="1">IFERROR(IF(BB_Switch=1,IF(_xll.BDP($D335,$D$331, "EQY_FUND_RELATIVE_PERIOD", L$3)="#N/A N/A","NA  ",(_xll.BDP($D335,$D$331, "EQY_FUND_RELATIVE_PERIOD", L$3))),L335),"NA ")</f>
        <v>295.39999999999998</v>
      </c>
      <c r="M335" s="228">
        <f ca="1">IFERROR(IF(BB_Switch=1,IF(_xll.BDP($D335,$D$331, "EQY_FUND_RELATIVE_PERIOD", M$3)="#N/A N/A","NA  ",(_xll.BDP($D335,$D$331, "EQY_FUND_RELATIVE_PERIOD", M$3))),M335),"NA ")</f>
        <v>295.3</v>
      </c>
      <c r="N335" s="228">
        <f ca="1">IFERROR(IF(BB_Switch=1,IF(_xll.BDP($D335,$D$331, "EQY_FUND_RELATIVE_PERIOD", N$3)="#N/A N/A","NA  ",(_xll.BDP($D335,$D$331, "EQY_FUND_RELATIVE_PERIOD", N$3))),N335),"NA ")</f>
        <v>228</v>
      </c>
      <c r="O335" s="228">
        <f ca="1">IFERROR(IF(BB_Switch=1,IF(_xll.BDP($D335,$D$331, "EQY_FUND_RELATIVE_PERIOD", O$3)="#N/A N/A","NA  ",(_xll.BDP($D335,$D$331, "EQY_FUND_RELATIVE_PERIOD", O$3))),O335),"NA ")</f>
        <v>316.5</v>
      </c>
      <c r="P335" s="228">
        <f ca="1">IFERROR(IF(BB_Switch=1,IF(_xll.BDP($D335,$D$331, "EQY_FUND_RELATIVE_PERIOD", P$3)="#N/A N/A","NA  ",(_xll.BDP($D335,$D$331, "EQY_FUND_RELATIVE_PERIOD", P$3))),P335),"NA ")</f>
        <v>205.7</v>
      </c>
      <c r="Q335" s="227"/>
      <c r="R335" s="227"/>
      <c r="S335" s="227"/>
      <c r="T335" s="227"/>
      <c r="U335" s="227"/>
      <c r="V335" s="228">
        <f ca="1">IFERROR(IF(BB_Switch=1,IF(_xll.BDP($D335,$D$331, "EQY_FUND_RELATIVE_PERIOD", V$3)="#N/A N/A","NA  ",(_xll.BDP($D335,$D$331, "EQY_FUND_RELATIVE_PERIOD", V$3))),V335),"NA ")</f>
        <v>196.3</v>
      </c>
      <c r="W335" s="228">
        <f ca="1">IFERROR(IF(BB_Switch=1,IF(_xll.BDP($D335,$D$331, "EQY_FUND_RELATIVE_PERIOD", W$3)="#N/A N/A","NA  ",(_xll.BDP($D335,$D$331, "EQY_FUND_RELATIVE_PERIOD", W$3))),W335),"NA ")</f>
        <v>157.5</v>
      </c>
      <c r="X335" s="228">
        <f ca="1">IFERROR(IF(BB_Switch=1,IF(_xll.BDP($D335,$D$331, "EQY_FUND_RELATIVE_PERIOD", X$3)="#N/A N/A","NA  ",(_xll.BDP($D335,$D$331, "EQY_FUND_RELATIVE_PERIOD", X$3))),X335),"NA ")</f>
        <v>399.6</v>
      </c>
      <c r="Y335" s="228">
        <f ca="1">IFERROR(IF(BB_Switch=1,IF(_xll.BDP($D335,$D$331, "EQY_FUND_RELATIVE_PERIOD", Y$3)="#N/A N/A","NA  ",(_xll.BDP($D335,$D$331, "EQY_FUND_RELATIVE_PERIOD", Y$3))),Y335),"NA ")</f>
        <v>422.1</v>
      </c>
      <c r="Z335" s="228">
        <f ca="1">IFERROR(IF(BB_Switch=1,IF(_xll.BDP($D335,$D$331, "EQY_FUND_RELATIVE_PERIOD", Z$3)="#N/A N/A","NA  ",(_xll.BDP($D335,$D$331, "EQY_FUND_RELATIVE_PERIOD", Z$3))),Z335),"NA ")</f>
        <v>366.4</v>
      </c>
      <c r="AA335" s="228">
        <f ca="1">IFERROR(IF(BB_Switch=1,IF(_xll.BDP($D335,$D$331, "EQY_FUND_RELATIVE_PERIOD", AA$3)="#N/A N/A","NA  ",(_xll.BDP($D335,$D$331, "EQY_FUND_RELATIVE_PERIOD", AA$3))),AA335),"NA ")</f>
        <v>412.8</v>
      </c>
      <c r="AB335" s="228">
        <f ca="1">IFERROR(IF(BB_Switch=1,IF(_xll.BDP($D335,$D$331, "EQY_FUND_RELATIVE_PERIOD", AB$3)="#N/A N/A","NA  ",(_xll.BDP($D335,$D$331, "EQY_FUND_RELATIVE_PERIOD", AB$3))),AB335),"NA ")</f>
        <v>846.7</v>
      </c>
      <c r="AC335" s="228">
        <f ca="1">IFERROR(IF(BB_Switch=1,IF(_xll.BDP($D335,$D$331, "EQY_FUND_RELATIVE_PERIOD", AC$3)="#N/A N/A","NA  ",(_xll.BDP($D335,$D$331, "EQY_FUND_RELATIVE_PERIOD", AC$3))),AC335),"NA ")</f>
        <v>907.9</v>
      </c>
      <c r="AD335" s="228">
        <f ca="1">IFERROR(IF(BB_Switch=1,IF(_xll.BDP($D335,$D$331, "EQY_FUND_RELATIVE_PERIOD", AD$3)="#N/A N/A","NA  ",(_xll.BDP($D335,$D$331, "EQY_FUND_RELATIVE_PERIOD", AD$3))),AD335),"NA ")</f>
        <v>1263.4000000000001</v>
      </c>
      <c r="AE335" s="228">
        <f ca="1">IFERROR(IF(BB_Switch=1,IF(_xll.BDP($D335,$D$331, "EQY_FUND_RELATIVE_PERIOD", AE$3)="#N/A N/A","NA  ",(_xll.BDP($D335,$D$331, "EQY_FUND_RELATIVE_PERIOD", AE$3))),AE335),"NA ")</f>
        <v>1045</v>
      </c>
      <c r="AF335" s="228"/>
      <c r="AG335" s="228">
        <f ca="1">IFERROR(IF(BB_Switch=1,IF(_xll.BDP($D335,$V$331)="#N/A N/A","NA  ",(_xll.BDP($D335,$V$331))),AG335),"NA ")</f>
        <v>940.8</v>
      </c>
      <c r="AH335" s="228">
        <f ca="1">IFERROR(IF(BB_Switch=1,IF(_xll.BDP($D335,$F$331, "BEST_FPERIOD_OVERRIDE", AH$3)="#N/A N/A","NA  ",(_xll.BDP($D335,$F$331, "BEST_FPERIOD_OVERRIDE", AH$3))),AH335),"NM ")</f>
        <v>767.66700000000003</v>
      </c>
      <c r="AI335" s="228">
        <f ca="1">IFERROR(IF(BB_Switch=1,IF(_xll.BDP($D335,$F$331, "BEST_FPERIOD_OVERRIDE", AI$3)="#N/A N/A","NA  ",(_xll.BDP($D335,$F$331, "BEST_FPERIOD_OVERRIDE", AI$3))),AI335),"NM ")</f>
        <v>959.90899999999999</v>
      </c>
      <c r="AJ335" s="228">
        <f ca="1">IFERROR(IF(BB_Switch=1,IF(_xll.BDP($D335,$F$331, "BEST_FPERIOD_OVERRIDE", AJ$3)="#N/A N/A","NA  ",(_xll.BDP($D335,$F$331, "BEST_FPERIOD_OVERRIDE", AJ$3))),AJ335),"NM ")</f>
        <v>1070</v>
      </c>
    </row>
    <row r="336" spans="2:37" ht="11.25" customHeight="1">
      <c r="C336" s="229" t="str">
        <f ca="1">IFERROR(IF(BB_Switch=1,_xll.BDP($D336,$C$270),C336), "NA ")</f>
        <v>LyondellBasell Industries NV</v>
      </c>
      <c r="D336" s="227" t="str">
        <f t="shared" si="124"/>
        <v>LYB US EQUITY</v>
      </c>
      <c r="E336" s="228">
        <f ca="1">IFERROR(IF(BB_Switch=1,IF(_xll.BDP($D336,$D$331, "EQY_FUND_RELATIVE_PERIOD", E$3)="#N/A N/A","NA  ",(_xll.BDP($D336,$D$331, "EQY_FUND_RELATIVE_PERIOD", E$3))),E336),"NA ")</f>
        <v>1475</v>
      </c>
      <c r="F336" s="228">
        <f ca="1">IFERROR(IF(BB_Switch=1,IF(_xll.BDP($D336,$D$331, "EQY_FUND_RELATIVE_PERIOD", F$3)="#N/A N/A","NA  ",(_xll.BDP($D336,$D$331, "EQY_FUND_RELATIVE_PERIOD", F$3))),F336),"NA ")</f>
        <v>1863</v>
      </c>
      <c r="G336" s="228">
        <f ca="1">IFERROR(IF(BB_Switch=1,IF(_xll.BDP($D336,$D$331, "EQY_FUND_RELATIVE_PERIOD", G$3)="#N/A N/A","NA  ",(_xll.BDP($D336,$D$331, "EQY_FUND_RELATIVE_PERIOD", G$3))),G336),"NA ")</f>
        <v>1518</v>
      </c>
      <c r="H336" s="228">
        <f ca="1">IFERROR(IF(BB_Switch=1,IF(_xll.BDP($D336,$D$331, "EQY_FUND_RELATIVE_PERIOD", H$3)="#N/A N/A","NA  ",(_xll.BDP($D336,$D$331, "EQY_FUND_RELATIVE_PERIOD", H$3))),H336),"NA ")</f>
        <v>1639</v>
      </c>
      <c r="I336" s="228">
        <f ca="1">IFERROR(IF(BB_Switch=1,IF(_xll.BDP($D336,$D$331, "EQY_FUND_RELATIVE_PERIOD", I$3)="#N/A N/A","NA  ",(_xll.BDP($D336,$D$331, "EQY_FUND_RELATIVE_PERIOD", I$3))),I336),"NA ")</f>
        <v>1793</v>
      </c>
      <c r="J336" s="228">
        <f ca="1">IFERROR(IF(BB_Switch=1,IF(_xll.BDP($D336,$D$331, "EQY_FUND_RELATIVE_PERIOD", J$3)="#N/A N/A","NA  ",(_xll.BDP($D336,$D$331, "EQY_FUND_RELATIVE_PERIOD", J$3))),J336),"NA ")</f>
        <v>1926</v>
      </c>
      <c r="K336" s="228">
        <f ca="1">IFERROR(IF(BB_Switch=1,IF(_xll.BDP($D336,$D$331, "EQY_FUND_RELATIVE_PERIOD", K$3)="#N/A N/A","NA  ",(_xll.BDP($D336,$D$331, "EQY_FUND_RELATIVE_PERIOD", K$3))),K336),"NA ")</f>
        <v>1679</v>
      </c>
      <c r="L336" s="228">
        <f ca="1">IFERROR(IF(BB_Switch=1,IF(_xll.BDP($D336,$D$331, "EQY_FUND_RELATIVE_PERIOD", L$3)="#N/A N/A","NA  ",(_xll.BDP($D336,$D$331, "EQY_FUND_RELATIVE_PERIOD", L$3))),L336),"NA ")</f>
        <v>1147</v>
      </c>
      <c r="M336" s="228">
        <f ca="1">IFERROR(IF(BB_Switch=1,IF(_xll.BDP($D336,$D$331, "EQY_FUND_RELATIVE_PERIOD", M$3)="#N/A N/A","NA  ",(_xll.BDP($D336,$D$331, "EQY_FUND_RELATIVE_PERIOD", M$3))),M336),"NA ")</f>
        <v>1445</v>
      </c>
      <c r="N336" s="228">
        <f ca="1">IFERROR(IF(BB_Switch=1,IF(_xll.BDP($D336,$D$331, "EQY_FUND_RELATIVE_PERIOD", N$3)="#N/A N/A","NA  ",(_xll.BDP($D336,$D$331, "EQY_FUND_RELATIVE_PERIOD", N$3))),N336),"NA ")</f>
        <v>1614</v>
      </c>
      <c r="O336" s="228">
        <f ca="1">IFERROR(IF(BB_Switch=1,IF(_xll.BDP($D336,$D$331, "EQY_FUND_RELATIVE_PERIOD", O$3)="#N/A N/A","NA  ",(_xll.BDP($D336,$D$331, "EQY_FUND_RELATIVE_PERIOD", O$3))),O336),"NA ")</f>
        <v>1584</v>
      </c>
      <c r="P336" s="228">
        <f ca="1">IFERROR(IF(BB_Switch=1,IF(_xll.BDP($D336,$D$331, "EQY_FUND_RELATIVE_PERIOD", P$3)="#N/A N/A","NA  ",(_xll.BDP($D336,$D$331, "EQY_FUND_RELATIVE_PERIOD", P$3))),P336),"NA ")</f>
        <v>1267</v>
      </c>
      <c r="Q336" s="227"/>
      <c r="R336" s="227"/>
      <c r="S336" s="227"/>
      <c r="T336" s="227"/>
      <c r="U336" s="227"/>
      <c r="V336" s="228">
        <f ca="1">IFERROR(IF(BB_Switch=1,IF(_xll.BDP($D336,$D$331, "EQY_FUND_RELATIVE_PERIOD", V$3)="#N/A N/A","NA  ",(_xll.BDP($D336,$D$331, "EQY_FUND_RELATIVE_PERIOD", V$3))),V336),"NA ")</f>
        <v>4191</v>
      </c>
      <c r="W336" s="228">
        <f ca="1">IFERROR(IF(BB_Switch=1,IF(_xll.BDP($D336,$D$331, "EQY_FUND_RELATIVE_PERIOD", W$3)="#N/A N/A","NA  ",(_xll.BDP($D336,$D$331, "EQY_FUND_RELATIVE_PERIOD", W$3))),W336),"NA ")</f>
        <v>5458</v>
      </c>
      <c r="X336" s="228">
        <f ca="1">IFERROR(IF(BB_Switch=1,IF(_xll.BDP($D336,$D$331, "EQY_FUND_RELATIVE_PERIOD", X$3)="#N/A N/A","NA  ",(_xll.BDP($D336,$D$331, "EQY_FUND_RELATIVE_PERIOD", X$3))),X336),"NA ")</f>
        <v>5610</v>
      </c>
      <c r="Y336" s="228">
        <f ca="1">IFERROR(IF(BB_Switch=1,IF(_xll.BDP($D336,$D$331, "EQY_FUND_RELATIVE_PERIOD", Y$3)="#N/A N/A","NA  ",(_xll.BDP($D336,$D$331, "EQY_FUND_RELATIVE_PERIOD", Y$3))),Y336),"NA ")</f>
        <v>6108</v>
      </c>
      <c r="Z336" s="228">
        <f ca="1">IFERROR(IF(BB_Switch=1,IF(_xll.BDP($D336,$D$331, "EQY_FUND_RELATIVE_PERIOD", Z$3)="#N/A N/A","NA  ",(_xll.BDP($D336,$D$331, "EQY_FUND_RELATIVE_PERIOD", Z$3))),Z336),"NA ")</f>
        <v>6703</v>
      </c>
      <c r="AA336" s="228">
        <f ca="1">IFERROR(IF(BB_Switch=1,IF(_xll.BDP($D336,$D$331, "EQY_FUND_RELATIVE_PERIOD", AA$3)="#N/A N/A","NA  ",(_xll.BDP($D336,$D$331, "EQY_FUND_RELATIVE_PERIOD", AA$3))),AA336),"NA ")</f>
        <v>7169</v>
      </c>
      <c r="AB336" s="228">
        <f ca="1">IFERROR(IF(BB_Switch=1,IF(_xll.BDP($D336,$D$331, "EQY_FUND_RELATIVE_PERIOD", AB$3)="#N/A N/A","NA  ",(_xll.BDP($D336,$D$331, "EQY_FUND_RELATIVE_PERIOD", AB$3))),AB336),"NA ")</f>
        <v>6093</v>
      </c>
      <c r="AC336" s="228">
        <f ca="1">IFERROR(IF(BB_Switch=1,IF(_xll.BDP($D336,$D$331, "EQY_FUND_RELATIVE_PERIOD", AC$3)="#N/A N/A","NA  ",(_xll.BDP($D336,$D$331, "EQY_FUND_RELATIVE_PERIOD", AC$3))),AC336),"NA ")</f>
        <v>6526</v>
      </c>
      <c r="AD336" s="228">
        <f ca="1">IFERROR(IF(BB_Switch=1,IF(_xll.BDP($D336,$D$331, "EQY_FUND_RELATIVE_PERIOD", AD$3)="#N/A N/A","NA  ",(_xll.BDP($D336,$D$331, "EQY_FUND_RELATIVE_PERIOD", AD$3))),AD336),"NA ")</f>
        <v>6509</v>
      </c>
      <c r="AE336" s="228">
        <f ca="1">IFERROR(IF(BB_Switch=1,IF(_xll.BDP($D336,$D$331, "EQY_FUND_RELATIVE_PERIOD", AE$3)="#N/A N/A","NA  ",(_xll.BDP($D336,$D$331, "EQY_FUND_RELATIVE_PERIOD", AE$3))),AE336),"NA ")</f>
        <v>5910</v>
      </c>
      <c r="AF336" s="228"/>
      <c r="AG336" s="228">
        <f ca="1">IFERROR(IF(BB_Switch=1,IF(_xll.BDP($D336,$V$331)="#N/A N/A","NA  ",(_xll.BDP($D336,$V$331))),AG336),"NA ")</f>
        <v>5692</v>
      </c>
      <c r="AH336" s="228">
        <f ca="1">IFERROR(IF(BB_Switch=1,IF(_xll.BDP($D336,$F$331, "BEST_FPERIOD_OVERRIDE", AH$3)="#N/A N/A","NA  ",(_xll.BDP($D336,$F$331, "BEST_FPERIOD_OVERRIDE", AH$3))),AH336),"NM ")</f>
        <v>5460.8240000000005</v>
      </c>
      <c r="AI336" s="228">
        <f ca="1">IFERROR(IF(BB_Switch=1,IF(_xll.BDP($D336,$F$331, "BEST_FPERIOD_OVERRIDE", AI$3)="#N/A N/A","NA  ",(_xll.BDP($D336,$F$331, "BEST_FPERIOD_OVERRIDE", AI$3))),AI336),"NM ")</f>
        <v>5829.5630000000001</v>
      </c>
      <c r="AJ336" s="228">
        <f ca="1">IFERROR(IF(BB_Switch=1,IF(_xll.BDP($D336,$F$331, "BEST_FPERIOD_OVERRIDE", AJ$3)="#N/A N/A","NA  ",(_xll.BDP($D336,$F$331, "BEST_FPERIOD_OVERRIDE", AJ$3))),AJ336),"NM ")</f>
        <v>5932</v>
      </c>
    </row>
    <row r="337" spans="2:37" ht="11.25" customHeight="1">
      <c r="C337" s="229" t="str">
        <f ca="1">IFERROR(IF(BB_Switch=1,_xll.BDP($D337,$C$270),C337), "NA ")</f>
        <v>Westlake Chemical Corp</v>
      </c>
      <c r="D337" s="227" t="str">
        <f t="shared" si="124"/>
        <v>WLK US EQUITY</v>
      </c>
      <c r="E337" s="228">
        <f ca="1">IFERROR(IF(BB_Switch=1,IF(_xll.BDP($D337,$D$331, "EQY_FUND_RELATIVE_PERIOD", E$3)="#N/A N/A","NA  ",(_xll.BDP($D337,$D$331, "EQY_FUND_RELATIVE_PERIOD", E$3))),E337),"NA ")</f>
        <v>395</v>
      </c>
      <c r="F337" s="228">
        <f ca="1">IFERROR(IF(BB_Switch=1,IF(_xll.BDP($D337,$D$331, "EQY_FUND_RELATIVE_PERIOD", F$3)="#N/A N/A","NA  ",(_xll.BDP($D337,$D$331, "EQY_FUND_RELATIVE_PERIOD", F$3))),F337),"NA ")</f>
        <v>417</v>
      </c>
      <c r="G337" s="228">
        <f ca="1">IFERROR(IF(BB_Switch=1,IF(_xll.BDP($D337,$D$331, "EQY_FUND_RELATIVE_PERIOD", G$3)="#N/A N/A","NA  ",(_xll.BDP($D337,$D$331, "EQY_FUND_RELATIVE_PERIOD", G$3))),G337),"NA ")</f>
        <v>532</v>
      </c>
      <c r="H337" s="228">
        <f ca="1">IFERROR(IF(BB_Switch=1,IF(_xll.BDP($D337,$D$331, "EQY_FUND_RELATIVE_PERIOD", H$3)="#N/A N/A","NA  ",(_xll.BDP($D337,$D$331, "EQY_FUND_RELATIVE_PERIOD", H$3))),H337),"NA ")</f>
        <v>529</v>
      </c>
      <c r="I337" s="228">
        <f ca="1">IFERROR(IF(BB_Switch=1,IF(_xll.BDP($D337,$D$331, "EQY_FUND_RELATIVE_PERIOD", I$3)="#N/A N/A","NA  ",(_xll.BDP($D337,$D$331, "EQY_FUND_RELATIVE_PERIOD", I$3))),I337),"NA ")</f>
        <v>570</v>
      </c>
      <c r="J337" s="228">
        <f ca="1">IFERROR(IF(BB_Switch=1,IF(_xll.BDP($D337,$D$331, "EQY_FUND_RELATIVE_PERIOD", J$3)="#N/A N/A","NA  ",(_xll.BDP($D337,$D$331, "EQY_FUND_RELATIVE_PERIOD", J$3))),J337),"NA ")</f>
        <v>577</v>
      </c>
      <c r="K337" s="228">
        <f ca="1">IFERROR(IF(BB_Switch=1,IF(_xll.BDP($D337,$D$331, "EQY_FUND_RELATIVE_PERIOD", K$3)="#N/A N/A","NA  ",(_xll.BDP($D337,$D$331, "EQY_FUND_RELATIVE_PERIOD", K$3))),K337),"NA ")</f>
        <v>559</v>
      </c>
      <c r="L337" s="228">
        <f ca="1">IFERROR(IF(BB_Switch=1,IF(_xll.BDP($D337,$D$331, "EQY_FUND_RELATIVE_PERIOD", L$3)="#N/A N/A","NA  ",(_xll.BDP($D337,$D$331, "EQY_FUND_RELATIVE_PERIOD", L$3))),L337),"NA ")</f>
        <v>406</v>
      </c>
      <c r="M337" s="228">
        <f ca="1">IFERROR(IF(BB_Switch=1,IF(_xll.BDP($D337,$D$331, "EQY_FUND_RELATIVE_PERIOD", M$3)="#N/A N/A","NA  ",(_xll.BDP($D337,$D$331, "EQY_FUND_RELATIVE_PERIOD", M$3))),M337),"NA ")</f>
        <v>389</v>
      </c>
      <c r="N337" s="228">
        <f ca="1">IFERROR(IF(BB_Switch=1,IF(_xll.BDP($D337,$D$331, "EQY_FUND_RELATIVE_PERIOD", N$3)="#N/A N/A","NA  ",(_xll.BDP($D337,$D$331, "EQY_FUND_RELATIVE_PERIOD", N$3))),N337),"NA ")</f>
        <v>427</v>
      </c>
      <c r="O337" s="228">
        <f ca="1">IFERROR(IF(BB_Switch=1,IF(_xll.BDP($D337,$D$331, "EQY_FUND_RELATIVE_PERIOD", O$3)="#N/A N/A","NA  ",(_xll.BDP($D337,$D$331, "EQY_FUND_RELATIVE_PERIOD", O$3))),O337),"NA ")</f>
        <v>446</v>
      </c>
      <c r="P337" s="228">
        <f ca="1">IFERROR(IF(BB_Switch=1,IF(_xll.BDP($D337,$D$331, "EQY_FUND_RELATIVE_PERIOD", P$3)="#N/A N/A","NA  ",(_xll.BDP($D337,$D$331, "EQY_FUND_RELATIVE_PERIOD", P$3))),P337),"NA ")</f>
        <v>340</v>
      </c>
      <c r="Q337" s="227"/>
      <c r="R337" s="227"/>
      <c r="S337" s="227"/>
      <c r="T337" s="227"/>
      <c r="U337" s="227"/>
      <c r="V337" s="228">
        <f ca="1">IFERROR(IF(BB_Switch=1,IF(_xll.BDP($D337,$D$331, "EQY_FUND_RELATIVE_PERIOD", V$3)="#N/A N/A","NA  ",(_xll.BDP($D337,$D$331, "EQY_FUND_RELATIVE_PERIOD", V$3))),V337),"NA ")</f>
        <v>504.49599999999998</v>
      </c>
      <c r="W337" s="228">
        <f ca="1">IFERROR(IF(BB_Switch=1,IF(_xll.BDP($D337,$D$331, "EQY_FUND_RELATIVE_PERIOD", W$3)="#N/A N/A","NA  ",(_xll.BDP($D337,$D$331, "EQY_FUND_RELATIVE_PERIOD", W$3))),W337),"NA ")</f>
        <v>592.35699999999997</v>
      </c>
      <c r="X337" s="228">
        <f ca="1">IFERROR(IF(BB_Switch=1,IF(_xll.BDP($D337,$D$331, "EQY_FUND_RELATIVE_PERIOD", X$3)="#N/A N/A","NA  ",(_xll.BDP($D337,$D$331, "EQY_FUND_RELATIVE_PERIOD", X$3))),X337),"NA ")</f>
        <v>762.5920000000001</v>
      </c>
      <c r="Y337" s="228">
        <f ca="1">IFERROR(IF(BB_Switch=1,IF(_xll.BDP($D337,$D$331, "EQY_FUND_RELATIVE_PERIOD", Y$3)="#N/A N/A","NA  ",(_xll.BDP($D337,$D$331, "EQY_FUND_RELATIVE_PERIOD", Y$3))),Y337),"NA ")</f>
        <v>1116.972</v>
      </c>
      <c r="Z337" s="228">
        <f ca="1">IFERROR(IF(BB_Switch=1,IF(_xll.BDP($D337,$D$331, "EQY_FUND_RELATIVE_PERIOD", Z$3)="#N/A N/A","NA  ",(_xll.BDP($D337,$D$331, "EQY_FUND_RELATIVE_PERIOD", Z$3))),Z337),"NA ")</f>
        <v>1350.085</v>
      </c>
      <c r="AA337" s="228">
        <f ca="1">IFERROR(IF(BB_Switch=1,IF(_xll.BDP($D337,$D$331, "EQY_FUND_RELATIVE_PERIOD", AA$3)="#N/A N/A","NA  ",(_xll.BDP($D337,$D$331, "EQY_FUND_RELATIVE_PERIOD", AA$3))),AA337),"NA ")</f>
        <v>1177.345</v>
      </c>
      <c r="AB337" s="228">
        <f ca="1">IFERROR(IF(BB_Switch=1,IF(_xll.BDP($D337,$D$331, "EQY_FUND_RELATIVE_PERIOD", AB$3)="#N/A N/A","NA  ",(_xll.BDP($D337,$D$331, "EQY_FUND_RELATIVE_PERIOD", AB$3))),AB337),"NA ")</f>
        <v>1074</v>
      </c>
      <c r="AC337" s="228">
        <f ca="1">IFERROR(IF(BB_Switch=1,IF(_xll.BDP($D337,$D$331, "EQY_FUND_RELATIVE_PERIOD", AC$3)="#N/A N/A","NA  ",(_xll.BDP($D337,$D$331, "EQY_FUND_RELATIVE_PERIOD", AC$3))),AC337),"NA ")</f>
        <v>1877</v>
      </c>
      <c r="AD337" s="228">
        <f ca="1">IFERROR(IF(BB_Switch=1,IF(_xll.BDP($D337,$D$331, "EQY_FUND_RELATIVE_PERIOD", AD$3)="#N/A N/A","NA  ",(_xll.BDP($D337,$D$331, "EQY_FUND_RELATIVE_PERIOD", AD$3))),AD337),"NA ")</f>
        <v>2112</v>
      </c>
      <c r="AE337" s="228">
        <f ca="1">IFERROR(IF(BB_Switch=1,IF(_xll.BDP($D337,$D$331, "EQY_FUND_RELATIVE_PERIOD", AE$3)="#N/A N/A","NA  ",(_xll.BDP($D337,$D$331, "EQY_FUND_RELATIVE_PERIOD", AE$3))),AE337),"NA ")</f>
        <v>1568</v>
      </c>
      <c r="AF337" s="228"/>
      <c r="AG337" s="715">
        <f ca="1">+AE337</f>
        <v>1568</v>
      </c>
      <c r="AH337" s="228">
        <f ca="1">IFERROR(IF(BB_Switch=1,IF(_xll.BDP($D337,$F$331, "BEST_FPERIOD_OVERRIDE", AH$3)="#N/A N/A","NA  ",(_xll.BDP($D337,$F$331, "BEST_FPERIOD_OVERRIDE", AH$3))),AH337),"NM ")</f>
        <v>1460.2</v>
      </c>
      <c r="AI337" s="228">
        <f ca="1">IFERROR(IF(BB_Switch=1,IF(_xll.BDP($D337,$F$331, "BEST_FPERIOD_OVERRIDE", AI$3)="#N/A N/A","NA  ",(_xll.BDP($D337,$F$331, "BEST_FPERIOD_OVERRIDE", AI$3))),AI337),"NM ")</f>
        <v>1555.5</v>
      </c>
      <c r="AJ337" s="228">
        <f ca="1">IFERROR(IF(BB_Switch=1,IF(_xll.BDP($D337,$F$331, "BEST_FPERIOD_OVERRIDE", AJ$3)="#N/A N/A","NA  ",(_xll.BDP($D337,$F$331, "BEST_FPERIOD_OVERRIDE", AJ$3))),AJ337),"NM ")</f>
        <v>1619</v>
      </c>
    </row>
    <row r="338" spans="2:37" ht="11.25" customHeight="1">
      <c r="C338" s="229" t="str">
        <f ca="1">IFERROR(IF(BB_Switch=1,_xll.BDP($D338,$C$270),C338), "NA ")</f>
        <v>Kraton Corp</v>
      </c>
      <c r="D338" s="227" t="str">
        <f t="shared" si="124"/>
        <v>KRA US EQUITY</v>
      </c>
      <c r="E338" s="228">
        <f ca="1">IFERROR(IF(BB_Switch=1,IF(_xll.BDP($D338,$D$331, "EQY_FUND_RELATIVE_PERIOD", E$3)="#N/A N/A","NA  ",(_xll.BDP($D338,$D$331, "EQY_FUND_RELATIVE_PERIOD", E$3))),E338),"NA ")</f>
        <v>100.989</v>
      </c>
      <c r="F338" s="228">
        <f ca="1">IFERROR(IF(BB_Switch=1,IF(_xll.BDP($D338,$D$331, "EQY_FUND_RELATIVE_PERIOD", F$3)="#N/A N/A","NA  ",(_xll.BDP($D338,$D$331, "EQY_FUND_RELATIVE_PERIOD", F$3))),F338),"NA ")</f>
        <v>105.282</v>
      </c>
      <c r="G338" s="228">
        <f ca="1">IFERROR(IF(BB_Switch=1,IF(_xll.BDP($D338,$D$331, "EQY_FUND_RELATIVE_PERIOD", G$3)="#N/A N/A","NA  ",(_xll.BDP($D338,$D$331, "EQY_FUND_RELATIVE_PERIOD", G$3))),G338),"NA ")</f>
        <v>83.539999999999992</v>
      </c>
      <c r="H338" s="228">
        <f ca="1">IFERROR(IF(BB_Switch=1,IF(_xll.BDP($D338,$D$331, "EQY_FUND_RELATIVE_PERIOD", H$3)="#N/A N/A","NA  ",(_xll.BDP($D338,$D$331, "EQY_FUND_RELATIVE_PERIOD", H$3))),H338),"NA ")</f>
        <v>72.503</v>
      </c>
      <c r="I338" s="228">
        <f ca="1">IFERROR(IF(BB_Switch=1,IF(_xll.BDP($D338,$D$331, "EQY_FUND_RELATIVE_PERIOD", I$3)="#N/A N/A","NA  ",(_xll.BDP($D338,$D$331, "EQY_FUND_RELATIVE_PERIOD", I$3))),I338),"NA ")</f>
        <v>86.725999999999999</v>
      </c>
      <c r="J338" s="228">
        <f ca="1">IFERROR(IF(BB_Switch=1,IF(_xll.BDP($D338,$D$331, "EQY_FUND_RELATIVE_PERIOD", J$3)="#N/A N/A","NA  ",(_xll.BDP($D338,$D$331, "EQY_FUND_RELATIVE_PERIOD", J$3))),J338),"NA ")</f>
        <v>104.721</v>
      </c>
      <c r="K338" s="228">
        <f ca="1">IFERROR(IF(BB_Switch=1,IF(_xll.BDP($D338,$D$331, "EQY_FUND_RELATIVE_PERIOD", K$3)="#N/A N/A","NA  ",(_xll.BDP($D338,$D$331, "EQY_FUND_RELATIVE_PERIOD", K$3))),K338),"NA ")</f>
        <v>108.02600000000001</v>
      </c>
      <c r="L338" s="228">
        <f ca="1">IFERROR(IF(BB_Switch=1,IF(_xll.BDP($D338,$D$331, "EQY_FUND_RELATIVE_PERIOD", L$3)="#N/A N/A","NA  ",(_xll.BDP($D338,$D$331, "EQY_FUND_RELATIVE_PERIOD", L$3))),L338),"NA ")</f>
        <v>77.965000000000003</v>
      </c>
      <c r="M338" s="228">
        <f ca="1">IFERROR(IF(BB_Switch=1,IF(_xll.BDP($D338,$D$331, "EQY_FUND_RELATIVE_PERIOD", M$3)="#N/A N/A","NA  ",(_xll.BDP($D338,$D$331, "EQY_FUND_RELATIVE_PERIOD", M$3))),M338),"NA ")</f>
        <v>79.736999999999995</v>
      </c>
      <c r="N338" s="228">
        <f ca="1">IFERROR(IF(BB_Switch=1,IF(_xll.BDP($D338,$D$331, "EQY_FUND_RELATIVE_PERIOD", N$3)="#N/A N/A","NA  ",(_xll.BDP($D338,$D$331, "EQY_FUND_RELATIVE_PERIOD", N$3))),N338),"NA ")</f>
        <v>103.962</v>
      </c>
      <c r="O338" s="228">
        <f ca="1">IFERROR(IF(BB_Switch=1,IF(_xll.BDP($D338,$D$331, "EQY_FUND_RELATIVE_PERIOD", O$3)="#N/A N/A","NA  ",(_xll.BDP($D338,$D$331, "EQY_FUND_RELATIVE_PERIOD", O$3))),O338),"NA ")</f>
        <v>75.957000000000008</v>
      </c>
      <c r="P338" s="228">
        <f ca="1">IFERROR(IF(BB_Switch=1,IF(_xll.BDP($D338,$D$331, "EQY_FUND_RELATIVE_PERIOD", P$3)="#N/A N/A","NA  ",(_xll.BDP($D338,$D$331, "EQY_FUND_RELATIVE_PERIOD", P$3))),P338),"NA ")</f>
        <v>77.063000000000002</v>
      </c>
      <c r="Q338" s="227"/>
      <c r="R338" s="227"/>
      <c r="S338" s="227"/>
      <c r="T338" s="227"/>
      <c r="U338" s="227"/>
      <c r="V338" s="228">
        <f ca="1">IFERROR(IF(BB_Switch=1,IF(_xll.BDP($D338,$D$331, "EQY_FUND_RELATIVE_PERIOD", V$3)="#N/A N/A","NA  ",(_xll.BDP($D338,$D$331, "EQY_FUND_RELATIVE_PERIOD", V$3))),V338),"NA ")</f>
        <v>190.947</v>
      </c>
      <c r="W338" s="228">
        <f ca="1">IFERROR(IF(BB_Switch=1,IF(_xll.BDP($D338,$D$331, "EQY_FUND_RELATIVE_PERIOD", W$3)="#N/A N/A","NA  ",(_xll.BDP($D338,$D$331, "EQY_FUND_RELATIVE_PERIOD", W$3))),W338),"NA ")</f>
        <v>188.339</v>
      </c>
      <c r="X338" s="228">
        <f ca="1">IFERROR(IF(BB_Switch=1,IF(_xll.BDP($D338,$D$331, "EQY_FUND_RELATIVE_PERIOD", X$3)="#N/A N/A","NA  ",(_xll.BDP($D338,$D$331, "EQY_FUND_RELATIVE_PERIOD", X$3))),X338),"NA ")</f>
        <v>105.108</v>
      </c>
      <c r="Y338" s="228">
        <f ca="1">IFERROR(IF(BB_Switch=1,IF(_xll.BDP($D338,$D$331, "EQY_FUND_RELATIVE_PERIOD", Y$3)="#N/A N/A","NA  ",(_xll.BDP($D338,$D$331, "EQY_FUND_RELATIVE_PERIOD", Y$3))),Y338),"NA ")</f>
        <v>92.581000000000003</v>
      </c>
      <c r="Z338" s="228">
        <f ca="1">IFERROR(IF(BB_Switch=1,IF(_xll.BDP($D338,$D$331, "EQY_FUND_RELATIVE_PERIOD", Z$3)="#N/A N/A","NA  ",(_xll.BDP($D338,$D$331, "EQY_FUND_RELATIVE_PERIOD", Z$3))),Z338),"NA ")</f>
        <v>127.057</v>
      </c>
      <c r="AA338" s="228">
        <f ca="1">IFERROR(IF(BB_Switch=1,IF(_xll.BDP($D338,$D$331, "EQY_FUND_RELATIVE_PERIOD", AA$3)="#N/A N/A","NA  ",(_xll.BDP($D338,$D$331, "EQY_FUND_RELATIVE_PERIOD", AA$3))),AA338),"NA ")</f>
        <v>106.89700000000001</v>
      </c>
      <c r="AB338" s="228">
        <f ca="1">IFERROR(IF(BB_Switch=1,IF(_xll.BDP($D338,$D$331, "EQY_FUND_RELATIVE_PERIOD", AB$3)="#N/A N/A","NA  ",(_xll.BDP($D338,$D$331, "EQY_FUND_RELATIVE_PERIOD", AB$3))),AB338),"NA ")</f>
        <v>301.65199999999999</v>
      </c>
      <c r="AC338" s="228">
        <f ca="1">IFERROR(IF(BB_Switch=1,IF(_xll.BDP($D338,$D$331, "EQY_FUND_RELATIVE_PERIOD", AC$3)="#N/A N/A","NA  ",(_xll.BDP($D338,$D$331, "EQY_FUND_RELATIVE_PERIOD", AC$3))),AC338),"NA ")</f>
        <v>377.733</v>
      </c>
      <c r="AD338" s="228">
        <f ca="1">IFERROR(IF(BB_Switch=1,IF(_xll.BDP($D338,$D$331, "EQY_FUND_RELATIVE_PERIOD", AD$3)="#N/A N/A","NA  ",(_xll.BDP($D338,$D$331, "EQY_FUND_RELATIVE_PERIOD", AD$3))),AD338),"NA ")</f>
        <v>366.21100000000001</v>
      </c>
      <c r="AE338" s="228">
        <f ca="1">IFERROR(IF(BB_Switch=1,IF(_xll.BDP($D338,$D$331, "EQY_FUND_RELATIVE_PERIOD", AE$3)="#N/A N/A","NA  ",(_xll.BDP($D338,$D$331, "EQY_FUND_RELATIVE_PERIOD", AE$3))),AE338),"NA ")</f>
        <v>347.38900000000007</v>
      </c>
      <c r="AF338" s="228"/>
      <c r="AG338" s="228">
        <f ca="1">IFERROR(IF(BB_Switch=1,IF(_xll.BDP($D338,$V$331)="#N/A N/A","NA  ",(_xll.BDP($D338,$V$331))),AG338),"NA ")</f>
        <v>320.59199999999998</v>
      </c>
      <c r="AH338" s="228">
        <f ca="1">IFERROR(IF(BB_Switch=1,IF(_xll.BDP($D338,$F$331, "BEST_FPERIOD_OVERRIDE", AH$3)="#N/A N/A","NA  ",(_xll.BDP($D338,$F$331, "BEST_FPERIOD_OVERRIDE", AH$3))),AH338),"NM ")</f>
        <v>205</v>
      </c>
      <c r="AI338" s="228">
        <f ca="1">IFERROR(IF(BB_Switch=1,IF(_xll.BDP($D338,$F$331, "BEST_FPERIOD_OVERRIDE", AI$3)="#N/A N/A","NA  ",(_xll.BDP($D338,$F$331, "BEST_FPERIOD_OVERRIDE", AI$3))),AI338),"NM ")</f>
        <v>246.5</v>
      </c>
      <c r="AJ338" s="228">
        <f ca="1">IFERROR(IF(BB_Switch=1,IF(_xll.BDP($D338,$F$331, "BEST_FPERIOD_OVERRIDE", AJ$3)="#N/A N/A","NA  ",(_xll.BDP($D338,$F$331, "BEST_FPERIOD_OVERRIDE", AJ$3))),AJ338),"NM ")</f>
        <v>252</v>
      </c>
    </row>
    <row r="339" spans="2:37" ht="11.25" customHeight="1">
      <c r="C339" s="229" t="str">
        <f ca="1">IFERROR(IF(BB_Switch=1,_xll.BDP($D339,$C$270),C339), "NA ")</f>
        <v>Dow Inc</v>
      </c>
      <c r="D339" s="227" t="str">
        <f t="shared" si="124"/>
        <v>DOW US EQUITY</v>
      </c>
      <c r="E339" s="228">
        <f ca="1">IFERROR(IF(BB_Switch=1,IF(_xll.BDP($D339,$D$331, "EQY_FUND_RELATIVE_PERIOD", E$3)="#N/A N/A","NA  ",(_xll.BDP($D339,$D$331, "EQY_FUND_RELATIVE_PERIOD", E$3))),E339),"NA ")</f>
        <v>1762</v>
      </c>
      <c r="F339" s="228">
        <f ca="1">IFERROR(IF(BB_Switch=1,IF(_xll.BDP($D339,$D$331, "EQY_FUND_RELATIVE_PERIOD", F$3)="#N/A N/A","NA  ",(_xll.BDP($D339,$D$331, "EQY_FUND_RELATIVE_PERIOD", F$3))),F339),"NA ")</f>
        <v>1818</v>
      </c>
      <c r="G339" s="228">
        <f ca="1">IFERROR(IF(BB_Switch=1,IF(_xll.BDP($D339,$D$331, "EQY_FUND_RELATIVE_PERIOD", G$3)="#N/A N/A","NA  ",(_xll.BDP($D339,$D$331, "EQY_FUND_RELATIVE_PERIOD", G$3))),G339),"NA ")</f>
        <v>2031</v>
      </c>
      <c r="H339" s="228">
        <f ca="1">IFERROR(IF(BB_Switch=1,IF(_xll.BDP($D339,$D$331, "EQY_FUND_RELATIVE_PERIOD", H$3)="#N/A N/A","NA  ",(_xll.BDP($D339,$D$331, "EQY_FUND_RELATIVE_PERIOD", H$3))),H339),"NA ")</f>
        <v>1317</v>
      </c>
      <c r="I339" s="228">
        <f ca="1">IFERROR(IF(BB_Switch=1,IF(_xll.BDP($D339,$D$331, "EQY_FUND_RELATIVE_PERIOD", I$3)="#N/A N/A","NA  ",(_xll.BDP($D339,$D$331, "EQY_FUND_RELATIVE_PERIOD", I$3))),I339),"NA ")</f>
        <v>2191</v>
      </c>
      <c r="J339" s="228">
        <f ca="1">IFERROR(IF(BB_Switch=1,IF(_xll.BDP($D339,$D$331, "EQY_FUND_RELATIVE_PERIOD", J$3)="#N/A N/A","NA  ",(_xll.BDP($D339,$D$331, "EQY_FUND_RELATIVE_PERIOD", J$3))),J339),"NA ")</f>
        <v>2132</v>
      </c>
      <c r="K339" s="228">
        <f ca="1">IFERROR(IF(BB_Switch=1,IF(_xll.BDP($D339,$D$331, "EQY_FUND_RELATIVE_PERIOD", K$3)="#N/A N/A","NA  ",(_xll.BDP($D339,$D$331, "EQY_FUND_RELATIVE_PERIOD", K$3))),K339),"NA ")</f>
        <v>2161</v>
      </c>
      <c r="L339" s="228">
        <f ca="1">IFERROR(IF(BB_Switch=1,IF(_xll.BDP($D339,$D$331, "EQY_FUND_RELATIVE_PERIOD", L$3)="#N/A N/A","NA  ",(_xll.BDP($D339,$D$331, "EQY_FUND_RELATIVE_PERIOD", L$3))),L339),"NA ")</f>
        <v>1836</v>
      </c>
      <c r="M339" s="228">
        <f ca="1">IFERROR(IF(BB_Switch=1,IF(_xll.BDP($D339,$D$331, "EQY_FUND_RELATIVE_PERIOD", M$3)="#N/A N/A","NA  ",(_xll.BDP($D339,$D$331, "EQY_FUND_RELATIVE_PERIOD", M$3))),M339),"NA ")</f>
        <v>1831</v>
      </c>
      <c r="N339" s="228">
        <f ca="1">IFERROR(IF(BB_Switch=1,IF(_xll.BDP($D339,$D$331, "EQY_FUND_RELATIVE_PERIOD", N$3)="#N/A N/A","NA  ",(_xll.BDP($D339,$D$331, "EQY_FUND_RELATIVE_PERIOD", N$3))),N339),"NA ")</f>
        <v>1956</v>
      </c>
      <c r="O339" s="228">
        <f ca="1">IFERROR(IF(BB_Switch=1,IF(_xll.BDP($D339,$D$331, "EQY_FUND_RELATIVE_PERIOD", O$3)="#N/A N/A","NA  ",(_xll.BDP($D339,$D$331, "EQY_FUND_RELATIVE_PERIOD", O$3))),O339),"NA ")</f>
        <v>2221</v>
      </c>
      <c r="P339" s="228">
        <f ca="1">IFERROR(IF(BB_Switch=1,IF(_xll.BDP($D339,$D$331, "EQY_FUND_RELATIVE_PERIOD", P$3)="#N/A N/A","NA  ",(_xll.BDP($D339,$D$331, "EQY_FUND_RELATIVE_PERIOD", P$3))),P339),"NA ")</f>
        <v>1749</v>
      </c>
      <c r="Q339" s="227"/>
      <c r="R339" s="227"/>
      <c r="S339" s="227"/>
      <c r="T339" s="227"/>
      <c r="U339" s="227"/>
      <c r="V339" s="228" t="str">
        <f ca="1">IFERROR(IF(BB_Switch=1,IF(_xll.BDP($D339,$D$331, "EQY_FUND_RELATIVE_PERIOD", V$3)="#N/A N/A","NA  ",(_xll.BDP($D339,$D$331, "EQY_FUND_RELATIVE_PERIOD", V$3))),V339),"NA ")</f>
        <v xml:space="preserve">NA  </v>
      </c>
      <c r="W339" s="228" t="str">
        <f ca="1">IFERROR(IF(BB_Switch=1,IF(_xll.BDP($D339,$D$331, "EQY_FUND_RELATIVE_PERIOD", W$3)="#N/A N/A","NA  ",(_xll.BDP($D339,$D$331, "EQY_FUND_RELATIVE_PERIOD", W$3))),W339),"NA ")</f>
        <v xml:space="preserve">NA  </v>
      </c>
      <c r="X339" s="228" t="str">
        <f ca="1">IFERROR(IF(BB_Switch=1,IF(_xll.BDP($D339,$D$331, "EQY_FUND_RELATIVE_PERIOD", X$3)="#N/A N/A","NA  ",(_xll.BDP($D339,$D$331, "EQY_FUND_RELATIVE_PERIOD", X$3))),X339),"NA ")</f>
        <v xml:space="preserve">NA  </v>
      </c>
      <c r="Y339" s="228" t="str">
        <f ca="1">IFERROR(IF(BB_Switch=1,IF(_xll.BDP($D339,$D$331, "EQY_FUND_RELATIVE_PERIOD", Y$3)="#N/A N/A","NA  ",(_xll.BDP($D339,$D$331, "EQY_FUND_RELATIVE_PERIOD", Y$3))),Y339),"NA ")</f>
        <v xml:space="preserve">NA  </v>
      </c>
      <c r="Z339" s="228" t="str">
        <f ca="1">IFERROR(IF(BB_Switch=1,IF(_xll.BDP($D339,$D$331, "EQY_FUND_RELATIVE_PERIOD", Z$3)="#N/A N/A","NA  ",(_xll.BDP($D339,$D$331, "EQY_FUND_RELATIVE_PERIOD", Z$3))),Z339),"NA ")</f>
        <v xml:space="preserve">NA  </v>
      </c>
      <c r="AA339" s="228" t="str">
        <f ca="1">IFERROR(IF(BB_Switch=1,IF(_xll.BDP($D339,$D$331, "EQY_FUND_RELATIVE_PERIOD", AA$3)="#N/A N/A","NA  ",(_xll.BDP($D339,$D$331, "EQY_FUND_RELATIVE_PERIOD", AA$3))),AA339),"NA ")</f>
        <v xml:space="preserve">NA  </v>
      </c>
      <c r="AB339" s="228" t="str">
        <f ca="1">IFERROR(IF(BB_Switch=1,IF(_xll.BDP($D339,$D$331, "EQY_FUND_RELATIVE_PERIOD", AB$3)="#N/A N/A","NA  ",(_xll.BDP($D339,$D$331, "EQY_FUND_RELATIVE_PERIOD", AB$3))),AB339),"NA ")</f>
        <v xml:space="preserve">NA  </v>
      </c>
      <c r="AC339" s="228">
        <f ca="1">IFERROR(IF(BB_Switch=1,IF(_xll.BDP($D339,$D$331, "EQY_FUND_RELATIVE_PERIOD", AC$3)="#N/A N/A","NA  ",(_xll.BDP($D339,$D$331, "EQY_FUND_RELATIVE_PERIOD", AC$3))),AC339),"NA ")</f>
        <v>6928</v>
      </c>
      <c r="AD339" s="228">
        <f ca="1">IFERROR(IF(BB_Switch=1,IF(_xll.BDP($D339,$D$331, "EQY_FUND_RELATIVE_PERIOD", AD$3)="#N/A N/A","NA  ",(_xll.BDP($D339,$D$331, "EQY_FUND_RELATIVE_PERIOD", AD$3))),AD339),"NA ")</f>
        <v>7864</v>
      </c>
      <c r="AE339" s="228">
        <f ca="1">IFERROR(IF(BB_Switch=1,IF(_xll.BDP($D339,$D$331, "EQY_FUND_RELATIVE_PERIOD", AE$3)="#N/A N/A","NA  ",(_xll.BDP($D339,$D$331, "EQY_FUND_RELATIVE_PERIOD", AE$3))),AE339),"NA ")</f>
        <v>7284</v>
      </c>
      <c r="AF339" s="228"/>
      <c r="AG339" s="228">
        <f ca="1">IFERROR(IF(BB_Switch=1,IF(_xll.BDP($D339,$V$331)="#N/A N/A","NA  ",(_xll.BDP($D339,$V$331))),AG339),"NA ")</f>
        <v>7290</v>
      </c>
      <c r="AH339" s="228">
        <f ca="1">IFERROR(IF(BB_Switch=1,IF(_xll.BDP($D339,$F$331, "BEST_FPERIOD_OVERRIDE", AH$3)="#N/A N/A","NA  ",(_xll.BDP($D339,$F$331, "BEST_FPERIOD_OVERRIDE", AH$3))),AH339),"NM ")</f>
        <v>6602</v>
      </c>
      <c r="AI339" s="228">
        <f ca="1">IFERROR(IF(BB_Switch=1,IF(_xll.BDP($D339,$F$331, "BEST_FPERIOD_OVERRIDE", AI$3)="#N/A N/A","NA  ",(_xll.BDP($D339,$F$331, "BEST_FPERIOD_OVERRIDE", AI$3))),AI339),"NM ")</f>
        <v>7181.1880000000001</v>
      </c>
      <c r="AJ339" s="228">
        <f ca="1">IFERROR(IF(BB_Switch=1,IF(_xll.BDP($D339,$F$331, "BEST_FPERIOD_OVERRIDE", AJ$3)="#N/A N/A","NA  ",(_xll.BDP($D339,$F$331, "BEST_FPERIOD_OVERRIDE", AJ$3))),AJ339),"NM ")</f>
        <v>7611.1109999999999</v>
      </c>
    </row>
    <row r="340" spans="2:37" ht="11.25" customHeight="1">
      <c r="C340" s="229"/>
      <c r="D340" s="227"/>
      <c r="E340" s="228"/>
      <c r="F340" s="228"/>
      <c r="G340" s="228"/>
      <c r="H340" s="228"/>
      <c r="I340" s="228"/>
      <c r="J340" s="228"/>
      <c r="K340" s="228"/>
      <c r="L340" s="228"/>
      <c r="M340" s="228"/>
      <c r="N340" s="228"/>
      <c r="O340" s="228"/>
      <c r="P340" s="228"/>
      <c r="Q340" s="227"/>
      <c r="R340" s="227"/>
      <c r="S340" s="227"/>
      <c r="T340" s="227"/>
      <c r="U340" s="227"/>
      <c r="V340" s="228"/>
      <c r="W340" s="228"/>
      <c r="X340" s="228"/>
      <c r="Y340" s="228"/>
      <c r="Z340" s="228"/>
      <c r="AA340" s="228"/>
      <c r="AB340" s="228"/>
      <c r="AC340" s="228"/>
      <c r="AD340" s="228"/>
      <c r="AE340" s="228"/>
      <c r="AF340" s="228"/>
      <c r="AG340" s="228"/>
      <c r="AH340" s="228"/>
      <c r="AI340" s="228"/>
      <c r="AJ340" s="228"/>
    </row>
    <row r="341" spans="2:37" ht="11.25" customHeight="1">
      <c r="C341" s="428" t="str">
        <f>+C20</f>
        <v>Specialty Chemicals</v>
      </c>
      <c r="D341" s="227"/>
      <c r="E341" s="228"/>
      <c r="F341" s="228"/>
      <c r="G341" s="228"/>
      <c r="H341" s="228"/>
      <c r="I341" s="228"/>
      <c r="J341" s="228"/>
      <c r="K341" s="228"/>
      <c r="L341" s="228"/>
      <c r="M341" s="228"/>
      <c r="N341" s="228"/>
      <c r="O341" s="228"/>
      <c r="P341" s="228"/>
      <c r="Q341" s="227"/>
      <c r="R341" s="227"/>
      <c r="S341" s="227"/>
      <c r="T341" s="227"/>
      <c r="U341" s="227"/>
      <c r="V341" s="228"/>
      <c r="W341" s="228"/>
      <c r="X341" s="228"/>
      <c r="Y341" s="228"/>
      <c r="Z341" s="228"/>
      <c r="AA341" s="228"/>
      <c r="AB341" s="228"/>
      <c r="AC341" s="228"/>
      <c r="AD341" s="228"/>
      <c r="AE341" s="228"/>
      <c r="AF341" s="228"/>
      <c r="AG341" s="228"/>
      <c r="AH341" s="228"/>
      <c r="AI341" s="228"/>
      <c r="AJ341" s="228"/>
    </row>
    <row r="342" spans="2:37" ht="11.25" customHeight="1">
      <c r="C342" s="229" t="str">
        <f ca="1">IFERROR(IF(BB_Switch=1,_xll.BDP($D342,$C$270),C342), "NA ")</f>
        <v>Eastman Chemical Co</v>
      </c>
      <c r="D342" s="227" t="str">
        <f>+D21</f>
        <v>EMN US EQUITY</v>
      </c>
      <c r="E342" s="228">
        <f ca="1">IFERROR(IF(BB_Switch=1,IF(_xll.BDP($D342,$D$331, "EQY_FUND_RELATIVE_PERIOD", E$3)="#N/A N/A","NA  ",(_xll.BDP($D342,$D$331, "EQY_FUND_RELATIVE_PERIOD", E$3))),E342),"NA ")</f>
        <v>546</v>
      </c>
      <c r="F342" s="228">
        <f ca="1">IFERROR(IF(BB_Switch=1,IF(_xll.BDP($D342,$D$331, "EQY_FUND_RELATIVE_PERIOD", F$3)="#N/A N/A","NA  ",(_xll.BDP($D342,$D$331, "EQY_FUND_RELATIVE_PERIOD", F$3))),F342),"NA ")</f>
        <v>567</v>
      </c>
      <c r="G342" s="228">
        <f ca="1">IFERROR(IF(BB_Switch=1,IF(_xll.BDP($D342,$D$331, "EQY_FUND_RELATIVE_PERIOD", G$3)="#N/A N/A","NA  ",(_xll.BDP($D342,$D$331, "EQY_FUND_RELATIVE_PERIOD", G$3))),G342),"NA ")</f>
        <v>609</v>
      </c>
      <c r="H342" s="228">
        <f ca="1">IFERROR(IF(BB_Switch=1,IF(_xll.BDP($D342,$D$331, "EQY_FUND_RELATIVE_PERIOD", H$3)="#N/A N/A","NA  ",(_xll.BDP($D342,$D$331, "EQY_FUND_RELATIVE_PERIOD", H$3))),H342),"NA ")</f>
        <v>500</v>
      </c>
      <c r="I342" s="228">
        <f ca="1">IFERROR(IF(BB_Switch=1,IF(_xll.BDP($D342,$D$331, "EQY_FUND_RELATIVE_PERIOD", I$3)="#N/A N/A","NA  ",(_xll.BDP($D342,$D$331, "EQY_FUND_RELATIVE_PERIOD", I$3))),I342),"NA ")</f>
        <v>611</v>
      </c>
      <c r="J342" s="228">
        <f ca="1">IFERROR(IF(BB_Switch=1,IF(_xll.BDP($D342,$D$331, "EQY_FUND_RELATIVE_PERIOD", J$3)="#N/A N/A","NA  ",(_xll.BDP($D342,$D$331, "EQY_FUND_RELATIVE_PERIOD", J$3))),J342),"NA ")</f>
        <v>595</v>
      </c>
      <c r="K342" s="228">
        <f ca="1">IFERROR(IF(BB_Switch=1,IF(_xll.BDP($D342,$D$331, "EQY_FUND_RELATIVE_PERIOD", K$3)="#N/A N/A","NA  ",(_xll.BDP($D342,$D$331, "EQY_FUND_RELATIVE_PERIOD", K$3))),K342),"NA ")</f>
        <v>608</v>
      </c>
      <c r="L342" s="228">
        <f ca="1">IFERROR(IF(BB_Switch=1,IF(_xll.BDP($D342,$D$331, "EQY_FUND_RELATIVE_PERIOD", L$3)="#N/A N/A","NA  ",(_xll.BDP($D342,$D$331, "EQY_FUND_RELATIVE_PERIOD", L$3))),L342),"NA ")</f>
        <v>429</v>
      </c>
      <c r="M342" s="228">
        <f ca="1">IFERROR(IF(BB_Switch=1,IF(_xll.BDP($D342,$D$331, "EQY_FUND_RELATIVE_PERIOD", M$3)="#N/A N/A","NA  ",(_xll.BDP($D342,$D$331, "EQY_FUND_RELATIVE_PERIOD", M$3))),M342),"NA ")</f>
        <v>522</v>
      </c>
      <c r="N342" s="228">
        <f ca="1">IFERROR(IF(BB_Switch=1,IF(_xll.BDP($D342,$D$331, "EQY_FUND_RELATIVE_PERIOD", N$3)="#N/A N/A","NA  ",(_xll.BDP($D342,$D$331, "EQY_FUND_RELATIVE_PERIOD", N$3))),N342),"NA ")</f>
        <v>561</v>
      </c>
      <c r="O342" s="228">
        <f ca="1">IFERROR(IF(BB_Switch=1,IF(_xll.BDP($D342,$D$331, "EQY_FUND_RELATIVE_PERIOD", O$3)="#N/A N/A","NA  ",(_xll.BDP($D342,$D$331, "EQY_FUND_RELATIVE_PERIOD", O$3))),O342),"NA ")</f>
        <v>540</v>
      </c>
      <c r="P342" s="228">
        <f ca="1">IFERROR(IF(BB_Switch=1,IF(_xll.BDP($D342,$D$331, "EQY_FUND_RELATIVE_PERIOD", P$3)="#N/A N/A","NA  ",(_xll.BDP($D342,$D$331, "EQY_FUND_RELATIVE_PERIOD", P$3))),P342),"NA ")</f>
        <v>451</v>
      </c>
      <c r="Q342" s="227"/>
      <c r="R342" s="227"/>
      <c r="S342" s="227"/>
      <c r="T342" s="227"/>
      <c r="U342" s="227"/>
      <c r="V342" s="228">
        <f ca="1">IFERROR(IF(BB_Switch=1,IF(_xll.BDP($D342,$D$331, "EQY_FUND_RELATIVE_PERIOD", V$3)="#N/A N/A","NA  ",(_xll.BDP($D342,$D$331, "EQY_FUND_RELATIVE_PERIOD", V$3))),V342),"NA ")</f>
        <v>1180.6923076923081</v>
      </c>
      <c r="W342" s="228">
        <f ca="1">IFERROR(IF(BB_Switch=1,IF(_xll.BDP($D342,$D$331, "EQY_FUND_RELATIVE_PERIOD", W$3)="#N/A N/A","NA  ",(_xll.BDP($D342,$D$331, "EQY_FUND_RELATIVE_PERIOD", W$3))),W342),"NA ")</f>
        <v>1346</v>
      </c>
      <c r="X342" s="228">
        <f ca="1">IFERROR(IF(BB_Switch=1,IF(_xll.BDP($D342,$D$331, "EQY_FUND_RELATIVE_PERIOD", X$3)="#N/A N/A","NA  ",(_xll.BDP($D342,$D$331, "EQY_FUND_RELATIVE_PERIOD", X$3))),X342),"NA ")</f>
        <v>1711</v>
      </c>
      <c r="Y342" s="228">
        <f ca="1">IFERROR(IF(BB_Switch=1,IF(_xll.BDP($D342,$D$331, "EQY_FUND_RELATIVE_PERIOD", Y$3)="#N/A N/A","NA  ",(_xll.BDP($D342,$D$331, "EQY_FUND_RELATIVE_PERIOD", Y$3))),Y342),"NA ")</f>
        <v>2024</v>
      </c>
      <c r="Z342" s="228">
        <f ca="1">IFERROR(IF(BB_Switch=1,IF(_xll.BDP($D342,$D$331, "EQY_FUND_RELATIVE_PERIOD", Z$3)="#N/A N/A","NA  ",(_xll.BDP($D342,$D$331, "EQY_FUND_RELATIVE_PERIOD", Z$3))),Z342),"NA ")</f>
        <v>2015</v>
      </c>
      <c r="AA342" s="228">
        <f ca="1">IFERROR(IF(BB_Switch=1,IF(_xll.BDP($D342,$D$331, "EQY_FUND_RELATIVE_PERIOD", AA$3)="#N/A N/A","NA  ",(_xll.BDP($D342,$D$331, "EQY_FUND_RELATIVE_PERIOD", AA$3))),AA342),"NA ")</f>
        <v>2282</v>
      </c>
      <c r="AB342" s="228">
        <f ca="1">IFERROR(IF(BB_Switch=1,IF(_xll.BDP($D342,$D$331, "EQY_FUND_RELATIVE_PERIOD", AB$3)="#N/A N/A","NA  ",(_xll.BDP($D342,$D$331, "EQY_FUND_RELATIVE_PERIOD", AB$3))),AB342),"NA ")</f>
        <v>2158</v>
      </c>
      <c r="AC342" s="228">
        <f ca="1">IFERROR(IF(BB_Switch=1,IF(_xll.BDP($D342,$D$331, "EQY_FUND_RELATIVE_PERIOD", AC$3)="#N/A N/A","NA  ",(_xll.BDP($D342,$D$331, "EQY_FUND_RELATIVE_PERIOD", AC$3))),AC342),"NA ")</f>
        <v>2234</v>
      </c>
      <c r="AD342" s="228">
        <f ca="1">IFERROR(IF(BB_Switch=1,IF(_xll.BDP($D342,$D$331, "EQY_FUND_RELATIVE_PERIOD", AD$3)="#N/A N/A","NA  ",(_xll.BDP($D342,$D$331, "EQY_FUND_RELATIVE_PERIOD", AD$3))),AD342),"NA ")</f>
        <v>2237</v>
      </c>
      <c r="AE342" s="228">
        <f ca="1">IFERROR(IF(BB_Switch=1,IF(_xll.BDP($D342,$D$331, "EQY_FUND_RELATIVE_PERIOD", AE$3)="#N/A N/A","NA  ",(_xll.BDP($D342,$D$331, "EQY_FUND_RELATIVE_PERIOD", AE$3))),AE342),"NA ")</f>
        <v>2143</v>
      </c>
      <c r="AF342" s="228"/>
      <c r="AG342" s="715">
        <f ca="1">+AE342</f>
        <v>2143</v>
      </c>
      <c r="AH342" s="228">
        <f ca="1">IFERROR(IF(BB_Switch=1,IF(_xll.BDP($D342,$F$331, "BEST_FPERIOD_OVERRIDE", AH$3)="#N/A N/A","NA  ",(_xll.BDP($D342,$F$331, "BEST_FPERIOD_OVERRIDE", AH$3))),AH342),"NM ")</f>
        <v>1967.3330000000001</v>
      </c>
      <c r="AI342" s="228">
        <f ca="1">IFERROR(IF(BB_Switch=1,IF(_xll.BDP($D342,$F$331, "BEST_FPERIOD_OVERRIDE", AI$3)="#N/A N/A","NA  ",(_xll.BDP($D342,$F$331, "BEST_FPERIOD_OVERRIDE", AI$3))),AI342),"NM ")</f>
        <v>2043.867</v>
      </c>
      <c r="AJ342" s="228">
        <f ca="1">IFERROR(IF(BB_Switch=1,IF(_xll.BDP($D342,$F$331, "BEST_FPERIOD_OVERRIDE", AJ$3)="#N/A N/A","NA  ",(_xll.BDP($D342,$F$331, "BEST_FPERIOD_OVERRIDE", AJ$3))),AJ342),"NM ")</f>
        <v>2166.3330000000001</v>
      </c>
    </row>
    <row r="343" spans="2:37" ht="11.25" customHeight="1">
      <c r="C343" s="229" t="str">
        <f ca="1">IFERROR(IF(BB_Switch=1,_xll.BDP($D343,$C$270),C343), "NA ")</f>
        <v>Celanese Corp</v>
      </c>
      <c r="D343" s="227" t="str">
        <f>+D22</f>
        <v>CE US EQUITY</v>
      </c>
      <c r="E343" s="228">
        <f ca="1">IFERROR(IF(BB_Switch=1,IF(_xll.BDP($D343,$D$331, "EQY_FUND_RELATIVE_PERIOD", E$3)="#N/A N/A","NA  ",(_xll.BDP($D343,$D$331, "EQY_FUND_RELATIVE_PERIOD", E$3))),E343),"NA ")</f>
        <v>330</v>
      </c>
      <c r="F343" s="228">
        <f ca="1">IFERROR(IF(BB_Switch=1,IF(_xll.BDP($D343,$D$331, "EQY_FUND_RELATIVE_PERIOD", F$3)="#N/A N/A","NA  ",(_xll.BDP($D343,$D$331, "EQY_FUND_RELATIVE_PERIOD", F$3))),F343),"NA ")</f>
        <v>317</v>
      </c>
      <c r="G343" s="228">
        <f ca="1">IFERROR(IF(BB_Switch=1,IF(_xll.BDP($D343,$D$331, "EQY_FUND_RELATIVE_PERIOD", G$3)="#N/A N/A","NA  ",(_xll.BDP($D343,$D$331, "EQY_FUND_RELATIVE_PERIOD", G$3))),G343),"NA ")</f>
        <v>335</v>
      </c>
      <c r="H343" s="228">
        <f ca="1">IFERROR(IF(BB_Switch=1,IF(_xll.BDP($D343,$D$331, "EQY_FUND_RELATIVE_PERIOD", H$3)="#N/A N/A","NA  ",(_xll.BDP($D343,$D$331, "EQY_FUND_RELATIVE_PERIOD", H$3))),H343),"NA ")</f>
        <v>355</v>
      </c>
      <c r="I343" s="228">
        <f ca="1">IFERROR(IF(BB_Switch=1,IF(_xll.BDP($D343,$D$331, "EQY_FUND_RELATIVE_PERIOD", I$3)="#N/A N/A","NA  ",(_xll.BDP($D343,$D$331, "EQY_FUND_RELATIVE_PERIOD", I$3))),I343),"NA ")</f>
        <v>437</v>
      </c>
      <c r="J343" s="228">
        <f ca="1">IFERROR(IF(BB_Switch=1,IF(_xll.BDP($D343,$D$331, "EQY_FUND_RELATIVE_PERIOD", J$3)="#N/A N/A","NA  ",(_xll.BDP($D343,$D$331, "EQY_FUND_RELATIVE_PERIOD", J$3))),J343),"NA ")</f>
        <v>463</v>
      </c>
      <c r="K343" s="228">
        <f ca="1">IFERROR(IF(BB_Switch=1,IF(_xll.BDP($D343,$D$331, "EQY_FUND_RELATIVE_PERIOD", K$3)="#N/A N/A","NA  ",(_xll.BDP($D343,$D$331, "EQY_FUND_RELATIVE_PERIOD", K$3))),K343),"NA ")</f>
        <v>457</v>
      </c>
      <c r="L343" s="228">
        <f ca="1">IFERROR(IF(BB_Switch=1,IF(_xll.BDP($D343,$D$331, "EQY_FUND_RELATIVE_PERIOD", L$3)="#N/A N/A","NA  ",(_xll.BDP($D343,$D$331, "EQY_FUND_RELATIVE_PERIOD", L$3))),L343),"NA ")</f>
        <v>545</v>
      </c>
      <c r="M343" s="228">
        <f ca="1">IFERROR(IF(BB_Switch=1,IF(_xll.BDP($D343,$D$331, "EQY_FUND_RELATIVE_PERIOD", M$3)="#N/A N/A","NA  ",(_xll.BDP($D343,$D$331, "EQY_FUND_RELATIVE_PERIOD", M$3))),M343),"NA ")</f>
        <v>416</v>
      </c>
      <c r="N343" s="228">
        <f ca="1">IFERROR(IF(BB_Switch=1,IF(_xll.BDP($D343,$D$331, "EQY_FUND_RELATIVE_PERIOD", N$3)="#N/A N/A","NA  ",(_xll.BDP($D343,$D$331, "EQY_FUND_RELATIVE_PERIOD", N$3))),N343),"NA ")</f>
        <v>388</v>
      </c>
      <c r="O343" s="228">
        <f ca="1">IFERROR(IF(BB_Switch=1,IF(_xll.BDP($D343,$D$331, "EQY_FUND_RELATIVE_PERIOD", O$3)="#N/A N/A","NA  ",(_xll.BDP($D343,$D$331, "EQY_FUND_RELATIVE_PERIOD", O$3))),O343),"NA ")</f>
        <v>398</v>
      </c>
      <c r="P343" s="228">
        <f ca="1">IFERROR(IF(BB_Switch=1,IF(_xll.BDP($D343,$D$331, "EQY_FUND_RELATIVE_PERIOD", P$3)="#N/A N/A","NA  ",(_xll.BDP($D343,$D$331, "EQY_FUND_RELATIVE_PERIOD", P$3))),P343),"NA ")</f>
        <v>404</v>
      </c>
      <c r="Q343" s="227"/>
      <c r="R343" s="227"/>
      <c r="S343" s="227"/>
      <c r="T343" s="227"/>
      <c r="U343" s="227"/>
      <c r="V343" s="228">
        <f ca="1">IFERROR(IF(BB_Switch=1,IF(_xll.BDP($D343,$D$331, "EQY_FUND_RELATIVE_PERIOD", V$3)="#N/A N/A","NA  ",(_xll.BDP($D343,$D$331, "EQY_FUND_RELATIVE_PERIOD", V$3))),V343),"NA ")</f>
        <v>916</v>
      </c>
      <c r="W343" s="228">
        <f ca="1">IFERROR(IF(BB_Switch=1,IF(_xll.BDP($D343,$D$331, "EQY_FUND_RELATIVE_PERIOD", W$3)="#N/A N/A","NA  ",(_xll.BDP($D343,$D$331, "EQY_FUND_RELATIVE_PERIOD", W$3))),W343),"NA ")</f>
        <v>1100</v>
      </c>
      <c r="X343" s="228">
        <f ca="1">IFERROR(IF(BB_Switch=1,IF(_xll.BDP($D343,$D$331, "EQY_FUND_RELATIVE_PERIOD", X$3)="#N/A N/A","NA  ",(_xll.BDP($D343,$D$331, "EQY_FUND_RELATIVE_PERIOD", X$3))),X343),"NA ")</f>
        <v>972</v>
      </c>
      <c r="Y343" s="228">
        <f ca="1">IFERROR(IF(BB_Switch=1,IF(_xll.BDP($D343,$D$331, "EQY_FUND_RELATIVE_PERIOD", Y$3)="#N/A N/A","NA  ",(_xll.BDP($D343,$D$331, "EQY_FUND_RELATIVE_PERIOD", Y$3))),Y343),"NA ")</f>
        <v>1102</v>
      </c>
      <c r="Z343" s="228">
        <f ca="1">IFERROR(IF(BB_Switch=1,IF(_xll.BDP($D343,$D$331, "EQY_FUND_RELATIVE_PERIOD", Z$3)="#N/A N/A","NA  ",(_xll.BDP($D343,$D$331, "EQY_FUND_RELATIVE_PERIOD", Z$3))),Z343),"NA ")</f>
        <v>1208</v>
      </c>
      <c r="AA343" s="228">
        <f ca="1">IFERROR(IF(BB_Switch=1,IF(_xll.BDP($D343,$D$331, "EQY_FUND_RELATIVE_PERIOD", AA$3)="#N/A N/A","NA  ",(_xll.BDP($D343,$D$331, "EQY_FUND_RELATIVE_PERIOD", AA$3))),AA343),"NA ")</f>
        <v>1304</v>
      </c>
      <c r="AB343" s="228">
        <f ca="1">IFERROR(IF(BB_Switch=1,IF(_xll.BDP($D343,$D$331, "EQY_FUND_RELATIVE_PERIOD", AB$3)="#N/A N/A","NA  ",(_xll.BDP($D343,$D$331, "EQY_FUND_RELATIVE_PERIOD", AB$3))),AB343),"NA ")</f>
        <v>1361</v>
      </c>
      <c r="AC343" s="228">
        <f ca="1">IFERROR(IF(BB_Switch=1,IF(_xll.BDP($D343,$D$331, "EQY_FUND_RELATIVE_PERIOD", AC$3)="#N/A N/A","NA  ",(_xll.BDP($D343,$D$331, "EQY_FUND_RELATIVE_PERIOD", AC$3))),AC343),"NA ")</f>
        <v>1230</v>
      </c>
      <c r="AD343" s="228">
        <f ca="1">IFERROR(IF(BB_Switch=1,IF(_xll.BDP($D343,$D$331, "EQY_FUND_RELATIVE_PERIOD", AD$3)="#N/A N/A","NA  ",(_xll.BDP($D343,$D$331, "EQY_FUND_RELATIVE_PERIOD", AD$3))),AD343),"NA ")</f>
        <v>1916</v>
      </c>
      <c r="AE343" s="228">
        <f ca="1">IFERROR(IF(BB_Switch=1,IF(_xll.BDP($D343,$D$331, "EQY_FUND_RELATIVE_PERIOD", AE$3)="#N/A N/A","NA  ",(_xll.BDP($D343,$D$331, "EQY_FUND_RELATIVE_PERIOD", AE$3))),AE343),"NA ")</f>
        <v>1605</v>
      </c>
      <c r="AF343" s="228"/>
      <c r="AG343" s="228">
        <f ca="1">IFERROR(IF(BB_Switch=1,IF(_xll.BDP($D343,$V$331)="#N/A N/A","NA  ",(_xll.BDP($D343,$V$331))),AG343),"NA ")</f>
        <v>1805</v>
      </c>
      <c r="AH343" s="228">
        <f ca="1">IFERROR(IF(BB_Switch=1,IF(_xll.BDP($D343,$F$331, "BEST_FPERIOD_OVERRIDE", AH$3)="#N/A N/A","NA  ",(_xll.BDP($D343,$F$331, "BEST_FPERIOD_OVERRIDE", AH$3))),AH343),"NM ")</f>
        <v>1890.867</v>
      </c>
      <c r="AI343" s="228">
        <f ca="1">IFERROR(IF(BB_Switch=1,IF(_xll.BDP($D343,$F$331, "BEST_FPERIOD_OVERRIDE", AI$3)="#N/A N/A","NA  ",(_xll.BDP($D343,$F$331, "BEST_FPERIOD_OVERRIDE", AI$3))),AI343),"NM ")</f>
        <v>1978.5</v>
      </c>
      <c r="AJ343" s="228">
        <f ca="1">IFERROR(IF(BB_Switch=1,IF(_xll.BDP($D343,$F$331, "BEST_FPERIOD_OVERRIDE", AJ$3)="#N/A N/A","NA  ",(_xll.BDP($D343,$F$331, "BEST_FPERIOD_OVERRIDE", AJ$3))),AJ343),"NM ")</f>
        <v>2158.5</v>
      </c>
    </row>
    <row r="344" spans="2:37" ht="11.25" customHeight="1">
      <c r="C344" s="229" t="str">
        <f ca="1">IFERROR(IF(BB_Switch=1,_xll.BDP($D344,$C$270),C344), "NA ")</f>
        <v>BASF SE</v>
      </c>
      <c r="D344" s="227" t="str">
        <f>+D23</f>
        <v>BAS GR EQUITY</v>
      </c>
      <c r="E344" s="228">
        <f ca="1">IFERROR(IF(BB_Switch=1,IF(_xll.BDP($D344,$D$331, "EQY_FUND_RELATIVE_PERIOD", E$3)="#N/A N/A","NA  ",(_xll.BDP($D344,$D$331, "EQY_FUND_RELATIVE_PERIOD", E$3))),E344),"NA ")</f>
        <v>3250</v>
      </c>
      <c r="F344" s="228">
        <f ca="1">IFERROR(IF(BB_Switch=1,IF(_xll.BDP($D344,$D$331, "EQY_FUND_RELATIVE_PERIOD", F$3)="#N/A N/A","NA  ",(_xll.BDP($D344,$D$331, "EQY_FUND_RELATIVE_PERIOD", F$3))),F344),"NA ")</f>
        <v>3105</v>
      </c>
      <c r="G344" s="228">
        <f ca="1">IFERROR(IF(BB_Switch=1,IF(_xll.BDP($D344,$D$331, "EQY_FUND_RELATIVE_PERIOD", G$3)="#N/A N/A","NA  ",(_xll.BDP($D344,$D$331, "EQY_FUND_RELATIVE_PERIOD", G$3))),G344),"NA ")</f>
        <v>2681</v>
      </c>
      <c r="H344" s="228">
        <f ca="1">IFERROR(IF(BB_Switch=1,IF(_xll.BDP($D344,$D$331, "EQY_FUND_RELATIVE_PERIOD", H$3)="#N/A N/A","NA  ",(_xll.BDP($D344,$D$331, "EQY_FUND_RELATIVE_PERIOD", H$3))),H344),"NA ")</f>
        <v>2469</v>
      </c>
      <c r="I344" s="228">
        <f ca="1">IFERROR(IF(BB_Switch=1,IF(_xll.BDP($D344,$D$331, "EQY_FUND_RELATIVE_PERIOD", I$3)="#N/A N/A","NA  ",(_xll.BDP($D344,$D$331, "EQY_FUND_RELATIVE_PERIOD", I$3))),I344),"NA ")</f>
        <v>3172</v>
      </c>
      <c r="J344" s="228">
        <f ca="1">IFERROR(IF(BB_Switch=1,IF(_xll.BDP($D344,$D$331, "EQY_FUND_RELATIVE_PERIOD", J$3)="#N/A N/A","NA  ",(_xll.BDP($D344,$D$331, "EQY_FUND_RELATIVE_PERIOD", J$3))),J344),"NA ")</f>
        <v>2854</v>
      </c>
      <c r="K344" s="228">
        <f ca="1">IFERROR(IF(BB_Switch=1,IF(_xll.BDP($D344,$D$331, "EQY_FUND_RELATIVE_PERIOD", K$3)="#N/A N/A","NA  ",(_xll.BDP($D344,$D$331, "EQY_FUND_RELATIVE_PERIOD", K$3))),K344),"NA ")</f>
        <v>2391</v>
      </c>
      <c r="L344" s="228">
        <f ca="1">IFERROR(IF(BB_Switch=1,IF(_xll.BDP($D344,$D$331, "EQY_FUND_RELATIVE_PERIOD", L$3)="#N/A N/A","NA  ",(_xll.BDP($D344,$D$331, "EQY_FUND_RELATIVE_PERIOD", L$3))),L344),"NA ")</f>
        <v>1218</v>
      </c>
      <c r="M344" s="228">
        <f ca="1">IFERROR(IF(BB_Switch=1,IF(_xll.BDP($D344,$D$331, "EQY_FUND_RELATIVE_PERIOD", M$3)="#N/A N/A","NA  ",(_xll.BDP($D344,$D$331, "EQY_FUND_RELATIVE_PERIOD", M$3))),M344),"NA ")</f>
        <v>2724</v>
      </c>
      <c r="N344" s="228">
        <f ca="1">IFERROR(IF(BB_Switch=1,IF(_xll.BDP($D344,$D$331, "EQY_FUND_RELATIVE_PERIOD", N$3)="#N/A N/A","NA  ",(_xll.BDP($D344,$D$331, "EQY_FUND_RELATIVE_PERIOD", N$3))),N344),"NA ")</f>
        <v>2026</v>
      </c>
      <c r="O344" s="228">
        <f ca="1">IFERROR(IF(BB_Switch=1,IF(_xll.BDP($D344,$D$331, "EQY_FUND_RELATIVE_PERIOD", O$3)="#N/A N/A","NA  ",(_xll.BDP($D344,$D$331, "EQY_FUND_RELATIVE_PERIOD", O$3))),O344),"NA ")</f>
        <v>2511</v>
      </c>
      <c r="P344" s="228">
        <f ca="1">IFERROR(IF(BB_Switch=1,IF(_xll.BDP($D344,$D$331, "EQY_FUND_RELATIVE_PERIOD", P$3)="#N/A N/A","NA  ",(_xll.BDP($D344,$D$331, "EQY_FUND_RELATIVE_PERIOD", P$3))),P344),"NA ")</f>
        <v>1481</v>
      </c>
      <c r="Q344" s="227"/>
      <c r="R344" s="227"/>
      <c r="S344" s="227"/>
      <c r="T344" s="227"/>
      <c r="U344" s="227"/>
      <c r="V344" s="228">
        <f ca="1">IFERROR(IF(BB_Switch=1,IF(_xll.BDP($D344,$D$331, "EQY_FUND_RELATIVE_PERIOD", V$3)="#N/A N/A","NA  ",(_xll.BDP($D344,$D$331, "EQY_FUND_RELATIVE_PERIOD", V$3))),V344),"NA ")</f>
        <v>11431</v>
      </c>
      <c r="W344" s="228">
        <f ca="1">IFERROR(IF(BB_Switch=1,IF(_xll.BDP($D344,$D$331, "EQY_FUND_RELATIVE_PERIOD", W$3)="#N/A N/A","NA  ",(_xll.BDP($D344,$D$331, "EQY_FUND_RELATIVE_PERIOD", W$3))),W344),"NA ")</f>
        <v>11668</v>
      </c>
      <c r="X344" s="228">
        <f ca="1">IFERROR(IF(BB_Switch=1,IF(_xll.BDP($D344,$D$331, "EQY_FUND_RELATIVE_PERIOD", X$3)="#N/A N/A","NA  ",(_xll.BDP($D344,$D$331, "EQY_FUND_RELATIVE_PERIOD", X$3))),X344),"NA ")</f>
        <v>9660</v>
      </c>
      <c r="Y344" s="228">
        <f ca="1">IFERROR(IF(BB_Switch=1,IF(_xll.BDP($D344,$D$331, "EQY_FUND_RELATIVE_PERIOD", Y$3)="#N/A N/A","NA  ",(_xll.BDP($D344,$D$331, "EQY_FUND_RELATIVE_PERIOD", Y$3))),Y344),"NA ")</f>
        <v>10493</v>
      </c>
      <c r="Z344" s="228">
        <f ca="1">IFERROR(IF(BB_Switch=1,IF(_xll.BDP($D344,$D$331, "EQY_FUND_RELATIVE_PERIOD", Z$3)="#N/A N/A","NA  ",(_xll.BDP($D344,$D$331, "EQY_FUND_RELATIVE_PERIOD", Z$3))),Z344),"NA ")</f>
        <v>11328</v>
      </c>
      <c r="AA344" s="228">
        <f ca="1">IFERROR(IF(BB_Switch=1,IF(_xll.BDP($D344,$D$331, "EQY_FUND_RELATIVE_PERIOD", AA$3)="#N/A N/A","NA  ",(_xll.BDP($D344,$D$331, "EQY_FUND_RELATIVE_PERIOD", AA$3))),AA344),"NA ")</f>
        <v>11238</v>
      </c>
      <c r="AB344" s="228">
        <f ca="1">IFERROR(IF(BB_Switch=1,IF(_xll.BDP($D344,$D$331, "EQY_FUND_RELATIVE_PERIOD", AB$3)="#N/A N/A","NA  ",(_xll.BDP($D344,$D$331, "EQY_FUND_RELATIVE_PERIOD", AB$3))),AB344),"NA ")</f>
        <v>10751</v>
      </c>
      <c r="AC344" s="228">
        <f ca="1">IFERROR(IF(BB_Switch=1,IF(_xll.BDP($D344,$D$331, "EQY_FUND_RELATIVE_PERIOD", AC$3)="#N/A N/A","NA  ",(_xll.BDP($D344,$D$331, "EQY_FUND_RELATIVE_PERIOD", AC$3))),AC344),"NA ")</f>
        <v>11505</v>
      </c>
      <c r="AD344" s="228">
        <f ca="1">IFERROR(IF(BB_Switch=1,IF(_xll.BDP($D344,$D$331, "EQY_FUND_RELATIVE_PERIOD", AD$3)="#N/A N/A","NA  ",(_xll.BDP($D344,$D$331, "EQY_FUND_RELATIVE_PERIOD", AD$3))),AD344),"NA ")</f>
        <v>9575</v>
      </c>
      <c r="AE344" s="228">
        <f ca="1">IFERROR(IF(BB_Switch=1,IF(_xll.BDP($D344,$D$331, "EQY_FUND_RELATIVE_PERIOD", AE$3)="#N/A N/A","NA  ",(_xll.BDP($D344,$D$331, "EQY_FUND_RELATIVE_PERIOD", AE$3))),AE344),"NA ")</f>
        <v>8554</v>
      </c>
      <c r="AF344" s="228"/>
      <c r="AG344" s="228">
        <f ca="1">IFERROR(IF(BB_Switch=1,IF(_xll.BDP($D344,$V$331)="#N/A N/A","NA  ",(_xll.BDP($D344,$V$331))),AG344),"NA ")</f>
        <v>8217</v>
      </c>
      <c r="AH344" s="228">
        <f ca="1">IFERROR(IF(BB_Switch=1,IF(_xll.BDP($D344,$F$331, "BEST_FPERIOD_OVERRIDE", AH$3)="#N/A N/A","NA  ",(_xll.BDP($D344,$F$331, "BEST_FPERIOD_OVERRIDE", AH$3))),AH344),"NM ")</f>
        <v>8339</v>
      </c>
      <c r="AI344" s="228">
        <f ca="1">IFERROR(IF(BB_Switch=1,IF(_xll.BDP($D344,$F$331, "BEST_FPERIOD_OVERRIDE", AI$3)="#N/A N/A","NA  ",(_xll.BDP($D344,$F$331, "BEST_FPERIOD_OVERRIDE", AI$3))),AI344),"NM ")</f>
        <v>9130</v>
      </c>
      <c r="AJ344" s="228">
        <f ca="1">IFERROR(IF(BB_Switch=1,IF(_xll.BDP($D344,$F$331, "BEST_FPERIOD_OVERRIDE", AJ$3)="#N/A N/A","NA  ",(_xll.BDP($D344,$F$331, "BEST_FPERIOD_OVERRIDE", AJ$3))),AJ344),"NM ")</f>
        <v>9933.2309999999998</v>
      </c>
    </row>
    <row r="345" spans="2:37" ht="11.25" customHeight="1">
      <c r="C345" s="229" t="str">
        <f ca="1">IFERROR(IF(BB_Switch=1,_xll.BDP($D345,$C$270),C345), "NA ")</f>
        <v>Trinseo SA</v>
      </c>
      <c r="D345" s="227" t="str">
        <f>+D24</f>
        <v>TSE US EQUITY</v>
      </c>
      <c r="E345" s="228">
        <f ca="1">IFERROR(IF(BB_Switch=1,IF(_xll.BDP($D345,$D$331, "EQY_FUND_RELATIVE_PERIOD", E$3)="#N/A N/A","NA  ",(_xll.BDP($D345,$D$331, "EQY_FUND_RELATIVE_PERIOD", E$3))),E345),"NA ")</f>
        <v>154.286</v>
      </c>
      <c r="F345" s="228">
        <f ca="1">IFERROR(IF(BB_Switch=1,IF(_xll.BDP($D345,$D$331, "EQY_FUND_RELATIVE_PERIOD", F$3)="#N/A N/A","NA  ",(_xll.BDP($D345,$D$331, "EQY_FUND_RELATIVE_PERIOD", F$3))),F345),"NA ")</f>
        <v>100.28</v>
      </c>
      <c r="G345" s="228">
        <f ca="1">IFERROR(IF(BB_Switch=1,IF(_xll.BDP($D345,$D$331, "EQY_FUND_RELATIVE_PERIOD", G$3)="#N/A N/A","NA  ",(_xll.BDP($D345,$D$331, "EQY_FUND_RELATIVE_PERIOD", G$3))),G345),"NA ")</f>
        <v>124.4</v>
      </c>
      <c r="H345" s="228">
        <f ca="1">IFERROR(IF(BB_Switch=1,IF(_xll.BDP($D345,$D$331, "EQY_FUND_RELATIVE_PERIOD", H$3)="#N/A N/A","NA  ",(_xll.BDP($D345,$D$331, "EQY_FUND_RELATIVE_PERIOD", H$3))),H345),"NA ")</f>
        <v>116.6</v>
      </c>
      <c r="I345" s="228">
        <f ca="1">IFERROR(IF(BB_Switch=1,IF(_xll.BDP($D345,$D$331, "EQY_FUND_RELATIVE_PERIOD", I$3)="#N/A N/A","NA  ",(_xll.BDP($D345,$D$331, "EQY_FUND_RELATIVE_PERIOD", I$3))),I345),"NA ")</f>
        <v>145.69999999999999</v>
      </c>
      <c r="J345" s="228">
        <f ca="1">IFERROR(IF(BB_Switch=1,IF(_xll.BDP($D345,$D$331, "EQY_FUND_RELATIVE_PERIOD", J$3)="#N/A N/A","NA  ",(_xll.BDP($D345,$D$331, "EQY_FUND_RELATIVE_PERIOD", J$3))),J345),"NA ")</f>
        <v>134.80000000000001</v>
      </c>
      <c r="K345" s="228">
        <f ca="1">IFERROR(IF(BB_Switch=1,IF(_xll.BDP($D345,$D$331, "EQY_FUND_RELATIVE_PERIOD", K$3)="#N/A N/A","NA  ",(_xll.BDP($D345,$D$331, "EQY_FUND_RELATIVE_PERIOD", K$3))),K345),"NA ")</f>
        <v>111.10000000000001</v>
      </c>
      <c r="L345" s="228">
        <f ca="1">IFERROR(IF(BB_Switch=1,IF(_xll.BDP($D345,$D$331, "EQY_FUND_RELATIVE_PERIOD", L$3)="#N/A N/A","NA  ",(_xll.BDP($D345,$D$331, "EQY_FUND_RELATIVE_PERIOD", L$3))),L345),"NA ")</f>
        <v>35.1</v>
      </c>
      <c r="M345" s="228">
        <f ca="1">IFERROR(IF(BB_Switch=1,IF(_xll.BDP($D345,$D$331, "EQY_FUND_RELATIVE_PERIOD", M$3)="#N/A N/A","NA  ",(_xll.BDP($D345,$D$331, "EQY_FUND_RELATIVE_PERIOD", M$3))),M345),"NA ")</f>
        <v>78.399999999999991</v>
      </c>
      <c r="N345" s="228">
        <f ca="1">IFERROR(IF(BB_Switch=1,IF(_xll.BDP($D345,$D$331, "EQY_FUND_RELATIVE_PERIOD", N$3)="#N/A N/A","NA  ",(_xll.BDP($D345,$D$331, "EQY_FUND_RELATIVE_PERIOD", N$3))),N345),"NA ")</f>
        <v>68.699999999999989</v>
      </c>
      <c r="O345" s="228">
        <f ca="1">IFERROR(IF(BB_Switch=1,IF(_xll.BDP($D345,$D$331, "EQY_FUND_RELATIVE_PERIOD", O$3)="#N/A N/A","NA  ",(_xll.BDP($D345,$D$331, "EQY_FUND_RELATIVE_PERIOD", O$3))),O345),"NA ")</f>
        <v>70.400000000000006</v>
      </c>
      <c r="P345" s="228">
        <f ca="1">IFERROR(IF(BB_Switch=1,IF(_xll.BDP($D345,$D$331, "EQY_FUND_RELATIVE_PERIOD", P$3)="#N/A N/A","NA  ",(_xll.BDP($D345,$D$331, "EQY_FUND_RELATIVE_PERIOD", P$3))),P345),"NA ")</f>
        <v>38.1</v>
      </c>
      <c r="Q345" s="227"/>
      <c r="R345" s="227"/>
      <c r="S345" s="227"/>
      <c r="T345" s="227"/>
      <c r="U345" s="227"/>
      <c r="V345" s="228">
        <f ca="1">IFERROR(IF(BB_Switch=1,IF(_xll.BDP($D345,$D$331, "EQY_FUND_RELATIVE_PERIOD", V$3)="#N/A N/A","NA  ",(_xll.BDP($D345,$D$331, "EQY_FUND_RELATIVE_PERIOD", V$3))),V345),"NA ")</f>
        <v>348.57499999999999</v>
      </c>
      <c r="W345" s="228">
        <f ca="1">IFERROR(IF(BB_Switch=1,IF(_xll.BDP($D345,$D$331, "EQY_FUND_RELATIVE_PERIOD", W$3)="#N/A N/A","NA  ",(_xll.BDP($D345,$D$331, "EQY_FUND_RELATIVE_PERIOD", W$3))),W345),"NA ")</f>
        <v>230.822</v>
      </c>
      <c r="X345" s="228">
        <f ca="1">IFERROR(IF(BB_Switch=1,IF(_xll.BDP($D345,$D$331, "EQY_FUND_RELATIVE_PERIOD", X$3)="#N/A N/A","NA  ",(_xll.BDP($D345,$D$331, "EQY_FUND_RELATIVE_PERIOD", X$3))),X345),"NA ")</f>
        <v>289.39600000000002</v>
      </c>
      <c r="Y345" s="228">
        <f ca="1">IFERROR(IF(BB_Switch=1,IF(_xll.BDP($D345,$D$331, "EQY_FUND_RELATIVE_PERIOD", Y$3)="#N/A N/A","NA  ",(_xll.BDP($D345,$D$331, "EQY_FUND_RELATIVE_PERIOD", Y$3))),Y345),"NA ")</f>
        <v>311.286</v>
      </c>
      <c r="Z345" s="228">
        <f ca="1">IFERROR(IF(BB_Switch=1,IF(_xll.BDP($D345,$D$331, "EQY_FUND_RELATIVE_PERIOD", Z$3)="#N/A N/A","NA  ",(_xll.BDP($D345,$D$331, "EQY_FUND_RELATIVE_PERIOD", Z$3))),Z345),"NA ")</f>
        <v>289.39</v>
      </c>
      <c r="AA345" s="228">
        <f ca="1">IFERROR(IF(BB_Switch=1,IF(_xll.BDP($D345,$D$331, "EQY_FUND_RELATIVE_PERIOD", AA$3)="#N/A N/A","NA  ",(_xll.BDP($D345,$D$331, "EQY_FUND_RELATIVE_PERIOD", AA$3))),AA345),"NA ")</f>
        <v>360.89</v>
      </c>
      <c r="AB345" s="228">
        <f ca="1">IFERROR(IF(BB_Switch=1,IF(_xll.BDP($D345,$D$331, "EQY_FUND_RELATIVE_PERIOD", AB$3)="#N/A N/A","NA  ",(_xll.BDP($D345,$D$331, "EQY_FUND_RELATIVE_PERIOD", AB$3))),AB345),"NA ")</f>
        <v>453.25900000000001</v>
      </c>
      <c r="AC345" s="228">
        <f ca="1">IFERROR(IF(BB_Switch=1,IF(_xll.BDP($D345,$D$331, "EQY_FUND_RELATIVE_PERIOD", AC$3)="#N/A N/A","NA  ",(_xll.BDP($D345,$D$331, "EQY_FUND_RELATIVE_PERIOD", AC$3))),AC345),"NA ")</f>
        <v>497.29999999999995</v>
      </c>
      <c r="AD345" s="228">
        <f ca="1">IFERROR(IF(BB_Switch=1,IF(_xll.BDP($D345,$D$331, "EQY_FUND_RELATIVE_PERIOD", AD$3)="#N/A N/A","NA  ",(_xll.BDP($D345,$D$331, "EQY_FUND_RELATIVE_PERIOD", AD$3))),AD345),"NA ")</f>
        <v>432.59999999999997</v>
      </c>
      <c r="AE345" s="228">
        <f ca="1">IFERROR(IF(BB_Switch=1,IF(_xll.BDP($D345,$D$331, "EQY_FUND_RELATIVE_PERIOD", AE$3)="#N/A N/A","NA  ",(_xll.BDP($D345,$D$331, "EQY_FUND_RELATIVE_PERIOD", AE$3))),AE345),"NA ")</f>
        <v>236.8</v>
      </c>
      <c r="AF345" s="228"/>
      <c r="AG345" s="228">
        <f ca="1">IFERROR(IF(BB_Switch=1,IF(_xll.BDP($D345,$V$331)="#N/A N/A","NA  ",(_xll.BDP($D345,$V$331))),AG345),"NA ")</f>
        <v>351.8</v>
      </c>
      <c r="AH345" s="228">
        <f ca="1">IFERROR(IF(BB_Switch=1,IF(_xll.BDP($D345,$F$331, "BEST_FPERIOD_OVERRIDE", AH$3)="#N/A N/A","NA  ",(_xll.BDP($D345,$F$331, "BEST_FPERIOD_OVERRIDE", AH$3))),AH345),"NM ")</f>
        <v>322.33300000000003</v>
      </c>
      <c r="AI345" s="228">
        <f ca="1">IFERROR(IF(BB_Switch=1,IF(_xll.BDP($D345,$F$331, "BEST_FPERIOD_OVERRIDE", AI$3)="#N/A N/A","NA  ",(_xll.BDP($D345,$F$331, "BEST_FPERIOD_OVERRIDE", AI$3))),AI345),"NM ")</f>
        <v>378.16700000000003</v>
      </c>
      <c r="AJ345" s="228">
        <f ca="1">IFERROR(IF(BB_Switch=1,IF(_xll.BDP($D345,$F$331, "BEST_FPERIOD_OVERRIDE", AJ$3)="#N/A N/A","NA  ",(_xll.BDP($D345,$F$331, "BEST_FPERIOD_OVERRIDE", AJ$3))),AJ345),"NM ")</f>
        <v>410.5</v>
      </c>
    </row>
    <row r="346" spans="2:37" ht="11.25" customHeight="1">
      <c r="C346" s="229"/>
      <c r="D346" s="227"/>
      <c r="E346" s="228"/>
      <c r="F346" s="228"/>
      <c r="G346" s="228"/>
      <c r="H346" s="228"/>
      <c r="I346" s="228"/>
      <c r="J346" s="228"/>
      <c r="K346" s="228"/>
      <c r="L346" s="228"/>
      <c r="M346" s="228"/>
      <c r="N346" s="228"/>
      <c r="O346" s="228"/>
      <c r="P346" s="228"/>
      <c r="Q346" s="227"/>
      <c r="R346" s="227"/>
      <c r="S346" s="227"/>
      <c r="T346" s="227"/>
      <c r="U346" s="227"/>
      <c r="V346" s="228"/>
      <c r="W346" s="228"/>
      <c r="X346" s="228"/>
      <c r="Y346" s="228"/>
      <c r="Z346" s="228"/>
      <c r="AA346" s="228"/>
      <c r="AB346" s="228"/>
      <c r="AC346" s="228"/>
      <c r="AD346" s="228"/>
      <c r="AE346" s="228"/>
      <c r="AF346" s="228"/>
      <c r="AG346" s="227"/>
      <c r="AH346" s="228"/>
      <c r="AI346" s="228"/>
      <c r="AJ346" s="228"/>
    </row>
    <row r="347" spans="2:37" ht="11.25" customHeight="1">
      <c r="C347" s="224" t="s">
        <v>482</v>
      </c>
      <c r="D347" s="223"/>
      <c r="E347" s="222"/>
      <c r="F347" s="222"/>
      <c r="G347" s="222"/>
      <c r="H347" s="222"/>
      <c r="I347" s="222"/>
      <c r="J347" s="222"/>
      <c r="K347" s="222"/>
      <c r="L347" s="222"/>
      <c r="M347" s="222"/>
      <c r="N347" s="222"/>
      <c r="O347" s="222"/>
      <c r="P347" s="222"/>
      <c r="Q347" s="222"/>
      <c r="R347" s="222"/>
      <c r="S347" s="222"/>
      <c r="T347" s="289"/>
      <c r="U347" s="359"/>
      <c r="V347" s="295"/>
      <c r="W347" s="222"/>
      <c r="X347" s="222"/>
      <c r="Y347" s="222"/>
      <c r="Z347" s="222"/>
      <c r="AA347" s="222"/>
      <c r="AB347" s="222"/>
      <c r="AC347" s="222"/>
      <c r="AD347" s="222"/>
      <c r="AE347" s="222"/>
      <c r="AF347" s="222"/>
      <c r="AG347" s="222"/>
      <c r="AH347" s="250"/>
      <c r="AI347" s="250"/>
      <c r="AJ347" s="291"/>
    </row>
    <row r="348" spans="2:37" ht="11.25" customHeight="1">
      <c r="C348" s="221" t="s">
        <v>481</v>
      </c>
      <c r="D348" s="220"/>
      <c r="E348" s="218"/>
      <c r="F348" s="218"/>
      <c r="G348" s="218"/>
      <c r="H348" s="218"/>
      <c r="I348" s="218"/>
      <c r="J348" s="218"/>
      <c r="K348" s="218"/>
      <c r="L348" s="218"/>
      <c r="M348" s="218"/>
      <c r="N348" s="218"/>
      <c r="O348" s="218"/>
      <c r="P348" s="218"/>
      <c r="Q348" s="218"/>
      <c r="R348" s="218"/>
      <c r="S348" s="218"/>
      <c r="T348" s="290"/>
      <c r="U348" s="359"/>
      <c r="V348" s="296"/>
      <c r="W348" s="218"/>
      <c r="X348" s="218"/>
      <c r="Y348" s="218"/>
      <c r="Z348" s="218"/>
      <c r="AA348" s="218"/>
      <c r="AB348" s="218"/>
      <c r="AC348" s="218"/>
      <c r="AD348" s="218"/>
      <c r="AE348" s="218"/>
      <c r="AF348" s="218"/>
      <c r="AG348" s="218"/>
      <c r="AH348" s="249"/>
      <c r="AI348" s="249"/>
      <c r="AJ348" s="292"/>
    </row>
    <row r="350" spans="2:37" s="227" customFormat="1" ht="11.25" customHeight="1">
      <c r="B350" s="231" t="s">
        <v>14</v>
      </c>
      <c r="C350" s="232" t="s">
        <v>488</v>
      </c>
      <c r="D350" s="232"/>
      <c r="E350" s="232"/>
      <c r="F350" s="232"/>
      <c r="G350" s="232"/>
      <c r="H350" s="232"/>
      <c r="I350" s="232"/>
      <c r="J350" s="232"/>
      <c r="K350" s="232"/>
      <c r="L350" s="232"/>
      <c r="M350" s="232"/>
      <c r="N350" s="232"/>
      <c r="O350" s="232"/>
      <c r="P350" s="232"/>
      <c r="Q350" s="232"/>
      <c r="R350" s="232"/>
      <c r="S350" s="232"/>
      <c r="T350" s="232"/>
      <c r="U350" s="233"/>
      <c r="V350" s="232"/>
      <c r="W350" s="231"/>
      <c r="X350" s="231"/>
      <c r="Y350" s="231"/>
      <c r="Z350" s="231"/>
      <c r="AA350" s="231"/>
      <c r="AB350" s="231"/>
      <c r="AC350" s="231"/>
      <c r="AD350" s="231"/>
      <c r="AE350" s="231"/>
      <c r="AF350" s="231"/>
      <c r="AG350" s="231"/>
      <c r="AH350" s="231"/>
      <c r="AI350" s="231"/>
      <c r="AJ350" s="231"/>
    </row>
    <row r="351" spans="2:37" ht="11.25" customHeight="1">
      <c r="D351" s="217" t="s">
        <v>487</v>
      </c>
      <c r="V351" s="217" t="s">
        <v>486</v>
      </c>
    </row>
    <row r="352" spans="2:37" ht="11.25" customHeight="1">
      <c r="C352" s="428" t="str">
        <f>+C11</f>
        <v>Commodity Chemicals</v>
      </c>
      <c r="AG352" s="217" t="s">
        <v>394</v>
      </c>
      <c r="AK352" s="230"/>
    </row>
    <row r="353" spans="3:36" ht="11.25" customHeight="1">
      <c r="C353" s="229" t="str">
        <f ca="1">IFERROR(IF(BB_Switch=1,_xll.BDP($D353,$C$270),C353), "NA ")</f>
        <v>DuPont de Nemours Inc</v>
      </c>
      <c r="D353" s="227" t="str">
        <f t="shared" ref="D353:D359" si="125">+D12</f>
        <v>DD US EQUITY</v>
      </c>
      <c r="E353" s="228">
        <f ca="1">IFERROR(IF(BB_Switch=1,IF(_xll.BDP($D353,$D$351, "EQY_FUND_RELATIVE_PERIOD", E$3)="#N/A N/A","NA  ",(_xll.BDP($D353,$D$351, "EQY_FUND_RELATIVE_PERIOD", E$3))),E353),"NA ")</f>
        <v>-830</v>
      </c>
      <c r="F353" s="228" t="str">
        <f ca="1">IFERROR(IF(BB_Switch=1,IF(_xll.BDP($D353,$D$351, "EQY_FUND_RELATIVE_PERIOD", F$3)="#N/A N/A","NA  ",(_xll.BDP($D353,$D$351, "EQY_FUND_RELATIVE_PERIOD", F$3))),F353),"NA ")</f>
        <v xml:space="preserve">NA  </v>
      </c>
      <c r="G353" s="228">
        <f ca="1">IFERROR(IF(BB_Switch=1,IF(_xll.BDP($D353,$D$351, "EQY_FUND_RELATIVE_PERIOD", G$3)="#N/A N/A","NA  ",(_xll.BDP($D353,$D$351, "EQY_FUND_RELATIVE_PERIOD", G$3))),G353),"NA ")</f>
        <v>-3175</v>
      </c>
      <c r="H353" s="228" t="str">
        <f ca="1">IFERROR(IF(BB_Switch=1,IF(_xll.BDP($D353,$D$351, "EQY_FUND_RELATIVE_PERIOD", H$3)="#N/A N/A","NA  ",(_xll.BDP($D353,$D$351, "EQY_FUND_RELATIVE_PERIOD", H$3))),H353),"NA ")</f>
        <v xml:space="preserve">NA  </v>
      </c>
      <c r="I353" s="228">
        <f ca="1">IFERROR(IF(BB_Switch=1,IF(_xll.BDP($D353,$D$351, "EQY_FUND_RELATIVE_PERIOD", I$3)="#N/A N/A","NA  ",(_xll.BDP($D353,$D$351, "EQY_FUND_RELATIVE_PERIOD", I$3))),I353),"NA ")</f>
        <v>-2913</v>
      </c>
      <c r="J353" s="228">
        <f ca="1">IFERROR(IF(BB_Switch=1,IF(_xll.BDP($D353,$D$351, "EQY_FUND_RELATIVE_PERIOD", J$3)="#N/A N/A","NA  ",(_xll.BDP($D353,$D$351, "EQY_FUND_RELATIVE_PERIOD", J$3))),J353),"NA ")</f>
        <v>1280</v>
      </c>
      <c r="K353" s="228">
        <f ca="1">IFERROR(IF(BB_Switch=1,IF(_xll.BDP($D353,$D$351, "EQY_FUND_RELATIVE_PERIOD", K$3)="#N/A N/A","NA  ",(_xll.BDP($D353,$D$351, "EQY_FUND_RELATIVE_PERIOD", K$3))),K353),"NA ")</f>
        <v>-1295</v>
      </c>
      <c r="L353" s="228">
        <f ca="1">IFERROR(IF(BB_Switch=1,IF(_xll.BDP($D353,$D$351, "EQY_FUND_RELATIVE_PERIOD", L$3)="#N/A N/A","NA  ",(_xll.BDP($D353,$D$351, "EQY_FUND_RELATIVE_PERIOD", L$3))),L353),"NA ")</f>
        <v>3718</v>
      </c>
      <c r="M353" s="228">
        <f ca="1">IFERROR(IF(BB_Switch=1,IF(_xll.BDP($D353,$D$351, "EQY_FUND_RELATIVE_PERIOD", M$3)="#N/A N/A","NA  ",(_xll.BDP($D353,$D$351, "EQY_FUND_RELATIVE_PERIOD", M$3))),M353),"NA ")</f>
        <v>-1113</v>
      </c>
      <c r="N353" s="228">
        <f ca="1">IFERROR(IF(BB_Switch=1,IF(_xll.BDP($D353,$D$351, "EQY_FUND_RELATIVE_PERIOD", N$3)="#N/A N/A","NA  ",(_xll.BDP($D353,$D$351, "EQY_FUND_RELATIVE_PERIOD", N$3))),N353),"NA ")</f>
        <v>-738</v>
      </c>
      <c r="O353" s="228">
        <f ca="1">IFERROR(IF(BB_Switch=1,IF(_xll.BDP($D353,$D$351, "EQY_FUND_RELATIVE_PERIOD", O$3)="#N/A N/A","NA  ",(_xll.BDP($D353,$D$351, "EQY_FUND_RELATIVE_PERIOD", O$3))),O353),"NA ")</f>
        <v>591</v>
      </c>
      <c r="P353" s="228">
        <f ca="1">IFERROR(IF(BB_Switch=1,IF(_xll.BDP($D353,$D$351, "EQY_FUND_RELATIVE_PERIOD", P$3)="#N/A N/A","NA  ",(_xll.BDP($D353,$D$351, "EQY_FUND_RELATIVE_PERIOD", P$3))),P353),"NA ")</f>
        <v>-41</v>
      </c>
      <c r="Q353" s="227"/>
      <c r="R353" s="227"/>
      <c r="S353" s="227"/>
      <c r="T353" s="227"/>
      <c r="U353" s="227"/>
      <c r="V353" s="228" t="str">
        <f ca="1">IFERROR(IF(BB_Switch=1,IF(_xll.BDP($D353,$D$351, "EQY_FUND_RELATIVE_PERIOD", V$3)="#N/A N/A","NA  ",(_xll.BDP($D353,$D$351, "EQY_FUND_RELATIVE_PERIOD", V$3))),V353),"NA ")</f>
        <v xml:space="preserve">NA  </v>
      </c>
      <c r="W353" s="228" t="str">
        <f ca="1">IFERROR(IF(BB_Switch=1,IF(_xll.BDP($D353,$D$351, "EQY_FUND_RELATIVE_PERIOD", W$3)="#N/A N/A","NA  ",(_xll.BDP($D353,$D$351, "EQY_FUND_RELATIVE_PERIOD", W$3))),W353),"NA ")</f>
        <v xml:space="preserve">NA  </v>
      </c>
      <c r="X353" s="228" t="str">
        <f ca="1">IFERROR(IF(BB_Switch=1,IF(_xll.BDP($D353,$D$351, "EQY_FUND_RELATIVE_PERIOD", X$3)="#N/A N/A","NA  ",(_xll.BDP($D353,$D$351, "EQY_FUND_RELATIVE_PERIOD", X$3))),X353),"NA ")</f>
        <v xml:space="preserve">NA  </v>
      </c>
      <c r="Y353" s="228" t="str">
        <f ca="1">IFERROR(IF(BB_Switch=1,IF(_xll.BDP($D353,$D$351, "EQY_FUND_RELATIVE_PERIOD", Y$3)="#N/A N/A","NA  ",(_xll.BDP($D353,$D$351, "EQY_FUND_RELATIVE_PERIOD", Y$3))),Y353),"NA ")</f>
        <v xml:space="preserve">NA  </v>
      </c>
      <c r="Z353" s="228" t="str">
        <f ca="1">IFERROR(IF(BB_Switch=1,IF(_xll.BDP($D353,$D$351, "EQY_FUND_RELATIVE_PERIOD", Z$3)="#N/A N/A","NA  ",(_xll.BDP($D353,$D$351, "EQY_FUND_RELATIVE_PERIOD", Z$3))),Z353),"NA ")</f>
        <v xml:space="preserve">NA  </v>
      </c>
      <c r="AA353" s="228" t="str">
        <f ca="1">IFERROR(IF(BB_Switch=1,IF(_xll.BDP($D353,$D$351, "EQY_FUND_RELATIVE_PERIOD", AA$3)="#N/A N/A","NA  ",(_xll.BDP($D353,$D$351, "EQY_FUND_RELATIVE_PERIOD", AA$3))),AA353),"NA ")</f>
        <v xml:space="preserve">NA  </v>
      </c>
      <c r="AB353" s="228" t="str">
        <f ca="1">IFERROR(IF(BB_Switch=1,IF(_xll.BDP($D353,$D$351, "EQY_FUND_RELATIVE_PERIOD", AB$3)="#N/A N/A","NA  ",(_xll.BDP($D353,$D$351, "EQY_FUND_RELATIVE_PERIOD", AB$3))),AB353),"NA ")</f>
        <v xml:space="preserve">NA  </v>
      </c>
      <c r="AC353" s="228">
        <f ca="1">IFERROR(IF(BB_Switch=1,IF(_xll.BDP($D353,$D$351, "EQY_FUND_RELATIVE_PERIOD", AC$3)="#N/A N/A","NA  ",(_xll.BDP($D353,$D$351, "EQY_FUND_RELATIVE_PERIOD", AC$3))),AC353),"NA ")</f>
        <v>-4335</v>
      </c>
      <c r="AD353" s="228">
        <f ca="1">IFERROR(IF(BB_Switch=1,IF(_xll.BDP($D353,$D$351, "EQY_FUND_RELATIVE_PERIOD", AD$3)="#N/A N/A","NA  ",(_xll.BDP($D353,$D$351, "EQY_FUND_RELATIVE_PERIOD", AD$3))),AD353),"NA ")</f>
        <v>894</v>
      </c>
      <c r="AE353" s="228">
        <f ca="1">IFERROR(IF(BB_Switch=1,IF(_xll.BDP($D353,$D$351, "EQY_FUND_RELATIVE_PERIOD", AE$3)="#N/A N/A","NA  ",(_xll.BDP($D353,$D$351, "EQY_FUND_RELATIVE_PERIOD", AE$3))),AE353),"NA ")</f>
        <v>-1063</v>
      </c>
      <c r="AF353" s="228"/>
      <c r="AG353" s="228">
        <f ca="1">IFERROR(IF(BB_Switch=1,IF(_xll.BDP($D353,$V$351)="#N/A N/A","NA  ",(_xll.BDP($D353,$V$351))),AG353),"NA ")</f>
        <v>-1301</v>
      </c>
      <c r="AH353" s="228"/>
      <c r="AI353" s="228"/>
      <c r="AJ353" s="228"/>
    </row>
    <row r="354" spans="3:36" ht="11.25" customHeight="1">
      <c r="C354" s="229" t="str">
        <f ca="1">IFERROR(IF(BB_Switch=1,_xll.BDP($D354,$C$270),C354), "NA ")</f>
        <v>PolyOne Corp</v>
      </c>
      <c r="D354" s="227" t="str">
        <f t="shared" si="125"/>
        <v>POL US EQUITY</v>
      </c>
      <c r="E354" s="228">
        <f ca="1">IFERROR(IF(BB_Switch=1,IF(_xll.BDP($D354,$D$351, "EQY_FUND_RELATIVE_PERIOD", E$3)="#N/A N/A","NA  ",(_xll.BDP($D354,$D$351, "EQY_FUND_RELATIVE_PERIOD", E$3))),E354),"NA ")</f>
        <v>-39.200000000000003</v>
      </c>
      <c r="F354" s="228">
        <f ca="1">IFERROR(IF(BB_Switch=1,IF(_xll.BDP($D354,$D$351, "EQY_FUND_RELATIVE_PERIOD", F$3)="#N/A N/A","NA  ",(_xll.BDP($D354,$D$351, "EQY_FUND_RELATIVE_PERIOD", F$3))),F354),"NA ")</f>
        <v>48.800000000000004</v>
      </c>
      <c r="G354" s="228">
        <f ca="1">IFERROR(IF(BB_Switch=1,IF(_xll.BDP($D354,$D$351, "EQY_FUND_RELATIVE_PERIOD", G$3)="#N/A N/A","NA  ",(_xll.BDP($D354,$D$351, "EQY_FUND_RELATIVE_PERIOD", G$3))),G354),"NA ")</f>
        <v>49.6</v>
      </c>
      <c r="H354" s="228">
        <f ca="1">IFERROR(IF(BB_Switch=1,IF(_xll.BDP($D354,$D$351, "EQY_FUND_RELATIVE_PERIOD", H$3)="#N/A N/A","NA  ",(_xll.BDP($D354,$D$351, "EQY_FUND_RELATIVE_PERIOD", H$3))),H354),"NA ")</f>
        <v>53.800000000000004</v>
      </c>
      <c r="I354" s="228">
        <f ca="1">IFERROR(IF(BB_Switch=1,IF(_xll.BDP($D354,$D$351, "EQY_FUND_RELATIVE_PERIOD", I$3)="#N/A N/A","NA  ",(_xll.BDP($D354,$D$351, "EQY_FUND_RELATIVE_PERIOD", I$3))),I354),"NA ")</f>
        <v>13.799999999999999</v>
      </c>
      <c r="J354" s="228">
        <f ca="1">IFERROR(IF(BB_Switch=1,IF(_xll.BDP($D354,$D$351, "EQY_FUND_RELATIVE_PERIOD", J$3)="#N/A N/A","NA  ",(_xll.BDP($D354,$D$351, "EQY_FUND_RELATIVE_PERIOD", J$3))),J354),"NA ")</f>
        <v>63.6</v>
      </c>
      <c r="K354" s="228">
        <f ca="1">IFERROR(IF(BB_Switch=1,IF(_xll.BDP($D354,$D$351, "EQY_FUND_RELATIVE_PERIOD", K$3)="#N/A N/A","NA  ",(_xll.BDP($D354,$D$351, "EQY_FUND_RELATIVE_PERIOD", K$3))),K354),"NA ")</f>
        <v>42.3</v>
      </c>
      <c r="L354" s="228">
        <f ca="1">IFERROR(IF(BB_Switch=1,IF(_xll.BDP($D354,$D$351, "EQY_FUND_RELATIVE_PERIOD", L$3)="#N/A N/A","NA  ",(_xll.BDP($D354,$D$351, "EQY_FUND_RELATIVE_PERIOD", L$3))),L354),"NA ")</f>
        <v>58</v>
      </c>
      <c r="M354" s="228">
        <f ca="1">IFERROR(IF(BB_Switch=1,IF(_xll.BDP($D354,$D$351, "EQY_FUND_RELATIVE_PERIOD", M$3)="#N/A N/A","NA  ",(_xll.BDP($D354,$D$351, "EQY_FUND_RELATIVE_PERIOD", M$3))),M354),"NA ")</f>
        <v>-34.6</v>
      </c>
      <c r="N354" s="228">
        <f ca="1">IFERROR(IF(BB_Switch=1,IF(_xll.BDP($D354,$D$351, "EQY_FUND_RELATIVE_PERIOD", N$3)="#N/A N/A","NA  ",(_xll.BDP($D354,$D$351, "EQY_FUND_RELATIVE_PERIOD", N$3))),N354),"NA ")</f>
        <v>107.5</v>
      </c>
      <c r="O354" s="228">
        <f ca="1">IFERROR(IF(BB_Switch=1,IF(_xll.BDP($D354,$D$351, "EQY_FUND_RELATIVE_PERIOD", O$3)="#N/A N/A","NA  ",(_xll.BDP($D354,$D$351, "EQY_FUND_RELATIVE_PERIOD", O$3))),O354),"NA ")</f>
        <v>77.800000000000011</v>
      </c>
      <c r="P354" s="228">
        <f ca="1">IFERROR(IF(BB_Switch=1,IF(_xll.BDP($D354,$D$351, "EQY_FUND_RELATIVE_PERIOD", P$3)="#N/A N/A","NA  ",(_xll.BDP($D354,$D$351, "EQY_FUND_RELATIVE_PERIOD", P$3))),P354),"NA ")</f>
        <v>68.400000000000006</v>
      </c>
      <c r="Q354" s="227"/>
      <c r="R354" s="227"/>
      <c r="S354" s="227"/>
      <c r="T354" s="227"/>
      <c r="U354" s="227"/>
      <c r="V354" s="228">
        <f ca="1">IFERROR(IF(BB_Switch=1,IF(_xll.BDP($D354,$D$351, "EQY_FUND_RELATIVE_PERIOD", V$3)="#N/A N/A","NA  ",(_xll.BDP($D354,$D$351, "EQY_FUND_RELATIVE_PERIOD", V$3))),V354),"NA ")</f>
        <v>101.30000000000001</v>
      </c>
      <c r="W354" s="228">
        <f ca="1">IFERROR(IF(BB_Switch=1,IF(_xll.BDP($D354,$D$351, "EQY_FUND_RELATIVE_PERIOD", W$3)="#N/A N/A","NA  ",(_xll.BDP($D354,$D$351, "EQY_FUND_RELATIVE_PERIOD", W$3))),W354),"NA ")</f>
        <v>18.399999999999999</v>
      </c>
      <c r="X354" s="228">
        <f ca="1">IFERROR(IF(BB_Switch=1,IF(_xll.BDP($D354,$D$351, "EQY_FUND_RELATIVE_PERIOD", X$3)="#N/A N/A","NA  ",(_xll.BDP($D354,$D$351, "EQY_FUND_RELATIVE_PERIOD", X$3))),X354),"NA ")</f>
        <v>49.500000000000007</v>
      </c>
      <c r="Y354" s="228">
        <f ca="1">IFERROR(IF(BB_Switch=1,IF(_xll.BDP($D354,$D$351, "EQY_FUND_RELATIVE_PERIOD", Y$3)="#N/A N/A","NA  ",(_xll.BDP($D354,$D$351, "EQY_FUND_RELATIVE_PERIOD", Y$3))),Y354),"NA ")</f>
        <v>32.599999999999994</v>
      </c>
      <c r="Z354" s="228">
        <f ca="1">IFERROR(IF(BB_Switch=1,IF(_xll.BDP($D354,$D$351, "EQY_FUND_RELATIVE_PERIOD", Z$3)="#N/A N/A","NA  ",(_xll.BDP($D354,$D$351, "EQY_FUND_RELATIVE_PERIOD", Z$3))),Z354),"NA ")</f>
        <v>115.60000000000001</v>
      </c>
      <c r="AA354" s="228">
        <f ca="1">IFERROR(IF(BB_Switch=1,IF(_xll.BDP($D354,$D$351, "EQY_FUND_RELATIVE_PERIOD", AA$3)="#N/A N/A","NA  ",(_xll.BDP($D354,$D$351, "EQY_FUND_RELATIVE_PERIOD", AA$3))),AA354),"NA ")</f>
        <v>136</v>
      </c>
      <c r="AB354" s="228">
        <f ca="1">IFERROR(IF(BB_Switch=1,IF(_xll.BDP($D354,$D$351, "EQY_FUND_RELATIVE_PERIOD", AB$3)="#N/A N/A","NA  ",(_xll.BDP($D354,$D$351, "EQY_FUND_RELATIVE_PERIOD", AB$3))),AB354),"NA ")</f>
        <v>143.39999999999998</v>
      </c>
      <c r="AC354" s="228">
        <f ca="1">IFERROR(IF(BB_Switch=1,IF(_xll.BDP($D354,$D$351, "EQY_FUND_RELATIVE_PERIOD", AC$3)="#N/A N/A","NA  ",(_xll.BDP($D354,$D$351, "EQY_FUND_RELATIVE_PERIOD", AC$3))),AC354),"NA ")</f>
        <v>122.80000000000001</v>
      </c>
      <c r="AD354" s="228">
        <f ca="1">IFERROR(IF(BB_Switch=1,IF(_xll.BDP($D354,$D$351, "EQY_FUND_RELATIVE_PERIOD", AD$3)="#N/A N/A","NA  ",(_xll.BDP($D354,$D$351, "EQY_FUND_RELATIVE_PERIOD", AD$3))),AD354),"NA ")</f>
        <v>177.7</v>
      </c>
      <c r="AE354" s="228">
        <f ca="1">IFERROR(IF(BB_Switch=1,IF(_xll.BDP($D354,$D$351, "EQY_FUND_RELATIVE_PERIOD", AE$3)="#N/A N/A","NA  ",(_xll.BDP($D354,$D$351, "EQY_FUND_RELATIVE_PERIOD", AE$3))),AE354),"NA ")</f>
        <v>219.10000000000002</v>
      </c>
      <c r="AF354" s="228"/>
      <c r="AG354" s="228">
        <f ca="1">IFERROR(IF(BB_Switch=1,IF(_xll.BDP($D354,$V$351)="#N/A N/A","NA  ",(_xll.BDP($D354,$V$351))),AG354),"NA ")</f>
        <v>219.10000000000002</v>
      </c>
      <c r="AH354" s="228"/>
      <c r="AI354" s="228"/>
      <c r="AJ354" s="228"/>
    </row>
    <row r="355" spans="3:36" ht="11.25" customHeight="1">
      <c r="C355" s="229" t="str">
        <f ca="1">IFERROR(IF(BB_Switch=1,_xll.BDP($D355,$C$270),C355), "NA ")</f>
        <v>Olin Corp</v>
      </c>
      <c r="D355" s="227" t="str">
        <f t="shared" si="125"/>
        <v>OLN US EQUITY</v>
      </c>
      <c r="E355" s="228">
        <f ca="1">IFERROR(IF(BB_Switch=1,IF(_xll.BDP($D355,$D$351, "EQY_FUND_RELATIVE_PERIOD", E$3)="#N/A N/A","NA  ",(_xll.BDP($D355,$D$351, "EQY_FUND_RELATIVE_PERIOD", E$3))),E355),"NA ")</f>
        <v>16.900000000000006</v>
      </c>
      <c r="F355" s="228">
        <f ca="1">IFERROR(IF(BB_Switch=1,IF(_xll.BDP($D355,$D$351, "EQY_FUND_RELATIVE_PERIOD", F$3)="#N/A N/A","NA  ",(_xll.BDP($D355,$D$351, "EQY_FUND_RELATIVE_PERIOD", F$3))),F355),"NA ")</f>
        <v>59.599999999999994</v>
      </c>
      <c r="G355" s="228">
        <f ca="1">IFERROR(IF(BB_Switch=1,IF(_xll.BDP($D355,$D$351, "EQY_FUND_RELATIVE_PERIOD", G$3)="#N/A N/A","NA  ",(_xll.BDP($D355,$D$351, "EQY_FUND_RELATIVE_PERIOD", G$3))),G355),"NA ")</f>
        <v>168.6</v>
      </c>
      <c r="H355" s="228">
        <f ca="1">IFERROR(IF(BB_Switch=1,IF(_xll.BDP($D355,$D$351, "EQY_FUND_RELATIVE_PERIOD", H$3)="#N/A N/A","NA  ",(_xll.BDP($D355,$D$351, "EQY_FUND_RELATIVE_PERIOD", H$3))),H355),"NA ")</f>
        <v>109.39999999999999</v>
      </c>
      <c r="I355" s="228">
        <f ca="1">IFERROR(IF(BB_Switch=1,IF(_xll.BDP($D355,$D$351, "EQY_FUND_RELATIVE_PERIOD", I$3)="#N/A N/A","NA  ",(_xll.BDP($D355,$D$351, "EQY_FUND_RELATIVE_PERIOD", I$3))),I355),"NA ")</f>
        <v>-8.5999999999999943</v>
      </c>
      <c r="J355" s="228">
        <f ca="1">IFERROR(IF(BB_Switch=1,IF(_xll.BDP($D355,$D$351, "EQY_FUND_RELATIVE_PERIOD", J$3)="#N/A N/A","NA  ",(_xll.BDP($D355,$D$351, "EQY_FUND_RELATIVE_PERIOD", J$3))),J355),"NA ")</f>
        <v>96.9</v>
      </c>
      <c r="K355" s="228">
        <f ca="1">IFERROR(IF(BB_Switch=1,IF(_xll.BDP($D355,$D$351, "EQY_FUND_RELATIVE_PERIOD", K$3)="#N/A N/A","NA  ",(_xll.BDP($D355,$D$351, "EQY_FUND_RELATIVE_PERIOD", K$3))),K355),"NA ")</f>
        <v>223.5</v>
      </c>
      <c r="L355" s="228">
        <f ca="1">IFERROR(IF(BB_Switch=1,IF(_xll.BDP($D355,$D$351, "EQY_FUND_RELATIVE_PERIOD", L$3)="#N/A N/A","NA  ",(_xll.BDP($D355,$D$351, "EQY_FUND_RELATIVE_PERIOD", L$3))),L355),"NA ")</f>
        <v>210.8</v>
      </c>
      <c r="M355" s="228">
        <f ca="1">IFERROR(IF(BB_Switch=1,IF(_xll.BDP($D355,$D$351, "EQY_FUND_RELATIVE_PERIOD", M$3)="#N/A N/A","NA  ",(_xll.BDP($D355,$D$351, "EQY_FUND_RELATIVE_PERIOD", M$3))),M355),"NA ")</f>
        <v>2.0999999999999943</v>
      </c>
      <c r="N355" s="228">
        <f ca="1">IFERROR(IF(BB_Switch=1,IF(_xll.BDP($D355,$D$351, "EQY_FUND_RELATIVE_PERIOD", N$3)="#N/A N/A","NA  ",(_xll.BDP($D355,$D$351, "EQY_FUND_RELATIVE_PERIOD", N$3))),N355),"NA ")</f>
        <v>42.700000000000017</v>
      </c>
      <c r="O355" s="228">
        <f ca="1">IFERROR(IF(BB_Switch=1,IF(_xll.BDP($D355,$D$351, "EQY_FUND_RELATIVE_PERIOD", O$3)="#N/A N/A","NA  ",(_xll.BDP($D355,$D$351, "EQY_FUND_RELATIVE_PERIOD", O$3))),O355),"NA ")</f>
        <v>100</v>
      </c>
      <c r="P355" s="228">
        <f ca="1">IFERROR(IF(BB_Switch=1,IF(_xll.BDP($D355,$D$351, "EQY_FUND_RELATIVE_PERIOD", P$3)="#N/A N/A","NA  ",(_xll.BDP($D355,$D$351, "EQY_FUND_RELATIVE_PERIOD", P$3))),P355),"NA ")</f>
        <v>86.899999999999991</v>
      </c>
      <c r="Q355" s="227"/>
      <c r="R355" s="227"/>
      <c r="S355" s="227"/>
      <c r="T355" s="227"/>
      <c r="U355" s="227"/>
      <c r="V355" s="228">
        <f ca="1">IFERROR(IF(BB_Switch=1,IF(_xll.BDP($D355,$D$351, "EQY_FUND_RELATIVE_PERIOD", V$3)="#N/A N/A","NA  ",(_xll.BDP($D355,$D$351, "EQY_FUND_RELATIVE_PERIOD", V$3))),V355),"NA ")</f>
        <v>30.200000000000003</v>
      </c>
      <c r="W355" s="228">
        <f ca="1">IFERROR(IF(BB_Switch=1,IF(_xll.BDP($D355,$D$351, "EQY_FUND_RELATIVE_PERIOD", W$3)="#N/A N/A","NA  ",(_xll.BDP($D355,$D$351, "EQY_FUND_RELATIVE_PERIOD", W$3))),W355),"NA ")</f>
        <v>15</v>
      </c>
      <c r="X355" s="228">
        <f ca="1">IFERROR(IF(BB_Switch=1,IF(_xll.BDP($D355,$D$351, "EQY_FUND_RELATIVE_PERIOD", X$3)="#N/A N/A","NA  ",(_xll.BDP($D355,$D$351, "EQY_FUND_RELATIVE_PERIOD", X$3))),X355),"NA ")</f>
        <v>23.5</v>
      </c>
      <c r="Y355" s="228">
        <f ca="1">IFERROR(IF(BB_Switch=1,IF(_xll.BDP($D355,$D$351, "EQY_FUND_RELATIVE_PERIOD", Y$3)="#N/A N/A","NA  ",(_xll.BDP($D355,$D$351, "EQY_FUND_RELATIVE_PERIOD", Y$3))),Y355),"NA ")</f>
        <v>226.2</v>
      </c>
      <c r="Z355" s="228">
        <f ca="1">IFERROR(IF(BB_Switch=1,IF(_xll.BDP($D355,$D$351, "EQY_FUND_RELATIVE_PERIOD", Z$3)="#N/A N/A","NA  ",(_xll.BDP($D355,$D$351, "EQY_FUND_RELATIVE_PERIOD", Z$3))),Z355),"NA ")</f>
        <v>87.399999999999991</v>
      </c>
      <c r="AA355" s="228">
        <f ca="1">IFERROR(IF(BB_Switch=1,IF(_xll.BDP($D355,$D$351, "EQY_FUND_RELATIVE_PERIOD", AA$3)="#N/A N/A","NA  ",(_xll.BDP($D355,$D$351, "EQY_FUND_RELATIVE_PERIOD", AA$3))),AA355),"NA ")</f>
        <v>86.199999999999989</v>
      </c>
      <c r="AB355" s="228">
        <f ca="1">IFERROR(IF(BB_Switch=1,IF(_xll.BDP($D355,$D$351, "EQY_FUND_RELATIVE_PERIOD", AB$3)="#N/A N/A","NA  ",(_xll.BDP($D355,$D$351, "EQY_FUND_RELATIVE_PERIOD", AB$3))),AB355),"NA ")</f>
        <v>325.20000000000005</v>
      </c>
      <c r="AC355" s="228">
        <f ca="1">IFERROR(IF(BB_Switch=1,IF(_xll.BDP($D355,$D$351, "EQY_FUND_RELATIVE_PERIOD", AC$3)="#N/A N/A","NA  ",(_xll.BDP($D355,$D$351, "EQY_FUND_RELATIVE_PERIOD", AC$3))),AC355),"NA ")</f>
        <v>354.49999999999994</v>
      </c>
      <c r="AD355" s="228">
        <f ca="1">IFERROR(IF(BB_Switch=1,IF(_xll.BDP($D355,$D$351, "EQY_FUND_RELATIVE_PERIOD", AD$3)="#N/A N/A","NA  ",(_xll.BDP($D355,$D$351, "EQY_FUND_RELATIVE_PERIOD", AD$3))),AD355),"NA ")</f>
        <v>522.59999999999991</v>
      </c>
      <c r="AE355" s="228">
        <f ca="1">IFERROR(IF(BB_Switch=1,IF(_xll.BDP($D355,$D$351, "EQY_FUND_RELATIVE_PERIOD", AE$3)="#N/A N/A","NA  ",(_xll.BDP($D355,$D$351, "EQY_FUND_RELATIVE_PERIOD", AE$3))),AE355),"NA ")</f>
        <v>231.69999999999993</v>
      </c>
      <c r="AF355" s="228"/>
      <c r="AG355" s="228">
        <f ca="1">IFERROR(IF(BB_Switch=1,IF(_xll.BDP($D355,$V$351)="#N/A N/A","NA  ",(_xll.BDP($D355,$V$351))),AG355),"NA ")</f>
        <v>231.7</v>
      </c>
      <c r="AH355" s="228"/>
      <c r="AI355" s="228"/>
      <c r="AJ355" s="228"/>
    </row>
    <row r="356" spans="3:36" ht="11.25" customHeight="1">
      <c r="C356" s="229" t="str">
        <f ca="1">IFERROR(IF(BB_Switch=1,_xll.BDP($D356,$C$270),C356), "NA ")</f>
        <v>LyondellBasell Industries NV</v>
      </c>
      <c r="D356" s="227" t="str">
        <f t="shared" si="125"/>
        <v>LYB US EQUITY</v>
      </c>
      <c r="E356" s="228">
        <f ca="1">IFERROR(IF(BB_Switch=1,IF(_xll.BDP($D356,$D$351, "EQY_FUND_RELATIVE_PERIOD", E$3)="#N/A N/A","NA  ",(_xll.BDP($D356,$D$351, "EQY_FUND_RELATIVE_PERIOD", E$3))),E356),"NA ")</f>
        <v>257</v>
      </c>
      <c r="F356" s="228">
        <f ca="1">IFERROR(IF(BB_Switch=1,IF(_xll.BDP($D356,$D$351, "EQY_FUND_RELATIVE_PERIOD", F$3)="#N/A N/A","NA  ",(_xll.BDP($D356,$D$351, "EQY_FUND_RELATIVE_PERIOD", F$3))),F356),"NA ")</f>
        <v>1218</v>
      </c>
      <c r="G356" s="228">
        <f ca="1">IFERROR(IF(BB_Switch=1,IF(_xll.BDP($D356,$D$351, "EQY_FUND_RELATIVE_PERIOD", G$3)="#N/A N/A","NA  ",(_xll.BDP($D356,$D$351, "EQY_FUND_RELATIVE_PERIOD", G$3))),G356),"NA ")</f>
        <v>1139</v>
      </c>
      <c r="H356" s="228">
        <f ca="1">IFERROR(IF(BB_Switch=1,IF(_xll.BDP($D356,$D$351, "EQY_FUND_RELATIVE_PERIOD", H$3)="#N/A N/A","NA  ",(_xll.BDP($D356,$D$351, "EQY_FUND_RELATIVE_PERIOD", H$3))),H356),"NA ")</f>
        <v>1081</v>
      </c>
      <c r="I356" s="228">
        <f ca="1">IFERROR(IF(BB_Switch=1,IF(_xll.BDP($D356,$D$351, "EQY_FUND_RELATIVE_PERIOD", I$3)="#N/A N/A","NA  ",(_xll.BDP($D356,$D$351, "EQY_FUND_RELATIVE_PERIOD", I$3))),I356),"NA ")</f>
        <v>577</v>
      </c>
      <c r="J356" s="228">
        <f ca="1">IFERROR(IF(BB_Switch=1,IF(_xll.BDP($D356,$D$351, "EQY_FUND_RELATIVE_PERIOD", J$3)="#N/A N/A","NA  ",(_xll.BDP($D356,$D$351, "EQY_FUND_RELATIVE_PERIOD", J$3))),J356),"NA ")</f>
        <v>1231</v>
      </c>
      <c r="K356" s="228">
        <f ca="1">IFERROR(IF(BB_Switch=1,IF(_xll.BDP($D356,$D$351, "EQY_FUND_RELATIVE_PERIOD", K$3)="#N/A N/A","NA  ",(_xll.BDP($D356,$D$351, "EQY_FUND_RELATIVE_PERIOD", K$3))),K356),"NA ")</f>
        <v>959</v>
      </c>
      <c r="L356" s="228">
        <f ca="1">IFERROR(IF(BB_Switch=1,IF(_xll.BDP($D356,$D$351, "EQY_FUND_RELATIVE_PERIOD", L$3)="#N/A N/A","NA  ",(_xll.BDP($D356,$D$351, "EQY_FUND_RELATIVE_PERIOD", L$3))),L356),"NA ")</f>
        <v>599</v>
      </c>
      <c r="M356" s="228">
        <f ca="1">IFERROR(IF(BB_Switch=1,IF(_xll.BDP($D356,$D$351, "EQY_FUND_RELATIVE_PERIOD", M$3)="#N/A N/A","NA  ",(_xll.BDP($D356,$D$351, "EQY_FUND_RELATIVE_PERIOD", M$3))),M356),"NA ")</f>
        <v>58</v>
      </c>
      <c r="N356" s="228">
        <f ca="1">IFERROR(IF(BB_Switch=1,IF(_xll.BDP($D356,$D$351, "EQY_FUND_RELATIVE_PERIOD", N$3)="#N/A N/A","NA  ",(_xll.BDP($D356,$D$351, "EQY_FUND_RELATIVE_PERIOD", N$3))),N356),"NA ")</f>
        <v>564</v>
      </c>
      <c r="O356" s="228">
        <f ca="1">IFERROR(IF(BB_Switch=1,IF(_xll.BDP($D356,$D$351, "EQY_FUND_RELATIVE_PERIOD", O$3)="#N/A N/A","NA  ",(_xll.BDP($D356,$D$351, "EQY_FUND_RELATIVE_PERIOD", O$3))),O356),"NA ")</f>
        <v>1134</v>
      </c>
      <c r="P356" s="228">
        <f ca="1">IFERROR(IF(BB_Switch=1,IF(_xll.BDP($D356,$D$351, "EQY_FUND_RELATIVE_PERIOD", P$3)="#N/A N/A","NA  ",(_xll.BDP($D356,$D$351, "EQY_FUND_RELATIVE_PERIOD", P$3))),P356),"NA ")</f>
        <v>511</v>
      </c>
      <c r="Q356" s="227"/>
      <c r="R356" s="227"/>
      <c r="S356" s="227"/>
      <c r="T356" s="227"/>
      <c r="U356" s="227"/>
      <c r="V356" s="228">
        <f ca="1">IFERROR(IF(BB_Switch=1,IF(_xll.BDP($D356,$D$351, "EQY_FUND_RELATIVE_PERIOD", V$3)="#N/A N/A","NA  ",(_xll.BDP($D356,$D$351, "EQY_FUND_RELATIVE_PERIOD", V$3))),V356),"NA ")</f>
        <v>1329</v>
      </c>
      <c r="W356" s="228">
        <f ca="1">IFERROR(IF(BB_Switch=1,IF(_xll.BDP($D356,$D$351, "EQY_FUND_RELATIVE_PERIOD", W$3)="#N/A N/A","NA  ",(_xll.BDP($D356,$D$351, "EQY_FUND_RELATIVE_PERIOD", W$3))),W356),"NA ")</f>
        <v>1810</v>
      </c>
      <c r="X356" s="228">
        <f ca="1">IFERROR(IF(BB_Switch=1,IF(_xll.BDP($D356,$D$351, "EQY_FUND_RELATIVE_PERIOD", X$3)="#N/A N/A","NA  ",(_xll.BDP($D356,$D$351, "EQY_FUND_RELATIVE_PERIOD", X$3))),X356),"NA ")</f>
        <v>3727</v>
      </c>
      <c r="Y356" s="228">
        <f ca="1">IFERROR(IF(BB_Switch=1,IF(_xll.BDP($D356,$D$351, "EQY_FUND_RELATIVE_PERIOD", Y$3)="#N/A N/A","NA  ",(_xll.BDP($D356,$D$351, "EQY_FUND_RELATIVE_PERIOD", Y$3))),Y356),"NA ")</f>
        <v>3274</v>
      </c>
      <c r="Z356" s="228">
        <f ca="1">IFERROR(IF(BB_Switch=1,IF(_xll.BDP($D356,$D$351, "EQY_FUND_RELATIVE_PERIOD", Z$3)="#N/A N/A","NA  ",(_xll.BDP($D356,$D$351, "EQY_FUND_RELATIVE_PERIOD", Z$3))),Z356),"NA ")</f>
        <v>4549</v>
      </c>
      <c r="AA356" s="228">
        <f ca="1">IFERROR(IF(BB_Switch=1,IF(_xll.BDP($D356,$D$351, "EQY_FUND_RELATIVE_PERIOD", AA$3)="#N/A N/A","NA  ",(_xll.BDP($D356,$D$351, "EQY_FUND_RELATIVE_PERIOD", AA$3))),AA356),"NA ")</f>
        <v>4402</v>
      </c>
      <c r="AB356" s="228">
        <f ca="1">IFERROR(IF(BB_Switch=1,IF(_xll.BDP($D356,$D$351, "EQY_FUND_RELATIVE_PERIOD", AB$3)="#N/A N/A","NA  ",(_xll.BDP($D356,$D$351, "EQY_FUND_RELATIVE_PERIOD", AB$3))),AB356),"NA ")</f>
        <v>3363</v>
      </c>
      <c r="AC356" s="228">
        <f ca="1">IFERROR(IF(BB_Switch=1,IF(_xll.BDP($D356,$D$351, "EQY_FUND_RELATIVE_PERIOD", AC$3)="#N/A N/A","NA  ",(_xll.BDP($D356,$D$351, "EQY_FUND_RELATIVE_PERIOD", AC$3))),AC356),"NA ")</f>
        <v>3659</v>
      </c>
      <c r="AD356" s="228">
        <f ca="1">IFERROR(IF(BB_Switch=1,IF(_xll.BDP($D356,$D$351, "EQY_FUND_RELATIVE_PERIOD", AD$3)="#N/A N/A","NA  ",(_xll.BDP($D356,$D$351, "EQY_FUND_RELATIVE_PERIOD", AD$3))),AD356),"NA ")</f>
        <v>3366</v>
      </c>
      <c r="AE356" s="228">
        <f ca="1">IFERROR(IF(BB_Switch=1,IF(_xll.BDP($D356,$D$351, "EQY_FUND_RELATIVE_PERIOD", AE$3)="#N/A N/A","NA  ",(_xll.BDP($D356,$D$351, "EQY_FUND_RELATIVE_PERIOD", AE$3))),AE356),"NA ")</f>
        <v>2267</v>
      </c>
      <c r="AF356" s="228"/>
      <c r="AG356" s="228">
        <f ca="1">IFERROR(IF(BB_Switch=1,IF(_xll.BDP($D356,$V$351)="#N/A N/A","NA  ",(_xll.BDP($D356,$V$351))),AG356),"NA ")</f>
        <v>2267</v>
      </c>
      <c r="AH356" s="228"/>
      <c r="AI356" s="228"/>
      <c r="AJ356" s="228"/>
    </row>
    <row r="357" spans="3:36" ht="11.25" customHeight="1">
      <c r="C357" s="229" t="str">
        <f ca="1">IFERROR(IF(BB_Switch=1,_xll.BDP($D357,$C$270),C357), "NA ")</f>
        <v>Westlake Chemical Corp</v>
      </c>
      <c r="D357" s="227" t="str">
        <f t="shared" si="125"/>
        <v>WLK US EQUITY</v>
      </c>
      <c r="E357" s="228">
        <f ca="1">IFERROR(IF(BB_Switch=1,IF(_xll.BDP($D357,$D$351, "EQY_FUND_RELATIVE_PERIOD", E$3)="#N/A N/A","NA  ",(_xll.BDP($D357,$D$351, "EQY_FUND_RELATIVE_PERIOD", E$3))),E357),"NA ")</f>
        <v>23</v>
      </c>
      <c r="F357" s="228">
        <f ca="1">IFERROR(IF(BB_Switch=1,IF(_xll.BDP($D357,$D$351, "EQY_FUND_RELATIVE_PERIOD", F$3)="#N/A N/A","NA  ",(_xll.BDP($D357,$D$351, "EQY_FUND_RELATIVE_PERIOD", F$3))),F357),"NA ")</f>
        <v>176</v>
      </c>
      <c r="G357" s="228">
        <f ca="1">IFERROR(IF(BB_Switch=1,IF(_xll.BDP($D357,$D$351, "EQY_FUND_RELATIVE_PERIOD", G$3)="#N/A N/A","NA  ",(_xll.BDP($D357,$D$351, "EQY_FUND_RELATIVE_PERIOD", G$3))),G357),"NA ")</f>
        <v>349</v>
      </c>
      <c r="H357" s="228">
        <f ca="1">IFERROR(IF(BB_Switch=1,IF(_xll.BDP($D357,$D$351, "EQY_FUND_RELATIVE_PERIOD", H$3)="#N/A N/A","NA  ",(_xll.BDP($D357,$D$351, "EQY_FUND_RELATIVE_PERIOD", H$3))),H357),"NA ")</f>
        <v>403</v>
      </c>
      <c r="I357" s="228">
        <f ca="1">IFERROR(IF(BB_Switch=1,IF(_xll.BDP($D357,$D$351, "EQY_FUND_RELATIVE_PERIOD", I$3)="#N/A N/A","NA  ",(_xll.BDP($D357,$D$351, "EQY_FUND_RELATIVE_PERIOD", I$3))),I357),"NA ")</f>
        <v>71</v>
      </c>
      <c r="J357" s="228">
        <f ca="1">IFERROR(IF(BB_Switch=1,IF(_xll.BDP($D357,$D$351, "EQY_FUND_RELATIVE_PERIOD", J$3)="#N/A N/A","NA  ",(_xll.BDP($D357,$D$351, "EQY_FUND_RELATIVE_PERIOD", J$3))),J357),"NA ")</f>
        <v>166</v>
      </c>
      <c r="K357" s="228">
        <f ca="1">IFERROR(IF(BB_Switch=1,IF(_xll.BDP($D357,$D$351, "EQY_FUND_RELATIVE_PERIOD", K$3)="#N/A N/A","NA  ",(_xll.BDP($D357,$D$351, "EQY_FUND_RELATIVE_PERIOD", K$3))),K357),"NA ")</f>
        <v>411</v>
      </c>
      <c r="L357" s="228">
        <f ca="1">IFERROR(IF(BB_Switch=1,IF(_xll.BDP($D357,$D$351, "EQY_FUND_RELATIVE_PERIOD", L$3)="#N/A N/A","NA  ",(_xll.BDP($D357,$D$351, "EQY_FUND_RELATIVE_PERIOD", L$3))),L357),"NA ")</f>
        <v>59</v>
      </c>
      <c r="M357" s="228">
        <f ca="1">IFERROR(IF(BB_Switch=1,IF(_xll.BDP($D357,$D$351, "EQY_FUND_RELATIVE_PERIOD", M$3)="#N/A N/A","NA  ",(_xll.BDP($D357,$D$351, "EQY_FUND_RELATIVE_PERIOD", M$3))),M357),"NA ")</f>
        <v>-56</v>
      </c>
      <c r="N357" s="228">
        <f ca="1">IFERROR(IF(BB_Switch=1,IF(_xll.BDP($D357,$D$351, "EQY_FUND_RELATIVE_PERIOD", N$3)="#N/A N/A","NA  ",(_xll.BDP($D357,$D$351, "EQY_FUND_RELATIVE_PERIOD", N$3))),N357),"NA ")</f>
        <v>112</v>
      </c>
      <c r="O357" s="228">
        <f ca="1">IFERROR(IF(BB_Switch=1,IF(_xll.BDP($D357,$D$351, "EQY_FUND_RELATIVE_PERIOD", O$3)="#N/A N/A","NA  ",(_xll.BDP($D357,$D$351, "EQY_FUND_RELATIVE_PERIOD", O$3))),O357),"NA ")</f>
        <v>308</v>
      </c>
      <c r="P357" s="228">
        <f ca="1">IFERROR(IF(BB_Switch=1,IF(_xll.BDP($D357,$D$351, "EQY_FUND_RELATIVE_PERIOD", P$3)="#N/A N/A","NA  ",(_xll.BDP($D357,$D$351, "EQY_FUND_RELATIVE_PERIOD", P$3))),P357),"NA ")</f>
        <v>150</v>
      </c>
      <c r="Q357" s="227"/>
      <c r="R357" s="227"/>
      <c r="S357" s="227"/>
      <c r="T357" s="227"/>
      <c r="U357" s="227"/>
      <c r="V357" s="228">
        <f ca="1">IFERROR(IF(BB_Switch=1,IF(_xll.BDP($D357,$D$351, "EQY_FUND_RELATIVE_PERIOD", V$3)="#N/A N/A","NA  ",(_xll.BDP($D357,$D$351, "EQY_FUND_RELATIVE_PERIOD", V$3))),V357),"NA ")</f>
        <v>191.83799999999999</v>
      </c>
      <c r="W357" s="228">
        <f ca="1">IFERROR(IF(BB_Switch=1,IF(_xll.BDP($D357,$D$351, "EQY_FUND_RELATIVE_PERIOD", W$3)="#N/A N/A","NA  ",(_xll.BDP($D357,$D$351, "EQY_FUND_RELATIVE_PERIOD", W$3))),W357),"NA ")</f>
        <v>185.453</v>
      </c>
      <c r="X357" s="228">
        <f ca="1">IFERROR(IF(BB_Switch=1,IF(_xll.BDP($D357,$D$351, "EQY_FUND_RELATIVE_PERIOD", X$3)="#N/A N/A","NA  ",(_xll.BDP($D357,$D$351, "EQY_FUND_RELATIVE_PERIOD", X$3))),X357),"NA ")</f>
        <v>225.20499999999998</v>
      </c>
      <c r="Y357" s="228">
        <f ca="1">IFERROR(IF(BB_Switch=1,IF(_xll.BDP($D357,$D$351, "EQY_FUND_RELATIVE_PERIOD", Y$3)="#N/A N/A","NA  ",(_xll.BDP($D357,$D$351, "EQY_FUND_RELATIVE_PERIOD", Y$3))),Y357),"NA ")</f>
        <v>73.507000000000062</v>
      </c>
      <c r="Z357" s="228">
        <f ca="1">IFERROR(IF(BB_Switch=1,IF(_xll.BDP($D357,$D$351, "EQY_FUND_RELATIVE_PERIOD", Z$3)="#N/A N/A","NA  ",(_xll.BDP($D357,$D$351, "EQY_FUND_RELATIVE_PERIOD", Z$3))),Z357),"NA ")</f>
        <v>601.27199999999993</v>
      </c>
      <c r="AA357" s="228">
        <f ca="1">IFERROR(IF(BB_Switch=1,IF(_xll.BDP($D357,$D$351, "EQY_FUND_RELATIVE_PERIOD", AA$3)="#N/A N/A","NA  ",(_xll.BDP($D357,$D$351, "EQY_FUND_RELATIVE_PERIOD", AA$3))),AA357),"NA ")</f>
        <v>587.41000000000008</v>
      </c>
      <c r="AB357" s="228">
        <f ca="1">IFERROR(IF(BB_Switch=1,IF(_xll.BDP($D357,$D$351, "EQY_FUND_RELATIVE_PERIOD", AB$3)="#N/A N/A","NA  ",(_xll.BDP($D357,$D$351, "EQY_FUND_RELATIVE_PERIOD", AB$3))),AB357),"NA ")</f>
        <v>238</v>
      </c>
      <c r="AC357" s="228">
        <f ca="1">IFERROR(IF(BB_Switch=1,IF(_xll.BDP($D357,$D$351, "EQY_FUND_RELATIVE_PERIOD", AC$3)="#N/A N/A","NA  ",(_xll.BDP($D357,$D$351, "EQY_FUND_RELATIVE_PERIOD", AC$3))),AC357),"NA ")</f>
        <v>951</v>
      </c>
      <c r="AD357" s="228">
        <f ca="1">IFERROR(IF(BB_Switch=1,IF(_xll.BDP($D357,$D$351, "EQY_FUND_RELATIVE_PERIOD", AD$3)="#N/A N/A","NA  ",(_xll.BDP($D357,$D$351, "EQY_FUND_RELATIVE_PERIOD", AD$3))),AD357),"NA ")</f>
        <v>707</v>
      </c>
      <c r="AE357" s="228">
        <f ca="1">IFERROR(IF(BB_Switch=1,IF(_xll.BDP($D357,$D$351, "EQY_FUND_RELATIVE_PERIOD", AE$3)="#N/A N/A","NA  ",(_xll.BDP($D357,$D$351, "EQY_FUND_RELATIVE_PERIOD", AE$3))),AE357),"NA ")</f>
        <v>514</v>
      </c>
      <c r="AF357" s="228"/>
      <c r="AG357" s="228">
        <f ca="1">IFERROR(IF(BB_Switch=1,IF(_xll.BDP($D357,$V$351)="#N/A N/A","NA  ",(_xll.BDP($D357,$V$351))),AG357),"NA ")</f>
        <v>514</v>
      </c>
      <c r="AH357" s="228"/>
      <c r="AI357" s="228"/>
      <c r="AJ357" s="228"/>
    </row>
    <row r="358" spans="3:36" ht="11.25" customHeight="1">
      <c r="C358" s="229" t="str">
        <f ca="1">IFERROR(IF(BB_Switch=1,_xll.BDP($D358,$C$270),C358), "NA ")</f>
        <v>Kraton Corp</v>
      </c>
      <c r="D358" s="227" t="str">
        <f t="shared" si="125"/>
        <v>KRA US EQUITY</v>
      </c>
      <c r="E358" s="228">
        <f ca="1">IFERROR(IF(BB_Switch=1,IF(_xll.BDP($D358,$D$351, "EQY_FUND_RELATIVE_PERIOD", E$3)="#N/A N/A","NA  ",(_xll.BDP($D358,$D$351, "EQY_FUND_RELATIVE_PERIOD", E$3))),E358),"NA ")</f>
        <v>-29.396000000000004</v>
      </c>
      <c r="F358" s="228">
        <f ca="1">IFERROR(IF(BB_Switch=1,IF(_xll.BDP($D358,$D$351, "EQY_FUND_RELATIVE_PERIOD", F$3)="#N/A N/A","NA  ",(_xll.BDP($D358,$D$351, "EQY_FUND_RELATIVE_PERIOD", F$3))),F358),"NA ")</f>
        <v>-6.4309999999999974</v>
      </c>
      <c r="G358" s="228">
        <f ca="1">IFERROR(IF(BB_Switch=1,IF(_xll.BDP($D358,$D$351, "EQY_FUND_RELATIVE_PERIOD", G$3)="#N/A N/A","NA  ",(_xll.BDP($D358,$D$351, "EQY_FUND_RELATIVE_PERIOD", G$3))),G358),"NA ")</f>
        <v>87.891000000000005</v>
      </c>
      <c r="H358" s="228">
        <f ca="1">IFERROR(IF(BB_Switch=1,IF(_xll.BDP($D358,$D$351, "EQY_FUND_RELATIVE_PERIOD", H$3)="#N/A N/A","NA  ",(_xll.BDP($D358,$D$351, "EQY_FUND_RELATIVE_PERIOD", H$3))),H358),"NA ")</f>
        <v>87.05</v>
      </c>
      <c r="I358" s="228">
        <f ca="1">IFERROR(IF(BB_Switch=1,IF(_xll.BDP($D358,$D$351, "EQY_FUND_RELATIVE_PERIOD", I$3)="#N/A N/A","NA  ",(_xll.BDP($D358,$D$351, "EQY_FUND_RELATIVE_PERIOD", I$3))),I358),"NA ")</f>
        <v>-3.4220000000000006</v>
      </c>
      <c r="J358" s="228">
        <f ca="1">IFERROR(IF(BB_Switch=1,IF(_xll.BDP($D358,$D$351, "EQY_FUND_RELATIVE_PERIOD", J$3)="#N/A N/A","NA  ",(_xll.BDP($D358,$D$351, "EQY_FUND_RELATIVE_PERIOD", J$3))),J358),"NA ")</f>
        <v>8.64</v>
      </c>
      <c r="K358" s="228">
        <f ca="1">IFERROR(IF(BB_Switch=1,IF(_xll.BDP($D358,$D$351, "EQY_FUND_RELATIVE_PERIOD", K$3)="#N/A N/A","NA  ",(_xll.BDP($D358,$D$351, "EQY_FUND_RELATIVE_PERIOD", K$3))),K358),"NA ")</f>
        <v>63.731999999999999</v>
      </c>
      <c r="L358" s="228">
        <f ca="1">IFERROR(IF(BB_Switch=1,IF(_xll.BDP($D358,$D$351, "EQY_FUND_RELATIVE_PERIOD", L$3)="#N/A N/A","NA  ",(_xll.BDP($D358,$D$351, "EQY_FUND_RELATIVE_PERIOD", L$3))),L358),"NA ")</f>
        <v>74.760999999999996</v>
      </c>
      <c r="M358" s="228">
        <f ca="1">IFERROR(IF(BB_Switch=1,IF(_xll.BDP($D358,$D$351, "EQY_FUND_RELATIVE_PERIOD", M$3)="#N/A N/A","NA  ",(_xll.BDP($D358,$D$351, "EQY_FUND_RELATIVE_PERIOD", M$3))),M358),"NA ")</f>
        <v>-53.314</v>
      </c>
      <c r="N358" s="228">
        <f ca="1">IFERROR(IF(BB_Switch=1,IF(_xll.BDP($D358,$D$351, "EQY_FUND_RELATIVE_PERIOD", N$3)="#N/A N/A","NA  ",(_xll.BDP($D358,$D$351, "EQY_FUND_RELATIVE_PERIOD", N$3))),N358),"NA ")</f>
        <v>38.862000000000009</v>
      </c>
      <c r="O358" s="228">
        <f ca="1">IFERROR(IF(BB_Switch=1,IF(_xll.BDP($D358,$D$351, "EQY_FUND_RELATIVE_PERIOD", O$3)="#N/A N/A","NA  ",(_xll.BDP($D358,$D$351, "EQY_FUND_RELATIVE_PERIOD", O$3))),O358),"NA ")</f>
        <v>56.601000000000006</v>
      </c>
      <c r="P358" s="228">
        <f ca="1">IFERROR(IF(BB_Switch=1,IF(_xll.BDP($D358,$D$351, "EQY_FUND_RELATIVE_PERIOD", P$3)="#N/A N/A","NA  ",(_xll.BDP($D358,$D$351, "EQY_FUND_RELATIVE_PERIOD", P$3))),P358),"NA ")</f>
        <v>88.138000000000005</v>
      </c>
      <c r="Q358" s="227"/>
      <c r="R358" s="227"/>
      <c r="S358" s="227"/>
      <c r="T358" s="227"/>
      <c r="U358" s="227"/>
      <c r="V358" s="228">
        <f ca="1">IFERROR(IF(BB_Switch=1,IF(_xll.BDP($D358,$D$351, "EQY_FUND_RELATIVE_PERIOD", V$3)="#N/A N/A","NA  ",(_xll.BDP($D358,$D$351, "EQY_FUND_RELATIVE_PERIOD", V$3))),V358),"NA ")</f>
        <v>1.9249999999999972</v>
      </c>
      <c r="W358" s="228">
        <f ca="1">IFERROR(IF(BB_Switch=1,IF(_xll.BDP($D358,$D$351, "EQY_FUND_RELATIVE_PERIOD", W$3)="#N/A N/A","NA  ",(_xll.BDP($D358,$D$351, "EQY_FUND_RELATIVE_PERIOD", W$3))),W358),"NA ")</f>
        <v>4.4640000000000057</v>
      </c>
      <c r="X358" s="228">
        <f ca="1">IFERROR(IF(BB_Switch=1,IF(_xll.BDP($D358,$D$351, "EQY_FUND_RELATIVE_PERIOD", X$3)="#N/A N/A","NA  ",(_xll.BDP($D358,$D$351, "EQY_FUND_RELATIVE_PERIOD", X$3))),X358),"NA ")</f>
        <v>81.326999999999998</v>
      </c>
      <c r="Y358" s="228">
        <f ca="1">IFERROR(IF(BB_Switch=1,IF(_xll.BDP($D358,$D$351, "EQY_FUND_RELATIVE_PERIOD", Y$3)="#N/A N/A","NA  ",(_xll.BDP($D358,$D$351, "EQY_FUND_RELATIVE_PERIOD", Y$3))),Y358),"NA ")</f>
        <v>24.376000000000005</v>
      </c>
      <c r="Z358" s="228">
        <f ca="1">IFERROR(IF(BB_Switch=1,IF(_xll.BDP($D358,$D$351, "EQY_FUND_RELATIVE_PERIOD", Z$3)="#N/A N/A","NA  ",(_xll.BDP($D358,$D$351, "EQY_FUND_RELATIVE_PERIOD", Z$3))),Z358),"NA ")</f>
        <v>-80.816999999999993</v>
      </c>
      <c r="AA358" s="228">
        <f ca="1">IFERROR(IF(BB_Switch=1,IF(_xll.BDP($D358,$D$351, "EQY_FUND_RELATIVE_PERIOD", AA$3)="#N/A N/A","NA  ",(_xll.BDP($D358,$D$351, "EQY_FUND_RELATIVE_PERIOD", AA$3))),AA358),"NA ")</f>
        <v>-22.323000000000008</v>
      </c>
      <c r="AB358" s="228">
        <f ca="1">IFERROR(IF(BB_Switch=1,IF(_xll.BDP($D358,$D$351, "EQY_FUND_RELATIVE_PERIOD", AB$3)="#N/A N/A","NA  ",(_xll.BDP($D358,$D$351, "EQY_FUND_RELATIVE_PERIOD", AB$3))),AB358),"NA ")</f>
        <v>18.876999999999995</v>
      </c>
      <c r="AC358" s="228">
        <f ca="1">IFERROR(IF(BB_Switch=1,IF(_xll.BDP($D358,$D$351, "EQY_FUND_RELATIVE_PERIOD", AC$3)="#N/A N/A","NA  ",(_xll.BDP($D358,$D$351, "EQY_FUND_RELATIVE_PERIOD", AC$3))),AC358),"NA ")</f>
        <v>139.114</v>
      </c>
      <c r="AD358" s="228">
        <f ca="1">IFERROR(IF(BB_Switch=1,IF(_xll.BDP($D358,$D$351, "EQY_FUND_RELATIVE_PERIOD", AD$3)="#N/A N/A","NA  ",(_xll.BDP($D358,$D$351, "EQY_FUND_RELATIVE_PERIOD", AD$3))),AD358),"NA ")</f>
        <v>143.71100000000001</v>
      </c>
      <c r="AE358" s="228">
        <f ca="1">IFERROR(IF(BB_Switch=1,IF(_xll.BDP($D358,$D$351, "EQY_FUND_RELATIVE_PERIOD", AE$3)="#N/A N/A","NA  ",(_xll.BDP($D358,$D$351, "EQY_FUND_RELATIVE_PERIOD", AE$3))),AE358),"NA ")</f>
        <v>130.28699999999998</v>
      </c>
      <c r="AF358" s="228"/>
      <c r="AG358" s="228">
        <f ca="1">IFERROR(IF(BB_Switch=1,IF(_xll.BDP($D358,$V$351)="#N/A N/A","NA  ",(_xll.BDP($D358,$V$351))),AG358),"NA ")</f>
        <v>130.28700000000001</v>
      </c>
      <c r="AH358" s="228"/>
      <c r="AI358" s="228"/>
      <c r="AJ358" s="228"/>
    </row>
    <row r="359" spans="3:36" ht="11.25" customHeight="1">
      <c r="C359" s="229" t="str">
        <f ca="1">IFERROR(IF(BB_Switch=1,_xll.BDP($D359,$C$270),C359), "NA ")</f>
        <v>Dow Inc</v>
      </c>
      <c r="D359" s="227" t="str">
        <f t="shared" si="125"/>
        <v>DOW US EQUITY</v>
      </c>
      <c r="E359" s="228">
        <f ca="1">IFERROR(IF(BB_Switch=1,IF(_xll.BDP($D359,$D$351, "EQY_FUND_RELATIVE_PERIOD", E$3)="#N/A N/A","NA  ",(_xll.BDP($D359,$D$351, "EQY_FUND_RELATIVE_PERIOD", E$3))),E359),"NA ")</f>
        <v>-1522</v>
      </c>
      <c r="F359" s="228">
        <f ca="1">IFERROR(IF(BB_Switch=1,IF(_xll.BDP($D359,$D$351, "EQY_FUND_RELATIVE_PERIOD", F$3)="#N/A N/A","NA  ",(_xll.BDP($D359,$D$351, "EQY_FUND_RELATIVE_PERIOD", F$3))),F359),"NA ")</f>
        <v>-1497</v>
      </c>
      <c r="G359" s="228">
        <f ca="1">IFERROR(IF(BB_Switch=1,IF(_xll.BDP($D359,$D$351, "EQY_FUND_RELATIVE_PERIOD", G$3)="#N/A N/A","NA  ",(_xll.BDP($D359,$D$351, "EQY_FUND_RELATIVE_PERIOD", G$3))),G359),"NA ")</f>
        <v>833</v>
      </c>
      <c r="H359" s="228">
        <f ca="1">IFERROR(IF(BB_Switch=1,IF(_xll.BDP($D359,$D$351, "EQY_FUND_RELATIVE_PERIOD", H$3)="#N/A N/A","NA  ",(_xll.BDP($D359,$D$351, "EQY_FUND_RELATIVE_PERIOD", H$3))),H359),"NA ")</f>
        <v>-5858</v>
      </c>
      <c r="I359" s="228">
        <f ca="1">IFERROR(IF(BB_Switch=1,IF(_xll.BDP($D359,$D$351, "EQY_FUND_RELATIVE_PERIOD", I$3)="#N/A N/A","NA  ",(_xll.BDP($D359,$D$351, "EQY_FUND_RELATIVE_PERIOD", I$3))),I359),"NA ")</f>
        <v>10</v>
      </c>
      <c r="J359" s="228">
        <f ca="1">IFERROR(IF(BB_Switch=1,IF(_xll.BDP($D359,$D$351, "EQY_FUND_RELATIVE_PERIOD", J$3)="#N/A N/A","NA  ",(_xll.BDP($D359,$D$351, "EQY_FUND_RELATIVE_PERIOD", J$3))),J359),"NA ")</f>
        <v>869</v>
      </c>
      <c r="K359" s="228">
        <f ca="1">IFERROR(IF(BB_Switch=1,IF(_xll.BDP($D359,$D$351, "EQY_FUND_RELATIVE_PERIOD", K$3)="#N/A N/A","NA  ",(_xll.BDP($D359,$D$351, "EQY_FUND_RELATIVE_PERIOD", K$3))),K359),"NA ")</f>
        <v>118</v>
      </c>
      <c r="L359" s="228">
        <f ca="1">IFERROR(IF(BB_Switch=1,IF(_xll.BDP($D359,$D$351, "EQY_FUND_RELATIVE_PERIOD", L$3)="#N/A N/A","NA  ",(_xll.BDP($D359,$D$351, "EQY_FUND_RELATIVE_PERIOD", L$3))),L359),"NA ")</f>
        <v>1026</v>
      </c>
      <c r="M359" s="228">
        <f ca="1">IFERROR(IF(BB_Switch=1,IF(_xll.BDP($D359,$D$351, "EQY_FUND_RELATIVE_PERIOD", M$3)="#N/A N/A","NA  ",(_xll.BDP($D359,$D$351, "EQY_FUND_RELATIVE_PERIOD", M$3))),M359),"NA ")</f>
        <v>1381</v>
      </c>
      <c r="N359" s="228">
        <f ca="1">IFERROR(IF(BB_Switch=1,IF(_xll.BDP($D359,$D$351, "EQY_FUND_RELATIVE_PERIOD", N$3)="#N/A N/A","NA  ",(_xll.BDP($D359,$D$351, "EQY_FUND_RELATIVE_PERIOD", N$3))),N359),"NA ")</f>
        <v>-94</v>
      </c>
      <c r="O359" s="228">
        <f ca="1">IFERROR(IF(BB_Switch=1,IF(_xll.BDP($D359,$D$351, "EQY_FUND_RELATIVE_PERIOD", O$3)="#N/A N/A","NA  ",(_xll.BDP($D359,$D$351, "EQY_FUND_RELATIVE_PERIOD", O$3))),O359),"NA ")</f>
        <v>1229</v>
      </c>
      <c r="P359" s="228">
        <f ca="1">IFERROR(IF(BB_Switch=1,IF(_xll.BDP($D359,$D$351, "EQY_FUND_RELATIVE_PERIOD", P$3)="#N/A N/A","NA  ",(_xll.BDP($D359,$D$351, "EQY_FUND_RELATIVE_PERIOD", P$3))),P359),"NA ")</f>
        <v>1368</v>
      </c>
      <c r="Q359" s="227"/>
      <c r="R359" s="227"/>
      <c r="S359" s="227"/>
      <c r="T359" s="227"/>
      <c r="U359" s="227"/>
      <c r="V359" s="228" t="str">
        <f ca="1">IFERROR(IF(BB_Switch=1,IF(_xll.BDP($D359,$D$351, "EQY_FUND_RELATIVE_PERIOD", V$3)="#N/A N/A","NA  ",(_xll.BDP($D359,$D$351, "EQY_FUND_RELATIVE_PERIOD", V$3))),V359),"NA ")</f>
        <v xml:space="preserve">NA  </v>
      </c>
      <c r="W359" s="228" t="str">
        <f ca="1">IFERROR(IF(BB_Switch=1,IF(_xll.BDP($D359,$D$351, "EQY_FUND_RELATIVE_PERIOD", W$3)="#N/A N/A","NA  ",(_xll.BDP($D359,$D$351, "EQY_FUND_RELATIVE_PERIOD", W$3))),W359),"NA ")</f>
        <v xml:space="preserve">NA  </v>
      </c>
      <c r="X359" s="228" t="str">
        <f ca="1">IFERROR(IF(BB_Switch=1,IF(_xll.BDP($D359,$D$351, "EQY_FUND_RELATIVE_PERIOD", X$3)="#N/A N/A","NA  ",(_xll.BDP($D359,$D$351, "EQY_FUND_RELATIVE_PERIOD", X$3))),X359),"NA ")</f>
        <v xml:space="preserve">NA  </v>
      </c>
      <c r="Y359" s="228" t="str">
        <f ca="1">IFERROR(IF(BB_Switch=1,IF(_xll.BDP($D359,$D$351, "EQY_FUND_RELATIVE_PERIOD", Y$3)="#N/A N/A","NA  ",(_xll.BDP($D359,$D$351, "EQY_FUND_RELATIVE_PERIOD", Y$3))),Y359),"NA ")</f>
        <v xml:space="preserve">NA  </v>
      </c>
      <c r="Z359" s="228" t="str">
        <f ca="1">IFERROR(IF(BB_Switch=1,IF(_xll.BDP($D359,$D$351, "EQY_FUND_RELATIVE_PERIOD", Z$3)="#N/A N/A","NA  ",(_xll.BDP($D359,$D$351, "EQY_FUND_RELATIVE_PERIOD", Z$3))),Z359),"NA ")</f>
        <v xml:space="preserve">NA  </v>
      </c>
      <c r="AA359" s="228" t="str">
        <f ca="1">IFERROR(IF(BB_Switch=1,IF(_xll.BDP($D359,$D$351, "EQY_FUND_RELATIVE_PERIOD", AA$3)="#N/A N/A","NA  ",(_xll.BDP($D359,$D$351, "EQY_FUND_RELATIVE_PERIOD", AA$3))),AA359),"NA ")</f>
        <v xml:space="preserve">NA  </v>
      </c>
      <c r="AB359" s="228" t="str">
        <f ca="1">IFERROR(IF(BB_Switch=1,IF(_xll.BDP($D359,$D$351, "EQY_FUND_RELATIVE_PERIOD", AB$3)="#N/A N/A","NA  ",(_xll.BDP($D359,$D$351, "EQY_FUND_RELATIVE_PERIOD", AB$3))),AB359),"NA ")</f>
        <v xml:space="preserve">NA  </v>
      </c>
      <c r="AC359" s="228">
        <f ca="1">IFERROR(IF(BB_Switch=1,IF(_xll.BDP($D359,$D$351, "EQY_FUND_RELATIVE_PERIOD", AC$3)="#N/A N/A","NA  ",(_xll.BDP($D359,$D$351, "EQY_FUND_RELATIVE_PERIOD", AC$3))),AC359),"NA ")</f>
        <v>-8044</v>
      </c>
      <c r="AD359" s="228">
        <f ca="1">IFERROR(IF(BB_Switch=1,IF(_xll.BDP($D359,$D$351, "EQY_FUND_RELATIVE_PERIOD", AD$3)="#N/A N/A","NA  ",(_xll.BDP($D359,$D$351, "EQY_FUND_RELATIVE_PERIOD", AD$3))),AD359),"NA ")</f>
        <v>2023</v>
      </c>
      <c r="AE359" s="228">
        <f ca="1">IFERROR(IF(BB_Switch=1,IF(_xll.BDP($D359,$D$351, "EQY_FUND_RELATIVE_PERIOD", AE$3)="#N/A N/A","NA  ",(_xll.BDP($D359,$D$351, "EQY_FUND_RELATIVE_PERIOD", AE$3))),AE359),"NA ")</f>
        <v>3884</v>
      </c>
      <c r="AF359" s="228"/>
      <c r="AG359" s="228">
        <f ca="1">IFERROR(IF(BB_Switch=1,IF(_xll.BDP($D359,$V$351)="#N/A N/A","NA  ",(_xll.BDP($D359,$V$351))),AG359),"NA ")</f>
        <v>3884</v>
      </c>
      <c r="AH359" s="228"/>
      <c r="AI359" s="228"/>
      <c r="AJ359" s="228"/>
    </row>
    <row r="360" spans="3:36" ht="11.25" customHeight="1">
      <c r="C360" s="229"/>
      <c r="D360" s="227"/>
      <c r="E360" s="228"/>
      <c r="F360" s="228"/>
      <c r="G360" s="228"/>
      <c r="H360" s="228"/>
      <c r="I360" s="228"/>
      <c r="J360" s="228"/>
      <c r="K360" s="228"/>
      <c r="L360" s="228"/>
      <c r="M360" s="228"/>
      <c r="N360" s="228"/>
      <c r="O360" s="228"/>
      <c r="P360" s="228"/>
      <c r="Q360" s="227"/>
      <c r="R360" s="227"/>
      <c r="S360" s="227"/>
      <c r="T360" s="227"/>
      <c r="U360" s="227"/>
      <c r="V360" s="228"/>
      <c r="W360" s="228"/>
      <c r="X360" s="228"/>
      <c r="Y360" s="228"/>
      <c r="Z360" s="228"/>
      <c r="AA360" s="228"/>
      <c r="AB360" s="228"/>
      <c r="AC360" s="228"/>
      <c r="AD360" s="228"/>
      <c r="AE360" s="228"/>
      <c r="AF360" s="228"/>
      <c r="AG360" s="228"/>
      <c r="AH360" s="228"/>
      <c r="AI360" s="228"/>
      <c r="AJ360" s="228"/>
    </row>
    <row r="361" spans="3:36" ht="11.25" customHeight="1">
      <c r="C361" s="428" t="str">
        <f>+C20</f>
        <v>Specialty Chemicals</v>
      </c>
      <c r="D361" s="227"/>
      <c r="E361" s="228"/>
      <c r="F361" s="228"/>
      <c r="G361" s="228"/>
      <c r="H361" s="228"/>
      <c r="I361" s="228"/>
      <c r="J361" s="228"/>
      <c r="K361" s="228"/>
      <c r="L361" s="228"/>
      <c r="M361" s="228"/>
      <c r="N361" s="228"/>
      <c r="O361" s="228"/>
      <c r="P361" s="228"/>
      <c r="Q361" s="227"/>
      <c r="R361" s="227"/>
      <c r="S361" s="227"/>
      <c r="T361" s="227"/>
      <c r="U361" s="227"/>
      <c r="V361" s="228"/>
      <c r="W361" s="228"/>
      <c r="X361" s="228"/>
      <c r="Y361" s="228"/>
      <c r="Z361" s="228"/>
      <c r="AA361" s="228"/>
      <c r="AB361" s="228"/>
      <c r="AC361" s="228"/>
      <c r="AD361" s="228"/>
      <c r="AE361" s="228"/>
      <c r="AF361" s="228"/>
      <c r="AG361" s="228"/>
      <c r="AH361" s="228"/>
      <c r="AI361" s="228"/>
      <c r="AJ361" s="228"/>
    </row>
    <row r="362" spans="3:36" ht="11.25" customHeight="1">
      <c r="C362" s="229" t="str">
        <f ca="1">IFERROR(IF(BB_Switch=1,_xll.BDP($D362,$C$270),C362), "NA ")</f>
        <v>Eastman Chemical Co</v>
      </c>
      <c r="D362" s="227" t="str">
        <f>+D21</f>
        <v>EMN US EQUITY</v>
      </c>
      <c r="E362" s="228">
        <f ca="1">IFERROR(IF(BB_Switch=1,IF(_xll.BDP($D362,$D$351, "EQY_FUND_RELATIVE_PERIOD", E$3)="#N/A N/A","NA  ",(_xll.BDP($D362,$D$351, "EQY_FUND_RELATIVE_PERIOD", E$3))),E362),"NA ")</f>
        <v>-81</v>
      </c>
      <c r="F362" s="228">
        <f ca="1">IFERROR(IF(BB_Switch=1,IF(_xll.BDP($D362,$D$351, "EQY_FUND_RELATIVE_PERIOD", F$3)="#N/A N/A","NA  ",(_xll.BDP($D362,$D$351, "EQY_FUND_RELATIVE_PERIOD", F$3))),F362),"NA ")</f>
        <v>285</v>
      </c>
      <c r="G362" s="228">
        <f ca="1">IFERROR(IF(BB_Switch=1,IF(_xll.BDP($D362,$D$351, "EQY_FUND_RELATIVE_PERIOD", G$3)="#N/A N/A","NA  ",(_xll.BDP($D362,$D$351, "EQY_FUND_RELATIVE_PERIOD", G$3))),G362),"NA ")</f>
        <v>369</v>
      </c>
      <c r="H362" s="228">
        <f ca="1">IFERROR(IF(BB_Switch=1,IF(_xll.BDP($D362,$D$351, "EQY_FUND_RELATIVE_PERIOD", H$3)="#N/A N/A","NA  ",(_xll.BDP($D362,$D$351, "EQY_FUND_RELATIVE_PERIOD", H$3))),H362),"NA ")</f>
        <v>435</v>
      </c>
      <c r="I362" s="228">
        <f ca="1">IFERROR(IF(BB_Switch=1,IF(_xll.BDP($D362,$D$351, "EQY_FUND_RELATIVE_PERIOD", I$3)="#N/A N/A","NA  ",(_xll.BDP($D362,$D$351, "EQY_FUND_RELATIVE_PERIOD", I$3))),I362),"NA ")</f>
        <v>-163</v>
      </c>
      <c r="J362" s="228">
        <f ca="1">IFERROR(IF(BB_Switch=1,IF(_xll.BDP($D362,$D$351, "EQY_FUND_RELATIVE_PERIOD", J$3)="#N/A N/A","NA  ",(_xll.BDP($D362,$D$351, "EQY_FUND_RELATIVE_PERIOD", J$3))),J362),"NA ")</f>
        <v>327</v>
      </c>
      <c r="K362" s="228">
        <f ca="1">IFERROR(IF(BB_Switch=1,IF(_xll.BDP($D362,$D$351, "EQY_FUND_RELATIVE_PERIOD", K$3)="#N/A N/A","NA  ",(_xll.BDP($D362,$D$351, "EQY_FUND_RELATIVE_PERIOD", K$3))),K362),"NA ")</f>
        <v>258</v>
      </c>
      <c r="L362" s="228">
        <f ca="1">IFERROR(IF(BB_Switch=1,IF(_xll.BDP($D362,$D$351, "EQY_FUND_RELATIVE_PERIOD", L$3)="#N/A N/A","NA  ",(_xll.BDP($D362,$D$351, "EQY_FUND_RELATIVE_PERIOD", L$3))),L362),"NA ")</f>
        <v>593</v>
      </c>
      <c r="M362" s="228">
        <f ca="1">IFERROR(IF(BB_Switch=1,IF(_xll.BDP($D362,$D$351, "EQY_FUND_RELATIVE_PERIOD", M$3)="#N/A N/A","NA  ",(_xll.BDP($D362,$D$351, "EQY_FUND_RELATIVE_PERIOD", M$3))),M362),"NA ")</f>
        <v>-111</v>
      </c>
      <c r="N362" s="228">
        <f ca="1">IFERROR(IF(BB_Switch=1,IF(_xll.BDP($D362,$D$351, "EQY_FUND_RELATIVE_PERIOD", N$3)="#N/A N/A","NA  ",(_xll.BDP($D362,$D$351, "EQY_FUND_RELATIVE_PERIOD", N$3))),N362),"NA ")</f>
        <v>330</v>
      </c>
      <c r="O362" s="228">
        <f ca="1">IFERROR(IF(BB_Switch=1,IF(_xll.BDP($D362,$D$351, "EQY_FUND_RELATIVE_PERIOD", O$3)="#N/A N/A","NA  ",(_xll.BDP($D362,$D$351, "EQY_FUND_RELATIVE_PERIOD", O$3))),O362),"NA ")</f>
        <v>306</v>
      </c>
      <c r="P362" s="228">
        <f ca="1">IFERROR(IF(BB_Switch=1,IF(_xll.BDP($D362,$D$351, "EQY_FUND_RELATIVE_PERIOD", P$3)="#N/A N/A","NA  ",(_xll.BDP($D362,$D$351, "EQY_FUND_RELATIVE_PERIOD", P$3))),P362),"NA ")</f>
        <v>554</v>
      </c>
      <c r="Q362" s="227"/>
      <c r="R362" s="227"/>
      <c r="S362" s="227"/>
      <c r="T362" s="227"/>
      <c r="U362" s="227"/>
      <c r="V362" s="228">
        <f ca="1">IFERROR(IF(BB_Switch=1,IF(_xll.BDP($D362,$D$351, "EQY_FUND_RELATIVE_PERIOD", V$3)="#N/A N/A","NA  ",(_xll.BDP($D362,$D$351, "EQY_FUND_RELATIVE_PERIOD", V$3))),V362),"NA ")</f>
        <v>332</v>
      </c>
      <c r="W362" s="228">
        <f ca="1">IFERROR(IF(BB_Switch=1,IF(_xll.BDP($D362,$D$351, "EQY_FUND_RELATIVE_PERIOD", W$3)="#N/A N/A","NA  ",(_xll.BDP($D362,$D$351, "EQY_FUND_RELATIVE_PERIOD", W$3))),W362),"NA ")</f>
        <v>168</v>
      </c>
      <c r="X362" s="228">
        <f ca="1">IFERROR(IF(BB_Switch=1,IF(_xll.BDP($D362,$D$351, "EQY_FUND_RELATIVE_PERIOD", X$3)="#N/A N/A","NA  ",(_xll.BDP($D362,$D$351, "EQY_FUND_RELATIVE_PERIOD", X$3))),X362),"NA ")</f>
        <v>663</v>
      </c>
      <c r="Y362" s="228">
        <f ca="1">IFERROR(IF(BB_Switch=1,IF(_xll.BDP($D362,$D$351, "EQY_FUND_RELATIVE_PERIOD", Y$3)="#N/A N/A","NA  ",(_xll.BDP($D362,$D$351, "EQY_FUND_RELATIVE_PERIOD", Y$3))),Y362),"NA ")</f>
        <v>814</v>
      </c>
      <c r="Z362" s="228">
        <f ca="1">IFERROR(IF(BB_Switch=1,IF(_xll.BDP($D362,$D$351, "EQY_FUND_RELATIVE_PERIOD", Z$3)="#N/A N/A","NA  ",(_xll.BDP($D362,$D$351, "EQY_FUND_RELATIVE_PERIOD", Z$3))),Z362),"NA ")</f>
        <v>840</v>
      </c>
      <c r="AA362" s="228">
        <f ca="1">IFERROR(IF(BB_Switch=1,IF(_xll.BDP($D362,$D$351, "EQY_FUND_RELATIVE_PERIOD", AA$3)="#N/A N/A","NA  ",(_xll.BDP($D362,$D$351, "EQY_FUND_RELATIVE_PERIOD", AA$3))),AA362),"NA ")</f>
        <v>972</v>
      </c>
      <c r="AB362" s="228">
        <f ca="1">IFERROR(IF(BB_Switch=1,IF(_xll.BDP($D362,$D$351, "EQY_FUND_RELATIVE_PERIOD", AB$3)="#N/A N/A","NA  ",(_xll.BDP($D362,$D$351, "EQY_FUND_RELATIVE_PERIOD", AB$3))),AB362),"NA ")</f>
        <v>759</v>
      </c>
      <c r="AC362" s="228">
        <f ca="1">IFERROR(IF(BB_Switch=1,IF(_xll.BDP($D362,$D$351, "EQY_FUND_RELATIVE_PERIOD", AC$3)="#N/A N/A","NA  ",(_xll.BDP($D362,$D$351, "EQY_FUND_RELATIVE_PERIOD", AC$3))),AC362),"NA ")</f>
        <v>1008</v>
      </c>
      <c r="AD362" s="228">
        <f ca="1">IFERROR(IF(BB_Switch=1,IF(_xll.BDP($D362,$D$351, "EQY_FUND_RELATIVE_PERIOD", AD$3)="#N/A N/A","NA  ",(_xll.BDP($D362,$D$351, "EQY_FUND_RELATIVE_PERIOD", AD$3))),AD362),"NA ")</f>
        <v>1015</v>
      </c>
      <c r="AE362" s="228">
        <f ca="1">IFERROR(IF(BB_Switch=1,IF(_xll.BDP($D362,$D$351, "EQY_FUND_RELATIVE_PERIOD", AE$3)="#N/A N/A","NA  ",(_xll.BDP($D362,$D$351, "EQY_FUND_RELATIVE_PERIOD", AE$3))),AE362),"NA ")</f>
        <v>1079</v>
      </c>
      <c r="AF362" s="228"/>
      <c r="AG362" s="228">
        <f ca="1">IFERROR(IF(BB_Switch=1,IF(_xll.BDP($D362,$V$351)="#N/A N/A","NA  ",(_xll.BDP($D362,$V$351))),AG362),"NA ")</f>
        <v>1079</v>
      </c>
      <c r="AH362" s="228"/>
      <c r="AI362" s="228"/>
      <c r="AJ362" s="228"/>
    </row>
    <row r="363" spans="3:36" ht="11.25" customHeight="1">
      <c r="C363" s="229" t="str">
        <f ca="1">IFERROR(IF(BB_Switch=1,_xll.BDP($D363,$C$270),C363), "NA ")</f>
        <v>Celanese Corp</v>
      </c>
      <c r="D363" s="227" t="str">
        <f>+D22</f>
        <v>CE US EQUITY</v>
      </c>
      <c r="E363" s="228">
        <f ca="1">IFERROR(IF(BB_Switch=1,IF(_xll.BDP($D363,$D$351, "EQY_FUND_RELATIVE_PERIOD", E$3)="#N/A N/A","NA  ",(_xll.BDP($D363,$D$351, "EQY_FUND_RELATIVE_PERIOD", E$3))),E363),"NA ")</f>
        <v>130</v>
      </c>
      <c r="F363" s="228">
        <f ca="1">IFERROR(IF(BB_Switch=1,IF(_xll.BDP($D363,$D$351, "EQY_FUND_RELATIVE_PERIOD", F$3)="#N/A N/A","NA  ",(_xll.BDP($D363,$D$351, "EQY_FUND_RELATIVE_PERIOD", F$3))),F363),"NA ")</f>
        <v>244</v>
      </c>
      <c r="G363" s="228">
        <f ca="1">IFERROR(IF(BB_Switch=1,IF(_xll.BDP($D363,$D$351, "EQY_FUND_RELATIVE_PERIOD", G$3)="#N/A N/A","NA  ",(_xll.BDP($D363,$D$351, "EQY_FUND_RELATIVE_PERIOD", G$3))),G363),"NA ")</f>
        <v>191</v>
      </c>
      <c r="H363" s="228">
        <f ca="1">IFERROR(IF(BB_Switch=1,IF(_xll.BDP($D363,$D$351, "EQY_FUND_RELATIVE_PERIOD", H$3)="#N/A N/A","NA  ",(_xll.BDP($D363,$D$351, "EQY_FUND_RELATIVE_PERIOD", H$3))),H363),"NA ")</f>
        <v>-29</v>
      </c>
      <c r="I363" s="228">
        <f ca="1">IFERROR(IF(BB_Switch=1,IF(_xll.BDP($D363,$D$351, "EQY_FUND_RELATIVE_PERIOD", I$3)="#N/A N/A","NA  ",(_xll.BDP($D363,$D$351, "EQY_FUND_RELATIVE_PERIOD", I$3))),I363),"NA ")</f>
        <v>57</v>
      </c>
      <c r="J363" s="228">
        <f ca="1">IFERROR(IF(BB_Switch=1,IF(_xll.BDP($D363,$D$351, "EQY_FUND_RELATIVE_PERIOD", J$3)="#N/A N/A","NA  ",(_xll.BDP($D363,$D$351, "EQY_FUND_RELATIVE_PERIOD", J$3))),J363),"NA ")</f>
        <v>506</v>
      </c>
      <c r="K363" s="228">
        <f ca="1">IFERROR(IF(BB_Switch=1,IF(_xll.BDP($D363,$D$351, "EQY_FUND_RELATIVE_PERIOD", K$3)="#N/A N/A","NA  ",(_xll.BDP($D363,$D$351, "EQY_FUND_RELATIVE_PERIOD", K$3))),K363),"NA ")</f>
        <v>388</v>
      </c>
      <c r="L363" s="228">
        <f ca="1">IFERROR(IF(BB_Switch=1,IF(_xll.BDP($D363,$D$351, "EQY_FUND_RELATIVE_PERIOD", L$3)="#N/A N/A","NA  ",(_xll.BDP($D363,$D$351, "EQY_FUND_RELATIVE_PERIOD", L$3))),L363),"NA ")</f>
        <v>270</v>
      </c>
      <c r="M363" s="228">
        <f ca="1">IFERROR(IF(BB_Switch=1,IF(_xll.BDP($D363,$D$351, "EQY_FUND_RELATIVE_PERIOD", M$3)="#N/A N/A","NA  ",(_xll.BDP($D363,$D$351, "EQY_FUND_RELATIVE_PERIOD", M$3))),M363),"NA ")</f>
        <v>228</v>
      </c>
      <c r="N363" s="228">
        <f ca="1">IFERROR(IF(BB_Switch=1,IF(_xll.BDP($D363,$D$351, "EQY_FUND_RELATIVE_PERIOD", N$3)="#N/A N/A","NA  ",(_xll.BDP($D363,$D$351, "EQY_FUND_RELATIVE_PERIOD", N$3))),N363),"NA ")</f>
        <v>359</v>
      </c>
      <c r="O363" s="228">
        <f ca="1">IFERROR(IF(BB_Switch=1,IF(_xll.BDP($D363,$D$351, "EQY_FUND_RELATIVE_PERIOD", O$3)="#N/A N/A","NA  ",(_xll.BDP($D363,$D$351, "EQY_FUND_RELATIVE_PERIOD", O$3))),O363),"NA ")</f>
        <v>315</v>
      </c>
      <c r="P363" s="228">
        <f ca="1">IFERROR(IF(BB_Switch=1,IF(_xll.BDP($D363,$D$351, "EQY_FUND_RELATIVE_PERIOD", P$3)="#N/A N/A","NA  ",(_xll.BDP($D363,$D$351, "EQY_FUND_RELATIVE_PERIOD", P$3))),P363),"NA ")</f>
        <v>182</v>
      </c>
      <c r="Q363" s="227"/>
      <c r="R363" s="227"/>
      <c r="S363" s="227"/>
      <c r="T363" s="227"/>
      <c r="U363" s="227"/>
      <c r="V363" s="228">
        <f ca="1">IFERROR(IF(BB_Switch=1,IF(_xll.BDP($D363,$D$351, "EQY_FUND_RELATIVE_PERIOD", V$3)="#N/A N/A","NA  ",(_xll.BDP($D363,$D$351, "EQY_FUND_RELATIVE_PERIOD", V$3))),V363),"NA ")</f>
        <v>-61</v>
      </c>
      <c r="W363" s="228">
        <f ca="1">IFERROR(IF(BB_Switch=1,IF(_xll.BDP($D363,$D$351, "EQY_FUND_RELATIVE_PERIOD", W$3)="#N/A N/A","NA  ",(_xll.BDP($D363,$D$351, "EQY_FUND_RELATIVE_PERIOD", W$3))),W363),"NA ")</f>
        <v>85</v>
      </c>
      <c r="X363" s="228">
        <f ca="1">IFERROR(IF(BB_Switch=1,IF(_xll.BDP($D363,$D$351, "EQY_FUND_RELATIVE_PERIOD", X$3)="#N/A N/A","NA  ",(_xll.BDP($D363,$D$351, "EQY_FUND_RELATIVE_PERIOD", X$3))),X363),"NA ")</f>
        <v>312</v>
      </c>
      <c r="Y363" s="228">
        <f ca="1">IFERROR(IF(BB_Switch=1,IF(_xll.BDP($D363,$D$351, "EQY_FUND_RELATIVE_PERIOD", Y$3)="#N/A N/A","NA  ",(_xll.BDP($D363,$D$351, "EQY_FUND_RELATIVE_PERIOD", Y$3))),Y363),"NA ")</f>
        <v>385</v>
      </c>
      <c r="Z363" s="228">
        <f ca="1">IFERROR(IF(BB_Switch=1,IF(_xll.BDP($D363,$D$351, "EQY_FUND_RELATIVE_PERIOD", Z$3)="#N/A N/A","NA  ",(_xll.BDP($D363,$D$351, "EQY_FUND_RELATIVE_PERIOD", Z$3))),Z363),"NA ")</f>
        <v>284</v>
      </c>
      <c r="AA363" s="228">
        <f ca="1">IFERROR(IF(BB_Switch=1,IF(_xll.BDP($D363,$D$351, "EQY_FUND_RELATIVE_PERIOD", AA$3)="#N/A N/A","NA  ",(_xll.BDP($D363,$D$351, "EQY_FUND_RELATIVE_PERIOD", AA$3))),AA363),"NA ")</f>
        <v>342</v>
      </c>
      <c r="AB363" s="228">
        <f ca="1">IFERROR(IF(BB_Switch=1,IF(_xll.BDP($D363,$D$351, "EQY_FUND_RELATIVE_PERIOD", AB$3)="#N/A N/A","NA  ",(_xll.BDP($D363,$D$351, "EQY_FUND_RELATIVE_PERIOD", AB$3))),AB363),"NA ")</f>
        <v>647</v>
      </c>
      <c r="AC363" s="228">
        <f ca="1">IFERROR(IF(BB_Switch=1,IF(_xll.BDP($D363,$D$351, "EQY_FUND_RELATIVE_PERIOD", AC$3)="#N/A N/A","NA  ",(_xll.BDP($D363,$D$351, "EQY_FUND_RELATIVE_PERIOD", AC$3))),AC363),"NA ")</f>
        <v>536</v>
      </c>
      <c r="AD363" s="228">
        <f ca="1">IFERROR(IF(BB_Switch=1,IF(_xll.BDP($D363,$D$351, "EQY_FUND_RELATIVE_PERIOD", AD$3)="#N/A N/A","NA  ",(_xll.BDP($D363,$D$351, "EQY_FUND_RELATIVE_PERIOD", AD$3))),AD363),"NA ")</f>
        <v>1221</v>
      </c>
      <c r="AE363" s="228">
        <f ca="1">IFERROR(IF(BB_Switch=1,IF(_xll.BDP($D363,$D$351, "EQY_FUND_RELATIVE_PERIOD", AE$3)="#N/A N/A","NA  ",(_xll.BDP($D363,$D$351, "EQY_FUND_RELATIVE_PERIOD", AE$3))),AE363),"NA ")</f>
        <v>1084</v>
      </c>
      <c r="AF363" s="228"/>
      <c r="AG363" s="228">
        <f ca="1">IFERROR(IF(BB_Switch=1,IF(_xll.BDP($D363,$V$351)="#N/A N/A","NA  ",(_xll.BDP($D363,$V$351))),AG363),"NA ")</f>
        <v>1084</v>
      </c>
      <c r="AH363" s="228"/>
      <c r="AI363" s="228"/>
      <c r="AJ363" s="228"/>
    </row>
    <row r="364" spans="3:36" ht="11.25" customHeight="1">
      <c r="C364" s="229" t="str">
        <f ca="1">IFERROR(IF(BB_Switch=1,_xll.BDP($D364,$C$270),C364), "NA ")</f>
        <v>BASF SE</v>
      </c>
      <c r="D364" s="227" t="str">
        <f>+D23</f>
        <v>BAS GR EQUITY</v>
      </c>
      <c r="E364" s="228">
        <f ca="1">IFERROR(IF(BB_Switch=1,IF(_xll.BDP($D364,$D$351, "EQY_FUND_RELATIVE_PERIOD", E$3)="#N/A N/A","NA  ",(_xll.BDP($D364,$D$351, "EQY_FUND_RELATIVE_PERIOD", E$3))),E364),"NA ")</f>
        <v>72</v>
      </c>
      <c r="F364" s="228">
        <f ca="1">IFERROR(IF(BB_Switch=1,IF(_xll.BDP($D364,$D$351, "EQY_FUND_RELATIVE_PERIOD", F$3)="#N/A N/A","NA  ",(_xll.BDP($D364,$D$351, "EQY_FUND_RELATIVE_PERIOD", F$3))),F364),"NA ")</f>
        <v>2094</v>
      </c>
      <c r="G364" s="228">
        <f ca="1">IFERROR(IF(BB_Switch=1,IF(_xll.BDP($D364,$D$351, "EQY_FUND_RELATIVE_PERIOD", G$3)="#N/A N/A","NA  ",(_xll.BDP($D364,$D$351, "EQY_FUND_RELATIVE_PERIOD", G$3))),G364),"NA ")</f>
        <v>2831</v>
      </c>
      <c r="H364" s="228">
        <f ca="1">IFERROR(IF(BB_Switch=1,IF(_xll.BDP($D364,$D$351, "EQY_FUND_RELATIVE_PERIOD", H$3)="#N/A N/A","NA  ",(_xll.BDP($D364,$D$351, "EQY_FUND_RELATIVE_PERIOD", H$3))),H364),"NA ")</f>
        <v>-208</v>
      </c>
      <c r="I364" s="228">
        <f ca="1">IFERROR(IF(BB_Switch=1,IF(_xll.BDP($D364,$D$351, "EQY_FUND_RELATIVE_PERIOD", I$3)="#N/A N/A","NA  ",(_xll.BDP($D364,$D$351, "EQY_FUND_RELATIVE_PERIOD", I$3))),I364),"NA ")</f>
        <v>604</v>
      </c>
      <c r="J364" s="228">
        <f ca="1">IFERROR(IF(BB_Switch=1,IF(_xll.BDP($D364,$D$351, "EQY_FUND_RELATIVE_PERIOD", J$3)="#N/A N/A","NA  ",(_xll.BDP($D364,$D$351, "EQY_FUND_RELATIVE_PERIOD", J$3))),J364),"NA ")</f>
        <v>1402</v>
      </c>
      <c r="K364" s="228">
        <f ca="1">IFERROR(IF(BB_Switch=1,IF(_xll.BDP($D364,$D$351, "EQY_FUND_RELATIVE_PERIOD", K$3)="#N/A N/A","NA  ",(_xll.BDP($D364,$D$351, "EQY_FUND_RELATIVE_PERIOD", K$3))),K364),"NA ")</f>
        <v>1951</v>
      </c>
      <c r="L364" s="228">
        <f ca="1">IFERROR(IF(BB_Switch=1,IF(_xll.BDP($D364,$D$351, "EQY_FUND_RELATIVE_PERIOD", L$3)="#N/A N/A","NA  ",(_xll.BDP($D364,$D$351, "EQY_FUND_RELATIVE_PERIOD", L$3))),L364),"NA ")</f>
        <v>88</v>
      </c>
      <c r="M364" s="228">
        <f ca="1">IFERROR(IF(BB_Switch=1,IF(_xll.BDP($D364,$D$351, "EQY_FUND_RELATIVE_PERIOD", M$3)="#N/A N/A","NA  ",(_xll.BDP($D364,$D$351, "EQY_FUND_RELATIVE_PERIOD", M$3))),M364),"NA ")</f>
        <v>-368</v>
      </c>
      <c r="N364" s="228">
        <f ca="1">IFERROR(IF(BB_Switch=1,IF(_xll.BDP($D364,$D$351, "EQY_FUND_RELATIVE_PERIOD", N$3)="#N/A N/A","NA  ",(_xll.BDP($D364,$D$351, "EQY_FUND_RELATIVE_PERIOD", N$3))),N364),"NA ")</f>
        <v>965</v>
      </c>
      <c r="O364" s="228">
        <f ca="1">IFERROR(IF(BB_Switch=1,IF(_xll.BDP($D364,$D$351, "EQY_FUND_RELATIVE_PERIOD", O$3)="#N/A N/A","NA  ",(_xll.BDP($D364,$D$351, "EQY_FUND_RELATIVE_PERIOD", O$3))),O364),"NA ")</f>
        <v>1072</v>
      </c>
      <c r="P364" s="228">
        <f ca="1">IFERROR(IF(BB_Switch=1,IF(_xll.BDP($D364,$D$351, "EQY_FUND_RELATIVE_PERIOD", P$3)="#N/A N/A","NA  ",(_xll.BDP($D364,$D$351, "EQY_FUND_RELATIVE_PERIOD", P$3))),P364),"NA ")</f>
        <v>1981</v>
      </c>
      <c r="Q364" s="227"/>
      <c r="R364" s="227"/>
      <c r="S364" s="227"/>
      <c r="T364" s="227"/>
      <c r="U364" s="227"/>
      <c r="V364" s="228">
        <f ca="1">IFERROR(IF(BB_Switch=1,IF(_xll.BDP($D364,$D$351, "EQY_FUND_RELATIVE_PERIOD", V$3)="#N/A N/A","NA  ",(_xll.BDP($D364,$D$351, "EQY_FUND_RELATIVE_PERIOD", V$3))),V364),"NA ")</f>
        <v>3912</v>
      </c>
      <c r="W364" s="228">
        <f ca="1">IFERROR(IF(BB_Switch=1,IF(_xll.BDP($D364,$D$351, "EQY_FUND_RELATIVE_PERIOD", W$3)="#N/A N/A","NA  ",(_xll.BDP($D364,$D$351, "EQY_FUND_RELATIVE_PERIOD", W$3))),W364),"NA ")</f>
        <v>3695</v>
      </c>
      <c r="X364" s="228">
        <f ca="1">IFERROR(IF(BB_Switch=1,IF(_xll.BDP($D364,$D$351, "EQY_FUND_RELATIVE_PERIOD", X$3)="#N/A N/A","NA  ",(_xll.BDP($D364,$D$351, "EQY_FUND_RELATIVE_PERIOD", X$3))),X364),"NA ")</f>
        <v>2587</v>
      </c>
      <c r="Y364" s="228">
        <f ca="1">IFERROR(IF(BB_Switch=1,IF(_xll.BDP($D364,$D$351, "EQY_FUND_RELATIVE_PERIOD", Y$3)="#N/A N/A","NA  ",(_xll.BDP($D364,$D$351, "EQY_FUND_RELATIVE_PERIOD", Y$3))),Y364),"NA ")</f>
        <v>3227</v>
      </c>
      <c r="Z364" s="228">
        <f ca="1">IFERROR(IF(BB_Switch=1,IF(_xll.BDP($D364,$D$351, "EQY_FUND_RELATIVE_PERIOD", Z$3)="#N/A N/A","NA  ",(_xll.BDP($D364,$D$351, "EQY_FUND_RELATIVE_PERIOD", Z$3))),Z364),"NA ")</f>
        <v>1662</v>
      </c>
      <c r="AA364" s="228">
        <f ca="1">IFERROR(IF(BB_Switch=1,IF(_xll.BDP($D364,$D$351, "EQY_FUND_RELATIVE_PERIOD", AA$3)="#N/A N/A","NA  ",(_xll.BDP($D364,$D$351, "EQY_FUND_RELATIVE_PERIOD", AA$3))),AA364),"NA ")</f>
        <v>3634</v>
      </c>
      <c r="AB364" s="228">
        <f ca="1">IFERROR(IF(BB_Switch=1,IF(_xll.BDP($D364,$D$351, "EQY_FUND_RELATIVE_PERIOD", AB$3)="#N/A N/A","NA  ",(_xll.BDP($D364,$D$351, "EQY_FUND_RELATIVE_PERIOD", AB$3))),AB364),"NA ")</f>
        <v>3572</v>
      </c>
      <c r="AC364" s="228">
        <f ca="1">IFERROR(IF(BB_Switch=1,IF(_xll.BDP($D364,$D$351, "EQY_FUND_RELATIVE_PERIOD", AC$3)="#N/A N/A","NA  ",(_xll.BDP($D364,$D$351, "EQY_FUND_RELATIVE_PERIOD", AC$3))),AC364),"NA ")</f>
        <v>4789</v>
      </c>
      <c r="AD364" s="228">
        <f ca="1">IFERROR(IF(BB_Switch=1,IF(_xll.BDP($D364,$D$351, "EQY_FUND_RELATIVE_PERIOD", AD$3)="#N/A N/A","NA  ",(_xll.BDP($D364,$D$351, "EQY_FUND_RELATIVE_PERIOD", AD$3))),AD364),"NA ")</f>
        <v>4045</v>
      </c>
      <c r="AE364" s="228">
        <f ca="1">IFERROR(IF(BB_Switch=1,IF(_xll.BDP($D364,$D$351, "EQY_FUND_RELATIVE_PERIOD", AE$3)="#N/A N/A","NA  ",(_xll.BDP($D364,$D$351, "EQY_FUND_RELATIVE_PERIOD", AE$3))),AE364),"NA ")</f>
        <v>3650</v>
      </c>
      <c r="AF364" s="228"/>
      <c r="AG364" s="228">
        <f ca="1">IFERROR(IF(BB_Switch=1,IF(_xll.BDP($D364,$V$351)="#N/A N/A","NA  ",(_xll.BDP($D364,$V$351))),AG364),"NA ")</f>
        <v>3650</v>
      </c>
      <c r="AH364" s="228"/>
      <c r="AI364" s="228"/>
      <c r="AJ364" s="228"/>
    </row>
    <row r="365" spans="3:36" ht="11.25" customHeight="1">
      <c r="C365" s="229" t="str">
        <f ca="1">IFERROR(IF(BB_Switch=1,_xll.BDP($D365,$C$270),C365), "NA ")</f>
        <v>Trinseo SA</v>
      </c>
      <c r="D365" s="227" t="str">
        <f>+D24</f>
        <v>TSE US EQUITY</v>
      </c>
      <c r="E365" s="228">
        <f ca="1">IFERROR(IF(BB_Switch=1,IF(_xll.BDP($D365,$D$351, "EQY_FUND_RELATIVE_PERIOD", E$3)="#N/A N/A","NA  ",(_xll.BDP($D365,$D$351, "EQY_FUND_RELATIVE_PERIOD", E$3))),E365),"NA ")</f>
        <v>-61.756999999999998</v>
      </c>
      <c r="F365" s="228">
        <f ca="1">IFERROR(IF(BB_Switch=1,IF(_xll.BDP($D365,$D$351, "EQY_FUND_RELATIVE_PERIOD", F$3)="#N/A N/A","NA  ",(_xll.BDP($D365,$D$351, "EQY_FUND_RELATIVE_PERIOD", F$3))),F365),"NA ")</f>
        <v>24.057000000000002</v>
      </c>
      <c r="G365" s="228">
        <f ca="1">IFERROR(IF(BB_Switch=1,IF(_xll.BDP($D365,$D$351, "EQY_FUND_RELATIVE_PERIOD", G$3)="#N/A N/A","NA  ",(_xll.BDP($D365,$D$351, "EQY_FUND_RELATIVE_PERIOD", G$3))),G365),"NA ")</f>
        <v>123.6</v>
      </c>
      <c r="H365" s="228">
        <f ca="1">IFERROR(IF(BB_Switch=1,IF(_xll.BDP($D365,$D$351, "EQY_FUND_RELATIVE_PERIOD", H$3)="#N/A N/A","NA  ",(_xll.BDP($D365,$D$351, "EQY_FUND_RELATIVE_PERIOD", H$3))),H365),"NA ")</f>
        <v>158</v>
      </c>
      <c r="I365" s="228">
        <f ca="1">IFERROR(IF(BB_Switch=1,IF(_xll.BDP($D365,$D$351, "EQY_FUND_RELATIVE_PERIOD", I$3)="#N/A N/A","NA  ",(_xll.BDP($D365,$D$351, "EQY_FUND_RELATIVE_PERIOD", I$3))),I365),"NA ")</f>
        <v>10.199999999999996</v>
      </c>
      <c r="J365" s="228">
        <f ca="1">IFERROR(IF(BB_Switch=1,IF(_xll.BDP($D365,$D$351, "EQY_FUND_RELATIVE_PERIOD", J$3)="#N/A N/A","NA  ",(_xll.BDP($D365,$D$351, "EQY_FUND_RELATIVE_PERIOD", J$3))),J365),"NA ")</f>
        <v>112.69999999999999</v>
      </c>
      <c r="K365" s="228">
        <f ca="1">IFERROR(IF(BB_Switch=1,IF(_xll.BDP($D365,$D$351, "EQY_FUND_RELATIVE_PERIOD", K$3)="#N/A N/A","NA  ",(_xll.BDP($D365,$D$351, "EQY_FUND_RELATIVE_PERIOD", K$3))),K365),"NA ")</f>
        <v>24.700000000000003</v>
      </c>
      <c r="L365" s="228">
        <f ca="1">IFERROR(IF(BB_Switch=1,IF(_xll.BDP($D365,$D$351, "EQY_FUND_RELATIVE_PERIOD", L$3)="#N/A N/A","NA  ",(_xll.BDP($D365,$D$351, "EQY_FUND_RELATIVE_PERIOD", L$3))),L365),"NA ")</f>
        <v>97.5</v>
      </c>
      <c r="M365" s="228">
        <f ca="1">IFERROR(IF(BB_Switch=1,IF(_xll.BDP($D365,$D$351, "EQY_FUND_RELATIVE_PERIOD", M$3)="#N/A N/A","NA  ",(_xll.BDP($D365,$D$351, "EQY_FUND_RELATIVE_PERIOD", M$3))),M365),"NA ")</f>
        <v>128.19999999999999</v>
      </c>
      <c r="N365" s="228">
        <f ca="1">IFERROR(IF(BB_Switch=1,IF(_xll.BDP($D365,$D$351, "EQY_FUND_RELATIVE_PERIOD", N$3)="#N/A N/A","NA  ",(_xll.BDP($D365,$D$351, "EQY_FUND_RELATIVE_PERIOD", N$3))),N365),"NA ")</f>
        <v>58.199999999999996</v>
      </c>
      <c r="O365" s="228">
        <f ca="1">IFERROR(IF(BB_Switch=1,IF(_xll.BDP($D365,$D$351, "EQY_FUND_RELATIVE_PERIOD", O$3)="#N/A N/A","NA  ",(_xll.BDP($D365,$D$351, "EQY_FUND_RELATIVE_PERIOD", O$3))),O365),"NA ")</f>
        <v>17.299999999999997</v>
      </c>
      <c r="P365" s="228">
        <f ca="1">IFERROR(IF(BB_Switch=1,IF(_xll.BDP($D365,$D$351, "EQY_FUND_RELATIVE_PERIOD", P$3)="#N/A N/A","NA  ",(_xll.BDP($D365,$D$351, "EQY_FUND_RELATIVE_PERIOD", P$3))),P365),"NA ")</f>
        <v>8.7000000000000028</v>
      </c>
      <c r="Q365" s="227"/>
      <c r="R365" s="227"/>
      <c r="S365" s="227"/>
      <c r="T365" s="227"/>
      <c r="U365" s="227"/>
      <c r="V365" s="228">
        <f ca="1">IFERROR(IF(BB_Switch=1,IF(_xll.BDP($D365,$D$351, "EQY_FUND_RELATIVE_PERIOD", V$3)="#N/A N/A","NA  ",(_xll.BDP($D365,$D$351, "EQY_FUND_RELATIVE_PERIOD", V$3))),V365),"NA ")</f>
        <v>-359.12200000000001</v>
      </c>
      <c r="W365" s="228">
        <f ca="1">IFERROR(IF(BB_Switch=1,IF(_xll.BDP($D365,$D$351, "EQY_FUND_RELATIVE_PERIOD", W$3)="#N/A N/A","NA  ",(_xll.BDP($D365,$D$351, "EQY_FUND_RELATIVE_PERIOD", W$3))),W365),"NA ")</f>
        <v>51.275000000000006</v>
      </c>
      <c r="X365" s="228">
        <f ca="1">IFERROR(IF(BB_Switch=1,IF(_xll.BDP($D365,$D$351, "EQY_FUND_RELATIVE_PERIOD", X$3)="#N/A N/A","NA  ",(_xll.BDP($D365,$D$351, "EQY_FUND_RELATIVE_PERIOD", X$3))),X365),"NA ")</f>
        <v>67.611000000000004</v>
      </c>
      <c r="Y365" s="228">
        <f ca="1">IFERROR(IF(BB_Switch=1,IF(_xll.BDP($D365,$D$351, "EQY_FUND_RELATIVE_PERIOD", Y$3)="#N/A N/A","NA  ",(_xll.BDP($D365,$D$351, "EQY_FUND_RELATIVE_PERIOD", Y$3))),Y365),"NA ")</f>
        <v>137.791</v>
      </c>
      <c r="Z365" s="228">
        <f ca="1">IFERROR(IF(BB_Switch=1,IF(_xll.BDP($D365,$D$351, "EQY_FUND_RELATIVE_PERIOD", Z$3)="#N/A N/A","NA  ",(_xll.BDP($D365,$D$351, "EQY_FUND_RELATIVE_PERIOD", Z$3))),Z365),"NA ")</f>
        <v>18.615000000000009</v>
      </c>
      <c r="AA365" s="228">
        <f ca="1">IFERROR(IF(BB_Switch=1,IF(_xll.BDP($D365,$D$351, "EQY_FUND_RELATIVE_PERIOD", AA$3)="#N/A N/A","NA  ",(_xll.BDP($D365,$D$351, "EQY_FUND_RELATIVE_PERIOD", AA$3))),AA365),"NA ")</f>
        <v>243.98200000000003</v>
      </c>
      <c r="AB365" s="228">
        <f ca="1">IFERROR(IF(BB_Switch=1,IF(_xll.BDP($D365,$D$351, "EQY_FUND_RELATIVE_PERIOD", AB$3)="#N/A N/A","NA  ",(_xll.BDP($D365,$D$351, "EQY_FUND_RELATIVE_PERIOD", AB$3))),AB365),"NA ")</f>
        <v>279.78500000000003</v>
      </c>
      <c r="AC365" s="228">
        <f ca="1">IFERROR(IF(BB_Switch=1,IF(_xll.BDP($D365,$D$351, "EQY_FUND_RELATIVE_PERIOD", AC$3)="#N/A N/A","NA  ",(_xll.BDP($D365,$D$351, "EQY_FUND_RELATIVE_PERIOD", AC$3))),AC365),"NA ")</f>
        <v>243.9</v>
      </c>
      <c r="AD365" s="228">
        <f ca="1">IFERROR(IF(BB_Switch=1,IF(_xll.BDP($D365,$D$351, "EQY_FUND_RELATIVE_PERIOD", AD$3)="#N/A N/A","NA  ",(_xll.BDP($D365,$D$351, "EQY_FUND_RELATIVE_PERIOD", AD$3))),AD365),"NA ")</f>
        <v>245.1</v>
      </c>
      <c r="AE365" s="228">
        <f ca="1">IFERROR(IF(BB_Switch=1,IF(_xll.BDP($D365,$D$351, "EQY_FUND_RELATIVE_PERIOD", AE$3)="#N/A N/A","NA  ",(_xll.BDP($D365,$D$351, "EQY_FUND_RELATIVE_PERIOD", AE$3))),AE365),"NA ")</f>
        <v>212.4</v>
      </c>
      <c r="AF365" s="228"/>
      <c r="AG365" s="228">
        <f ca="1">IFERROR(IF(BB_Switch=1,IF(_xll.BDP($D365,$V$351)="#N/A N/A","NA  ",(_xll.BDP($D365,$V$351))),AG365),"NA ")</f>
        <v>212.39999999999998</v>
      </c>
      <c r="AH365" s="228"/>
      <c r="AI365" s="228"/>
      <c r="AJ365" s="228"/>
    </row>
    <row r="366" spans="3:36" ht="11.25" customHeight="1">
      <c r="C366" s="229"/>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27"/>
      <c r="AC366" s="227"/>
      <c r="AD366" s="227"/>
      <c r="AE366" s="227"/>
      <c r="AF366" s="227"/>
      <c r="AG366" s="227"/>
      <c r="AH366" s="228"/>
      <c r="AI366" s="228"/>
      <c r="AJ366" s="228"/>
    </row>
    <row r="367" spans="3:36" ht="11.25" customHeight="1">
      <c r="C367" s="224" t="s">
        <v>482</v>
      </c>
      <c r="D367" s="223"/>
      <c r="E367" s="222"/>
      <c r="F367" s="222"/>
      <c r="G367" s="222"/>
      <c r="H367" s="222"/>
      <c r="I367" s="222"/>
      <c r="J367" s="222"/>
      <c r="K367" s="222"/>
      <c r="L367" s="222"/>
      <c r="M367" s="222"/>
      <c r="N367" s="222"/>
      <c r="O367" s="222"/>
      <c r="P367" s="222"/>
      <c r="Q367" s="222"/>
      <c r="R367" s="222"/>
      <c r="S367" s="222"/>
      <c r="T367" s="289"/>
      <c r="U367" s="359"/>
      <c r="V367" s="295"/>
      <c r="W367" s="222"/>
      <c r="X367" s="222"/>
      <c r="Y367" s="222"/>
      <c r="Z367" s="222"/>
      <c r="AA367" s="222"/>
      <c r="AB367" s="222"/>
      <c r="AC367" s="222"/>
      <c r="AD367" s="222"/>
      <c r="AE367" s="222"/>
      <c r="AF367" s="222"/>
      <c r="AG367" s="222">
        <f ca="1">AVERAGE(AG353:AG359,AG362:AG365)</f>
        <v>1088.2260909090908</v>
      </c>
      <c r="AH367" s="250"/>
      <c r="AI367" s="250"/>
      <c r="AJ367" s="291"/>
    </row>
    <row r="368" spans="3:36" ht="11.25" customHeight="1">
      <c r="C368" s="221" t="s">
        <v>481</v>
      </c>
      <c r="D368" s="220"/>
      <c r="E368" s="218"/>
      <c r="F368" s="218"/>
      <c r="G368" s="218"/>
      <c r="H368" s="218"/>
      <c r="I368" s="218"/>
      <c r="J368" s="218"/>
      <c r="K368" s="218"/>
      <c r="L368" s="218"/>
      <c r="M368" s="218"/>
      <c r="N368" s="218"/>
      <c r="O368" s="218"/>
      <c r="P368" s="218"/>
      <c r="Q368" s="218"/>
      <c r="R368" s="218"/>
      <c r="S368" s="218"/>
      <c r="T368" s="290"/>
      <c r="U368" s="359"/>
      <c r="V368" s="296"/>
      <c r="W368" s="218"/>
      <c r="X368" s="218"/>
      <c r="Y368" s="218"/>
      <c r="Z368" s="218"/>
      <c r="AA368" s="218"/>
      <c r="AB368" s="218"/>
      <c r="AC368" s="218"/>
      <c r="AD368" s="218"/>
      <c r="AE368" s="218"/>
      <c r="AF368" s="218"/>
      <c r="AG368" s="218">
        <f ca="1">MEDIAN(AG353:AG359,AG362:AG365)</f>
        <v>514</v>
      </c>
      <c r="AH368" s="249"/>
      <c r="AI368" s="249"/>
      <c r="AJ368" s="292"/>
    </row>
    <row r="370" spans="2:39" s="227" customFormat="1" ht="11.25" customHeight="1">
      <c r="B370" s="231" t="s">
        <v>14</v>
      </c>
      <c r="C370" s="232" t="s">
        <v>485</v>
      </c>
      <c r="D370" s="232"/>
      <c r="E370" s="232"/>
      <c r="F370" s="232"/>
      <c r="G370" s="232"/>
      <c r="H370" s="232"/>
      <c r="I370" s="232"/>
      <c r="J370" s="232"/>
      <c r="K370" s="232"/>
      <c r="L370" s="232"/>
      <c r="M370" s="232"/>
      <c r="N370" s="232"/>
      <c r="O370" s="232"/>
      <c r="P370" s="232"/>
      <c r="Q370" s="232"/>
      <c r="R370" s="232"/>
      <c r="S370" s="232"/>
      <c r="T370" s="232"/>
      <c r="U370" s="233"/>
      <c r="V370" s="232"/>
      <c r="W370" s="231"/>
      <c r="X370" s="231"/>
      <c r="Y370" s="231"/>
      <c r="Z370" s="231"/>
      <c r="AA370" s="231"/>
      <c r="AB370" s="231"/>
      <c r="AC370" s="231"/>
      <c r="AD370" s="231"/>
      <c r="AE370" s="231"/>
      <c r="AF370" s="231"/>
      <c r="AG370" s="231"/>
      <c r="AH370" s="231"/>
      <c r="AI370" s="231"/>
      <c r="AJ370" s="231"/>
    </row>
    <row r="371" spans="2:39" ht="11.25" customHeight="1">
      <c r="D371" s="217" t="s">
        <v>484</v>
      </c>
      <c r="V371" s="217" t="s">
        <v>483</v>
      </c>
    </row>
    <row r="372" spans="2:39" ht="11.25" customHeight="1">
      <c r="C372" s="428" t="str">
        <f>+C11</f>
        <v>Commodity Chemicals</v>
      </c>
      <c r="AE372" s="238"/>
      <c r="AK372" s="230"/>
    </row>
    <row r="373" spans="2:39" ht="11.25" customHeight="1">
      <c r="C373" s="229" t="str">
        <f ca="1">IFERROR(IF(BB_Switch=1,_xll.BDP($D373,$C$270),C373), "NA ")</f>
        <v>DuPont de Nemours Inc</v>
      </c>
      <c r="D373" s="227" t="str">
        <f t="shared" ref="D373:D379" si="126">+D12</f>
        <v>DD US EQUITY</v>
      </c>
      <c r="E373" s="228">
        <f ca="1">IFERROR(IF(BB_Switch=1,IF(_xll.BDP($D373,$D$371, "EQY_FUND_RELATIVE_PERIOD", E$3)="#N/A N/A","NA  ",(_xll.BDP($D373,$D$371, "EQY_FUND_RELATIVE_PERIOD", E$3))),E373),"NA ")</f>
        <v>-1.0752689247311937</v>
      </c>
      <c r="F373" s="228" t="str">
        <f ca="1">IFERROR(IF(BB_Switch=1,IF(_xll.BDP($D373,$D$371, "EQY_FUND_RELATIVE_PERIOD", F$3)="#N/A N/A","NA  ",(_xll.BDP($D373,$D$371, "EQY_FUND_RELATIVE_PERIOD", F$3))),F373),"NA ")</f>
        <v xml:space="preserve">NA  </v>
      </c>
      <c r="G373" s="228">
        <f ca="1">IFERROR(IF(BB_Switch=1,IF(_xll.BDP($D373,$D$371, "EQY_FUND_RELATIVE_PERIOD", G$3)="#N/A N/A","NA  ",(_xll.BDP($D373,$D$371, "EQY_FUND_RELATIVE_PERIOD", G$3))),G373),"NA ")</f>
        <v>-4.0914952545103507</v>
      </c>
      <c r="H373" s="228" t="str">
        <f ca="1">IFERROR(IF(BB_Switch=1,IF(_xll.BDP($D373,$D$371, "EQY_FUND_RELATIVE_PERIOD", H$3)="#N/A N/A","NA  ",(_xll.BDP($D373,$D$371, "EQY_FUND_RELATIVE_PERIOD", H$3))),H373),"NA ")</f>
        <v xml:space="preserve">NA  </v>
      </c>
      <c r="I373" s="228">
        <f ca="1">IFERROR(IF(BB_Switch=1,IF(_xll.BDP($D373,$D$371, "EQY_FUND_RELATIVE_PERIOD", I$3)="#N/A N/A","NA  ",(_xll.BDP($D373,$D$371, "EQY_FUND_RELATIVE_PERIOD", I$3))),I373),"NA ")</f>
        <v>-3.7716879041433264</v>
      </c>
      <c r="J373" s="228">
        <f ca="1">IFERROR(IF(BB_Switch=1,IF(_xll.BDP($D373,$D$371, "EQY_FUND_RELATIVE_PERIOD", J$3)="#N/A N/A","NA  ",(_xll.BDP($D373,$D$371, "EQY_FUND_RELATIVE_PERIOD", J$3))),J373),"NA ")</f>
        <v>1.6632018278586442</v>
      </c>
      <c r="K373" s="228">
        <f ca="1">IFERROR(IF(BB_Switch=1,IF(_xll.BDP($D373,$D$371, "EQY_FUND_RELATIVE_PERIOD", K$3)="#N/A N/A","NA  ",(_xll.BDP($D373,$D$371, "EQY_FUND_RELATIVE_PERIOD", K$3))),K373),"NA ")</f>
        <v>-1.6919242677030066</v>
      </c>
      <c r="L373" s="228">
        <f ca="1">IFERROR(IF(BB_Switch=1,IF(_xll.BDP($D373,$D$371, "EQY_FUND_RELATIVE_PERIOD", L$3)="#N/A N/A","NA  ",(_xll.BDP($D373,$D$371, "EQY_FUND_RELATIVE_PERIOD", L$3))),L373),"NA ")</f>
        <v>4.8875991242272487</v>
      </c>
      <c r="M373" s="228">
        <f ca="1">IFERROR(IF(BB_Switch=1,IF(_xll.BDP($D373,$D$371, "EQY_FUND_RELATIVE_PERIOD", M$3)="#N/A N/A","NA  ",(_xll.BDP($D373,$D$371, "EQY_FUND_RELATIVE_PERIOD", M$3))),M373),"NA ")</f>
        <v>-1.4839341957690919</v>
      </c>
      <c r="N373" s="228">
        <f ca="1">IFERROR(IF(BB_Switch=1,IF(_xll.BDP($D373,$D$371, "EQY_FUND_RELATIVE_PERIOD", N$3)="#N/A N/A","NA  ",(_xll.BDP($D373,$D$371, "EQY_FUND_RELATIVE_PERIOD", N$3))),N373),"NA ")</f>
        <v>-0.9853137516688919</v>
      </c>
      <c r="O373" s="228">
        <f ca="1">IFERROR(IF(BB_Switch=1,IF(_xll.BDP($D373,$D$371, "EQY_FUND_RELATIVE_PERIOD", O$3)="#N/A N/A","NA  ",(_xll.BDP($D373,$D$371, "EQY_FUND_RELATIVE_PERIOD", O$3))),O373),"NA ")</f>
        <v>0.79275653923541245</v>
      </c>
      <c r="P373" s="228">
        <f ca="1">IFERROR(IF(BB_Switch=1,IF(_xll.BDP($D373,$D$371, "EQY_FUND_RELATIVE_PERIOD", P$3)="#N/A N/A","NA  ",(_xll.BDP($D373,$D$371, "EQY_FUND_RELATIVE_PERIOD", P$3))),P373),"NA ")</f>
        <v>-5.5353044417442959E-2</v>
      </c>
      <c r="Q373" s="227"/>
      <c r="R373" s="227"/>
      <c r="S373" s="227"/>
      <c r="T373" s="227"/>
      <c r="U373" s="227"/>
      <c r="V373" s="228" t="str">
        <f ca="1">IFERROR(IF(BB_Switch=1,IF(_xll.BDP($D373,$D$371, "EQY_FUND_RELATIVE_PERIOD", V$3)="#N/A N/A","NA  ",(_xll.BDP($D373,$D$371, "EQY_FUND_RELATIVE_PERIOD", V$3))),V373),"NA ")</f>
        <v xml:space="preserve">NA  </v>
      </c>
      <c r="W373" s="228" t="str">
        <f ca="1">IFERROR(IF(BB_Switch=1,IF(_xll.BDP($D373,$D$371, "EQY_FUND_RELATIVE_PERIOD", W$3)="#N/A N/A","NA  ",(_xll.BDP($D373,$D$371, "EQY_FUND_RELATIVE_PERIOD", W$3))),W373),"NA ")</f>
        <v xml:space="preserve">NA  </v>
      </c>
      <c r="X373" s="228" t="str">
        <f ca="1">IFERROR(IF(BB_Switch=1,IF(_xll.BDP($D373,$D$371, "EQY_FUND_RELATIVE_PERIOD", X$3)="#N/A N/A","NA  ",(_xll.BDP($D373,$D$371, "EQY_FUND_RELATIVE_PERIOD", X$3))),X373),"NA ")</f>
        <v xml:space="preserve">NA  </v>
      </c>
      <c r="Y373" s="228" t="str">
        <f ca="1">IFERROR(IF(BB_Switch=1,IF(_xll.BDP($D373,$D$371, "EQY_FUND_RELATIVE_PERIOD", Y$3)="#N/A N/A","NA  ",(_xll.BDP($D373,$D$371, "EQY_FUND_RELATIVE_PERIOD", Y$3))),Y373),"NA ")</f>
        <v xml:space="preserve">NA  </v>
      </c>
      <c r="Z373" s="228" t="str">
        <f ca="1">IFERROR(IF(BB_Switch=1,IF(_xll.BDP($D373,$D$371, "EQY_FUND_RELATIVE_PERIOD", Z$3)="#N/A N/A","NA  ",(_xll.BDP($D373,$D$371, "EQY_FUND_RELATIVE_PERIOD", Z$3))),Z373),"NA ")</f>
        <v xml:space="preserve">NA  </v>
      </c>
      <c r="AA373" s="228" t="str">
        <f ca="1">IFERROR(IF(BB_Switch=1,IF(_xll.BDP($D373,$D$371, "EQY_FUND_RELATIVE_PERIOD", AA$3)="#N/A N/A","NA  ",(_xll.BDP($D373,$D$371, "EQY_FUND_RELATIVE_PERIOD", AA$3))),AA373),"NA ")</f>
        <v xml:space="preserve">NA  </v>
      </c>
      <c r="AB373" s="228" t="str">
        <f ca="1">IFERROR(IF(BB_Switch=1,IF(_xll.BDP($D373,$D$371, "EQY_FUND_RELATIVE_PERIOD", AB$3)="#N/A N/A","NA  ",(_xll.BDP($D373,$D$371, "EQY_FUND_RELATIVE_PERIOD", AB$3))),AB373),"NA ")</f>
        <v xml:space="preserve">NA  </v>
      </c>
      <c r="AC373" s="228">
        <f ca="1">IFERROR(IF(BB_Switch=1,IF(_xll.BDP($D373,$D$371, "EQY_FUND_RELATIVE_PERIOD", AC$3)="#N/A N/A","NA  ",(_xll.BDP($D373,$D$371, "EQY_FUND_RELATIVE_PERIOD", AC$3))),AC373),"NA ")</f>
        <v>-5.5961966093636262</v>
      </c>
      <c r="AD373" s="228">
        <f ca="1">IFERROR(IF(BB_Switch=1,IF(_xll.BDP($D373,$D$371, "EQY_FUND_RELATIVE_PERIOD", AD$3)="#N/A N/A","NA  ",(_xll.BDP($D373,$D$371, "EQY_FUND_RELATIVE_PERIOD", AD$3))),AD373),"NA ")</f>
        <v>1.1655791335070664</v>
      </c>
      <c r="AE373" s="228">
        <f ca="1">IFERROR(IF(BB_Switch=1,IF(_xll.BDP($D373,$D$371, "EQY_FUND_RELATIVE_PERIOD", AE$3)="#N/A N/A","NA  ",(_xll.BDP($D373,$D$371, "EQY_FUND_RELATIVE_PERIOD", AE$3))),AE373),"NA ")</f>
        <v>-1.4243601768725715</v>
      </c>
      <c r="AF373" s="228"/>
      <c r="AG373" s="228">
        <f ca="1">IFERROR(IF(BB_Switch=1,IF(_xll.BDP($D373,$V$371)="#N/A N/A","NA  ",(_xll.BDP($D373,$V$371))),AG373),"NA ")</f>
        <v>-1.731844422159077</v>
      </c>
      <c r="AH373" s="228"/>
      <c r="AI373" s="228"/>
      <c r="AJ373" s="228"/>
    </row>
    <row r="374" spans="2:39" ht="11.25" customHeight="1">
      <c r="C374" s="229" t="str">
        <f ca="1">IFERROR(IF(BB_Switch=1,_xll.BDP($D374,$C$270),C374), "NA ")</f>
        <v>PolyOne Corp</v>
      </c>
      <c r="D374" s="227" t="str">
        <f t="shared" si="126"/>
        <v>POL US EQUITY</v>
      </c>
      <c r="E374" s="228">
        <f ca="1">IFERROR(IF(BB_Switch=1,IF(_xll.BDP($D374,$D$371, "EQY_FUND_RELATIVE_PERIOD", E$3)="#N/A N/A","NA  ",(_xll.BDP($D374,$D$371, "EQY_FUND_RELATIVE_PERIOD", E$3))),E374),"NA ")</f>
        <v>-0.47746650426309384</v>
      </c>
      <c r="F374" s="228">
        <f ca="1">IFERROR(IF(BB_Switch=1,IF(_xll.BDP($D374,$D$371, "EQY_FUND_RELATIVE_PERIOD", F$3)="#N/A N/A","NA  ",(_xll.BDP($D374,$D$371, "EQY_FUND_RELATIVE_PERIOD", F$3))),F374),"NA ")</f>
        <v>0.59657701711491451</v>
      </c>
      <c r="G374" s="228">
        <f ca="1">IFERROR(IF(BB_Switch=1,IF(_xll.BDP($D374,$D$371, "EQY_FUND_RELATIVE_PERIOD", G$3)="#N/A N/A","NA  ",(_xll.BDP($D374,$D$371, "EQY_FUND_RELATIVE_PERIOD", G$3))),G374),"NA ")</f>
        <v>0.61083743842364535</v>
      </c>
      <c r="H374" s="228">
        <f ca="1">IFERROR(IF(BB_Switch=1,IF(_xll.BDP($D374,$D$371, "EQY_FUND_RELATIVE_PERIOD", H$3)="#N/A N/A","NA  ",(_xll.BDP($D374,$D$371, "EQY_FUND_RELATIVE_PERIOD", H$3))),H374),"NA ")</f>
        <v>0.66501854140914707</v>
      </c>
      <c r="I374" s="228">
        <f ca="1">IFERROR(IF(BB_Switch=1,IF(_xll.BDP($D374,$D$371, "EQY_FUND_RELATIVE_PERIOD", I$3)="#N/A N/A","NA  ",(_xll.BDP($D374,$D$371, "EQY_FUND_RELATIVE_PERIOD", I$3))),I374),"NA ")</f>
        <v>0.17164179104477609</v>
      </c>
      <c r="J374" s="228">
        <f ca="1">IFERROR(IF(BB_Switch=1,IF(_xll.BDP($D374,$D$371, "EQY_FUND_RELATIVE_PERIOD", J$3)="#N/A N/A","NA  ",(_xll.BDP($D374,$D$371, "EQY_FUND_RELATIVE_PERIOD", J$3))),J374),"NA ")</f>
        <v>0.79599499374217764</v>
      </c>
      <c r="K374" s="228">
        <f ca="1">IFERROR(IF(BB_Switch=1,IF(_xll.BDP($D374,$D$371, "EQY_FUND_RELATIVE_PERIOD", K$3)="#N/A N/A","NA  ",(_xll.BDP($D374,$D$371, "EQY_FUND_RELATIVE_PERIOD", K$3))),K374),"NA ")</f>
        <v>0.53007518796992481</v>
      </c>
      <c r="L374" s="228">
        <f ca="1">IFERROR(IF(BB_Switch=1,IF(_xll.BDP($D374,$D$371, "EQY_FUND_RELATIVE_PERIOD", L$3)="#N/A N/A","NA  ",(_xll.BDP($D374,$D$371, "EQY_FUND_RELATIVE_PERIOD", L$3))),L374),"NA ")</f>
        <v>0.7379134860050891</v>
      </c>
      <c r="M374" s="228">
        <f ca="1">IFERROR(IF(BB_Switch=1,IF(_xll.BDP($D374,$D$371, "EQY_FUND_RELATIVE_PERIOD", M$3)="#N/A N/A","NA  ",(_xll.BDP($D374,$D$371, "EQY_FUND_RELATIVE_PERIOD", M$3))),M374),"NA ")</f>
        <v>-0.44473007712082263</v>
      </c>
      <c r="N374" s="228">
        <f ca="1">IFERROR(IF(BB_Switch=1,IF(_xll.BDP($D374,$D$371, "EQY_FUND_RELATIVE_PERIOD", N$3)="#N/A N/A","NA  ",(_xll.BDP($D374,$D$371, "EQY_FUND_RELATIVE_PERIOD", N$3))),N374),"NA ")</f>
        <v>1.3906856403622252</v>
      </c>
      <c r="O374" s="228">
        <f ca="1">IFERROR(IF(BB_Switch=1,IF(_xll.BDP($D374,$D$371, "EQY_FUND_RELATIVE_PERIOD", O$3)="#N/A N/A","NA  ",(_xll.BDP($D374,$D$371, "EQY_FUND_RELATIVE_PERIOD", O$3))),O374),"NA ")</f>
        <v>1.0117035110533161</v>
      </c>
      <c r="P374" s="228">
        <f ca="1">IFERROR(IF(BB_Switch=1,IF(_xll.BDP($D374,$D$371, "EQY_FUND_RELATIVE_PERIOD", P$3)="#N/A N/A","NA  ",(_xll.BDP($D374,$D$371, "EQY_FUND_RELATIVE_PERIOD", P$3))),P374),"NA ")</f>
        <v>0.88946684005201559</v>
      </c>
      <c r="Q374" s="227"/>
      <c r="R374" s="227"/>
      <c r="S374" s="227"/>
      <c r="T374" s="227"/>
      <c r="U374" s="227"/>
      <c r="V374" s="228">
        <f ca="1">IFERROR(IF(BB_Switch=1,IF(_xll.BDP($D374,$D$371, "EQY_FUND_RELATIVE_PERIOD", V$3)="#N/A N/A","NA  ",(_xll.BDP($D374,$D$371, "EQY_FUND_RELATIVE_PERIOD", V$3))),V374),"NA ")</f>
        <v>1.0880773361976372</v>
      </c>
      <c r="W374" s="228">
        <f ca="1">IFERROR(IF(BB_Switch=1,IF(_xll.BDP($D374,$D$371, "EQY_FUND_RELATIVE_PERIOD", W$3)="#N/A N/A","NA  ",(_xll.BDP($D374,$D$371, "EQY_FUND_RELATIVE_PERIOD", W$3))),W374),"NA ")</f>
        <v>0.19956616052060736</v>
      </c>
      <c r="X374" s="228">
        <f ca="1">IFERROR(IF(BB_Switch=1,IF(_xll.BDP($D374,$D$371, "EQY_FUND_RELATIVE_PERIOD", X$3)="#N/A N/A","NA  ",(_xll.BDP($D374,$D$371, "EQY_FUND_RELATIVE_PERIOD", X$3))),X374),"NA ")</f>
        <v>0.55555555555555569</v>
      </c>
      <c r="Y374" s="228">
        <f ca="1">IFERROR(IF(BB_Switch=1,IF(_xll.BDP($D374,$D$371, "EQY_FUND_RELATIVE_PERIOD", Y$3)="#N/A N/A","NA  ",(_xll.BDP($D374,$D$371, "EQY_FUND_RELATIVE_PERIOD", Y$3))),Y374),"NA ")</f>
        <v>0.34136125654450256</v>
      </c>
      <c r="Z374" s="228">
        <f ca="1">IFERROR(IF(BB_Switch=1,IF(_xll.BDP($D374,$D$371, "EQY_FUND_RELATIVE_PERIOD", Z$3)="#N/A N/A","NA  ",(_xll.BDP($D374,$D$371, "EQY_FUND_RELATIVE_PERIOD", Z$3))),Z374),"NA ")</f>
        <v>1.2524377031419287</v>
      </c>
      <c r="AA374" s="228">
        <f ca="1">IFERROR(IF(BB_Switch=1,IF(_xll.BDP($D374,$D$371, "EQY_FUND_RELATIVE_PERIOD", AA$3)="#N/A N/A","NA  ",(_xll.BDP($D374,$D$371, "EQY_FUND_RELATIVE_PERIOD", AA$3))),AA374),"NA ")</f>
        <v>1.5489749430523918</v>
      </c>
      <c r="AB374" s="228">
        <f ca="1">IFERROR(IF(BB_Switch=1,IF(_xll.BDP($D374,$D$371, "EQY_FUND_RELATIVE_PERIOD", AB$3)="#N/A N/A","NA  ",(_xll.BDP($D374,$D$371, "EQY_FUND_RELATIVE_PERIOD", AB$3))),AB374),"NA ")</f>
        <v>1.7091775923718708</v>
      </c>
      <c r="AC374" s="228">
        <f ca="1">IFERROR(IF(BB_Switch=1,IF(_xll.BDP($D374,$D$371, "EQY_FUND_RELATIVE_PERIOD", AC$3)="#N/A N/A","NA  ",(_xll.BDP($D374,$D$371, "EQY_FUND_RELATIVE_PERIOD", AC$3))),AC374),"NA ")</f>
        <v>1.5067484662576689</v>
      </c>
      <c r="AD374" s="228">
        <f ca="1">IFERROR(IF(BB_Switch=1,IF(_xll.BDP($D374,$D$371, "EQY_FUND_RELATIVE_PERIOD", AD$3)="#N/A N/A","NA  ",(_xll.BDP($D374,$D$371, "EQY_FUND_RELATIVE_PERIOD", AD$3))),AD374),"NA ")</f>
        <v>2.2296110414052697</v>
      </c>
      <c r="AE374" s="228">
        <f ca="1">IFERROR(IF(BB_Switch=1,IF(_xll.BDP($D374,$D$371, "EQY_FUND_RELATIVE_PERIOD", AE$3)="#N/A N/A","NA  ",(_xll.BDP($D374,$D$371, "EQY_FUND_RELATIVE_PERIOD", AE$3))),AE374),"NA ")</f>
        <v>2.8380829015544045</v>
      </c>
      <c r="AF374" s="228"/>
      <c r="AG374" s="228">
        <f ca="1">IFERROR(IF(BB_Switch=1,IF(_xll.BDP($D374,$V$371)="#N/A N/A","NA  ",(_xll.BDP($D374,$V$371))),AG374),"NA ")</f>
        <v>2.8471259143467345</v>
      </c>
      <c r="AH374" s="228"/>
      <c r="AI374" s="228"/>
      <c r="AJ374" s="228"/>
    </row>
    <row r="375" spans="2:39" ht="11.25" customHeight="1">
      <c r="C375" s="229" t="str">
        <f ca="1">IFERROR(IF(BB_Switch=1,_xll.BDP($D375,$C$270),C375), "NA ")</f>
        <v>Olin Corp</v>
      </c>
      <c r="D375" s="227" t="str">
        <f t="shared" si="126"/>
        <v>OLN US EQUITY</v>
      </c>
      <c r="E375" s="228">
        <f ca="1">IFERROR(IF(BB_Switch=1,IF(_xll.BDP($D375,$D$371, "EQY_FUND_RELATIVE_PERIOD", E$3)="#N/A N/A","NA  ",(_xll.BDP($D375,$D$371, "EQY_FUND_RELATIVE_PERIOD", E$3))),E375),"NA ")</f>
        <v>0.10205314009661839</v>
      </c>
      <c r="F375" s="228">
        <f ca="1">IFERROR(IF(BB_Switch=1,IF(_xll.BDP($D375,$D$371, "EQY_FUND_RELATIVE_PERIOD", F$3)="#N/A N/A","NA  ",(_xll.BDP($D375,$D$371, "EQY_FUND_RELATIVE_PERIOD", F$3))),F375),"NA ")</f>
        <v>0.35881998795906078</v>
      </c>
      <c r="G375" s="228">
        <f ca="1">IFERROR(IF(BB_Switch=1,IF(_xll.BDP($D375,$D$371, "EQY_FUND_RELATIVE_PERIOD", G$3)="#N/A N/A","NA  ",(_xll.BDP($D375,$D$371, "EQY_FUND_RELATIVE_PERIOD", G$3))),G375),"NA ")</f>
        <v>1.0138304269392662</v>
      </c>
      <c r="H375" s="228">
        <f ca="1">IFERROR(IF(BB_Switch=1,IF(_xll.BDP($D375,$D$371, "EQY_FUND_RELATIVE_PERIOD", H$3)="#N/A N/A","NA  ",(_xll.BDP($D375,$D$371, "EQY_FUND_RELATIVE_PERIOD", H$3))),H375),"NA ")</f>
        <v>0.65469778575703164</v>
      </c>
      <c r="I375" s="228">
        <f ca="1">IFERROR(IF(BB_Switch=1,IF(_xll.BDP($D375,$D$371, "EQY_FUND_RELATIVE_PERIOD", I$3)="#N/A N/A","NA  ",(_xll.BDP($D375,$D$371, "EQY_FUND_RELATIVE_PERIOD", I$3))),I375),"NA ")</f>
        <v>-5.1435406698564563E-2</v>
      </c>
      <c r="J375" s="228">
        <f ca="1">IFERROR(IF(BB_Switch=1,IF(_xll.BDP($D375,$D$371, "EQY_FUND_RELATIVE_PERIOD", J$3)="#N/A N/A","NA  ",(_xll.BDP($D375,$D$371, "EQY_FUND_RELATIVE_PERIOD", J$3))),J375),"NA ")</f>
        <v>0.57989228007181337</v>
      </c>
      <c r="K375" s="228">
        <f ca="1">IFERROR(IF(BB_Switch=1,IF(_xll.BDP($D375,$D$371, "EQY_FUND_RELATIVE_PERIOD", K$3)="#N/A N/A","NA  ",(_xll.BDP($D375,$D$371, "EQY_FUND_RELATIVE_PERIOD", K$3))),K375),"NA ")</f>
        <v>1.3383233532934131</v>
      </c>
      <c r="L375" s="228">
        <f ca="1">IFERROR(IF(BB_Switch=1,IF(_xll.BDP($D375,$D$371, "EQY_FUND_RELATIVE_PERIOD", L$3)="#N/A N/A","NA  ",(_xll.BDP($D375,$D$371, "EQY_FUND_RELATIVE_PERIOD", L$3))),L375),"NA ")</f>
        <v>1.2691149909692958</v>
      </c>
      <c r="M375" s="228">
        <f ca="1">IFERROR(IF(BB_Switch=1,IF(_xll.BDP($D375,$D$371, "EQY_FUND_RELATIVE_PERIOD", M$3)="#N/A N/A","NA  ",(_xll.BDP($D375,$D$371, "EQY_FUND_RELATIVE_PERIOD", M$3))),M375),"NA ")</f>
        <v>1.2727272727272693E-2</v>
      </c>
      <c r="N375" s="228">
        <f ca="1">IFERROR(IF(BB_Switch=1,IF(_xll.BDP($D375,$D$371, "EQY_FUND_RELATIVE_PERIOD", N$3)="#N/A N/A","NA  ",(_xll.BDP($D375,$D$371, "EQY_FUND_RELATIVE_PERIOD", N$3))),N375),"NA ")</f>
        <v>0.25941676792223584</v>
      </c>
      <c r="O375" s="228">
        <f ca="1">IFERROR(IF(BB_Switch=1,IF(_xll.BDP($D375,$D$371, "EQY_FUND_RELATIVE_PERIOD", O$3)="#N/A N/A","NA  ",(_xll.BDP($D375,$D$371, "EQY_FUND_RELATIVE_PERIOD", O$3))),O375),"NA ")</f>
        <v>0.61766522544780722</v>
      </c>
      <c r="P375" s="228">
        <f ca="1">IFERROR(IF(BB_Switch=1,IF(_xll.BDP($D375,$D$371, "EQY_FUND_RELATIVE_PERIOD", P$3)="#N/A N/A","NA  ",(_xll.BDP($D375,$D$371, "EQY_FUND_RELATIVE_PERIOD", P$3))),P375),"NA ")</f>
        <v>0.54930467762326163</v>
      </c>
      <c r="Q375" s="227"/>
      <c r="R375" s="227"/>
      <c r="S375" s="227"/>
      <c r="T375" s="227"/>
      <c r="U375" s="227"/>
      <c r="V375" s="228">
        <f ca="1">IFERROR(IF(BB_Switch=1,IF(_xll.BDP($D375,$D$371, "EQY_FUND_RELATIVE_PERIOD", V$3)="#N/A N/A","NA  ",(_xll.BDP($D375,$D$371, "EQY_FUND_RELATIVE_PERIOD", V$3))),V375),"NA ")</f>
        <v>0.38131313131313133</v>
      </c>
      <c r="W375" s="228">
        <f ca="1">IFERROR(IF(BB_Switch=1,IF(_xll.BDP($D375,$D$371, "EQY_FUND_RELATIVE_PERIOD", W$3)="#N/A N/A","NA  ",(_xll.BDP($D375,$D$371, "EQY_FUND_RELATIVE_PERIOD", W$3))),W375),"NA ")</f>
        <v>0.1875</v>
      </c>
      <c r="X375" s="228">
        <f ca="1">IFERROR(IF(BB_Switch=1,IF(_xll.BDP($D375,$D$371, "EQY_FUND_RELATIVE_PERIOD", X$3)="#N/A N/A","NA  ",(_xll.BDP($D375,$D$371, "EQY_FUND_RELATIVE_PERIOD", X$3))),X375),"NA ")</f>
        <v>0.29338327091136079</v>
      </c>
      <c r="Y375" s="228">
        <f ca="1">IFERROR(IF(BB_Switch=1,IF(_xll.BDP($D375,$D$371, "EQY_FUND_RELATIVE_PERIOD", Y$3)="#N/A N/A","NA  ",(_xll.BDP($D375,$D$371, "EQY_FUND_RELATIVE_PERIOD", Y$3))),Y375),"NA ")</f>
        <v>2.8310387984981222</v>
      </c>
      <c r="Z375" s="228">
        <f ca="1">IFERROR(IF(BB_Switch=1,IF(_xll.BDP($D375,$D$371, "EQY_FUND_RELATIVE_PERIOD", Z$3)="#N/A N/A","NA  ",(_xll.BDP($D375,$D$371, "EQY_FUND_RELATIVE_PERIOD", Z$3))),Z375),"NA ")</f>
        <v>1.1119592875318065</v>
      </c>
      <c r="AA375" s="228">
        <f ca="1">IFERROR(IF(BB_Switch=1,IF(_xll.BDP($D375,$D$371, "EQY_FUND_RELATIVE_PERIOD", AA$3)="#N/A N/A","NA  ",(_xll.BDP($D375,$D$371, "EQY_FUND_RELATIVE_PERIOD", AA$3))),AA375),"NA ")</f>
        <v>0.83365570599613137</v>
      </c>
      <c r="AB375" s="228">
        <f ca="1">IFERROR(IF(BB_Switch=1,IF(_xll.BDP($D375,$D$371, "EQY_FUND_RELATIVE_PERIOD", AB$3)="#N/A N/A","NA  ",(_xll.BDP($D375,$D$371, "EQY_FUND_RELATIVE_PERIOD", AB$3))),AB375),"NA ")</f>
        <v>1.9685230024213078</v>
      </c>
      <c r="AC375" s="228">
        <f ca="1">IFERROR(IF(BB_Switch=1,IF(_xll.BDP($D375,$D$371, "EQY_FUND_RELATIVE_PERIOD", AC$3)="#N/A N/A","NA  ",(_xll.BDP($D375,$D$371, "EQY_FUND_RELATIVE_PERIOD", AC$3))),AC375),"NA ")</f>
        <v>2.1329723225030084</v>
      </c>
      <c r="AD375" s="228">
        <f ca="1">IFERROR(IF(BB_Switch=1,IF(_xll.BDP($D375,$D$371, "EQY_FUND_RELATIVE_PERIOD", AD$3)="#N/A N/A","NA  ",(_xll.BDP($D375,$D$371, "EQY_FUND_RELATIVE_PERIOD", AD$3))),AD375),"NA ")</f>
        <v>3.1330935251798553</v>
      </c>
      <c r="AE375" s="228">
        <f ca="1">IFERROR(IF(BB_Switch=1,IF(_xll.BDP($D375,$D$371, "EQY_FUND_RELATIVE_PERIOD", AE$3)="#N/A N/A","NA  ",(_xll.BDP($D375,$D$371, "EQY_FUND_RELATIVE_PERIOD", AE$3))),AE375),"NA ")</f>
        <v>1.4276032039433144</v>
      </c>
      <c r="AF375" s="228"/>
      <c r="AG375" s="228">
        <f ca="1">IFERROR(IF(BB_Switch=1,IF(_xll.BDP($D375,$V$371)="#N/A N/A","NA  ",(_xll.BDP($D375,$V$371))),AG375),"NA ")</f>
        <v>1.4391139437205775</v>
      </c>
      <c r="AH375" s="228"/>
      <c r="AI375" s="228"/>
      <c r="AJ375" s="228"/>
    </row>
    <row r="376" spans="2:39" ht="11.25" customHeight="1">
      <c r="C376" s="229" t="str">
        <f ca="1">IFERROR(IF(BB_Switch=1,_xll.BDP($D376,$C$270),C376), "NA ")</f>
        <v>LyondellBasell Industries NV</v>
      </c>
      <c r="D376" s="227" t="str">
        <f t="shared" si="126"/>
        <v>LYB US EQUITY</v>
      </c>
      <c r="E376" s="228">
        <f ca="1">IFERROR(IF(BB_Switch=1,IF(_xll.BDP($D376,$D$371, "EQY_FUND_RELATIVE_PERIOD", E$3)="#N/A N/A","NA  ",(_xll.BDP($D376,$D$371, "EQY_FUND_RELATIVE_PERIOD", E$3))),E376),"NA ")</f>
        <v>0.63771712158808935</v>
      </c>
      <c r="F376" s="228">
        <f ca="1">IFERROR(IF(BB_Switch=1,IF(_xll.BDP($D376,$D$371, "EQY_FUND_RELATIVE_PERIOD", F$3)="#N/A N/A","NA  ",(_xll.BDP($D376,$D$371, "EQY_FUND_RELATIVE_PERIOD", F$3))),F376),"NA ")</f>
        <v>3.0374064837905235</v>
      </c>
      <c r="G376" s="228">
        <f ca="1">IFERROR(IF(BB_Switch=1,IF(_xll.BDP($D376,$D$371, "EQY_FUND_RELATIVE_PERIOD", G$3)="#N/A N/A","NA  ",(_xll.BDP($D376,$D$371, "EQY_FUND_RELATIVE_PERIOD", G$3))),G376),"NA ")</f>
        <v>2.8835443037974682</v>
      </c>
      <c r="H376" s="228">
        <f ca="1">IFERROR(IF(BB_Switch=1,IF(_xll.BDP($D376,$D$371, "EQY_FUND_RELATIVE_PERIOD", H$3)="#N/A N/A","NA  ",(_xll.BDP($D376,$D$371, "EQY_FUND_RELATIVE_PERIOD", H$3))),H376),"NA ")</f>
        <v>2.7367088607594936</v>
      </c>
      <c r="I376" s="228">
        <f ca="1">IFERROR(IF(BB_Switch=1,IF(_xll.BDP($D376,$D$371, "EQY_FUND_RELATIVE_PERIOD", I$3)="#N/A N/A","NA  ",(_xll.BDP($D376,$D$371, "EQY_FUND_RELATIVE_PERIOD", I$3))),I376),"NA ")</f>
        <v>1.4644670050761421</v>
      </c>
      <c r="J376" s="228">
        <f ca="1">IFERROR(IF(BB_Switch=1,IF(_xll.BDP($D376,$D$371, "EQY_FUND_RELATIVE_PERIOD", J$3)="#N/A N/A","NA  ",(_xll.BDP($D376,$D$371, "EQY_FUND_RELATIVE_PERIOD", J$3))),J376),"NA ")</f>
        <v>3.1483375959079285</v>
      </c>
      <c r="K376" s="228">
        <f ca="1">IFERROR(IF(BB_Switch=1,IF(_xll.BDP($D376,$D$371, "EQY_FUND_RELATIVE_PERIOD", K$3)="#N/A N/A","NA  ",(_xll.BDP($D376,$D$371, "EQY_FUND_RELATIVE_PERIOD", K$3))),K376),"NA ")</f>
        <v>2.4652956298200515</v>
      </c>
      <c r="L376" s="228">
        <f ca="1">IFERROR(IF(BB_Switch=1,IF(_xll.BDP($D376,$D$371, "EQY_FUND_RELATIVE_PERIOD", L$3)="#N/A N/A","NA  ",(_xll.BDP($D376,$D$371, "EQY_FUND_RELATIVE_PERIOD", L$3))),L376),"NA ")</f>
        <v>1.5712898534784017</v>
      </c>
      <c r="M376" s="228">
        <f ca="1">IFERROR(IF(BB_Switch=1,IF(_xll.BDP($D376,$D$371, "EQY_FUND_RELATIVE_PERIOD", M$3)="#N/A N/A","NA  ",(_xll.BDP($D376,$D$371, "EQY_FUND_RELATIVE_PERIOD", M$3))),M376),"NA ")</f>
        <v>0.15591397849462366</v>
      </c>
      <c r="N376" s="228">
        <f ca="1">IFERROR(IF(BB_Switch=1,IF(_xll.BDP($D376,$D$371, "EQY_FUND_RELATIVE_PERIOD", N$3)="#N/A N/A","NA  ",(_xll.BDP($D376,$D$371, "EQY_FUND_RELATIVE_PERIOD", N$3))),N376),"NA ")</f>
        <v>1.5243243243243243</v>
      </c>
      <c r="O376" s="228">
        <f ca="1">IFERROR(IF(BB_Switch=1,IF(_xll.BDP($D376,$D$371, "EQY_FUND_RELATIVE_PERIOD", O$3)="#N/A N/A","NA  ",(_xll.BDP($D376,$D$371, "EQY_FUND_RELATIVE_PERIOD", O$3))),O376),"NA ")</f>
        <v>3.3649851632047478</v>
      </c>
      <c r="P376" s="228">
        <f ca="1">IFERROR(IF(BB_Switch=1,IF(_xll.BDP($D376,$D$371, "EQY_FUND_RELATIVE_PERIOD", P$3)="#N/A N/A","NA  ",(_xll.BDP($D376,$D$371, "EQY_FUND_RELATIVE_PERIOD", P$3))),P376),"NA ")</f>
        <v>1.5299401197604789</v>
      </c>
      <c r="Q376" s="227"/>
      <c r="R376" s="227"/>
      <c r="S376" s="227"/>
      <c r="T376" s="227"/>
      <c r="U376" s="227"/>
      <c r="V376" s="228">
        <f ca="1">IFERROR(IF(BB_Switch=1,IF(_xll.BDP($D376,$D$371, "EQY_FUND_RELATIVE_PERIOD", V$3)="#N/A N/A","NA  ",(_xll.BDP($D376,$D$371, "EQY_FUND_RELATIVE_PERIOD", V$3))),V376),"NA ")</f>
        <v>2.3563829787234041</v>
      </c>
      <c r="W376" s="228">
        <f ca="1">IFERROR(IF(BB_Switch=1,IF(_xll.BDP($D376,$D$371, "EQY_FUND_RELATIVE_PERIOD", W$3)="#N/A N/A","NA  ",(_xll.BDP($D376,$D$371, "EQY_FUND_RELATIVE_PERIOD", W$3))),W376),"NA ")</f>
        <v>3.186619718309859</v>
      </c>
      <c r="X376" s="228">
        <f ca="1">IFERROR(IF(BB_Switch=1,IF(_xll.BDP($D376,$D$371, "EQY_FUND_RELATIVE_PERIOD", X$3)="#N/A N/A","NA  ",(_xll.BDP($D376,$D$371, "EQY_FUND_RELATIVE_PERIOD", X$3))),X376),"NA ")</f>
        <v>6.504363001745201</v>
      </c>
      <c r="Y376" s="228">
        <f ca="1">IFERROR(IF(BB_Switch=1,IF(_xll.BDP($D376,$D$371, "EQY_FUND_RELATIVE_PERIOD", Y$3)="#N/A N/A","NA  ",(_xll.BDP($D376,$D$371, "EQY_FUND_RELATIVE_PERIOD", Y$3))),Y376),"NA ")</f>
        <v>5.7844522968197882</v>
      </c>
      <c r="Z376" s="228">
        <f ca="1">IFERROR(IF(BB_Switch=1,IF(_xll.BDP($D376,$D$371, "EQY_FUND_RELATIVE_PERIOD", Z$3)="#N/A N/A","NA  ",(_xll.BDP($D376,$D$371, "EQY_FUND_RELATIVE_PERIOD", Z$3))),Z376),"NA ")</f>
        <v>8.781853281853282</v>
      </c>
      <c r="AA376" s="228">
        <f ca="1">IFERROR(IF(BB_Switch=1,IF(_xll.BDP($D376,$D$371, "EQY_FUND_RELATIVE_PERIOD", AA$3)="#N/A N/A","NA  ",(_xll.BDP($D376,$D$371, "EQY_FUND_RELATIVE_PERIOD", AA$3))),AA376),"NA ")</f>
        <v>9.4666666666666668</v>
      </c>
      <c r="AB376" s="228">
        <f ca="1">IFERROR(IF(BB_Switch=1,IF(_xll.BDP($D376,$D$371, "EQY_FUND_RELATIVE_PERIOD", AB$3)="#N/A N/A","NA  ",(_xll.BDP($D376,$D$371, "EQY_FUND_RELATIVE_PERIOD", AB$3))),AB376),"NA ")</f>
        <v>8.0262529832935563</v>
      </c>
      <c r="AC376" s="228">
        <f ca="1">IFERROR(IF(BB_Switch=1,IF(_xll.BDP($D376,$D$371, "EQY_FUND_RELATIVE_PERIOD", AC$3)="#N/A N/A","NA  ",(_xll.BDP($D376,$D$371, "EQY_FUND_RELATIVE_PERIOD", AC$3))),AC376),"NA ")</f>
        <v>9.1934673366834172</v>
      </c>
      <c r="AD376" s="228">
        <f ca="1">IFERROR(IF(BB_Switch=1,IF(_xll.BDP($D376,$D$371, "EQY_FUND_RELATIVE_PERIOD", AD$3)="#N/A N/A","NA  ",(_xll.BDP($D376,$D$371, "EQY_FUND_RELATIVE_PERIOD", AD$3))),AD376),"NA ")</f>
        <v>8.6529562982005146</v>
      </c>
      <c r="AE376" s="228">
        <f ca="1">IFERROR(IF(BB_Switch=1,IF(_xll.BDP($D376,$D$371, "EQY_FUND_RELATIVE_PERIOD", AE$3)="#N/A N/A","NA  ",(_xll.BDP($D376,$D$371, "EQY_FUND_RELATIVE_PERIOD", AE$3))),AE376),"NA ")</f>
        <v>6.4220963172804533</v>
      </c>
      <c r="AF376" s="228"/>
      <c r="AG376" s="228">
        <f ca="1">IFERROR(IF(BB_Switch=1,IF(_xll.BDP($D376,$V$371)="#N/A N/A","NA  ",(_xll.BDP($D376,$V$371))),AG376),"NA ")</f>
        <v>6.5751635857841748</v>
      </c>
      <c r="AH376" s="228"/>
      <c r="AI376" s="228"/>
      <c r="AJ376" s="228"/>
    </row>
    <row r="377" spans="2:39" ht="11.25" customHeight="1">
      <c r="C377" s="229" t="str">
        <f ca="1">IFERROR(IF(BB_Switch=1,_xll.BDP($D377,$C$270),C377), "NA ")</f>
        <v>Westlake Chemical Corp</v>
      </c>
      <c r="D377" s="227" t="str">
        <f t="shared" si="126"/>
        <v>WLK US EQUITY</v>
      </c>
      <c r="E377" s="228">
        <f ca="1">IFERROR(IF(BB_Switch=1,IF(_xll.BDP($D377,$D$371, "EQY_FUND_RELATIVE_PERIOD", E$3)="#N/A N/A","NA  ",(_xll.BDP($D377,$D$371, "EQY_FUND_RELATIVE_PERIOD", E$3))),E377),"NA ")</f>
        <v>0.178323109487978</v>
      </c>
      <c r="F377" s="228">
        <f ca="1">IFERROR(IF(BB_Switch=1,IF(_xll.BDP($D377,$D$371, "EQY_FUND_RELATIVE_PERIOD", F$3)="#N/A N/A","NA  ",(_xll.BDP($D377,$D$371, "EQY_FUND_RELATIVE_PERIOD", F$3))),F377),"NA ")</f>
        <v>1.3637995088570525</v>
      </c>
      <c r="G377" s="228">
        <f ca="1">IFERROR(IF(BB_Switch=1,IF(_xll.BDP($D377,$D$371, "EQY_FUND_RELATIVE_PERIOD", G$3)="#N/A N/A","NA  ",(_xll.BDP($D377,$D$371, "EQY_FUND_RELATIVE_PERIOD", G$3))),G377),"NA ")</f>
        <v>2.7039761450110951</v>
      </c>
      <c r="H377" s="228">
        <f ca="1">IFERROR(IF(BB_Switch=1,IF(_xll.BDP($D377,$D$371, "EQY_FUND_RELATIVE_PERIOD", H$3)="#N/A N/A","NA  ",(_xll.BDP($D377,$D$371, "EQY_FUND_RELATIVE_PERIOD", H$3))),H377),"NA ")</f>
        <v>3.1209774436090227</v>
      </c>
      <c r="I377" s="228">
        <f ca="1">IFERROR(IF(BB_Switch=1,IF(_xll.BDP($D377,$D$371, "EQY_FUND_RELATIVE_PERIOD", I$3)="#N/A N/A","NA  ",(_xll.BDP($D377,$D$371, "EQY_FUND_RELATIVE_PERIOD", I$3))),I377),"NA ")</f>
        <v>0.54833043114650304</v>
      </c>
      <c r="J377" s="228">
        <f ca="1">IFERROR(IF(BB_Switch=1,IF(_xll.BDP($D377,$D$371, "EQY_FUND_RELATIVE_PERIOD", J$3)="#N/A N/A","NA  ",(_xll.BDP($D377,$D$371, "EQY_FUND_RELATIVE_PERIOD", J$3))),J377),"NA ")</f>
        <v>1.2806241694313298</v>
      </c>
      <c r="K377" s="228">
        <f ca="1">IFERROR(IF(BB_Switch=1,IF(_xll.BDP($D377,$D$371, "EQY_FUND_RELATIVE_PERIOD", K$3)="#N/A N/A","NA  ",(_xll.BDP($D377,$D$371, "EQY_FUND_RELATIVE_PERIOD", K$3))),K377),"NA ")</f>
        <v>3.175527196234786</v>
      </c>
      <c r="L377" s="228">
        <f ca="1">IFERROR(IF(BB_Switch=1,IF(_xll.BDP($D377,$D$371, "EQY_FUND_RELATIVE_PERIOD", L$3)="#N/A N/A","NA  ",(_xll.BDP($D377,$D$371, "EQY_FUND_RELATIVE_PERIOD", L$3))),L377),"NA ")</f>
        <v>0.45569105765153023</v>
      </c>
      <c r="M377" s="228">
        <f ca="1">IFERROR(IF(BB_Switch=1,IF(_xll.BDP($D377,$D$371, "EQY_FUND_RELATIVE_PERIOD", M$3)="#N/A N/A","NA  ",(_xll.BDP($D377,$D$371, "EQY_FUND_RELATIVE_PERIOD", M$3))),M377),"NA ")</f>
        <v>-0.43570109908714394</v>
      </c>
      <c r="N377" s="228">
        <f ca="1">IFERROR(IF(BB_Switch=1,IF(_xll.BDP($D377,$D$371, "EQY_FUND_RELATIVE_PERIOD", N$3)="#N/A N/A","NA  ",(_xll.BDP($D377,$D$371, "EQY_FUND_RELATIVE_PERIOD", N$3))),N377),"NA ")</f>
        <v>0.87169585049893139</v>
      </c>
      <c r="O377" s="228">
        <f ca="1">IFERROR(IF(BB_Switch=1,IF(_xll.BDP($D377,$D$371, "EQY_FUND_RELATIVE_PERIOD", O$3)="#N/A N/A","NA  ",(_xll.BDP($D377,$D$371, "EQY_FUND_RELATIVE_PERIOD", O$3))),O377),"NA ")</f>
        <v>2.4021943265239574</v>
      </c>
      <c r="P377" s="228">
        <f ca="1">IFERROR(IF(BB_Switch=1,IF(_xll.BDP($D377,$D$371, "EQY_FUND_RELATIVE_PERIOD", P$3)="#N/A N/A","NA  ",(_xll.BDP($D377,$D$371, "EQY_FUND_RELATIVE_PERIOD", P$3))),P377),"NA ")</f>
        <v>1.1666796297736641</v>
      </c>
      <c r="Q377" s="227"/>
      <c r="R377" s="227"/>
      <c r="S377" s="227"/>
      <c r="T377" s="227"/>
      <c r="U377" s="227"/>
      <c r="V377" s="228">
        <f ca="1">IFERROR(IF(BB_Switch=1,IF(_xll.BDP($D377,$D$371, "EQY_FUND_RELATIVE_PERIOD", V$3)="#N/A N/A","NA  ",(_xll.BDP($D377,$D$371, "EQY_FUND_RELATIVE_PERIOD", V$3))),V377),"NA ")</f>
        <v>1.4502593212262027</v>
      </c>
      <c r="W377" s="228">
        <f ca="1">IFERROR(IF(BB_Switch=1,IF(_xll.BDP($D377,$D$371, "EQY_FUND_RELATIVE_PERIOD", W$3)="#N/A N/A","NA  ",(_xll.BDP($D377,$D$371, "EQY_FUND_RELATIVE_PERIOD", W$3))),W377),"NA ")</f>
        <v>1.4064936652079869</v>
      </c>
      <c r="X377" s="228">
        <f ca="1">IFERROR(IF(BB_Switch=1,IF(_xll.BDP($D377,$D$371, "EQY_FUND_RELATIVE_PERIOD", X$3)="#N/A N/A","NA  ",(_xll.BDP($D377,$D$371, "EQY_FUND_RELATIVE_PERIOD", X$3))),X377),"NA ")</f>
        <v>1.6986494181447844</v>
      </c>
      <c r="Y377" s="228">
        <f ca="1">IFERROR(IF(BB_Switch=1,IF(_xll.BDP($D377,$D$371, "EQY_FUND_RELATIVE_PERIOD", Y$3)="#N/A N/A","NA  ",(_xll.BDP($D377,$D$371, "EQY_FUND_RELATIVE_PERIOD", Y$3))),Y377),"NA ")</f>
        <v>0.55175387881317994</v>
      </c>
      <c r="Z377" s="228">
        <f ca="1">IFERROR(IF(BB_Switch=1,IF(_xll.BDP($D377,$D$371, "EQY_FUND_RELATIVE_PERIOD", Z$3)="#N/A N/A","NA  ",(_xll.BDP($D377,$D$371, "EQY_FUND_RELATIVE_PERIOD", Z$3))),Z377),"NA ")</f>
        <v>4.5170644129725188</v>
      </c>
      <c r="AA377" s="228">
        <f ca="1">IFERROR(IF(BB_Switch=1,IF(_xll.BDP($D377,$D$371, "EQY_FUND_RELATIVE_PERIOD", AA$3)="#N/A N/A","NA  ",(_xll.BDP($D377,$D$371, "EQY_FUND_RELATIVE_PERIOD", AA$3))),AA377),"NA ")</f>
        <v>4.4560270179627102</v>
      </c>
      <c r="AB377" s="228">
        <f ca="1">IFERROR(IF(BB_Switch=1,IF(_xll.BDP($D377,$D$371, "EQY_FUND_RELATIVE_PERIOD", AB$3)="#N/A N/A","NA  ",(_xll.BDP($D377,$D$371, "EQY_FUND_RELATIVE_PERIOD", AB$3))),AB377),"NA ")</f>
        <v>1.8397171621926804</v>
      </c>
      <c r="AC377" s="228">
        <f ca="1">IFERROR(IF(BB_Switch=1,IF(_xll.BDP($D377,$D$371, "EQY_FUND_RELATIVE_PERIOD", AC$3)="#N/A N/A","NA  ",(_xll.BDP($D377,$D$371, "EQY_FUND_RELATIVE_PERIOD", AC$3))),AC377),"NA ")</f>
        <v>7.3671220433796751</v>
      </c>
      <c r="AD377" s="228">
        <f ca="1">IFERROR(IF(BB_Switch=1,IF(_xll.BDP($D377,$D$371, "EQY_FUND_RELATIVE_PERIOD", AD$3)="#N/A N/A","NA  ",(_xll.BDP($D377,$D$371, "EQY_FUND_RELATIVE_PERIOD", AD$3))),AD377),"NA ")</f>
        <v>5.4636015444697401</v>
      </c>
      <c r="AE377" s="228">
        <f ca="1">IFERROR(IF(BB_Switch=1,IF(_xll.BDP($D377,$D$371, "EQY_FUND_RELATIVE_PERIOD", AE$3)="#N/A N/A","NA  ",(_xll.BDP($D377,$D$371, "EQY_FUND_RELATIVE_PERIOD", AE$3))),AE377),"NA ")</f>
        <v>4.0032654184287786</v>
      </c>
      <c r="AF377" s="228"/>
      <c r="AG377" s="228">
        <f ca="1">IFERROR(IF(BB_Switch=1,IF(_xll.BDP($D377,$V$371)="#N/A N/A","NA  ",(_xll.BDP($D377,$V$371))),AG377),"NA ")</f>
        <v>4.0048687077094094</v>
      </c>
      <c r="AH377" s="228"/>
      <c r="AI377" s="228"/>
      <c r="AJ377" s="228"/>
    </row>
    <row r="378" spans="2:39" ht="11.25" customHeight="1">
      <c r="C378" s="229" t="str">
        <f ca="1">IFERROR(IF(BB_Switch=1,_xll.BDP($D378,$C$270),C378), "NA ")</f>
        <v>Kraton Corp</v>
      </c>
      <c r="D378" s="227" t="str">
        <f t="shared" si="126"/>
        <v>KRA US EQUITY</v>
      </c>
      <c r="E378" s="228">
        <f ca="1">IFERROR(IF(BB_Switch=1,IF(_xll.BDP($D378,$D$371, "EQY_FUND_RELATIVE_PERIOD", E$3)="#N/A N/A","NA  ",(_xll.BDP($D378,$D$371, "EQY_FUND_RELATIVE_PERIOD", E$3))),E378),"NA ")</f>
        <v>-0.96602037463029922</v>
      </c>
      <c r="F378" s="228">
        <f ca="1">IFERROR(IF(BB_Switch=1,IF(_xll.BDP($D378,$D$371, "EQY_FUND_RELATIVE_PERIOD", F$3)="#N/A N/A","NA  ",(_xll.BDP($D378,$D$371, "EQY_FUND_RELATIVE_PERIOD", F$3))),F378),"NA ")</f>
        <v>-0.21026647049207117</v>
      </c>
      <c r="G378" s="228">
        <f ca="1">IFERROR(IF(BB_Switch=1,IF(_xll.BDP($D378,$D$371, "EQY_FUND_RELATIVE_PERIOD", G$3)="#N/A N/A","NA  ",(_xll.BDP($D378,$D$371, "EQY_FUND_RELATIVE_PERIOD", G$3))),G378),"NA ")</f>
        <v>2.8699102040816329</v>
      </c>
      <c r="H378" s="228">
        <f ca="1">IFERROR(IF(BB_Switch=1,IF(_xll.BDP($D378,$D$371, "EQY_FUND_RELATIVE_PERIOD", H$3)="#N/A N/A","NA  ",(_xll.BDP($D378,$D$371, "EQY_FUND_RELATIVE_PERIOD", H$3))),H378),"NA ")</f>
        <v>2.8131463288521199</v>
      </c>
      <c r="I378" s="228">
        <f ca="1">IFERROR(IF(BB_Switch=1,IF(_xll.BDP($D378,$D$371, "EQY_FUND_RELATIVE_PERIOD", I$3)="#N/A N/A","NA  ",(_xll.BDP($D378,$D$371, "EQY_FUND_RELATIVE_PERIOD", I$3))),I378),"NA ")</f>
        <v>-0.10953554623731637</v>
      </c>
      <c r="J378" s="228">
        <f ca="1">IFERROR(IF(BB_Switch=1,IF(_xll.BDP($D378,$D$371, "EQY_FUND_RELATIVE_PERIOD", J$3)="#N/A N/A","NA  ",(_xll.BDP($D378,$D$371, "EQY_FUND_RELATIVE_PERIOD", J$3))),J378),"NA ")</f>
        <v>0.2748004198339748</v>
      </c>
      <c r="K378" s="228">
        <f ca="1">IFERROR(IF(BB_Switch=1,IF(_xll.BDP($D378,$D$371, "EQY_FUND_RELATIVE_PERIOD", K$3)="#N/A N/A","NA  ",(_xll.BDP($D378,$D$371, "EQY_FUND_RELATIVE_PERIOD", K$3))),K378),"NA ")</f>
        <v>2.0258749483454657</v>
      </c>
      <c r="L378" s="228">
        <f ca="1">IFERROR(IF(BB_Switch=1,IF(_xll.BDP($D378,$D$371, "EQY_FUND_RELATIVE_PERIOD", L$3)="#N/A N/A","NA  ",(_xll.BDP($D378,$D$371, "EQY_FUND_RELATIVE_PERIOD", L$3))),L378),"NA ")</f>
        <v>2.3718591370558375</v>
      </c>
      <c r="M378" s="228">
        <f ca="1">IFERROR(IF(BB_Switch=1,IF(_xll.BDP($D378,$D$371, "EQY_FUND_RELATIVE_PERIOD", M$3)="#N/A N/A","NA  ",(_xll.BDP($D378,$D$371, "EQY_FUND_RELATIVE_PERIOD", M$3))),M378),"NA ")</f>
        <v>-1.6853918376379098</v>
      </c>
      <c r="N378" s="228">
        <f ca="1">IFERROR(IF(BB_Switch=1,IF(_xll.BDP($D378,$D$371, "EQY_FUND_RELATIVE_PERIOD", N$3)="#N/A N/A","NA  ",(_xll.BDP($D378,$D$371, "EQY_FUND_RELATIVE_PERIOD", N$3))),N378),"NA ")</f>
        <v>1.2262400605831127</v>
      </c>
      <c r="O378" s="228">
        <f ca="1">IFERROR(IF(BB_Switch=1,IF(_xll.BDP($D378,$D$371, "EQY_FUND_RELATIVE_PERIOD", O$3)="#N/A N/A","NA  ",(_xll.BDP($D378,$D$371, "EQY_FUND_RELATIVE_PERIOD", O$3))),O378),"NA ")</f>
        <v>1.7976561011243093</v>
      </c>
      <c r="P378" s="228">
        <f ca="1">IFERROR(IF(BB_Switch=1,IF(_xll.BDP($D378,$D$371, "EQY_FUND_RELATIVE_PERIOD", P$3)="#N/A N/A","NA  ",(_xll.BDP($D378,$D$371, "EQY_FUND_RELATIVE_PERIOD", P$3))),P378),"NA ")</f>
        <v>2.7966112450818637</v>
      </c>
      <c r="Q378" s="227"/>
      <c r="R378" s="227"/>
      <c r="S378" s="227"/>
      <c r="T378" s="227"/>
      <c r="U378" s="227"/>
      <c r="V378" s="228">
        <f ca="1">IFERROR(IF(BB_Switch=1,IF(_xll.BDP($D378,$D$371, "EQY_FUND_RELATIVE_PERIOD", V$3)="#N/A N/A","NA  ",(_xll.BDP($D378,$D$371, "EQY_FUND_RELATIVE_PERIOD", V$3))),V378),"NA ")</f>
        <v>6.2449310624493014E-2</v>
      </c>
      <c r="W378" s="228">
        <f ca="1">IFERROR(IF(BB_Switch=1,IF(_xll.BDP($D378,$D$371, "EQY_FUND_RELATIVE_PERIOD", W$3)="#N/A N/A","NA  ",(_xll.BDP($D378,$D$371, "EQY_FUND_RELATIVE_PERIOD", W$3))),W378),"NA ")</f>
        <v>0.14043918706348724</v>
      </c>
      <c r="X378" s="228">
        <f ca="1">IFERROR(IF(BB_Switch=1,IF(_xll.BDP($D378,$D$371, "EQY_FUND_RELATIVE_PERIOD", X$3)="#N/A N/A","NA  ",(_xll.BDP($D378,$D$371, "EQY_FUND_RELATIVE_PERIOD", X$3))),X378),"NA ")</f>
        <v>2.546322677604183</v>
      </c>
      <c r="Y378" s="228">
        <f ca="1">IFERROR(IF(BB_Switch=1,IF(_xll.BDP($D378,$D$371, "EQY_FUND_RELATIVE_PERIOD", Y$3)="#N/A N/A","NA  ",(_xll.BDP($D378,$D$371, "EQY_FUND_RELATIVE_PERIOD", Y$3))),Y378),"NA ")</f>
        <v>0.75947158524426739</v>
      </c>
      <c r="Z378" s="228">
        <f ca="1">IFERROR(IF(BB_Switch=1,IF(_xll.BDP($D378,$D$371, "EQY_FUND_RELATIVE_PERIOD", Z$3)="#N/A N/A","NA  ",(_xll.BDP($D378,$D$371, "EQY_FUND_RELATIVE_PERIOD", Z$3))),Z378),"NA ")</f>
        <v>-2.5127320212666731</v>
      </c>
      <c r="AA378" s="228">
        <f ca="1">IFERROR(IF(BB_Switch=1,IF(_xll.BDP($D378,$D$371, "EQY_FUND_RELATIVE_PERIOD", AA$3)="#N/A N/A","NA  ",(_xll.BDP($D378,$D$371, "EQY_FUND_RELATIVE_PERIOD", AA$3))),AA378),"NA ")</f>
        <v>-0.73013017596650764</v>
      </c>
      <c r="AB378" s="228">
        <f ca="1">IFERROR(IF(BB_Switch=1,IF(_xll.BDP($D378,$D$371, "EQY_FUND_RELATIVE_PERIOD", AB$3)="#N/A N/A","NA  ",(_xll.BDP($D378,$D$371, "EQY_FUND_RELATIVE_PERIOD", AB$3))),AB378),"NA ")</f>
        <v>0.62548045062955582</v>
      </c>
      <c r="AC378" s="228">
        <f ca="1">IFERROR(IF(BB_Switch=1,IF(_xll.BDP($D378,$D$371, "EQY_FUND_RELATIVE_PERIOD", AC$3)="#N/A N/A","NA  ",(_xll.BDP($D378,$D$371, "EQY_FUND_RELATIVE_PERIOD", AC$3))),AC378),"NA ")</f>
        <v>4.5382005611013243</v>
      </c>
      <c r="AD378" s="228">
        <f ca="1">IFERROR(IF(BB_Switch=1,IF(_xll.BDP($D378,$D$371, "EQY_FUND_RELATIVE_PERIOD", AD$3)="#N/A N/A","NA  ",(_xll.BDP($D378,$D$371, "EQY_FUND_RELATIVE_PERIOD", AD$3))),AD378),"NA ")</f>
        <v>4.5744525082760381</v>
      </c>
      <c r="AE378" s="228">
        <f ca="1">IFERROR(IF(BB_Switch=1,IF(_xll.BDP($D378,$D$371, "EQY_FUND_RELATIVE_PERIOD", AE$3)="#N/A N/A","NA  ",(_xll.BDP($D378,$D$371, "EQY_FUND_RELATIVE_PERIOD", AE$3))),AE378),"NA ")</f>
        <v>4.1254868433551817</v>
      </c>
      <c r="AF378" s="228"/>
      <c r="AG378" s="228">
        <f ca="1">IFERROR(IF(BB_Switch=1,IF(_xll.BDP($D378,$V$371)="#N/A N/A","NA  ",(_xll.BDP($D378,$V$371))),AG378),"NA ")</f>
        <v>4.1351155691513757</v>
      </c>
      <c r="AH378" s="225"/>
      <c r="AI378" s="225"/>
      <c r="AJ378" s="225"/>
      <c r="AL378" s="466">
        <v>1</v>
      </c>
      <c r="AM378" s="217" t="s">
        <v>530</v>
      </c>
    </row>
    <row r="379" spans="2:39" ht="11.25" customHeight="1">
      <c r="C379" s="229" t="str">
        <f ca="1">IFERROR(IF(BB_Switch=1,_xll.BDP($D379,$C$270),C379), "NA ")</f>
        <v>Dow Inc</v>
      </c>
      <c r="D379" s="227" t="str">
        <f t="shared" si="126"/>
        <v>DOW US EQUITY</v>
      </c>
      <c r="E379" s="228">
        <f ca="1">IFERROR(IF(BB_Switch=1,IF(_xll.BDP($D379,$D$371, "EQY_FUND_RELATIVE_PERIOD", E$3)="#N/A N/A","NA  ",(_xll.BDP($D379,$D$371, "EQY_FUND_RELATIVE_PERIOD", E$3))),E379),"NA ")</f>
        <v>-2.0575909152359064</v>
      </c>
      <c r="F379" s="228">
        <f ca="1">IFERROR(IF(BB_Switch=1,IF(_xll.BDP($D379,$D$371, "EQY_FUND_RELATIVE_PERIOD", F$3)="#N/A N/A","NA  ",(_xll.BDP($D379,$D$371, "EQY_FUND_RELATIVE_PERIOD", F$3))),F379),"NA ")</f>
        <v>-2.0083176817815938</v>
      </c>
      <c r="G379" s="228">
        <f ca="1">IFERROR(IF(BB_Switch=1,IF(_xll.BDP($D379,$D$371, "EQY_FUND_RELATIVE_PERIOD", G$3)="#N/A N/A","NA  ",(_xll.BDP($D379,$D$371, "EQY_FUND_RELATIVE_PERIOD", G$3))),G379),"NA ")</f>
        <v>1.1154258168184255</v>
      </c>
      <c r="H379" s="228">
        <f ca="1">IFERROR(IF(BB_Switch=1,IF(_xll.BDP($D379,$D$371, "EQY_FUND_RELATIVE_PERIOD", H$3)="#N/A N/A","NA  ",(_xll.BDP($D379,$D$371, "EQY_FUND_RELATIVE_PERIOD", H$3))),H379),"NA ")</f>
        <v>-7.8388866586377635</v>
      </c>
      <c r="I379" s="228">
        <f ca="1">IFERROR(IF(BB_Switch=1,IF(_xll.BDP($D379,$D$371, "EQY_FUND_RELATIVE_PERIOD", I$3)="#N/A N/A","NA  ",(_xll.BDP($D379,$D$371, "EQY_FUND_RELATIVE_PERIOD", I$3))),I379),"NA ")</f>
        <v>1.3383297644539613E-2</v>
      </c>
      <c r="J379" s="228">
        <f ca="1">IFERROR(IF(BB_Switch=1,IF(_xll.BDP($D379,$D$371, "EQY_FUND_RELATIVE_PERIOD", J$3)="#N/A N/A","NA  ",(_xll.BDP($D379,$D$371, "EQY_FUND_RELATIVE_PERIOD", J$3))),J379),"NA ")</f>
        <v>1.1630085653104925</v>
      </c>
      <c r="K379" s="228">
        <f ca="1">IFERROR(IF(BB_Switch=1,IF(_xll.BDP($D379,$D$371, "EQY_FUND_RELATIVE_PERIOD", K$3)="#N/A N/A","NA  ",(_xll.BDP($D379,$D$371, "EQY_FUND_RELATIVE_PERIOD", K$3))),K379),"NA ")</f>
        <v>0.15792291220556745</v>
      </c>
      <c r="L379" s="228">
        <f ca="1">IFERROR(IF(BB_Switch=1,IF(_xll.BDP($D379,$D$371, "EQY_FUND_RELATIVE_PERIOD", L$3)="#N/A N/A","NA  ",(_xll.BDP($D379,$D$371, "EQY_FUND_RELATIVE_PERIOD", L$3))),L379),"NA ")</f>
        <v>1.3731263383297643</v>
      </c>
      <c r="M379" s="228">
        <f ca="1">IFERROR(IF(BB_Switch=1,IF(_xll.BDP($D379,$D$371, "EQY_FUND_RELATIVE_PERIOD", M$3)="#N/A N/A","NA  ",(_xll.BDP($D379,$D$371, "EQY_FUND_RELATIVE_PERIOD", M$3))),M379),"NA ")</f>
        <v>1.8482334047109206</v>
      </c>
      <c r="N379" s="228">
        <f ca="1">IFERROR(IF(BB_Switch=1,IF(_xll.BDP($D379,$D$371, "EQY_FUND_RELATIVE_PERIOD", N$3)="#N/A N/A","NA  ",(_xll.BDP($D379,$D$371, "EQY_FUND_RELATIVE_PERIOD", N$3))),N379),"NA ")</f>
        <v>-0.12654819601507808</v>
      </c>
      <c r="O379" s="228">
        <f ca="1">IFERROR(IF(BB_Switch=1,IF(_xll.BDP($D379,$D$371, "EQY_FUND_RELATIVE_PERIOD", O$3)="#N/A N/A","NA  ",(_xll.BDP($D379,$D$371, "EQY_FUND_RELATIVE_PERIOD", O$3))),O379),"NA ")</f>
        <v>1.6612597999459315</v>
      </c>
      <c r="P379" s="228">
        <f ca="1">IFERROR(IF(BB_Switch=1,IF(_xll.BDP($D379,$D$371, "EQY_FUND_RELATIVE_PERIOD", P$3)="#N/A N/A","NA  ",(_xll.BDP($D379,$D$371, "EQY_FUND_RELATIVE_PERIOD", P$3))),P379),"NA ")</f>
        <v>1.8481491488786814</v>
      </c>
      <c r="Q379" s="227"/>
      <c r="R379" s="227"/>
      <c r="S379" s="227"/>
      <c r="T379" s="227"/>
      <c r="U379" s="227"/>
      <c r="V379" s="228" t="str">
        <f ca="1">IFERROR(IF(BB_Switch=1,IF(_xll.BDP($D379,$D$371, "EQY_FUND_RELATIVE_PERIOD", V$3)="#N/A N/A","NA  ",(_xll.BDP($D379,$D$371, "EQY_FUND_RELATIVE_PERIOD", V$3))),V379),"NA ")</f>
        <v xml:space="preserve">NA  </v>
      </c>
      <c r="W379" s="228" t="str">
        <f ca="1">IFERROR(IF(BB_Switch=1,IF(_xll.BDP($D379,$D$371, "EQY_FUND_RELATIVE_PERIOD", W$3)="#N/A N/A","NA  ",(_xll.BDP($D379,$D$371, "EQY_FUND_RELATIVE_PERIOD", W$3))),W379),"NA ")</f>
        <v xml:space="preserve">NA  </v>
      </c>
      <c r="X379" s="228" t="str">
        <f ca="1">IFERROR(IF(BB_Switch=1,IF(_xll.BDP($D379,$D$371, "EQY_FUND_RELATIVE_PERIOD", X$3)="#N/A N/A","NA  ",(_xll.BDP($D379,$D$371, "EQY_FUND_RELATIVE_PERIOD", X$3))),X379),"NA ")</f>
        <v xml:space="preserve">NA  </v>
      </c>
      <c r="Y379" s="228" t="str">
        <f ca="1">IFERROR(IF(BB_Switch=1,IF(_xll.BDP($D379,$D$371, "EQY_FUND_RELATIVE_PERIOD", Y$3)="#N/A N/A","NA  ",(_xll.BDP($D379,$D$371, "EQY_FUND_RELATIVE_PERIOD", Y$3))),Y379),"NA ")</f>
        <v xml:space="preserve">NA  </v>
      </c>
      <c r="Z379" s="228" t="str">
        <f ca="1">IFERROR(IF(BB_Switch=1,IF(_xll.BDP($D379,$D$371, "EQY_FUND_RELATIVE_PERIOD", Z$3)="#N/A N/A","NA  ",(_xll.BDP($D379,$D$371, "EQY_FUND_RELATIVE_PERIOD", Z$3))),Z379),"NA ")</f>
        <v xml:space="preserve">NA  </v>
      </c>
      <c r="AA379" s="228" t="str">
        <f ca="1">IFERROR(IF(BB_Switch=1,IF(_xll.BDP($D379,$D$371, "EQY_FUND_RELATIVE_PERIOD", AA$3)="#N/A N/A","NA  ",(_xll.BDP($D379,$D$371, "EQY_FUND_RELATIVE_PERIOD", AA$3))),AA379),"NA ")</f>
        <v xml:space="preserve">NA  </v>
      </c>
      <c r="AB379" s="228" t="str">
        <f ca="1">IFERROR(IF(BB_Switch=1,IF(_xll.BDP($D379,$D$371, "EQY_FUND_RELATIVE_PERIOD", AB$3)="#N/A N/A","NA  ",(_xll.BDP($D379,$D$371, "EQY_FUND_RELATIVE_PERIOD", AB$3))),AB379),"NA ")</f>
        <v xml:space="preserve">NA  </v>
      </c>
      <c r="AC379" s="228">
        <f ca="1">IFERROR(IF(BB_Switch=1,IF(_xll.BDP($D379,$D$371, "EQY_FUND_RELATIVE_PERIOD", AC$3)="#N/A N/A","NA  ",(_xll.BDP($D379,$D$371, "EQY_FUND_RELATIVE_PERIOD", AC$3))),AC379),"NA ")</f>
        <v>-10.800214822771215</v>
      </c>
      <c r="AD379" s="228">
        <f ca="1">IFERROR(IF(BB_Switch=1,IF(_xll.BDP($D379,$D$371, "EQY_FUND_RELATIVE_PERIOD", AD$3)="#N/A N/A","NA  ",(_xll.BDP($D379,$D$371, "EQY_FUND_RELATIVE_PERIOD", AD$3))),AD379),"NA ")</f>
        <v>2.707441113490364</v>
      </c>
      <c r="AE379" s="228">
        <f ca="1">IFERROR(IF(BB_Switch=1,IF(_xll.BDP($D379,$D$371, "EQY_FUND_RELATIVE_PERIOD", AE$3)="#N/A N/A","NA  ",(_xll.BDP($D379,$D$371, "EQY_FUND_RELATIVE_PERIOD", AE$3))),AE379),"NA ")</f>
        <v>5.2309764309764306</v>
      </c>
      <c r="AF379" s="228"/>
      <c r="AG379" s="228">
        <f ca="1">IFERROR(IF(BB_Switch=1,IF(_xll.BDP($D379,$V$371)="#N/A N/A","NA  ",(_xll.BDP($D379,$V$371))),AG379),"NA ")</f>
        <v>5.2310941575204559</v>
      </c>
      <c r="AH379" s="225"/>
      <c r="AI379" s="225"/>
      <c r="AJ379" s="225"/>
      <c r="AL379" s="467">
        <v>15</v>
      </c>
      <c r="AM379" s="217" t="s">
        <v>529</v>
      </c>
    </row>
    <row r="380" spans="2:39" ht="11.25" customHeight="1">
      <c r="C380" s="229"/>
      <c r="D380" s="227"/>
      <c r="E380" s="228"/>
      <c r="F380" s="228"/>
      <c r="G380" s="228"/>
      <c r="H380" s="228"/>
      <c r="I380" s="228"/>
      <c r="J380" s="228"/>
      <c r="K380" s="228"/>
      <c r="L380" s="228"/>
      <c r="M380" s="228"/>
      <c r="N380" s="228"/>
      <c r="O380" s="228"/>
      <c r="P380" s="228"/>
      <c r="Q380" s="227"/>
      <c r="R380" s="227"/>
      <c r="S380" s="227"/>
      <c r="T380" s="227"/>
      <c r="U380" s="227"/>
      <c r="V380" s="228"/>
      <c r="W380" s="228"/>
      <c r="X380" s="228"/>
      <c r="Y380" s="228"/>
      <c r="Z380" s="228"/>
      <c r="AA380" s="228"/>
      <c r="AB380" s="228"/>
      <c r="AC380" s="228"/>
      <c r="AD380" s="228"/>
      <c r="AE380" s="228"/>
      <c r="AF380" s="228"/>
      <c r="AG380" s="228"/>
      <c r="AH380" s="225"/>
      <c r="AI380" s="225"/>
      <c r="AJ380" s="225"/>
    </row>
    <row r="381" spans="2:39" ht="11.25" customHeight="1">
      <c r="C381" s="428" t="str">
        <f>+C20</f>
        <v>Specialty Chemicals</v>
      </c>
      <c r="D381" s="227"/>
      <c r="E381" s="228"/>
      <c r="F381" s="228"/>
      <c r="G381" s="228"/>
      <c r="H381" s="228"/>
      <c r="I381" s="228"/>
      <c r="J381" s="228"/>
      <c r="K381" s="228"/>
      <c r="L381" s="228"/>
      <c r="M381" s="228"/>
      <c r="N381" s="228"/>
      <c r="O381" s="228"/>
      <c r="P381" s="228"/>
      <c r="Q381" s="227"/>
      <c r="R381" s="227"/>
      <c r="S381" s="227"/>
      <c r="T381" s="227"/>
      <c r="U381" s="227"/>
      <c r="V381" s="228"/>
      <c r="W381" s="228"/>
      <c r="X381" s="228"/>
      <c r="Y381" s="228"/>
      <c r="Z381" s="228"/>
      <c r="AA381" s="228"/>
      <c r="AB381" s="228"/>
      <c r="AC381" s="228"/>
      <c r="AD381" s="228"/>
      <c r="AE381" s="242"/>
      <c r="AF381" s="228"/>
      <c r="AG381" s="228"/>
      <c r="AH381" s="225"/>
      <c r="AI381" s="225"/>
      <c r="AJ381" s="225"/>
    </row>
    <row r="382" spans="2:39" ht="11.25" customHeight="1">
      <c r="C382" s="229" t="str">
        <f ca="1">IFERROR(IF(BB_Switch=1,_xll.BDP($D382,$C$270),C382), "NA ")</f>
        <v>Eastman Chemical Co</v>
      </c>
      <c r="D382" s="227" t="str">
        <f>+D21</f>
        <v>EMN US EQUITY</v>
      </c>
      <c r="E382" s="228">
        <f ca="1">IFERROR(IF(BB_Switch=1,IF(_xll.BDP($D382,$D$371, "EQY_FUND_RELATIVE_PERIOD", E$3)="#N/A N/A","NA  ",(_xll.BDP($D382,$D$371, "EQY_FUND_RELATIVE_PERIOD", E$3))),E382),"NA ")</f>
        <v>-0.55403556771545837</v>
      </c>
      <c r="F382" s="228">
        <f ca="1">IFERROR(IF(BB_Switch=1,IF(_xll.BDP($D382,$D$371, "EQY_FUND_RELATIVE_PERIOD", F$3)="#N/A N/A","NA  ",(_xll.BDP($D382,$D$371, "EQY_FUND_RELATIVE_PERIOD", F$3))),F382),"NA ")</f>
        <v>1.9614590502408809</v>
      </c>
      <c r="G382" s="228">
        <f ca="1">IFERROR(IF(BB_Switch=1,IF(_xll.BDP($D382,$D$371, "EQY_FUND_RELATIVE_PERIOD", G$3)="#N/A N/A","NA  ",(_xll.BDP($D382,$D$371, "EQY_FUND_RELATIVE_PERIOD", G$3))),G382),"NA ")</f>
        <v>2.557172557172557</v>
      </c>
      <c r="H382" s="228">
        <f ca="1">IFERROR(IF(BB_Switch=1,IF(_xll.BDP($D382,$D$371, "EQY_FUND_RELATIVE_PERIOD", H$3)="#N/A N/A","NA  ",(_xll.BDP($D382,$D$371, "EQY_FUND_RELATIVE_PERIOD", H$3))),H382),"NA ")</f>
        <v>3.0419580419580421</v>
      </c>
      <c r="I382" s="228">
        <f ca="1">IFERROR(IF(BB_Switch=1,IF(_xll.BDP($D382,$D$371, "EQY_FUND_RELATIVE_PERIOD", I$3)="#N/A N/A","NA  ",(_xll.BDP($D382,$D$371, "EQY_FUND_RELATIVE_PERIOD", I$3))),I382),"NA ")</f>
        <v>-1.1414565826330532</v>
      </c>
      <c r="J382" s="228">
        <f ca="1">IFERROR(IF(BB_Switch=1,IF(_xll.BDP($D382,$D$371, "EQY_FUND_RELATIVE_PERIOD", J$3)="#N/A N/A","NA  ",(_xll.BDP($D382,$D$371, "EQY_FUND_RELATIVE_PERIOD", J$3))),J382),"NA ")</f>
        <v>2.3044397463002113</v>
      </c>
      <c r="K382" s="228">
        <f ca="1">IFERROR(IF(BB_Switch=1,IF(_xll.BDP($D382,$D$371, "EQY_FUND_RELATIVE_PERIOD", K$3)="#N/A N/A","NA  ",(_xll.BDP($D382,$D$371, "EQY_FUND_RELATIVE_PERIOD", K$3))),K382),"NA ")</f>
        <v>1.8349928876244666</v>
      </c>
      <c r="L382" s="228">
        <f ca="1">IFERROR(IF(BB_Switch=1,IF(_xll.BDP($D382,$D$371, "EQY_FUND_RELATIVE_PERIOD", L$3)="#N/A N/A","NA  ",(_xll.BDP($D382,$D$371, "EQY_FUND_RELATIVE_PERIOD", L$3))),L382),"NA ")</f>
        <v>4.2417739628040056</v>
      </c>
      <c r="M382" s="228">
        <f ca="1">IFERROR(IF(BB_Switch=1,IF(_xll.BDP($D382,$D$371, "EQY_FUND_RELATIVE_PERIOD", M$3)="#N/A N/A","NA  ",(_xll.BDP($D382,$D$371, "EQY_FUND_RELATIVE_PERIOD", M$3))),M382),"NA ")</f>
        <v>-0.79856115107913672</v>
      </c>
      <c r="N382" s="228">
        <f ca="1">IFERROR(IF(BB_Switch=1,IF(_xll.BDP($D382,$D$371, "EQY_FUND_RELATIVE_PERIOD", N$3)="#N/A N/A","NA  ",(_xll.BDP($D382,$D$371, "EQY_FUND_RELATIVE_PERIOD", N$3))),N382),"NA ")</f>
        <v>2.3947750362844702</v>
      </c>
      <c r="O382" s="228">
        <f ca="1">IFERROR(IF(BB_Switch=1,IF(_xll.BDP($D382,$D$371, "EQY_FUND_RELATIVE_PERIOD", O$3)="#N/A N/A","NA  ",(_xll.BDP($D382,$D$371, "EQY_FUND_RELATIVE_PERIOD", O$3))),O382),"NA ")</f>
        <v>2.2368421052631575</v>
      </c>
      <c r="P382" s="228">
        <f ca="1">IFERROR(IF(BB_Switch=1,IF(_xll.BDP($D382,$D$371, "EQY_FUND_RELATIVE_PERIOD", P$3)="#N/A N/A","NA  ",(_xll.BDP($D382,$D$371, "EQY_FUND_RELATIVE_PERIOD", P$3))),P382),"NA ")</f>
        <v>4.0765268579838114</v>
      </c>
      <c r="Q382" s="227"/>
      <c r="R382" s="227"/>
      <c r="S382" s="227"/>
      <c r="T382" s="227"/>
      <c r="U382" s="227"/>
      <c r="V382" s="228">
        <f ca="1">IFERROR(IF(BB_Switch=1,IF(_xll.BDP($D382,$D$371, "EQY_FUND_RELATIVE_PERIOD", V$3)="#N/A N/A","NA  ",(_xll.BDP($D382,$D$371, "EQY_FUND_RELATIVE_PERIOD", V$3))),V382),"NA ")</f>
        <v>1.1511789181692096</v>
      </c>
      <c r="W382" s="228">
        <f ca="1">IFERROR(IF(BB_Switch=1,IF(_xll.BDP($D382,$D$371, "EQY_FUND_RELATIVE_PERIOD", W$3)="#N/A N/A","NA  ",(_xll.BDP($D382,$D$371, "EQY_FUND_RELATIVE_PERIOD", W$3))),W382),"NA ")</f>
        <v>2.4051539012168934</v>
      </c>
      <c r="X382" s="228">
        <f ca="1">IFERROR(IF(BB_Switch=1,IF(_xll.BDP($D382,$D$371, "EQY_FUND_RELATIVE_PERIOD", X$3)="#N/A N/A","NA  ",(_xll.BDP($D382,$D$371, "EQY_FUND_RELATIVE_PERIOD", X$3))),X382),"NA ")</f>
        <v>4.5567010309278349</v>
      </c>
      <c r="Y382" s="228">
        <f ca="1">IFERROR(IF(BB_Switch=1,IF(_xll.BDP($D382,$D$371, "EQY_FUND_RELATIVE_PERIOD", Y$3)="#N/A N/A","NA  ",(_xll.BDP($D382,$D$371, "EQY_FUND_RELATIVE_PERIOD", Y$3))),Y382),"NA ")</f>
        <v>5.2857142857142856</v>
      </c>
      <c r="Z382" s="228">
        <f ca="1">IFERROR(IF(BB_Switch=1,IF(_xll.BDP($D382,$D$371, "EQY_FUND_RELATIVE_PERIOD", Z$3)="#N/A N/A","NA  ",(_xll.BDP($D382,$D$371, "EQY_FUND_RELATIVE_PERIOD", Z$3))),Z382),"NA ")</f>
        <v>5.6187290969899664</v>
      </c>
      <c r="AA382" s="228">
        <f ca="1">IFERROR(IF(BB_Switch=1,IF(_xll.BDP($D382,$D$371, "EQY_FUND_RELATIVE_PERIOD", AA$3)="#N/A N/A","NA  ",(_xll.BDP($D382,$D$371, "EQY_FUND_RELATIVE_PERIOD", AA$3))),AA382),"NA ")</f>
        <v>6.5410497981157469</v>
      </c>
      <c r="AB382" s="228">
        <f ca="1">IFERROR(IF(BB_Switch=1,IF(_xll.BDP($D382,$D$371, "EQY_FUND_RELATIVE_PERIOD", AB$3)="#N/A N/A","NA  ",(_xll.BDP($D382,$D$371, "EQY_FUND_RELATIVE_PERIOD", AB$3))),AB382),"NA ")</f>
        <v>5.1527494908350304</v>
      </c>
      <c r="AC382" s="228">
        <f ca="1">IFERROR(IF(BB_Switch=1,IF(_xll.BDP($D382,$D$371, "EQY_FUND_RELATIVE_PERIOD", AC$3)="#N/A N/A","NA  ",(_xll.BDP($D382,$D$371, "EQY_FUND_RELATIVE_PERIOD", AC$3))),AC382),"NA ")</f>
        <v>6.9613259668508283</v>
      </c>
      <c r="AD382" s="228">
        <f ca="1">IFERROR(IF(BB_Switch=1,IF(_xll.BDP($D382,$D$371, "EQY_FUND_RELATIVE_PERIOD", AD$3)="#N/A N/A","NA  ",(_xll.BDP($D382,$D$371, "EQY_FUND_RELATIVE_PERIOD", AD$3))),AD382),"NA ")</f>
        <v>7.188385269121814</v>
      </c>
      <c r="AE382" s="228">
        <f ca="1">IFERROR(IF(BB_Switch=1,IF(_xll.BDP($D382,$D$371, "EQY_FUND_RELATIVE_PERIOD", AE$3)="#N/A N/A","NA  ",(_xll.BDP($D382,$D$371, "EQY_FUND_RELATIVE_PERIOD", AE$3))),AE382),"NA ")</f>
        <v>7.8529839883551666</v>
      </c>
      <c r="AF382" s="228"/>
      <c r="AG382" s="228">
        <f ca="1">IFERROR(IF(BB_Switch=1,IF(_xll.BDP($D382,$V$371)="#N/A N/A","NA  ",(_xll.BDP($D382,$V$371))),AG382),"NA ")</f>
        <v>7.9095828484523016</v>
      </c>
      <c r="AH382" s="225"/>
      <c r="AI382" s="237"/>
      <c r="AJ382" s="225"/>
    </row>
    <row r="383" spans="2:39" ht="11.25" customHeight="1">
      <c r="C383" s="229" t="str">
        <f ca="1">IFERROR(IF(BB_Switch=1,_xll.BDP($D383,$C$270),C383), "NA ")</f>
        <v>Celanese Corp</v>
      </c>
      <c r="D383" s="227" t="str">
        <f>+D22</f>
        <v>CE US EQUITY</v>
      </c>
      <c r="E383" s="228">
        <f ca="1">IFERROR(IF(BB_Switch=1,IF(_xll.BDP($D383,$D$371, "EQY_FUND_RELATIVE_PERIOD", E$3)="#N/A N/A","NA  ",(_xll.BDP($D383,$D$371, "EQY_FUND_RELATIVE_PERIOD", E$3))),E383),"NA ")</f>
        <v>0.92432047868993361</v>
      </c>
      <c r="F383" s="228">
        <f ca="1">IFERROR(IF(BB_Switch=1,IF(_xll.BDP($D383,$D$371, "EQY_FUND_RELATIVE_PERIOD", F$3)="#N/A N/A","NA  ",(_xll.BDP($D383,$D$371, "EQY_FUND_RELATIVE_PERIOD", F$3))),F383),"NA ")</f>
        <v>1.7602113049989474</v>
      </c>
      <c r="G383" s="228">
        <f ca="1">IFERROR(IF(BB_Switch=1,IF(_xll.BDP($D383,$D$371, "EQY_FUND_RELATIVE_PERIOD", G$3)="#N/A N/A","NA  ",(_xll.BDP($D383,$D$371, "EQY_FUND_RELATIVE_PERIOD", G$3))),G383),"NA ")</f>
        <v>1.398457246859268</v>
      </c>
      <c r="H383" s="228">
        <f ca="1">IFERROR(IF(BB_Switch=1,IF(_xll.BDP($D383,$D$371, "EQY_FUND_RELATIVE_PERIOD", H$3)="#N/A N/A","NA  ",(_xll.BDP($D383,$D$371, "EQY_FUND_RELATIVE_PERIOD", H$3))),H383),"NA ")</f>
        <v>-0.21354933726067746</v>
      </c>
      <c r="I383" s="228">
        <f ca="1">IFERROR(IF(BB_Switch=1,IF(_xll.BDP($D383,$D$371, "EQY_FUND_RELATIVE_PERIOD", I$3)="#N/A N/A","NA  ",(_xll.BDP($D383,$D$371, "EQY_FUND_RELATIVE_PERIOD", I$3))),I383),"NA ")</f>
        <v>0.41937529767368986</v>
      </c>
      <c r="J383" s="228">
        <f ca="1">IFERROR(IF(BB_Switch=1,IF(_xll.BDP($D383,$D$371, "EQY_FUND_RELATIVE_PERIOD", J$3)="#N/A N/A","NA  ",(_xll.BDP($D383,$D$371, "EQY_FUND_RELATIVE_PERIOD", J$3))),J383),"NA ")</f>
        <v>3.7318464201824391</v>
      </c>
      <c r="K383" s="228">
        <f ca="1">IFERROR(IF(BB_Switch=1,IF(_xll.BDP($D383,$D$371, "EQY_FUND_RELATIVE_PERIOD", K$3)="#N/A N/A","NA  ",(_xll.BDP($D383,$D$371, "EQY_FUND_RELATIVE_PERIOD", K$3))),K383),"NA ")</f>
        <v>2.8843444555216649</v>
      </c>
      <c r="L383" s="228">
        <f ca="1">IFERROR(IF(BB_Switch=1,IF(_xll.BDP($D383,$D$371, "EQY_FUND_RELATIVE_PERIOD", L$3)="#N/A N/A","NA  ",(_xll.BDP($D383,$D$371, "EQY_FUND_RELATIVE_PERIOD", L$3))),L383),"NA ")</f>
        <v>2.0579268292682928</v>
      </c>
      <c r="M383" s="228">
        <f ca="1">IFERROR(IF(BB_Switch=1,IF(_xll.BDP($D383,$D$371, "EQY_FUND_RELATIVE_PERIOD", M$3)="#N/A N/A","NA  ",(_xll.BDP($D383,$D$371, "EQY_FUND_RELATIVE_PERIOD", M$3))),M383),"NA ")</f>
        <v>1.7876418250731632</v>
      </c>
      <c r="N383" s="228">
        <f ca="1">IFERROR(IF(BB_Switch=1,IF(_xll.BDP($D383,$D$371, "EQY_FUND_RELATIVE_PERIOD", N$3)="#N/A N/A","NA  ",(_xll.BDP($D383,$D$371, "EQY_FUND_RELATIVE_PERIOD", N$3))),N383),"NA ")</f>
        <v>2.8653531371749823</v>
      </c>
      <c r="O383" s="228">
        <f ca="1">IFERROR(IF(BB_Switch=1,IF(_xll.BDP($D383,$D$371, "EQY_FUND_RELATIVE_PERIOD", O$3)="#N/A N/A","NA  ",(_xll.BDP($D383,$D$371, "EQY_FUND_RELATIVE_PERIOD", O$3))),O383),"NA ")</f>
        <v>2.5672401139434071</v>
      </c>
      <c r="P383" s="228">
        <f ca="1">IFERROR(IF(BB_Switch=1,IF(_xll.BDP($D383,$D$371, "EQY_FUND_RELATIVE_PERIOD", P$3)="#N/A N/A","NA  ",(_xll.BDP($D383,$D$371, "EQY_FUND_RELATIVE_PERIOD", P$3))),P383),"NA ")</f>
        <v>1.5128844555278471</v>
      </c>
      <c r="Q383" s="227"/>
      <c r="R383" s="227"/>
      <c r="S383" s="227"/>
      <c r="T383" s="227"/>
      <c r="U383" s="227"/>
      <c r="V383" s="228">
        <f ca="1">IFERROR(IF(BB_Switch=1,IF(_xll.BDP($D383,$D$371, "EQY_FUND_RELATIVE_PERIOD", V$3)="#N/A N/A","NA  ",(_xll.BDP($D383,$D$371, "EQY_FUND_RELATIVE_PERIOD", V$3))),V383),"NA ")</f>
        <v>-0.39465817607261755</v>
      </c>
      <c r="W383" s="228">
        <f ca="1">IFERROR(IF(BB_Switch=1,IF(_xll.BDP($D383,$D$371, "EQY_FUND_RELATIVE_PERIOD", W$3)="#N/A N/A","NA  ",(_xll.BDP($D383,$D$371, "EQY_FUND_RELATIVE_PERIOD", W$3))),W383),"NA ")</f>
        <v>0.54415993252211969</v>
      </c>
      <c r="X383" s="228">
        <f ca="1">IFERROR(IF(BB_Switch=1,IF(_xll.BDP($D383,$D$371, "EQY_FUND_RELATIVE_PERIOD", X$3)="#N/A N/A","NA  ",(_xll.BDP($D383,$D$371, "EQY_FUND_RELATIVE_PERIOD", X$3))),X383),"NA ")</f>
        <v>1.9701955635060524</v>
      </c>
      <c r="Y383" s="228">
        <f ca="1">IFERROR(IF(BB_Switch=1,IF(_xll.BDP($D383,$D$371, "EQY_FUND_RELATIVE_PERIOD", Y$3)="#N/A N/A","NA  ",(_xll.BDP($D383,$D$371, "EQY_FUND_RELATIVE_PERIOD", Y$3))),Y383),"NA ")</f>
        <v>2.4244156922037403</v>
      </c>
      <c r="Z383" s="228">
        <f ca="1">IFERROR(IF(BB_Switch=1,IF(_xll.BDP($D383,$D$371, "EQY_FUND_RELATIVE_PERIOD", Z$3)="#N/A N/A","NA  ",(_xll.BDP($D383,$D$371, "EQY_FUND_RELATIVE_PERIOD", Z$3))),Z383),"NA ")</f>
        <v>1.832111850170409</v>
      </c>
      <c r="AA383" s="228">
        <f ca="1">IFERROR(IF(BB_Switch=1,IF(_xll.BDP($D383,$D$371, "EQY_FUND_RELATIVE_PERIOD", AA$3)="#N/A N/A","NA  ",(_xll.BDP($D383,$D$371, "EQY_FUND_RELATIVE_PERIOD", AA$3))),AA383),"NA ")</f>
        <v>2.2673324138040765</v>
      </c>
      <c r="AB383" s="228">
        <f ca="1">IFERROR(IF(BB_Switch=1,IF(_xll.BDP($D383,$D$371, "EQY_FUND_RELATIVE_PERIOD", AB$3)="#N/A N/A","NA  ",(_xll.BDP($D383,$D$371, "EQY_FUND_RELATIVE_PERIOD", AB$3))),AB383),"NA ")</f>
        <v>4.463933565960617</v>
      </c>
      <c r="AC383" s="228">
        <f ca="1">IFERROR(IF(BB_Switch=1,IF(_xll.BDP($D383,$D$371, "EQY_FUND_RELATIVE_PERIOD", AC$3)="#N/A N/A","NA  ",(_xll.BDP($D383,$D$371, "EQY_FUND_RELATIVE_PERIOD", AC$3))),AC383),"NA ")</f>
        <v>3.8867993756784993</v>
      </c>
      <c r="AD383" s="228">
        <f ca="1">IFERROR(IF(BB_Switch=1,IF(_xll.BDP($D383,$D$371, "EQY_FUND_RELATIVE_PERIOD", AD$3)="#N/A N/A","NA  ",(_xll.BDP($D383,$D$371, "EQY_FUND_RELATIVE_PERIOD", AD$3))),AD383),"NA ")</f>
        <v>9.0912293247407874</v>
      </c>
      <c r="AE383" s="228">
        <f ca="1">IFERROR(IF(BB_Switch=1,IF(_xll.BDP($D383,$D$371, "EQY_FUND_RELATIVE_PERIOD", AE$3)="#N/A N/A","NA  ",(_xll.BDP($D383,$D$371, "EQY_FUND_RELATIVE_PERIOD", AE$3))),AE383),"NA ")</f>
        <v>8.7471769474897521</v>
      </c>
      <c r="AF383" s="228"/>
      <c r="AG383" s="228">
        <f ca="1">IFERROR(IF(BB_Switch=1,IF(_xll.BDP($D383,$V$371)="#N/A N/A","NA  ",(_xll.BDP($D383,$V$371))),AG383),"NA ")</f>
        <v>8.7331195317193995</v>
      </c>
      <c r="AH383" s="225"/>
      <c r="AI383" s="225"/>
      <c r="AJ383" s="225"/>
    </row>
    <row r="384" spans="2:39" ht="11.25" customHeight="1">
      <c r="C384" s="229" t="str">
        <f ca="1">IFERROR(IF(BB_Switch=1,_xll.BDP($D384,$C$270),C384), "NA ")</f>
        <v>BASF SE</v>
      </c>
      <c r="D384" s="227" t="str">
        <f>+D23</f>
        <v>BAS GR EQUITY</v>
      </c>
      <c r="E384" s="228">
        <f ca="1">IFERROR(IF(BB_Switch=1,IF(_xll.BDP($D384,$D$371, "EQY_FUND_RELATIVE_PERIOD", E$3)="#N/A N/A","NA  ",(_xll.BDP($D384,$D$371, "EQY_FUND_RELATIVE_PERIOD", E$3))),E384),"NA ")</f>
        <v>7.8390469460923984E-2</v>
      </c>
      <c r="F384" s="228">
        <f ca="1">IFERROR(IF(BB_Switch=1,IF(_xll.BDP($D384,$D$371, "EQY_FUND_RELATIVE_PERIOD", F$3)="#N/A N/A","NA  ",(_xll.BDP($D384,$D$371, "EQY_FUND_RELATIVE_PERIOD", F$3))),F384),"NA ")</f>
        <v>2.2798561534885393</v>
      </c>
      <c r="G384" s="228">
        <f ca="1">IFERROR(IF(BB_Switch=1,IF(_xll.BDP($D384,$D$371, "EQY_FUND_RELATIVE_PERIOD", G$3)="#N/A N/A","NA  ",(_xll.BDP($D384,$D$371, "EQY_FUND_RELATIVE_PERIOD", G$3))),G384),"NA ")</f>
        <v>3.0822697089427193</v>
      </c>
      <c r="H384" s="228">
        <f ca="1">IFERROR(IF(BB_Switch=1,IF(_xll.BDP($D384,$D$371, "EQY_FUND_RELATIVE_PERIOD", H$3)="#N/A N/A","NA  ",(_xll.BDP($D384,$D$371, "EQY_FUND_RELATIVE_PERIOD", H$3))),H384),"NA ")</f>
        <v>-0.22646135622044705</v>
      </c>
      <c r="I384" s="228">
        <f ca="1">IFERROR(IF(BB_Switch=1,IF(_xll.BDP($D384,$D$371, "EQY_FUND_RELATIVE_PERIOD", I$3)="#N/A N/A","NA  ",(_xll.BDP($D384,$D$371, "EQY_FUND_RELATIVE_PERIOD", I$3))),I384),"NA ")</f>
        <v>0.65760893825552891</v>
      </c>
      <c r="J384" s="228">
        <f ca="1">IFERROR(IF(BB_Switch=1,IF(_xll.BDP($D384,$D$371, "EQY_FUND_RELATIVE_PERIOD", J$3)="#N/A N/A","NA  ",(_xll.BDP($D384,$D$371, "EQY_FUND_RELATIVE_PERIOD", J$3))),J384),"NA ")</f>
        <v>1.5264366414474364</v>
      </c>
      <c r="K384" s="228">
        <f ca="1">IFERROR(IF(BB_Switch=1,IF(_xll.BDP($D384,$D$371, "EQY_FUND_RELATIVE_PERIOD", K$3)="#N/A N/A","NA  ",(_xll.BDP($D384,$D$371, "EQY_FUND_RELATIVE_PERIOD", K$3))),K384),"NA ")</f>
        <v>2.1241639710869817</v>
      </c>
      <c r="L384" s="228">
        <f ca="1">IFERROR(IF(BB_Switch=1,IF(_xll.BDP($D384,$D$371, "EQY_FUND_RELATIVE_PERIOD", L$3)="#N/A N/A","NA  ",(_xll.BDP($D384,$D$371, "EQY_FUND_RELATIVE_PERIOD", L$3))),L384),"NA ")</f>
        <v>9.5810573785573755E-2</v>
      </c>
      <c r="M384" s="228">
        <f ca="1">IFERROR(IF(BB_Switch=1,IF(_xll.BDP($D384,$D$371, "EQY_FUND_RELATIVE_PERIOD", M$3)="#N/A N/A","NA  ",(_xll.BDP($D384,$D$371, "EQY_FUND_RELATIVE_PERIOD", M$3))),M384),"NA ")</f>
        <v>-0.40066239946694476</v>
      </c>
      <c r="N384" s="228">
        <f ca="1">IFERROR(IF(BB_Switch=1,IF(_xll.BDP($D384,$D$371, "EQY_FUND_RELATIVE_PERIOD", N$3)="#N/A N/A","NA  ",(_xll.BDP($D384,$D$371, "EQY_FUND_RELATIVE_PERIOD", N$3))),N384),"NA ")</f>
        <v>1.0506500420804394</v>
      </c>
      <c r="O384" s="228">
        <f ca="1">IFERROR(IF(BB_Switch=1,IF(_xll.BDP($D384,$D$371, "EQY_FUND_RELATIVE_PERIOD", O$3)="#N/A N/A","NA  ",(_xll.BDP($D384,$D$371, "EQY_FUND_RELATIVE_PERIOD", O$3))),O384),"NA ")</f>
        <v>1.1671469897515347</v>
      </c>
      <c r="P384" s="228">
        <f ca="1">IFERROR(IF(BB_Switch=1,IF(_xll.BDP($D384,$D$371, "EQY_FUND_RELATIVE_PERIOD", P$3)="#N/A N/A","NA  ",(_xll.BDP($D384,$D$371, "EQY_FUND_RELATIVE_PERIOD", P$3))),P384),"NA ")</f>
        <v>2.1568266666957001</v>
      </c>
      <c r="Q384" s="227"/>
      <c r="R384" s="227"/>
      <c r="S384" s="227"/>
      <c r="T384" s="227"/>
      <c r="U384" s="227"/>
      <c r="V384" s="228">
        <f ca="1">IFERROR(IF(BB_Switch=1,IF(_xll.BDP($D384,$D$371, "EQY_FUND_RELATIVE_PERIOD", V$3)="#N/A N/A","NA  ",(_xll.BDP($D384,$D$371, "EQY_FUND_RELATIVE_PERIOD", V$3))),V384),"NA ")</f>
        <v>4.2592155073768696</v>
      </c>
      <c r="W384" s="228">
        <f ca="1">IFERROR(IF(BB_Switch=1,IF(_xll.BDP($D384,$D$371, "EQY_FUND_RELATIVE_PERIOD", W$3)="#N/A N/A","NA  ",(_xll.BDP($D384,$D$371, "EQY_FUND_RELATIVE_PERIOD", W$3))),W384),"NA ")</f>
        <v>4.0229553424738071</v>
      </c>
      <c r="X384" s="228">
        <f ca="1">IFERROR(IF(BB_Switch=1,IF(_xll.BDP($D384,$D$371, "EQY_FUND_RELATIVE_PERIOD", X$3)="#N/A N/A","NA  ",(_xll.BDP($D384,$D$371, "EQY_FUND_RELATIVE_PERIOD", X$3))),X384),"NA ")</f>
        <v>2.8166131179918104</v>
      </c>
      <c r="Y384" s="228">
        <f ca="1">IFERROR(IF(BB_Switch=1,IF(_xll.BDP($D384,$D$371, "EQY_FUND_RELATIVE_PERIOD", Y$3)="#N/A N/A","NA  ",(_xll.BDP($D384,$D$371, "EQY_FUND_RELATIVE_PERIOD", Y$3))),Y384),"NA ")</f>
        <v>3.513417290977801</v>
      </c>
      <c r="Z384" s="228">
        <f ca="1">IFERROR(IF(BB_Switch=1,IF(_xll.BDP($D384,$D$371, "EQY_FUND_RELATIVE_PERIOD", Z$3)="#N/A N/A","NA  ",(_xll.BDP($D384,$D$371, "EQY_FUND_RELATIVE_PERIOD", Z$3))),Z384),"NA ")</f>
        <v>1.8095133367229952</v>
      </c>
      <c r="AA384" s="228">
        <f ca="1">IFERROR(IF(BB_Switch=1,IF(_xll.BDP($D384,$D$371, "EQY_FUND_RELATIVE_PERIOD", AA$3)="#N/A N/A","NA  ",(_xll.BDP($D384,$D$371, "EQY_FUND_RELATIVE_PERIOD", AA$3))),AA384),"NA ")</f>
        <v>3.9565411947360798</v>
      </c>
      <c r="AB384" s="228">
        <f ca="1">IFERROR(IF(BB_Switch=1,IF(_xll.BDP($D384,$D$371, "EQY_FUND_RELATIVE_PERIOD", AB$3)="#N/A N/A","NA  ",(_xll.BDP($D384,$D$371, "EQY_FUND_RELATIVE_PERIOD", AB$3))),AB384),"NA ")</f>
        <v>3.8890382904780618</v>
      </c>
      <c r="AC384" s="228">
        <f ca="1">IFERROR(IF(BB_Switch=1,IF(_xll.BDP($D384,$D$371, "EQY_FUND_RELATIVE_PERIOD", AC$3)="#N/A N/A","NA  ",(_xll.BDP($D384,$D$371, "EQY_FUND_RELATIVE_PERIOD", AC$3))),AC384),"NA ")</f>
        <v>5.2140549756717354</v>
      </c>
      <c r="AD384" s="228">
        <f ca="1">IFERROR(IF(BB_Switch=1,IF(_xll.BDP($D384,$D$371, "EQY_FUND_RELATIVE_PERIOD", AD$3)="#N/A N/A","NA  ",(_xll.BDP($D384,$D$371, "EQY_FUND_RELATIVE_PERIOD", AD$3))),AD384),"NA ")</f>
        <v>4.4040201245755206</v>
      </c>
      <c r="AE384" s="228">
        <f ca="1">IFERROR(IF(BB_Switch=1,IF(_xll.BDP($D384,$D$371, "EQY_FUND_RELATIVE_PERIOD", AE$3)="#N/A N/A","NA  ",(_xll.BDP($D384,$D$371, "EQY_FUND_RELATIVE_PERIOD", AE$3))),AE384),"NA ")</f>
        <v>3.9739612990607296</v>
      </c>
      <c r="AF384" s="228"/>
      <c r="AG384" s="228">
        <f ca="1">IFERROR(IF(BB_Switch=1,IF(_xll.BDP($D384,$V$371)="#N/A N/A","NA  ",(_xll.BDP($D384,$V$371))),AG384),"NA ")</f>
        <v>3.9739612990607296</v>
      </c>
      <c r="AH384" s="225"/>
      <c r="AI384" s="225"/>
      <c r="AJ384" s="225"/>
    </row>
    <row r="385" spans="2:39" ht="11.25" customHeight="1">
      <c r="C385" s="229" t="str">
        <f ca="1">IFERROR(IF(BB_Switch=1,_xll.BDP($D385,$C$270),C385), "NA ")</f>
        <v>Trinseo SA</v>
      </c>
      <c r="D385" s="227" t="str">
        <f>+D24</f>
        <v>TSE US EQUITY</v>
      </c>
      <c r="E385" s="228">
        <f ca="1">IFERROR(IF(BB_Switch=1,IF(_xll.BDP($D385,$D$371, "EQY_FUND_RELATIVE_PERIOD", E$3)="#N/A N/A","NA  ",(_xll.BDP($D385,$D$371, "EQY_FUND_RELATIVE_PERIOD", E$3))),E385),"NA ")</f>
        <v>-1.4017522754613341</v>
      </c>
      <c r="F385" s="228">
        <f ca="1">IFERROR(IF(BB_Switch=1,IF(_xll.BDP($D385,$D$371, "EQY_FUND_RELATIVE_PERIOD", F$3)="#N/A N/A","NA  ",(_xll.BDP($D385,$D$371, "EQY_FUND_RELATIVE_PERIOD", F$3))),F385),"NA ")</f>
        <v>0.54799544419134405</v>
      </c>
      <c r="G385" s="228">
        <f ca="1">IFERROR(IF(BB_Switch=1,IF(_xll.BDP($D385,$D$371, "EQY_FUND_RELATIVE_PERIOD", G$3)="#N/A N/A","NA  ",(_xll.BDP($D385,$D$371, "EQY_FUND_RELATIVE_PERIOD", G$3))),G385),"NA ")</f>
        <v>2.8283752860411897</v>
      </c>
      <c r="H385" s="228">
        <f ca="1">IFERROR(IF(BB_Switch=1,IF(_xll.BDP($D385,$D$371, "EQY_FUND_RELATIVE_PERIOD", H$3)="#N/A N/A","NA  ",(_xll.BDP($D385,$D$371, "EQY_FUND_RELATIVE_PERIOD", H$3))),H385),"NA ")</f>
        <v>3.6155606407322654</v>
      </c>
      <c r="I385" s="228">
        <f ca="1">IFERROR(IF(BB_Switch=1,IF(_xll.BDP($D385,$D$371, "EQY_FUND_RELATIVE_PERIOD", I$3)="#N/A N/A","NA  ",(_xll.BDP($D385,$D$371, "EQY_FUND_RELATIVE_PERIOD", I$3))),I385),"NA ")</f>
        <v>0.23502304147465428</v>
      </c>
      <c r="J385" s="228">
        <f ca="1">IFERROR(IF(BB_Switch=1,IF(_xll.BDP($D385,$D$371, "EQY_FUND_RELATIVE_PERIOD", J$3)="#N/A N/A","NA  ",(_xll.BDP($D385,$D$371, "EQY_FUND_RELATIVE_PERIOD", J$3))),J385),"NA ")</f>
        <v>2.6148491879350346</v>
      </c>
      <c r="K385" s="228">
        <f ca="1">IFERROR(IF(BB_Switch=1,IF(_xll.BDP($D385,$D$371, "EQY_FUND_RELATIVE_PERIOD", K$3)="#N/A N/A","NA  ",(_xll.BDP($D385,$D$371, "EQY_FUND_RELATIVE_PERIOD", K$3))),K385),"NA ")</f>
        <v>0.57981220657276999</v>
      </c>
      <c r="L385" s="228">
        <f ca="1">IFERROR(IF(BB_Switch=1,IF(_xll.BDP($D385,$D$371, "EQY_FUND_RELATIVE_PERIOD", L$3)="#N/A N/A","NA  ",(_xll.BDP($D385,$D$371, "EQY_FUND_RELATIVE_PERIOD", L$3))),L385),"NA ")</f>
        <v>2.31042654028436</v>
      </c>
      <c r="M385" s="228">
        <f ca="1">IFERROR(IF(BB_Switch=1,IF(_xll.BDP($D385,$D$371, "EQY_FUND_RELATIVE_PERIOD", M$3)="#N/A N/A","NA  ",(_xll.BDP($D385,$D$371, "EQY_FUND_RELATIVE_PERIOD", M$3))),M385),"NA ")</f>
        <v>3.1041162227602905</v>
      </c>
      <c r="N385" s="228">
        <f ca="1">IFERROR(IF(BB_Switch=1,IF(_xll.BDP($D385,$D$371, "EQY_FUND_RELATIVE_PERIOD", N$3)="#N/A N/A","NA  ",(_xll.BDP($D385,$D$371, "EQY_FUND_RELATIVE_PERIOD", N$3))),N385),"NA ")</f>
        <v>1.4264705882352942</v>
      </c>
      <c r="O385" s="228">
        <f ca="1">IFERROR(IF(BB_Switch=1,IF(_xll.BDP($D385,$D$371, "EQY_FUND_RELATIVE_PERIOD", O$3)="#N/A N/A","NA  ",(_xll.BDP($D385,$D$371, "EQY_FUND_RELATIVE_PERIOD", O$3))),O385),"NA ")</f>
        <v>0.43142144638403984</v>
      </c>
      <c r="P385" s="228">
        <f ca="1">IFERROR(IF(BB_Switch=1,IF(_xll.BDP($D385,$D$371, "EQY_FUND_RELATIVE_PERIOD", P$3)="#N/A N/A","NA  ",(_xll.BDP($D385,$D$371, "EQY_FUND_RELATIVE_PERIOD", P$3))),P385),"NA ")</f>
        <v>0.22193877551020413</v>
      </c>
      <c r="Q385" s="227"/>
      <c r="R385" s="227"/>
      <c r="S385" s="227"/>
      <c r="T385" s="227"/>
      <c r="U385" s="227"/>
      <c r="V385" s="228" t="str">
        <f ca="1">IFERROR(IF(BB_Switch=1,IF(_xll.BDP($D385,$D$371, "EQY_FUND_RELATIVE_PERIOD", V$3)="#N/A N/A","NA  ",(_xll.BDP($D385,$D$371, "EQY_FUND_RELATIVE_PERIOD", V$3))),V385),"NA ")</f>
        <v xml:space="preserve">NA  </v>
      </c>
      <c r="W385" s="228">
        <f ca="1">IFERROR(IF(BB_Switch=1,IF(_xll.BDP($D385,$D$371, "EQY_FUND_RELATIVE_PERIOD", W$3)="#N/A N/A","NA  ",(_xll.BDP($D385,$D$371, "EQY_FUND_RELATIVE_PERIOD", W$3))),W385),"NA ")</f>
        <v>0.84197534812832731</v>
      </c>
      <c r="X385" s="228">
        <f ca="1">IFERROR(IF(BB_Switch=1,IF(_xll.BDP($D385,$D$371, "EQY_FUND_RELATIVE_PERIOD", X$3)="#N/A N/A","NA  ",(_xll.BDP($D385,$D$371, "EQY_FUND_RELATIVE_PERIOD", X$3))),X385),"NA ")</f>
        <v>4.1933846451939791</v>
      </c>
      <c r="Y385" s="228">
        <f ca="1">IFERROR(IF(BB_Switch=1,IF(_xll.BDP($D385,$D$371, "EQY_FUND_RELATIVE_PERIOD", Y$3)="#N/A N/A","NA  ",(_xll.BDP($D385,$D$371, "EQY_FUND_RELATIVE_PERIOD", Y$3))),Y385),"NA ")</f>
        <v>3.6971525177300593</v>
      </c>
      <c r="Z385" s="228">
        <f ca="1">IFERROR(IF(BB_Switch=1,IF(_xll.BDP($D385,$D$371, "EQY_FUND_RELATIVE_PERIOD", Z$3)="#N/A N/A","NA  ",(_xll.BDP($D385,$D$371, "EQY_FUND_RELATIVE_PERIOD", Z$3))),Z385),"NA ")</f>
        <v>0.4281672646977645</v>
      </c>
      <c r="AA385" s="228">
        <f ca="1">IFERROR(IF(BB_Switch=1,IF(_xll.BDP($D385,$D$371, "EQY_FUND_RELATIVE_PERIOD", AA$3)="#N/A N/A","NA  ",(_xll.BDP($D385,$D$371, "EQY_FUND_RELATIVE_PERIOD", AA$3))),AA385),"NA ")</f>
        <v>5.0022963054086196</v>
      </c>
      <c r="AB385" s="228">
        <f ca="1">IFERROR(IF(BB_Switch=1,IF(_xll.BDP($D385,$D$371, "EQY_FUND_RELATIVE_PERIOD", AB$3)="#N/A N/A","NA  ",(_xll.BDP($D385,$D$371, "EQY_FUND_RELATIVE_PERIOD", AB$3))),AB385),"NA ")</f>
        <v>6.0168817204301082</v>
      </c>
      <c r="AC385" s="228">
        <f ca="1">IFERROR(IF(BB_Switch=1,IF(_xll.BDP($D385,$D$371, "EQY_FUND_RELATIVE_PERIOD", AC$3)="#N/A N/A","NA  ",(_xll.BDP($D385,$D$371, "EQY_FUND_RELATIVE_PERIOD", AC$3))),AC385),"NA ")</f>
        <v>5.5684931506849322</v>
      </c>
      <c r="AD385" s="228">
        <f ca="1">IFERROR(IF(BB_Switch=1,IF(_xll.BDP($D385,$D$371, "EQY_FUND_RELATIVE_PERIOD", AD$3)="#N/A N/A","NA  ",(_xll.BDP($D385,$D$371, "EQY_FUND_RELATIVE_PERIOD", AD$3))),AD385),"NA ")</f>
        <v>5.7266355140186915</v>
      </c>
      <c r="AE385" s="228">
        <f ca="1">IFERROR(IF(BB_Switch=1,IF(_xll.BDP($D385,$D$371, "EQY_FUND_RELATIVE_PERIOD", AE$3)="#N/A N/A","NA  ",(_xll.BDP($D385,$D$371, "EQY_FUND_RELATIVE_PERIOD", AE$3))),AE385),"NA ")</f>
        <v>5.2704714640198516</v>
      </c>
      <c r="AF385" s="228"/>
      <c r="AG385" s="228">
        <f ca="1">IFERROR(IF(BB_Switch=1,IF(_xll.BDP($D385,$V$371)="#N/A N/A","NA  ",(_xll.BDP($D385,$V$371))),AG385),"NA ")</f>
        <v>5.1839470328898285</v>
      </c>
      <c r="AH385" s="225"/>
      <c r="AI385" s="225"/>
      <c r="AJ385" s="225"/>
    </row>
    <row r="386" spans="2:39" ht="11.25" customHeight="1">
      <c r="C386" s="229"/>
      <c r="D386" s="227"/>
      <c r="E386" s="228"/>
      <c r="F386" s="228"/>
      <c r="G386" s="228"/>
      <c r="H386" s="228"/>
      <c r="I386" s="228"/>
      <c r="J386" s="228"/>
      <c r="K386" s="228"/>
      <c r="L386" s="228"/>
      <c r="M386" s="228"/>
      <c r="N386" s="228"/>
      <c r="O386" s="228"/>
      <c r="P386" s="227"/>
      <c r="Q386" s="227"/>
      <c r="R386" s="227"/>
      <c r="S386" s="227"/>
      <c r="T386" s="227"/>
      <c r="U386" s="227"/>
      <c r="V386" s="226"/>
      <c r="W386" s="226"/>
      <c r="X386" s="226"/>
      <c r="Y386" s="226"/>
      <c r="Z386" s="226"/>
      <c r="AA386" s="226"/>
      <c r="AB386" s="226"/>
      <c r="AC386" s="226"/>
      <c r="AD386" s="226"/>
      <c r="AE386" s="226"/>
      <c r="AF386" s="226"/>
      <c r="AG386" s="226"/>
      <c r="AH386" s="225"/>
      <c r="AI386" s="225"/>
      <c r="AJ386" s="225"/>
    </row>
    <row r="387" spans="2:39" ht="11.25" customHeight="1">
      <c r="C387" s="224" t="s">
        <v>482</v>
      </c>
      <c r="D387" s="223"/>
      <c r="E387" s="222"/>
      <c r="F387" s="222"/>
      <c r="G387" s="222"/>
      <c r="H387" s="222"/>
      <c r="I387" s="222"/>
      <c r="J387" s="222"/>
      <c r="K387" s="222"/>
      <c r="L387" s="222"/>
      <c r="M387" s="222"/>
      <c r="N387" s="222"/>
      <c r="O387" s="222"/>
      <c r="P387" s="222"/>
      <c r="Q387" s="222"/>
      <c r="R387" s="222"/>
      <c r="S387" s="222"/>
      <c r="T387" s="289"/>
      <c r="U387" s="359"/>
      <c r="V387" s="295"/>
      <c r="W387" s="222"/>
      <c r="X387" s="222"/>
      <c r="Y387" s="222"/>
      <c r="Z387" s="222"/>
      <c r="AA387" s="222"/>
      <c r="AB387" s="222"/>
      <c r="AC387" s="222"/>
      <c r="AD387" s="222"/>
      <c r="AE387" s="222"/>
      <c r="AF387" s="222"/>
      <c r="AG387" s="222">
        <f ca="1">AVERAGE(AG373:AG379,AG382:AG385)</f>
        <v>4.3910225607450828</v>
      </c>
      <c r="AH387" s="250"/>
      <c r="AI387" s="250"/>
      <c r="AJ387" s="291"/>
    </row>
    <row r="388" spans="2:39" ht="11.25" customHeight="1">
      <c r="C388" s="221" t="s">
        <v>481</v>
      </c>
      <c r="D388" s="220"/>
      <c r="E388" s="218"/>
      <c r="F388" s="218"/>
      <c r="G388" s="218"/>
      <c r="H388" s="218"/>
      <c r="I388" s="218"/>
      <c r="J388" s="218"/>
      <c r="K388" s="218"/>
      <c r="L388" s="218"/>
      <c r="M388" s="218"/>
      <c r="N388" s="218"/>
      <c r="O388" s="218"/>
      <c r="P388" s="218"/>
      <c r="Q388" s="218"/>
      <c r="R388" s="218"/>
      <c r="S388" s="218"/>
      <c r="T388" s="290"/>
      <c r="U388" s="359"/>
      <c r="V388" s="296"/>
      <c r="W388" s="218"/>
      <c r="X388" s="218"/>
      <c r="Y388" s="218"/>
      <c r="Z388" s="218"/>
      <c r="AA388" s="218"/>
      <c r="AB388" s="218"/>
      <c r="AC388" s="218"/>
      <c r="AD388" s="218"/>
      <c r="AE388" s="218"/>
      <c r="AF388" s="218"/>
      <c r="AG388" s="218">
        <f ca="1">MEDIAN(AG373:AG379,AG382:AG385)</f>
        <v>4.1351155691513757</v>
      </c>
      <c r="AH388" s="249"/>
      <c r="AI388" s="249"/>
      <c r="AJ388" s="292"/>
    </row>
    <row r="390" spans="2:39" s="227" customFormat="1" ht="11.25" customHeight="1">
      <c r="B390" s="231" t="s">
        <v>14</v>
      </c>
      <c r="C390" s="232" t="s">
        <v>723</v>
      </c>
      <c r="D390" s="232"/>
      <c r="E390" s="232"/>
      <c r="F390" s="232"/>
      <c r="G390" s="232"/>
      <c r="H390" s="232"/>
      <c r="I390" s="232"/>
      <c r="J390" s="232"/>
      <c r="K390" s="232"/>
      <c r="L390" s="232"/>
      <c r="M390" s="232"/>
      <c r="N390" s="232"/>
      <c r="O390" s="232"/>
      <c r="P390" s="232"/>
      <c r="Q390" s="232"/>
      <c r="R390" s="232"/>
      <c r="S390" s="232"/>
      <c r="T390" s="232"/>
      <c r="U390" s="233"/>
      <c r="V390" s="232"/>
      <c r="W390" s="231"/>
      <c r="X390" s="231"/>
      <c r="Y390" s="231"/>
      <c r="Z390" s="231"/>
      <c r="AA390" s="231"/>
      <c r="AB390" s="231"/>
      <c r="AC390" s="231"/>
      <c r="AD390" s="231"/>
      <c r="AE390" s="231"/>
      <c r="AF390" s="231"/>
      <c r="AG390" s="231"/>
      <c r="AH390" s="231"/>
      <c r="AI390" s="231"/>
      <c r="AJ390" s="231"/>
    </row>
    <row r="391" spans="2:39" ht="12.75" customHeight="1">
      <c r="D391" s="217" t="s">
        <v>724</v>
      </c>
    </row>
    <row r="392" spans="2:39" ht="12.75" customHeight="1">
      <c r="C392" s="428" t="str">
        <f>+C11</f>
        <v>Commodity Chemicals</v>
      </c>
    </row>
    <row r="393" spans="2:39" ht="12.75" customHeight="1">
      <c r="C393" s="229" t="str">
        <f ca="1">IFERROR(IF(BB_Switch=1,_xll.BDP($D393,$C$270),C393), "NA ")</f>
        <v>DuPont de Nemours Inc</v>
      </c>
      <c r="D393" s="238" t="str">
        <f t="shared" ref="D393:D399" si="127">+D12</f>
        <v>DD US EQUITY</v>
      </c>
      <c r="E393" s="242">
        <f ca="1">IFERROR(IF(BB_Switch=1,IF(_xll.BDP($D393,$D$391, "EQY_FUND_RELATIVE_PERIOD", E$3)="#N/A N/A","NA  ",(_xll.BDP($D393,$D$391, "EQY_FUND_RELATIVE_PERIOD", E$3)/100)),E393),"NA ")</f>
        <v>3.167044595616024E-2</v>
      </c>
      <c r="F393" s="242">
        <f ca="1">IFERROR(IF(BB_Switch=1,IF(_xll.BDP($D393,$D$391, "EQY_FUND_RELATIVE_PERIOD", F$3)="#N/A N/A","NA  ",(_xll.BDP($D393,$D$391, "EQY_FUND_RELATIVE_PERIOD", F$3)/100)),F393),"NA ")</f>
        <v>3.8615629676111408E-2</v>
      </c>
      <c r="G393" s="242">
        <f ca="1">IFERROR(IF(BB_Switch=1,IF(_xll.BDP($D393,$D$391, "EQY_FUND_RELATIVE_PERIOD", G$3)="#N/A N/A","NA  ",(_xll.BDP($D393,$D$391, "EQY_FUND_RELATIVE_PERIOD", G$3)/100)),G393),"NA ")</f>
        <v>3.4388432981633452E-2</v>
      </c>
      <c r="H393" s="242">
        <f ca="1">IFERROR(IF(BB_Switch=1,IF(_xll.BDP($D393,$D$391, "EQY_FUND_RELATIVE_PERIOD", H$3)="#N/A N/A","NA  ",(_xll.BDP($D393,$D$391, "EQY_FUND_RELATIVE_PERIOD", H$3)/100)),H393),"NA ")</f>
        <v>3.8223861257849101E-2</v>
      </c>
      <c r="I393" s="242">
        <f ca="1">IFERROR(IF(BB_Switch=1,IF(_xll.BDP($D393,$D$391, "EQY_FUND_RELATIVE_PERIOD", I$3)="#N/A N/A","NA  ",(_xll.BDP($D393,$D$391, "EQY_FUND_RELATIVE_PERIOD", I$3)/100)),I393),"NA ")</f>
        <v>3.5704323570432357E-2</v>
      </c>
      <c r="J393" s="242">
        <f ca="1">IFERROR(IF(BB_Switch=1,IF(_xll.BDP($D393,$D$391, "EQY_FUND_RELATIVE_PERIOD", J$3)="#N/A N/A","NA  ",(_xll.BDP($D393,$D$391, "EQY_FUND_RELATIVE_PERIOD", J$3)/100)),J393),"NA ")</f>
        <v>4.6098685333788622E-2</v>
      </c>
      <c r="K393" s="242">
        <f ca="1">IFERROR(IF(BB_Switch=1,IF(_xll.BDP($D393,$D$391, "EQY_FUND_RELATIVE_PERIOD", K$3)="#N/A N/A","NA  ",(_xll.BDP($D393,$D$391, "EQY_FUND_RELATIVE_PERIOD", K$3)/100)),K393),"NA ")</f>
        <v>4.6454337497800459E-2</v>
      </c>
      <c r="L393" s="242">
        <f ca="1">IFERROR(IF(BB_Switch=1,IF(_xll.BDP($D393,$D$391, "EQY_FUND_RELATIVE_PERIOD", L$3)="#N/A N/A","NA  ",(_xll.BDP($D393,$D$391, "EQY_FUND_RELATIVE_PERIOD", L$3)/100)),L393),"NA ")</f>
        <v>4.8011728055708275E-2</v>
      </c>
      <c r="M393" s="242">
        <f ca="1">IFERROR(IF(BB_Switch=1,IF(_xll.BDP($D393,$D$391, "EQY_FUND_RELATIVE_PERIOD", M$3)="#N/A N/A","NA  ",(_xll.BDP($D393,$D$391, "EQY_FUND_RELATIVE_PERIOD", M$3)/100)),M393),"NA ")</f>
        <v>3.6490406636470046E-2</v>
      </c>
      <c r="N393" s="242">
        <f ca="1">IFERROR(IF(BB_Switch=1,IF(_xll.BDP($D393,$D$391, "EQY_FUND_RELATIVE_PERIOD", N$3)="#N/A N/A","NA  ",(_xll.BDP($D393,$D$391, "EQY_FUND_RELATIVE_PERIOD", N$3)/100)),N393),"NA ")</f>
        <v>4.242867593269934E-2</v>
      </c>
      <c r="O393" s="242">
        <f ca="1">IFERROR(IF(BB_Switch=1,IF(_xll.BDP($D393,$D$391, "EQY_FUND_RELATIVE_PERIOD", O$3)="#N/A N/A","NA  ",(_xll.BDP($D393,$D$391, "EQY_FUND_RELATIVE_PERIOD", O$3)/100)),O393),"NA ")</f>
        <v>4.1467010689273866E-2</v>
      </c>
      <c r="P393" s="242">
        <f ca="1">IFERROR(IF(BB_Switch=1,IF(_xll.BDP($D393,$D$391, "EQY_FUND_RELATIVE_PERIOD", P$3)="#N/A N/A","NA  ",(_xll.BDP($D393,$D$391, "EQY_FUND_RELATIVE_PERIOD", P$3)/100)),P393),"NA ")</f>
        <v>4.4388931591083786E-2</v>
      </c>
      <c r="Q393" s="242"/>
      <c r="R393" s="242"/>
      <c r="S393" s="242"/>
      <c r="T393" s="242"/>
      <c r="V393" s="242" t="str">
        <f ca="1">IFERROR(IF(BB_Switch=1,IF(_xll.BDP($D393,$D$391, "EQY_FUND_RELATIVE_PERIOD", V$3)="#N/A N/A","NA  ",(_xll.BDP($D393,$D$391, "EQY_FUND_RELATIVE_PERIOD", V$3)/100)),V393),"NA ")</f>
        <v xml:space="preserve">NA  </v>
      </c>
      <c r="W393" s="242" t="str">
        <f ca="1">IFERROR(IF(BB_Switch=1,IF(_xll.BDP($D393,$D$391, "EQY_FUND_RELATIVE_PERIOD", W$3)="#N/A N/A","NA  ",(_xll.BDP($D393,$D$391, "EQY_FUND_RELATIVE_PERIOD", W$3)/100)),W393),"NA ")</f>
        <v xml:space="preserve">NA  </v>
      </c>
      <c r="X393" s="242" t="str">
        <f ca="1">IFERROR(IF(BB_Switch=1,IF(_xll.BDP($D393,$D$391, "EQY_FUND_RELATIVE_PERIOD", X$3)="#N/A N/A","NA  ",(_xll.BDP($D393,$D$391, "EQY_FUND_RELATIVE_PERIOD", X$3)/100)),X393),"NA ")</f>
        <v xml:space="preserve">NA  </v>
      </c>
      <c r="Y393" s="242" t="str">
        <f ca="1">IFERROR(IF(BB_Switch=1,IF(_xll.BDP($D393,$D$391, "EQY_FUND_RELATIVE_PERIOD", Y$3)="#N/A N/A","NA  ",(_xll.BDP($D393,$D$391, "EQY_FUND_RELATIVE_PERIOD", Y$3)/100)),Y393),"NA ")</f>
        <v xml:space="preserve">NA  </v>
      </c>
      <c r="Z393" s="242" t="str">
        <f ca="1">IFERROR(IF(BB_Switch=1,IF(_xll.BDP($D393,$D$391, "EQY_FUND_RELATIVE_PERIOD", Z$3)="#N/A N/A","NA  ",(_xll.BDP($D393,$D$391, "EQY_FUND_RELATIVE_PERIOD", Z$3)/100)),Z393),"NA ")</f>
        <v xml:space="preserve">NA  </v>
      </c>
      <c r="AA393" s="242">
        <f ca="1">IFERROR(IF(BB_Switch=1,IF(_xll.BDP($D393,$D$391, "EQY_FUND_RELATIVE_PERIOD", AA$3)="#N/A N/A","NA  ",(_xll.BDP($D393,$D$391, "EQY_FUND_RELATIVE_PERIOD", AA$3)/100)),AA393),"NA ")</f>
        <v>4.6887697058345522E-2</v>
      </c>
      <c r="AB393" s="242">
        <f ca="1">IFERROR(IF(BB_Switch=1,IF(_xll.BDP($D393,$D$391, "EQY_FUND_RELATIVE_PERIOD", AB$3)="#N/A N/A","NA  ",(_xll.BDP($D393,$D$391, "EQY_FUND_RELATIVE_PERIOD", AB$3)/100)),AB393),"NA ")</f>
        <v>4.3177137698535845E-2</v>
      </c>
      <c r="AC393" s="242">
        <f ca="1">IFERROR(IF(BB_Switch=1,IF(_xll.BDP($D393,$D$391, "EQY_FUND_RELATIVE_PERIOD", AC$3)="#N/A N/A","NA  ",(_xll.BDP($D393,$D$391, "EQY_FUND_RELATIVE_PERIOD", AC$3)/100)),AC393),"NA ")</f>
        <v>5.6288553803975329E-2</v>
      </c>
      <c r="AD393" s="242">
        <f ca="1">IFERROR(IF(BB_Switch=1,IF(_xll.BDP($D393,$D$391, "EQY_FUND_RELATIVE_PERIOD", AD$3)="#N/A N/A","NA  ",(_xll.BDP($D393,$D$391, "EQY_FUND_RELATIVE_PERIOD", AD$3)/100)),AD393),"NA ")</f>
        <v>4.7357705585553689E-2</v>
      </c>
      <c r="AE393" s="242">
        <f ca="1">IFERROR(IF(BB_Switch=1,IF(_xll.BDP($D393,$D$391, "EQY_FUND_RELATIVE_PERIOD", AE$3)="#N/A N/A","NA  ",(_xll.BDP($D393,$D$391, "EQY_FUND_RELATIVE_PERIOD", AE$3)/100)),AE393),"NA ")</f>
        <v>4.4393826701375969E-2</v>
      </c>
      <c r="AF393" s="246">
        <f ca="1">IFERROR(+AVERAGEIFS(V393:AE393,V393:AE393,"&gt;="&amp;$AL$396,V393:AE393,"&lt;="&amp;$AL$397),"NA  ")</f>
        <v>4.5454091760952761E-2</v>
      </c>
      <c r="AG393" s="228"/>
      <c r="AH393" s="238"/>
    </row>
    <row r="394" spans="2:39" ht="12.75" customHeight="1">
      <c r="C394" s="229" t="str">
        <f ca="1">IFERROR(IF(BB_Switch=1,_xll.BDP($D394,$C$270),C394), "NA ")</f>
        <v>PolyOne Corp</v>
      </c>
      <c r="D394" s="238" t="str">
        <f t="shared" si="127"/>
        <v>POL US EQUITY</v>
      </c>
      <c r="E394" s="242" t="str">
        <f ca="1">IFERROR(IF(BB_Switch=1,IF(_xll.BDP($D394,$D$391, "EQY_FUND_RELATIVE_PERIOD", E$3)="#N/A N/A","NA  ",(_xll.BDP($D394,$D$391, "EQY_FUND_RELATIVE_PERIOD", E$3)/100)),E394),"NA ")</f>
        <v xml:space="preserve">NA  </v>
      </c>
      <c r="F394" s="242" t="str">
        <f ca="1">IFERROR(IF(BB_Switch=1,IF(_xll.BDP($D394,$D$391, "EQY_FUND_RELATIVE_PERIOD", F$3)="#N/A N/A","NA  ",(_xll.BDP($D394,$D$391, "EQY_FUND_RELATIVE_PERIOD", F$3)/100)),F394),"NA ")</f>
        <v xml:space="preserve">NA  </v>
      </c>
      <c r="G394" s="242" t="str">
        <f ca="1">IFERROR(IF(BB_Switch=1,IF(_xll.BDP($D394,$D$391, "EQY_FUND_RELATIVE_PERIOD", G$3)="#N/A N/A","NA  ",(_xll.BDP($D394,$D$391, "EQY_FUND_RELATIVE_PERIOD", G$3)/100)),G394),"NA ")</f>
        <v xml:space="preserve">NA  </v>
      </c>
      <c r="H394" s="242" t="str">
        <f ca="1">IFERROR(IF(BB_Switch=1,IF(_xll.BDP($D394,$D$391, "EQY_FUND_RELATIVE_PERIOD", H$3)="#N/A N/A","NA  ",(_xll.BDP($D394,$D$391, "EQY_FUND_RELATIVE_PERIOD", H$3)/100)),H394),"NA ")</f>
        <v xml:space="preserve">NA  </v>
      </c>
      <c r="I394" s="242" t="str">
        <f ca="1">IFERROR(IF(BB_Switch=1,IF(_xll.BDP($D394,$D$391, "EQY_FUND_RELATIVE_PERIOD", I$3)="#N/A N/A","NA  ",(_xll.BDP($D394,$D$391, "EQY_FUND_RELATIVE_PERIOD", I$3)/100)),I394),"NA ")</f>
        <v xml:space="preserve">NA  </v>
      </c>
      <c r="J394" s="242" t="str">
        <f ca="1">IFERROR(IF(BB_Switch=1,IF(_xll.BDP($D394,$D$391, "EQY_FUND_RELATIVE_PERIOD", J$3)="#N/A N/A","NA  ",(_xll.BDP($D394,$D$391, "EQY_FUND_RELATIVE_PERIOD", J$3)/100)),J394),"NA ")</f>
        <v xml:space="preserve">NA  </v>
      </c>
      <c r="K394" s="242" t="str">
        <f ca="1">IFERROR(IF(BB_Switch=1,IF(_xll.BDP($D394,$D$391, "EQY_FUND_RELATIVE_PERIOD", K$3)="#N/A N/A","NA  ",(_xll.BDP($D394,$D$391, "EQY_FUND_RELATIVE_PERIOD", K$3)/100)),K394),"NA ")</f>
        <v xml:space="preserve">NA  </v>
      </c>
      <c r="L394" s="242" t="str">
        <f ca="1">IFERROR(IF(BB_Switch=1,IF(_xll.BDP($D394,$D$391, "EQY_FUND_RELATIVE_PERIOD", L$3)="#N/A N/A","NA  ",(_xll.BDP($D394,$D$391, "EQY_FUND_RELATIVE_PERIOD", L$3)/100)),L394),"NA ")</f>
        <v xml:space="preserve">NA  </v>
      </c>
      <c r="M394" s="242" t="str">
        <f ca="1">IFERROR(IF(BB_Switch=1,IF(_xll.BDP($D394,$D$391, "EQY_FUND_RELATIVE_PERIOD", M$3)="#N/A N/A","NA  ",(_xll.BDP($D394,$D$391, "EQY_FUND_RELATIVE_PERIOD", M$3)/100)),M394),"NA ")</f>
        <v xml:space="preserve">NA  </v>
      </c>
      <c r="N394" s="242" t="str">
        <f ca="1">IFERROR(IF(BB_Switch=1,IF(_xll.BDP($D394,$D$391, "EQY_FUND_RELATIVE_PERIOD", N$3)="#N/A N/A","NA  ",(_xll.BDP($D394,$D$391, "EQY_FUND_RELATIVE_PERIOD", N$3)/100)),N394),"NA ")</f>
        <v xml:space="preserve">NA  </v>
      </c>
      <c r="O394" s="242" t="str">
        <f ca="1">IFERROR(IF(BB_Switch=1,IF(_xll.BDP($D394,$D$391, "EQY_FUND_RELATIVE_PERIOD", O$3)="#N/A N/A","NA  ",(_xll.BDP($D394,$D$391, "EQY_FUND_RELATIVE_PERIOD", O$3)/100)),O394),"NA ")</f>
        <v xml:space="preserve">NA  </v>
      </c>
      <c r="P394" s="242" t="str">
        <f ca="1">IFERROR(IF(BB_Switch=1,IF(_xll.BDP($D394,$D$391, "EQY_FUND_RELATIVE_PERIOD", P$3)="#N/A N/A","NA  ",(_xll.BDP($D394,$D$391, "EQY_FUND_RELATIVE_PERIOD", P$3)/100)),P394),"NA ")</f>
        <v xml:space="preserve">NA  </v>
      </c>
      <c r="Q394" s="242"/>
      <c r="R394" s="242"/>
      <c r="S394" s="242"/>
      <c r="T394" s="242"/>
      <c r="V394" s="242">
        <f ca="1">IFERROR(IF(BB_Switch=1,IF(_xll.BDP($D394,$D$391, "EQY_FUND_RELATIVE_PERIOD", V$3)="#N/A N/A","NA  ",(_xll.BDP($D394,$D$391, "EQY_FUND_RELATIVE_PERIOD", V$3)/100)),V394),"NA ")</f>
        <v>1.2891414622983332E-2</v>
      </c>
      <c r="W394" s="242">
        <f ca="1">IFERROR(IF(BB_Switch=1,IF(_xll.BDP($D394,$D$391, "EQY_FUND_RELATIVE_PERIOD", W$3)="#N/A N/A","NA  ",(_xll.BDP($D394,$D$391, "EQY_FUND_RELATIVE_PERIOD", W$3)/100)),W394),"NA ")</f>
        <v>1.2886327920377161E-2</v>
      </c>
      <c r="X394" s="242">
        <f ca="1">IFERROR(IF(BB_Switch=1,IF(_xll.BDP($D394,$D$391, "EQY_FUND_RELATIVE_PERIOD", X$3)="#N/A N/A","NA  ",(_xll.BDP($D394,$D$391, "EQY_FUND_RELATIVE_PERIOD", X$3)/100)),X394),"NA ")</f>
        <v>1.443652125279642E-2</v>
      </c>
      <c r="Y394" s="242">
        <f ca="1">IFERROR(IF(BB_Switch=1,IF(_xll.BDP($D394,$D$391, "EQY_FUND_RELATIVE_PERIOD", Y$3)="#N/A N/A","NA  ",(_xll.BDP($D394,$D$391, "EQY_FUND_RELATIVE_PERIOD", Y$3)/100)),Y394),"NA ")</f>
        <v>1.3947815019092067E-2</v>
      </c>
      <c r="Z394" s="242">
        <f ca="1">IFERROR(IF(BB_Switch=1,IF(_xll.BDP($D394,$D$391, "EQY_FUND_RELATIVE_PERIOD", Z$3)="#N/A N/A","NA  ",(_xll.BDP($D394,$D$391, "EQY_FUND_RELATIVE_PERIOD", Z$3)/100)),Z394),"NA ")</f>
        <v>1.3922565506452872E-2</v>
      </c>
      <c r="AA394" s="242">
        <f ca="1">IFERROR(IF(BB_Switch=1,IF(_xll.BDP($D394,$D$391, "EQY_FUND_RELATIVE_PERIOD", AA$3)="#N/A N/A","NA  ",(_xll.BDP($D394,$D$391, "EQY_FUND_RELATIVE_PERIOD", AA$3)/100)),AA394),"NA ")</f>
        <v>1.569161534817622E-2</v>
      </c>
      <c r="AB394" s="242">
        <f ca="1">IFERROR(IF(BB_Switch=1,IF(_xll.BDP($D394,$D$391, "EQY_FUND_RELATIVE_PERIOD", AB$3)="#N/A N/A","NA  ",(_xll.BDP($D394,$D$391, "EQY_FUND_RELATIVE_PERIOD", AB$3)/100)),AB394),"NA ")</f>
        <v>1.715102429728442E-2</v>
      </c>
      <c r="AC394" s="242">
        <f ca="1">IFERROR(IF(BB_Switch=1,IF(_xll.BDP($D394,$D$391, "EQY_FUND_RELATIVE_PERIOD", AC$3)="#N/A N/A","NA  ",(_xll.BDP($D394,$D$391, "EQY_FUND_RELATIVE_PERIOD", AC$3)/100)),AC394),"NA ")</f>
        <v>1.6130530356976997E-2</v>
      </c>
      <c r="AD394" s="242">
        <f ca="1">IFERROR(IF(BB_Switch=1,IF(_xll.BDP($D394,$D$391, "EQY_FUND_RELATIVE_PERIOD", AD$3)="#N/A N/A","NA  ",(_xll.BDP($D394,$D$391, "EQY_FUND_RELATIVE_PERIOD", AD$3)/100)),AD394),"NA ")</f>
        <v>1.7216244359597361E-2</v>
      </c>
      <c r="AE394" s="242">
        <f ca="1">IFERROR(IF(BB_Switch=1,IF(_xll.BDP($D394,$D$391, "EQY_FUND_RELATIVE_PERIOD", AE$3)="#N/A N/A","NA  ",(_xll.BDP($D394,$D$391, "EQY_FUND_RELATIVE_PERIOD", AE$3)/100)),AE394),"NA ")</f>
        <v>1.7675620917315824E-2</v>
      </c>
      <c r="AF394" s="245">
        <f t="shared" ref="AF394:AF405" ca="1" si="128">IFERROR(+AVERAGEIFS(V394:AE394,V394:AE394,"&gt;="&amp;$AL$396,V394:AE394,"&lt;="&amp;$AL$397),"NA  ")</f>
        <v>1.5194967960105266E-2</v>
      </c>
      <c r="AG394" s="228"/>
      <c r="AH394" s="238"/>
    </row>
    <row r="395" spans="2:39" ht="12.75" customHeight="1">
      <c r="C395" s="229" t="str">
        <f ca="1">IFERROR(IF(BB_Switch=1,_xll.BDP($D395,$C$270),C395), "NA ")</f>
        <v>Olin Corp</v>
      </c>
      <c r="D395" s="238" t="str">
        <f t="shared" si="127"/>
        <v>OLN US EQUITY</v>
      </c>
      <c r="E395" s="242" t="str">
        <f ca="1">IFERROR(IF(BB_Switch=1,IF(_xll.BDP($D395,$D$391, "EQY_FUND_RELATIVE_PERIOD", E$3)="#N/A N/A","NA  ",(_xll.BDP($D395,$D$391, "EQY_FUND_RELATIVE_PERIOD", E$3)/100)),E395),"NA ")</f>
        <v xml:space="preserve">NA  </v>
      </c>
      <c r="F395" s="242" t="str">
        <f ca="1">IFERROR(IF(BB_Switch=1,IF(_xll.BDP($D395,$D$391, "EQY_FUND_RELATIVE_PERIOD", F$3)="#N/A N/A","NA  ",(_xll.BDP($D395,$D$391, "EQY_FUND_RELATIVE_PERIOD", F$3)/100)),F395),"NA ")</f>
        <v xml:space="preserve">NA  </v>
      </c>
      <c r="G395" s="242" t="str">
        <f ca="1">IFERROR(IF(BB_Switch=1,IF(_xll.BDP($D395,$D$391, "EQY_FUND_RELATIVE_PERIOD", G$3)="#N/A N/A","NA  ",(_xll.BDP($D395,$D$391, "EQY_FUND_RELATIVE_PERIOD", G$3)/100)),G395),"NA ")</f>
        <v xml:space="preserve">NA  </v>
      </c>
      <c r="H395" s="242" t="str">
        <f ca="1">IFERROR(IF(BB_Switch=1,IF(_xll.BDP($D395,$D$391, "EQY_FUND_RELATIVE_PERIOD", H$3)="#N/A N/A","NA  ",(_xll.BDP($D395,$D$391, "EQY_FUND_RELATIVE_PERIOD", H$3)/100)),H395),"NA ")</f>
        <v xml:space="preserve">NA  </v>
      </c>
      <c r="I395" s="242" t="str">
        <f ca="1">IFERROR(IF(BB_Switch=1,IF(_xll.BDP($D395,$D$391, "EQY_FUND_RELATIVE_PERIOD", I$3)="#N/A N/A","NA  ",(_xll.BDP($D395,$D$391, "EQY_FUND_RELATIVE_PERIOD", I$3)/100)),I395),"NA ")</f>
        <v xml:space="preserve">NA  </v>
      </c>
      <c r="J395" s="242" t="str">
        <f ca="1">IFERROR(IF(BB_Switch=1,IF(_xll.BDP($D395,$D$391, "EQY_FUND_RELATIVE_PERIOD", J$3)="#N/A N/A","NA  ",(_xll.BDP($D395,$D$391, "EQY_FUND_RELATIVE_PERIOD", J$3)/100)),J395),"NA ")</f>
        <v xml:space="preserve">NA  </v>
      </c>
      <c r="K395" s="242" t="str">
        <f ca="1">IFERROR(IF(BB_Switch=1,IF(_xll.BDP($D395,$D$391, "EQY_FUND_RELATIVE_PERIOD", K$3)="#N/A N/A","NA  ",(_xll.BDP($D395,$D$391, "EQY_FUND_RELATIVE_PERIOD", K$3)/100)),K395),"NA ")</f>
        <v xml:space="preserve">NA  </v>
      </c>
      <c r="L395" s="242" t="str">
        <f ca="1">IFERROR(IF(BB_Switch=1,IF(_xll.BDP($D395,$D$391, "EQY_FUND_RELATIVE_PERIOD", L$3)="#N/A N/A","NA  ",(_xll.BDP($D395,$D$391, "EQY_FUND_RELATIVE_PERIOD", L$3)/100)),L395),"NA ")</f>
        <v xml:space="preserve">NA  </v>
      </c>
      <c r="M395" s="242" t="str">
        <f ca="1">IFERROR(IF(BB_Switch=1,IF(_xll.BDP($D395,$D$391, "EQY_FUND_RELATIVE_PERIOD", M$3)="#N/A N/A","NA  ",(_xll.BDP($D395,$D$391, "EQY_FUND_RELATIVE_PERIOD", M$3)/100)),M395),"NA ")</f>
        <v xml:space="preserve">NA  </v>
      </c>
      <c r="N395" s="242" t="str">
        <f ca="1">IFERROR(IF(BB_Switch=1,IF(_xll.BDP($D395,$D$391, "EQY_FUND_RELATIVE_PERIOD", N$3)="#N/A N/A","NA  ",(_xll.BDP($D395,$D$391, "EQY_FUND_RELATIVE_PERIOD", N$3)/100)),N395),"NA ")</f>
        <v xml:space="preserve">NA  </v>
      </c>
      <c r="O395" s="242" t="str">
        <f ca="1">IFERROR(IF(BB_Switch=1,IF(_xll.BDP($D395,$D$391, "EQY_FUND_RELATIVE_PERIOD", O$3)="#N/A N/A","NA  ",(_xll.BDP($D395,$D$391, "EQY_FUND_RELATIVE_PERIOD", O$3)/100)),O395),"NA ")</f>
        <v xml:space="preserve">NA  </v>
      </c>
      <c r="P395" s="242" t="str">
        <f ca="1">IFERROR(IF(BB_Switch=1,IF(_xll.BDP($D395,$D$391, "EQY_FUND_RELATIVE_PERIOD", P$3)="#N/A N/A","NA  ",(_xll.BDP($D395,$D$391, "EQY_FUND_RELATIVE_PERIOD", P$3)/100)),P395),"NA ")</f>
        <v xml:space="preserve">NA  </v>
      </c>
      <c r="Q395" s="242"/>
      <c r="R395" s="242"/>
      <c r="S395" s="242"/>
      <c r="T395" s="242"/>
      <c r="V395" s="242">
        <f ca="1">IFERROR(IF(BB_Switch=1,IF(_xll.BDP($D395,$D$391, "EQY_FUND_RELATIVE_PERIOD", V$3)="#N/A N/A","NA  ",(_xll.BDP($D395,$D$391, "EQY_FUND_RELATIVE_PERIOD", V$3)/100)),V395),"NA ")</f>
        <v>1.3241692414401917E-3</v>
      </c>
      <c r="W395" s="242">
        <f ca="1">IFERROR(IF(BB_Switch=1,IF(_xll.BDP($D395,$D$391, "EQY_FUND_RELATIVE_PERIOD", W$3)="#N/A N/A","NA  ",(_xll.BDP($D395,$D$391, "EQY_FUND_RELATIVE_PERIOD", W$3)/100)),W395),"NA ")</f>
        <v>1.3767783386874717E-3</v>
      </c>
      <c r="X395" s="242">
        <f ca="1">IFERROR(IF(BB_Switch=1,IF(_xll.BDP($D395,$D$391, "EQY_FUND_RELATIVE_PERIOD", X$3)="#N/A N/A","NA  ",(_xll.BDP($D395,$D$391, "EQY_FUND_RELATIVE_PERIOD", X$3)/100)),X395),"NA ")</f>
        <v>1.1900947498512382E-3</v>
      </c>
      <c r="Y395" s="242">
        <f ca="1">IFERROR(IF(BB_Switch=1,IF(_xll.BDP($D395,$D$391, "EQY_FUND_RELATIVE_PERIOD", Y$3)="#N/A N/A","NA  ",(_xll.BDP($D395,$D$391, "EQY_FUND_RELATIVE_PERIOD", Y$3)/100)),Y395),"NA ")</f>
        <v>9.9403578528827028E-4</v>
      </c>
      <c r="Z395" s="242">
        <f ca="1">IFERROR(IF(BB_Switch=1,IF(_xll.BDP($D395,$D$391, "EQY_FUND_RELATIVE_PERIOD", Z$3)="#N/A N/A","NA  ",(_xll.BDP($D395,$D$391, "EQY_FUND_RELATIVE_PERIOD", Z$3)/100)),Z395),"NA ")</f>
        <v>1.8293771194003213E-3</v>
      </c>
      <c r="AA395" s="242">
        <f ca="1">IFERROR(IF(BB_Switch=1,IF(_xll.BDP($D395,$D$391, "EQY_FUND_RELATIVE_PERIOD", AA$3)="#N/A N/A","NA  ",(_xll.BDP($D395,$D$391, "EQY_FUND_RELATIVE_PERIOD", AA$3)/100)),AA395),"NA ")</f>
        <v>1.7166479820627802E-3</v>
      </c>
      <c r="AB395" s="242">
        <f ca="1">IFERROR(IF(BB_Switch=1,IF(_xll.BDP($D395,$D$391, "EQY_FUND_RELATIVE_PERIOD", AB$3)="#N/A N/A","NA  ",(_xll.BDP($D395,$D$391, "EQY_FUND_RELATIVE_PERIOD", AB$3)/100)),AB395),"NA ")</f>
        <v>1.9637516664865059E-3</v>
      </c>
      <c r="AC395" s="242">
        <f ca="1">IFERROR(IF(BB_Switch=1,IF(_xll.BDP($D395,$D$391, "EQY_FUND_RELATIVE_PERIOD", AC$3)="#N/A N/A","NA  ",(_xll.BDP($D395,$D$391, "EQY_FUND_RELATIVE_PERIOD", AC$3)/100)),AC395),"NA ")</f>
        <v>2.3131899687320531E-3</v>
      </c>
      <c r="AD395" s="242">
        <f ca="1">IFERROR(IF(BB_Switch=1,IF(_xll.BDP($D395,$D$391, "EQY_FUND_RELATIVE_PERIOD", AD$3)="#N/A N/A","NA  ",(_xll.BDP($D395,$D$391, "EQY_FUND_RELATIVE_PERIOD", AD$3)/100)),AD395),"NA ")</f>
        <v>2.1450886108751671E-3</v>
      </c>
      <c r="AE395" s="242">
        <f ca="1">IFERROR(IF(BB_Switch=1,IF(_xll.BDP($D395,$D$391, "EQY_FUND_RELATIVE_PERIOD", AE$3)="#N/A N/A","NA  ",(_xll.BDP($D395,$D$391, "EQY_FUND_RELATIVE_PERIOD", AE$3)/100)),AE395),"NA ")</f>
        <v>2.7004909983633389E-3</v>
      </c>
      <c r="AF395" s="245">
        <f t="shared" ca="1" si="128"/>
        <v>1.7553624461187339E-3</v>
      </c>
      <c r="AG395" s="228"/>
    </row>
    <row r="396" spans="2:39" ht="12.75" customHeight="1">
      <c r="C396" s="229" t="str">
        <f ca="1">IFERROR(IF(BB_Switch=1,_xll.BDP($D396,$C$270),C396), "NA ")</f>
        <v>LyondellBasell Industries NV</v>
      </c>
      <c r="D396" s="238" t="str">
        <f t="shared" si="127"/>
        <v>LYB US EQUITY</v>
      </c>
      <c r="E396" s="242">
        <f ca="1">IFERROR(IF(BB_Switch=1,IF(_xll.BDP($D396,$D$391, "EQY_FUND_RELATIVE_PERIOD", E$3)="#N/A N/A","NA  ",(_xll.BDP($D396,$D$391, "EQY_FUND_RELATIVE_PERIOD", E$3)/100)),E396),"NA ")</f>
        <v>2.9655990510083037E-3</v>
      </c>
      <c r="F396" s="242">
        <f ca="1">IFERROR(IF(BB_Switch=1,IF(_xll.BDP($D396,$D$391, "EQY_FUND_RELATIVE_PERIOD", F$3)="#N/A N/A","NA  ",(_xll.BDP($D396,$D$391, "EQY_FUND_RELATIVE_PERIOD", F$3)/100)),F396),"NA ")</f>
        <v>2.9751279305010115E-3</v>
      </c>
      <c r="G396" s="242">
        <f ca="1">IFERROR(IF(BB_Switch=1,IF(_xll.BDP($D396,$D$391, "EQY_FUND_RELATIVE_PERIOD", G$3)="#N/A N/A","NA  ",(_xll.BDP($D396,$D$391, "EQY_FUND_RELATIVE_PERIOD", G$3)/100)),G396),"NA ")</f>
        <v>3.1705025833724753E-3</v>
      </c>
      <c r="H396" s="242">
        <f ca="1">IFERROR(IF(BB_Switch=1,IF(_xll.BDP($D396,$D$391, "EQY_FUND_RELATIVE_PERIOD", H$3)="#N/A N/A","NA  ",(_xll.BDP($D396,$D$391, "EQY_FUND_RELATIVE_PERIOD", H$3)/100)),H396),"NA ")</f>
        <v>3.1746031746031746E-3</v>
      </c>
      <c r="I396" s="242">
        <f ca="1">IFERROR(IF(BB_Switch=1,IF(_xll.BDP($D396,$D$391, "EQY_FUND_RELATIVE_PERIOD", I$3)="#N/A N/A","NA  ",(_xll.BDP($D396,$D$391, "EQY_FUND_RELATIVE_PERIOD", I$3)/100)),I396),"NA ")</f>
        <v>2.8667963550732057E-3</v>
      </c>
      <c r="J396" s="242">
        <f ca="1">IFERROR(IF(BB_Switch=1,IF(_xll.BDP($D396,$D$391, "EQY_FUND_RELATIVE_PERIOD", J$3)="#N/A N/A","NA  ",(_xll.BDP($D396,$D$391, "EQY_FUND_RELATIVE_PERIOD", J$3)/100)),J396),"NA ")</f>
        <v>2.8414658044287676E-3</v>
      </c>
      <c r="K396" s="242">
        <f ca="1">IFERROR(IF(BB_Switch=1,IF(_xll.BDP($D396,$D$391, "EQY_FUND_RELATIVE_PERIOD", K$3)="#N/A N/A","NA  ",(_xll.BDP($D396,$D$391, "EQY_FUND_RELATIVE_PERIOD", K$3)/100)),K396),"NA ")</f>
        <v>2.9542097488921715E-3</v>
      </c>
      <c r="L396" s="242">
        <f ca="1">IFERROR(IF(BB_Switch=1,IF(_xll.BDP($D396,$D$391, "EQY_FUND_RELATIVE_PERIOD", L$3)="#N/A N/A","NA  ",(_xll.BDP($D396,$D$391, "EQY_FUND_RELATIVE_PERIOD", L$3)/100)),L396),"NA ")</f>
        <v>3.1545741324921135E-3</v>
      </c>
      <c r="M396" s="242">
        <f ca="1">IFERROR(IF(BB_Switch=1,IF(_xll.BDP($D396,$D$391, "EQY_FUND_RELATIVE_PERIOD", M$3)="#N/A N/A","NA  ",(_xll.BDP($D396,$D$391, "EQY_FUND_RELATIVE_PERIOD", M$3)/100)),M396),"NA ")</f>
        <v>3.189792663476874E-3</v>
      </c>
      <c r="N396" s="242">
        <f ca="1">IFERROR(IF(BB_Switch=1,IF(_xll.BDP($D396,$D$391, "EQY_FUND_RELATIVE_PERIOD", N$3)="#N/A N/A","NA  ",(_xll.BDP($D396,$D$391, "EQY_FUND_RELATIVE_PERIOD", N$3)/100)),N396),"NA ")</f>
        <v>2.9840848806366046E-3</v>
      </c>
      <c r="O396" s="242">
        <f ca="1">IFERROR(IF(BB_Switch=1,IF(_xll.BDP($D396,$D$391, "EQY_FUND_RELATIVE_PERIOD", O$3)="#N/A N/A","NA  ",(_xll.BDP($D396,$D$391, "EQY_FUND_RELATIVE_PERIOD", O$3)/100)),O396),"NA ")</f>
        <v>2.9809676679660628E-3</v>
      </c>
      <c r="P396" s="242">
        <f ca="1">IFERROR(IF(BB_Switch=1,IF(_xll.BDP($D396,$D$391, "EQY_FUND_RELATIVE_PERIOD", P$3)="#N/A N/A","NA  ",(_xll.BDP($D396,$D$391, "EQY_FUND_RELATIVE_PERIOD", P$3)/100)),P396),"NA ")</f>
        <v>4.1203081061254435E-2</v>
      </c>
      <c r="Q396" s="242"/>
      <c r="R396" s="242"/>
      <c r="S396" s="242"/>
      <c r="T396" s="242"/>
      <c r="V396" s="242">
        <f ca="1">IFERROR(IF(BB_Switch=1,IF(_xll.BDP($D396,$D$391, "EQY_FUND_RELATIVE_PERIOD", V$3)="#N/A N/A","NA  ",(_xll.BDP($D396,$D$391, "EQY_FUND_RELATIVE_PERIOD", V$3)/100)),V396),"NA ")</f>
        <v>3.7423148890670943E-3</v>
      </c>
      <c r="W396" s="242">
        <f ca="1">IFERROR(IF(BB_Switch=1,IF(_xll.BDP($D396,$D$391, "EQY_FUND_RELATIVE_PERIOD", W$3)="#N/A N/A","NA  ",(_xll.BDP($D396,$D$391, "EQY_FUND_RELATIVE_PERIOD", W$3)/100)),W396),"NA ")</f>
        <v>4.06782475146836E-3</v>
      </c>
      <c r="X396" s="242">
        <f ca="1">IFERROR(IF(BB_Switch=1,IF(_xll.BDP($D396,$D$391, "EQY_FUND_RELATIVE_PERIOD", X$3)="#N/A N/A","NA  ",(_xll.BDP($D396,$D$391, "EQY_FUND_RELATIVE_PERIOD", X$3)/100)),X396),"NA ")</f>
        <v>3.7925560063503268E-3</v>
      </c>
      <c r="Y396" s="242">
        <f ca="1">IFERROR(IF(BB_Switch=1,IF(_xll.BDP($D396,$D$391, "EQY_FUND_RELATIVE_PERIOD", Y$3)="#N/A N/A","NA  ",(_xll.BDP($D396,$D$391, "EQY_FUND_RELATIVE_PERIOD", Y$3)/100)),Y396),"NA ")</f>
        <v>3.4042939494348871E-3</v>
      </c>
      <c r="Z396" s="242">
        <f ca="1">IFERROR(IF(BB_Switch=1,IF(_xll.BDP($D396,$D$391, "EQY_FUND_RELATIVE_PERIOD", Z$3)="#N/A N/A","NA  ",(_xll.BDP($D396,$D$391, "EQY_FUND_RELATIVE_PERIOD", Z$3)/100)),Z396),"NA ")</f>
        <v>2.7845991931240133E-3</v>
      </c>
      <c r="AA396" s="242">
        <f ca="1">IFERROR(IF(BB_Switch=1,IF(_xll.BDP($D396,$D$391, "EQY_FUND_RELATIVE_PERIOD", AA$3)="#N/A N/A","NA  ",(_xll.BDP($D396,$D$391, "EQY_FUND_RELATIVE_PERIOD", AA$3)/100)),AA396),"NA ")</f>
        <v>3.1159309607453793E-3</v>
      </c>
      <c r="AB396" s="242">
        <f ca="1">IFERROR(IF(BB_Switch=1,IF(_xll.BDP($D396,$D$391, "EQY_FUND_RELATIVE_PERIOD", AB$3)="#N/A N/A","NA  ",(_xll.BDP($D396,$D$391, "EQY_FUND_RELATIVE_PERIOD", AB$3)/100)),AB396),"NA ")</f>
        <v>3.3923859781379568E-3</v>
      </c>
      <c r="AC396" s="242">
        <f ca="1">IFERROR(IF(BB_Switch=1,IF(_xll.BDP($D396,$D$391, "EQY_FUND_RELATIVE_PERIOD", AC$3)="#N/A N/A","NA  ",(_xll.BDP($D396,$D$391, "EQY_FUND_RELATIVE_PERIOD", AC$3)/100)),AC396),"NA ")</f>
        <v>3.073889339983761E-3</v>
      </c>
      <c r="AD396" s="242">
        <f ca="1">IFERROR(IF(BB_Switch=1,IF(_xll.BDP($D396,$D$391, "EQY_FUND_RELATIVE_PERIOD", AD$3)="#N/A N/A","NA  ",(_xll.BDP($D396,$D$391, "EQY_FUND_RELATIVE_PERIOD", AD$3)/100)),AD396),"NA ")</f>
        <v>2.948415547123372E-3</v>
      </c>
      <c r="AE396" s="242">
        <f ca="1">IFERROR(IF(BB_Switch=1,IF(_xll.BDP($D396,$D$391, "EQY_FUND_RELATIVE_PERIOD", AE$3)="#N/A N/A","NA  ",(_xll.BDP($D396,$D$391, "EQY_FUND_RELATIVE_PERIOD", AE$3)/100)),AE396),"NA ")</f>
        <v>3.1963601808391163E-3</v>
      </c>
      <c r="AF396" s="245">
        <f t="shared" ca="1" si="128"/>
        <v>3.3518570796274268E-3</v>
      </c>
      <c r="AG396" s="228"/>
      <c r="AL396" s="464">
        <v>0</v>
      </c>
      <c r="AM396" s="217" t="s">
        <v>530</v>
      </c>
    </row>
    <row r="397" spans="2:39" ht="12.75" customHeight="1">
      <c r="C397" s="229" t="str">
        <f ca="1">IFERROR(IF(BB_Switch=1,_xll.BDP($D397,$C$270),C397), "NA ")</f>
        <v>Westlake Chemical Corp</v>
      </c>
      <c r="D397" s="238" t="str">
        <f t="shared" si="127"/>
        <v>WLK US EQUITY</v>
      </c>
      <c r="E397" s="242">
        <f ca="1">IFERROR(IF(BB_Switch=1,IF(_xll.BDP($D397,$D$391, "EQY_FUND_RELATIVE_PERIOD", E$3)="#N/A N/A","NA  ",(_xll.BDP($D397,$D$391, "EQY_FUND_RELATIVE_PERIOD", E$3)/100)),E397),"NA ")</f>
        <v>0</v>
      </c>
      <c r="F397" s="242">
        <f ca="1">IFERROR(IF(BB_Switch=1,IF(_xll.BDP($D397,$D$391, "EQY_FUND_RELATIVE_PERIOD", F$3)="#N/A N/A","NA  ",(_xll.BDP($D397,$D$391, "EQY_FUND_RELATIVE_PERIOD", F$3)/100)),F397),"NA ")</f>
        <v>0</v>
      </c>
      <c r="G397" s="242">
        <f ca="1">IFERROR(IF(BB_Switch=1,IF(_xll.BDP($D397,$D$391, "EQY_FUND_RELATIVE_PERIOD", G$3)="#N/A N/A","NA  ",(_xll.BDP($D397,$D$391, "EQY_FUND_RELATIVE_PERIOD", G$3)/100)),G397),"NA ")</f>
        <v>0</v>
      </c>
      <c r="H397" s="242">
        <f ca="1">IFERROR(IF(BB_Switch=1,IF(_xll.BDP($D397,$D$391, "EQY_FUND_RELATIVE_PERIOD", H$3)="#N/A N/A","NA  ",(_xll.BDP($D397,$D$391, "EQY_FUND_RELATIVE_PERIOD", H$3)/100)),H397),"NA ")</f>
        <v>0</v>
      </c>
      <c r="I397" s="242">
        <f ca="1">IFERROR(IF(BB_Switch=1,IF(_xll.BDP($D397,$D$391, "EQY_FUND_RELATIVE_PERIOD", I$3)="#N/A N/A","NA  ",(_xll.BDP($D397,$D$391, "EQY_FUND_RELATIVE_PERIOD", I$3)/100)),I397),"NA ")</f>
        <v>0</v>
      </c>
      <c r="J397" s="242">
        <f ca="1">IFERROR(IF(BB_Switch=1,IF(_xll.BDP($D397,$D$391, "EQY_FUND_RELATIVE_PERIOD", J$3)="#N/A N/A","NA  ",(_xll.BDP($D397,$D$391, "EQY_FUND_RELATIVE_PERIOD", J$3)/100)),J397),"NA ")</f>
        <v>0</v>
      </c>
      <c r="K397" s="242">
        <f ca="1">IFERROR(IF(BB_Switch=1,IF(_xll.BDP($D397,$D$391, "EQY_FUND_RELATIVE_PERIOD", K$3)="#N/A N/A","NA  ",(_xll.BDP($D397,$D$391, "EQY_FUND_RELATIVE_PERIOD", K$3)/100)),K397),"NA ")</f>
        <v>0</v>
      </c>
      <c r="L397" s="242">
        <f ca="1">IFERROR(IF(BB_Switch=1,IF(_xll.BDP($D397,$D$391, "EQY_FUND_RELATIVE_PERIOD", L$3)="#N/A N/A","NA  ",(_xll.BDP($D397,$D$391, "EQY_FUND_RELATIVE_PERIOD", L$3)/100)),L397),"NA ")</f>
        <v>0</v>
      </c>
      <c r="M397" s="242">
        <f ca="1">IFERROR(IF(BB_Switch=1,IF(_xll.BDP($D397,$D$391, "EQY_FUND_RELATIVE_PERIOD", M$3)="#N/A N/A","NA  ",(_xll.BDP($D397,$D$391, "EQY_FUND_RELATIVE_PERIOD", M$3)/100)),M397),"NA ")</f>
        <v>0</v>
      </c>
      <c r="N397" s="242">
        <f ca="1">IFERROR(IF(BB_Switch=1,IF(_xll.BDP($D397,$D$391, "EQY_FUND_RELATIVE_PERIOD", N$3)="#N/A N/A","NA  ",(_xll.BDP($D397,$D$391, "EQY_FUND_RELATIVE_PERIOD", N$3)/100)),N397),"NA ")</f>
        <v>0</v>
      </c>
      <c r="O397" s="242">
        <f ca="1">IFERROR(IF(BB_Switch=1,IF(_xll.BDP($D397,$D$391, "EQY_FUND_RELATIVE_PERIOD", O$3)="#N/A N/A","NA  ",(_xll.BDP($D397,$D$391, "EQY_FUND_RELATIVE_PERIOD", O$3)/100)),O397),"NA ")</f>
        <v>0</v>
      </c>
      <c r="P397" s="242">
        <f ca="1">IFERROR(IF(BB_Switch=1,IF(_xll.BDP($D397,$D$391, "EQY_FUND_RELATIVE_PERIOD", P$3)="#N/A N/A","NA  ",(_xll.BDP($D397,$D$391, "EQY_FUND_RELATIVE_PERIOD", P$3)/100)),P397),"NA ")</f>
        <v>0</v>
      </c>
      <c r="Q397" s="242"/>
      <c r="R397" s="242"/>
      <c r="S397" s="242"/>
      <c r="T397" s="242"/>
      <c r="V397" s="242">
        <f ca="1">IFERROR(IF(BB_Switch=1,IF(_xll.BDP($D397,$D$391, "EQY_FUND_RELATIVE_PERIOD", V$3)="#N/A N/A","NA  ",(_xll.BDP($D397,$D$391, "EQY_FUND_RELATIVE_PERIOD", V$3)/100)),V397),"NA ")</f>
        <v>0</v>
      </c>
      <c r="W397" s="242">
        <f ca="1">IFERROR(IF(BB_Switch=1,IF(_xll.BDP($D397,$D$391, "EQY_FUND_RELATIVE_PERIOD", W$3)="#N/A N/A","NA  ",(_xll.BDP($D397,$D$391, "EQY_FUND_RELATIVE_PERIOD", W$3)/100)),W397),"NA ")</f>
        <v>0</v>
      </c>
      <c r="X397" s="242">
        <f ca="1">IFERROR(IF(BB_Switch=1,IF(_xll.BDP($D397,$D$391, "EQY_FUND_RELATIVE_PERIOD", X$3)="#N/A N/A","NA  ",(_xll.BDP($D397,$D$391, "EQY_FUND_RELATIVE_PERIOD", X$3)/100)),X397),"NA ")</f>
        <v>0</v>
      </c>
      <c r="Y397" s="242">
        <f ca="1">IFERROR(IF(BB_Switch=1,IF(_xll.BDP($D397,$D$391, "EQY_FUND_RELATIVE_PERIOD", Y$3)="#N/A N/A","NA  ",(_xll.BDP($D397,$D$391, "EQY_FUND_RELATIVE_PERIOD", Y$3)/100)),Y397),"NA ")</f>
        <v>0</v>
      </c>
      <c r="Z397" s="242">
        <f ca="1">IFERROR(IF(BB_Switch=1,IF(_xll.BDP($D397,$D$391, "EQY_FUND_RELATIVE_PERIOD", Z$3)="#N/A N/A","NA  ",(_xll.BDP($D397,$D$391, "EQY_FUND_RELATIVE_PERIOD", Z$3)/100)),Z397),"NA ")</f>
        <v>0</v>
      </c>
      <c r="AA397" s="242">
        <f ca="1">IFERROR(IF(BB_Switch=1,IF(_xll.BDP($D397,$D$391, "EQY_FUND_RELATIVE_PERIOD", AA$3)="#N/A N/A","NA  ",(_xll.BDP($D397,$D$391, "EQY_FUND_RELATIVE_PERIOD", AA$3)/100)),AA397),"NA ")</f>
        <v>0</v>
      </c>
      <c r="AB397" s="242">
        <f ca="1">IFERROR(IF(BB_Switch=1,IF(_xll.BDP($D397,$D$391, "EQY_FUND_RELATIVE_PERIOD", AB$3)="#N/A N/A","NA  ",(_xll.BDP($D397,$D$391, "EQY_FUND_RELATIVE_PERIOD", AB$3)/100)),AB397),"NA ")</f>
        <v>0</v>
      </c>
      <c r="AC397" s="242">
        <f ca="1">IFERROR(IF(BB_Switch=1,IF(_xll.BDP($D397,$D$391, "EQY_FUND_RELATIVE_PERIOD", AC$3)="#N/A N/A","NA  ",(_xll.BDP($D397,$D$391, "EQY_FUND_RELATIVE_PERIOD", AC$3)/100)),AC397),"NA ")</f>
        <v>0</v>
      </c>
      <c r="AD397" s="242">
        <f ca="1">IFERROR(IF(BB_Switch=1,IF(_xll.BDP($D397,$D$391, "EQY_FUND_RELATIVE_PERIOD", AD$3)="#N/A N/A","NA  ",(_xll.BDP($D397,$D$391, "EQY_FUND_RELATIVE_PERIOD", AD$3)/100)),AD397),"NA ")</f>
        <v>0</v>
      </c>
      <c r="AE397" s="242">
        <f ca="1">IFERROR(IF(BB_Switch=1,IF(_xll.BDP($D397,$D$391, "EQY_FUND_RELATIVE_PERIOD", AE$3)="#N/A N/A","NA  ",(_xll.BDP($D397,$D$391, "EQY_FUND_RELATIVE_PERIOD", AE$3)/100)),AE397),"NA ")</f>
        <v>0</v>
      </c>
      <c r="AF397" s="245">
        <f t="shared" ca="1" si="128"/>
        <v>0</v>
      </c>
      <c r="AG397" s="228"/>
      <c r="AL397" s="465">
        <v>0.05</v>
      </c>
      <c r="AM397" s="217" t="s">
        <v>529</v>
      </c>
    </row>
    <row r="398" spans="2:39" ht="12.75" customHeight="1">
      <c r="C398" s="229" t="str">
        <f ca="1">IFERROR(IF(BB_Switch=1,_xll.BDP($D398,$C$270),C398), "NA ")</f>
        <v>Kraton Corp</v>
      </c>
      <c r="D398" s="238" t="str">
        <f t="shared" si="127"/>
        <v>KRA US EQUITY</v>
      </c>
      <c r="E398" s="242">
        <f ca="1">IFERROR(IF(BB_Switch=1,IF(_xll.BDP($D398,$D$391, "EQY_FUND_RELATIVE_PERIOD", E$3)="#N/A N/A","NA  ",(_xll.BDP($D398,$D$391, "EQY_FUND_RELATIVE_PERIOD", E$3)/100)),E398),"NA ")</f>
        <v>2.2345429740791269E-2</v>
      </c>
      <c r="F398" s="242">
        <f ca="1">IFERROR(IF(BB_Switch=1,IF(_xll.BDP($D398,$D$391, "EQY_FUND_RELATIVE_PERIOD", F$3)="#N/A N/A","NA  ",(_xll.BDP($D398,$D$391, "EQY_FUND_RELATIVE_PERIOD", F$3)/100)),F398),"NA ")</f>
        <v>1.8364044772709965E-2</v>
      </c>
      <c r="G398" s="242">
        <f ca="1">IFERROR(IF(BB_Switch=1,IF(_xll.BDP($D398,$D$391, "EQY_FUND_RELATIVE_PERIOD", G$3)="#N/A N/A","NA  ",(_xll.BDP($D398,$D$391, "EQY_FUND_RELATIVE_PERIOD", G$3)/100)),G398),"NA ")</f>
        <v>1.998641737792765E-2</v>
      </c>
      <c r="H398" s="242">
        <f ca="1">IFERROR(IF(BB_Switch=1,IF(_xll.BDP($D398,$D$391, "EQY_FUND_RELATIVE_PERIOD", H$3)="#N/A N/A","NA  ",(_xll.BDP($D398,$D$391, "EQY_FUND_RELATIVE_PERIOD", H$3)/100)),H398),"NA ")</f>
        <v>2.1861922441358882E-2</v>
      </c>
      <c r="I398" s="242">
        <f ca="1">IFERROR(IF(BB_Switch=1,IF(_xll.BDP($D398,$D$391, "EQY_FUND_RELATIVE_PERIOD", I$3)="#N/A N/A","NA  ",(_xll.BDP($D398,$D$391, "EQY_FUND_RELATIVE_PERIOD", I$3)/100)),I398),"NA ")</f>
        <v>2.1491186165384802E-2</v>
      </c>
      <c r="J398" s="242">
        <f ca="1">IFERROR(IF(BB_Switch=1,IF(_xll.BDP($D398,$D$391, "EQY_FUND_RELATIVE_PERIOD", J$3)="#N/A N/A","NA  ",(_xll.BDP($D398,$D$391, "EQY_FUND_RELATIVE_PERIOD", J$3)/100)),J398),"NA ")</f>
        <v>1.9454118258899138E-2</v>
      </c>
      <c r="K398" s="242">
        <f ca="1">IFERROR(IF(BB_Switch=1,IF(_xll.BDP($D398,$D$391, "EQY_FUND_RELATIVE_PERIOD", K$3)="#N/A N/A","NA  ",(_xll.BDP($D398,$D$391, "EQY_FUND_RELATIVE_PERIOD", K$3)/100)),K398),"NA ")</f>
        <v>2.0257883216562644E-2</v>
      </c>
      <c r="L398" s="242">
        <f ca="1">IFERROR(IF(BB_Switch=1,IF(_xll.BDP($D398,$D$391, "EQY_FUND_RELATIVE_PERIOD", L$3)="#N/A N/A","NA  ",(_xll.BDP($D398,$D$391, "EQY_FUND_RELATIVE_PERIOD", L$3)/100)),L398),"NA ")</f>
        <v>2.1054841295895563E-2</v>
      </c>
      <c r="M398" s="242">
        <f ca="1">IFERROR(IF(BB_Switch=1,IF(_xll.BDP($D398,$D$391, "EQY_FUND_RELATIVE_PERIOD", M$3)="#N/A N/A","NA  ",(_xll.BDP($D398,$D$391, "EQY_FUND_RELATIVE_PERIOD", M$3)/100)),M398),"NA ")</f>
        <v>2.3117321887509285E-2</v>
      </c>
      <c r="N398" s="242">
        <f ca="1">IFERROR(IF(BB_Switch=1,IF(_xll.BDP($D398,$D$391, "EQY_FUND_RELATIVE_PERIOD", N$3)="#N/A N/A","NA  ",(_xll.BDP($D398,$D$391, "EQY_FUND_RELATIVE_PERIOD", N$3)/100)),N398),"NA ")</f>
        <v>2.0539896624131804E-2</v>
      </c>
      <c r="O398" s="242">
        <f ca="1">IFERROR(IF(BB_Switch=1,IF(_xll.BDP($D398,$D$391, "EQY_FUND_RELATIVE_PERIOD", O$3)="#N/A N/A","NA  ",(_xll.BDP($D398,$D$391, "EQY_FUND_RELATIVE_PERIOD", O$3)/100)),O398),"NA ")</f>
        <v>2.3337482919537803E-2</v>
      </c>
      <c r="P398" s="242">
        <f ca="1">IFERROR(IF(BB_Switch=1,IF(_xll.BDP($D398,$D$391, "EQY_FUND_RELATIVE_PERIOD", P$3)="#N/A N/A","NA  ",(_xll.BDP($D398,$D$391, "EQY_FUND_RELATIVE_PERIOD", P$3)/100)),P398),"NA ")</f>
        <v>2.4434304961275223E-2</v>
      </c>
      <c r="Q398" s="242"/>
      <c r="R398" s="242"/>
      <c r="S398" s="242"/>
      <c r="T398" s="242"/>
      <c r="V398" s="242">
        <f ca="1">IFERROR(IF(BB_Switch=1,IF(_xll.BDP($D398,$D$391, "EQY_FUND_RELATIVE_PERIOD", V$3)="#N/A N/A","NA  ",(_xll.BDP($D398,$D$391, "EQY_FUND_RELATIVE_PERIOD", V$3)/100)),V398),"NA ")</f>
        <v>1.9234385493619881E-2</v>
      </c>
      <c r="W398" s="242">
        <f ca="1">IFERROR(IF(BB_Switch=1,IF(_xll.BDP($D398,$D$391, "EQY_FUND_RELATIVE_PERIOD", W$3)="#N/A N/A","NA  ",(_xll.BDP($D398,$D$391, "EQY_FUND_RELATIVE_PERIOD", W$3)/100)),W398),"NA ")</f>
        <v>1.9475762776360556E-2</v>
      </c>
      <c r="X398" s="242">
        <f ca="1">IFERROR(IF(BB_Switch=1,IF(_xll.BDP($D398,$D$391, "EQY_FUND_RELATIVE_PERIOD", X$3)="#N/A N/A","NA  ",(_xll.BDP($D398,$D$391, "EQY_FUND_RELATIVE_PERIOD", X$3)/100)),X398),"NA ")</f>
        <v>2.1790823274462759E-2</v>
      </c>
      <c r="Y398" s="242">
        <f ca="1">IFERROR(IF(BB_Switch=1,IF(_xll.BDP($D398,$D$391, "EQY_FUND_RELATIVE_PERIOD", Y$3)="#N/A N/A","NA  ",(_xll.BDP($D398,$D$391, "EQY_FUND_RELATIVE_PERIOD", Y$3)/100)),Y398),"NA ")</f>
        <v>2.477631738823222E-2</v>
      </c>
      <c r="Z398" s="242">
        <f ca="1">IFERROR(IF(BB_Switch=1,IF(_xll.BDP($D398,$D$391, "EQY_FUND_RELATIVE_PERIOD", Z$3)="#N/A N/A","NA  ",(_xll.BDP($D398,$D$391, "EQY_FUND_RELATIVE_PERIOD", Z$3)/100)),Z398),"NA ")</f>
        <v>2.5495089939882951E-2</v>
      </c>
      <c r="AA398" s="242">
        <f ca="1">IFERROR(IF(BB_Switch=1,IF(_xll.BDP($D398,$D$391, "EQY_FUND_RELATIVE_PERIOD", AA$3)="#N/A N/A","NA  ",(_xll.BDP($D398,$D$391, "EQY_FUND_RELATIVE_PERIOD", AA$3)/100)),AA398),"NA ")</f>
        <v>2.9985714644712197E-2</v>
      </c>
      <c r="AB398" s="242">
        <f ca="1">IFERROR(IF(BB_Switch=1,IF(_xll.BDP($D398,$D$391, "EQY_FUND_RELATIVE_PERIOD", AB$3)="#N/A N/A","NA  ",(_xll.BDP($D398,$D$391, "EQY_FUND_RELATIVE_PERIOD", AB$3)/100)),AB398),"NA ")</f>
        <v>2.264257177324288E-2</v>
      </c>
      <c r="AC398" s="242">
        <f ca="1">IFERROR(IF(BB_Switch=1,IF(_xll.BDP($D398,$D$391, "EQY_FUND_RELATIVE_PERIOD", AC$3)="#N/A N/A","NA  ",(_xll.BDP($D398,$D$391, "EQY_FUND_RELATIVE_PERIOD", AC$3)/100)),AC398),"NA ")</f>
        <v>2.054875579102227E-2</v>
      </c>
      <c r="AD398" s="242">
        <f ca="1">IFERROR(IF(BB_Switch=1,IF(_xll.BDP($D398,$D$391, "EQY_FUND_RELATIVE_PERIOD", AD$3)="#N/A N/A","NA  ",(_xll.BDP($D398,$D$391, "EQY_FUND_RELATIVE_PERIOD", AD$3)/100)),AD398),"NA ")</f>
        <v>2.0528166826152338E-2</v>
      </c>
      <c r="AE398" s="242">
        <f ca="1">IFERROR(IF(BB_Switch=1,IF(_xll.BDP($D398,$D$391, "EQY_FUND_RELATIVE_PERIOD", AE$3)="#N/A N/A","NA  ",(_xll.BDP($D398,$D$391, "EQY_FUND_RELATIVE_PERIOD", AE$3)/100)),AE398),"NA ")</f>
        <v>2.2762237064656216E-2</v>
      </c>
      <c r="AF398" s="245">
        <f t="shared" ca="1" si="128"/>
        <v>2.2723982497234427E-2</v>
      </c>
      <c r="AG398" s="228"/>
    </row>
    <row r="399" spans="2:39" ht="12.75" customHeight="1">
      <c r="C399" s="229" t="str">
        <f ca="1">IFERROR(IF(BB_Switch=1,_xll.BDP($D399,$C$270),C399), "NA ")</f>
        <v>Dow Inc</v>
      </c>
      <c r="D399" s="238" t="str">
        <f t="shared" si="127"/>
        <v>DOW US EQUITY</v>
      </c>
      <c r="E399" s="242">
        <f ca="1">IFERROR(IF(BB_Switch=1,IF(_xll.BDP($D399,$D$391, "EQY_FUND_RELATIVE_PERIOD", E$3)="#N/A N/A","NA  ",(_xll.BDP($D399,$D$391, "EQY_FUND_RELATIVE_PERIOD", E$3)/100)),E399),"NA ")</f>
        <v>2.0720463834236293E-2</v>
      </c>
      <c r="F399" s="242">
        <f ca="1">IFERROR(IF(BB_Switch=1,IF(_xll.BDP($D399,$D$391, "EQY_FUND_RELATIVE_PERIOD", F$3)="#N/A N/A","NA  ",(_xll.BDP($D399,$D$391, "EQY_FUND_RELATIVE_PERIOD", F$3)/100)),F399),"NA ")</f>
        <v>1.8653986832479885E-2</v>
      </c>
      <c r="G399" s="242">
        <f ca="1">IFERROR(IF(BB_Switch=1,IF(_xll.BDP($D399,$D$391, "EQY_FUND_RELATIVE_PERIOD", G$3)="#N/A N/A","NA  ",(_xll.BDP($D399,$D$391, "EQY_FUND_RELATIVE_PERIOD", G$3)/100)),G399),"NA ")</f>
        <v>1.8038030922338723E-2</v>
      </c>
      <c r="H399" s="242">
        <f ca="1">IFERROR(IF(BB_Switch=1,IF(_xll.BDP($D399,$D$391, "EQY_FUND_RELATIVE_PERIOD", H$3)="#N/A N/A","NA  ",(_xll.BDP($D399,$D$391, "EQY_FUND_RELATIVE_PERIOD", H$3)/100)),H399),"NA ")</f>
        <v>1.6153915963336055E-2</v>
      </c>
      <c r="I399" s="242">
        <f ca="1">IFERROR(IF(BB_Switch=1,IF(_xll.BDP($D399,$D$391, "EQY_FUND_RELATIVE_PERIOD", I$3)="#N/A N/A","NA  ",(_xll.BDP($D399,$D$391, "EQY_FUND_RELATIVE_PERIOD", I$3)/100)),I399),"NA ")</f>
        <v>1.7078724788549122E-2</v>
      </c>
      <c r="J399" s="242">
        <f ca="1">IFERROR(IF(BB_Switch=1,IF(_xll.BDP($D399,$D$391, "EQY_FUND_RELATIVE_PERIOD", J$3)="#N/A N/A","NA  ",(_xll.BDP($D399,$D$391, "EQY_FUND_RELATIVE_PERIOD", J$3)/100)),J399),"NA ")</f>
        <v>1.7280475408554225E-2</v>
      </c>
      <c r="K399" s="242">
        <f ca="1">IFERROR(IF(BB_Switch=1,IF(_xll.BDP($D399,$D$391, "EQY_FUND_RELATIVE_PERIOD", K$3)="#N/A N/A","NA  ",(_xll.BDP($D399,$D$391, "EQY_FUND_RELATIVE_PERIOD", K$3)/100)),K399),"NA ")</f>
        <v>1.5276238720911826E-2</v>
      </c>
      <c r="L399" s="242">
        <f ca="1">IFERROR(IF(BB_Switch=1,IF(_xll.BDP($D399,$D$391, "EQY_FUND_RELATIVE_PERIOD", L$3)="#N/A N/A","NA  ",(_xll.BDP($D399,$D$391, "EQY_FUND_RELATIVE_PERIOD", L$3)/100)),L399),"NA ")</f>
        <v>1.4902880107166777E-2</v>
      </c>
      <c r="M399" s="242">
        <f ca="1">IFERROR(IF(BB_Switch=1,IF(_xll.BDP($D399,$D$391, "EQY_FUND_RELATIVE_PERIOD", M$3)="#N/A N/A","NA  ",(_xll.BDP($D399,$D$391, "EQY_FUND_RELATIVE_PERIOD", M$3)/100)),M399),"NA ")</f>
        <v>1.7247639796659404E-2</v>
      </c>
      <c r="N399" s="242">
        <f ca="1">IFERROR(IF(BB_Switch=1,IF(_xll.BDP($D399,$D$391, "EQY_FUND_RELATIVE_PERIOD", N$3)="#N/A N/A","NA  ",(_xll.BDP($D399,$D$391, "EQY_FUND_RELATIVE_PERIOD", N$3)/100)),N399),"NA ")</f>
        <v>1.8885055384056656E-2</v>
      </c>
      <c r="O399" s="242">
        <f ca="1">IFERROR(IF(BB_Switch=1,IF(_xll.BDP($D399,$D$391, "EQY_FUND_RELATIVE_PERIOD", O$3)="#N/A N/A","NA  ",(_xll.BDP($D399,$D$391, "EQY_FUND_RELATIVE_PERIOD", O$3)/100)),O399),"NA ")</f>
        <v>1.8023039762170196E-2</v>
      </c>
      <c r="P399" s="242">
        <f ca="1">IFERROR(IF(BB_Switch=1,IF(_xll.BDP($D399,$D$391, "EQY_FUND_RELATIVE_PERIOD", P$3)="#N/A N/A","NA  ",(_xll.BDP($D399,$D$391, "EQY_FUND_RELATIVE_PERIOD", P$3)/100)),P399),"NA ")</f>
        <v>1.6954135633085066E-2</v>
      </c>
      <c r="Q399" s="242"/>
      <c r="R399" s="242"/>
      <c r="S399" s="242"/>
      <c r="T399" s="242"/>
      <c r="V399" s="242" t="str">
        <f ca="1">IFERROR(IF(BB_Switch=1,IF(_xll.BDP($D399,$D$391, "EQY_FUND_RELATIVE_PERIOD", V$3)="#N/A N/A","NA  ",(_xll.BDP($D399,$D$391, "EQY_FUND_RELATIVE_PERIOD", V$3)/100)),V399),"NA ")</f>
        <v xml:space="preserve">NA  </v>
      </c>
      <c r="W399" s="242" t="str">
        <f ca="1">IFERROR(IF(BB_Switch=1,IF(_xll.BDP($D399,$D$391, "EQY_FUND_RELATIVE_PERIOD", W$3)="#N/A N/A","NA  ",(_xll.BDP($D399,$D$391, "EQY_FUND_RELATIVE_PERIOD", W$3)/100)),W399),"NA ")</f>
        <v xml:space="preserve">NA  </v>
      </c>
      <c r="X399" s="242" t="str">
        <f ca="1">IFERROR(IF(BB_Switch=1,IF(_xll.BDP($D399,$D$391, "EQY_FUND_RELATIVE_PERIOD", X$3)="#N/A N/A","NA  ",(_xll.BDP($D399,$D$391, "EQY_FUND_RELATIVE_PERIOD", X$3)/100)),X399),"NA ")</f>
        <v xml:space="preserve">NA  </v>
      </c>
      <c r="Y399" s="242" t="str">
        <f ca="1">IFERROR(IF(BB_Switch=1,IF(_xll.BDP($D399,$D$391, "EQY_FUND_RELATIVE_PERIOD", Y$3)="#N/A N/A","NA  ",(_xll.BDP($D399,$D$391, "EQY_FUND_RELATIVE_PERIOD", Y$3)/100)),Y399),"NA ")</f>
        <v xml:space="preserve">NA  </v>
      </c>
      <c r="Z399" s="242" t="str">
        <f ca="1">IFERROR(IF(BB_Switch=1,IF(_xll.BDP($D399,$D$391, "EQY_FUND_RELATIVE_PERIOD", Z$3)="#N/A N/A","NA  ",(_xll.BDP($D399,$D$391, "EQY_FUND_RELATIVE_PERIOD", Z$3)/100)),Z399),"NA ")</f>
        <v xml:space="preserve">NA  </v>
      </c>
      <c r="AA399" s="242" t="str">
        <f ca="1">IFERROR(IF(BB_Switch=1,IF(_xll.BDP($D399,$D$391, "EQY_FUND_RELATIVE_PERIOD", AA$3)="#N/A N/A","NA  ",(_xll.BDP($D399,$D$391, "EQY_FUND_RELATIVE_PERIOD", AA$3)/100)),AA399),"NA ")</f>
        <v xml:space="preserve">NA  </v>
      </c>
      <c r="AB399" s="242">
        <f ca="1">IFERROR(IF(BB_Switch=1,IF(_xll.BDP($D399,$D$391, "EQY_FUND_RELATIVE_PERIOD", AB$3)="#N/A N/A","NA  ",(_xll.BDP($D399,$D$391, "EQY_FUND_RELATIVE_PERIOD", AB$3)/100)),AB399),"NA ")</f>
        <v>2.0545489644521662E-2</v>
      </c>
      <c r="AC399" s="242">
        <f ca="1">IFERROR(IF(BB_Switch=1,IF(_xll.BDP($D399,$D$391, "EQY_FUND_RELATIVE_PERIOD", AC$3)="#N/A N/A","NA  ",(_xll.BDP($D399,$D$391, "EQY_FUND_RELATIVE_PERIOD", AC$3)/100)),AC399),"NA ")</f>
        <v>1.8362680082323349E-2</v>
      </c>
      <c r="AD399" s="242">
        <f ca="1">IFERROR(IF(BB_Switch=1,IF(_xll.BDP($D399,$D$391, "EQY_FUND_RELATIVE_PERIOD", AD$3)="#N/A N/A","NA  ",(_xll.BDP($D399,$D$391, "EQY_FUND_RELATIVE_PERIOD", AD$3)/100)),AD399),"NA ")</f>
        <v>1.6127731634545603E-2</v>
      </c>
      <c r="AE399" s="242">
        <f ca="1">IFERROR(IF(BB_Switch=1,IF(_xll.BDP($D399,$D$391, "EQY_FUND_RELATIVE_PERIOD", AE$3)="#N/A N/A","NA  ",(_xll.BDP($D399,$D$391, "EQY_FUND_RELATIVE_PERIOD", AE$3)/100)),AE399),"NA ")</f>
        <v>1.7810993923307955E-2</v>
      </c>
      <c r="AF399" s="245">
        <f t="shared" ca="1" si="128"/>
        <v>1.8211723821174641E-2</v>
      </c>
      <c r="AG399" s="228"/>
    </row>
    <row r="400" spans="2:39" ht="12.75" customHeight="1">
      <c r="AF400" s="245"/>
    </row>
    <row r="401" spans="2:36" ht="12.75" customHeight="1">
      <c r="C401" s="233" t="str">
        <f>+C20</f>
        <v>Specialty Chemicals</v>
      </c>
      <c r="E401" s="238"/>
      <c r="F401" s="238"/>
      <c r="G401" s="238"/>
      <c r="H401" s="238"/>
      <c r="I401" s="238"/>
      <c r="J401" s="238"/>
      <c r="K401" s="238"/>
      <c r="L401" s="238"/>
      <c r="M401" s="238"/>
      <c r="N401" s="238"/>
      <c r="O401" s="238"/>
      <c r="P401" s="238"/>
      <c r="AA401" s="238"/>
      <c r="AB401" s="238"/>
      <c r="AC401" s="238"/>
      <c r="AD401" s="238"/>
      <c r="AE401" s="238"/>
      <c r="AF401" s="245"/>
    </row>
    <row r="402" spans="2:36" ht="12.75" customHeight="1">
      <c r="C402" s="229" t="str">
        <f ca="1">IFERROR(IF(BB_Switch=1,_xll.BDP($D402,$C$270),C402), "NA ")</f>
        <v>Eastman Chemical Co</v>
      </c>
      <c r="D402" s="238" t="str">
        <f>+D21</f>
        <v>EMN US EQUITY</v>
      </c>
      <c r="E402" s="242">
        <f ca="1">IFERROR(IF(BB_Switch=1,IF(_xll.BDP($D402,$D$391, "EQY_FUND_RELATIVE_PERIOD", E$3)="#N/A N/A","NA  ",(_xll.BDP($D402,$D$391, "EQY_FUND_RELATIVE_PERIOD", E$3)/100)),E402),"NA ")</f>
        <v>2.4750325662179766E-2</v>
      </c>
      <c r="F402" s="242">
        <f ca="1">IFERROR(IF(BB_Switch=1,IF(_xll.BDP($D402,$D$391, "EQY_FUND_RELATIVE_PERIOD", F$3)="#N/A N/A","NA  ",(_xll.BDP($D402,$D$391, "EQY_FUND_RELATIVE_PERIOD", F$3)/100)),F402),"NA ")</f>
        <v>2.3976849937990905E-2</v>
      </c>
      <c r="G402" s="242">
        <f ca="1">IFERROR(IF(BB_Switch=1,IF(_xll.BDP($D402,$D$391, "EQY_FUND_RELATIVE_PERIOD", G$3)="#N/A N/A","NA  ",(_xll.BDP($D402,$D$391, "EQY_FUND_RELATIVE_PERIOD", G$3)/100)),G402),"NA ")</f>
        <v>2.3935091277890466E-2</v>
      </c>
      <c r="H402" s="242">
        <f ca="1">IFERROR(IF(BB_Switch=1,IF(_xll.BDP($D402,$D$391, "EQY_FUND_RELATIVE_PERIOD", H$3)="#N/A N/A","NA  ",(_xll.BDP($D402,$D$391, "EQY_FUND_RELATIVE_PERIOD", H$3)/100)),H402),"NA ")</f>
        <v>2.2438611346316681E-2</v>
      </c>
      <c r="I402" s="242">
        <f ca="1">IFERROR(IF(BB_Switch=1,IF(_xll.BDP($D402,$D$391, "EQY_FUND_RELATIVE_PERIOD", I$3)="#N/A N/A","NA  ",(_xll.BDP($D402,$D$391, "EQY_FUND_RELATIVE_PERIOD", I$3)/100)),I402),"NA ")</f>
        <v>2.1480629075565784E-2</v>
      </c>
      <c r="J402" s="242">
        <f ca="1">IFERROR(IF(BB_Switch=1,IF(_xll.BDP($D402,$D$391, "EQY_FUND_RELATIVE_PERIOD", J$3)="#N/A N/A","NA  ",(_xll.BDP($D402,$D$391, "EQY_FUND_RELATIVE_PERIOD", J$3)/100)),J402),"NA ")</f>
        <v>2.2892025944296072E-2</v>
      </c>
      <c r="K402" s="242">
        <f ca="1">IFERROR(IF(BB_Switch=1,IF(_xll.BDP($D402,$D$391, "EQY_FUND_RELATIVE_PERIOD", K$3)="#N/A N/A","NA  ",(_xll.BDP($D402,$D$391, "EQY_FUND_RELATIVE_PERIOD", K$3)/100)),K402),"NA ")</f>
        <v>2.3557126030624261E-2</v>
      </c>
      <c r="L402" s="242">
        <f ca="1">IFERROR(IF(BB_Switch=1,IF(_xll.BDP($D402,$D$391, "EQY_FUND_RELATIVE_PERIOD", L$3)="#N/A N/A","NA  ",(_xll.BDP($D402,$D$391, "EQY_FUND_RELATIVE_PERIOD", L$3)/100)),L402),"NA ")</f>
        <v>2.483164983164983E-2</v>
      </c>
      <c r="M402" s="242">
        <f ca="1">IFERROR(IF(BB_Switch=1,IF(_xll.BDP($D402,$D$391, "EQY_FUND_RELATIVE_PERIOD", M$3)="#N/A N/A","NA  ",(_xll.BDP($D402,$D$391, "EQY_FUND_RELATIVE_PERIOD", M$3)/100)),M402),"NA ")</f>
        <v>2.4369747899159667E-2</v>
      </c>
      <c r="N402" s="242">
        <f ca="1">IFERROR(IF(BB_Switch=1,IF(_xll.BDP($D402,$D$391, "EQY_FUND_RELATIVE_PERIOD", N$3)="#N/A N/A","NA  ",(_xll.BDP($D402,$D$391, "EQY_FUND_RELATIVE_PERIOD", N$3)/100)),N402),"NA ")</f>
        <v>2.4121878967414304E-2</v>
      </c>
      <c r="O402" s="242">
        <f ca="1">IFERROR(IF(BB_Switch=1,IF(_xll.BDP($D402,$D$391, "EQY_FUND_RELATIVE_PERIOD", O$3)="#N/A N/A","NA  ",(_xll.BDP($D402,$D$391, "EQY_FUND_RELATIVE_PERIOD", O$3)/100)),O402),"NA ")</f>
        <v>2.5376344086021504E-2</v>
      </c>
      <c r="P402" s="242">
        <f ca="1">IFERROR(IF(BB_Switch=1,IF(_xll.BDP($D402,$D$391, "EQY_FUND_RELATIVE_PERIOD", P$3)="#N/A N/A","NA  ",(_xll.BDP($D402,$D$391, "EQY_FUND_RELATIVE_PERIOD", P$3)/100)),P402),"NA ")</f>
        <v>2.7210884353741496E-2</v>
      </c>
      <c r="V402" s="242">
        <f ca="1">IFERROR(IF(BB_Switch=1,IF(_xll.BDP($D402,$D$391, "EQY_FUND_RELATIVE_PERIOD", V$3)="#N/A N/A","NA  ",(_xll.BDP($D402,$D$391, "EQY_FUND_RELATIVE_PERIOD", V$3)/100)),V402),"NA ")</f>
        <v>2.601848681958234E-2</v>
      </c>
      <c r="W402" s="242">
        <f ca="1">IFERROR(IF(BB_Switch=1,IF(_xll.BDP($D402,$D$391, "EQY_FUND_RELATIVE_PERIOD", W$3)="#N/A N/A","NA  ",(_xll.BDP($D402,$D$391, "EQY_FUND_RELATIVE_PERIOD", W$3)/100)),W402),"NA ")</f>
        <v>2.2151016996377823E-2</v>
      </c>
      <c r="X402" s="242">
        <f ca="1">IFERROR(IF(BB_Switch=1,IF(_xll.BDP($D402,$D$391, "EQY_FUND_RELATIVE_PERIOD", X$3)="#N/A N/A","NA  ",(_xll.BDP($D402,$D$391, "EQY_FUND_RELATIVE_PERIOD", X$3)/100)),X402),"NA ")</f>
        <v>2.4438410269069365E-2</v>
      </c>
      <c r="Y402" s="242">
        <f ca="1">IFERROR(IF(BB_Switch=1,IF(_xll.BDP($D402,$D$391, "EQY_FUND_RELATIVE_PERIOD", Y$3)="#N/A N/A","NA  ",(_xll.BDP($D402,$D$391, "EQY_FUND_RELATIVE_PERIOD", Y$3)/100)),Y402),"NA ")</f>
        <v>2.0641711229946524E-2</v>
      </c>
      <c r="Z402" s="242">
        <f ca="1">IFERROR(IF(BB_Switch=1,IF(_xll.BDP($D402,$D$391, "EQY_FUND_RELATIVE_PERIOD", Z$3)="#N/A N/A","NA  ",(_xll.BDP($D402,$D$391, "EQY_FUND_RELATIVE_PERIOD", Z$3)/100)),Z402),"NA ")</f>
        <v>2.3827017948987089E-2</v>
      </c>
      <c r="AA402" s="242">
        <f ca="1">IFERROR(IF(BB_Switch=1,IF(_xll.BDP($D402,$D$391, "EQY_FUND_RELATIVE_PERIOD", AA$3)="#N/A N/A","NA  ",(_xll.BDP($D402,$D$391, "EQY_FUND_RELATIVE_PERIOD", AA$3)/100)),AA402),"NA ")</f>
        <v>2.5082918739635154E-2</v>
      </c>
      <c r="AB402" s="242">
        <f ca="1">IFERROR(IF(BB_Switch=1,IF(_xll.BDP($D402,$D$391, "EQY_FUND_RELATIVE_PERIOD", AB$3)="#N/A N/A","NA  ",(_xll.BDP($D402,$D$391, "EQY_FUND_RELATIVE_PERIOD", AB$3)/100)),AB402),"NA ")</f>
        <v>2.4311722912966252E-2</v>
      </c>
      <c r="AC402" s="242">
        <f ca="1">IFERROR(IF(BB_Switch=1,IF(_xll.BDP($D402,$D$391, "EQY_FUND_RELATIVE_PERIOD", AC$3)="#N/A N/A","NA  ",(_xll.BDP($D402,$D$391, "EQY_FUND_RELATIVE_PERIOD", AC$3)/100)),AC402),"NA ")</f>
        <v>2.3772122735364956E-2</v>
      </c>
      <c r="AD402" s="242">
        <f ca="1">IFERROR(IF(BB_Switch=1,IF(_xll.BDP($D402,$D$391, "EQY_FUND_RELATIVE_PERIOD", AD$3)="#N/A N/A","NA  ",(_xll.BDP($D402,$D$391, "EQY_FUND_RELATIVE_PERIOD", AD$3)/100)),AD402),"NA ")</f>
        <v>2.3150428529208945E-2</v>
      </c>
      <c r="AE402" s="242">
        <f ca="1">IFERROR(IF(BB_Switch=1,IF(_xll.BDP($D402,$D$391, "EQY_FUND_RELATIVE_PERIOD", AE$3)="#N/A N/A","NA  ",(_xll.BDP($D402,$D$391, "EQY_FUND_RELATIVE_PERIOD", AE$3)/100)),AE402),"NA ")</f>
        <v>2.5234551924943383E-2</v>
      </c>
      <c r="AF402" s="245">
        <f t="shared" ca="1" si="128"/>
        <v>2.3862838810608182E-2</v>
      </c>
    </row>
    <row r="403" spans="2:36" ht="12.75" customHeight="1">
      <c r="C403" s="229" t="str">
        <f ca="1">IFERROR(IF(BB_Switch=1,_xll.BDP($D403,$C$270),C403), "NA ")</f>
        <v>Celanese Corp</v>
      </c>
      <c r="D403" s="238" t="str">
        <f>+D22</f>
        <v>CE US EQUITY</v>
      </c>
      <c r="E403" s="242">
        <f ca="1">IFERROR(IF(BB_Switch=1,IF(_xll.BDP($D403,$D$391, "EQY_FUND_RELATIVE_PERIOD", E$3)="#N/A N/A","NA  ",(_xll.BDP($D403,$D$391, "EQY_FUND_RELATIVE_PERIOD", E$3)/100)),E403),"NA ")</f>
        <v>1.1556764106050306E-2</v>
      </c>
      <c r="F403" s="242">
        <f ca="1">IFERROR(IF(BB_Switch=1,IF(_xll.BDP($D403,$D$391, "EQY_FUND_RELATIVE_PERIOD", F$3)="#N/A N/A","NA  ",(_xll.BDP($D403,$D$391, "EQY_FUND_RELATIVE_PERIOD", F$3)/100)),F403),"NA ")</f>
        <v>1.1258278145695364E-2</v>
      </c>
      <c r="G403" s="242">
        <f ca="1">IFERROR(IF(BB_Switch=1,IF(_xll.BDP($D403,$D$391, "EQY_FUND_RELATIVE_PERIOD", G$3)="#N/A N/A","NA  ",(_xll.BDP($D403,$D$391, "EQY_FUND_RELATIVE_PERIOD", G$3)/100)),G403),"NA ")</f>
        <v>1.2132822477650063E-2</v>
      </c>
      <c r="H403" s="242">
        <f ca="1">IFERROR(IF(BB_Switch=1,IF(_xll.BDP($D403,$D$391, "EQY_FUND_RELATIVE_PERIOD", H$3)="#N/A N/A","NA  ",(_xll.BDP($D403,$D$391, "EQY_FUND_RELATIVE_PERIOD", H$3)/100)),H403),"NA ")</f>
        <v>1.1927181418706842E-2</v>
      </c>
      <c r="I403" s="242">
        <f ca="1">IFERROR(IF(BB_Switch=1,IF(_xll.BDP($D403,$D$391, "EQY_FUND_RELATIVE_PERIOD", I$3)="#N/A N/A","NA  ",(_xll.BDP($D403,$D$391, "EQY_FUND_RELATIVE_PERIOD", I$3)/100)),I403),"NA ")</f>
        <v>9.7244732576985422E-3</v>
      </c>
      <c r="J403" s="242">
        <f ca="1">IFERROR(IF(BB_Switch=1,IF(_xll.BDP($D403,$D$391, "EQY_FUND_RELATIVE_PERIOD", J$3)="#N/A N/A","NA  ",(_xll.BDP($D403,$D$391, "EQY_FUND_RELATIVE_PERIOD", J$3)/100)),J403),"NA ")</f>
        <v>9.7613882863340565E-3</v>
      </c>
      <c r="K403" s="242">
        <f ca="1">IFERROR(IF(BB_Switch=1,IF(_xll.BDP($D403,$D$391, "EQY_FUND_RELATIVE_PERIOD", K$3)="#N/A N/A","NA  ",(_xll.BDP($D403,$D$391, "EQY_FUND_RELATIVE_PERIOD", K$3)/100)),K403),"NA ")</f>
        <v>1.0163749294184076E-2</v>
      </c>
      <c r="L403" s="242">
        <f ca="1">IFERROR(IF(BB_Switch=1,IF(_xll.BDP($D403,$D$391, "EQY_FUND_RELATIVE_PERIOD", L$3)="#N/A N/A","NA  ",(_xll.BDP($D403,$D$391, "EQY_FUND_RELATIVE_PERIOD", L$3)/100)),L403),"NA ")</f>
        <v>1.0657193605683837E-2</v>
      </c>
      <c r="M403" s="242">
        <f ca="1">IFERROR(IF(BB_Switch=1,IF(_xll.BDP($D403,$D$391, "EQY_FUND_RELATIVE_PERIOD", M$3)="#N/A N/A","NA  ",(_xll.BDP($D403,$D$391, "EQY_FUND_RELATIVE_PERIOD", M$3)/100)),M403),"NA ")</f>
        <v>9.4842916419679898E-3</v>
      </c>
      <c r="N403" s="242">
        <f ca="1">IFERROR(IF(BB_Switch=1,IF(_xll.BDP($D403,$D$391, "EQY_FUND_RELATIVE_PERIOD", N$3)="#N/A N/A","NA  ",(_xll.BDP($D403,$D$391, "EQY_FUND_RELATIVE_PERIOD", N$3)/100)),N403),"NA ")</f>
        <v>1.0678391959798994E-2</v>
      </c>
      <c r="O403" s="242">
        <f ca="1">IFERROR(IF(BB_Switch=1,IF(_xll.BDP($D403,$D$391, "EQY_FUND_RELATIVE_PERIOD", O$3)="#N/A N/A","NA  ",(_xll.BDP($D403,$D$391, "EQY_FUND_RELATIVE_PERIOD", O$3)/100)),O403),"NA ")</f>
        <v>1.0718789407313998E-2</v>
      </c>
      <c r="P403" s="242">
        <f ca="1">IFERROR(IF(BB_Switch=1,IF(_xll.BDP($D403,$D$391, "EQY_FUND_RELATIVE_PERIOD", P$3)="#N/A N/A","NA  ",(_xll.BDP($D403,$D$391, "EQY_FUND_RELATIVE_PERIOD", P$3)/100)),P403),"NA ")</f>
        <v>1.1871508379888268E-2</v>
      </c>
      <c r="V403" s="242">
        <f ca="1">IFERROR(IF(BB_Switch=1,IF(_xll.BDP($D403,$D$391, "EQY_FUND_RELATIVE_PERIOD", V$3)="#N/A N/A","NA  ",(_xll.BDP($D403,$D$391, "EQY_FUND_RELATIVE_PERIOD", V$3)/100)),V403),"NA ")</f>
        <v>1.1828320378506252E-2</v>
      </c>
      <c r="W403" s="242">
        <f ca="1">IFERROR(IF(BB_Switch=1,IF(_xll.BDP($D403,$D$391, "EQY_FUND_RELATIVE_PERIOD", W$3)="#N/A N/A","NA  ",(_xll.BDP($D403,$D$391, "EQY_FUND_RELATIVE_PERIOD", W$3)/100)),W403),"NA ")</f>
        <v>1.419488392725122E-2</v>
      </c>
      <c r="X403" s="242">
        <f ca="1">IFERROR(IF(BB_Switch=1,IF(_xll.BDP($D403,$D$391, "EQY_FUND_RELATIVE_PERIOD", X$3)="#N/A N/A","NA  ",(_xll.BDP($D403,$D$391, "EQY_FUND_RELATIVE_PERIOD", X$3)/100)),X403),"NA ")</f>
        <v>1.6204425054534122E-2</v>
      </c>
      <c r="Y403" s="242">
        <f ca="1">IFERROR(IF(BB_Switch=1,IF(_xll.BDP($D403,$D$391, "EQY_FUND_RELATIVE_PERIOD", Y$3)="#N/A N/A","NA  ",(_xll.BDP($D403,$D$391, "EQY_FUND_RELATIVE_PERIOD", Y$3)/100)),Y403),"NA ")</f>
        <v>1.30568356374808E-2</v>
      </c>
      <c r="Z403" s="242">
        <f ca="1">IFERROR(IF(BB_Switch=1,IF(_xll.BDP($D403,$D$391, "EQY_FUND_RELATIVE_PERIOD", Z$3)="#N/A N/A","NA  ",(_xll.BDP($D403,$D$391, "EQY_FUND_RELATIVE_PERIOD", Z$3)/100)),Z403),"NA ")</f>
        <v>1.2643340194060571E-2</v>
      </c>
      <c r="AA403" s="242">
        <f ca="1">IFERROR(IF(BB_Switch=1,IF(_xll.BDP($D403,$D$391, "EQY_FUND_RELATIVE_PERIOD", AA$3)="#N/A N/A","NA  ",(_xll.BDP($D403,$D$391, "EQY_FUND_RELATIVE_PERIOD", AA$3)/100)),AA403),"NA ")</f>
        <v>2.0972858653507225E-2</v>
      </c>
      <c r="AB403" s="242">
        <f ca="1">IFERROR(IF(BB_Switch=1,IF(_xll.BDP($D403,$D$391, "EQY_FUND_RELATIVE_PERIOD", AB$3)="#N/A N/A","NA  ",(_xll.BDP($D403,$D$391, "EQY_FUND_RELATIVE_PERIOD", AB$3)/100)),AB403),"NA ")</f>
        <v>1.4473928372610873E-2</v>
      </c>
      <c r="AC403" s="242">
        <f ca="1">IFERROR(IF(BB_Switch=1,IF(_xll.BDP($D403,$D$391, "EQY_FUND_RELATIVE_PERIOD", AC$3)="#N/A N/A","NA  ",(_xll.BDP($D403,$D$391, "EQY_FUND_RELATIVE_PERIOD", AC$3)/100)),AC403),"NA ")</f>
        <v>1.1889250814332248E-2</v>
      </c>
      <c r="AD403" s="242">
        <f ca="1">IFERROR(IF(BB_Switch=1,IF(_xll.BDP($D403,$D$391, "EQY_FUND_RELATIVE_PERIOD", AD$3)="#N/A N/A","NA  ",(_xll.BDP($D403,$D$391, "EQY_FUND_RELATIVE_PERIOD", AD$3)/100)),AD403),"NA ")</f>
        <v>1.0062893081761006E-2</v>
      </c>
      <c r="AE403" s="242">
        <f ca="1">IFERROR(IF(BB_Switch=1,IF(_xll.BDP($D403,$D$391, "EQY_FUND_RELATIVE_PERIOD", AE$3)="#N/A N/A","NA  ",(_xll.BDP($D403,$D$391, "EQY_FUND_RELATIVE_PERIOD", AE$3)/100)),AE403),"NA ")</f>
        <v>1.0639987295537558E-2</v>
      </c>
      <c r="AF403" s="245">
        <f t="shared" ca="1" si="128"/>
        <v>1.3596672340958186E-2</v>
      </c>
    </row>
    <row r="404" spans="2:36" ht="12.75" customHeight="1">
      <c r="C404" s="229" t="str">
        <f ca="1">IFERROR(IF(BB_Switch=1,_xll.BDP($D404,$C$270),C404), "NA ")</f>
        <v>BASF SE</v>
      </c>
      <c r="D404" s="238" t="str">
        <f>+D23</f>
        <v>BAS GR EQUITY</v>
      </c>
      <c r="E404" s="242">
        <f ca="1">IFERROR(IF(BB_Switch=1,IF(_xll.BDP($D404,$D$391, "EQY_FUND_RELATIVE_PERIOD", E$3)="#N/A N/A","NA  ",(_xll.BDP($D404,$D$391, "EQY_FUND_RELATIVE_PERIOD", E$3)/100)),E404),"NA ")</f>
        <v>2.5956198914332065E-2</v>
      </c>
      <c r="F404" s="242">
        <f ca="1">IFERROR(IF(BB_Switch=1,IF(_xll.BDP($D404,$D$391, "EQY_FUND_RELATIVE_PERIOD", F$3)="#N/A N/A","NA  ",(_xll.BDP($D404,$D$391, "EQY_FUND_RELATIVE_PERIOD", F$3)/100)),F404),"NA ")</f>
        <v>2.9710660884199623E-2</v>
      </c>
      <c r="G404" s="242">
        <f ca="1">IFERROR(IF(BB_Switch=1,IF(_xll.BDP($D404,$D$391, "EQY_FUND_RELATIVE_PERIOD", G$3)="#N/A N/A","NA  ",(_xll.BDP($D404,$D$391, "EQY_FUND_RELATIVE_PERIOD", G$3)/100)),G404),"NA ")</f>
        <v>3.0931386056764949E-2</v>
      </c>
      <c r="H404" s="242">
        <f ca="1">IFERROR(IF(BB_Switch=1,IF(_xll.BDP($D404,$D$391, "EQY_FUND_RELATIVE_PERIOD", H$3)="#N/A N/A","NA  ",(_xll.BDP($D404,$D$391, "EQY_FUND_RELATIVE_PERIOD", H$3)/100)),H404),"NA ")</f>
        <v>3.4075241284222964E-2</v>
      </c>
      <c r="I404" s="242">
        <f ca="1">IFERROR(IF(BB_Switch=1,IF(_xll.BDP($D404,$D$391, "EQY_FUND_RELATIVE_PERIOD", I$3)="#N/A N/A","NA  ",(_xll.BDP($D404,$D$391, "EQY_FUND_RELATIVE_PERIOD", I$3)/100)),I404),"NA ")</f>
        <v>2.7006369426751591E-2</v>
      </c>
      <c r="J404" s="242">
        <f ca="1">IFERROR(IF(BB_Switch=1,IF(_xll.BDP($D404,$D$391, "EQY_FUND_RELATIVE_PERIOD", J$3)="#N/A N/A","NA  ",(_xll.BDP($D404,$D$391, "EQY_FUND_RELATIVE_PERIOD", J$3)/100)),J404),"NA ")</f>
        <v>2.8131533928910858E-2</v>
      </c>
      <c r="K404" s="242">
        <f ca="1">IFERROR(IF(BB_Switch=1,IF(_xll.BDP($D404,$D$391, "EQY_FUND_RELATIVE_PERIOD", K$3)="#N/A N/A","NA  ",(_xll.BDP($D404,$D$391, "EQY_FUND_RELATIVE_PERIOD", K$3)/100)),K404),"NA ")</f>
        <v>3.2615660643342308E-2</v>
      </c>
      <c r="L404" s="242">
        <f ca="1">IFERROR(IF(BB_Switch=1,IF(_xll.BDP($D404,$D$391, "EQY_FUND_RELATIVE_PERIOD", L$3)="#N/A N/A","NA  ",(_xll.BDP($D404,$D$391, "EQY_FUND_RELATIVE_PERIOD", L$3)/100)),L404),"NA ")</f>
        <v>4.1768253560887973E-2</v>
      </c>
      <c r="M404" s="242">
        <f ca="1">IFERROR(IF(BB_Switch=1,IF(_xll.BDP($D404,$D$391, "EQY_FUND_RELATIVE_PERIOD", M$3)="#N/A N/A","NA  ",(_xll.BDP($D404,$D$391, "EQY_FUND_RELATIVE_PERIOD", M$3)/100)),M404),"NA ")</f>
        <v>3.1588057118130682E-2</v>
      </c>
      <c r="N404" s="242">
        <f ca="1">IFERROR(IF(BB_Switch=1,IF(_xll.BDP($D404,$D$391, "EQY_FUND_RELATIVE_PERIOD", N$3)="#N/A N/A","NA  ",(_xll.BDP($D404,$D$391, "EQY_FUND_RELATIVE_PERIOD", N$3)/100)),N404),"NA ")</f>
        <v>3.4701147908695079E-2</v>
      </c>
      <c r="O404" s="242">
        <f ca="1">IFERROR(IF(BB_Switch=1,IF(_xll.BDP($D404,$D$391, "EQY_FUND_RELATIVE_PERIOD", O$3)="#N/A N/A","NA  ",(_xll.BDP($D404,$D$391, "EQY_FUND_RELATIVE_PERIOD", O$3)/100)),O404),"NA ")</f>
        <v>3.5454008272601929E-2</v>
      </c>
      <c r="P404" s="242">
        <f ca="1">IFERROR(IF(BB_Switch=1,IF(_xll.BDP($D404,$D$391, "EQY_FUND_RELATIVE_PERIOD", P$3)="#N/A N/A","NA  ",(_xll.BDP($D404,$D$391, "EQY_FUND_RELATIVE_PERIOD", P$3)/100)),P404),"NA ")</f>
        <v>4.5568627450980392E-2</v>
      </c>
      <c r="V404" s="242">
        <f ca="1">IFERROR(IF(BB_Switch=1,IF(_xll.BDP($D404,$D$391, "EQY_FUND_RELATIVE_PERIOD", V$3)="#N/A N/A","NA  ",(_xll.BDP($D404,$D$391, "EQY_FUND_RELATIVE_PERIOD", V$3)/100)),V404),"NA ")</f>
        <v>2.3358852723372944E-2</v>
      </c>
      <c r="W404" s="242">
        <f ca="1">IFERROR(IF(BB_Switch=1,IF(_xll.BDP($D404,$D$391, "EQY_FUND_RELATIVE_PERIOD", W$3)="#N/A N/A","NA  ",(_xll.BDP($D404,$D$391, "EQY_FUND_RELATIVE_PERIOD", W$3)/100)),W404),"NA ")</f>
        <v>2.1837626025552063E-2</v>
      </c>
      <c r="X404" s="242">
        <f ca="1">IFERROR(IF(BB_Switch=1,IF(_xll.BDP($D404,$D$391, "EQY_FUND_RELATIVE_PERIOD", X$3)="#N/A N/A","NA  ",(_xll.BDP($D404,$D$391, "EQY_FUND_RELATIVE_PERIOD", X$3)/100)),X404),"NA ")</f>
        <v>2.4012533100417309E-2</v>
      </c>
      <c r="Y404" s="242">
        <f ca="1">IFERROR(IF(BB_Switch=1,IF(_xll.BDP($D404,$D$391, "EQY_FUND_RELATIVE_PERIOD", Y$3)="#N/A N/A","NA  ",(_xll.BDP($D404,$D$391, "EQY_FUND_RELATIVE_PERIOD", Y$3)/100)),Y404),"NA ")</f>
        <v>2.4995606505076172E-2</v>
      </c>
      <c r="Z404" s="242">
        <f ca="1">IFERROR(IF(BB_Switch=1,IF(_xll.BDP($D404,$D$391, "EQY_FUND_RELATIVE_PERIOD", Z$3)="#N/A N/A","NA  ",(_xll.BDP($D404,$D$391, "EQY_FUND_RELATIVE_PERIOD", Z$3)/100)),Z404),"NA ")</f>
        <v>2.5347792158867691E-2</v>
      </c>
      <c r="AA404" s="242">
        <f ca="1">IFERROR(IF(BB_Switch=1,IF(_xll.BDP($D404,$D$391, "EQY_FUND_RELATIVE_PERIOD", AA$3)="#N/A N/A","NA  ",(_xll.BDP($D404,$D$391, "EQY_FUND_RELATIVE_PERIOD", AA$3)/100)),AA404),"NA ")</f>
        <v>2.7722182004002897E-2</v>
      </c>
      <c r="AB404" s="242">
        <f ca="1">IFERROR(IF(BB_Switch=1,IF(_xll.BDP($D404,$D$391, "EQY_FUND_RELATIVE_PERIOD", AB$3)="#N/A N/A","NA  ",(_xll.BDP($D404,$D$391, "EQY_FUND_RELATIVE_PERIOD", AB$3)/100)),AB404),"NA ")</f>
        <v>3.2371850564726322E-2</v>
      </c>
      <c r="AC404" s="242">
        <f ca="1">IFERROR(IF(BB_Switch=1,IF(_xll.BDP($D404,$D$391, "EQY_FUND_RELATIVE_PERIOD", AC$3)="#N/A N/A","NA  ",(_xll.BDP($D404,$D$391, "EQY_FUND_RELATIVE_PERIOD", AC$3)/100)),AC404),"NA ")</f>
        <v>3.0103065841268803E-2</v>
      </c>
      <c r="AD404" s="242">
        <f ca="1">IFERROR(IF(BB_Switch=1,IF(_xll.BDP($D404,$D$391, "EQY_FUND_RELATIVE_PERIOD", AD$3)="#N/A N/A","NA  ",(_xll.BDP($D404,$D$391, "EQY_FUND_RELATIVE_PERIOD", AD$3)/100)),AD404),"NA ")</f>
        <v>3.3111922949186315E-2</v>
      </c>
      <c r="AE404" s="242">
        <f ca="1">IFERROR(IF(BB_Switch=1,IF(_xll.BDP($D404,$D$391, "EQY_FUND_RELATIVE_PERIOD", AE$3)="#N/A N/A","NA  ",(_xll.BDP($D404,$D$391, "EQY_FUND_RELATIVE_PERIOD", AE$3)/100)),AE404),"NA ")</f>
        <v>3.6381414795333467E-2</v>
      </c>
      <c r="AF404" s="245">
        <f t="shared" ca="1" si="128"/>
        <v>2.7924284666780395E-2</v>
      </c>
    </row>
    <row r="405" spans="2:36" ht="12.75" customHeight="1">
      <c r="C405" s="229" t="str">
        <f ca="1">IFERROR(IF(BB_Switch=1,_xll.BDP($D405,$C$270),C405), "NA ")</f>
        <v>Trinseo SA</v>
      </c>
      <c r="D405" s="238" t="str">
        <f>+D24</f>
        <v>TSE US EQUITY</v>
      </c>
      <c r="E405" s="242">
        <f ca="1">IFERROR(IF(BB_Switch=1,IF(_xll.BDP($D405,$D$391, "EQY_FUND_RELATIVE_PERIOD", E$3)="#N/A N/A","NA  ",(_xll.BDP($D405,$D$391, "EQY_FUND_RELATIVE_PERIOD", E$3)/100)),E405),"NA ")</f>
        <v>0</v>
      </c>
      <c r="F405" s="242">
        <f ca="1">IFERROR(IF(BB_Switch=1,IF(_xll.BDP($D405,$D$391, "EQY_FUND_RELATIVE_PERIOD", F$3)="#N/A N/A","NA  ",(_xll.BDP($D405,$D$391, "EQY_FUND_RELATIVE_PERIOD", F$3)/100)),F405),"NA ")</f>
        <v>0</v>
      </c>
      <c r="G405" s="242">
        <f ca="1">IFERROR(IF(BB_Switch=1,IF(_xll.BDP($D405,$D$391, "EQY_FUND_RELATIVE_PERIOD", G$3)="#N/A N/A","NA  ",(_xll.BDP($D405,$D$391, "EQY_FUND_RELATIVE_PERIOD", G$3)/100)),G405),"NA ")</f>
        <v>0</v>
      </c>
      <c r="H405" s="242">
        <f ca="1">IFERROR(IF(BB_Switch=1,IF(_xll.BDP($D405,$D$391, "EQY_FUND_RELATIVE_PERIOD", H$3)="#N/A N/A","NA  ",(_xll.BDP($D405,$D$391, "EQY_FUND_RELATIVE_PERIOD", H$3)/100)),H405),"NA ")</f>
        <v>0</v>
      </c>
      <c r="I405" s="242">
        <f ca="1">IFERROR(IF(BB_Switch=1,IF(_xll.BDP($D405,$D$391, "EQY_FUND_RELATIVE_PERIOD", I$3)="#N/A N/A","NA  ",(_xll.BDP($D405,$D$391, "EQY_FUND_RELATIVE_PERIOD", I$3)/100)),I405),"NA ")</f>
        <v>0</v>
      </c>
      <c r="J405" s="242">
        <f ca="1">IFERROR(IF(BB_Switch=1,IF(_xll.BDP($D405,$D$391, "EQY_FUND_RELATIVE_PERIOD", J$3)="#N/A N/A","NA  ",(_xll.BDP($D405,$D$391, "EQY_FUND_RELATIVE_PERIOD", J$3)/100)),J405),"NA ")</f>
        <v>0</v>
      </c>
      <c r="K405" s="242">
        <f ca="1">IFERROR(IF(BB_Switch=1,IF(_xll.BDP($D405,$D$391, "EQY_FUND_RELATIVE_PERIOD", K$3)="#N/A N/A","NA  ",(_xll.BDP($D405,$D$391, "EQY_FUND_RELATIVE_PERIOD", K$3)/100)),K405),"NA ")</f>
        <v>0</v>
      </c>
      <c r="L405" s="242">
        <f ca="1">IFERROR(IF(BB_Switch=1,IF(_xll.BDP($D405,$D$391, "EQY_FUND_RELATIVE_PERIOD", L$3)="#N/A N/A","NA  ",(_xll.BDP($D405,$D$391, "EQY_FUND_RELATIVE_PERIOD", L$3)/100)),L405),"NA ")</f>
        <v>0</v>
      </c>
      <c r="M405" s="242" t="str">
        <f ca="1">IFERROR(IF(BB_Switch=1,IF(_xll.BDP($D405,$D$391, "EQY_FUND_RELATIVE_PERIOD", M$3)="#N/A N/A","NA  ",(_xll.BDP($D405,$D$391, "EQY_FUND_RELATIVE_PERIOD", M$3)/100)),M405),"NA ")</f>
        <v xml:space="preserve">NA  </v>
      </c>
      <c r="N405" s="242" t="str">
        <f ca="1">IFERROR(IF(BB_Switch=1,IF(_xll.BDP($D405,$D$391, "EQY_FUND_RELATIVE_PERIOD", N$3)="#N/A N/A","NA  ",(_xll.BDP($D405,$D$391, "EQY_FUND_RELATIVE_PERIOD", N$3)/100)),N405),"NA ")</f>
        <v xml:space="preserve">NA  </v>
      </c>
      <c r="O405" s="242" t="str">
        <f ca="1">IFERROR(IF(BB_Switch=1,IF(_xll.BDP($D405,$D$391, "EQY_FUND_RELATIVE_PERIOD", O$3)="#N/A N/A","NA  ",(_xll.BDP($D405,$D$391, "EQY_FUND_RELATIVE_PERIOD", O$3)/100)),O405),"NA ")</f>
        <v xml:space="preserve">NA  </v>
      </c>
      <c r="P405" s="242">
        <f ca="1">IFERROR(IF(BB_Switch=1,IF(_xll.BDP($D405,$D$391, "EQY_FUND_RELATIVE_PERIOD", P$3)="#N/A N/A","NA  ",(_xll.BDP($D405,$D$391, "EQY_FUND_RELATIVE_PERIOD", P$3)/100)),P405),"NA ")</f>
        <v>0</v>
      </c>
      <c r="V405" s="242">
        <f ca="1">IFERROR(IF(BB_Switch=1,IF(_xll.BDP($D405,$D$391, "EQY_FUND_RELATIVE_PERIOD", V$3)="#N/A N/A","NA  ",(_xll.BDP($D405,$D$391, "EQY_FUND_RELATIVE_PERIOD", V$3)/100)),V405),"NA ")</f>
        <v>0</v>
      </c>
      <c r="W405" s="242">
        <f ca="1">IFERROR(IF(BB_Switch=1,IF(_xll.BDP($D405,$D$391, "EQY_FUND_RELATIVE_PERIOD", W$3)="#N/A N/A","NA  ",(_xll.BDP($D405,$D$391, "EQY_FUND_RELATIVE_PERIOD", W$3)/100)),W405),"NA ")</f>
        <v>0</v>
      </c>
      <c r="X405" s="242">
        <f ca="1">IFERROR(IF(BB_Switch=1,IF(_xll.BDP($D405,$D$391, "EQY_FUND_RELATIVE_PERIOD", X$3)="#N/A N/A","NA  ",(_xll.BDP($D405,$D$391, "EQY_FUND_RELATIVE_PERIOD", X$3)/100)),X405),"NA ")</f>
        <v>0</v>
      </c>
      <c r="Y405" s="242">
        <f ca="1">IFERROR(IF(BB_Switch=1,IF(_xll.BDP($D405,$D$391, "EQY_FUND_RELATIVE_PERIOD", Y$3)="#N/A N/A","NA  ",(_xll.BDP($D405,$D$391, "EQY_FUND_RELATIVE_PERIOD", Y$3)/100)),Y405),"NA ")</f>
        <v>0</v>
      </c>
      <c r="Z405" s="242">
        <f ca="1">IFERROR(IF(BB_Switch=1,IF(_xll.BDP($D405,$D$391, "EQY_FUND_RELATIVE_PERIOD", Z$3)="#N/A N/A","NA  ",(_xll.BDP($D405,$D$391, "EQY_FUND_RELATIVE_PERIOD", Z$3)/100)),Z405),"NA ")</f>
        <v>0</v>
      </c>
      <c r="AA405" s="242">
        <f ca="1">IFERROR(IF(BB_Switch=1,IF(_xll.BDP($D405,$D$391, "EQY_FUND_RELATIVE_PERIOD", AA$3)="#N/A N/A","NA  ",(_xll.BDP($D405,$D$391, "EQY_FUND_RELATIVE_PERIOD", AA$3)/100)),AA405),"NA ")</f>
        <v>0</v>
      </c>
      <c r="AB405" s="242">
        <f ca="1">IFERROR(IF(BB_Switch=1,IF(_xll.BDP($D405,$D$391, "EQY_FUND_RELATIVE_PERIOD", AB$3)="#N/A N/A","NA  ",(_xll.BDP($D405,$D$391, "EQY_FUND_RELATIVE_PERIOD", AB$3)/100)),AB405),"NA ")</f>
        <v>1.3480062422644353E-2</v>
      </c>
      <c r="AC405" s="242">
        <f ca="1">IFERROR(IF(BB_Switch=1,IF(_xll.BDP($D405,$D$391, "EQY_FUND_RELATIVE_PERIOD", AC$3)="#N/A N/A","NA  ",(_xll.BDP($D405,$D$391, "EQY_FUND_RELATIVE_PERIOD", AC$3)/100)),AC405),"NA ")</f>
        <v>1.2207459364672555E-2</v>
      </c>
      <c r="AD405" s="242">
        <f ca="1">IFERROR(IF(BB_Switch=1,IF(_xll.BDP($D405,$D$391, "EQY_FUND_RELATIVE_PERIOD", AD$3)="#N/A N/A","NA  ",(_xll.BDP($D405,$D$391, "EQY_FUND_RELATIVE_PERIOD", AD$3)/100)),AD405),"NA ")</f>
        <v>1.2113870381586917E-2</v>
      </c>
      <c r="AE405" s="242">
        <f ca="1">IFERROR(IF(BB_Switch=1,IF(_xll.BDP($D405,$D$391, "EQY_FUND_RELATIVE_PERIOD", AE$3)="#N/A N/A","NA  ",(_xll.BDP($D405,$D$391, "EQY_FUND_RELATIVE_PERIOD", AE$3)/100)),AE405),"NA ")</f>
        <v>0</v>
      </c>
      <c r="AF405" s="243">
        <f t="shared" ca="1" si="128"/>
        <v>3.7801392168903825E-3</v>
      </c>
    </row>
    <row r="407" spans="2:36" ht="11.25" customHeight="1">
      <c r="C407" s="224" t="s">
        <v>482</v>
      </c>
      <c r="D407" s="223"/>
      <c r="E407" s="254">
        <f t="shared" ref="E407:O407" ca="1" si="129">AVERAGE(E393:E399,E402:E405)</f>
        <v>1.5551691918306472E-2</v>
      </c>
      <c r="F407" s="254">
        <f t="shared" ca="1" si="129"/>
        <v>1.5950508686632017E-2</v>
      </c>
      <c r="G407" s="254">
        <f t="shared" ca="1" si="129"/>
        <v>1.5842520408619755E-2</v>
      </c>
      <c r="H407" s="254">
        <f t="shared" ca="1" si="129"/>
        <v>1.6428370765154857E-2</v>
      </c>
      <c r="I407" s="254">
        <f t="shared" ca="1" si="129"/>
        <v>1.5039166959939489E-2</v>
      </c>
      <c r="J407" s="254">
        <f t="shared" ca="1" si="129"/>
        <v>1.6273299218356858E-2</v>
      </c>
      <c r="K407" s="254">
        <f t="shared" ca="1" si="129"/>
        <v>1.680880057247975E-2</v>
      </c>
      <c r="L407" s="254">
        <f t="shared" ca="1" si="129"/>
        <v>1.8264568954387151E-2</v>
      </c>
      <c r="M407" s="254">
        <f t="shared" ca="1" si="129"/>
        <v>1.8185907205421743E-2</v>
      </c>
      <c r="N407" s="254">
        <f t="shared" ca="1" si="129"/>
        <v>1.9292391457179099E-2</v>
      </c>
      <c r="O407" s="254">
        <f t="shared" ca="1" si="129"/>
        <v>1.9669705350610668E-2</v>
      </c>
      <c r="P407" s="254">
        <f ca="1">AVERAGE(P393:P399,P402:P405)</f>
        <v>2.3514608159034295E-2</v>
      </c>
      <c r="Q407" s="254"/>
      <c r="R407" s="254"/>
      <c r="S407" s="254"/>
      <c r="T407" s="441"/>
      <c r="U407" s="241"/>
      <c r="V407" s="421">
        <f t="shared" ref="V407:AF407" ca="1" si="130">AVERAGE(V393:V399,V402:V405)</f>
        <v>1.0933104907619116E-2</v>
      </c>
      <c r="W407" s="254">
        <f t="shared" ca="1" si="130"/>
        <v>1.0665580081786074E-2</v>
      </c>
      <c r="X407" s="254">
        <f t="shared" ca="1" si="130"/>
        <v>1.1762818189720171E-2</v>
      </c>
      <c r="Y407" s="254">
        <f t="shared" ca="1" si="130"/>
        <v>1.1312957279394551E-2</v>
      </c>
      <c r="Z407" s="254">
        <f t="shared" ca="1" si="130"/>
        <v>1.1761086895641724E-2</v>
      </c>
      <c r="AA407" s="254">
        <f t="shared" ca="1" si="130"/>
        <v>1.7117556539118735E-2</v>
      </c>
      <c r="AB407" s="254">
        <f t="shared" ca="1" si="130"/>
        <v>1.7591811393741556E-2</v>
      </c>
      <c r="AC407" s="254">
        <f t="shared" ca="1" si="130"/>
        <v>1.7699045281695667E-2</v>
      </c>
      <c r="AD407" s="254">
        <f t="shared" ca="1" si="130"/>
        <v>1.6796587955053704E-2</v>
      </c>
      <c r="AE407" s="254">
        <f t="shared" ca="1" si="130"/>
        <v>1.6435953072879348E-2</v>
      </c>
      <c r="AF407" s="254">
        <f t="shared" ca="1" si="130"/>
        <v>1.598690187276822E-2</v>
      </c>
      <c r="AG407" s="222"/>
      <c r="AH407" s="250"/>
      <c r="AI407" s="250"/>
      <c r="AJ407" s="291"/>
    </row>
    <row r="408" spans="2:36" ht="11.25" customHeight="1">
      <c r="C408" s="221" t="s">
        <v>481</v>
      </c>
      <c r="D408" s="220"/>
      <c r="E408" s="253">
        <f t="shared" ref="E408:O408" ca="1" si="131">MEDIAN(E393:E399,E402:E405)</f>
        <v>2.0720463834236293E-2</v>
      </c>
      <c r="F408" s="253">
        <f t="shared" ca="1" si="131"/>
        <v>1.8364044772709965E-2</v>
      </c>
      <c r="G408" s="253">
        <f t="shared" ca="1" si="131"/>
        <v>1.8038030922338723E-2</v>
      </c>
      <c r="H408" s="253">
        <f t="shared" ca="1" si="131"/>
        <v>1.6153915963336055E-2</v>
      </c>
      <c r="I408" s="253">
        <f t="shared" ca="1" si="131"/>
        <v>1.7078724788549122E-2</v>
      </c>
      <c r="J408" s="253">
        <f t="shared" ca="1" si="131"/>
        <v>1.7280475408554225E-2</v>
      </c>
      <c r="K408" s="253">
        <f t="shared" ca="1" si="131"/>
        <v>1.5276238720911826E-2</v>
      </c>
      <c r="L408" s="253">
        <f t="shared" ca="1" si="131"/>
        <v>1.4902880107166777E-2</v>
      </c>
      <c r="M408" s="253">
        <f t="shared" ca="1" si="131"/>
        <v>2.0182480842084342E-2</v>
      </c>
      <c r="N408" s="253">
        <f t="shared" ca="1" si="131"/>
        <v>1.9712476004094232E-2</v>
      </c>
      <c r="O408" s="253">
        <f t="shared" ca="1" si="131"/>
        <v>2.0680261340854E-2</v>
      </c>
      <c r="P408" s="253">
        <f ca="1">MEDIAN(P393:P399,P402:P405)</f>
        <v>2.4434304961275223E-2</v>
      </c>
      <c r="Q408" s="253"/>
      <c r="R408" s="253"/>
      <c r="S408" s="253"/>
      <c r="T408" s="442"/>
      <c r="U408" s="241"/>
      <c r="V408" s="422">
        <f t="shared" ref="V408:AF408" ca="1" si="132">MEDIAN(V393:V399,V402:V405)</f>
        <v>1.1828320378506252E-2</v>
      </c>
      <c r="W408" s="253">
        <f t="shared" ca="1" si="132"/>
        <v>1.2886327920377161E-2</v>
      </c>
      <c r="X408" s="253">
        <f t="shared" ca="1" si="132"/>
        <v>1.443652125279642E-2</v>
      </c>
      <c r="Y408" s="253">
        <f t="shared" ca="1" si="132"/>
        <v>1.30568356374808E-2</v>
      </c>
      <c r="Z408" s="253">
        <f t="shared" ca="1" si="132"/>
        <v>1.2643340194060571E-2</v>
      </c>
      <c r="AA408" s="253">
        <f t="shared" ca="1" si="132"/>
        <v>1.8332237000841724E-2</v>
      </c>
      <c r="AB408" s="253">
        <f t="shared" ca="1" si="132"/>
        <v>1.715102429728442E-2</v>
      </c>
      <c r="AC408" s="253">
        <f t="shared" ca="1" si="132"/>
        <v>1.6130530356976997E-2</v>
      </c>
      <c r="AD408" s="253">
        <f t="shared" ca="1" si="132"/>
        <v>1.6127731634545603E-2</v>
      </c>
      <c r="AE408" s="253">
        <f t="shared" ca="1" si="132"/>
        <v>1.7675620917315824E-2</v>
      </c>
      <c r="AF408" s="253">
        <f t="shared" ca="1" si="132"/>
        <v>1.5194967960105266E-2</v>
      </c>
      <c r="AG408" s="218"/>
      <c r="AH408" s="249"/>
      <c r="AI408" s="249"/>
      <c r="AJ408" s="292"/>
    </row>
    <row r="410" spans="2:36" ht="12.75" customHeight="1">
      <c r="B410" s="219" t="s">
        <v>14</v>
      </c>
    </row>
  </sheetData>
  <pageMargins left="0.70866141732283472" right="0.70866141732283472" top="0.74803149606299213" bottom="0.74803149606299213" header="0.31496062992125984" footer="0.31496062992125984"/>
  <pageSetup scale="32" fitToHeight="3" orientation="landscape" r:id="rId1"/>
  <headerFooter>
    <oddFooter>&amp;CPage &amp;P</oddFooter>
  </headerFooter>
  <ignoredErrors>
    <ignoredError sqref="E26:T27 V26:AJ27 E46:N47 E66:N67 V66:AJ67 V46:AJ47 AG32:AG43 P46:T47 P66:T67 AG44" evalError="1"/>
    <ignoredError sqref="AH6:AI6 AH7"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E6FF-AE69-4224-95F1-F23C153ED9CE}">
  <sheetPr codeName="Sheet7">
    <pageSetUpPr fitToPage="1"/>
  </sheetPr>
  <dimension ref="A1:I35"/>
  <sheetViews>
    <sheetView showGridLines="0" zoomScaleNormal="100" zoomScaleSheetLayoutView="100" workbookViewId="0">
      <selection activeCell="F25" sqref="F25"/>
    </sheetView>
  </sheetViews>
  <sheetFormatPr defaultColWidth="9.19921875" defaultRowHeight="11.25" customHeight="1"/>
  <cols>
    <col min="1" max="2" width="1.796875" style="24" customWidth="1"/>
    <col min="3" max="3" width="42.19921875" style="24" bestFit="1" customWidth="1"/>
    <col min="4" max="4" width="11.46484375" style="24" bestFit="1" customWidth="1"/>
    <col min="5" max="5" width="10.19921875" style="24" bestFit="1" customWidth="1"/>
    <col min="6" max="6" width="9.19921875" style="24"/>
    <col min="7" max="7" width="12" style="24" bestFit="1" customWidth="1"/>
    <col min="8" max="8" width="0.796875" style="24" customWidth="1"/>
    <col min="9" max="9" width="70.796875" style="24" customWidth="1"/>
    <col min="10" max="16384" width="9.19921875" style="24"/>
  </cols>
  <sheetData>
    <row r="1" spans="1:9" ht="11.25" customHeight="1">
      <c r="A1" s="27" t="s">
        <v>840</v>
      </c>
    </row>
    <row r="2" spans="1:9" ht="11.25" customHeight="1">
      <c r="A2" s="458" t="s">
        <v>855</v>
      </c>
    </row>
    <row r="3" spans="1:9" ht="11.25" customHeight="1">
      <c r="A3" s="458"/>
    </row>
    <row r="4" spans="1:9" s="27" customFormat="1" ht="11.25" customHeight="1">
      <c r="B4" s="27" t="s">
        <v>14</v>
      </c>
      <c r="C4" s="584" t="s">
        <v>841</v>
      </c>
      <c r="D4" s="583"/>
      <c r="E4" s="590" t="s">
        <v>1379</v>
      </c>
      <c r="F4" s="590" t="s">
        <v>842</v>
      </c>
      <c r="G4" s="590" t="s">
        <v>609</v>
      </c>
      <c r="H4" s="590"/>
      <c r="I4" s="583" t="s">
        <v>636</v>
      </c>
    </row>
    <row r="5" spans="1:9" ht="11.25" customHeight="1">
      <c r="C5" s="562" t="s">
        <v>104</v>
      </c>
      <c r="D5" s="562"/>
      <c r="E5" s="593">
        <f>Financials!AU283</f>
        <v>672.62518720207618</v>
      </c>
      <c r="F5" s="594">
        <v>9</v>
      </c>
      <c r="G5" s="595">
        <f>+F5*E5</f>
        <v>6053.626684818686</v>
      </c>
      <c r="H5" s="620"/>
      <c r="I5" s="604"/>
    </row>
    <row r="6" spans="1:9" ht="11.25" customHeight="1">
      <c r="C6" s="610" t="s">
        <v>105</v>
      </c>
      <c r="D6" s="610"/>
      <c r="E6" s="611">
        <f>+Financials!AU404</f>
        <v>656.9949768587212</v>
      </c>
      <c r="F6" s="612">
        <v>11</v>
      </c>
      <c r="G6" s="613">
        <f>+F6*E6</f>
        <v>7226.9447454459332</v>
      </c>
      <c r="H6" s="620"/>
      <c r="I6" s="614"/>
    </row>
    <row r="7" spans="1:9" ht="11.25" customHeight="1">
      <c r="C7" s="610" t="s">
        <v>784</v>
      </c>
      <c r="D7" s="610"/>
      <c r="E7" s="611">
        <f>+Financials!AU563</f>
        <v>397.77671281215953</v>
      </c>
      <c r="F7" s="612">
        <v>6</v>
      </c>
      <c r="G7" s="613">
        <f>+F7*E7</f>
        <v>2386.6602768729572</v>
      </c>
      <c r="H7" s="620"/>
      <c r="I7" s="614"/>
    </row>
    <row r="8" spans="1:9" ht="11.25" customHeight="1">
      <c r="C8" s="605" t="s">
        <v>106</v>
      </c>
      <c r="D8" s="605"/>
      <c r="E8" s="606">
        <f>+Financials!AU485</f>
        <v>306.77412020433746</v>
      </c>
      <c r="F8" s="607">
        <v>7</v>
      </c>
      <c r="G8" s="608">
        <f>+F8*E8</f>
        <v>2147.4188414303621</v>
      </c>
      <c r="H8" s="620"/>
      <c r="I8" s="614"/>
    </row>
    <row r="9" spans="1:9" ht="11.25" customHeight="1">
      <c r="C9" s="605" t="s">
        <v>843</v>
      </c>
      <c r="D9" s="605"/>
      <c r="E9" s="606">
        <f>+Financials!AU617</f>
        <v>-94.342003447784975</v>
      </c>
      <c r="F9" s="607">
        <v>10</v>
      </c>
      <c r="G9" s="608">
        <f>+F9*E9</f>
        <v>-943.42003447784975</v>
      </c>
      <c r="H9" s="620"/>
      <c r="I9" s="614"/>
    </row>
    <row r="10" spans="1:9" ht="11.25" customHeight="1">
      <c r="C10" s="582" t="s">
        <v>168</v>
      </c>
      <c r="D10" s="562"/>
      <c r="E10" s="597">
        <f>SUM(E5:E9)</f>
        <v>1939.8289936295096</v>
      </c>
      <c r="F10" s="598">
        <f>+G10/E10</f>
        <v>8.6972772185053469</v>
      </c>
      <c r="G10" s="597">
        <f>SUM(G5:G9)</f>
        <v>16871.230514090086</v>
      </c>
      <c r="H10" s="599"/>
    </row>
    <row r="11" spans="1:9" ht="11.25" customHeight="1">
      <c r="C11" s="26"/>
      <c r="E11" s="591"/>
      <c r="F11" s="592"/>
      <c r="G11" s="591"/>
      <c r="H11" s="591"/>
    </row>
    <row r="12" spans="1:9" ht="11.25" customHeight="1">
      <c r="C12" s="24" t="s">
        <v>857</v>
      </c>
      <c r="F12" s="589"/>
      <c r="G12" s="599">
        <f>+PV(D14,D13,0,-G10,0)</f>
        <v>16159.708050420642</v>
      </c>
      <c r="H12" s="599"/>
    </row>
    <row r="13" spans="1:9" ht="11.25" customHeight="1">
      <c r="C13" s="24" t="s">
        <v>858</v>
      </c>
      <c r="D13" s="585">
        <f>+DCF!J20</f>
        <v>0.5</v>
      </c>
      <c r="F13" s="589"/>
      <c r="G13" s="588"/>
      <c r="H13" s="588"/>
    </row>
    <row r="14" spans="1:9" ht="11.25" customHeight="1">
      <c r="C14" s="24" t="s">
        <v>859</v>
      </c>
      <c r="D14" s="586">
        <f>+DCF!E35</f>
        <v>0.09</v>
      </c>
      <c r="F14" s="589"/>
      <c r="G14" s="588"/>
      <c r="H14" s="588"/>
    </row>
    <row r="15" spans="1:9" ht="11.25" customHeight="1">
      <c r="D15" s="656"/>
      <c r="F15" s="589"/>
      <c r="G15" s="588"/>
      <c r="H15" s="588"/>
    </row>
    <row r="16" spans="1:9" ht="11.25" customHeight="1">
      <c r="C16" s="24" t="s">
        <v>1380</v>
      </c>
      <c r="E16" s="427"/>
      <c r="F16" s="427"/>
      <c r="G16" s="596">
        <f ca="1">DCF!J22</f>
        <v>1097.8356307827007</v>
      </c>
      <c r="H16" s="596"/>
    </row>
    <row r="17" spans="3:9" ht="11.25" customHeight="1">
      <c r="C17" s="615" t="s">
        <v>856</v>
      </c>
      <c r="D17" s="615"/>
      <c r="E17" s="615"/>
      <c r="F17" s="615"/>
      <c r="G17" s="617">
        <f ca="1">DCF!M33+DCF!M34+DCF!M35+DCF!M39</f>
        <v>5131.42</v>
      </c>
      <c r="H17" s="621"/>
      <c r="I17" s="609"/>
    </row>
    <row r="18" spans="3:9" ht="11.25" customHeight="1">
      <c r="C18" s="615" t="s">
        <v>844</v>
      </c>
      <c r="D18" s="615"/>
      <c r="E18" s="615"/>
      <c r="F18" s="615"/>
      <c r="G18" s="855"/>
      <c r="H18" s="621"/>
      <c r="I18" s="609"/>
    </row>
    <row r="19" spans="3:9" ht="11.25" customHeight="1">
      <c r="C19" s="615" t="s">
        <v>845</v>
      </c>
      <c r="D19" s="615"/>
      <c r="E19" s="615"/>
      <c r="F19" s="615"/>
      <c r="G19" s="617">
        <f>DCF!M37</f>
        <v>245</v>
      </c>
      <c r="H19" s="621"/>
      <c r="I19" s="609" t="s">
        <v>1381</v>
      </c>
    </row>
    <row r="20" spans="3:9" ht="11.25" customHeight="1">
      <c r="C20" s="615" t="s">
        <v>846</v>
      </c>
      <c r="D20" s="615"/>
      <c r="E20" s="615"/>
      <c r="F20" s="615"/>
      <c r="G20" s="617">
        <f>DCF!M38</f>
        <v>51</v>
      </c>
      <c r="H20" s="621"/>
      <c r="I20" s="609" t="s">
        <v>1381</v>
      </c>
    </row>
    <row r="21" spans="3:9" ht="5.2" customHeight="1"/>
    <row r="22" spans="3:9" ht="11.25" customHeight="1">
      <c r="C22" s="561" t="s">
        <v>847</v>
      </c>
      <c r="D22" s="562"/>
      <c r="E22" s="562"/>
      <c r="F22" s="562"/>
      <c r="G22" s="600">
        <f ca="1">+G16+G10-G17+G18-G19-G20</f>
        <v>12541.646144872788</v>
      </c>
      <c r="H22" s="619"/>
    </row>
    <row r="23" spans="3:9" ht="5.2" customHeight="1">
      <c r="C23" s="27"/>
      <c r="G23" s="599"/>
      <c r="H23" s="599"/>
    </row>
    <row r="24" spans="3:9" ht="11.25" customHeight="1">
      <c r="C24" s="616" t="s">
        <v>33</v>
      </c>
      <c r="D24" s="615"/>
      <c r="E24" s="615"/>
      <c r="F24" s="615"/>
      <c r="G24" s="617">
        <f>+DCF!E38</f>
        <v>124.9</v>
      </c>
      <c r="H24" s="596"/>
    </row>
    <row r="25" spans="3:9" ht="11.25" customHeight="1">
      <c r="C25" s="616" t="s">
        <v>848</v>
      </c>
      <c r="D25" s="615"/>
      <c r="E25" s="615"/>
      <c r="F25" s="615"/>
      <c r="G25" s="618">
        <f ca="1">+G22/G24</f>
        <v>100.41349995894946</v>
      </c>
      <c r="H25" s="619"/>
    </row>
    <row r="26" spans="3:9" ht="11.25" customHeight="1">
      <c r="C26" s="616" t="s">
        <v>849</v>
      </c>
      <c r="D26" s="615"/>
      <c r="E26" s="615"/>
      <c r="F26" s="615"/>
      <c r="G26" s="601">
        <v>0.05</v>
      </c>
      <c r="H26" s="601"/>
    </row>
    <row r="27" spans="3:9" ht="11.25" customHeight="1">
      <c r="C27" s="26" t="s">
        <v>850</v>
      </c>
      <c r="G27" s="602">
        <f ca="1">+G25*(1-G26)</f>
        <v>95.392824961001978</v>
      </c>
      <c r="H27" s="619"/>
    </row>
    <row r="28" spans="3:9" ht="5.2" customHeight="1">
      <c r="C28" s="587"/>
      <c r="D28" s="587"/>
      <c r="E28" s="587"/>
      <c r="F28" s="587"/>
      <c r="G28" s="587"/>
    </row>
    <row r="30" spans="3:9" ht="11.25" customHeight="1">
      <c r="C30" s="217" t="s">
        <v>614</v>
      </c>
      <c r="F30" s="217"/>
      <c r="G30" s="980">
        <v>82</v>
      </c>
    </row>
    <row r="31" spans="3:9" ht="11.25" customHeight="1">
      <c r="C31" s="217" t="s">
        <v>1077</v>
      </c>
      <c r="F31" s="217"/>
      <c r="G31" s="981">
        <f ca="1">+IFERROR(G27/G30-1,"NA ")</f>
        <v>0.1633271336707558</v>
      </c>
    </row>
    <row r="35" spans="2:2" ht="11.25" customHeight="1">
      <c r="B35" s="27" t="s">
        <v>14</v>
      </c>
    </row>
  </sheetData>
  <conditionalFormatting sqref="G31">
    <cfRule type="cellIs" dxfId="17" priority="1" operator="lessThan">
      <formula>0</formula>
    </cfRule>
    <cfRule type="cellIs" dxfId="16" priority="2" operator="greaterThan">
      <formula>0</formula>
    </cfRule>
  </conditionalFormatting>
  <pageMargins left="0.7" right="0.7" top="0.75" bottom="0.75" header="0.3" footer="0.3"/>
  <pageSetup scale="76" orientation="landscape" r:id="rId1"/>
  <ignoredErrors>
    <ignoredError sqref="F17 F10:G10 G9"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04B-3FF1-4981-9D52-4BE46731CDFF}">
  <sheetPr codeName="Sheet6">
    <pageSetUpPr fitToPage="1"/>
  </sheetPr>
  <dimension ref="A1:AE122"/>
  <sheetViews>
    <sheetView showGridLines="0" tabSelected="1" zoomScaleNormal="100" workbookViewId="0">
      <selection activeCell="H20" sqref="H20"/>
    </sheetView>
  </sheetViews>
  <sheetFormatPr defaultColWidth="11.19921875" defaultRowHeight="11.25" customHeight="1" outlineLevelRow="1" outlineLevelCol="1"/>
  <cols>
    <col min="1" max="2" width="1.796875" style="217" customWidth="1"/>
    <col min="3" max="3" width="35.796875" style="217" customWidth="1"/>
    <col min="4" max="5" width="11.19921875" style="217"/>
    <col min="6" max="7" width="11.19921875" style="217" customWidth="1"/>
    <col min="8" max="8" width="11.19921875" style="217"/>
    <col min="9" max="9" width="11.19921875" style="217" customWidth="1"/>
    <col min="10" max="10" width="11.19921875" style="217" customWidth="1" outlineLevel="1"/>
    <col min="11" max="15" width="11.19921875" style="217" outlineLevel="1"/>
    <col min="16" max="16384" width="11.19921875" style="217"/>
  </cols>
  <sheetData>
    <row r="1" spans="1:21" ht="11.25" customHeight="1">
      <c r="A1" s="219" t="str">
        <f>Financials!A1</f>
        <v>Eastman Chemical Co.</v>
      </c>
    </row>
    <row r="2" spans="1:21" ht="11.25" customHeight="1">
      <c r="A2" s="315" t="str">
        <f>Financials!A2</f>
        <v>(All Values in USD mn unless stated otherwise)</v>
      </c>
    </row>
    <row r="3" spans="1:21" ht="11.25" customHeight="1">
      <c r="A3" s="219" t="s">
        <v>578</v>
      </c>
      <c r="D3" s="316" t="s">
        <v>579</v>
      </c>
      <c r="E3" s="317">
        <f ca="1">TODAY()</f>
        <v>46010</v>
      </c>
      <c r="F3" s="337"/>
    </row>
    <row r="5" spans="1:21" ht="11.25" customHeight="1">
      <c r="B5" s="305"/>
      <c r="C5" s="277" t="s">
        <v>0</v>
      </c>
      <c r="D5" s="304">
        <f>YEAR(D6)</f>
        <v>2017</v>
      </c>
      <c r="E5" s="304">
        <f t="shared" ref="E5:M5" si="0">YEAR(E6)</f>
        <v>2018</v>
      </c>
      <c r="F5" s="304">
        <f t="shared" si="0"/>
        <v>2019</v>
      </c>
      <c r="G5" s="304">
        <f t="shared" si="0"/>
        <v>2020</v>
      </c>
      <c r="H5" s="304">
        <f t="shared" si="0"/>
        <v>2021</v>
      </c>
      <c r="I5" s="304">
        <f t="shared" si="0"/>
        <v>2022</v>
      </c>
      <c r="J5" s="302">
        <f t="shared" si="0"/>
        <v>2023</v>
      </c>
      <c r="K5" s="302">
        <f t="shared" si="0"/>
        <v>2024</v>
      </c>
      <c r="L5" s="302">
        <f t="shared" si="0"/>
        <v>2025</v>
      </c>
      <c r="M5" s="303">
        <f t="shared" si="0"/>
        <v>2026</v>
      </c>
      <c r="N5" s="358"/>
      <c r="S5" s="312">
        <v>1</v>
      </c>
      <c r="T5" s="311" t="s">
        <v>570</v>
      </c>
      <c r="U5" s="310"/>
    </row>
    <row r="6" spans="1:21" ht="11.25" customHeight="1">
      <c r="B6" s="269"/>
      <c r="C6" s="266" t="s">
        <v>13</v>
      </c>
      <c r="D6" s="266">
        <v>43100</v>
      </c>
      <c r="E6" s="266">
        <f>EOMONTH(D6,12)</f>
        <v>43465</v>
      </c>
      <c r="F6" s="266">
        <f t="shared" ref="F6:M6" si="1">EOMONTH(E6,12)</f>
        <v>43830</v>
      </c>
      <c r="G6" s="266">
        <f t="shared" si="1"/>
        <v>44196</v>
      </c>
      <c r="H6" s="266">
        <f t="shared" si="1"/>
        <v>44561</v>
      </c>
      <c r="I6" s="266">
        <f>EOMONTH(H6,12)</f>
        <v>44926</v>
      </c>
      <c r="J6" s="266">
        <f>EOMONTH(I6,12)</f>
        <v>45291</v>
      </c>
      <c r="K6" s="266">
        <f t="shared" si="1"/>
        <v>45657</v>
      </c>
      <c r="L6" s="266">
        <f t="shared" si="1"/>
        <v>46022</v>
      </c>
      <c r="M6" s="266">
        <f t="shared" si="1"/>
        <v>46387</v>
      </c>
      <c r="N6" s="261"/>
      <c r="Q6" s="314" t="s">
        <v>576</v>
      </c>
      <c r="R6" s="313">
        <v>2</v>
      </c>
      <c r="S6" s="312">
        <v>2</v>
      </c>
      <c r="T6" s="311" t="s">
        <v>575</v>
      </c>
      <c r="U6" s="310"/>
    </row>
    <row r="7" spans="1:21" ht="11.25" customHeight="1">
      <c r="B7" s="219" t="s">
        <v>14</v>
      </c>
      <c r="E7" s="238"/>
      <c r="F7" s="238"/>
      <c r="G7" s="238"/>
      <c r="H7" s="238"/>
      <c r="I7" s="238"/>
      <c r="J7" s="238"/>
      <c r="K7" s="238"/>
      <c r="L7" s="238"/>
      <c r="M7" s="238"/>
      <c r="S7" s="309">
        <v>3</v>
      </c>
      <c r="T7" s="308" t="s">
        <v>569</v>
      </c>
      <c r="U7" s="307"/>
    </row>
    <row r="8" spans="1:21" ht="11.25" customHeight="1">
      <c r="C8" s="217" t="s">
        <v>472</v>
      </c>
      <c r="D8" s="318">
        <f>Financials!AO119</f>
        <v>2222</v>
      </c>
      <c r="E8" s="318">
        <f>Financials!AP119</f>
        <v>2237</v>
      </c>
      <c r="F8" s="318">
        <f>Financials!AQ119</f>
        <v>2000</v>
      </c>
      <c r="G8" s="318">
        <f>Financials!AR119</f>
        <v>1790</v>
      </c>
      <c r="H8" s="318">
        <f>Financials!AS119</f>
        <v>2173</v>
      </c>
      <c r="I8" s="318">
        <f>Financials!AT119</f>
        <v>1816</v>
      </c>
      <c r="J8" s="318">
        <f>Financials!AU119</f>
        <v>1939.8289936295096</v>
      </c>
      <c r="K8" s="318">
        <f>Financials!AV119</f>
        <v>2037.3603589999998</v>
      </c>
      <c r="L8" s="318">
        <f>Financials!AW119</f>
        <v>2129.0107735649999</v>
      </c>
      <c r="M8" s="318">
        <f>Financials!AX119</f>
        <v>2241.231585114575</v>
      </c>
      <c r="N8" s="306"/>
      <c r="O8" s="306"/>
      <c r="P8" s="227"/>
      <c r="Q8" s="712"/>
      <c r="R8" s="712"/>
      <c r="S8" s="712"/>
    </row>
    <row r="9" spans="1:21" ht="11.25" customHeight="1">
      <c r="C9" s="217" t="s">
        <v>580</v>
      </c>
      <c r="D9" s="318">
        <f>-Financials!AO899</f>
        <v>-587</v>
      </c>
      <c r="E9" s="318">
        <f>-Financials!AP899</f>
        <v>-604</v>
      </c>
      <c r="F9" s="318">
        <f>-Financials!AQ899</f>
        <v>-611</v>
      </c>
      <c r="G9" s="318">
        <f>-Financials!AR899</f>
        <v>-574</v>
      </c>
      <c r="H9" s="318">
        <f>-Financials!AS899</f>
        <v>-538</v>
      </c>
      <c r="I9" s="318">
        <f>-Financials!AT899</f>
        <v>-477</v>
      </c>
      <c r="J9" s="318">
        <f>-Financials!AU899</f>
        <v>-517.48639362950928</v>
      </c>
      <c r="K9" s="318">
        <f>-Financials!AV899</f>
        <v>-520.61599999999999</v>
      </c>
      <c r="L9" s="318">
        <f>-Financials!AW899</f>
        <v>-530.81600000000003</v>
      </c>
      <c r="M9" s="318">
        <f>-Financials!AX899</f>
        <v>-550.01600000000008</v>
      </c>
      <c r="N9" s="318"/>
      <c r="Q9" s="712"/>
      <c r="R9" s="712"/>
      <c r="S9" s="712"/>
    </row>
    <row r="10" spans="1:21" ht="11.25" customHeight="1">
      <c r="C10" s="319" t="s">
        <v>471</v>
      </c>
      <c r="D10" s="222">
        <f>SUM(D8:D9)</f>
        <v>1635</v>
      </c>
      <c r="E10" s="222">
        <f t="shared" ref="E10:M10" si="2">SUM(E8:E9)</f>
        <v>1633</v>
      </c>
      <c r="F10" s="222">
        <f t="shared" si="2"/>
        <v>1389</v>
      </c>
      <c r="G10" s="222">
        <f t="shared" si="2"/>
        <v>1216</v>
      </c>
      <c r="H10" s="222">
        <f t="shared" si="2"/>
        <v>1635</v>
      </c>
      <c r="I10" s="222">
        <f t="shared" si="2"/>
        <v>1339</v>
      </c>
      <c r="J10" s="222">
        <f t="shared" si="2"/>
        <v>1422.3426000000004</v>
      </c>
      <c r="K10" s="222">
        <f t="shared" si="2"/>
        <v>1516.7443589999998</v>
      </c>
      <c r="L10" s="222">
        <f t="shared" si="2"/>
        <v>1598.1947735649999</v>
      </c>
      <c r="M10" s="222">
        <f t="shared" si="2"/>
        <v>1691.2155851145749</v>
      </c>
      <c r="N10" s="359"/>
      <c r="O10" s="219"/>
      <c r="P10" s="219"/>
      <c r="Q10" s="574"/>
      <c r="R10" s="574"/>
      <c r="S10" s="574"/>
    </row>
    <row r="11" spans="1:21" ht="11.25" customHeight="1">
      <c r="C11" s="425" t="s">
        <v>1535</v>
      </c>
      <c r="D11" s="318">
        <f>Financials!AO46-Financials!AO920</f>
        <v>295</v>
      </c>
      <c r="E11" s="318">
        <f>Financials!AP46-Financials!AP920</f>
        <v>277</v>
      </c>
      <c r="F11" s="318">
        <f>Financials!AQ46-Financials!AQ920</f>
        <v>102</v>
      </c>
      <c r="G11" s="318">
        <f>Financials!AR46-Financials!AR920</f>
        <v>152</v>
      </c>
      <c r="H11" s="318">
        <f>Financials!AS46-Financials!AS920</f>
        <v>253</v>
      </c>
      <c r="I11" s="318">
        <f>Financials!AT46-Financials!AT920</f>
        <v>317</v>
      </c>
      <c r="J11" s="318">
        <f ca="1">Financials!AU46-Financials!AU920</f>
        <v>343.35330599999998</v>
      </c>
      <c r="K11" s="318">
        <f ca="1">Financials!AV46-Financials!AV920</f>
        <v>374.47173727999996</v>
      </c>
      <c r="L11" s="318">
        <f ca="1">Financials!AW46-Financials!AW920</f>
        <v>392.05879650605004</v>
      </c>
      <c r="M11" s="318">
        <f ca="1">Financials!AX46-Financials!AX920</f>
        <v>410.97776696947773</v>
      </c>
      <c r="N11" s="318"/>
      <c r="Q11" s="712"/>
      <c r="R11" s="712"/>
      <c r="S11" s="712"/>
    </row>
    <row r="12" spans="1:21" ht="11.25" customHeight="1">
      <c r="C12" s="1127" t="s">
        <v>581</v>
      </c>
      <c r="D12" s="222">
        <f t="shared" ref="D12:M12" si="3">+D10-D11</f>
        <v>1340</v>
      </c>
      <c r="E12" s="222">
        <f t="shared" si="3"/>
        <v>1356</v>
      </c>
      <c r="F12" s="222">
        <f t="shared" si="3"/>
        <v>1287</v>
      </c>
      <c r="G12" s="222">
        <f t="shared" si="3"/>
        <v>1064</v>
      </c>
      <c r="H12" s="222">
        <f t="shared" si="3"/>
        <v>1382</v>
      </c>
      <c r="I12" s="222">
        <f t="shared" si="3"/>
        <v>1022</v>
      </c>
      <c r="J12" s="222">
        <f t="shared" ca="1" si="3"/>
        <v>1078.9892940000004</v>
      </c>
      <c r="K12" s="222">
        <f t="shared" ca="1" si="3"/>
        <v>1142.2726217199997</v>
      </c>
      <c r="L12" s="222">
        <f t="shared" ca="1" si="3"/>
        <v>1206.1359770589497</v>
      </c>
      <c r="M12" s="222">
        <f t="shared" ca="1" si="3"/>
        <v>1280.2378181450972</v>
      </c>
      <c r="N12" s="241"/>
      <c r="O12" s="219"/>
      <c r="P12" s="219"/>
      <c r="Q12" s="359"/>
      <c r="R12" s="359"/>
      <c r="S12" s="359"/>
    </row>
    <row r="13" spans="1:21" ht="11.25" customHeight="1">
      <c r="Q13" s="713"/>
      <c r="R13" s="713"/>
      <c r="S13" s="713"/>
    </row>
    <row r="14" spans="1:21" ht="11.25" customHeight="1">
      <c r="C14" s="217" t="s">
        <v>582</v>
      </c>
      <c r="D14" s="227">
        <f t="shared" ref="D14:M14" si="4">-D9</f>
        <v>587</v>
      </c>
      <c r="E14" s="227">
        <f t="shared" si="4"/>
        <v>604</v>
      </c>
      <c r="F14" s="227">
        <f t="shared" si="4"/>
        <v>611</v>
      </c>
      <c r="G14" s="227">
        <f t="shared" si="4"/>
        <v>574</v>
      </c>
      <c r="H14" s="227">
        <f t="shared" si="4"/>
        <v>538</v>
      </c>
      <c r="I14" s="227">
        <f t="shared" si="4"/>
        <v>477</v>
      </c>
      <c r="J14" s="227">
        <f t="shared" si="4"/>
        <v>517.48639362950928</v>
      </c>
      <c r="K14" s="227">
        <f t="shared" si="4"/>
        <v>520.61599999999999</v>
      </c>
      <c r="L14" s="227">
        <f t="shared" si="4"/>
        <v>530.81600000000003</v>
      </c>
      <c r="M14" s="227">
        <f t="shared" si="4"/>
        <v>550.01600000000008</v>
      </c>
      <c r="N14" s="227"/>
      <c r="Q14" s="228"/>
      <c r="R14" s="228"/>
      <c r="S14" s="228"/>
    </row>
    <row r="15" spans="1:21" ht="11.25" customHeight="1">
      <c r="C15" s="217" t="s">
        <v>583</v>
      </c>
      <c r="D15" s="318">
        <f>SUM(Financials!AO926:AO931)</f>
        <v>99</v>
      </c>
      <c r="E15" s="318">
        <f>SUM(Financials!AP926:AP931)</f>
        <v>-170</v>
      </c>
      <c r="F15" s="318">
        <f>SUM(Financials!AQ926:AQ931)</f>
        <v>-122</v>
      </c>
      <c r="G15" s="318">
        <f>SUM(Financials!AR926:AR931)</f>
        <v>116</v>
      </c>
      <c r="H15" s="318">
        <f>SUM(Financials!AS926:AS931)</f>
        <v>-50</v>
      </c>
      <c r="I15" s="318">
        <f>SUM(Financials!AT926:AT931)</f>
        <v>-239</v>
      </c>
      <c r="J15" s="318">
        <f>SUM(Financials!AU926:AU931)</f>
        <v>107.69836054794528</v>
      </c>
      <c r="K15" s="318">
        <f>SUM(Financials!AV926:AV931)</f>
        <v>-63.439360868493125</v>
      </c>
      <c r="L15" s="318">
        <f>SUM(Financials!AW926:AW931)</f>
        <v>-124.9293727789731</v>
      </c>
      <c r="M15" s="318">
        <f>SUM(Financials!AX926:AX931)</f>
        <v>-10.929045386795465</v>
      </c>
      <c r="N15" s="318"/>
      <c r="O15" s="320"/>
      <c r="P15" s="320"/>
      <c r="Q15" s="712"/>
      <c r="R15" s="712"/>
      <c r="S15" s="712"/>
    </row>
    <row r="16" spans="1:21" ht="11.25" customHeight="1">
      <c r="C16" s="217" t="s">
        <v>584</v>
      </c>
      <c r="D16" s="318">
        <f>SUM(Financials!AO934:AO935)</f>
        <v>-649</v>
      </c>
      <c r="E16" s="318">
        <f>SUM(Financials!AP934:AP935)</f>
        <v>-463</v>
      </c>
      <c r="F16" s="318">
        <f>SUM(Financials!AQ934:AQ935)</f>
        <v>-425</v>
      </c>
      <c r="G16" s="318">
        <f>SUM(Financials!AR934:AR935)</f>
        <v>-396</v>
      </c>
      <c r="H16" s="318">
        <f>SUM(Financials!AS934:AS935)</f>
        <v>-578</v>
      </c>
      <c r="I16" s="318">
        <f>SUM(Financials!AT934:AT935)</f>
        <v>-624</v>
      </c>
      <c r="J16" s="318">
        <f>SUM(Financials!AU934:AU935)+200</f>
        <v>-558</v>
      </c>
      <c r="K16" s="318">
        <f>SUM(Financials!AV934:AV935)+200</f>
        <v>-400</v>
      </c>
      <c r="L16" s="318">
        <f>SUM(Financials!AW934:AW935)+200</f>
        <v>-400</v>
      </c>
      <c r="M16" s="318">
        <f>SUM(Financials!AX934:AX935)+200</f>
        <v>-300</v>
      </c>
      <c r="N16" s="318"/>
      <c r="O16" s="320"/>
      <c r="P16" s="320"/>
      <c r="Q16" s="712"/>
      <c r="R16" s="712"/>
      <c r="S16" s="712"/>
    </row>
    <row r="17" spans="3:19" ht="11.25" customHeight="1">
      <c r="C17" s="319" t="s">
        <v>585</v>
      </c>
      <c r="D17" s="222">
        <f>SUM(D14:D16)+D12</f>
        <v>1377</v>
      </c>
      <c r="E17" s="222">
        <f t="shared" ref="E17:M17" si="5">SUM(E14:E16)+E12</f>
        <v>1327</v>
      </c>
      <c r="F17" s="222">
        <f t="shared" si="5"/>
        <v>1351</v>
      </c>
      <c r="G17" s="222">
        <f t="shared" si="5"/>
        <v>1358</v>
      </c>
      <c r="H17" s="222">
        <f t="shared" si="5"/>
        <v>1292</v>
      </c>
      <c r="I17" s="222">
        <f t="shared" si="5"/>
        <v>636</v>
      </c>
      <c r="J17" s="222">
        <f t="shared" ca="1" si="5"/>
        <v>1146.174048177455</v>
      </c>
      <c r="K17" s="222">
        <f t="shared" ca="1" si="5"/>
        <v>1199.4492608515066</v>
      </c>
      <c r="L17" s="222">
        <f t="shared" ca="1" si="5"/>
        <v>1212.0226042799766</v>
      </c>
      <c r="M17" s="222">
        <f t="shared" ca="1" si="5"/>
        <v>1519.3247727583018</v>
      </c>
      <c r="N17" s="359"/>
      <c r="O17" s="359"/>
      <c r="P17" s="359"/>
      <c r="Q17" s="359"/>
      <c r="R17" s="359"/>
      <c r="S17" s="359"/>
    </row>
    <row r="18" spans="3:19" ht="11.25" customHeight="1">
      <c r="C18" s="321" t="s">
        <v>460</v>
      </c>
      <c r="E18" s="322">
        <f>IFERROR(E17/D17-1,"NA  ")</f>
        <v>-3.6310820624546158E-2</v>
      </c>
      <c r="F18" s="322">
        <f t="shared" ref="F18:M18" si="6">IFERROR(F17/E17-1,"NA  ")</f>
        <v>1.8085908063300682E-2</v>
      </c>
      <c r="G18" s="322">
        <f t="shared" si="6"/>
        <v>5.1813471502590858E-3</v>
      </c>
      <c r="H18" s="322">
        <f t="shared" si="6"/>
        <v>-4.8600883652430094E-2</v>
      </c>
      <c r="I18" s="322">
        <f t="shared" si="6"/>
        <v>-0.50773993808049533</v>
      </c>
      <c r="J18" s="322">
        <f t="shared" ca="1" si="6"/>
        <v>0.80216045310920592</v>
      </c>
      <c r="K18" s="322">
        <f t="shared" ca="1" si="6"/>
        <v>4.6480909909594637E-2</v>
      </c>
      <c r="L18" s="322">
        <f t="shared" ca="1" si="6"/>
        <v>1.0482597170925034E-2</v>
      </c>
      <c r="M18" s="322">
        <f t="shared" ca="1" si="6"/>
        <v>0.25354491524593592</v>
      </c>
      <c r="N18" s="322"/>
    </row>
    <row r="20" spans="3:19" ht="11.25" customHeight="1">
      <c r="C20" s="217" t="s">
        <v>586</v>
      </c>
      <c r="I20" s="306"/>
      <c r="J20" s="306">
        <v>0.5</v>
      </c>
      <c r="K20" s="227">
        <f>+J20+1</f>
        <v>1.5</v>
      </c>
      <c r="L20" s="227">
        <f>+K20+1</f>
        <v>2.5</v>
      </c>
      <c r="M20" s="227">
        <f>+L20+1</f>
        <v>3.5</v>
      </c>
      <c r="N20" s="227"/>
      <c r="O20" s="227"/>
      <c r="P20" s="227"/>
    </row>
    <row r="21" spans="3:19" ht="11.25" customHeight="1">
      <c r="C21" s="217" t="s">
        <v>587</v>
      </c>
      <c r="I21" s="227"/>
      <c r="J21" s="227">
        <f ca="1">J17</f>
        <v>1146.174048177455</v>
      </c>
      <c r="K21" s="227">
        <f ca="1">K17</f>
        <v>1199.4492608515066</v>
      </c>
      <c r="L21" s="227">
        <f ca="1">L17</f>
        <v>1212.0226042799766</v>
      </c>
      <c r="M21" s="227">
        <f ca="1">M17</f>
        <v>1519.3247727583018</v>
      </c>
      <c r="N21" s="227"/>
      <c r="O21" s="227"/>
      <c r="P21" s="227"/>
    </row>
    <row r="22" spans="3:19" ht="11.25" customHeight="1">
      <c r="C22" s="217" t="s">
        <v>588</v>
      </c>
      <c r="I22" s="227"/>
      <c r="J22" s="227">
        <f ca="1">PV($E$35,J20,0,-J21,0)</f>
        <v>1097.8356307827007</v>
      </c>
      <c r="K22" s="227">
        <f ca="1">PV($E$35,K20,0,-K21,0)</f>
        <v>1054.0036970941783</v>
      </c>
      <c r="L22" s="227">
        <f ca="1">PV($E$35,L20,0,-L21,0)</f>
        <v>977.11228740135959</v>
      </c>
      <c r="M22" s="227">
        <f ca="1">PV($E$35,M20,0,-M21,0)</f>
        <v>1123.7193940333027</v>
      </c>
      <c r="N22" s="227"/>
      <c r="O22" s="227"/>
      <c r="P22" s="227"/>
    </row>
    <row r="25" spans="3:19" ht="11.25" customHeight="1">
      <c r="D25" s="323" t="s">
        <v>589</v>
      </c>
      <c r="E25" s="324"/>
      <c r="G25" s="323" t="s">
        <v>590</v>
      </c>
      <c r="H25" s="324"/>
      <c r="J25" s="323" t="s">
        <v>591</v>
      </c>
      <c r="K25" s="324"/>
      <c r="L25" s="324"/>
      <c r="M25" s="324"/>
    </row>
    <row r="26" spans="3:19" ht="11.25" customHeight="1">
      <c r="D26" s="325" t="s">
        <v>592</v>
      </c>
      <c r="E26" s="990" cm="1">
        <f t="array" aca="1" ref="E26" ca="1">IF(Thomson=1,_xll.TR("EMN","TR.WACCBeta"),E26)</f>
        <v>1.5161923832826401</v>
      </c>
      <c r="G26" s="325" t="s">
        <v>590</v>
      </c>
      <c r="H26" s="1032">
        <f>'WACC Calculation'!J17</f>
        <v>6.2373066895272403E-2</v>
      </c>
      <c r="J26" s="325"/>
      <c r="K26" s="326"/>
      <c r="L26" s="327" t="s">
        <v>593</v>
      </c>
      <c r="M26" s="328" t="s">
        <v>594</v>
      </c>
    </row>
    <row r="27" spans="3:19" ht="11.25" customHeight="1">
      <c r="C27" s="227"/>
      <c r="D27" s="329" t="s">
        <v>595</v>
      </c>
      <c r="E27" s="857" cm="1">
        <f t="array" aca="1" ref="E27" ca="1">(IF(Thomson=1,_xll.TR("EMN","TR.WACCInflationAdjRiskFreeRate")/100,E27))</f>
        <v>3.425752E-2</v>
      </c>
      <c r="G27" s="329" t="s">
        <v>574</v>
      </c>
      <c r="H27" s="330">
        <v>0.19</v>
      </c>
      <c r="J27" s="329" t="s">
        <v>465</v>
      </c>
      <c r="K27" s="318">
        <f ca="1">+Debt!Y26</f>
        <v>5151</v>
      </c>
      <c r="L27" s="238">
        <f ca="1">+K27/K29</f>
        <v>0.35201015902874883</v>
      </c>
      <c r="M27" s="331">
        <f ca="1">H31</f>
        <v>4.9991891521158294E-2</v>
      </c>
      <c r="N27" s="332"/>
    </row>
    <row r="28" spans="3:19" ht="11.25" customHeight="1">
      <c r="D28" s="329" t="s">
        <v>596</v>
      </c>
      <c r="E28" s="857">
        <f ca="1">+E29-E27</f>
        <v>1.1767102480787398E-2</v>
      </c>
      <c r="G28" s="329"/>
      <c r="H28" s="333"/>
      <c r="J28" s="329" t="s">
        <v>469</v>
      </c>
      <c r="K28" s="341">
        <f>'Peer Analysiss'!F12</f>
        <v>9482.1004031600005</v>
      </c>
      <c r="L28" s="238">
        <f ca="1">K28/K29</f>
        <v>0.64798984097125123</v>
      </c>
      <c r="M28" s="331">
        <f ca="1">+E31</f>
        <v>0.10403970204882899</v>
      </c>
    </row>
    <row r="29" spans="3:19" ht="11.25" customHeight="1">
      <c r="D29" s="329" t="s">
        <v>597</v>
      </c>
      <c r="E29" s="857" cm="1">
        <f t="array" aca="1" ref="E29" ca="1">(IF(Thomson=1,_xll.TR("EMN","TR.WACCERP")/100,E29))</f>
        <v>4.6024622480787397E-2</v>
      </c>
      <c r="G29" s="329"/>
      <c r="H29" s="333"/>
      <c r="J29" s="991" t="s">
        <v>598</v>
      </c>
      <c r="K29" s="359">
        <f ca="1">+K28+K27</f>
        <v>14633.10040316</v>
      </c>
      <c r="M29" s="333"/>
    </row>
    <row r="30" spans="3:19" ht="11.25" customHeight="1">
      <c r="D30" s="329" t="s">
        <v>599</v>
      </c>
      <c r="E30" s="857">
        <f ca="1">E27+E26*E29</f>
        <v>0.10403970204882881</v>
      </c>
      <c r="G30" s="854" t="s">
        <v>600</v>
      </c>
      <c r="H30" s="857">
        <f>+H26*(1-H27)</f>
        <v>5.0522184185170647E-2</v>
      </c>
      <c r="J30" s="329"/>
      <c r="K30" s="227"/>
      <c r="M30" s="333"/>
    </row>
    <row r="31" spans="3:19" ht="11.25" customHeight="1">
      <c r="D31" s="316" t="s">
        <v>601</v>
      </c>
      <c r="E31" s="996" cm="1">
        <f t="array" aca="1" ref="E31" ca="1">(IF(Thomson=1,_xll.TR("EMN","TR.WACCCostofEquity")/100,E31))</f>
        <v>0.10403970204882899</v>
      </c>
      <c r="G31" s="995" t="s">
        <v>1214</v>
      </c>
      <c r="H31" s="996" cm="1">
        <f t="array" aca="1" ref="H31" ca="1">(IF(Thomson=1,_xll.TR("EMN","TR.WACCCostofDebt")/100,H31))</f>
        <v>4.9991891521158294E-2</v>
      </c>
      <c r="J31" s="992" t="s">
        <v>591</v>
      </c>
      <c r="K31" s="993"/>
      <c r="L31" s="993"/>
      <c r="M31" s="994">
        <f ca="1">(L27*M27)+(L28*M28)</f>
        <v>8.5014323669827946E-2</v>
      </c>
      <c r="N31" s="332"/>
    </row>
    <row r="33" spans="3:14" ht="11.25" customHeight="1">
      <c r="J33" s="947" t="s">
        <v>1207</v>
      </c>
      <c r="K33" s="948"/>
      <c r="L33" s="949"/>
      <c r="M33" s="950">
        <f ca="1">K27</f>
        <v>5151</v>
      </c>
    </row>
    <row r="34" spans="3:14" ht="11.25" customHeight="1">
      <c r="J34" s="854" t="s">
        <v>1208</v>
      </c>
      <c r="K34" s="956"/>
      <c r="L34" s="956"/>
      <c r="M34" s="951">
        <f>-(Pension!AP176+Pension!AP112+Pension!AP49)*(1-H27)</f>
        <v>390.42</v>
      </c>
    </row>
    <row r="35" spans="3:14" ht="11.25" customHeight="1">
      <c r="C35" s="217" t="s">
        <v>602</v>
      </c>
      <c r="E35" s="405">
        <v>0.09</v>
      </c>
      <c r="G35" s="578"/>
      <c r="J35" s="854" t="s">
        <v>1209</v>
      </c>
      <c r="K35" s="956"/>
      <c r="L35" s="956"/>
      <c r="M35" s="951">
        <f>Financials!AF779</f>
        <v>83</v>
      </c>
    </row>
    <row r="36" spans="3:14" ht="11.25" customHeight="1">
      <c r="C36" s="217" t="s">
        <v>603</v>
      </c>
      <c r="E36" s="227">
        <f ca="1">+SUM(J22:M22)</f>
        <v>4252.6710093115416</v>
      </c>
      <c r="H36" s="238"/>
      <c r="J36" s="854" t="s">
        <v>1432</v>
      </c>
      <c r="K36" s="956"/>
      <c r="L36" s="956"/>
      <c r="M36" s="1024">
        <v>-111</v>
      </c>
    </row>
    <row r="37" spans="3:14" ht="11.25" customHeight="1">
      <c r="C37" s="217" t="s">
        <v>604</v>
      </c>
      <c r="E37" s="702">
        <v>44926</v>
      </c>
      <c r="J37" s="329" t="s">
        <v>1212</v>
      </c>
      <c r="M37" s="957">
        <v>245</v>
      </c>
    </row>
    <row r="38" spans="3:14" ht="11.25" customHeight="1">
      <c r="C38" s="217" t="s">
        <v>33</v>
      </c>
      <c r="E38" s="318">
        <f>+Financials!AF60</f>
        <v>124.9</v>
      </c>
      <c r="G38" s="256"/>
      <c r="J38" s="329" t="s">
        <v>1213</v>
      </c>
      <c r="M38" s="957">
        <v>51</v>
      </c>
    </row>
    <row r="39" spans="3:14" ht="11.25" customHeight="1">
      <c r="E39" s="318"/>
      <c r="F39" s="334"/>
      <c r="G39" s="339" t="s">
        <v>394</v>
      </c>
      <c r="I39" s="238"/>
      <c r="J39" s="854" t="s">
        <v>1210</v>
      </c>
      <c r="K39" s="958"/>
      <c r="L39" s="956"/>
      <c r="M39" s="951">
        <f>-Financials!AF738</f>
        <v>-493</v>
      </c>
    </row>
    <row r="40" spans="3:14" ht="11.25" customHeight="1">
      <c r="E40" s="318"/>
      <c r="F40" s="334"/>
      <c r="G40" s="339"/>
      <c r="I40" s="238"/>
      <c r="J40" s="952" t="s">
        <v>1211</v>
      </c>
      <c r="K40" s="953"/>
      <c r="L40" s="954"/>
      <c r="M40" s="955">
        <f ca="1">SUM(M33:M39)</f>
        <v>5316.42</v>
      </c>
    </row>
    <row r="41" spans="3:14" ht="11.25" customHeight="1">
      <c r="G41" s="339"/>
      <c r="I41" s="238"/>
    </row>
    <row r="42" spans="3:14" ht="11.25" customHeight="1">
      <c r="C42" s="217" t="s">
        <v>1204</v>
      </c>
      <c r="E42" s="227">
        <f>+M8*(1+I43)</f>
        <v>2241.231585114575</v>
      </c>
      <c r="G42" s="339"/>
      <c r="I42" s="238"/>
      <c r="K42" s="840" t="s">
        <v>1205</v>
      </c>
      <c r="L42" s="841"/>
      <c r="M42" s="842"/>
      <c r="N42" s="843"/>
    </row>
    <row r="43" spans="3:14" ht="11.25" customHeight="1">
      <c r="C43" s="217" t="s">
        <v>605</v>
      </c>
      <c r="E43" s="1036">
        <f>N47</f>
        <v>8.14</v>
      </c>
      <c r="G43" s="339"/>
      <c r="I43" s="238"/>
      <c r="K43" s="844" t="s">
        <v>570</v>
      </c>
      <c r="L43" s="845" t="s">
        <v>1206</v>
      </c>
      <c r="M43" s="844" t="s">
        <v>569</v>
      </c>
      <c r="N43" s="846" t="s">
        <v>842</v>
      </c>
    </row>
    <row r="44" spans="3:14" ht="11.25" customHeight="1">
      <c r="C44" s="319" t="s">
        <v>607</v>
      </c>
      <c r="D44" s="219"/>
      <c r="E44" s="340">
        <f>E42*E43</f>
        <v>18243.625102832641</v>
      </c>
      <c r="G44" s="339"/>
      <c r="I44" s="238"/>
      <c r="K44" s="847">
        <v>0.5</v>
      </c>
      <c r="L44" s="847">
        <v>0.2</v>
      </c>
      <c r="M44" s="847">
        <v>0</v>
      </c>
      <c r="N44" s="848">
        <v>9.5</v>
      </c>
    </row>
    <row r="45" spans="3:14" ht="11.25" customHeight="1">
      <c r="C45" s="217" t="s">
        <v>608</v>
      </c>
      <c r="E45" s="227">
        <f>E44/(1+$E$35)^$M$20</f>
        <v>13493.306838081257</v>
      </c>
      <c r="F45" s="238"/>
      <c r="G45" s="339"/>
      <c r="I45" s="238"/>
      <c r="K45" s="849">
        <v>0.5</v>
      </c>
      <c r="L45" s="849">
        <v>0.4</v>
      </c>
      <c r="M45" s="849">
        <v>0.2</v>
      </c>
      <c r="N45" s="850">
        <v>8.1</v>
      </c>
    </row>
    <row r="46" spans="3:14" ht="11.25" customHeight="1">
      <c r="C46" s="217" t="s">
        <v>603</v>
      </c>
      <c r="E46" s="341">
        <f ca="1">E36</f>
        <v>4252.6710093115416</v>
      </c>
      <c r="F46" s="238"/>
      <c r="G46" s="339"/>
      <c r="I46" s="238"/>
      <c r="K46" s="851">
        <f>1-SUM(K44:K45)</f>
        <v>0</v>
      </c>
      <c r="L46" s="851">
        <f>1-SUM(L44:L45)</f>
        <v>0.39999999999999991</v>
      </c>
      <c r="M46" s="851">
        <f>1-SUM(M44:M45)</f>
        <v>0.8</v>
      </c>
      <c r="N46" s="852">
        <v>7.5</v>
      </c>
    </row>
    <row r="47" spans="3:14" ht="11.25" customHeight="1">
      <c r="C47" s="319" t="s">
        <v>609</v>
      </c>
      <c r="E47" s="340">
        <f ca="1">+E45+E46</f>
        <v>17745.977847392798</v>
      </c>
      <c r="F47" s="238"/>
      <c r="G47" s="339"/>
      <c r="I47" s="238"/>
      <c r="K47" s="844"/>
      <c r="L47" s="844"/>
      <c r="M47" s="844"/>
      <c r="N47" s="853">
        <f>+SUMPRODUCT(N44:N46,IF(Case=1,K44:K46,IF(Case=2,L44:L46,M44:M46)))</f>
        <v>8.14</v>
      </c>
    </row>
    <row r="48" spans="3:14" ht="11.25" customHeight="1">
      <c r="C48" s="217" t="s">
        <v>610</v>
      </c>
      <c r="E48" s="341">
        <f ca="1">-M40</f>
        <v>-5316.42</v>
      </c>
      <c r="G48" s="339"/>
      <c r="I48" s="238"/>
    </row>
    <row r="49" spans="3:15" ht="11.25" customHeight="1">
      <c r="C49" s="319" t="s">
        <v>611</v>
      </c>
      <c r="E49" s="340">
        <f ca="1">+E47+E48</f>
        <v>12429.557847392798</v>
      </c>
      <c r="G49" s="339"/>
      <c r="I49" s="238"/>
      <c r="K49" s="1534"/>
      <c r="L49" s="461" t="s">
        <v>629</v>
      </c>
      <c r="M49" s="462" t="s">
        <v>630</v>
      </c>
    </row>
    <row r="50" spans="3:15" ht="11.25" customHeight="1">
      <c r="C50" s="319"/>
      <c r="E50" s="340"/>
      <c r="G50" s="339"/>
      <c r="I50" s="238"/>
      <c r="K50" s="1535" t="s">
        <v>1822</v>
      </c>
      <c r="L50" s="730">
        <f ca="1">E47/'Consensus Summary TR'!E11</f>
        <v>9.6293684488898315</v>
      </c>
      <c r="M50" s="1533">
        <f ca="1">E47/'Consensus Summary TR'!F11</f>
        <v>9.148217655098172</v>
      </c>
    </row>
    <row r="51" spans="3:15" ht="11.25" customHeight="1">
      <c r="C51" s="219" t="s">
        <v>612</v>
      </c>
      <c r="D51" s="219"/>
      <c r="E51" s="1040">
        <f ca="1">+E49/E38</f>
        <v>99.516075639654105</v>
      </c>
      <c r="G51" s="339"/>
      <c r="I51" s="238"/>
    </row>
    <row r="52" spans="3:15" ht="11.25" customHeight="1">
      <c r="C52" s="217" t="s">
        <v>613</v>
      </c>
      <c r="E52" s="342">
        <f ca="1">+(E44*E35-M17)/(E44+M17)</f>
        <v>6.2036025627965515E-3</v>
      </c>
      <c r="G52" s="339"/>
      <c r="I52" s="238"/>
    </row>
    <row r="54" spans="3:15" ht="11.25" customHeight="1">
      <c r="C54" s="217" t="s">
        <v>614</v>
      </c>
      <c r="E54" s="856">
        <v>79.8</v>
      </c>
      <c r="F54" s="238"/>
    </row>
    <row r="55" spans="3:15" ht="11.25" customHeight="1">
      <c r="C55" s="217" t="s">
        <v>1077</v>
      </c>
      <c r="E55" s="343">
        <f ca="1">+IFERROR(E51/E54-1,"NA ")</f>
        <v>0.2470686170382721</v>
      </c>
    </row>
    <row r="58" spans="3:15" ht="11.25" customHeight="1">
      <c r="C58" s="344" t="s">
        <v>615</v>
      </c>
      <c r="H58" s="238"/>
    </row>
    <row r="60" spans="3:15" ht="11.25" customHeight="1">
      <c r="D60" s="1542" t="s">
        <v>616</v>
      </c>
      <c r="E60" s="1542"/>
      <c r="F60" s="1542"/>
      <c r="G60" s="1542"/>
      <c r="H60" s="1542"/>
      <c r="K60" s="1542" t="s">
        <v>606</v>
      </c>
      <c r="L60" s="1542"/>
      <c r="M60" s="1542"/>
      <c r="N60" s="1542"/>
      <c r="O60" s="1542"/>
    </row>
    <row r="61" spans="3:15" ht="11.25" customHeight="1">
      <c r="C61" s="345">
        <f ca="1">E51</f>
        <v>99.516075639654105</v>
      </c>
      <c r="D61" s="1428">
        <v>7.1</v>
      </c>
      <c r="E61" s="1429">
        <f>D61+0.5</f>
        <v>7.6</v>
      </c>
      <c r="F61" s="1429">
        <f t="shared" ref="F61:H61" si="7">E61+0.5</f>
        <v>8.1</v>
      </c>
      <c r="G61" s="1429">
        <f t="shared" si="7"/>
        <v>8.6</v>
      </c>
      <c r="H61" s="1429">
        <f t="shared" si="7"/>
        <v>9.1</v>
      </c>
      <c r="J61" s="345">
        <f>I51</f>
        <v>0</v>
      </c>
      <c r="K61" s="346">
        <v>-0.01</v>
      </c>
      <c r="L61" s="347">
        <f>K61+0.5%</f>
        <v>-5.0000000000000001E-3</v>
      </c>
      <c r="M61" s="347">
        <f>L61+0.5%</f>
        <v>0</v>
      </c>
      <c r="N61" s="347">
        <f>M61+0.5%</f>
        <v>5.0000000000000001E-3</v>
      </c>
      <c r="O61" s="348">
        <f>N61+0.5%</f>
        <v>0.01</v>
      </c>
    </row>
    <row r="62" spans="3:15" ht="11.25" customHeight="1">
      <c r="C62" s="1430">
        <v>7.4999999999999997E-2</v>
      </c>
      <c r="D62" s="1418">
        <f t="dataTable" ref="D62:H66" dt2D="1" dtr="1" r1="E43" r2="E35" ca="1"/>
        <v>91.357332159596709</v>
      </c>
      <c r="E62" s="1419">
        <v>98.323030701154423</v>
      </c>
      <c r="F62" s="1419">
        <v>105.28872924271218</v>
      </c>
      <c r="G62" s="1419">
        <v>112.25442778426991</v>
      </c>
      <c r="H62" s="1420">
        <v>119.22012632582766</v>
      </c>
      <c r="J62" s="238">
        <f>C62</f>
        <v>7.4999999999999997E-2</v>
      </c>
      <c r="K62" s="349">
        <f t="dataTable" ref="K62:O66" dt2D="1" dtr="1" r1="I43" r2="E35"/>
        <v>0</v>
      </c>
      <c r="L62" s="350">
        <v>0</v>
      </c>
      <c r="M62" s="350">
        <v>0</v>
      </c>
      <c r="N62" s="350">
        <v>0</v>
      </c>
      <c r="O62" s="351">
        <v>0</v>
      </c>
    </row>
    <row r="63" spans="3:15" ht="11.25" customHeight="1">
      <c r="C63" s="241">
        <f>C62+0.5%</f>
        <v>0.08</v>
      </c>
      <c r="D63" s="1421">
        <v>89.437996873458545</v>
      </c>
      <c r="E63" s="1422">
        <v>96.291476972173413</v>
      </c>
      <c r="F63" s="1422">
        <v>103.14495707088828</v>
      </c>
      <c r="G63" s="1422">
        <v>109.99843716960312</v>
      </c>
      <c r="H63" s="1423">
        <v>116.85191726831799</v>
      </c>
      <c r="J63" s="238">
        <f>C63</f>
        <v>0.08</v>
      </c>
      <c r="K63" s="352">
        <v>0</v>
      </c>
      <c r="L63" s="353">
        <v>0</v>
      </c>
      <c r="M63" s="353">
        <v>0</v>
      </c>
      <c r="N63" s="353">
        <v>0</v>
      </c>
      <c r="O63" s="354">
        <v>0</v>
      </c>
    </row>
    <row r="64" spans="3:15" ht="11.25" customHeight="1">
      <c r="C64" s="241">
        <f>C63+0.5%</f>
        <v>8.5000000000000006E-2</v>
      </c>
      <c r="D64" s="1421">
        <v>87.556984560610204</v>
      </c>
      <c r="E64" s="1422">
        <v>94.300559942571084</v>
      </c>
      <c r="F64" s="1424">
        <v>101.04413532453198</v>
      </c>
      <c r="G64" s="1422">
        <v>107.78771070649286</v>
      </c>
      <c r="H64" s="1423">
        <v>114.53128608845375</v>
      </c>
      <c r="J64" s="238">
        <f>C64</f>
        <v>8.5000000000000006E-2</v>
      </c>
      <c r="K64" s="352">
        <v>0</v>
      </c>
      <c r="L64" s="353">
        <v>0</v>
      </c>
      <c r="M64" s="701">
        <v>0</v>
      </c>
      <c r="N64" s="353">
        <v>0</v>
      </c>
      <c r="O64" s="354">
        <v>0</v>
      </c>
    </row>
    <row r="65" spans="2:15" ht="11.25" customHeight="1">
      <c r="C65" s="241">
        <f>C64+0.5%</f>
        <v>9.0000000000000011E-2</v>
      </c>
      <c r="D65" s="1421">
        <v>85.713348827634931</v>
      </c>
      <c r="E65" s="1422">
        <v>92.349275179567243</v>
      </c>
      <c r="F65" s="1422">
        <v>98.985201531499513</v>
      </c>
      <c r="G65" s="1422">
        <v>105.62112788343178</v>
      </c>
      <c r="H65" s="1423">
        <v>112.25705423536408</v>
      </c>
      <c r="J65" s="238">
        <f>C65</f>
        <v>9.0000000000000011E-2</v>
      </c>
      <c r="K65" s="352">
        <v>0</v>
      </c>
      <c r="L65" s="353">
        <v>0</v>
      </c>
      <c r="M65" s="353">
        <v>0</v>
      </c>
      <c r="N65" s="353">
        <v>0</v>
      </c>
      <c r="O65" s="354">
        <v>0</v>
      </c>
    </row>
    <row r="66" spans="2:15" ht="11.25" customHeight="1">
      <c r="C66" s="241">
        <f>C65+0.5%</f>
        <v>9.5000000000000015E-2</v>
      </c>
      <c r="D66" s="1425">
        <v>83.906170950495962</v>
      </c>
      <c r="E66" s="1426">
        <v>90.436647632558433</v>
      </c>
      <c r="F66" s="1426">
        <v>96.967124314620904</v>
      </c>
      <c r="G66" s="1426">
        <v>103.49760099668332</v>
      </c>
      <c r="H66" s="1427">
        <v>110.02807767874579</v>
      </c>
      <c r="J66" s="238">
        <f>C66</f>
        <v>9.5000000000000015E-2</v>
      </c>
      <c r="K66" s="355">
        <v>0</v>
      </c>
      <c r="L66" s="356">
        <v>0</v>
      </c>
      <c r="M66" s="356">
        <v>0</v>
      </c>
      <c r="N66" s="356">
        <v>0</v>
      </c>
      <c r="O66" s="357">
        <v>0</v>
      </c>
    </row>
    <row r="69" spans="2:15" ht="11.25" hidden="1" customHeight="1" outlineLevel="1">
      <c r="E69" s="238"/>
    </row>
    <row r="70" spans="2:15" ht="11.25" hidden="1" customHeight="1" outlineLevel="1">
      <c r="B70" s="219" t="s">
        <v>14</v>
      </c>
      <c r="C70" s="219" t="s">
        <v>1116</v>
      </c>
      <c r="D70" s="404"/>
      <c r="E70" s="404"/>
      <c r="F70" s="404"/>
      <c r="G70" s="404"/>
      <c r="H70" s="404"/>
    </row>
    <row r="71" spans="2:15" ht="11.25" hidden="1" customHeight="1" outlineLevel="1">
      <c r="C71" s="345"/>
      <c r="D71" s="402"/>
      <c r="E71" s="403"/>
      <c r="F71" s="403"/>
      <c r="G71" s="403"/>
      <c r="H71" s="403"/>
    </row>
    <row r="72" spans="2:15" ht="11.25" hidden="1" customHeight="1" outlineLevel="1">
      <c r="C72" s="241" t="s">
        <v>609</v>
      </c>
      <c r="D72" s="720">
        <f ca="1">+IF('Consensus Summary'!BBswitch=1,_xll.BDP("EMN US EQUITY","CRNCY_ADJ_CURR_EV"),D72)</f>
        <v>10841.0862275626</v>
      </c>
      <c r="E72" s="353"/>
      <c r="F72" s="353"/>
      <c r="G72" s="353"/>
      <c r="H72" s="353"/>
    </row>
    <row r="73" spans="2:15" ht="11.25" hidden="1" customHeight="1" outlineLevel="1">
      <c r="C73" s="241" t="s">
        <v>1117</v>
      </c>
      <c r="D73" s="701" cm="1">
        <f t="array" aca="1" ref="D73" ca="1">+IF('Consensus Summary'!BBswitch=1,_xll.BDP("EMN US EQUITY","PX_LAST"),D73)</f>
        <v>36.905000000000001</v>
      </c>
      <c r="E73" s="353"/>
      <c r="F73" s="353"/>
      <c r="G73" s="353"/>
      <c r="H73" s="353"/>
    </row>
    <row r="74" spans="2:15" ht="11.25" hidden="1" customHeight="1" outlineLevel="1">
      <c r="C74" s="238"/>
      <c r="D74" s="353"/>
      <c r="E74" s="353"/>
      <c r="F74" s="353"/>
      <c r="G74" s="353"/>
      <c r="H74" s="353"/>
    </row>
    <row r="75" spans="2:15" ht="11.25" hidden="1" customHeight="1" outlineLevel="1">
      <c r="C75" s="238"/>
      <c r="D75" s="353"/>
      <c r="E75" s="353"/>
      <c r="F75" s="353"/>
      <c r="G75" s="353"/>
      <c r="H75" s="353"/>
    </row>
    <row r="76" spans="2:15" ht="11.25" hidden="1" customHeight="1" outlineLevel="1">
      <c r="C76" s="238"/>
      <c r="D76" s="722"/>
      <c r="E76" s="721"/>
      <c r="F76" s="721" t="s">
        <v>532</v>
      </c>
      <c r="G76" s="721"/>
      <c r="H76" s="721"/>
      <c r="J76" s="722"/>
      <c r="K76" s="721"/>
      <c r="L76" s="721" t="s">
        <v>522</v>
      </c>
      <c r="M76" s="721"/>
      <c r="N76" s="721"/>
    </row>
    <row r="77" spans="2:15" ht="11.25" hidden="1" customHeight="1" outlineLevel="1">
      <c r="C77" s="238"/>
      <c r="D77" s="460">
        <v>2019</v>
      </c>
      <c r="E77" s="461">
        <f>+D77+1</f>
        <v>2020</v>
      </c>
      <c r="F77" s="461">
        <f>+E77+1</f>
        <v>2021</v>
      </c>
      <c r="G77" s="461">
        <f>+F77+1</f>
        <v>2022</v>
      </c>
      <c r="H77" s="462">
        <f>+G77+1</f>
        <v>2023</v>
      </c>
      <c r="J77" s="471">
        <f>+D77</f>
        <v>2019</v>
      </c>
      <c r="K77" s="472">
        <f>+E77</f>
        <v>2020</v>
      </c>
      <c r="L77" s="472">
        <f>+F77</f>
        <v>2021</v>
      </c>
      <c r="M77" s="472">
        <f>+G77</f>
        <v>2022</v>
      </c>
      <c r="N77" s="473">
        <f>+H77</f>
        <v>2023</v>
      </c>
    </row>
    <row r="78" spans="2:15" ht="11.25" hidden="1" customHeight="1" outlineLevel="1">
      <c r="C78" s="241" t="s">
        <v>1121</v>
      </c>
      <c r="D78" s="727">
        <f ca="1">+$E$47/I8</f>
        <v>9.7720142331458142</v>
      </c>
      <c r="E78" s="728">
        <f ca="1">+$E$47/J8</f>
        <v>9.148217655098172</v>
      </c>
      <c r="F78" s="728">
        <f ca="1">+$E$47/K8</f>
        <v>8.710279342090999</v>
      </c>
      <c r="G78" s="728">
        <f ca="1">+$E$47/L8</f>
        <v>8.3353161326081011</v>
      </c>
      <c r="H78" s="729">
        <f ca="1">+$E$47/M8</f>
        <v>7.9179581285820575</v>
      </c>
      <c r="J78" s="731">
        <f ca="1">+$E$51/Financials!AQ116</f>
        <v>13.943335830817901</v>
      </c>
      <c r="K78" s="403">
        <f ca="1">+$E$51/Financials!AR116</f>
        <v>28.465136907597714</v>
      </c>
      <c r="L78" s="403">
        <f ca="1">+$E$51/Financials!AS116</f>
        <v>15.879607168871294</v>
      </c>
      <c r="M78" s="403">
        <f ca="1">+$E$51/Financials!AT116</f>
        <v>15.783902160879563</v>
      </c>
      <c r="N78" s="732">
        <f ca="1">+$E$51/Financials!AU116</f>
        <v>12.548227016337485</v>
      </c>
    </row>
    <row r="79" spans="2:15" ht="11.25" hidden="1" customHeight="1" outlineLevel="1">
      <c r="C79" s="241" t="s">
        <v>1122</v>
      </c>
      <c r="D79" s="731">
        <f ca="1">+$D$72/I8</f>
        <v>5.9697611385256613</v>
      </c>
      <c r="E79" s="403">
        <f ca="1">+$D$72/J8</f>
        <v>5.5886814060235421</v>
      </c>
      <c r="F79" s="403">
        <f ca="1">+$D$72/K8</f>
        <v>5.3211432035929791</v>
      </c>
      <c r="G79" s="403">
        <f ca="1">+$D$72/L8</f>
        <v>5.0920767344964384</v>
      </c>
      <c r="H79" s="732">
        <f ca="1">+$D$72/M8</f>
        <v>4.8371111221013727</v>
      </c>
      <c r="J79" s="731">
        <f ca="1">+$D$73/Financials!AQ116</f>
        <v>5.1708109019452806</v>
      </c>
      <c r="K79" s="403">
        <f ca="1">+$D$73/Financials!AR116</f>
        <v>10.556142520920503</v>
      </c>
      <c r="L79" s="403">
        <f ca="1">+$D$73/Financials!AS116</f>
        <v>5.888866686114353</v>
      </c>
      <c r="M79" s="403">
        <f ca="1">+$D$73/Financials!AT116</f>
        <v>5.8533749999999998</v>
      </c>
      <c r="N79" s="732">
        <f ca="1">+$D$73/Financials!AU116</f>
        <v>4.6534423213670895</v>
      </c>
    </row>
    <row r="80" spans="2:15" ht="11.25" hidden="1" customHeight="1" outlineLevel="1">
      <c r="B80" s="219"/>
      <c r="C80" s="219" t="s">
        <v>629</v>
      </c>
      <c r="D80" s="336"/>
      <c r="E80" s="730">
        <f ca="1">+$D$72/'Consensus Summary'!E14</f>
        <v>5.5105496769294264</v>
      </c>
      <c r="F80" s="730">
        <f ca="1">+$D$72/'Consensus Summary'!I14</f>
        <v>5.3042033691833179</v>
      </c>
      <c r="G80" s="730">
        <f ca="1">+$D$72/'Consensus Summary'!M14</f>
        <v>5.0043489286100522</v>
      </c>
      <c r="H80" s="307"/>
      <c r="J80" s="336"/>
      <c r="K80" s="730">
        <f ca="1">+$D$73/'Consensus Summary'!E17</f>
        <v>5.0375375375375375</v>
      </c>
      <c r="L80" s="730">
        <f ca="1">+$D$73/'Consensus Summary'!I17</f>
        <v>4.5663202177678786</v>
      </c>
      <c r="M80" s="730">
        <f ca="1">+$D$73/'Consensus Summary'!M17</f>
        <v>4.0716019417475726</v>
      </c>
      <c r="N80" s="307"/>
    </row>
    <row r="81" spans="2:14" ht="11.25" hidden="1" customHeight="1" outlineLevel="1"/>
    <row r="82" spans="2:14" ht="11.25" hidden="1" customHeight="1" outlineLevel="1"/>
    <row r="83" spans="2:14" ht="11.25" hidden="1" customHeight="1" outlineLevel="1">
      <c r="D83" s="723"/>
      <c r="E83" s="724"/>
      <c r="F83" s="726" t="s">
        <v>1118</v>
      </c>
      <c r="G83" s="724"/>
      <c r="H83" s="725"/>
      <c r="J83" s="722"/>
      <c r="K83" s="721"/>
      <c r="L83" s="721" t="s">
        <v>725</v>
      </c>
      <c r="M83" s="721"/>
      <c r="N83" s="721"/>
    </row>
    <row r="84" spans="2:14" ht="11.25" hidden="1" customHeight="1" outlineLevel="1">
      <c r="D84" s="460">
        <f>+D77</f>
        <v>2019</v>
      </c>
      <c r="E84" s="461">
        <f>+E77</f>
        <v>2020</v>
      </c>
      <c r="F84" s="461">
        <f>+F77</f>
        <v>2021</v>
      </c>
      <c r="G84" s="461">
        <f>+G77</f>
        <v>2022</v>
      </c>
      <c r="H84" s="462">
        <f>+H77</f>
        <v>2023</v>
      </c>
      <c r="J84" s="460">
        <f>+J77</f>
        <v>2019</v>
      </c>
      <c r="K84" s="461">
        <f>+K77</f>
        <v>2020</v>
      </c>
      <c r="L84" s="461">
        <f>+L77</f>
        <v>2021</v>
      </c>
      <c r="M84" s="461">
        <f>+M77</f>
        <v>2022</v>
      </c>
      <c r="N84" s="462">
        <f>+N77</f>
        <v>2023</v>
      </c>
    </row>
    <row r="85" spans="2:14" ht="11.25" hidden="1" customHeight="1" outlineLevel="1">
      <c r="C85" s="241" t="s">
        <v>1121</v>
      </c>
      <c r="D85" s="727">
        <f ca="1">+$D$72/Financials!AQ11</f>
        <v>1.1691023646675942</v>
      </c>
      <c r="E85" s="728">
        <f ca="1">+$D$72/Financials!AR11</f>
        <v>1.2794861592780125</v>
      </c>
      <c r="F85" s="728">
        <f ca="1">+$D$72/Financials!AS11</f>
        <v>1.034849773535949</v>
      </c>
      <c r="G85" s="728">
        <f ca="1">+$D$72/Financials!AT11</f>
        <v>1.0246773371987334</v>
      </c>
      <c r="H85" s="729">
        <f ca="1">+$D$72/Financials!AU11</f>
        <v>1.0608712978481936</v>
      </c>
      <c r="J85" s="727">
        <f ca="1">+$E$51/(Financials!AQ124/Financials!AQ60)</f>
        <v>12.780760131385604</v>
      </c>
      <c r="K85" s="728">
        <f ca="1">+$E$51/(Financials!AR124/Financials!AR60)</f>
        <v>12.848286536196134</v>
      </c>
      <c r="L85" s="728">
        <f ca="1">+$E$51/(Financials!AS124/Financials!AS60)</f>
        <v>13.07283702567022</v>
      </c>
      <c r="M85" s="728">
        <f ca="1">+$E$51/(Financials!AT124/Financials!AT60)</f>
        <v>35.659927104209387</v>
      </c>
      <c r="N85" s="729">
        <f ca="1">+$E$51/(Financials!AU124/Financials!AU60)</f>
        <v>17.073116108755286</v>
      </c>
    </row>
    <row r="86" spans="2:14" ht="11.25" hidden="1" customHeight="1" outlineLevel="1">
      <c r="C86" s="241" t="s">
        <v>1122</v>
      </c>
      <c r="D86" s="336"/>
      <c r="E86" s="730">
        <f ca="1">+$D$72/'Consensus Summary'!E13</f>
        <v>1.1788167657011956</v>
      </c>
      <c r="F86" s="730">
        <f ca="1">+$D$72/'Consensus Summary'!I13</f>
        <v>1.1519495831946334</v>
      </c>
      <c r="G86" s="730">
        <f ca="1">+$D$72/'Consensus Summary'!M13</f>
        <v>1.1166975421377281</v>
      </c>
      <c r="H86" s="307"/>
      <c r="J86" s="731">
        <f ca="1">+$D$73/(Financials!AQ124/Financials!AQ60)</f>
        <v>4.7396759731232621</v>
      </c>
      <c r="K86" s="403">
        <f ca="1">+$D$73/(Financials!AR124/Financials!AR60)</f>
        <v>4.7647177762039661</v>
      </c>
      <c r="L86" s="403">
        <f ca="1">+$D$73/(Financials!AS124/Financials!AS60)</f>
        <v>4.8479911143131602</v>
      </c>
      <c r="M86" s="403">
        <f ca="1">+$D$73/(Financials!AT124/Financials!AT60)</f>
        <v>13.224291666666666</v>
      </c>
      <c r="N86" s="732">
        <f ca="1">+$D$73/(Financials!AU124/Financials!AU60)</f>
        <v>6.3314730403471113</v>
      </c>
    </row>
    <row r="87" spans="2:14" ht="11.25" hidden="1" customHeight="1" outlineLevel="1">
      <c r="C87" s="219" t="s">
        <v>629</v>
      </c>
      <c r="J87" s="336"/>
      <c r="K87" s="730">
        <f ca="1">+$D$73/('Consensus Summary'!E18/Financials!AR60)</f>
        <v>4.8035773104995751</v>
      </c>
      <c r="L87" s="730">
        <f ca="1">+$D$73/('Consensus Summary'!I18/Financials!AS60)</f>
        <v>4.6924767549976751</v>
      </c>
      <c r="M87" s="730">
        <f ca="1">+$D$73/('Consensus Summary'!M18/Financials!AT60)</f>
        <v>4.1629832959641258</v>
      </c>
      <c r="N87" s="307"/>
    </row>
    <row r="88" spans="2:14" ht="11.25" hidden="1" customHeight="1" outlineLevel="1">
      <c r="K88" s="238"/>
    </row>
    <row r="89" spans="2:14" ht="11.25" hidden="1" customHeight="1" outlineLevel="1">
      <c r="K89" s="238"/>
    </row>
    <row r="90" spans="2:14" ht="11.25" hidden="1" customHeight="1" outlineLevel="1"/>
    <row r="91" spans="2:14" ht="11.25" customHeight="1" outlineLevel="1"/>
    <row r="92" spans="2:14" ht="11.25" customHeight="1" outlineLevel="1"/>
    <row r="93" spans="2:14" ht="11.25" customHeight="1">
      <c r="H93" s="306">
        <v>450</v>
      </c>
    </row>
    <row r="94" spans="2:14" ht="11.25" customHeight="1">
      <c r="H94" s="1123">
        <f>-SUM(E99:G99)*I94</f>
        <v>-184.5</v>
      </c>
      <c r="I94" s="297">
        <v>0.09</v>
      </c>
    </row>
    <row r="95" spans="2:14" ht="11.25" customHeight="1">
      <c r="B95" s="219" t="s">
        <v>14</v>
      </c>
      <c r="E95" s="256"/>
      <c r="F95" s="256"/>
      <c r="H95" s="1123">
        <f>+H96-SUM(H93:H94)</f>
        <v>-6</v>
      </c>
      <c r="I95" s="405">
        <f>-H95/SUM(H93:H94)</f>
        <v>2.2598870056497175E-2</v>
      </c>
    </row>
    <row r="96" spans="2:14" ht="11.25" customHeight="1">
      <c r="E96" s="1124">
        <f>+E100*E99</f>
        <v>67.5</v>
      </c>
      <c r="F96" s="1125">
        <f t="shared" ref="F96:G96" si="8">+F100*F99</f>
        <v>96</v>
      </c>
      <c r="G96" s="1126">
        <f t="shared" si="8"/>
        <v>96</v>
      </c>
      <c r="H96" s="335">
        <f>SUM(E96:G96)</f>
        <v>259.5</v>
      </c>
    </row>
    <row r="98" spans="3:31" ht="11.25" customHeight="1">
      <c r="D98" s="230" t="s">
        <v>637</v>
      </c>
      <c r="E98" s="230" t="s">
        <v>1454</v>
      </c>
      <c r="F98" s="230" t="s">
        <v>1455</v>
      </c>
      <c r="G98" s="230" t="s">
        <v>1456</v>
      </c>
    </row>
    <row r="99" spans="3:31" ht="11.25" customHeight="1">
      <c r="C99" s="217" t="s">
        <v>1452</v>
      </c>
      <c r="D99" s="1119">
        <f>Financials!AT807</f>
        <v>12542</v>
      </c>
      <c r="E99" s="1120">
        <v>450</v>
      </c>
      <c r="F99" s="1120">
        <v>800</v>
      </c>
      <c r="G99" s="1120">
        <v>800</v>
      </c>
      <c r="I99" s="217" t="s">
        <v>1536</v>
      </c>
    </row>
    <row r="100" spans="3:31" ht="11.25" customHeight="1">
      <c r="C100" s="217" t="s">
        <v>1229</v>
      </c>
      <c r="D100" s="297">
        <v>0.1</v>
      </c>
      <c r="E100" s="297">
        <v>0.15</v>
      </c>
      <c r="F100" s="297">
        <v>0.12</v>
      </c>
      <c r="G100" s="297">
        <v>0.12</v>
      </c>
    </row>
    <row r="101" spans="3:31" ht="11.25" customHeight="1">
      <c r="C101" s="217" t="s">
        <v>591</v>
      </c>
      <c r="D101" s="238">
        <f ca="1">$M$31</f>
        <v>8.5014323669827946E-2</v>
      </c>
      <c r="E101" s="238">
        <f t="shared" ref="E101:G101" ca="1" si="9">$M$31</f>
        <v>8.5014323669827946E-2</v>
      </c>
      <c r="F101" s="238">
        <f t="shared" ca="1" si="9"/>
        <v>8.5014323669827946E-2</v>
      </c>
      <c r="G101" s="238">
        <f t="shared" ca="1" si="9"/>
        <v>8.5014323669827946E-2</v>
      </c>
    </row>
    <row r="102" spans="3:31" ht="11.25" customHeight="1">
      <c r="C102" s="217" t="s">
        <v>1453</v>
      </c>
      <c r="D102" s="297">
        <v>0.02</v>
      </c>
      <c r="E102" s="297">
        <v>0.02</v>
      </c>
      <c r="F102" s="297">
        <v>0.02</v>
      </c>
      <c r="G102" s="297">
        <v>0.02</v>
      </c>
    </row>
    <row r="103" spans="3:31" ht="11.25" customHeight="1">
      <c r="C103" s="319" t="s">
        <v>609</v>
      </c>
      <c r="D103" s="32">
        <f ca="1">D99*(1+(D100-D101)/(D101-D102))</f>
        <v>15432.906832892926</v>
      </c>
      <c r="E103" s="32">
        <f t="shared" ref="E103:G103" ca="1" si="10">E99*(1+(E100-E101)/(E101-E102))</f>
        <v>899.8017159586152</v>
      </c>
      <c r="F103" s="32">
        <f ca="1">F99*(1+(F100-F101)/(F101-F102))</f>
        <v>1230.4980731057985</v>
      </c>
      <c r="G103" s="32">
        <f t="shared" ca="1" si="10"/>
        <v>1230.4980731057985</v>
      </c>
    </row>
    <row r="104" spans="3:31" ht="11.25" customHeight="1">
      <c r="C104" s="319"/>
      <c r="D104" s="1122"/>
      <c r="E104" s="126"/>
      <c r="F104" s="31"/>
      <c r="G104" s="31"/>
    </row>
    <row r="105" spans="3:31" ht="11.25" customHeight="1">
      <c r="AE105" s="217" t="s">
        <v>578</v>
      </c>
    </row>
    <row r="106" spans="3:31" ht="11.25" customHeight="1">
      <c r="C106" s="1121" t="s">
        <v>609</v>
      </c>
      <c r="F106" s="227">
        <f ca="1">SUM(D103:G103)</f>
        <v>18793.704695063137</v>
      </c>
      <c r="K106" s="314" t="s">
        <v>1823</v>
      </c>
      <c r="L106" s="403">
        <f ca="1">F106/'Consensus Summary TR'!M11</f>
        <v>8.8430357453990887</v>
      </c>
      <c r="M106" s="403">
        <f ca="1">F106/'Consensus Summary TR'!N11</f>
        <v>8.8274352241033203</v>
      </c>
      <c r="AE106" s="227">
        <f ca="1">E47+SUM(E103:G103)</f>
        <v>21106.775709563011</v>
      </c>
    </row>
    <row r="107" spans="3:31" ht="11.25" customHeight="1">
      <c r="C107" s="217" t="s">
        <v>610</v>
      </c>
      <c r="F107" s="227">
        <f ca="1">E48</f>
        <v>-5316.42</v>
      </c>
      <c r="AE107" s="227">
        <f ca="1">E48</f>
        <v>-5316.42</v>
      </c>
    </row>
    <row r="108" spans="3:31" ht="11.25" customHeight="1">
      <c r="C108" s="319" t="s">
        <v>611</v>
      </c>
      <c r="F108" s="222">
        <f ca="1">SUM(F106:F107)</f>
        <v>13477.284695063137</v>
      </c>
      <c r="J108" s="1194"/>
      <c r="K108" s="956"/>
      <c r="AE108" s="222">
        <f ca="1">SUM(AE106:AE107)</f>
        <v>15790.355709563011</v>
      </c>
    </row>
    <row r="109" spans="3:31" ht="11.25" customHeight="1">
      <c r="C109" s="319"/>
      <c r="K109" s="956"/>
    </row>
    <row r="110" spans="3:31" ht="11.25" customHeight="1">
      <c r="C110" s="219" t="s">
        <v>612</v>
      </c>
      <c r="F110" s="1040">
        <f ca="1">+F108/E38</f>
        <v>107.9046012414983</v>
      </c>
      <c r="K110" s="1417"/>
      <c r="AE110" s="1040">
        <f ca="1">+AE108/E38</f>
        <v>126.42398486439561</v>
      </c>
    </row>
    <row r="111" spans="3:31" ht="11.25" customHeight="1">
      <c r="F111" s="342"/>
      <c r="K111" s="956"/>
      <c r="AE111" s="342"/>
    </row>
    <row r="112" spans="3:31" ht="11.25" customHeight="1">
      <c r="C112" s="217" t="s">
        <v>614</v>
      </c>
      <c r="F112" s="856">
        <v>84.3</v>
      </c>
      <c r="K112" s="956"/>
      <c r="AE112" s="856">
        <v>82</v>
      </c>
    </row>
    <row r="113" spans="2:31" ht="11.25" customHeight="1">
      <c r="C113" s="217" t="s">
        <v>1077</v>
      </c>
      <c r="F113" s="343">
        <f ca="1">+IFERROR(F110/F112-1,"NA ")</f>
        <v>0.28000713216486717</v>
      </c>
      <c r="K113" s="956"/>
      <c r="AE113" s="343">
        <f ca="1">+IFERROR(AE110/AE112-1,"NA ")</f>
        <v>0.54175591298043413</v>
      </c>
    </row>
    <row r="114" spans="2:31" ht="11.25" customHeight="1">
      <c r="K114" s="956"/>
    </row>
    <row r="115" spans="2:31" ht="11.25" customHeight="1">
      <c r="E115" s="318"/>
      <c r="I115" s="238"/>
      <c r="K115" s="956"/>
    </row>
    <row r="116" spans="2:31" ht="11.25" customHeight="1">
      <c r="B116" s="217" t="s">
        <v>14</v>
      </c>
      <c r="C116" s="217" t="s">
        <v>1767</v>
      </c>
      <c r="E116" s="238"/>
      <c r="F116" s="227">
        <f>+D99</f>
        <v>12542</v>
      </c>
      <c r="K116" s="956"/>
    </row>
    <row r="117" spans="2:31" ht="11.25" customHeight="1">
      <c r="C117" s="217" t="s">
        <v>1229</v>
      </c>
      <c r="F117" s="297">
        <v>0.11550000000000001</v>
      </c>
    </row>
    <row r="118" spans="2:31" ht="11.25" customHeight="1">
      <c r="C118" s="217" t="s">
        <v>591</v>
      </c>
      <c r="F118" s="238">
        <f ca="1">$M$31</f>
        <v>8.5014323669827946E-2</v>
      </c>
    </row>
    <row r="119" spans="2:31" ht="11.25" customHeight="1">
      <c r="C119" s="217" t="s">
        <v>1453</v>
      </c>
      <c r="E119" s="238"/>
      <c r="F119" s="238">
        <f>$I$43</f>
        <v>0</v>
      </c>
    </row>
    <row r="120" spans="2:31" ht="11.25" customHeight="1">
      <c r="C120" s="425" t="s">
        <v>1768</v>
      </c>
      <c r="F120" s="32">
        <f ca="1">F116*(1+(F117-F118)/(F118-F119))</f>
        <v>17039.493316749358</v>
      </c>
    </row>
    <row r="121" spans="2:31" ht="11.25" customHeight="1">
      <c r="C121" s="425" t="s">
        <v>1765</v>
      </c>
      <c r="E121" s="238"/>
      <c r="F121" s="227">
        <f ca="1">+'Peer Analysiss'!F12+M40</f>
        <v>14798.520403160001</v>
      </c>
    </row>
    <row r="122" spans="2:31" ht="11.25" customHeight="1">
      <c r="C122" s="425" t="s">
        <v>1766</v>
      </c>
      <c r="E122" s="238"/>
    </row>
  </sheetData>
  <mergeCells count="2">
    <mergeCell ref="D60:H60"/>
    <mergeCell ref="K60:O60"/>
  </mergeCells>
  <conditionalFormatting sqref="D62:H66">
    <cfRule type="colorScale" priority="1">
      <colorScale>
        <cfvo type="min"/>
        <cfvo type="percentile" val="50"/>
        <cfvo type="max"/>
        <color rgb="FFF8696B"/>
        <color rgb="FFFCFCFF"/>
        <color rgb="FF63BE7B"/>
      </colorScale>
    </cfRule>
  </conditionalFormatting>
  <conditionalFormatting sqref="E55 F113 AE113">
    <cfRule type="cellIs" dxfId="80" priority="5" operator="lessThan">
      <formula>0</formula>
    </cfRule>
    <cfRule type="cellIs" dxfId="79" priority="6" operator="greaterThan">
      <formula>0</formula>
    </cfRule>
  </conditionalFormatting>
  <dataValidations disablePrompts="1" count="1">
    <dataValidation type="list" allowBlank="1" showInputMessage="1" showErrorMessage="1" sqref="R6" xr:uid="{33A16ED0-8217-4031-899D-A870BBE0D12B}">
      <formula1>"1,2,3"</formula1>
    </dataValidation>
  </dataValidations>
  <pageMargins left="0.7" right="0.7" top="0.75" bottom="0.75" header="0.3" footer="0.3"/>
  <pageSetup scale="66" orientation="landscape" verticalDpi="300" r:id="rId1"/>
  <ignoredErrors>
    <ignoredError sqref="D47:E47 P49:P50 D48 F48 J48 J47" formula="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1949-B442-4B74-B28A-BE8B594B0BDC}">
  <sheetPr codeName="Sheet10">
    <pageSetUpPr fitToPage="1"/>
  </sheetPr>
  <dimension ref="A1:Y47"/>
  <sheetViews>
    <sheetView showGridLines="0" zoomScaleNormal="100" workbookViewId="0">
      <selection activeCell="F11" sqref="F11"/>
    </sheetView>
  </sheetViews>
  <sheetFormatPr defaultColWidth="7.19921875" defaultRowHeight="10.5" outlineLevelRow="1" outlineLevelCol="1"/>
  <cols>
    <col min="1" max="1" width="1.796875" style="785" customWidth="1"/>
    <col min="2" max="2" width="1.796875" style="783" customWidth="1"/>
    <col min="3" max="3" width="18.796875" style="784" hidden="1" customWidth="1" outlineLevel="1"/>
    <col min="4" max="4" width="30.46484375" style="785" customWidth="1" collapsed="1"/>
    <col min="5" max="16" width="8.53125" style="785" customWidth="1"/>
    <col min="17" max="24" width="9.19921875" style="785" hidden="1" customWidth="1" outlineLevel="1"/>
    <col min="25" max="25" width="7.19921875" style="762" collapsed="1"/>
    <col min="26" max="16384" width="7.19921875" style="762"/>
  </cols>
  <sheetData>
    <row r="1" spans="1:24" ht="15.75">
      <c r="A1" s="782" t="str">
        <f>Financials!A1</f>
        <v>Eastman Chemical Co.</v>
      </c>
      <c r="E1" s="786"/>
      <c r="F1" s="786"/>
      <c r="G1" s="787"/>
      <c r="H1" s="787"/>
      <c r="I1" s="786"/>
      <c r="J1" s="787"/>
      <c r="K1" s="786"/>
      <c r="L1" s="786"/>
      <c r="M1" s="786"/>
      <c r="N1" s="786"/>
      <c r="O1" s="787"/>
      <c r="P1" s="787"/>
    </row>
    <row r="2" spans="1:24">
      <c r="A2" s="788" t="s">
        <v>1164</v>
      </c>
    </row>
    <row r="3" spans="1:24">
      <c r="A3" s="788"/>
      <c r="E3" s="789" t="s">
        <v>925</v>
      </c>
      <c r="G3" s="790">
        <f ca="1">TODAY()</f>
        <v>46010</v>
      </c>
      <c r="I3" s="789" t="s">
        <v>637</v>
      </c>
      <c r="K3" s="785" t="s">
        <v>624</v>
      </c>
      <c r="L3" s="791">
        <v>0.05</v>
      </c>
      <c r="N3" s="792">
        <v>0</v>
      </c>
    </row>
    <row r="5" spans="1:24" outlineLevel="1">
      <c r="A5" s="784"/>
      <c r="B5" s="793"/>
      <c r="D5" s="784"/>
      <c r="E5" s="784" t="s">
        <v>1165</v>
      </c>
      <c r="F5" s="784"/>
      <c r="G5" s="784"/>
      <c r="H5" s="784"/>
      <c r="I5" s="784" t="s">
        <v>1166</v>
      </c>
      <c r="J5" s="784"/>
      <c r="K5" s="784"/>
      <c r="L5" s="784"/>
      <c r="M5" s="784" t="s">
        <v>1167</v>
      </c>
      <c r="N5" s="784"/>
      <c r="O5" s="784"/>
      <c r="P5" s="784"/>
      <c r="Q5" s="784" t="s">
        <v>1168</v>
      </c>
      <c r="R5" s="784"/>
      <c r="S5" s="784"/>
      <c r="T5" s="784"/>
      <c r="U5" s="784" t="s">
        <v>1168</v>
      </c>
      <c r="V5" s="784"/>
      <c r="W5" s="784"/>
      <c r="X5" s="784"/>
    </row>
    <row r="6" spans="1:24">
      <c r="A6" s="783"/>
      <c r="B6" s="794" t="s">
        <v>14</v>
      </c>
      <c r="C6" s="794" t="s">
        <v>1169</v>
      </c>
      <c r="D6" s="795" t="s">
        <v>626</v>
      </c>
      <c r="E6" s="796">
        <v>2023</v>
      </c>
      <c r="F6" s="797"/>
      <c r="G6" s="797"/>
      <c r="H6" s="798"/>
      <c r="I6" s="796">
        <f>+E6+1</f>
        <v>2024</v>
      </c>
      <c r="J6" s="797"/>
      <c r="K6" s="797"/>
      <c r="L6" s="798"/>
      <c r="M6" s="796">
        <f>+I6+1</f>
        <v>2025</v>
      </c>
      <c r="N6" s="797"/>
      <c r="O6" s="797"/>
      <c r="P6" s="798"/>
      <c r="Q6" s="796">
        <f>+M6+1</f>
        <v>2026</v>
      </c>
      <c r="R6" s="797"/>
      <c r="S6" s="798"/>
      <c r="T6" s="797"/>
      <c r="U6" s="796">
        <f>+Q6+1</f>
        <v>2027</v>
      </c>
      <c r="V6" s="797"/>
      <c r="W6" s="797"/>
      <c r="X6" s="797"/>
    </row>
    <row r="7" spans="1:24" s="770" customFormat="1">
      <c r="A7" s="783"/>
      <c r="B7" s="799"/>
      <c r="C7" s="800"/>
      <c r="D7" s="801"/>
      <c r="E7" s="802" t="s">
        <v>629</v>
      </c>
      <c r="F7" s="802" t="s">
        <v>630</v>
      </c>
      <c r="G7" s="803" t="s">
        <v>1170</v>
      </c>
      <c r="H7" s="801" t="s">
        <v>1171</v>
      </c>
      <c r="I7" s="802" t="s">
        <v>629</v>
      </c>
      <c r="J7" s="802" t="s">
        <v>630</v>
      </c>
      <c r="K7" s="803" t="s">
        <v>1170</v>
      </c>
      <c r="L7" s="801" t="s">
        <v>1171</v>
      </c>
      <c r="M7" s="802" t="s">
        <v>629</v>
      </c>
      <c r="N7" s="802" t="s">
        <v>630</v>
      </c>
      <c r="O7" s="803" t="s">
        <v>1170</v>
      </c>
      <c r="P7" s="801" t="s">
        <v>1171</v>
      </c>
      <c r="Q7" s="802" t="s">
        <v>629</v>
      </c>
      <c r="R7" s="802" t="s">
        <v>630</v>
      </c>
      <c r="S7" s="803" t="s">
        <v>1170</v>
      </c>
      <c r="T7" s="801" t="s">
        <v>1171</v>
      </c>
      <c r="U7" s="802" t="s">
        <v>629</v>
      </c>
      <c r="V7" s="802" t="s">
        <v>630</v>
      </c>
      <c r="W7" s="803" t="s">
        <v>1170</v>
      </c>
      <c r="X7" s="801" t="s">
        <v>1171</v>
      </c>
    </row>
    <row r="8" spans="1:24">
      <c r="B8" s="804"/>
      <c r="D8" s="805"/>
      <c r="E8" s="804"/>
      <c r="F8" s="806"/>
      <c r="G8" s="806"/>
      <c r="H8" s="806"/>
      <c r="I8" s="807"/>
      <c r="J8" s="804"/>
      <c r="K8" s="804"/>
      <c r="L8" s="804"/>
      <c r="M8" s="807"/>
      <c r="N8" s="804"/>
      <c r="O8" s="804"/>
      <c r="P8" s="804"/>
      <c r="Q8" s="807"/>
      <c r="R8" s="804"/>
      <c r="S8" s="804"/>
      <c r="T8" s="804"/>
      <c r="U8" s="807"/>
      <c r="V8" s="804"/>
      <c r="W8" s="804"/>
      <c r="X8" s="804"/>
    </row>
    <row r="9" spans="1:24">
      <c r="D9" s="783" t="s">
        <v>633</v>
      </c>
      <c r="E9" s="808"/>
      <c r="F9" s="1151"/>
      <c r="G9" s="808"/>
      <c r="H9" s="808"/>
      <c r="I9" s="808"/>
      <c r="J9" s="1151"/>
      <c r="M9" s="808"/>
      <c r="N9" s="1151"/>
      <c r="Q9" s="808"/>
      <c r="R9" s="1151"/>
      <c r="U9" s="808"/>
      <c r="V9" s="808"/>
    </row>
    <row r="10" spans="1:24" outlineLevel="1">
      <c r="A10" s="809"/>
      <c r="C10" s="810" t="s">
        <v>1172</v>
      </c>
      <c r="D10" s="811" t="s">
        <v>493</v>
      </c>
      <c r="E10" s="812" cm="1">
        <f t="array" aca="1" ref="E10" ca="1">IF(Reuters=1,_xll.TR($I$3,$C10,"scale=6 Sdate=#1 Period=#2 Curn=#3 NULL=BLANK",,$G$3,E$5,$E$3),E10)</f>
        <v>10268.3995</v>
      </c>
      <c r="F10" s="806">
        <f>Financials!AU11</f>
        <v>10219.039999999997</v>
      </c>
      <c r="G10" s="813">
        <f t="shared" ref="G10:G15" ca="1" si="0">+IFERROR(F10-E10,"NA ")</f>
        <v>-49.359500000002299</v>
      </c>
      <c r="H10" s="814">
        <f t="shared" ref="H10:H15" ca="1" si="1">+IFERROR(G10/E10,"NA ")</f>
        <v>-4.8069321806190248E-3</v>
      </c>
      <c r="I10" s="812" cm="1">
        <f t="array" aca="1" ref="I10" ca="1">IF(Reuters=1,_xll.TR($I$3,$C10,"scale=6 Sdate=#1 Period=#2 Curn=#3 NULL=BLANK",,$G$3,I$5,$E$3),I10)</f>
        <v>10732.19506</v>
      </c>
      <c r="J10" s="806">
        <f>Financials!AV11</f>
        <v>10590.996599999999</v>
      </c>
      <c r="K10" s="813">
        <f t="shared" ref="K10:K15" ca="1" si="2">+IFERROR(J10-I10,"NA ")</f>
        <v>-141.19846000000143</v>
      </c>
      <c r="L10" s="814">
        <f t="shared" ref="L10:L16" ca="1" si="3">+IFERROR(K10/I10,"NA ")</f>
        <v>-1.3156531279072878E-2</v>
      </c>
      <c r="M10" s="812" cm="1">
        <f t="array" aca="1" ref="M10" ca="1">IF(Reuters=1,_xll.TR($I$3,$C10,"scale=6 Sdate=#1 Period=#2 Curn=#3 NULL=BLANK",,$G$3,M$5,$E$3),M10)</f>
        <v>11237.810750000001</v>
      </c>
      <c r="N10" s="806">
        <f>Financials!AW11</f>
        <v>10912.299747000001</v>
      </c>
      <c r="O10" s="813">
        <f t="shared" ref="O10:O15" ca="1" si="4">+IFERROR(N10-M10,"NA ")</f>
        <v>-325.51100299999962</v>
      </c>
      <c r="P10" s="814">
        <f t="shared" ref="P10:P16" ca="1" si="5">+IFERROR(O10/M10,"NA ")</f>
        <v>-2.8965695386888375E-2</v>
      </c>
      <c r="Q10" s="812" cm="1">
        <f t="array" aca="1" ref="Q10" ca="1">IF(Reuters=1,_xll.TR($I$3,$C10,"scale=6 Sdate=#1 Period=#2 Curn=#3 NULL=BLANK",,$G$3,Q$5,$E$3),Q10)</f>
        <v>11247</v>
      </c>
      <c r="R10" s="806">
        <f>Financials!AX11</f>
        <v>11189.795110854999</v>
      </c>
      <c r="S10" s="813">
        <f t="shared" ref="S10:S16" ca="1" si="6">+IFERROR(R10-Q10,"NA ")</f>
        <v>-57.204889145001289</v>
      </c>
      <c r="T10" s="814">
        <f t="shared" ref="T10:T16" ca="1" si="7">+IFERROR(S10/Q10,"NA ")</f>
        <v>-5.0862353645417697E-3</v>
      </c>
      <c r="U10" s="812" cm="1">
        <f t="array" aca="1" ref="U10" ca="1">IF(Reuters=1,_xll.TR($I$3,$C10,"scale=6 Sdate=#1 Period=#2 Curn=#3 NULL=BLANK",,$G$3,U$5,$E$3),U10)</f>
        <v>11247</v>
      </c>
      <c r="V10" s="806"/>
      <c r="W10" s="813">
        <f t="shared" ref="W10:W16" ca="1" si="8">+IFERROR(V10-U10,"NA ")</f>
        <v>-11247</v>
      </c>
      <c r="X10" s="814">
        <f t="shared" ref="X10:X16" ca="1" si="9">+IFERROR(W10/U10,"NA ")</f>
        <v>-1</v>
      </c>
    </row>
    <row r="11" spans="1:24">
      <c r="A11" s="809"/>
      <c r="C11" s="793" t="s">
        <v>1173</v>
      </c>
      <c r="D11" s="815" t="s">
        <v>617</v>
      </c>
      <c r="E11" s="816" cm="1">
        <f t="array" aca="1" ref="E11" ca="1">IF(Reuters=1,_xll.TR($I$3,$C11,"scale=6 Sdate=#1 Period=#2 Curn=#3 NULL=BLANK",,$G$3,E$5,$E$3),E11)</f>
        <v>1842.9015300000001</v>
      </c>
      <c r="F11" s="806">
        <f>Financials!AU119</f>
        <v>1939.8289936295096</v>
      </c>
      <c r="G11" s="817">
        <f t="shared" ca="1" si="0"/>
        <v>96.927463629509475</v>
      </c>
      <c r="H11" s="818">
        <f t="shared" ca="1" si="1"/>
        <v>5.2595031287162405E-2</v>
      </c>
      <c r="I11" s="816" cm="1">
        <f t="array" aca="1" ref="I11" ca="1">IF(Reuters=1,_xll.TR($I$3,$C11,"scale=6 Sdate=#1 Period=#2 Curn=#3 NULL=BLANK",,$G$3,I$5,$E$3),I11)</f>
        <v>1996.18606</v>
      </c>
      <c r="J11" s="806">
        <f>Financials!AV119</f>
        <v>2037.3603589999998</v>
      </c>
      <c r="K11" s="817">
        <f t="shared" ca="1" si="2"/>
        <v>41.174298999999792</v>
      </c>
      <c r="L11" s="818">
        <f t="shared" ca="1" si="3"/>
        <v>2.0626483585402752E-2</v>
      </c>
      <c r="M11" s="816" cm="1">
        <f t="array" aca="1" ref="M11" ca="1">IF(Reuters=1,_xll.TR($I$3,$C11,"scale=6 Sdate=#1 Period=#2 Curn=#3 NULL=BLANK",,$G$3,M$5,$E$3),M11)</f>
        <v>2125.25486</v>
      </c>
      <c r="N11" s="806">
        <f>Financials!AW119</f>
        <v>2129.0107735649999</v>
      </c>
      <c r="O11" s="817">
        <f t="shared" ca="1" si="4"/>
        <v>3.7559135649999007</v>
      </c>
      <c r="P11" s="818">
        <f t="shared" ca="1" si="5"/>
        <v>1.7672767796893312E-3</v>
      </c>
      <c r="Q11" s="812" t="str" cm="1">
        <f t="array" aca="1" ref="Q11" ca="1">IF(Reuters=1,_xll.TR($I$3,$C11,"scale=6 Sdate=#1 Period=#2 Curn=#3 NULL=BLANK",,$G$3,Q$5,$E$3),Q11)</f>
        <v/>
      </c>
      <c r="R11" s="806">
        <f>Financials!AX119</f>
        <v>2241.231585114575</v>
      </c>
      <c r="S11" s="813" t="str">
        <f t="shared" ca="1" si="6"/>
        <v xml:space="preserve">NA </v>
      </c>
      <c r="T11" s="814" t="str">
        <f t="shared" ca="1" si="7"/>
        <v xml:space="preserve">NA </v>
      </c>
      <c r="U11" s="812" t="str" cm="1">
        <f t="array" aca="1" ref="U11" ca="1">IF(Reuters=1,_xll.TR($I$3,$C11,"scale=6 Sdate=#1 Period=#2 Curn=#3 NULL=BLANK",,$G$3,U$5,$E$3),U11)</f>
        <v/>
      </c>
      <c r="V11" s="806"/>
      <c r="W11" s="813" t="str">
        <f t="shared" ca="1" si="8"/>
        <v xml:space="preserve">NA </v>
      </c>
      <c r="X11" s="814" t="str">
        <f t="shared" ca="1" si="9"/>
        <v xml:space="preserve">NA </v>
      </c>
    </row>
    <row r="12" spans="1:24" outlineLevel="1">
      <c r="A12" s="809"/>
      <c r="C12" s="784" t="s">
        <v>1174</v>
      </c>
      <c r="D12" s="811" t="s">
        <v>356</v>
      </c>
      <c r="E12" s="812" cm="1">
        <f t="array" aca="1" ref="E12" ca="1">IF(Reuters=1,_xll.TR($I$3,$C12,"scale=6 Sdate=#1 Period=#2 Curn=#3 NULL=BLANK",,$G$3,E$5,$E$3),E12)</f>
        <v>1336.6420700000001</v>
      </c>
      <c r="F12" s="806">
        <f>Financials!AU96</f>
        <v>1415.5926000000002</v>
      </c>
      <c r="G12" s="813">
        <f t="shared" ca="1" si="0"/>
        <v>78.950530000000072</v>
      </c>
      <c r="H12" s="814">
        <f t="shared" ca="1" si="1"/>
        <v>5.9066321322656011E-2</v>
      </c>
      <c r="I12" s="812" cm="1">
        <f t="array" aca="1" ref="I12" ca="1">IF(Reuters=1,_xll.TR($I$3,$C12,"scale=6 Sdate=#1 Period=#2 Curn=#3 NULL=BLANK",,$G$3,I$5,$E$3),I12)</f>
        <v>1497.6926900000001</v>
      </c>
      <c r="J12" s="806">
        <f>Financials!AV96</f>
        <v>1516.7443589999998</v>
      </c>
      <c r="K12" s="813">
        <f t="shared" ca="1" si="2"/>
        <v>19.05166899999972</v>
      </c>
      <c r="L12" s="814">
        <f t="shared" ca="1" si="3"/>
        <v>1.2720679700987069E-2</v>
      </c>
      <c r="M12" s="812" cm="1">
        <f t="array" aca="1" ref="M12" ca="1">IF(Reuters=1,_xll.TR($I$3,$C12,"scale=6 Sdate=#1 Period=#2 Curn=#3 NULL=BLANK",,$G$3,M$5,$E$3),M12)</f>
        <v>1607.1271099999999</v>
      </c>
      <c r="N12" s="806">
        <f>Financials!AW96</f>
        <v>1598.1947735650001</v>
      </c>
      <c r="O12" s="813">
        <f t="shared" ca="1" si="4"/>
        <v>-8.9323364349997973</v>
      </c>
      <c r="P12" s="814">
        <f t="shared" ca="1" si="5"/>
        <v>-5.5579526842775978E-3</v>
      </c>
      <c r="Q12" s="812" cm="1">
        <f t="array" aca="1" ref="Q12" ca="1">IF(Reuters=1,_xll.TR($I$3,$C12,"scale=6 Sdate=#1 Period=#2 Curn=#3 NULL=BLANK",,$G$3,Q$5,$E$3),Q12)</f>
        <v>1676</v>
      </c>
      <c r="R12" s="806">
        <f>Financials!AX96</f>
        <v>1691.2155851145749</v>
      </c>
      <c r="S12" s="813">
        <f t="shared" ca="1" si="6"/>
        <v>15.215585114574878</v>
      </c>
      <c r="T12" s="814">
        <f t="shared" ca="1" si="7"/>
        <v>9.0785114048776133E-3</v>
      </c>
      <c r="U12" s="812" cm="1">
        <f t="array" aca="1" ref="U12" ca="1">IF(Reuters=1,_xll.TR($I$3,$C12,"scale=6 Sdate=#1 Period=#2 Curn=#3 NULL=BLANK",,$G$3,U$5,$E$3),U12)</f>
        <v>1676</v>
      </c>
      <c r="V12" s="806"/>
      <c r="W12" s="813">
        <f t="shared" ca="1" si="8"/>
        <v>-1676</v>
      </c>
      <c r="X12" s="814">
        <f t="shared" ca="1" si="9"/>
        <v>-1</v>
      </c>
    </row>
    <row r="13" spans="1:24" outlineLevel="1">
      <c r="A13" s="809"/>
      <c r="C13" s="784" t="s">
        <v>1175</v>
      </c>
      <c r="D13" s="811" t="s">
        <v>634</v>
      </c>
      <c r="E13" s="812" cm="1">
        <f t="array" aca="1" ref="E13" ca="1">IF(Reuters=1,_xll.TR($I$3,$C13,"scale=6 Sdate=#1 Period=#2 Curn=#3 NULL=BLANK",,$G$3,E$5,$E$3),E13)</f>
        <v>941.15787</v>
      </c>
      <c r="F13" s="806">
        <f ca="1">Financials!AU110</f>
        <v>1015.8548565000001</v>
      </c>
      <c r="G13" s="813">
        <f t="shared" ca="1" si="0"/>
        <v>74.696986500000094</v>
      </c>
      <c r="H13" s="814">
        <f t="shared" ca="1" si="1"/>
        <v>7.9367116698498302E-2</v>
      </c>
      <c r="I13" s="812" cm="1">
        <f t="array" aca="1" ref="I13" ca="1">IF(Reuters=1,_xll.TR($I$3,$C13,"scale=6 Sdate=#1 Period=#2 Curn=#3 NULL=BLANK",,$G$3,I$5,$E$3),I13)</f>
        <v>1065.6071999999999</v>
      </c>
      <c r="J13" s="806">
        <f ca="1">Financials!AV110</f>
        <v>1095.9502467199998</v>
      </c>
      <c r="K13" s="813">
        <f t="shared" ca="1" si="2"/>
        <v>30.343046719999847</v>
      </c>
      <c r="L13" s="814">
        <f t="shared" ca="1" si="3"/>
        <v>2.8474888983482702E-2</v>
      </c>
      <c r="M13" s="812" cm="1">
        <f t="array" aca="1" ref="M13" ca="1">IF(Reuters=1,_xll.TR($I$3,$C13,"scale=6 Sdate=#1 Period=#2 Curn=#3 NULL=BLANK",,$G$3,M$5,$E$3),M13)</f>
        <v>1168.0067100000001</v>
      </c>
      <c r="N13" s="806">
        <f ca="1">Financials!AW110</f>
        <v>1181.8164770589501</v>
      </c>
      <c r="O13" s="813">
        <f t="shared" ca="1" si="4"/>
        <v>13.809767058950001</v>
      </c>
      <c r="P13" s="814">
        <f t="shared" ca="1" si="5"/>
        <v>1.1823362777556303E-2</v>
      </c>
      <c r="Q13" s="812" t="str" cm="1">
        <f t="array" aca="1" ref="Q13" ca="1">IF(Reuters=1,_xll.TR($I$3,$C13,"scale=6 Sdate=#1 Period=#2 Curn=#3 NULL=BLANK",,$G$3,Q$5,$E$3),Q13)</f>
        <v/>
      </c>
      <c r="R13" s="806">
        <f ca="1">Financials!AX110</f>
        <v>1274.1855681450972</v>
      </c>
      <c r="S13" s="813" t="str">
        <f t="shared" ca="1" si="6"/>
        <v xml:space="preserve">NA </v>
      </c>
      <c r="T13" s="814" t="str">
        <f t="shared" ca="1" si="7"/>
        <v xml:space="preserve">NA </v>
      </c>
      <c r="U13" s="812" t="str" cm="1">
        <f t="array" aca="1" ref="U13" ca="1">IF(Reuters=1,_xll.TR($I$3,$C13,"scale=6 Sdate=#1 Period=#2 Curn=#3 NULL=BLANK",,$G$3,U$5,$E$3),U13)</f>
        <v/>
      </c>
      <c r="V13" s="806"/>
      <c r="W13" s="813" t="str">
        <f t="shared" ca="1" si="8"/>
        <v xml:space="preserve">NA </v>
      </c>
      <c r="X13" s="814" t="str">
        <f t="shared" ca="1" si="9"/>
        <v xml:space="preserve">NA </v>
      </c>
    </row>
    <row r="14" spans="1:24" outlineLevel="1">
      <c r="A14" s="809"/>
      <c r="C14" s="784" t="s">
        <v>1176</v>
      </c>
      <c r="D14" s="811" t="s">
        <v>346</v>
      </c>
      <c r="E14" s="819" cm="1">
        <f t="array" aca="1" ref="E14" ca="1">IF(Reuters=1,_xll.TR($I$3,$C14,"scale=6 Sdate=#1 Period=#2 Curn=#3 NULL=BLANK",,$G$3,E$5,$E$3),E14)</f>
        <v>7.92218</v>
      </c>
      <c r="F14" s="820">
        <f ca="1">Financials!AU63</f>
        <v>8.0105273196308726</v>
      </c>
      <c r="G14" s="821">
        <f t="shared" ca="1" si="0"/>
        <v>8.8347319630872612E-2</v>
      </c>
      <c r="H14" s="814">
        <f t="shared" ca="1" si="1"/>
        <v>1.1151895012594086E-2</v>
      </c>
      <c r="I14" s="819" cm="1">
        <f t="array" aca="1" ref="I14" ca="1">IF(Reuters=1,_xll.TR($I$3,$C14,"scale=6 Sdate=#1 Period=#2 Curn=#3 NULL=BLANK",,$G$3,I$5,$E$3),I14)</f>
        <v>9.0068800000000007</v>
      </c>
      <c r="J14" s="820">
        <f ca="1">Financials!AV63</f>
        <v>9.1942134791946284</v>
      </c>
      <c r="K14" s="821">
        <f t="shared" ca="1" si="2"/>
        <v>0.18733347919462773</v>
      </c>
      <c r="L14" s="814">
        <f t="shared" ca="1" si="3"/>
        <v>2.0798931394070724E-2</v>
      </c>
      <c r="M14" s="819" cm="1">
        <f t="array" aca="1" ref="M14" ca="1">IF(Reuters=1,_xll.TR($I$3,$C14,"scale=6 Sdate=#1 Period=#2 Curn=#3 NULL=BLANK",,$G$3,M$5,$E$3),M14)</f>
        <v>9.9990000000000006</v>
      </c>
      <c r="N14" s="820">
        <f ca="1">Financials!AW63</f>
        <v>9.9145677605616616</v>
      </c>
      <c r="O14" s="821">
        <f t="shared" ca="1" si="4"/>
        <v>-8.4432239438338996E-2</v>
      </c>
      <c r="P14" s="814">
        <f t="shared" ca="1" si="5"/>
        <v>-8.4440683506689668E-3</v>
      </c>
      <c r="Q14" s="819" t="str" cm="1">
        <f t="array" aca="1" ref="Q14" ca="1">IF(Reuters=1,_xll.TR($I$3,$C14,"scale=6 Sdate=#1 Period=#2 Curn=#3 NULL=BLANK",,$G$3,Q$5,$E$3),Q14)</f>
        <v/>
      </c>
      <c r="R14" s="820">
        <f ca="1">Financials!AX63</f>
        <v>10.689476242827997</v>
      </c>
      <c r="S14" s="821" t="str">
        <f t="shared" ca="1" si="6"/>
        <v xml:space="preserve">NA </v>
      </c>
      <c r="T14" s="814" t="str">
        <f t="shared" ca="1" si="7"/>
        <v xml:space="preserve">NA </v>
      </c>
      <c r="U14" s="819" t="str" cm="1">
        <f t="array" aca="1" ref="U14" ca="1">IF(Reuters=1,_xll.TR($I$3,$C14,"scale=6 Sdate=#1 Period=#2 Curn=#3 NULL=BLANK",,$G$3,U$5,$E$3),U14)</f>
        <v/>
      </c>
      <c r="V14" s="820"/>
      <c r="W14" s="821" t="str">
        <f t="shared" ca="1" si="8"/>
        <v xml:space="preserve">NA </v>
      </c>
      <c r="X14" s="814" t="str">
        <f t="shared" ca="1" si="9"/>
        <v xml:space="preserve">NA </v>
      </c>
    </row>
    <row r="15" spans="1:24">
      <c r="A15" s="809"/>
      <c r="C15" s="784" t="s">
        <v>1177</v>
      </c>
      <c r="D15" s="811" t="s">
        <v>488</v>
      </c>
      <c r="E15" s="812" cm="1">
        <f t="array" aca="1" ref="E15" ca="1">IF(Reuters=1,_xll.TR($I$3,$C15,"scale=6 Sdate=#1 Period=#2 Curn=#3 NULL=BLANK",,$G$3,E$5,$E$3),E15)</f>
        <v>568.37532999999996</v>
      </c>
      <c r="F15" s="806">
        <f ca="1">Financials!AU124</f>
        <v>701.78961067745468</v>
      </c>
      <c r="G15" s="813">
        <f t="shared" ca="1" si="0"/>
        <v>133.41428067745471</v>
      </c>
      <c r="H15" s="814">
        <f t="shared" ca="1" si="1"/>
        <v>0.23472918973709631</v>
      </c>
      <c r="I15" s="812" cm="1">
        <f t="array" aca="1" ref="I15" ca="1">IF(Reuters=1,_xll.TR($I$3,$C15,"scale=6 Sdate=#1 Period=#2 Curn=#3 NULL=BLANK",,$G$3,I$5,$E$3),I15)</f>
        <v>647.83317</v>
      </c>
      <c r="J15" s="806">
        <f ca="1">Financials!AV124</f>
        <v>803.12688585150659</v>
      </c>
      <c r="K15" s="813">
        <f t="shared" ca="1" si="2"/>
        <v>155.29371585150659</v>
      </c>
      <c r="L15" s="814">
        <f t="shared" ca="1" si="3"/>
        <v>0.23971251094090565</v>
      </c>
      <c r="M15" s="812" cm="1">
        <f t="array" aca="1" ref="M15" ca="1">IF(Reuters=1,_xll.TR($I$3,$C15,"scale=6 Sdate=#1 Period=#2 Curn=#3 NULL=BLANK",,$G$3,M$5,$E$3),M15)</f>
        <v>737.13374999999996</v>
      </c>
      <c r="N15" s="806">
        <f ca="1">Financials!AW124</f>
        <v>837.70310427997697</v>
      </c>
      <c r="O15" s="813">
        <f t="shared" ca="1" si="4"/>
        <v>100.56935427997701</v>
      </c>
      <c r="P15" s="814">
        <f t="shared" ca="1" si="5"/>
        <v>0.13643298014773711</v>
      </c>
      <c r="Q15" s="812" cm="1">
        <f t="array" aca="1" ref="Q15" ca="1">IF(Reuters=1,_xll.TR($I$3,$C15,"scale=6 Sdate=#1 Period=#2 Curn=#3 NULL=BLANK",,$G$3,Q$5,$E$3),Q15)</f>
        <v>960</v>
      </c>
      <c r="R15" s="806">
        <f ca="1">Financials!AX124</f>
        <v>1163.2725227583019</v>
      </c>
      <c r="S15" s="813">
        <f t="shared" ca="1" si="6"/>
        <v>203.27252275830188</v>
      </c>
      <c r="T15" s="814">
        <f t="shared" ca="1" si="7"/>
        <v>0.21174221120656445</v>
      </c>
      <c r="U15" s="812" cm="1">
        <f t="array" aca="1" ref="U15" ca="1">IF(Reuters=1,_xll.TR($I$3,$C15,"scale=6 Sdate=#1 Period=#2 Curn=#3 NULL=BLANK",,$G$3,U$5,$E$3),U15)</f>
        <v>960</v>
      </c>
      <c r="V15" s="806"/>
      <c r="W15" s="813">
        <f t="shared" ca="1" si="8"/>
        <v>-960</v>
      </c>
      <c r="X15" s="814">
        <f t="shared" ca="1" si="9"/>
        <v>-1</v>
      </c>
    </row>
    <row r="16" spans="1:24">
      <c r="A16" s="809"/>
      <c r="C16" s="784" t="s">
        <v>1178</v>
      </c>
      <c r="D16" s="811" t="s">
        <v>651</v>
      </c>
      <c r="E16" s="812" cm="1">
        <f t="array" aca="1" ref="E16" ca="1">IF(Reuters=1,_xll.TR($I$3,$C16,"scale=6 Sdate=#1 Period=#2 Curn=#3 NULL=BLANK",,$G$3,E$5,$E$3),E16)</f>
        <v>769.10833000000002</v>
      </c>
      <c r="F16" s="806">
        <f>-Financials!AU934</f>
        <v>774</v>
      </c>
      <c r="G16" s="813">
        <f ca="1">+IFERROR(F16-E16,"NA ")</f>
        <v>4.8916699999999764</v>
      </c>
      <c r="H16" s="814">
        <f ca="1">+IFERROR(G16/E16,"NA ")</f>
        <v>6.360183356745046E-3</v>
      </c>
      <c r="I16" s="812" cm="1">
        <f t="array" aca="1" ref="I16" ca="1">IF(Reuters=1,_xll.TR($I$3,$C16,"scale=6 Sdate=#1 Period=#2 Curn=#3 NULL=BLANK",,$G$3,I$5,$E$3),I16)</f>
        <v>844.08333000000005</v>
      </c>
      <c r="J16" s="806">
        <f>-Financials!AV934</f>
        <v>600</v>
      </c>
      <c r="K16" s="813">
        <f ca="1">+IFERROR(J16-I16,"NA ")</f>
        <v>-244.08333000000005</v>
      </c>
      <c r="L16" s="814">
        <f t="shared" ca="1" si="3"/>
        <v>-0.2891697079244534</v>
      </c>
      <c r="M16" s="812" cm="1">
        <f t="array" aca="1" ref="M16" ca="1">IF(Reuters=1,_xll.TR($I$3,$C16,"scale=6 Sdate=#1 Period=#2 Curn=#3 NULL=BLANK",,$G$3,M$5,$E$3),M16)</f>
        <v>937.5</v>
      </c>
      <c r="N16" s="806">
        <f>-Financials!AW934</f>
        <v>600</v>
      </c>
      <c r="O16" s="813">
        <f ca="1">+IFERROR(N16-M16,"NA ")</f>
        <v>-337.5</v>
      </c>
      <c r="P16" s="814">
        <f t="shared" ca="1" si="5"/>
        <v>-0.36</v>
      </c>
      <c r="Q16" s="812" cm="1">
        <f t="array" aca="1" ref="Q16" ca="1">IF(Reuters=1,_xll.TR($I$3,$C16,"scale=6 Sdate=#1 Period=#2 Curn=#3 NULL=BLANK",,$G$3,Q$5,$E$3),Q16)</f>
        <v>1037.5</v>
      </c>
      <c r="R16" s="806">
        <f>-Financials!AX934</f>
        <v>500</v>
      </c>
      <c r="S16" s="813">
        <f t="shared" ca="1" si="6"/>
        <v>-537.5</v>
      </c>
      <c r="T16" s="814">
        <f t="shared" ca="1" si="7"/>
        <v>-0.51807228915662651</v>
      </c>
      <c r="U16" s="812" cm="1">
        <f t="array" aca="1" ref="U16" ca="1">IF(Reuters=1,_xll.TR($I$3,$C16,"scale=6 Sdate=#1 Period=#2 Curn=#3 NULL=BLANK",,$G$3,U$5,$E$3),U16)</f>
        <v>1037.5</v>
      </c>
      <c r="V16" s="806"/>
      <c r="W16" s="813">
        <f t="shared" ca="1" si="8"/>
        <v>-1037.5</v>
      </c>
      <c r="X16" s="814">
        <f t="shared" ca="1" si="9"/>
        <v>-1</v>
      </c>
    </row>
    <row r="17" spans="1:24" s="813" customFormat="1" outlineLevel="1">
      <c r="A17" s="809"/>
      <c r="B17" s="783"/>
      <c r="C17" s="784"/>
      <c r="D17" s="811"/>
      <c r="E17" s="812"/>
      <c r="F17" s="806"/>
    </row>
    <row r="18" spans="1:24" s="1497" customFormat="1" outlineLevel="1">
      <c r="A18" s="1494"/>
      <c r="B18" s="793"/>
      <c r="C18" s="784"/>
      <c r="D18" s="1500" t="s">
        <v>1800</v>
      </c>
      <c r="E18" s="1495"/>
      <c r="F18" s="1496"/>
    </row>
    <row r="19" spans="1:24" s="767" customFormat="1" outlineLevel="1">
      <c r="A19" s="1494"/>
      <c r="B19" s="793"/>
      <c r="C19" s="784"/>
      <c r="D19" s="1499" t="s">
        <v>617</v>
      </c>
      <c r="E19" s="1498">
        <f ca="1">E11/E$10</f>
        <v>0.1794731038658946</v>
      </c>
      <c r="F19" s="1498">
        <f t="shared" ref="F19:N19" si="10">F11/F$10</f>
        <v>0.1898249731510504</v>
      </c>
      <c r="G19" s="1498"/>
      <c r="H19" s="1498"/>
      <c r="I19" s="1498">
        <f t="shared" ca="1" si="10"/>
        <v>0.18599979303767891</v>
      </c>
      <c r="J19" s="1498">
        <f t="shared" si="10"/>
        <v>0.19236719979685388</v>
      </c>
      <c r="K19" s="1498"/>
      <c r="L19" s="1498"/>
      <c r="M19" s="1498">
        <f t="shared" ca="1" si="10"/>
        <v>0.18911644868196414</v>
      </c>
      <c r="N19" s="1498">
        <f t="shared" si="10"/>
        <v>0.19510193294958797</v>
      </c>
      <c r="O19" s="1498"/>
      <c r="P19" s="1498"/>
      <c r="Q19" s="1495"/>
      <c r="R19" s="1496"/>
      <c r="S19" s="1497"/>
      <c r="T19" s="1498"/>
      <c r="U19" s="1495"/>
      <c r="V19" s="1496"/>
      <c r="W19" s="1497"/>
      <c r="X19" s="1498"/>
    </row>
    <row r="20" spans="1:24" s="767" customFormat="1" outlineLevel="1">
      <c r="A20" s="1494"/>
      <c r="B20" s="793"/>
      <c r="C20" s="784"/>
      <c r="D20" s="1499" t="s">
        <v>356</v>
      </c>
      <c r="E20" s="1498">
        <f ca="1">E12/E$10</f>
        <v>0.13017043892770244</v>
      </c>
      <c r="F20" s="1498">
        <f t="shared" ref="F20:N20" si="11">F12/F$10</f>
        <v>0.13852500821995026</v>
      </c>
      <c r="G20" s="1498"/>
      <c r="H20" s="1498"/>
      <c r="I20" s="1498">
        <f t="shared" ca="1" si="11"/>
        <v>0.13955138549261517</v>
      </c>
      <c r="J20" s="1498">
        <f t="shared" si="11"/>
        <v>0.14321073042361282</v>
      </c>
      <c r="K20" s="1498"/>
      <c r="L20" s="1498"/>
      <c r="M20" s="1498">
        <f t="shared" ca="1" si="11"/>
        <v>0.14301069360862834</v>
      </c>
      <c r="N20" s="1498">
        <f t="shared" si="11"/>
        <v>0.14645810787999791</v>
      </c>
      <c r="O20" s="1498"/>
      <c r="P20" s="1498"/>
      <c r="Q20" s="1495"/>
      <c r="R20" s="1496"/>
      <c r="S20" s="1497"/>
      <c r="T20" s="1498"/>
      <c r="U20" s="1495"/>
      <c r="V20" s="1496"/>
      <c r="W20" s="1497"/>
      <c r="X20" s="1498"/>
    </row>
    <row r="21" spans="1:24" s="767" customFormat="1" outlineLevel="1">
      <c r="A21" s="1494"/>
      <c r="B21" s="793"/>
      <c r="C21" s="784"/>
      <c r="D21" s="1499" t="s">
        <v>634</v>
      </c>
      <c r="E21" s="1498">
        <f t="shared" ref="E21:N21" ca="1" si="12">E13/E$10</f>
        <v>9.1655751220041645E-2</v>
      </c>
      <c r="F21" s="1498">
        <f t="shared" ca="1" si="12"/>
        <v>9.9408051685872675E-2</v>
      </c>
      <c r="G21" s="1498"/>
      <c r="H21" s="1498"/>
      <c r="I21" s="1498">
        <f t="shared" ca="1" si="12"/>
        <v>9.9290703723008925E-2</v>
      </c>
      <c r="J21" s="1498">
        <f t="shared" ca="1" si="12"/>
        <v>0.10347942579077024</v>
      </c>
      <c r="K21" s="1498"/>
      <c r="L21" s="1498"/>
      <c r="M21" s="1498">
        <f t="shared" ca="1" si="12"/>
        <v>0.10393543155191504</v>
      </c>
      <c r="N21" s="1498">
        <f t="shared" ca="1" si="12"/>
        <v>0.10830132093684963</v>
      </c>
      <c r="O21" s="1498"/>
      <c r="P21" s="1498"/>
      <c r="Q21" s="1495"/>
      <c r="R21" s="1496"/>
      <c r="S21" s="1497"/>
      <c r="T21" s="1498"/>
      <c r="U21" s="1495"/>
      <c r="V21" s="1496"/>
      <c r="W21" s="1497"/>
      <c r="X21" s="1498"/>
    </row>
    <row r="22" spans="1:24" s="813" customFormat="1" outlineLevel="1">
      <c r="A22" s="809"/>
      <c r="B22" s="783"/>
      <c r="C22" s="784"/>
      <c r="D22" s="811"/>
      <c r="E22" s="814"/>
      <c r="F22" s="806"/>
    </row>
    <row r="23" spans="1:24">
      <c r="D23" s="783" t="s">
        <v>635</v>
      </c>
      <c r="E23" s="808"/>
      <c r="F23" s="808"/>
      <c r="I23" s="808"/>
      <c r="J23" s="808"/>
      <c r="M23" s="808"/>
      <c r="N23" s="808"/>
      <c r="Q23" s="808">
        <f ca="1">Q12/Q10</f>
        <v>0.1490175157819863</v>
      </c>
      <c r="R23" s="808">
        <f>R12/R10</f>
        <v>0.15113910204432252</v>
      </c>
      <c r="U23" s="808"/>
      <c r="V23" s="808"/>
    </row>
    <row r="24" spans="1:24">
      <c r="A24" s="809"/>
      <c r="C24" s="810" t="s">
        <v>1179</v>
      </c>
      <c r="D24" s="811" t="s">
        <v>493</v>
      </c>
      <c r="E24" s="812" cm="1">
        <f t="array" aca="1" ref="E24" ca="1">IF(Reuters=1,_xll.TR($I$3,$C24,"scale=6 Sdate=#1 Period=#2 Curn=#3 NULL=BLANK",,$G$3,E$5,$E$3),E24)</f>
        <v>10234.5</v>
      </c>
      <c r="F24" s="813">
        <f t="shared" ref="F24:F30" si="13">+F10</f>
        <v>10219.039999999997</v>
      </c>
      <c r="G24" s="813">
        <f t="shared" ref="G24:G29" ca="1" si="14">+IFERROR(F24-E24,"NA ")</f>
        <v>-15.460000000002765</v>
      </c>
      <c r="H24" s="814">
        <f t="shared" ref="H24:H30" ca="1" si="15">+IFERROR(G24/E24,"NA ")</f>
        <v>-1.5105769700525444E-3</v>
      </c>
      <c r="I24" s="812" cm="1">
        <f t="array" aca="1" ref="I24" ca="1">IF(Reuters=1,_xll.TR($I$3,$C24,"scale=6 Sdate=#1 Period=#2 Curn=#3 NULL=BLANK",,$G$3,I$5,$E$3),I24)</f>
        <v>10711</v>
      </c>
      <c r="J24" s="813">
        <f t="shared" ref="J24:J30" si="16">+J10</f>
        <v>10590.996599999999</v>
      </c>
      <c r="K24" s="813">
        <f t="shared" ref="K24:K29" ca="1" si="17">+IFERROR(J24-I24,"NA ")</f>
        <v>-120.00340000000142</v>
      </c>
      <c r="L24" s="814">
        <f t="shared" ref="L24:L30" ca="1" si="18">+IFERROR(K24/I24,"NA ")</f>
        <v>-1.1203753150966429E-2</v>
      </c>
      <c r="M24" s="812" cm="1">
        <f t="array" aca="1" ref="M24" ca="1">IF(Reuters=1,_xll.TR($I$3,$C24,"scale=6 Sdate=#1 Period=#2 Curn=#3 NULL=BLANK",,$G$3,M$5,$E$3),M24)</f>
        <v>11320.034</v>
      </c>
      <c r="N24" s="813">
        <f t="shared" ref="N24:N30" si="19">+N10</f>
        <v>10912.299747000001</v>
      </c>
      <c r="O24" s="813">
        <f t="shared" ref="O24:O29" ca="1" si="20">+IFERROR(N24-M24,"NA ")</f>
        <v>-407.73425299999872</v>
      </c>
      <c r="P24" s="814">
        <f t="shared" ref="P24:P30" ca="1" si="21">+IFERROR(O24/M24,"NA ")</f>
        <v>-3.6018818759731529E-2</v>
      </c>
      <c r="Q24" s="812" cm="1">
        <f t="array" aca="1" ref="Q24" ca="1">IF(Reuters=1,_xll.TR($I$3,$C24,"scale=6 Sdate=#1 Period=#2 Curn=#3 NULL=BLANK",,$G$3,Q$5,$E$3),Q24)</f>
        <v>11247</v>
      </c>
      <c r="R24" s="813">
        <f t="shared" ref="R24:R30" si="22">+R10</f>
        <v>11189.795110854999</v>
      </c>
      <c r="S24" s="813">
        <f t="shared" ref="S24:S30" ca="1" si="23">+IFERROR(R24-Q24,"NA ")</f>
        <v>-57.204889145001289</v>
      </c>
      <c r="T24" s="814">
        <f t="shared" ref="T24:T30" ca="1" si="24">+IFERROR(S24/Q24,"NA ")</f>
        <v>-5.0862353645417697E-3</v>
      </c>
      <c r="U24" s="812" cm="1">
        <f t="array" aca="1" ref="U24" ca="1">IF(Reuters=1,_xll.TR($I$3,$C24,"scale=6 Sdate=#1 Period=#2 Curn=#3 NULL=BLANK",,$G$3,U$5,$E$3),U24)</f>
        <v>11247</v>
      </c>
      <c r="V24" s="813">
        <f t="shared" ref="V24:V30" si="25">+V10</f>
        <v>0</v>
      </c>
      <c r="W24" s="813">
        <f t="shared" ref="W24:W30" ca="1" si="26">+IFERROR(V24-U24,"NA ")</f>
        <v>-11247</v>
      </c>
      <c r="X24" s="814">
        <f t="shared" ref="X24:X30" ca="1" si="27">+IFERROR(W24/U24,"NA ")</f>
        <v>-1</v>
      </c>
    </row>
    <row r="25" spans="1:24">
      <c r="A25" s="809"/>
      <c r="C25" s="784" t="s">
        <v>1180</v>
      </c>
      <c r="D25" s="811" t="s">
        <v>617</v>
      </c>
      <c r="E25" s="812" cm="1">
        <f t="array" aca="1" ref="E25" ca="1">IF(Reuters=1,_xll.TR($I$3,$C25,"scale=6 Sdate=#1 Period=#2 Curn=#3 NULL=BLANK",,$G$3,E$5,$E$3),E25)</f>
        <v>1850</v>
      </c>
      <c r="F25" s="813">
        <f t="shared" si="13"/>
        <v>1939.8289936295096</v>
      </c>
      <c r="G25" s="813">
        <f t="shared" ca="1" si="14"/>
        <v>89.828993629509569</v>
      </c>
      <c r="H25" s="814">
        <f t="shared" ca="1" si="15"/>
        <v>4.8556212772707878E-2</v>
      </c>
      <c r="I25" s="812" cm="1">
        <f t="array" aca="1" ref="I25" ca="1">IF(Reuters=1,_xll.TR($I$3,$C25,"scale=6 Sdate=#1 Period=#2 Curn=#3 NULL=BLANK",,$G$3,I$5,$E$3),I25)</f>
        <v>2010</v>
      </c>
      <c r="J25" s="813">
        <f t="shared" si="16"/>
        <v>2037.3603589999998</v>
      </c>
      <c r="K25" s="813">
        <f t="shared" ca="1" si="17"/>
        <v>27.360358999999789</v>
      </c>
      <c r="L25" s="814">
        <f t="shared" ca="1" si="18"/>
        <v>1.3612118905472531E-2</v>
      </c>
      <c r="M25" s="812" cm="1">
        <f t="array" aca="1" ref="M25" ca="1">IF(Reuters=1,_xll.TR($I$3,$C25,"scale=6 Sdate=#1 Period=#2 Curn=#3 NULL=BLANK",,$G$3,M$5,$E$3),M25)</f>
        <v>2180.8939999999998</v>
      </c>
      <c r="N25" s="813">
        <f t="shared" si="19"/>
        <v>2129.0107735649999</v>
      </c>
      <c r="O25" s="813">
        <f t="shared" ca="1" si="20"/>
        <v>-51.88322643499987</v>
      </c>
      <c r="P25" s="814">
        <f t="shared" ca="1" si="21"/>
        <v>-2.3789889116573239E-2</v>
      </c>
      <c r="Q25" s="812" t="str" cm="1">
        <f t="array" aca="1" ref="Q25" ca="1">IF(Reuters=1,_xll.TR($I$3,$C25,"scale=6 Sdate=#1 Period=#2 Curn=#3 NULL=BLANK",,$G$3,Q$5,$E$3),Q25)</f>
        <v/>
      </c>
      <c r="R25" s="813">
        <f t="shared" si="22"/>
        <v>2241.231585114575</v>
      </c>
      <c r="S25" s="813" t="str">
        <f t="shared" ca="1" si="23"/>
        <v xml:space="preserve">NA </v>
      </c>
      <c r="T25" s="814" t="str">
        <f t="shared" ca="1" si="24"/>
        <v xml:space="preserve">NA </v>
      </c>
      <c r="U25" s="812" t="str" cm="1">
        <f t="array" aca="1" ref="U25" ca="1">IF(Reuters=1,_xll.TR($I$3,$C25,"scale=6 Sdate=#1 Period=#2 Curn=#3 NULL=BLANK",,$G$3,U$5,$E$3),U25)</f>
        <v/>
      </c>
      <c r="V25" s="813">
        <f t="shared" si="25"/>
        <v>0</v>
      </c>
      <c r="W25" s="813" t="str">
        <f t="shared" ca="1" si="26"/>
        <v xml:space="preserve">NA </v>
      </c>
      <c r="X25" s="814" t="str">
        <f t="shared" ca="1" si="27"/>
        <v xml:space="preserve">NA </v>
      </c>
    </row>
    <row r="26" spans="1:24" hidden="1" outlineLevel="1">
      <c r="A26" s="809"/>
      <c r="C26" s="784" t="s">
        <v>1181</v>
      </c>
      <c r="D26" s="811" t="s">
        <v>356</v>
      </c>
      <c r="E26" s="812" cm="1">
        <f t="array" aca="1" ref="E26" ca="1">IF(Reuters=1,_xll.TR($I$3,$C26,"scale=6 Sdate=#1 Period=#2 Curn=#3 NULL=BLANK",,$G$3,E$5,$E$3),E26)</f>
        <v>1334</v>
      </c>
      <c r="F26" s="813">
        <f t="shared" si="13"/>
        <v>1415.5926000000002</v>
      </c>
      <c r="G26" s="813">
        <f t="shared" ca="1" si="14"/>
        <v>81.592600000000175</v>
      </c>
      <c r="H26" s="814">
        <f t="shared" ca="1" si="15"/>
        <v>6.1163868065967145E-2</v>
      </c>
      <c r="I26" s="812" cm="1">
        <f t="array" aca="1" ref="I26" ca="1">IF(Reuters=1,_xll.TR($I$3,$C26,"scale=6 Sdate=#1 Period=#2 Curn=#3 NULL=BLANK",,$G$3,I$5,$E$3),I26)</f>
        <v>1507.27</v>
      </c>
      <c r="J26" s="813">
        <f t="shared" si="16"/>
        <v>1516.7443589999998</v>
      </c>
      <c r="K26" s="813">
        <f t="shared" ca="1" si="17"/>
        <v>9.4743589999998221</v>
      </c>
      <c r="L26" s="814">
        <f t="shared" ca="1" si="18"/>
        <v>6.2857742806529835E-3</v>
      </c>
      <c r="M26" s="812" cm="1">
        <f t="array" aca="1" ref="M26" ca="1">IF(Reuters=1,_xll.TR($I$3,$C26,"scale=6 Sdate=#1 Period=#2 Curn=#3 NULL=BLANK",,$G$3,M$5,$E$3),M26)</f>
        <v>1635.644</v>
      </c>
      <c r="N26" s="813">
        <f t="shared" si="19"/>
        <v>1598.1947735650001</v>
      </c>
      <c r="O26" s="813">
        <f t="shared" ca="1" si="20"/>
        <v>-37.4492264349999</v>
      </c>
      <c r="P26" s="814">
        <f t="shared" ca="1" si="21"/>
        <v>-2.2895707400265523E-2</v>
      </c>
      <c r="Q26" s="812" cm="1">
        <f t="array" aca="1" ref="Q26" ca="1">IF(Reuters=1,_xll.TR($I$3,$C26,"scale=6 Sdate=#1 Period=#2 Curn=#3 NULL=BLANK",,$G$3,Q$5,$E$3),Q26)</f>
        <v>1676</v>
      </c>
      <c r="R26" s="813">
        <f t="shared" si="22"/>
        <v>1691.2155851145749</v>
      </c>
      <c r="S26" s="813">
        <f t="shared" ca="1" si="23"/>
        <v>15.215585114574878</v>
      </c>
      <c r="T26" s="814">
        <f t="shared" ca="1" si="24"/>
        <v>9.0785114048776133E-3</v>
      </c>
      <c r="U26" s="812" cm="1">
        <f t="array" aca="1" ref="U26" ca="1">IF(Reuters=1,_xll.TR($I$3,$C26,"scale=6 Sdate=#1 Period=#2 Curn=#3 NULL=BLANK",,$G$3,U$5,$E$3),U26)</f>
        <v>1676</v>
      </c>
      <c r="V26" s="813">
        <f t="shared" si="25"/>
        <v>0</v>
      </c>
      <c r="W26" s="813">
        <f t="shared" ca="1" si="26"/>
        <v>-1676</v>
      </c>
      <c r="X26" s="814">
        <f t="shared" ca="1" si="27"/>
        <v>-1</v>
      </c>
    </row>
    <row r="27" spans="1:24" hidden="1" outlineLevel="1">
      <c r="A27" s="809"/>
      <c r="C27" s="784" t="s">
        <v>1182</v>
      </c>
      <c r="D27" s="811" t="s">
        <v>634</v>
      </c>
      <c r="E27" s="812" cm="1">
        <f t="array" aca="1" ref="E27" ca="1">IF(Reuters=1,_xll.TR($I$3,$C27,"scale=6 Sdate=#1 Period=#2 Curn=#3 NULL=BLANK",,$G$3,E$5,$E$3),E27)</f>
        <v>951</v>
      </c>
      <c r="F27" s="813">
        <f t="shared" ca="1" si="13"/>
        <v>1015.8548565000001</v>
      </c>
      <c r="G27" s="813">
        <f t="shared" ca="1" si="14"/>
        <v>64.854856500000096</v>
      </c>
      <c r="H27" s="814">
        <f t="shared" ca="1" si="15"/>
        <v>6.8196484227129442E-2</v>
      </c>
      <c r="I27" s="812" cm="1">
        <f t="array" aca="1" ref="I27" ca="1">IF(Reuters=1,_xll.TR($I$3,$C27,"scale=6 Sdate=#1 Period=#2 Curn=#3 NULL=BLANK",,$G$3,I$5,$E$3),I27)</f>
        <v>1076.8699999999999</v>
      </c>
      <c r="J27" s="813">
        <f t="shared" ca="1" si="16"/>
        <v>1095.9502467199998</v>
      </c>
      <c r="K27" s="813">
        <f t="shared" ca="1" si="17"/>
        <v>19.080246719999877</v>
      </c>
      <c r="L27" s="814">
        <f t="shared" ca="1" si="18"/>
        <v>1.7718245210656697E-2</v>
      </c>
      <c r="M27" s="812" cm="1">
        <f t="array" aca="1" ref="M27" ca="1">IF(Reuters=1,_xll.TR($I$3,$C27,"scale=6 Sdate=#1 Period=#2 Curn=#3 NULL=BLANK",,$G$3,M$5,$E$3),M27)</f>
        <v>1185</v>
      </c>
      <c r="N27" s="813">
        <f t="shared" ca="1" si="19"/>
        <v>1181.8164770589501</v>
      </c>
      <c r="O27" s="813">
        <f t="shared" ca="1" si="20"/>
        <v>-3.1835229410498869</v>
      </c>
      <c r="P27" s="814">
        <f t="shared" ca="1" si="21"/>
        <v>-2.6865172498311283E-3</v>
      </c>
      <c r="Q27" s="812" t="str" cm="1">
        <f t="array" aca="1" ref="Q27" ca="1">IF(Reuters=1,_xll.TR($I$3,$C27,"scale=6 Sdate=#1 Period=#2 Curn=#3 NULL=BLANK",,$G$3,Q$5,$E$3),Q27)</f>
        <v/>
      </c>
      <c r="R27" s="813">
        <f t="shared" ca="1" si="22"/>
        <v>1274.1855681450972</v>
      </c>
      <c r="S27" s="813" t="str">
        <f t="shared" ca="1" si="23"/>
        <v xml:space="preserve">NA </v>
      </c>
      <c r="T27" s="814" t="str">
        <f t="shared" ca="1" si="24"/>
        <v xml:space="preserve">NA </v>
      </c>
      <c r="U27" s="812" t="str" cm="1">
        <f t="array" aca="1" ref="U27" ca="1">IF(Reuters=1,_xll.TR($I$3,$C27,"scale=6 Sdate=#1 Period=#2 Curn=#3 NULL=BLANK",,$G$3,U$5,$E$3),U27)</f>
        <v/>
      </c>
      <c r="V27" s="813">
        <f t="shared" si="25"/>
        <v>0</v>
      </c>
      <c r="W27" s="813" t="str">
        <f t="shared" ca="1" si="26"/>
        <v xml:space="preserve">NA </v>
      </c>
      <c r="X27" s="814" t="str">
        <f t="shared" ca="1" si="27"/>
        <v xml:space="preserve">NA </v>
      </c>
    </row>
    <row r="28" spans="1:24" hidden="1" outlineLevel="1">
      <c r="A28" s="809"/>
      <c r="C28" s="784" t="s">
        <v>1183</v>
      </c>
      <c r="D28" s="811" t="s">
        <v>346</v>
      </c>
      <c r="E28" s="819" cm="1">
        <f t="array" aca="1" ref="E28" ca="1">IF(Reuters=1,_xll.TR($I$3,$C28,"scale=6 Sdate=#1 Period=#2 Curn=#3 NULL=BLANK",,$G$3,E$5,$E$3),E28)</f>
        <v>7.95</v>
      </c>
      <c r="F28" s="813">
        <f t="shared" ca="1" si="13"/>
        <v>8.0105273196308726</v>
      </c>
      <c r="G28" s="813">
        <f t="shared" ca="1" si="14"/>
        <v>6.0527319630872434E-2</v>
      </c>
      <c r="H28" s="814">
        <f t="shared" ca="1" si="15"/>
        <v>7.6134993246380414E-3</v>
      </c>
      <c r="I28" s="819" cm="1">
        <f t="array" aca="1" ref="I28" ca="1">IF(Reuters=1,_xll.TR($I$3,$C28,"scale=6 Sdate=#1 Period=#2 Curn=#3 NULL=BLANK",,$G$3,I$5,$E$3),I28)</f>
        <v>9</v>
      </c>
      <c r="J28" s="813">
        <f t="shared" ca="1" si="16"/>
        <v>9.1942134791946284</v>
      </c>
      <c r="K28" s="813">
        <f t="shared" ca="1" si="17"/>
        <v>0.19421347919462839</v>
      </c>
      <c r="L28" s="814">
        <f t="shared" ca="1" si="18"/>
        <v>2.157927546606982E-2</v>
      </c>
      <c r="M28" s="819" cm="1">
        <f t="array" aca="1" ref="M28" ca="1">IF(Reuters=1,_xll.TR($I$3,$C28,"scale=6 Sdate=#1 Period=#2 Curn=#3 NULL=BLANK",,$G$3,M$5,$E$3),M28)</f>
        <v>10.24</v>
      </c>
      <c r="N28" s="813">
        <f t="shared" ca="1" si="19"/>
        <v>9.9145677605616616</v>
      </c>
      <c r="O28" s="813">
        <f t="shared" ca="1" si="20"/>
        <v>-0.32543223943833866</v>
      </c>
      <c r="P28" s="814">
        <f t="shared" ca="1" si="21"/>
        <v>-3.1780492132650259E-2</v>
      </c>
      <c r="Q28" s="819" t="str" cm="1">
        <f t="array" aca="1" ref="Q28" ca="1">IF(Reuters=1,_xll.TR($I$3,$C28,"scale=6 Sdate=#1 Period=#2 Curn=#3 NULL=BLANK",,$G$3,Q$5,$E$3),Q28)</f>
        <v/>
      </c>
      <c r="R28" s="813">
        <f t="shared" ca="1" si="22"/>
        <v>10.689476242827997</v>
      </c>
      <c r="S28" s="813" t="str">
        <f t="shared" ca="1" si="23"/>
        <v xml:space="preserve">NA </v>
      </c>
      <c r="T28" s="814" t="str">
        <f t="shared" ca="1" si="24"/>
        <v xml:space="preserve">NA </v>
      </c>
      <c r="U28" s="819" t="str" cm="1">
        <f t="array" aca="1" ref="U28" ca="1">IF(Reuters=1,_xll.TR($I$3,$C28,"scale=6 Sdate=#1 Period=#2 Curn=#3 NULL=BLANK",,$G$3,U$5,$E$3),U28)</f>
        <v/>
      </c>
      <c r="V28" s="813">
        <f t="shared" si="25"/>
        <v>0</v>
      </c>
      <c r="W28" s="813" t="str">
        <f t="shared" ca="1" si="26"/>
        <v xml:space="preserve">NA </v>
      </c>
      <c r="X28" s="814" t="str">
        <f t="shared" ca="1" si="27"/>
        <v xml:space="preserve">NA </v>
      </c>
    </row>
    <row r="29" spans="1:24" collapsed="1">
      <c r="A29" s="809"/>
      <c r="C29" s="784" t="s">
        <v>1184</v>
      </c>
      <c r="D29" s="811" t="s">
        <v>488</v>
      </c>
      <c r="E29" s="812" cm="1">
        <f t="array" aca="1" ref="E29" ca="1">IF(Reuters=1,_xll.TR($I$3,$C29,"scale=6 Sdate=#1 Period=#2 Curn=#3 NULL=BLANK",,$G$3,E$5,$E$3),E29)</f>
        <v>510.5</v>
      </c>
      <c r="F29" s="813">
        <f t="shared" ca="1" si="13"/>
        <v>701.78961067745468</v>
      </c>
      <c r="G29" s="813">
        <f t="shared" ca="1" si="14"/>
        <v>191.28961067745468</v>
      </c>
      <c r="H29" s="814">
        <f t="shared" ca="1" si="15"/>
        <v>0.3747103049509396</v>
      </c>
      <c r="I29" s="812" cm="1">
        <f t="array" aca="1" ref="I29" ca="1">IF(Reuters=1,_xll.TR($I$3,$C29,"scale=6 Sdate=#1 Period=#2 Curn=#3 NULL=BLANK",,$G$3,I$5,$E$3),I29)</f>
        <v>688.12</v>
      </c>
      <c r="J29" s="813">
        <f t="shared" ca="1" si="16"/>
        <v>803.12688585150659</v>
      </c>
      <c r="K29" s="813">
        <f t="shared" ca="1" si="17"/>
        <v>115.00688585150658</v>
      </c>
      <c r="L29" s="814">
        <f t="shared" ca="1" si="18"/>
        <v>0.16713202036201039</v>
      </c>
      <c r="M29" s="812" cm="1">
        <f t="array" aca="1" ref="M29" ca="1">IF(Reuters=1,_xll.TR($I$3,$C29,"scale=6 Sdate=#1 Period=#2 Curn=#3 NULL=BLANK",,$G$3,M$5,$E$3),M29)</f>
        <v>769</v>
      </c>
      <c r="N29" s="813">
        <f t="shared" ca="1" si="19"/>
        <v>837.70310427997697</v>
      </c>
      <c r="O29" s="813">
        <f t="shared" ca="1" si="20"/>
        <v>68.703104279976969</v>
      </c>
      <c r="P29" s="814">
        <f t="shared" ca="1" si="21"/>
        <v>8.9340837815314655E-2</v>
      </c>
      <c r="Q29" s="812" cm="1">
        <f t="array" aca="1" ref="Q29" ca="1">IF(Reuters=1,_xll.TR($I$3,$C29,"scale=6 Sdate=#1 Period=#2 Curn=#3 NULL=BLANK",,$G$3,Q$5,$E$3),Q29)</f>
        <v>960</v>
      </c>
      <c r="R29" s="813">
        <f t="shared" ca="1" si="22"/>
        <v>1163.2725227583019</v>
      </c>
      <c r="S29" s="813">
        <f t="shared" ca="1" si="23"/>
        <v>203.27252275830188</v>
      </c>
      <c r="T29" s="814">
        <f t="shared" ca="1" si="24"/>
        <v>0.21174221120656445</v>
      </c>
      <c r="U29" s="812" cm="1">
        <f t="array" aca="1" ref="U29" ca="1">IF(Reuters=1,_xll.TR($I$3,$C29,"scale=6 Sdate=#1 Period=#2 Curn=#3 NULL=BLANK",,$G$3,U$5,$E$3),U29)</f>
        <v>960</v>
      </c>
      <c r="V29" s="813">
        <f t="shared" si="25"/>
        <v>0</v>
      </c>
      <c r="W29" s="813">
        <f t="shared" ca="1" si="26"/>
        <v>-960</v>
      </c>
      <c r="X29" s="814">
        <f t="shared" ca="1" si="27"/>
        <v>-1</v>
      </c>
    </row>
    <row r="30" spans="1:24">
      <c r="A30" s="809"/>
      <c r="C30" s="784" t="s">
        <v>1185</v>
      </c>
      <c r="D30" s="811" t="s">
        <v>651</v>
      </c>
      <c r="E30" s="812" cm="1">
        <f t="array" aca="1" ref="E30" ca="1">IF(Reuters=1,_xll.TR($I$3,$C30,"scale=6 Sdate=#1 Period=#2 Curn=#3 NULL=BLANK",,$G$3,E$5,$E$3),E30)</f>
        <v>793.25</v>
      </c>
      <c r="F30" s="813">
        <f t="shared" si="13"/>
        <v>774</v>
      </c>
      <c r="G30" s="813">
        <f ca="1">+IFERROR(F30-E30,"NA ")</f>
        <v>-19.25</v>
      </c>
      <c r="H30" s="814">
        <f t="shared" ca="1" si="15"/>
        <v>-2.4267254963756698E-2</v>
      </c>
      <c r="I30" s="812" cm="1">
        <f t="array" aca="1" ref="I30" ca="1">IF(Reuters=1,_xll.TR($I$3,$C30,"scale=6 Sdate=#1 Period=#2 Curn=#3 NULL=BLANK",,$G$3,I$5,$E$3),I30)</f>
        <v>838</v>
      </c>
      <c r="J30" s="813">
        <f t="shared" si="16"/>
        <v>600</v>
      </c>
      <c r="K30" s="813">
        <f ca="1">+IFERROR(J30-I30,"NA ")</f>
        <v>-238</v>
      </c>
      <c r="L30" s="814">
        <f t="shared" ca="1" si="18"/>
        <v>-0.28400954653937949</v>
      </c>
      <c r="M30" s="812" cm="1">
        <f t="array" aca="1" ref="M30" ca="1">IF(Reuters=1,_xll.TR($I$3,$C30,"scale=6 Sdate=#1 Period=#2 Curn=#3 NULL=BLANK",,$G$3,M$5,$E$3),M30)</f>
        <v>987.5</v>
      </c>
      <c r="N30" s="813">
        <f t="shared" si="19"/>
        <v>600</v>
      </c>
      <c r="O30" s="813">
        <f ca="1">+IFERROR(N30-M30,"NA ")</f>
        <v>-387.5</v>
      </c>
      <c r="P30" s="814">
        <f t="shared" ca="1" si="21"/>
        <v>-0.39240506329113922</v>
      </c>
      <c r="Q30" s="812" cm="1">
        <f t="array" aca="1" ref="Q30" ca="1">IF(Reuters=1,_xll.TR($I$3,$C30,"scale=6 Sdate=#1 Period=#2 Curn=#3 NULL=BLANK",,$G$3,Q$5,$E$3),Q30)</f>
        <v>1037.5</v>
      </c>
      <c r="R30" s="813">
        <f t="shared" si="22"/>
        <v>500</v>
      </c>
      <c r="S30" s="813">
        <f t="shared" ca="1" si="23"/>
        <v>-537.5</v>
      </c>
      <c r="T30" s="814">
        <f t="shared" ca="1" si="24"/>
        <v>-0.51807228915662651</v>
      </c>
      <c r="U30" s="812" cm="1">
        <f t="array" aca="1" ref="U30" ca="1">IF(Reuters=1,_xll.TR($I$3,$C30,"scale=6 Sdate=#1 Period=#2 Curn=#3 NULL=BLANK",,$G$3,U$5,$E$3),U30)</f>
        <v>1037.5</v>
      </c>
      <c r="V30" s="813">
        <f t="shared" si="25"/>
        <v>0</v>
      </c>
      <c r="W30" s="813">
        <f t="shared" ca="1" si="26"/>
        <v>-1037.5</v>
      </c>
      <c r="X30" s="814">
        <f t="shared" ca="1" si="27"/>
        <v>-1</v>
      </c>
    </row>
    <row r="31" spans="1:24">
      <c r="A31" s="822"/>
      <c r="B31" s="823"/>
      <c r="C31" s="824"/>
      <c r="D31" s="825"/>
      <c r="E31" s="812"/>
      <c r="F31" s="812"/>
      <c r="G31" s="812"/>
      <c r="H31" s="812"/>
      <c r="I31" s="812"/>
      <c r="J31" s="812"/>
      <c r="K31" s="812"/>
      <c r="L31" s="812"/>
      <c r="M31" s="812"/>
      <c r="N31" s="812"/>
      <c r="O31" s="812"/>
      <c r="P31" s="812"/>
      <c r="Q31" s="812"/>
      <c r="R31" s="812"/>
      <c r="S31" s="812"/>
      <c r="T31" s="812"/>
      <c r="U31" s="812"/>
      <c r="V31" s="812"/>
      <c r="W31" s="812"/>
      <c r="X31" s="812"/>
    </row>
    <row r="32" spans="1:24">
      <c r="D32" s="783" t="s">
        <v>1186</v>
      </c>
      <c r="E32" s="808"/>
      <c r="F32" s="808"/>
      <c r="I32" s="808"/>
      <c r="J32" s="808"/>
      <c r="M32" s="808"/>
      <c r="N32" s="808"/>
      <c r="Q32" s="808"/>
      <c r="R32" s="808"/>
      <c r="U32" s="808"/>
      <c r="V32" s="808"/>
    </row>
    <row r="33" spans="1:24">
      <c r="A33" s="809"/>
      <c r="C33" s="810" t="s">
        <v>1187</v>
      </c>
      <c r="D33" s="811" t="s">
        <v>493</v>
      </c>
      <c r="E33" s="812" cm="1">
        <f t="array" aca="1" ref="E33" ca="1">IF(Reuters=1,_xll.TR($I$3,$C33,"scale=6 Sdate=#1 Period=#2 Curn=#3 NULL=BLANK",,$G$3,E$5,$E$3),E33)</f>
        <v>10250.339840000001</v>
      </c>
      <c r="F33" s="813">
        <f t="shared" ref="F33:F39" si="28">+F24</f>
        <v>10219.039999999997</v>
      </c>
      <c r="G33" s="813">
        <f t="shared" ref="G33:G39" ca="1" si="29">+IFERROR(F33-E33,"NA ")</f>
        <v>-31.299840000003314</v>
      </c>
      <c r="H33" s="814">
        <f t="shared" ref="H33:H39" ca="1" si="30">+IFERROR(G33/E33,"NA ")</f>
        <v>-3.0535416862825997E-3</v>
      </c>
      <c r="I33" s="812" cm="1">
        <f t="array" aca="1" ref="I33" ca="1">IF(Reuters=1,_xll.TR($I$3,$C33,"scale=6 Sdate=#1 Period=#2 Curn=#3 NULL=BLANK",,$G$3,I$5,$E$3),I33)</f>
        <v>10682.82847</v>
      </c>
      <c r="J33" s="813">
        <f t="shared" ref="J33:J39" si="31">+J24</f>
        <v>10590.996599999999</v>
      </c>
      <c r="K33" s="813">
        <f t="shared" ref="K33:K39" ca="1" si="32">+IFERROR(J33-I33,"NA ")</f>
        <v>-91.8318700000018</v>
      </c>
      <c r="L33" s="814">
        <f t="shared" ref="L33:L39" ca="1" si="33">+IFERROR(K33/I33,"NA ")</f>
        <v>-8.596213096361903E-3</v>
      </c>
      <c r="M33" s="812" cm="1">
        <f t="array" aca="1" ref="M33" ca="1">IF(Reuters=1,_xll.TR($I$3,$C33,"scale=6 Sdate=#1 Period=#2 Curn=#3 NULL=BLANK",,$G$3,M$5,$E$3),M33)</f>
        <v>11191.67907</v>
      </c>
      <c r="N33" s="813">
        <f t="shared" ref="N33:N39" si="34">+N24</f>
        <v>10912.299747000001</v>
      </c>
      <c r="O33" s="813">
        <f t="shared" ref="O33:O39" ca="1" si="35">+IFERROR(N33-M33,"NA ")</f>
        <v>-279.3793229999992</v>
      </c>
      <c r="P33" s="814">
        <f t="shared" ref="P33:P39" ca="1" si="36">+IFERROR(O33/M33,"NA ")</f>
        <v>-2.4963128521875957E-2</v>
      </c>
      <c r="Q33" s="812" cm="1">
        <f t="array" aca="1" ref="Q33" ca="1">IF(Reuters=1,_xll.TR($I$3,$C33,"scale=6 Sdate=#1 Period=#2 Curn=#3 NULL=BLANK",,$G$3,Q$5,$E$3),Q33)</f>
        <v>11247</v>
      </c>
      <c r="R33" s="813">
        <f t="shared" ref="R33:R39" si="37">+R24</f>
        <v>11189.795110854999</v>
      </c>
      <c r="S33" s="813">
        <f t="shared" ref="S33:S39" ca="1" si="38">+IFERROR(R33-Q33,"NA ")</f>
        <v>-57.204889145001289</v>
      </c>
      <c r="T33" s="814">
        <f t="shared" ref="T33:T39" ca="1" si="39">+IFERROR(S33/Q33,"NA ")</f>
        <v>-5.0862353645417697E-3</v>
      </c>
      <c r="U33" s="812" cm="1">
        <f t="array" aca="1" ref="U33" ca="1">IF(Reuters=1,_xll.TR($I$3,$C33,"scale=6 Sdate=#1 Period=#2 Curn=#3 NULL=BLANK",,$G$3,U$5,$E$3),U33)</f>
        <v>11247</v>
      </c>
      <c r="V33" s="813">
        <f t="shared" ref="V33:V39" si="40">+V24</f>
        <v>0</v>
      </c>
      <c r="W33" s="813">
        <f t="shared" ref="W33:W39" ca="1" si="41">+IFERROR(V33-U33,"NA ")</f>
        <v>-11247</v>
      </c>
      <c r="X33" s="814">
        <f t="shared" ref="X33:X39" ca="1" si="42">+IFERROR(W33/U33,"NA ")</f>
        <v>-1</v>
      </c>
    </row>
    <row r="34" spans="1:24">
      <c r="A34" s="809"/>
      <c r="C34" s="784" t="s">
        <v>1188</v>
      </c>
      <c r="D34" s="811" t="s">
        <v>617</v>
      </c>
      <c r="E34" s="812" cm="1">
        <f t="array" aca="1" ref="E34" ca="1">IF(Reuters=1,_xll.TR($I$3,$C34,"scale=6 Sdate=#1 Period=#2 Curn=#3 NULL=BLANK",,$G$3,E$5,$E$3),E34)</f>
        <v>1841.41101</v>
      </c>
      <c r="F34" s="813">
        <f t="shared" si="28"/>
        <v>1939.8289936295096</v>
      </c>
      <c r="G34" s="813">
        <f t="shared" ca="1" si="29"/>
        <v>98.417983629509536</v>
      </c>
      <c r="H34" s="814">
        <f t="shared" ca="1" si="30"/>
        <v>5.3447048537800114E-2</v>
      </c>
      <c r="I34" s="812" cm="1">
        <f t="array" aca="1" ref="I34" ca="1">IF(Reuters=1,_xll.TR($I$3,$C34,"scale=6 Sdate=#1 Period=#2 Curn=#3 NULL=BLANK",,$G$3,I$5,$E$3),I34)</f>
        <v>1994.63644</v>
      </c>
      <c r="J34" s="813">
        <f t="shared" si="31"/>
        <v>2037.3603589999998</v>
      </c>
      <c r="K34" s="813">
        <f t="shared" ca="1" si="32"/>
        <v>42.723918999999796</v>
      </c>
      <c r="L34" s="814">
        <f t="shared" ca="1" si="33"/>
        <v>2.1419401622884117E-2</v>
      </c>
      <c r="M34" s="812" cm="1">
        <f t="array" aca="1" ref="M34" ca="1">IF(Reuters=1,_xll.TR($I$3,$C34,"scale=6 Sdate=#1 Period=#2 Curn=#3 NULL=BLANK",,$G$3,M$5,$E$3),M34)</f>
        <v>2097.7462999999998</v>
      </c>
      <c r="N34" s="813">
        <f t="shared" si="34"/>
        <v>2129.0107735649999</v>
      </c>
      <c r="O34" s="813">
        <f t="shared" ca="1" si="35"/>
        <v>31.264473565000117</v>
      </c>
      <c r="P34" s="814">
        <f t="shared" ca="1" si="36"/>
        <v>1.4903839213064096E-2</v>
      </c>
      <c r="Q34" s="812" t="str" cm="1">
        <f t="array" aca="1" ref="Q34" ca="1">IF(Reuters=1,_xll.TR($I$3,$C34,"scale=6 Sdate=#1 Period=#2 Curn=#3 NULL=BLANK",,$G$3,Q$5,$E$3),Q34)</f>
        <v/>
      </c>
      <c r="R34" s="813">
        <f t="shared" si="37"/>
        <v>2241.231585114575</v>
      </c>
      <c r="S34" s="813" t="str">
        <f t="shared" ca="1" si="38"/>
        <v xml:space="preserve">NA </v>
      </c>
      <c r="T34" s="814" t="str">
        <f t="shared" ca="1" si="39"/>
        <v xml:space="preserve">NA </v>
      </c>
      <c r="U34" s="812" t="str" cm="1">
        <f t="array" aca="1" ref="U34" ca="1">IF(Reuters=1,_xll.TR($I$3,$C34,"scale=6 Sdate=#1 Period=#2 Curn=#3 NULL=BLANK",,$G$3,U$5,$E$3),U34)</f>
        <v/>
      </c>
      <c r="V34" s="813">
        <f t="shared" si="40"/>
        <v>0</v>
      </c>
      <c r="W34" s="813" t="str">
        <f t="shared" ca="1" si="41"/>
        <v xml:space="preserve">NA </v>
      </c>
      <c r="X34" s="814" t="str">
        <f t="shared" ca="1" si="42"/>
        <v xml:space="preserve">NA </v>
      </c>
    </row>
    <row r="35" spans="1:24" hidden="1" outlineLevel="1">
      <c r="A35" s="809"/>
      <c r="C35" s="784" t="s">
        <v>1189</v>
      </c>
      <c r="D35" s="811" t="s">
        <v>356</v>
      </c>
      <c r="E35" s="812" cm="1">
        <f t="array" aca="1" ref="E35" ca="1">IF(Reuters=1,_xll.TR($I$3,$C35,"scale=6 Sdate=#1 Period=#2 Curn=#3 NULL=BLANK",,$G$3,E$5,$E$3),E35)</f>
        <v>1336.14724</v>
      </c>
      <c r="F35" s="813">
        <f t="shared" si="28"/>
        <v>1415.5926000000002</v>
      </c>
      <c r="G35" s="813">
        <f t="shared" ca="1" si="29"/>
        <v>79.445360000000164</v>
      </c>
      <c r="H35" s="814">
        <f t="shared" ca="1" si="30"/>
        <v>5.9458536919928195E-2</v>
      </c>
      <c r="I35" s="812" cm="1">
        <f t="array" aca="1" ref="I35" ca="1">IF(Reuters=1,_xll.TR($I$3,$C35,"scale=6 Sdate=#1 Period=#2 Curn=#3 NULL=BLANK",,$G$3,I$5,$E$3),I35)</f>
        <v>1489.7355700000001</v>
      </c>
      <c r="J35" s="813">
        <f t="shared" si="31"/>
        <v>1516.7443589999998</v>
      </c>
      <c r="K35" s="813">
        <f t="shared" ca="1" si="32"/>
        <v>27.008788999999751</v>
      </c>
      <c r="L35" s="814">
        <f t="shared" ca="1" si="33"/>
        <v>1.8129921540370918E-2</v>
      </c>
      <c r="M35" s="812" cm="1">
        <f t="array" aca="1" ref="M35" ca="1">IF(Reuters=1,_xll.TR($I$3,$C35,"scale=6 Sdate=#1 Period=#2 Curn=#3 NULL=BLANK",,$G$3,M$5,$E$3),M35)</f>
        <v>1599.37015</v>
      </c>
      <c r="N35" s="813">
        <f t="shared" si="34"/>
        <v>1598.1947735650001</v>
      </c>
      <c r="O35" s="813">
        <f t="shared" ca="1" si="35"/>
        <v>-1.1753764349998619</v>
      </c>
      <c r="P35" s="814">
        <f t="shared" ca="1" si="36"/>
        <v>-7.3489956968364196E-4</v>
      </c>
      <c r="Q35" s="812" cm="1">
        <f t="array" aca="1" ref="Q35" ca="1">IF(Reuters=1,_xll.TR($I$3,$C35,"scale=6 Sdate=#1 Period=#2 Curn=#3 NULL=BLANK",,$G$3,Q$5,$E$3),Q35)</f>
        <v>1676</v>
      </c>
      <c r="R35" s="813">
        <f t="shared" si="37"/>
        <v>1691.2155851145749</v>
      </c>
      <c r="S35" s="813">
        <f t="shared" ca="1" si="38"/>
        <v>15.215585114574878</v>
      </c>
      <c r="T35" s="814">
        <f t="shared" ca="1" si="39"/>
        <v>9.0785114048776133E-3</v>
      </c>
      <c r="U35" s="812" cm="1">
        <f t="array" aca="1" ref="U35" ca="1">IF(Reuters=1,_xll.TR($I$3,$C35,"scale=6 Sdate=#1 Period=#2 Curn=#3 NULL=BLANK",,$G$3,U$5,$E$3),U35)</f>
        <v>1676</v>
      </c>
      <c r="V35" s="813">
        <f t="shared" si="40"/>
        <v>0</v>
      </c>
      <c r="W35" s="813">
        <f t="shared" ca="1" si="41"/>
        <v>-1676</v>
      </c>
      <c r="X35" s="814">
        <f t="shared" ca="1" si="42"/>
        <v>-1</v>
      </c>
    </row>
    <row r="36" spans="1:24" hidden="1" outlineLevel="1">
      <c r="A36" s="809"/>
      <c r="C36" s="784" t="s">
        <v>1190</v>
      </c>
      <c r="D36" s="811" t="s">
        <v>634</v>
      </c>
      <c r="E36" s="812" cm="1">
        <f t="array" aca="1" ref="E36" ca="1">IF(Reuters=1,_xll.TR($I$3,$C36,"scale=6 Sdate=#1 Period=#2 Curn=#3 NULL=BLANK",,$G$3,E$5,$E$3),E36)</f>
        <v>937.55902000000003</v>
      </c>
      <c r="F36" s="813">
        <f t="shared" ca="1" si="28"/>
        <v>1015.8548565000001</v>
      </c>
      <c r="G36" s="813">
        <f t="shared" ca="1" si="29"/>
        <v>78.295836500000064</v>
      </c>
      <c r="H36" s="814">
        <f t="shared" ca="1" si="30"/>
        <v>8.3510301570134823E-2</v>
      </c>
      <c r="I36" s="812" cm="1">
        <f t="array" aca="1" ref="I36" ca="1">IF(Reuters=1,_xll.TR($I$3,$C36,"scale=6 Sdate=#1 Period=#2 Curn=#3 NULL=BLANK",,$G$3,I$5,$E$3),I36)</f>
        <v>1060.6628800000001</v>
      </c>
      <c r="J36" s="813">
        <f t="shared" ca="1" si="31"/>
        <v>1095.9502467199998</v>
      </c>
      <c r="K36" s="813">
        <f t="shared" ca="1" si="32"/>
        <v>35.287366719999682</v>
      </c>
      <c r="L36" s="814">
        <f t="shared" ca="1" si="33"/>
        <v>3.3269163449935836E-2</v>
      </c>
      <c r="M36" s="812" cm="1">
        <f t="array" aca="1" ref="M36" ca="1">IF(Reuters=1,_xll.TR($I$3,$C36,"scale=6 Sdate=#1 Period=#2 Curn=#3 NULL=BLANK",,$G$3,M$5,$E$3),M36)</f>
        <v>1162.2732699999999</v>
      </c>
      <c r="N36" s="813">
        <f t="shared" ca="1" si="34"/>
        <v>1181.8164770589501</v>
      </c>
      <c r="O36" s="813">
        <f t="shared" ca="1" si="35"/>
        <v>19.543207058950202</v>
      </c>
      <c r="P36" s="814">
        <f t="shared" ca="1" si="36"/>
        <v>1.6814640380527896E-2</v>
      </c>
      <c r="Q36" s="812" t="str" cm="1">
        <f t="array" aca="1" ref="Q36" ca="1">IF(Reuters=1,_xll.TR($I$3,$C36,"scale=6 Sdate=#1 Period=#2 Curn=#3 NULL=BLANK",,$G$3,Q$5,$E$3),Q36)</f>
        <v/>
      </c>
      <c r="R36" s="813">
        <f t="shared" ca="1" si="37"/>
        <v>1274.1855681450972</v>
      </c>
      <c r="S36" s="813" t="str">
        <f t="shared" ca="1" si="38"/>
        <v xml:space="preserve">NA </v>
      </c>
      <c r="T36" s="814" t="str">
        <f t="shared" ca="1" si="39"/>
        <v xml:space="preserve">NA </v>
      </c>
      <c r="U36" s="812" t="str" cm="1">
        <f t="array" aca="1" ref="U36" ca="1">IF(Reuters=1,_xll.TR($I$3,$C36,"scale=6 Sdate=#1 Period=#2 Curn=#3 NULL=BLANK",,$G$3,U$5,$E$3),U36)</f>
        <v/>
      </c>
      <c r="V36" s="813">
        <f t="shared" si="40"/>
        <v>0</v>
      </c>
      <c r="W36" s="813" t="str">
        <f t="shared" ca="1" si="41"/>
        <v xml:space="preserve">NA </v>
      </c>
      <c r="X36" s="814" t="str">
        <f t="shared" ca="1" si="42"/>
        <v xml:space="preserve">NA </v>
      </c>
    </row>
    <row r="37" spans="1:24" hidden="1" outlineLevel="1">
      <c r="A37" s="809"/>
      <c r="C37" s="784" t="s">
        <v>1191</v>
      </c>
      <c r="D37" s="811" t="s">
        <v>346</v>
      </c>
      <c r="E37" s="819" cm="1">
        <f t="array" aca="1" ref="E37" ca="1">IF(Reuters=1,_xll.TR($I$3,$C37,"scale=6 Sdate=#1 Period=#2 Curn=#3 NULL=BLANK",,$G$3,E$5,$E$3),E37)</f>
        <v>7.9526000000000003</v>
      </c>
      <c r="F37" s="813">
        <f t="shared" ca="1" si="28"/>
        <v>8.0105273196308726</v>
      </c>
      <c r="G37" s="813">
        <f t="shared" ca="1" si="29"/>
        <v>5.7927319630872276E-2</v>
      </c>
      <c r="H37" s="814">
        <f t="shared" ca="1" si="30"/>
        <v>7.2840730868989102E-3</v>
      </c>
      <c r="I37" s="819" cm="1">
        <f t="array" aca="1" ref="I37" ca="1">IF(Reuters=1,_xll.TR($I$3,$C37,"scale=6 Sdate=#1 Period=#2 Curn=#3 NULL=BLANK",,$G$3,I$5,$E$3),I37)</f>
        <v>9.0193700000000003</v>
      </c>
      <c r="J37" s="813">
        <f t="shared" ca="1" si="31"/>
        <v>9.1942134791946284</v>
      </c>
      <c r="K37" s="813">
        <f t="shared" ca="1" si="32"/>
        <v>0.17484347919462806</v>
      </c>
      <c r="L37" s="814">
        <f t="shared" ca="1" si="33"/>
        <v>1.9385331702172996E-2</v>
      </c>
      <c r="M37" s="819" cm="1">
        <f t="array" aca="1" ref="M37" ca="1">IF(Reuters=1,_xll.TR($I$3,$C37,"scale=6 Sdate=#1 Period=#2 Curn=#3 NULL=BLANK",,$G$3,M$5,$E$3),M37)</f>
        <v>9.8493600000000008</v>
      </c>
      <c r="N37" s="813">
        <f t="shared" ca="1" si="34"/>
        <v>9.9145677605616616</v>
      </c>
      <c r="O37" s="813">
        <f t="shared" ca="1" si="35"/>
        <v>6.5207760561660777E-2</v>
      </c>
      <c r="P37" s="814">
        <f t="shared" ca="1" si="36"/>
        <v>6.6205073793282783E-3</v>
      </c>
      <c r="Q37" s="819" t="str" cm="1">
        <f t="array" aca="1" ref="Q37" ca="1">IF(Reuters=1,_xll.TR($I$3,$C37,"scale=6 Sdate=#1 Period=#2 Curn=#3 NULL=BLANK",,$G$3,Q$5,$E$3),Q37)</f>
        <v/>
      </c>
      <c r="R37" s="813">
        <f t="shared" ca="1" si="37"/>
        <v>10.689476242827997</v>
      </c>
      <c r="S37" s="813" t="str">
        <f t="shared" ca="1" si="38"/>
        <v xml:space="preserve">NA </v>
      </c>
      <c r="T37" s="814" t="str">
        <f t="shared" ca="1" si="39"/>
        <v xml:space="preserve">NA </v>
      </c>
      <c r="U37" s="819" t="str" cm="1">
        <f t="array" aca="1" ref="U37" ca="1">IF(Reuters=1,_xll.TR($I$3,$C37,"scale=6 Sdate=#1 Period=#2 Curn=#3 NULL=BLANK",,$G$3,U$5,$E$3),U37)</f>
        <v/>
      </c>
      <c r="V37" s="813">
        <f t="shared" si="40"/>
        <v>0</v>
      </c>
      <c r="W37" s="813" t="str">
        <f t="shared" ca="1" si="41"/>
        <v xml:space="preserve">NA </v>
      </c>
      <c r="X37" s="814" t="str">
        <f t="shared" ca="1" si="42"/>
        <v xml:space="preserve">NA </v>
      </c>
    </row>
    <row r="38" spans="1:24" collapsed="1">
      <c r="A38" s="809"/>
      <c r="C38" s="784" t="s">
        <v>1192</v>
      </c>
      <c r="D38" s="811" t="s">
        <v>488</v>
      </c>
      <c r="E38" s="812" cm="1">
        <f t="array" aca="1" ref="E38" ca="1">IF(Reuters=1,_xll.TR($I$3,$C38,"scale=6 Sdate=#1 Period=#2 Curn=#3 NULL=BLANK",,$G$3,E$5,$E$3),E38)</f>
        <v>574.07848000000001</v>
      </c>
      <c r="F38" s="813">
        <f t="shared" ca="1" si="28"/>
        <v>701.78961067745468</v>
      </c>
      <c r="G38" s="813">
        <f t="shared" ca="1" si="29"/>
        <v>127.71113067745466</v>
      </c>
      <c r="H38" s="814">
        <f t="shared" ca="1" si="30"/>
        <v>0.22246284284590265</v>
      </c>
      <c r="I38" s="812" cm="1">
        <f t="array" aca="1" ref="I38" ca="1">IF(Reuters=1,_xll.TR($I$3,$C38,"scale=6 Sdate=#1 Period=#2 Curn=#3 NULL=BLANK",,$G$3,I$5,$E$3),I38)</f>
        <v>642.30733999999995</v>
      </c>
      <c r="J38" s="813">
        <f t="shared" ca="1" si="31"/>
        <v>803.12688585150659</v>
      </c>
      <c r="K38" s="813">
        <f t="shared" ca="1" si="32"/>
        <v>160.81954585150663</v>
      </c>
      <c r="L38" s="814">
        <f t="shared" ca="1" si="33"/>
        <v>0.2503778733892511</v>
      </c>
      <c r="M38" s="812" cm="1">
        <f t="array" aca="1" ref="M38" ca="1">IF(Reuters=1,_xll.TR($I$3,$C38,"scale=6 Sdate=#1 Period=#2 Curn=#3 NULL=BLANK",,$G$3,M$5,$E$3),M38)</f>
        <v>725.59893</v>
      </c>
      <c r="N38" s="813">
        <f t="shared" ca="1" si="34"/>
        <v>837.70310427997697</v>
      </c>
      <c r="O38" s="813">
        <f t="shared" ca="1" si="35"/>
        <v>112.10417427997697</v>
      </c>
      <c r="P38" s="814">
        <f t="shared" ca="1" si="36"/>
        <v>0.15449881421404105</v>
      </c>
      <c r="Q38" s="812" cm="1">
        <f t="array" aca="1" ref="Q38" ca="1">IF(Reuters=1,_xll.TR($I$3,$C38,"scale=6 Sdate=#1 Period=#2 Curn=#3 NULL=BLANK",,$G$3,Q$5,$E$3),Q38)</f>
        <v>960</v>
      </c>
      <c r="R38" s="813">
        <f t="shared" ca="1" si="37"/>
        <v>1163.2725227583019</v>
      </c>
      <c r="S38" s="813">
        <f t="shared" ca="1" si="38"/>
        <v>203.27252275830188</v>
      </c>
      <c r="T38" s="814">
        <f t="shared" ca="1" si="39"/>
        <v>0.21174221120656445</v>
      </c>
      <c r="U38" s="812" cm="1">
        <f t="array" aca="1" ref="U38" ca="1">IF(Reuters=1,_xll.TR($I$3,$C38,"scale=6 Sdate=#1 Period=#2 Curn=#3 NULL=BLANK",,$G$3,U$5,$E$3),U38)</f>
        <v>960</v>
      </c>
      <c r="V38" s="813">
        <f t="shared" si="40"/>
        <v>0</v>
      </c>
      <c r="W38" s="813">
        <f t="shared" ca="1" si="41"/>
        <v>-960</v>
      </c>
      <c r="X38" s="814">
        <f t="shared" ca="1" si="42"/>
        <v>-1</v>
      </c>
    </row>
    <row r="39" spans="1:24">
      <c r="A39" s="809"/>
      <c r="C39" s="784" t="s">
        <v>1193</v>
      </c>
      <c r="D39" s="811" t="s">
        <v>651</v>
      </c>
      <c r="E39" s="812" cm="1">
        <f t="array" aca="1" ref="E39" ca="1">IF(Reuters=1,_xll.TR($I$3,$C39,"scale=6 Sdate=#1 Period=#2 Curn=#3 NULL=BLANK",,$G$3,E$5,$E$3),E39)</f>
        <v>775.62485000000004</v>
      </c>
      <c r="F39" s="813">
        <f t="shared" si="28"/>
        <v>774</v>
      </c>
      <c r="G39" s="813">
        <f t="shared" ca="1" si="29"/>
        <v>-1.6248500000000377</v>
      </c>
      <c r="H39" s="814">
        <f t="shared" ca="1" si="30"/>
        <v>-2.094891621896897E-3</v>
      </c>
      <c r="I39" s="812" cm="1">
        <f t="array" aca="1" ref="I39" ca="1">IF(Reuters=1,_xll.TR($I$3,$C39,"scale=6 Sdate=#1 Period=#2 Curn=#3 NULL=BLANK",,$G$3,I$5,$E$3),I39)</f>
        <v>849.39373999999998</v>
      </c>
      <c r="J39" s="813">
        <f t="shared" si="31"/>
        <v>600</v>
      </c>
      <c r="K39" s="813">
        <f t="shared" ca="1" si="32"/>
        <v>-249.39373999999998</v>
      </c>
      <c r="L39" s="814">
        <f t="shared" ca="1" si="33"/>
        <v>-0.29361381919296931</v>
      </c>
      <c r="M39" s="812" cm="1">
        <f t="array" aca="1" ref="M39" ca="1">IF(Reuters=1,_xll.TR($I$3,$C39,"scale=6 Sdate=#1 Period=#2 Curn=#3 NULL=BLANK",,$G$3,M$5,$E$3),M39)</f>
        <v>1019.87055</v>
      </c>
      <c r="N39" s="813">
        <f t="shared" si="34"/>
        <v>600</v>
      </c>
      <c r="O39" s="813">
        <f t="shared" ca="1" si="35"/>
        <v>-419.87054999999998</v>
      </c>
      <c r="P39" s="814">
        <f t="shared" ca="1" si="36"/>
        <v>-0.41169004242744334</v>
      </c>
      <c r="Q39" s="812" cm="1">
        <f t="array" aca="1" ref="Q39" ca="1">IF(Reuters=1,_xll.TR($I$3,$C39,"scale=6 Sdate=#1 Period=#2 Curn=#3 NULL=BLANK",,$G$3,Q$5,$E$3),Q39)</f>
        <v>953.63761999999997</v>
      </c>
      <c r="R39" s="813">
        <f t="shared" si="37"/>
        <v>500</v>
      </c>
      <c r="S39" s="813">
        <f t="shared" ca="1" si="38"/>
        <v>-453.63761999999997</v>
      </c>
      <c r="T39" s="814">
        <f t="shared" ca="1" si="39"/>
        <v>-0.47569182516100822</v>
      </c>
      <c r="U39" s="812" cm="1">
        <f t="array" aca="1" ref="U39" ca="1">IF(Reuters=1,_xll.TR($I$3,$C39,"scale=6 Sdate=#1 Period=#2 Curn=#3 NULL=BLANK",,$G$3,U$5,$E$3),U39)</f>
        <v>953.63761999999997</v>
      </c>
      <c r="V39" s="813">
        <f t="shared" si="40"/>
        <v>0</v>
      </c>
      <c r="W39" s="813">
        <f t="shared" ca="1" si="41"/>
        <v>-953.63761999999997</v>
      </c>
      <c r="X39" s="814">
        <f t="shared" ca="1" si="42"/>
        <v>-1</v>
      </c>
    </row>
    <row r="40" spans="1:24">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row>
    <row r="41" spans="1:24">
      <c r="D41" s="24" t="s">
        <v>1448</v>
      </c>
      <c r="E41" s="24">
        <v>225</v>
      </c>
    </row>
    <row r="42" spans="1:24">
      <c r="D42" s="24" t="s">
        <v>650</v>
      </c>
      <c r="E42" s="24">
        <v>500</v>
      </c>
    </row>
    <row r="43" spans="1:24">
      <c r="D43" s="24"/>
      <c r="E43" s="24"/>
    </row>
    <row r="44" spans="1:24">
      <c r="D44" s="24" t="s">
        <v>1449</v>
      </c>
      <c r="E44" s="24">
        <v>750</v>
      </c>
    </row>
    <row r="45" spans="1:24">
      <c r="D45" s="24" t="s">
        <v>1440</v>
      </c>
      <c r="E45" s="24">
        <v>-50</v>
      </c>
    </row>
    <row r="46" spans="1:24">
      <c r="D46" s="24" t="s">
        <v>1450</v>
      </c>
      <c r="E46" s="1037">
        <v>0.16</v>
      </c>
    </row>
    <row r="47" spans="1:24">
      <c r="D47" s="24" t="s">
        <v>1451</v>
      </c>
      <c r="E47" s="24">
        <v>-200</v>
      </c>
    </row>
  </sheetData>
  <conditionalFormatting sqref="H10:H16 L10:L16 P10:P16 T10:T16 X10:X16 T19:T21 X19:X21 H24:H30 L24:L30 P24:P30 T24:T30 X24:X30 H33:H39 L33:L39 P33:P39 T33:T39 X33:X39">
    <cfRule type="expression" dxfId="15" priority="1">
      <formula>ABS(H10)&gt;=$L$3</formula>
    </cfRule>
    <cfRule type="expression" dxfId="14" priority="2">
      <formula>ABS(H10)&lt;$L$3</formula>
    </cfRule>
  </conditionalFormatting>
  <pageMargins left="0.7" right="0.7" top="0.75" bottom="0.75" header="0.3" footer="0.3"/>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4F0C-3110-484B-A2A3-F2660B6882D1}">
  <dimension ref="A1:H374"/>
  <sheetViews>
    <sheetView showGridLines="0" workbookViewId="0"/>
  </sheetViews>
  <sheetFormatPr defaultColWidth="20.53125" defaultRowHeight="10.5"/>
  <cols>
    <col min="1" max="1" width="8.796875" style="1289"/>
    <col min="2" max="3" width="9.796875" style="1289" customWidth="1"/>
    <col min="4" max="4" width="9.796875" style="1294" customWidth="1"/>
    <col min="5" max="16" width="9.796875" style="1289" customWidth="1"/>
    <col min="17" max="17" width="20.53125" style="1289" customWidth="1"/>
    <col min="18" max="16384" width="20.53125" style="1289"/>
  </cols>
  <sheetData>
    <row r="1" spans="1:4">
      <c r="A1" s="1289" t="s">
        <v>1686</v>
      </c>
    </row>
    <row r="2" spans="1:4">
      <c r="A2" s="1289" t="s">
        <v>1687</v>
      </c>
    </row>
    <row r="3" spans="1:4">
      <c r="A3" s="1289" t="s">
        <v>1688</v>
      </c>
    </row>
    <row r="4" spans="1:4">
      <c r="A4" s="1289" t="s">
        <v>1689</v>
      </c>
    </row>
    <row r="5" spans="1:4">
      <c r="A5" s="1289" t="s">
        <v>1690</v>
      </c>
    </row>
    <row r="6" spans="1:4">
      <c r="A6" s="1289" t="s">
        <v>1691</v>
      </c>
    </row>
    <row r="8" spans="1:4">
      <c r="A8" s="1289" t="s">
        <v>1692</v>
      </c>
      <c r="C8" s="1289" t="s">
        <v>1693</v>
      </c>
      <c r="D8" s="1294" t="s">
        <v>1697</v>
      </c>
    </row>
    <row r="10" spans="1:4">
      <c r="A10" s="1289" t="s">
        <v>1694</v>
      </c>
    </row>
    <row r="11" spans="1:4">
      <c r="A11" s="1289" t="s">
        <v>1695</v>
      </c>
      <c r="B11" s="1289" t="s">
        <v>1696</v>
      </c>
      <c r="C11" s="1289" t="s">
        <v>1692</v>
      </c>
      <c r="D11" s="1294" t="s">
        <v>1698</v>
      </c>
    </row>
    <row r="12" spans="1:4">
      <c r="A12" s="1292">
        <v>33970</v>
      </c>
      <c r="B12" s="1292">
        <f>+A12-1</f>
        <v>33969</v>
      </c>
      <c r="C12" s="1291">
        <v>458080</v>
      </c>
    </row>
    <row r="13" spans="1:4">
      <c r="A13" s="1292">
        <v>34001</v>
      </c>
      <c r="B13" s="1292">
        <f t="shared" ref="B13:B76" si="0">+A13-1</f>
        <v>34000</v>
      </c>
      <c r="C13" s="1291">
        <v>462967</v>
      </c>
    </row>
    <row r="14" spans="1:4">
      <c r="A14" s="1292">
        <v>34029</v>
      </c>
      <c r="B14" s="1292">
        <f t="shared" si="0"/>
        <v>34028</v>
      </c>
      <c r="C14" s="1291">
        <v>458399</v>
      </c>
    </row>
    <row r="15" spans="1:4">
      <c r="A15" s="1292">
        <v>34060</v>
      </c>
      <c r="B15" s="1292">
        <f t="shared" si="0"/>
        <v>34059</v>
      </c>
      <c r="C15" s="1291">
        <v>469425</v>
      </c>
    </row>
    <row r="16" spans="1:4">
      <c r="A16" s="1292">
        <v>34090</v>
      </c>
      <c r="B16" s="1292">
        <f t="shared" si="0"/>
        <v>34089</v>
      </c>
      <c r="C16" s="1291">
        <v>468998</v>
      </c>
    </row>
    <row r="17" spans="1:3">
      <c r="A17" s="1292">
        <v>34121</v>
      </c>
      <c r="B17" s="1292">
        <f t="shared" si="0"/>
        <v>34120</v>
      </c>
      <c r="C17" s="1291">
        <v>480247</v>
      </c>
    </row>
    <row r="18" spans="1:3">
      <c r="A18" s="1292">
        <v>34151</v>
      </c>
      <c r="B18" s="1292">
        <f t="shared" si="0"/>
        <v>34150</v>
      </c>
      <c r="C18" s="1291">
        <v>483571</v>
      </c>
    </row>
    <row r="19" spans="1:3">
      <c r="A19" s="1292">
        <v>34182</v>
      </c>
      <c r="B19" s="1292">
        <f t="shared" si="0"/>
        <v>34181</v>
      </c>
      <c r="C19" s="1291">
        <v>491494</v>
      </c>
    </row>
    <row r="20" spans="1:3">
      <c r="A20" s="1292">
        <v>34213</v>
      </c>
      <c r="B20" s="1292">
        <f t="shared" si="0"/>
        <v>34212</v>
      </c>
      <c r="C20" s="1291">
        <v>497297</v>
      </c>
    </row>
    <row r="21" spans="1:3">
      <c r="A21" s="1292">
        <v>34243</v>
      </c>
      <c r="B21" s="1292">
        <f t="shared" si="0"/>
        <v>34242</v>
      </c>
      <c r="C21" s="1291">
        <v>492823</v>
      </c>
    </row>
    <row r="22" spans="1:3">
      <c r="A22" s="1292">
        <v>34274</v>
      </c>
      <c r="B22" s="1292">
        <f t="shared" si="0"/>
        <v>34273</v>
      </c>
      <c r="C22" s="1291">
        <v>515934</v>
      </c>
    </row>
    <row r="23" spans="1:3">
      <c r="A23" s="1292">
        <v>34304</v>
      </c>
      <c r="B23" s="1292">
        <f t="shared" si="0"/>
        <v>34303</v>
      </c>
      <c r="C23" s="1291">
        <v>533150</v>
      </c>
    </row>
    <row r="24" spans="1:3">
      <c r="A24" s="1292">
        <v>34335</v>
      </c>
      <c r="B24" s="1292">
        <f t="shared" si="0"/>
        <v>34334</v>
      </c>
      <c r="C24" s="1291">
        <v>513314</v>
      </c>
    </row>
    <row r="25" spans="1:3">
      <c r="A25" s="1292">
        <v>34366</v>
      </c>
      <c r="B25" s="1292">
        <f t="shared" si="0"/>
        <v>34365</v>
      </c>
      <c r="C25" s="1291">
        <v>513196</v>
      </c>
    </row>
    <row r="26" spans="1:3">
      <c r="A26" s="1292">
        <v>34394</v>
      </c>
      <c r="B26" s="1292">
        <f t="shared" si="0"/>
        <v>34393</v>
      </c>
      <c r="C26" s="1291">
        <v>521040</v>
      </c>
    </row>
    <row r="27" spans="1:3">
      <c r="A27" s="1292">
        <v>34425</v>
      </c>
      <c r="B27" s="1292">
        <f t="shared" si="0"/>
        <v>34424</v>
      </c>
      <c r="C27" s="1291">
        <v>528063</v>
      </c>
    </row>
    <row r="28" spans="1:3">
      <c r="A28" s="1292">
        <v>34455</v>
      </c>
      <c r="B28" s="1292">
        <f t="shared" si="0"/>
        <v>34454</v>
      </c>
      <c r="C28" s="1291">
        <v>532328</v>
      </c>
    </row>
    <row r="29" spans="1:3">
      <c r="A29" s="1292">
        <v>34486</v>
      </c>
      <c r="B29" s="1292">
        <f t="shared" si="0"/>
        <v>34485</v>
      </c>
      <c r="C29" s="1291">
        <v>536198</v>
      </c>
    </row>
    <row r="30" spans="1:3">
      <c r="A30" s="1292">
        <v>34516</v>
      </c>
      <c r="B30" s="1292">
        <f t="shared" si="0"/>
        <v>34515</v>
      </c>
      <c r="C30" s="1291">
        <v>537232</v>
      </c>
    </row>
    <row r="31" spans="1:3">
      <c r="A31" s="1292">
        <v>34547</v>
      </c>
      <c r="B31" s="1292">
        <f t="shared" si="0"/>
        <v>34546</v>
      </c>
      <c r="C31" s="1291">
        <v>537960</v>
      </c>
    </row>
    <row r="32" spans="1:3">
      <c r="A32" s="1292">
        <v>34578</v>
      </c>
      <c r="B32" s="1292">
        <f t="shared" si="0"/>
        <v>34577</v>
      </c>
      <c r="C32" s="1291">
        <v>538215</v>
      </c>
    </row>
    <row r="33" spans="1:3">
      <c r="A33" s="1292">
        <v>34608</v>
      </c>
      <c r="B33" s="1292">
        <f t="shared" si="0"/>
        <v>34607</v>
      </c>
      <c r="C33" s="1291">
        <v>533273</v>
      </c>
    </row>
    <row r="34" spans="1:3">
      <c r="A34" s="1292">
        <v>34639</v>
      </c>
      <c r="B34" s="1292">
        <f t="shared" si="0"/>
        <v>34638</v>
      </c>
      <c r="C34" s="1291">
        <v>539150</v>
      </c>
    </row>
    <row r="35" spans="1:3">
      <c r="A35" s="1292">
        <v>34669</v>
      </c>
      <c r="B35" s="1292">
        <f t="shared" si="0"/>
        <v>34668</v>
      </c>
      <c r="C35" s="1291">
        <v>541794</v>
      </c>
    </row>
    <row r="36" spans="1:3">
      <c r="A36" s="1292">
        <v>34700</v>
      </c>
      <c r="B36" s="1292">
        <f t="shared" si="0"/>
        <v>34699</v>
      </c>
      <c r="C36" s="1291">
        <v>543930</v>
      </c>
    </row>
    <row r="37" spans="1:3">
      <c r="A37" s="1292">
        <v>34731</v>
      </c>
      <c r="B37" s="1292">
        <f t="shared" si="0"/>
        <v>34730</v>
      </c>
      <c r="C37" s="1291">
        <v>537826</v>
      </c>
    </row>
    <row r="38" spans="1:3">
      <c r="A38" s="1292">
        <v>34759</v>
      </c>
      <c r="B38" s="1292">
        <f t="shared" si="0"/>
        <v>34758</v>
      </c>
      <c r="C38" s="1291">
        <v>542715</v>
      </c>
    </row>
    <row r="39" spans="1:3">
      <c r="A39" s="1292">
        <v>34790</v>
      </c>
      <c r="B39" s="1292">
        <f t="shared" si="0"/>
        <v>34789</v>
      </c>
      <c r="C39" s="1291">
        <v>543096</v>
      </c>
    </row>
    <row r="40" spans="1:3">
      <c r="A40" s="1292">
        <v>34820</v>
      </c>
      <c r="B40" s="1292">
        <f t="shared" si="0"/>
        <v>34819</v>
      </c>
      <c r="C40" s="1291">
        <v>542566</v>
      </c>
    </row>
    <row r="41" spans="1:3">
      <c r="A41" s="1292">
        <v>34851</v>
      </c>
      <c r="B41" s="1292">
        <f t="shared" si="0"/>
        <v>34850</v>
      </c>
      <c r="C41" s="1291">
        <v>546131</v>
      </c>
    </row>
    <row r="42" spans="1:3">
      <c r="A42" s="1292">
        <v>34881</v>
      </c>
      <c r="B42" s="1292">
        <f t="shared" si="0"/>
        <v>34880</v>
      </c>
      <c r="C42" s="1291">
        <v>547342</v>
      </c>
    </row>
    <row r="43" spans="1:3">
      <c r="A43" s="1292">
        <v>34912</v>
      </c>
      <c r="B43" s="1292">
        <f t="shared" si="0"/>
        <v>34911</v>
      </c>
      <c r="C43" s="1291">
        <v>550996</v>
      </c>
    </row>
    <row r="44" spans="1:3">
      <c r="A44" s="1292">
        <v>34943</v>
      </c>
      <c r="B44" s="1292">
        <f t="shared" si="0"/>
        <v>34942</v>
      </c>
      <c r="C44" s="1291">
        <v>554011</v>
      </c>
    </row>
    <row r="45" spans="1:3">
      <c r="A45" s="1292">
        <v>34973</v>
      </c>
      <c r="B45" s="1292">
        <f t="shared" si="0"/>
        <v>34972</v>
      </c>
      <c r="C45" s="1291">
        <v>555132</v>
      </c>
    </row>
    <row r="46" spans="1:3">
      <c r="A46" s="1292">
        <v>35004</v>
      </c>
      <c r="B46" s="1292">
        <f t="shared" si="0"/>
        <v>35003</v>
      </c>
      <c r="C46" s="1291">
        <v>557445</v>
      </c>
    </row>
    <row r="47" spans="1:3">
      <c r="A47" s="1292">
        <v>35034</v>
      </c>
      <c r="B47" s="1292">
        <f t="shared" si="0"/>
        <v>35033</v>
      </c>
      <c r="C47" s="1291">
        <v>557953</v>
      </c>
    </row>
    <row r="48" spans="1:3">
      <c r="A48" s="1292">
        <v>35065</v>
      </c>
      <c r="B48" s="1292">
        <f t="shared" si="0"/>
        <v>35064</v>
      </c>
      <c r="C48" s="1291">
        <v>575138</v>
      </c>
    </row>
    <row r="49" spans="1:3">
      <c r="A49" s="1292">
        <v>35096</v>
      </c>
      <c r="B49" s="1292">
        <f t="shared" si="0"/>
        <v>35095</v>
      </c>
      <c r="C49" s="1291">
        <v>568052</v>
      </c>
    </row>
    <row r="50" spans="1:3">
      <c r="A50" s="1292">
        <v>35125</v>
      </c>
      <c r="B50" s="1292">
        <f t="shared" si="0"/>
        <v>35124</v>
      </c>
      <c r="C50" s="1291">
        <v>574538</v>
      </c>
    </row>
    <row r="51" spans="1:3">
      <c r="A51" s="1292">
        <v>35156</v>
      </c>
      <c r="B51" s="1292">
        <f t="shared" si="0"/>
        <v>35155</v>
      </c>
      <c r="C51" s="1291">
        <v>590464</v>
      </c>
    </row>
    <row r="52" spans="1:3">
      <c r="A52" s="1292">
        <v>35186</v>
      </c>
      <c r="B52" s="1292">
        <f t="shared" si="0"/>
        <v>35185</v>
      </c>
      <c r="C52" s="1291">
        <v>600186</v>
      </c>
    </row>
    <row r="53" spans="1:3">
      <c r="A53" s="1292">
        <v>35217</v>
      </c>
      <c r="B53" s="1292">
        <f t="shared" si="0"/>
        <v>35216</v>
      </c>
      <c r="C53" s="1291">
        <v>602150</v>
      </c>
    </row>
    <row r="54" spans="1:3">
      <c r="A54" s="1292">
        <v>35247</v>
      </c>
      <c r="B54" s="1292">
        <f t="shared" si="0"/>
        <v>35246</v>
      </c>
      <c r="C54" s="1291">
        <v>599899</v>
      </c>
    </row>
    <row r="55" spans="1:3">
      <c r="A55" s="1292">
        <v>35278</v>
      </c>
      <c r="B55" s="1292">
        <f t="shared" si="0"/>
        <v>35277</v>
      </c>
      <c r="C55" s="1291">
        <v>603959</v>
      </c>
    </row>
    <row r="56" spans="1:3">
      <c r="A56" s="1292">
        <v>35309</v>
      </c>
      <c r="B56" s="1292">
        <f t="shared" si="0"/>
        <v>35308</v>
      </c>
      <c r="C56" s="1291">
        <v>615466</v>
      </c>
    </row>
    <row r="57" spans="1:3">
      <c r="A57" s="1292">
        <v>35339</v>
      </c>
      <c r="B57" s="1292">
        <f t="shared" si="0"/>
        <v>35338</v>
      </c>
      <c r="C57" s="1291">
        <v>621761</v>
      </c>
    </row>
    <row r="58" spans="1:3">
      <c r="A58" s="1292">
        <v>35370</v>
      </c>
      <c r="B58" s="1292">
        <f t="shared" si="0"/>
        <v>35369</v>
      </c>
      <c r="C58" s="1291">
        <v>620812</v>
      </c>
    </row>
    <row r="59" spans="1:3">
      <c r="A59" s="1292">
        <v>35400</v>
      </c>
      <c r="B59" s="1292">
        <f t="shared" si="0"/>
        <v>35399</v>
      </c>
      <c r="C59" s="1291">
        <v>606078</v>
      </c>
    </row>
    <row r="60" spans="1:3">
      <c r="A60" s="1292">
        <v>35431</v>
      </c>
      <c r="B60" s="1292">
        <f t="shared" si="0"/>
        <v>35430</v>
      </c>
      <c r="C60" s="1291">
        <v>608608</v>
      </c>
    </row>
    <row r="61" spans="1:3">
      <c r="A61" s="1292">
        <v>35462</v>
      </c>
      <c r="B61" s="1292">
        <f t="shared" si="0"/>
        <v>35461</v>
      </c>
      <c r="C61" s="1291">
        <v>615415</v>
      </c>
    </row>
    <row r="62" spans="1:3">
      <c r="A62" s="1292">
        <v>35490</v>
      </c>
      <c r="B62" s="1292">
        <f t="shared" si="0"/>
        <v>35489</v>
      </c>
      <c r="C62" s="1291">
        <v>620467</v>
      </c>
    </row>
    <row r="63" spans="1:3">
      <c r="A63" s="1292">
        <v>35521</v>
      </c>
      <c r="B63" s="1292">
        <f t="shared" si="0"/>
        <v>35520</v>
      </c>
      <c r="C63" s="1291">
        <v>616175</v>
      </c>
    </row>
    <row r="64" spans="1:3">
      <c r="A64" s="1292">
        <v>35551</v>
      </c>
      <c r="B64" s="1292">
        <f t="shared" si="0"/>
        <v>35550</v>
      </c>
      <c r="C64" s="1291">
        <v>624743</v>
      </c>
    </row>
    <row r="65" spans="1:3">
      <c r="A65" s="1292">
        <v>35582</v>
      </c>
      <c r="B65" s="1292">
        <f t="shared" si="0"/>
        <v>35581</v>
      </c>
      <c r="C65" s="1291">
        <v>626396</v>
      </c>
    </row>
    <row r="66" spans="1:3">
      <c r="A66" s="1292">
        <v>35612</v>
      </c>
      <c r="B66" s="1292">
        <f t="shared" si="0"/>
        <v>35611</v>
      </c>
      <c r="C66" s="1291">
        <v>637410</v>
      </c>
    </row>
    <row r="67" spans="1:3">
      <c r="A67" s="1292">
        <v>35643</v>
      </c>
      <c r="B67" s="1292">
        <f t="shared" si="0"/>
        <v>35642</v>
      </c>
      <c r="C67" s="1291">
        <v>639593</v>
      </c>
    </row>
    <row r="68" spans="1:3">
      <c r="A68" s="1292">
        <v>35674</v>
      </c>
      <c r="B68" s="1292">
        <f t="shared" si="0"/>
        <v>35673</v>
      </c>
      <c r="C68" s="1291">
        <v>646526</v>
      </c>
    </row>
    <row r="69" spans="1:3">
      <c r="A69" s="1292">
        <v>35704</v>
      </c>
      <c r="B69" s="1292">
        <f t="shared" si="0"/>
        <v>35703</v>
      </c>
      <c r="C69" s="1291">
        <v>653196</v>
      </c>
    </row>
    <row r="70" spans="1:3">
      <c r="A70" s="1292">
        <v>35735</v>
      </c>
      <c r="B70" s="1292">
        <f t="shared" si="0"/>
        <v>35734</v>
      </c>
      <c r="C70" s="1291">
        <v>643710</v>
      </c>
    </row>
    <row r="71" spans="1:3">
      <c r="A71" s="1292">
        <v>35765</v>
      </c>
      <c r="B71" s="1292">
        <f t="shared" si="0"/>
        <v>35764</v>
      </c>
      <c r="C71" s="1291">
        <v>642021</v>
      </c>
    </row>
    <row r="72" spans="1:3">
      <c r="A72" s="1292">
        <v>35796</v>
      </c>
      <c r="B72" s="1292">
        <f t="shared" si="0"/>
        <v>35795</v>
      </c>
      <c r="C72" s="1291">
        <v>645686</v>
      </c>
    </row>
    <row r="73" spans="1:3">
      <c r="A73" s="1292">
        <v>35827</v>
      </c>
      <c r="B73" s="1292">
        <f t="shared" si="0"/>
        <v>35826</v>
      </c>
      <c r="C73" s="1291">
        <v>648121</v>
      </c>
    </row>
    <row r="74" spans="1:3">
      <c r="A74" s="1292">
        <v>35855</v>
      </c>
      <c r="B74" s="1292">
        <f t="shared" si="0"/>
        <v>35854</v>
      </c>
      <c r="C74" s="1291">
        <v>666906</v>
      </c>
    </row>
    <row r="75" spans="1:3">
      <c r="A75" s="1292">
        <v>35886</v>
      </c>
      <c r="B75" s="1292">
        <f t="shared" si="0"/>
        <v>35885</v>
      </c>
      <c r="C75" s="1291">
        <v>674351</v>
      </c>
    </row>
    <row r="76" spans="1:3">
      <c r="A76" s="1292">
        <v>35916</v>
      </c>
      <c r="B76" s="1292">
        <f t="shared" si="0"/>
        <v>35915</v>
      </c>
      <c r="C76" s="1291">
        <v>674325</v>
      </c>
    </row>
    <row r="77" spans="1:3">
      <c r="A77" s="1292">
        <v>35947</v>
      </c>
      <c r="B77" s="1292">
        <f t="shared" ref="B77:B140" si="1">+A77-1</f>
        <v>35946</v>
      </c>
      <c r="C77" s="1291">
        <v>703177</v>
      </c>
    </row>
    <row r="78" spans="1:3">
      <c r="A78" s="1292">
        <v>35977</v>
      </c>
      <c r="B78" s="1292">
        <f t="shared" si="1"/>
        <v>35976</v>
      </c>
      <c r="C78" s="1291">
        <v>696540</v>
      </c>
    </row>
    <row r="79" spans="1:3">
      <c r="A79" s="1292">
        <v>36008</v>
      </c>
      <c r="B79" s="1292">
        <f t="shared" si="1"/>
        <v>36007</v>
      </c>
      <c r="C79" s="1291">
        <v>698156</v>
      </c>
    </row>
    <row r="80" spans="1:3">
      <c r="A80" s="1292">
        <v>36039</v>
      </c>
      <c r="B80" s="1292">
        <f t="shared" si="1"/>
        <v>36038</v>
      </c>
      <c r="C80" s="1291">
        <v>707561</v>
      </c>
    </row>
    <row r="81" spans="1:3">
      <c r="A81" s="1292">
        <v>36069</v>
      </c>
      <c r="B81" s="1292">
        <f t="shared" si="1"/>
        <v>36068</v>
      </c>
      <c r="C81" s="1291">
        <v>707943</v>
      </c>
    </row>
    <row r="82" spans="1:3">
      <c r="A82" s="1292">
        <v>36100</v>
      </c>
      <c r="B82" s="1292">
        <f t="shared" si="1"/>
        <v>36099</v>
      </c>
      <c r="C82" s="1291">
        <v>707845</v>
      </c>
    </row>
    <row r="83" spans="1:3">
      <c r="A83" s="1292">
        <v>36130</v>
      </c>
      <c r="B83" s="1292">
        <f t="shared" si="1"/>
        <v>36129</v>
      </c>
      <c r="C83" s="1291">
        <v>706989</v>
      </c>
    </row>
    <row r="84" spans="1:3">
      <c r="A84" s="1292">
        <v>36161</v>
      </c>
      <c r="B84" s="1292">
        <f t="shared" si="1"/>
        <v>36160</v>
      </c>
      <c r="C84" s="1291">
        <v>708818</v>
      </c>
    </row>
    <row r="85" spans="1:3">
      <c r="A85" s="1292">
        <v>36192</v>
      </c>
      <c r="B85" s="1292">
        <f t="shared" si="1"/>
        <v>36191</v>
      </c>
      <c r="C85" s="1291">
        <v>726308</v>
      </c>
    </row>
    <row r="86" spans="1:3">
      <c r="A86" s="1292">
        <v>36220</v>
      </c>
      <c r="B86" s="1292">
        <f t="shared" si="1"/>
        <v>36219</v>
      </c>
      <c r="C86" s="1291">
        <v>737226</v>
      </c>
    </row>
    <row r="87" spans="1:3">
      <c r="A87" s="1292">
        <v>36251</v>
      </c>
      <c r="B87" s="1292">
        <f t="shared" si="1"/>
        <v>36250</v>
      </c>
      <c r="C87" s="1291">
        <v>728788</v>
      </c>
    </row>
    <row r="88" spans="1:3">
      <c r="A88" s="1292">
        <v>36281</v>
      </c>
      <c r="B88" s="1292">
        <f t="shared" si="1"/>
        <v>36280</v>
      </c>
      <c r="C88" s="1291">
        <v>727358</v>
      </c>
    </row>
    <row r="89" spans="1:3">
      <c r="A89" s="1292">
        <v>36312</v>
      </c>
      <c r="B89" s="1292">
        <f t="shared" si="1"/>
        <v>36311</v>
      </c>
      <c r="C89" s="1291">
        <v>739167</v>
      </c>
    </row>
    <row r="90" spans="1:3">
      <c r="A90" s="1292">
        <v>36342</v>
      </c>
      <c r="B90" s="1292">
        <f t="shared" si="1"/>
        <v>36341</v>
      </c>
      <c r="C90" s="1291">
        <v>745815</v>
      </c>
    </row>
    <row r="91" spans="1:3">
      <c r="A91" s="1292">
        <v>36373</v>
      </c>
      <c r="B91" s="1292">
        <f t="shared" si="1"/>
        <v>36372</v>
      </c>
      <c r="C91" s="1291">
        <v>741524</v>
      </c>
    </row>
    <row r="92" spans="1:3">
      <c r="A92" s="1292">
        <v>36404</v>
      </c>
      <c r="B92" s="1292">
        <f t="shared" si="1"/>
        <v>36403</v>
      </c>
      <c r="C92" s="1291">
        <v>751402</v>
      </c>
    </row>
    <row r="93" spans="1:3">
      <c r="A93" s="1292">
        <v>36434</v>
      </c>
      <c r="B93" s="1292">
        <f t="shared" si="1"/>
        <v>36433</v>
      </c>
      <c r="C93" s="1291">
        <v>759906</v>
      </c>
    </row>
    <row r="94" spans="1:3">
      <c r="A94" s="1292">
        <v>36465</v>
      </c>
      <c r="B94" s="1292">
        <f t="shared" si="1"/>
        <v>36464</v>
      </c>
      <c r="C94" s="1291">
        <v>781199</v>
      </c>
    </row>
    <row r="95" spans="1:3">
      <c r="A95" s="1292">
        <v>36495</v>
      </c>
      <c r="B95" s="1292">
        <f t="shared" si="1"/>
        <v>36494</v>
      </c>
      <c r="C95" s="1291">
        <v>789431</v>
      </c>
    </row>
    <row r="96" spans="1:3">
      <c r="A96" s="1292">
        <v>36526</v>
      </c>
      <c r="B96" s="1292">
        <f t="shared" si="1"/>
        <v>36525</v>
      </c>
      <c r="C96" s="1291">
        <v>784940</v>
      </c>
    </row>
    <row r="97" spans="1:3">
      <c r="A97" s="1292">
        <v>36557</v>
      </c>
      <c r="B97" s="1292">
        <f t="shared" si="1"/>
        <v>36556</v>
      </c>
      <c r="C97" s="1291">
        <v>793737</v>
      </c>
    </row>
    <row r="98" spans="1:3">
      <c r="A98" s="1292">
        <v>36586</v>
      </c>
      <c r="B98" s="1292">
        <f t="shared" si="1"/>
        <v>36585</v>
      </c>
      <c r="C98" s="1291">
        <v>809459</v>
      </c>
    </row>
    <row r="99" spans="1:3">
      <c r="A99" s="1292">
        <v>36617</v>
      </c>
      <c r="B99" s="1292">
        <f t="shared" si="1"/>
        <v>36616</v>
      </c>
      <c r="C99" s="1291">
        <v>804766</v>
      </c>
    </row>
    <row r="100" spans="1:3">
      <c r="A100" s="1292">
        <v>36647</v>
      </c>
      <c r="B100" s="1292">
        <f t="shared" si="1"/>
        <v>36646</v>
      </c>
      <c r="C100" s="1291">
        <v>805005</v>
      </c>
    </row>
    <row r="101" spans="1:3">
      <c r="A101" s="1292">
        <v>36678</v>
      </c>
      <c r="B101" s="1292">
        <f t="shared" si="1"/>
        <v>36677</v>
      </c>
      <c r="C101" s="1291">
        <v>795411</v>
      </c>
    </row>
    <row r="102" spans="1:3">
      <c r="A102" s="1292">
        <v>36708</v>
      </c>
      <c r="B102" s="1292">
        <f t="shared" si="1"/>
        <v>36707</v>
      </c>
      <c r="C102" s="1291">
        <v>783795</v>
      </c>
    </row>
    <row r="103" spans="1:3">
      <c r="A103" s="1292">
        <v>36739</v>
      </c>
      <c r="B103" s="1292">
        <f t="shared" si="1"/>
        <v>36738</v>
      </c>
      <c r="C103" s="1291">
        <v>805341</v>
      </c>
    </row>
    <row r="104" spans="1:3">
      <c r="A104" s="1292">
        <v>36770</v>
      </c>
      <c r="B104" s="1292">
        <f t="shared" si="1"/>
        <v>36769</v>
      </c>
      <c r="C104" s="1291">
        <v>814330</v>
      </c>
    </row>
    <row r="105" spans="1:3">
      <c r="A105" s="1292">
        <v>36800</v>
      </c>
      <c r="B105" s="1292">
        <f t="shared" si="1"/>
        <v>36799</v>
      </c>
      <c r="C105" s="1291">
        <v>816100</v>
      </c>
    </row>
    <row r="106" spans="1:3">
      <c r="A106" s="1292">
        <v>36831</v>
      </c>
      <c r="B106" s="1292">
        <f t="shared" si="1"/>
        <v>36830</v>
      </c>
      <c r="C106" s="1291">
        <v>820054</v>
      </c>
    </row>
    <row r="107" spans="1:3">
      <c r="A107" s="1292">
        <v>36861</v>
      </c>
      <c r="B107" s="1292">
        <f t="shared" si="1"/>
        <v>36860</v>
      </c>
      <c r="C107" s="1291">
        <v>811516</v>
      </c>
    </row>
    <row r="108" spans="1:3">
      <c r="A108" s="1292">
        <v>36892</v>
      </c>
      <c r="B108" s="1292">
        <f t="shared" si="1"/>
        <v>36891</v>
      </c>
      <c r="C108" s="1291">
        <v>814479</v>
      </c>
    </row>
    <row r="109" spans="1:3">
      <c r="A109" s="1292">
        <v>36923</v>
      </c>
      <c r="B109" s="1292">
        <f t="shared" si="1"/>
        <v>36922</v>
      </c>
      <c r="C109" s="1291">
        <v>813647</v>
      </c>
    </row>
    <row r="110" spans="1:3">
      <c r="A110" s="1292">
        <v>36951</v>
      </c>
      <c r="B110" s="1292">
        <f t="shared" si="1"/>
        <v>36950</v>
      </c>
      <c r="C110" s="1291">
        <v>828057</v>
      </c>
    </row>
    <row r="111" spans="1:3">
      <c r="A111" s="1292">
        <v>36982</v>
      </c>
      <c r="B111" s="1292">
        <f t="shared" si="1"/>
        <v>36981</v>
      </c>
      <c r="C111" s="1291">
        <v>842392</v>
      </c>
    </row>
    <row r="112" spans="1:3">
      <c r="A112" s="1292">
        <v>37012</v>
      </c>
      <c r="B112" s="1292">
        <f t="shared" si="1"/>
        <v>37011</v>
      </c>
      <c r="C112" s="1291">
        <v>848146</v>
      </c>
    </row>
    <row r="113" spans="1:3">
      <c r="A113" s="1292">
        <v>37043</v>
      </c>
      <c r="B113" s="1292">
        <f t="shared" si="1"/>
        <v>37042</v>
      </c>
      <c r="C113" s="1291">
        <v>855730</v>
      </c>
    </row>
    <row r="114" spans="1:3">
      <c r="A114" s="1292">
        <v>37073</v>
      </c>
      <c r="B114" s="1292">
        <f t="shared" si="1"/>
        <v>37072</v>
      </c>
      <c r="C114" s="1291">
        <v>850471</v>
      </c>
    </row>
    <row r="115" spans="1:3">
      <c r="A115" s="1292">
        <v>37104</v>
      </c>
      <c r="B115" s="1292">
        <f t="shared" si="1"/>
        <v>37103</v>
      </c>
      <c r="C115" s="1291">
        <v>847465</v>
      </c>
    </row>
    <row r="116" spans="1:3">
      <c r="A116" s="1292">
        <v>37135</v>
      </c>
      <c r="B116" s="1292">
        <f t="shared" si="1"/>
        <v>37134</v>
      </c>
      <c r="C116" s="1291">
        <v>837412</v>
      </c>
    </row>
    <row r="117" spans="1:3">
      <c r="A117" s="1292">
        <v>37165</v>
      </c>
      <c r="B117" s="1292">
        <f t="shared" si="1"/>
        <v>37164</v>
      </c>
      <c r="C117" s="1291">
        <v>845941</v>
      </c>
    </row>
    <row r="118" spans="1:3">
      <c r="A118" s="1292">
        <v>37196</v>
      </c>
      <c r="B118" s="1292">
        <f t="shared" si="1"/>
        <v>37195</v>
      </c>
      <c r="C118" s="1291">
        <v>843911</v>
      </c>
    </row>
    <row r="119" spans="1:3">
      <c r="A119" s="1292">
        <v>37226</v>
      </c>
      <c r="B119" s="1292">
        <f t="shared" si="1"/>
        <v>37225</v>
      </c>
      <c r="C119" s="1291">
        <v>849689</v>
      </c>
    </row>
    <row r="120" spans="1:3">
      <c r="A120" s="1292">
        <v>37257</v>
      </c>
      <c r="B120" s="1292">
        <f t="shared" si="1"/>
        <v>37256</v>
      </c>
      <c r="C120" s="1291">
        <v>858654</v>
      </c>
    </row>
    <row r="121" spans="1:3">
      <c r="A121" s="1292">
        <v>37288</v>
      </c>
      <c r="B121" s="1292">
        <f t="shared" si="1"/>
        <v>37287</v>
      </c>
      <c r="C121" s="1291">
        <v>862338</v>
      </c>
    </row>
    <row r="122" spans="1:3">
      <c r="A122" s="1292">
        <v>37316</v>
      </c>
      <c r="B122" s="1292">
        <f t="shared" si="1"/>
        <v>37315</v>
      </c>
      <c r="C122" s="1291">
        <v>844551</v>
      </c>
    </row>
    <row r="123" spans="1:3">
      <c r="A123" s="1292">
        <v>37347</v>
      </c>
      <c r="B123" s="1292">
        <f t="shared" si="1"/>
        <v>37346</v>
      </c>
      <c r="C123" s="1291">
        <v>858240</v>
      </c>
    </row>
    <row r="124" spans="1:3">
      <c r="A124" s="1292">
        <v>37377</v>
      </c>
      <c r="B124" s="1292">
        <f t="shared" si="1"/>
        <v>37376</v>
      </c>
      <c r="C124" s="1291">
        <v>850935</v>
      </c>
    </row>
    <row r="125" spans="1:3">
      <c r="A125" s="1292">
        <v>37408</v>
      </c>
      <c r="B125" s="1292">
        <f t="shared" si="1"/>
        <v>37407</v>
      </c>
      <c r="C125" s="1291">
        <v>846777</v>
      </c>
    </row>
    <row r="126" spans="1:3">
      <c r="A126" s="1292">
        <v>37438</v>
      </c>
      <c r="B126" s="1292">
        <f t="shared" si="1"/>
        <v>37437</v>
      </c>
      <c r="C126" s="1291">
        <v>847129</v>
      </c>
    </row>
    <row r="127" spans="1:3">
      <c r="A127" s="1292">
        <v>37469</v>
      </c>
      <c r="B127" s="1292">
        <f t="shared" si="1"/>
        <v>37468</v>
      </c>
      <c r="C127" s="1291">
        <v>839008</v>
      </c>
    </row>
    <row r="128" spans="1:3">
      <c r="A128" s="1292">
        <v>37500</v>
      </c>
      <c r="B128" s="1292">
        <f t="shared" si="1"/>
        <v>37499</v>
      </c>
      <c r="C128" s="1291">
        <v>832134</v>
      </c>
    </row>
    <row r="129" spans="1:3">
      <c r="A129" s="1292">
        <v>37530</v>
      </c>
      <c r="B129" s="1292">
        <f t="shared" si="1"/>
        <v>37529</v>
      </c>
      <c r="C129" s="1291">
        <v>839690</v>
      </c>
    </row>
    <row r="130" spans="1:3">
      <c r="A130" s="1292">
        <v>37561</v>
      </c>
      <c r="B130" s="1292">
        <f t="shared" si="1"/>
        <v>37560</v>
      </c>
      <c r="C130" s="1291">
        <v>844697</v>
      </c>
    </row>
    <row r="131" spans="1:3">
      <c r="A131" s="1292">
        <v>37591</v>
      </c>
      <c r="B131" s="1292">
        <f t="shared" si="1"/>
        <v>37590</v>
      </c>
      <c r="C131" s="1291">
        <v>855921</v>
      </c>
    </row>
    <row r="132" spans="1:3">
      <c r="A132" s="1292">
        <v>37622</v>
      </c>
      <c r="B132" s="1292">
        <f t="shared" si="1"/>
        <v>37621</v>
      </c>
      <c r="C132" s="1291">
        <v>863855</v>
      </c>
    </row>
    <row r="133" spans="1:3">
      <c r="A133" s="1292">
        <v>37653</v>
      </c>
      <c r="B133" s="1292">
        <f t="shared" si="1"/>
        <v>37652</v>
      </c>
      <c r="C133" s="1291">
        <v>859225</v>
      </c>
    </row>
    <row r="134" spans="1:3">
      <c r="A134" s="1292">
        <v>37681</v>
      </c>
      <c r="B134" s="1292">
        <f t="shared" si="1"/>
        <v>37680</v>
      </c>
      <c r="C134" s="1291">
        <v>851132</v>
      </c>
    </row>
    <row r="135" spans="1:3">
      <c r="A135" s="1292">
        <v>37712</v>
      </c>
      <c r="B135" s="1292">
        <f t="shared" si="1"/>
        <v>37711</v>
      </c>
      <c r="C135" s="1291">
        <v>859459</v>
      </c>
    </row>
    <row r="136" spans="1:3">
      <c r="A136" s="1292">
        <v>37742</v>
      </c>
      <c r="B136" s="1292">
        <f t="shared" si="1"/>
        <v>37741</v>
      </c>
      <c r="C136" s="1291">
        <v>866814</v>
      </c>
    </row>
    <row r="137" spans="1:3">
      <c r="A137" s="1292">
        <v>37773</v>
      </c>
      <c r="B137" s="1292">
        <f t="shared" si="1"/>
        <v>37772</v>
      </c>
      <c r="C137" s="1291">
        <v>880865</v>
      </c>
    </row>
    <row r="138" spans="1:3">
      <c r="A138" s="1292">
        <v>37803</v>
      </c>
      <c r="B138" s="1292">
        <f t="shared" si="1"/>
        <v>37802</v>
      </c>
      <c r="C138" s="1291">
        <v>891264</v>
      </c>
    </row>
    <row r="139" spans="1:3">
      <c r="A139" s="1292">
        <v>37834</v>
      </c>
      <c r="B139" s="1292">
        <f t="shared" si="1"/>
        <v>37833</v>
      </c>
      <c r="C139" s="1291">
        <v>901839</v>
      </c>
    </row>
    <row r="140" spans="1:3">
      <c r="A140" s="1292">
        <v>37865</v>
      </c>
      <c r="B140" s="1292">
        <f t="shared" si="1"/>
        <v>37864</v>
      </c>
      <c r="C140" s="1291">
        <v>911589</v>
      </c>
    </row>
    <row r="141" spans="1:3">
      <c r="A141" s="1292">
        <v>37895</v>
      </c>
      <c r="B141" s="1292">
        <f t="shared" ref="B141:B204" si="2">+A141-1</f>
        <v>37894</v>
      </c>
      <c r="C141" s="1291">
        <v>925732</v>
      </c>
    </row>
    <row r="142" spans="1:3">
      <c r="A142" s="1292">
        <v>37926</v>
      </c>
      <c r="B142" s="1292">
        <f t="shared" si="2"/>
        <v>37925</v>
      </c>
      <c r="C142" s="1291">
        <v>925985</v>
      </c>
    </row>
    <row r="143" spans="1:3">
      <c r="A143" s="1292">
        <v>37956</v>
      </c>
      <c r="B143" s="1292">
        <f t="shared" si="2"/>
        <v>37955</v>
      </c>
      <c r="C143" s="1291">
        <v>948491</v>
      </c>
    </row>
    <row r="144" spans="1:3">
      <c r="A144" s="1292">
        <v>37987</v>
      </c>
      <c r="B144" s="1292">
        <f t="shared" si="2"/>
        <v>37986</v>
      </c>
      <c r="C144" s="1291">
        <v>938525</v>
      </c>
    </row>
    <row r="145" spans="1:4">
      <c r="A145" s="1292">
        <v>38018</v>
      </c>
      <c r="B145" s="1292">
        <f t="shared" si="2"/>
        <v>38017</v>
      </c>
      <c r="C145" s="1291">
        <v>937813</v>
      </c>
    </row>
    <row r="146" spans="1:4">
      <c r="A146" s="1292">
        <v>38047</v>
      </c>
      <c r="B146" s="1292">
        <f t="shared" si="2"/>
        <v>38046</v>
      </c>
      <c r="C146" s="1291">
        <v>961159</v>
      </c>
    </row>
    <row r="147" spans="1:4">
      <c r="A147" s="1292">
        <v>38078</v>
      </c>
      <c r="B147" s="1292">
        <f t="shared" si="2"/>
        <v>38077</v>
      </c>
      <c r="C147" s="1291">
        <v>967602</v>
      </c>
    </row>
    <row r="148" spans="1:4">
      <c r="A148" s="1292">
        <v>38108</v>
      </c>
      <c r="B148" s="1292">
        <f t="shared" si="2"/>
        <v>38107</v>
      </c>
      <c r="C148" s="1291">
        <v>974381</v>
      </c>
    </row>
    <row r="149" spans="1:4">
      <c r="A149" s="1292">
        <v>38139</v>
      </c>
      <c r="B149" s="1292">
        <f t="shared" si="2"/>
        <v>38138</v>
      </c>
      <c r="C149" s="1291">
        <v>983087</v>
      </c>
    </row>
    <row r="150" spans="1:4">
      <c r="A150" s="1292">
        <v>38169</v>
      </c>
      <c r="B150" s="1292">
        <f t="shared" si="2"/>
        <v>38168</v>
      </c>
      <c r="C150" s="1291">
        <v>1006184</v>
      </c>
    </row>
    <row r="151" spans="1:4">
      <c r="A151" s="1292">
        <v>38200</v>
      </c>
      <c r="B151" s="1292">
        <f t="shared" si="2"/>
        <v>38199</v>
      </c>
      <c r="C151" s="1291">
        <v>1013616</v>
      </c>
    </row>
    <row r="152" spans="1:4">
      <c r="A152" s="1292">
        <v>38231</v>
      </c>
      <c r="B152" s="1292">
        <f t="shared" si="2"/>
        <v>38230</v>
      </c>
      <c r="C152" s="1291">
        <v>1012080</v>
      </c>
    </row>
    <row r="153" spans="1:4">
      <c r="A153" s="1292">
        <v>38261</v>
      </c>
      <c r="B153" s="1292">
        <f t="shared" si="2"/>
        <v>38260</v>
      </c>
      <c r="C153" s="1291">
        <v>1015719</v>
      </c>
    </row>
    <row r="154" spans="1:4">
      <c r="A154" s="1292">
        <v>38292</v>
      </c>
      <c r="B154" s="1292">
        <f t="shared" si="2"/>
        <v>38291</v>
      </c>
      <c r="C154" s="1291">
        <v>1022994</v>
      </c>
    </row>
    <row r="155" spans="1:4">
      <c r="A155" s="1292">
        <v>38322</v>
      </c>
      <c r="B155" s="1292">
        <f t="shared" si="2"/>
        <v>38321</v>
      </c>
      <c r="C155" s="1291">
        <v>1037480</v>
      </c>
      <c r="D155" s="1294">
        <v>18.102</v>
      </c>
    </row>
    <row r="156" spans="1:4">
      <c r="A156" s="1292">
        <v>38353</v>
      </c>
      <c r="B156" s="1292">
        <f t="shared" si="2"/>
        <v>38352</v>
      </c>
      <c r="C156" s="1291">
        <v>1046082</v>
      </c>
      <c r="D156" s="1294">
        <v>16.888999999999999</v>
      </c>
    </row>
    <row r="157" spans="1:4">
      <c r="A157" s="1292">
        <v>38384</v>
      </c>
      <c r="B157" s="1292">
        <f t="shared" si="2"/>
        <v>38383</v>
      </c>
      <c r="C157" s="1291">
        <v>1066848</v>
      </c>
      <c r="D157" s="1294">
        <v>16.885999999999999</v>
      </c>
    </row>
    <row r="158" spans="1:4">
      <c r="A158" s="1292">
        <v>38412</v>
      </c>
      <c r="B158" s="1292">
        <f t="shared" si="2"/>
        <v>38411</v>
      </c>
      <c r="C158" s="1291">
        <v>1071745</v>
      </c>
      <c r="D158" s="1294">
        <v>17.413</v>
      </c>
    </row>
    <row r="159" spans="1:4">
      <c r="A159" s="1292">
        <v>38443</v>
      </c>
      <c r="B159" s="1292">
        <f t="shared" si="2"/>
        <v>38442</v>
      </c>
      <c r="C159" s="1291">
        <v>1081012</v>
      </c>
      <c r="D159" s="1294">
        <v>17.756</v>
      </c>
    </row>
    <row r="160" spans="1:4">
      <c r="A160" s="1292">
        <v>38473</v>
      </c>
      <c r="B160" s="1292">
        <f t="shared" si="2"/>
        <v>38472</v>
      </c>
      <c r="C160" s="1291">
        <v>1093341</v>
      </c>
      <c r="D160" s="1294">
        <v>17.414000000000001</v>
      </c>
    </row>
    <row r="161" spans="1:4">
      <c r="A161" s="1292">
        <v>38504</v>
      </c>
      <c r="B161" s="1292">
        <f t="shared" si="2"/>
        <v>38503</v>
      </c>
      <c r="C161" s="1291">
        <v>1105896</v>
      </c>
      <c r="D161" s="1294">
        <v>18.481999999999999</v>
      </c>
    </row>
    <row r="162" spans="1:4">
      <c r="A162" s="1292">
        <v>38534</v>
      </c>
      <c r="B162" s="1292">
        <f t="shared" si="2"/>
        <v>38533</v>
      </c>
      <c r="C162" s="1291">
        <v>1119101</v>
      </c>
      <c r="D162" s="1294">
        <v>21.135000000000002</v>
      </c>
    </row>
    <row r="163" spans="1:4">
      <c r="A163" s="1292">
        <v>38565</v>
      </c>
      <c r="B163" s="1292">
        <f t="shared" si="2"/>
        <v>38564</v>
      </c>
      <c r="C163" s="1291">
        <v>1129163</v>
      </c>
      <c r="D163" s="1294">
        <v>17.417999999999999</v>
      </c>
    </row>
    <row r="164" spans="1:4">
      <c r="A164" s="1292">
        <v>38596</v>
      </c>
      <c r="B164" s="1292">
        <f t="shared" si="2"/>
        <v>38595</v>
      </c>
      <c r="C164" s="1291">
        <v>1148438</v>
      </c>
      <c r="D164" s="1294">
        <v>16.927</v>
      </c>
    </row>
    <row r="165" spans="1:4">
      <c r="A165" s="1292">
        <v>38626</v>
      </c>
      <c r="B165" s="1292">
        <f t="shared" si="2"/>
        <v>38625</v>
      </c>
      <c r="C165" s="1291">
        <v>1160831</v>
      </c>
      <c r="D165" s="1294">
        <v>15.336</v>
      </c>
    </row>
    <row r="166" spans="1:4">
      <c r="A166" s="1292">
        <v>38657</v>
      </c>
      <c r="B166" s="1292">
        <f t="shared" si="2"/>
        <v>38656</v>
      </c>
      <c r="C166" s="1291">
        <v>1172090</v>
      </c>
      <c r="D166" s="1294">
        <v>16.524000000000001</v>
      </c>
    </row>
    <row r="167" spans="1:4">
      <c r="A167" s="1292">
        <v>38687</v>
      </c>
      <c r="B167" s="1292">
        <f t="shared" si="2"/>
        <v>38686</v>
      </c>
      <c r="C167" s="1291">
        <v>1184677</v>
      </c>
      <c r="D167" s="1294">
        <v>17.173999999999999</v>
      </c>
    </row>
    <row r="168" spans="1:4">
      <c r="A168" s="1292">
        <v>38718</v>
      </c>
      <c r="B168" s="1292">
        <f t="shared" si="2"/>
        <v>38717</v>
      </c>
      <c r="C168" s="1291">
        <v>1195642</v>
      </c>
      <c r="D168" s="1294">
        <v>18.081</v>
      </c>
    </row>
    <row r="169" spans="1:4">
      <c r="A169" s="1292">
        <v>38749</v>
      </c>
      <c r="B169" s="1292">
        <f t="shared" si="2"/>
        <v>38748</v>
      </c>
      <c r="C169" s="1291">
        <v>1205639</v>
      </c>
      <c r="D169" s="1294">
        <v>17.071000000000002</v>
      </c>
    </row>
    <row r="170" spans="1:4">
      <c r="A170" s="1292">
        <v>38777</v>
      </c>
      <c r="B170" s="1292">
        <f t="shared" si="2"/>
        <v>38776</v>
      </c>
      <c r="C170" s="1291">
        <v>1205169</v>
      </c>
      <c r="D170" s="1294">
        <v>16.96</v>
      </c>
    </row>
    <row r="171" spans="1:4">
      <c r="A171" s="1292">
        <v>38808</v>
      </c>
      <c r="B171" s="1292">
        <f t="shared" si="2"/>
        <v>38807</v>
      </c>
      <c r="C171" s="1291">
        <v>1193296</v>
      </c>
      <c r="D171" s="1294">
        <v>17.126999999999999</v>
      </c>
    </row>
    <row r="172" spans="1:4">
      <c r="A172" s="1292">
        <v>38838</v>
      </c>
      <c r="B172" s="1292">
        <f t="shared" si="2"/>
        <v>38837</v>
      </c>
      <c r="C172" s="1291">
        <v>1180581</v>
      </c>
      <c r="D172" s="1294">
        <v>16.728999999999999</v>
      </c>
    </row>
    <row r="173" spans="1:4">
      <c r="A173" s="1292">
        <v>38869</v>
      </c>
      <c r="B173" s="1292">
        <f t="shared" si="2"/>
        <v>38868</v>
      </c>
      <c r="C173" s="1291">
        <v>1172128</v>
      </c>
      <c r="D173" s="1294">
        <v>16.899999999999999</v>
      </c>
    </row>
    <row r="174" spans="1:4">
      <c r="A174" s="1292">
        <v>38899</v>
      </c>
      <c r="B174" s="1292">
        <f t="shared" si="2"/>
        <v>38898</v>
      </c>
      <c r="C174" s="1291">
        <v>1157926</v>
      </c>
      <c r="D174" s="1294">
        <v>17.661999999999999</v>
      </c>
    </row>
    <row r="175" spans="1:4">
      <c r="A175" s="1292">
        <v>38930</v>
      </c>
      <c r="B175" s="1292">
        <f t="shared" si="2"/>
        <v>38929</v>
      </c>
      <c r="C175" s="1291">
        <v>1145907</v>
      </c>
      <c r="D175" s="1294">
        <v>16.457999999999998</v>
      </c>
    </row>
    <row r="176" spans="1:4">
      <c r="A176" s="1292">
        <v>38961</v>
      </c>
      <c r="B176" s="1292">
        <f t="shared" si="2"/>
        <v>38960</v>
      </c>
      <c r="C176" s="1291">
        <v>1135753</v>
      </c>
      <c r="D176" s="1294">
        <v>16.974</v>
      </c>
    </row>
    <row r="177" spans="1:4">
      <c r="A177" s="1292">
        <v>38991</v>
      </c>
      <c r="B177" s="1292">
        <f t="shared" si="2"/>
        <v>38990</v>
      </c>
      <c r="C177" s="1291">
        <v>1122914</v>
      </c>
      <c r="D177" s="1294">
        <v>16.864999999999998</v>
      </c>
    </row>
    <row r="178" spans="1:4">
      <c r="A178" s="1292">
        <v>39022</v>
      </c>
      <c r="B178" s="1292">
        <f t="shared" si="2"/>
        <v>39021</v>
      </c>
      <c r="C178" s="1291">
        <v>1121749</v>
      </c>
      <c r="D178" s="1294">
        <v>16.657</v>
      </c>
    </row>
    <row r="179" spans="1:4">
      <c r="A179" s="1292">
        <v>39052</v>
      </c>
      <c r="B179" s="1292">
        <f t="shared" si="2"/>
        <v>39051</v>
      </c>
      <c r="C179" s="1291">
        <v>1135406</v>
      </c>
      <c r="D179" s="1294">
        <v>17.106999999999999</v>
      </c>
    </row>
    <row r="180" spans="1:4">
      <c r="A180" s="1292">
        <v>39083</v>
      </c>
      <c r="B180" s="1292">
        <f t="shared" si="2"/>
        <v>39082</v>
      </c>
      <c r="C180" s="1291">
        <v>1137917</v>
      </c>
      <c r="D180" s="1294">
        <v>16.896000000000001</v>
      </c>
    </row>
    <row r="181" spans="1:4">
      <c r="A181" s="1292">
        <v>39114</v>
      </c>
      <c r="B181" s="1292">
        <f t="shared" si="2"/>
        <v>39113</v>
      </c>
      <c r="C181" s="1291">
        <v>1139032</v>
      </c>
      <c r="D181" s="1294">
        <v>17.169</v>
      </c>
    </row>
    <row r="182" spans="1:4">
      <c r="A182" s="1292">
        <v>39142</v>
      </c>
      <c r="B182" s="1292">
        <f t="shared" si="2"/>
        <v>39141</v>
      </c>
      <c r="C182" s="1291">
        <v>1146624</v>
      </c>
      <c r="D182" s="1294">
        <v>16.437999999999999</v>
      </c>
    </row>
    <row r="183" spans="1:4">
      <c r="A183" s="1292">
        <v>39173</v>
      </c>
      <c r="B183" s="1292">
        <f t="shared" si="2"/>
        <v>39172</v>
      </c>
      <c r="C183" s="1291">
        <v>1150590</v>
      </c>
      <c r="D183" s="1294">
        <v>16.614999999999998</v>
      </c>
    </row>
    <row r="184" spans="1:4">
      <c r="A184" s="1292">
        <v>39203</v>
      </c>
      <c r="B184" s="1292">
        <f t="shared" si="2"/>
        <v>39202</v>
      </c>
      <c r="C184" s="1291">
        <v>1161581</v>
      </c>
      <c r="D184" s="1294">
        <v>16.661000000000001</v>
      </c>
    </row>
    <row r="185" spans="1:4">
      <c r="A185" s="1292">
        <v>39234</v>
      </c>
      <c r="B185" s="1292">
        <f t="shared" si="2"/>
        <v>39233</v>
      </c>
      <c r="C185" s="1291">
        <v>1163511</v>
      </c>
      <c r="D185" s="1294">
        <v>16.178999999999998</v>
      </c>
    </row>
    <row r="186" spans="1:4">
      <c r="A186" s="1292">
        <v>39264</v>
      </c>
      <c r="B186" s="1292">
        <f t="shared" si="2"/>
        <v>39263</v>
      </c>
      <c r="C186" s="1291">
        <v>1155448</v>
      </c>
      <c r="D186" s="1294">
        <v>15.837</v>
      </c>
    </row>
    <row r="187" spans="1:4">
      <c r="A187" s="1292">
        <v>39295</v>
      </c>
      <c r="B187" s="1292">
        <f t="shared" si="2"/>
        <v>39294</v>
      </c>
      <c r="C187" s="1291">
        <v>1159077</v>
      </c>
      <c r="D187" s="1294">
        <v>16.379000000000001</v>
      </c>
    </row>
    <row r="188" spans="1:4">
      <c r="A188" s="1292">
        <v>39326</v>
      </c>
      <c r="B188" s="1292">
        <f t="shared" si="2"/>
        <v>39325</v>
      </c>
      <c r="C188" s="1291">
        <v>1158580</v>
      </c>
      <c r="D188" s="1294">
        <v>16.532</v>
      </c>
    </row>
    <row r="189" spans="1:4">
      <c r="A189" s="1292">
        <v>39356</v>
      </c>
      <c r="B189" s="1292">
        <f t="shared" si="2"/>
        <v>39355</v>
      </c>
      <c r="C189" s="1291">
        <v>1152491</v>
      </c>
      <c r="D189" s="1294">
        <v>16.454999999999998</v>
      </c>
    </row>
    <row r="190" spans="1:4">
      <c r="A190" s="1292">
        <v>39387</v>
      </c>
      <c r="B190" s="1292">
        <f t="shared" si="2"/>
        <v>39386</v>
      </c>
      <c r="C190" s="1291">
        <v>1132908</v>
      </c>
      <c r="D190" s="1294">
        <v>16.353999999999999</v>
      </c>
    </row>
    <row r="191" spans="1:4">
      <c r="A191" s="1292">
        <v>39417</v>
      </c>
      <c r="B191" s="1292">
        <f t="shared" si="2"/>
        <v>39416</v>
      </c>
      <c r="C191" s="1291">
        <v>1115141</v>
      </c>
      <c r="D191" s="1294">
        <v>16.03</v>
      </c>
    </row>
    <row r="192" spans="1:4">
      <c r="A192" s="1292">
        <v>39448</v>
      </c>
      <c r="B192" s="1292">
        <f t="shared" si="2"/>
        <v>39447</v>
      </c>
      <c r="C192" s="1291">
        <v>1111347</v>
      </c>
      <c r="D192" s="1294">
        <v>15.705</v>
      </c>
    </row>
    <row r="193" spans="1:4">
      <c r="A193" s="1292">
        <v>39479</v>
      </c>
      <c r="B193" s="1292">
        <f t="shared" si="2"/>
        <v>39478</v>
      </c>
      <c r="C193" s="1291">
        <v>1096648</v>
      </c>
      <c r="D193" s="1294">
        <v>15.491</v>
      </c>
    </row>
    <row r="194" spans="1:4">
      <c r="A194" s="1292">
        <v>39508</v>
      </c>
      <c r="B194" s="1292">
        <f t="shared" si="2"/>
        <v>39507</v>
      </c>
      <c r="C194" s="1291">
        <v>1103446</v>
      </c>
      <c r="D194" s="1294">
        <v>15.114000000000001</v>
      </c>
    </row>
    <row r="195" spans="1:4">
      <c r="A195" s="1292">
        <v>39539</v>
      </c>
      <c r="B195" s="1292">
        <f t="shared" si="2"/>
        <v>39538</v>
      </c>
      <c r="C195" s="1291">
        <v>1101252</v>
      </c>
      <c r="D195" s="1294">
        <v>14.605</v>
      </c>
    </row>
    <row r="196" spans="1:4">
      <c r="A196" s="1292">
        <v>39569</v>
      </c>
      <c r="B196" s="1292">
        <f t="shared" si="2"/>
        <v>39568</v>
      </c>
      <c r="C196" s="1291">
        <v>1101547</v>
      </c>
      <c r="D196" s="1294">
        <v>14.696999999999999</v>
      </c>
    </row>
    <row r="197" spans="1:4">
      <c r="A197" s="1292">
        <v>39600</v>
      </c>
      <c r="B197" s="1292">
        <f t="shared" si="2"/>
        <v>39599</v>
      </c>
      <c r="C197" s="1291">
        <v>1090098</v>
      </c>
      <c r="D197" s="1294">
        <v>14.377000000000001</v>
      </c>
    </row>
    <row r="198" spans="1:4">
      <c r="A198" s="1292">
        <v>39630</v>
      </c>
      <c r="B198" s="1292">
        <f t="shared" si="2"/>
        <v>39629</v>
      </c>
      <c r="C198" s="1291">
        <v>1086952</v>
      </c>
      <c r="D198" s="1294">
        <v>13.006</v>
      </c>
    </row>
    <row r="199" spans="1:4">
      <c r="A199" s="1292">
        <v>39661</v>
      </c>
      <c r="B199" s="1292">
        <f t="shared" si="2"/>
        <v>39660</v>
      </c>
      <c r="C199" s="1291">
        <v>1070075</v>
      </c>
      <c r="D199" s="1294">
        <v>14.119</v>
      </c>
    </row>
    <row r="200" spans="1:4">
      <c r="A200" s="1292">
        <v>39692</v>
      </c>
      <c r="B200" s="1292">
        <f t="shared" si="2"/>
        <v>39691</v>
      </c>
      <c r="C200" s="1291">
        <v>1059579</v>
      </c>
      <c r="D200" s="1294">
        <v>12.961</v>
      </c>
    </row>
    <row r="201" spans="1:4">
      <c r="A201" s="1292">
        <v>39722</v>
      </c>
      <c r="B201" s="1292">
        <f t="shared" si="2"/>
        <v>39721</v>
      </c>
      <c r="C201" s="1291">
        <v>1055959</v>
      </c>
      <c r="D201" s="1294">
        <v>10.933</v>
      </c>
    </row>
    <row r="202" spans="1:4">
      <c r="A202" s="1292">
        <v>39753</v>
      </c>
      <c r="B202" s="1292">
        <f t="shared" si="2"/>
        <v>39752</v>
      </c>
      <c r="C202" s="1291">
        <v>1035033</v>
      </c>
      <c r="D202" s="1294">
        <v>10.526</v>
      </c>
    </row>
    <row r="203" spans="1:4">
      <c r="A203" s="1292">
        <v>39783</v>
      </c>
      <c r="B203" s="1292">
        <f t="shared" si="2"/>
        <v>39782</v>
      </c>
      <c r="C203" s="1291">
        <v>999139</v>
      </c>
      <c r="D203" s="1294">
        <v>10.382999999999999</v>
      </c>
    </row>
    <row r="204" spans="1:4">
      <c r="A204" s="1292">
        <v>39814</v>
      </c>
      <c r="B204" s="1292">
        <f t="shared" si="2"/>
        <v>39813</v>
      </c>
      <c r="C204" s="1291">
        <v>975099</v>
      </c>
      <c r="D204" s="1294">
        <v>9.7859999999999996</v>
      </c>
    </row>
    <row r="205" spans="1:4">
      <c r="A205" s="1292">
        <v>39845</v>
      </c>
      <c r="B205" s="1292">
        <f t="shared" ref="B205:B268" si="3">+A205-1</f>
        <v>39844</v>
      </c>
      <c r="C205" s="1291">
        <v>971708</v>
      </c>
      <c r="D205" s="1294">
        <v>9.2230000000000008</v>
      </c>
    </row>
    <row r="206" spans="1:4">
      <c r="A206" s="1292">
        <v>39873</v>
      </c>
      <c r="B206" s="1292">
        <f t="shared" si="3"/>
        <v>39872</v>
      </c>
      <c r="C206" s="1291">
        <v>963793</v>
      </c>
      <c r="D206" s="1294">
        <v>9.7479999999999993</v>
      </c>
    </row>
    <row r="207" spans="1:4">
      <c r="A207" s="1292">
        <v>39904</v>
      </c>
      <c r="B207" s="1292">
        <f t="shared" si="3"/>
        <v>39903</v>
      </c>
      <c r="C207" s="1291">
        <v>932482</v>
      </c>
      <c r="D207" s="1294">
        <v>9.3789999999999996</v>
      </c>
    </row>
    <row r="208" spans="1:4">
      <c r="A208" s="1292">
        <v>39934</v>
      </c>
      <c r="B208" s="1292">
        <f t="shared" si="3"/>
        <v>39933</v>
      </c>
      <c r="C208" s="1291">
        <v>920020</v>
      </c>
      <c r="D208" s="1294">
        <v>10.176</v>
      </c>
    </row>
    <row r="209" spans="1:4">
      <c r="A209" s="1292">
        <v>39965</v>
      </c>
      <c r="B209" s="1292">
        <f t="shared" si="3"/>
        <v>39964</v>
      </c>
      <c r="C209" s="1291">
        <v>912530</v>
      </c>
      <c r="D209" s="1294">
        <v>10.148999999999999</v>
      </c>
    </row>
    <row r="210" spans="1:4">
      <c r="A210" s="1292">
        <v>39995</v>
      </c>
      <c r="B210" s="1292">
        <f t="shared" si="3"/>
        <v>39994</v>
      </c>
      <c r="C210" s="1291">
        <v>911438</v>
      </c>
      <c r="D210" s="1294">
        <v>11.566000000000001</v>
      </c>
    </row>
    <row r="211" spans="1:4">
      <c r="A211" s="1292">
        <v>40026</v>
      </c>
      <c r="B211" s="1292">
        <f t="shared" si="3"/>
        <v>40025</v>
      </c>
      <c r="C211" s="1291">
        <v>900112</v>
      </c>
      <c r="D211" s="1294">
        <v>14.754</v>
      </c>
    </row>
    <row r="212" spans="1:4">
      <c r="A212" s="1292">
        <v>40057</v>
      </c>
      <c r="B212" s="1292">
        <f t="shared" si="3"/>
        <v>40056</v>
      </c>
      <c r="C212" s="1291">
        <v>887241</v>
      </c>
      <c r="D212" s="1294">
        <v>9.5350000000000001</v>
      </c>
    </row>
    <row r="213" spans="1:4">
      <c r="A213" s="1292">
        <v>40087</v>
      </c>
      <c r="B213" s="1292">
        <f t="shared" si="3"/>
        <v>40086</v>
      </c>
      <c r="C213" s="1291">
        <v>871391</v>
      </c>
      <c r="D213" s="1294">
        <v>10.576000000000001</v>
      </c>
    </row>
    <row r="214" spans="1:4">
      <c r="A214" s="1292">
        <v>40118</v>
      </c>
      <c r="B214" s="1292">
        <f t="shared" si="3"/>
        <v>40117</v>
      </c>
      <c r="C214" s="1291">
        <v>858493</v>
      </c>
      <c r="D214" s="1294">
        <v>11.041</v>
      </c>
    </row>
    <row r="215" spans="1:4">
      <c r="A215" s="1292">
        <v>40148</v>
      </c>
      <c r="B215" s="1292">
        <f t="shared" si="3"/>
        <v>40147</v>
      </c>
      <c r="C215" s="1291">
        <v>842609</v>
      </c>
      <c r="D215" s="1294">
        <v>11.284000000000001</v>
      </c>
    </row>
    <row r="216" spans="1:4">
      <c r="A216" s="1292">
        <v>40179</v>
      </c>
      <c r="B216" s="1292">
        <f t="shared" si="3"/>
        <v>40178</v>
      </c>
      <c r="C216" s="1291">
        <v>822114</v>
      </c>
      <c r="D216" s="1294">
        <v>10.893000000000001</v>
      </c>
    </row>
    <row r="217" spans="1:4">
      <c r="A217" s="1292">
        <v>40210</v>
      </c>
      <c r="B217" s="1292">
        <f t="shared" si="3"/>
        <v>40209</v>
      </c>
      <c r="C217" s="1291">
        <v>814885</v>
      </c>
      <c r="D217" s="1294">
        <v>10.315</v>
      </c>
    </row>
    <row r="218" spans="1:4">
      <c r="A218" s="1292">
        <v>40238</v>
      </c>
      <c r="B218" s="1292">
        <f t="shared" si="3"/>
        <v>40237</v>
      </c>
      <c r="C218" s="1291">
        <v>821849</v>
      </c>
      <c r="D218" s="1294">
        <v>11.772</v>
      </c>
    </row>
    <row r="219" spans="1:4">
      <c r="A219" s="1292">
        <v>40269</v>
      </c>
      <c r="B219" s="1292">
        <f t="shared" si="3"/>
        <v>40268</v>
      </c>
      <c r="C219" s="1291">
        <v>829664</v>
      </c>
      <c r="D219" s="1294">
        <v>11.454000000000001</v>
      </c>
    </row>
    <row r="220" spans="1:4">
      <c r="A220" s="1292">
        <v>40299</v>
      </c>
      <c r="B220" s="1292">
        <f t="shared" si="3"/>
        <v>40298</v>
      </c>
      <c r="C220" s="1291">
        <v>823447</v>
      </c>
      <c r="D220" s="1294">
        <v>12.03</v>
      </c>
    </row>
    <row r="221" spans="1:4">
      <c r="A221" s="1292">
        <v>40330</v>
      </c>
      <c r="B221" s="1292">
        <f t="shared" si="3"/>
        <v>40329</v>
      </c>
      <c r="C221" s="1291">
        <v>821943</v>
      </c>
      <c r="D221" s="1294">
        <v>11.598000000000001</v>
      </c>
    </row>
    <row r="222" spans="1:4">
      <c r="A222" s="1292">
        <v>40360</v>
      </c>
      <c r="B222" s="1292">
        <f t="shared" si="3"/>
        <v>40359</v>
      </c>
      <c r="C222" s="1291">
        <v>799694</v>
      </c>
      <c r="D222" s="1294">
        <v>11.948</v>
      </c>
    </row>
    <row r="223" spans="1:4">
      <c r="A223" s="1292">
        <v>40391</v>
      </c>
      <c r="B223" s="1292">
        <f t="shared" si="3"/>
        <v>40390</v>
      </c>
      <c r="C223" s="1291">
        <v>802030</v>
      </c>
      <c r="D223" s="1294">
        <v>12.013999999999999</v>
      </c>
    </row>
    <row r="224" spans="1:4">
      <c r="A224" s="1292">
        <v>40422</v>
      </c>
      <c r="B224" s="1292">
        <f t="shared" si="3"/>
        <v>40421</v>
      </c>
      <c r="C224" s="1291">
        <v>807728</v>
      </c>
      <c r="D224" s="1294">
        <v>11.922000000000001</v>
      </c>
    </row>
    <row r="225" spans="1:4">
      <c r="A225" s="1292">
        <v>40452</v>
      </c>
      <c r="B225" s="1292">
        <f t="shared" si="3"/>
        <v>40451</v>
      </c>
      <c r="C225" s="1291">
        <v>801372</v>
      </c>
      <c r="D225" s="1294">
        <v>12.414</v>
      </c>
    </row>
    <row r="226" spans="1:4">
      <c r="A226" s="1292">
        <v>40483</v>
      </c>
      <c r="B226" s="1292">
        <f t="shared" si="3"/>
        <v>40482</v>
      </c>
      <c r="C226" s="1291">
        <v>804151</v>
      </c>
      <c r="D226" s="1294">
        <v>12.3</v>
      </c>
    </row>
    <row r="227" spans="1:4">
      <c r="A227" s="1292">
        <v>40513</v>
      </c>
      <c r="B227" s="1292">
        <f t="shared" si="3"/>
        <v>40512</v>
      </c>
      <c r="C227" s="1291">
        <v>789395</v>
      </c>
      <c r="D227" s="1294">
        <v>12.605</v>
      </c>
    </row>
    <row r="228" spans="1:4">
      <c r="A228" s="1292">
        <v>40544</v>
      </c>
      <c r="B228" s="1292">
        <f t="shared" si="3"/>
        <v>40543</v>
      </c>
      <c r="C228" s="1291">
        <v>759964</v>
      </c>
      <c r="D228" s="1294">
        <v>12.805999999999999</v>
      </c>
    </row>
    <row r="229" spans="1:4">
      <c r="A229" s="1292">
        <v>40575</v>
      </c>
      <c r="B229" s="1292">
        <f t="shared" si="3"/>
        <v>40574</v>
      </c>
      <c r="C229" s="1291">
        <v>758376</v>
      </c>
      <c r="D229" s="1294">
        <v>13.081</v>
      </c>
    </row>
    <row r="230" spans="1:4">
      <c r="A230" s="1292">
        <v>40603</v>
      </c>
      <c r="B230" s="1292">
        <f t="shared" si="3"/>
        <v>40602</v>
      </c>
      <c r="C230" s="1291">
        <v>769157</v>
      </c>
      <c r="D230" s="1294">
        <v>13.259</v>
      </c>
    </row>
    <row r="231" spans="1:4">
      <c r="A231" s="1292">
        <v>40634</v>
      </c>
      <c r="B231" s="1292">
        <f t="shared" si="3"/>
        <v>40633</v>
      </c>
      <c r="C231" s="1291">
        <v>769437</v>
      </c>
      <c r="D231" s="1294">
        <v>13.326000000000001</v>
      </c>
    </row>
    <row r="232" spans="1:4">
      <c r="A232" s="1292">
        <v>40664</v>
      </c>
      <c r="B232" s="1292">
        <f t="shared" si="3"/>
        <v>40663</v>
      </c>
      <c r="C232" s="1291">
        <v>775251</v>
      </c>
      <c r="D232" s="1294">
        <v>12.28</v>
      </c>
    </row>
    <row r="233" spans="1:4">
      <c r="A233" s="1292">
        <v>40695</v>
      </c>
      <c r="B233" s="1292">
        <f t="shared" si="3"/>
        <v>40694</v>
      </c>
      <c r="C233" s="1291">
        <v>794839</v>
      </c>
      <c r="D233" s="1294">
        <v>11.885999999999999</v>
      </c>
    </row>
    <row r="234" spans="1:4">
      <c r="A234" s="1292">
        <v>40725</v>
      </c>
      <c r="B234" s="1292">
        <f t="shared" si="3"/>
        <v>40724</v>
      </c>
      <c r="C234" s="1291">
        <v>792381</v>
      </c>
      <c r="D234" s="1294">
        <v>12.72</v>
      </c>
    </row>
    <row r="235" spans="1:4">
      <c r="A235" s="1292">
        <v>40756</v>
      </c>
      <c r="B235" s="1292">
        <f t="shared" si="3"/>
        <v>40755</v>
      </c>
      <c r="C235" s="1291">
        <v>811953</v>
      </c>
      <c r="D235" s="1294">
        <v>12.603999999999999</v>
      </c>
    </row>
    <row r="236" spans="1:4">
      <c r="A236" s="1292">
        <v>40787</v>
      </c>
      <c r="B236" s="1292">
        <f t="shared" si="3"/>
        <v>40786</v>
      </c>
      <c r="C236" s="1291">
        <v>813660</v>
      </c>
      <c r="D236" s="1294">
        <v>13.356</v>
      </c>
    </row>
    <row r="237" spans="1:4">
      <c r="A237" s="1292">
        <v>40817</v>
      </c>
      <c r="B237" s="1292">
        <f t="shared" si="3"/>
        <v>40816</v>
      </c>
      <c r="C237" s="1291">
        <v>808378</v>
      </c>
      <c r="D237" s="1294">
        <v>13.73</v>
      </c>
    </row>
    <row r="238" spans="1:4">
      <c r="A238" s="1292">
        <v>40848</v>
      </c>
      <c r="B238" s="1292">
        <f t="shared" si="3"/>
        <v>40847</v>
      </c>
      <c r="C238" s="1291">
        <v>812050</v>
      </c>
      <c r="D238" s="1294">
        <v>13.743</v>
      </c>
    </row>
    <row r="239" spans="1:4">
      <c r="A239" s="1292">
        <v>40878</v>
      </c>
      <c r="B239" s="1292">
        <f t="shared" si="3"/>
        <v>40877</v>
      </c>
      <c r="C239" s="1291">
        <v>821367</v>
      </c>
      <c r="D239" s="1294">
        <v>13.798</v>
      </c>
    </row>
    <row r="240" spans="1:4">
      <c r="A240" s="1292">
        <v>40909</v>
      </c>
      <c r="B240" s="1292">
        <f t="shared" si="3"/>
        <v>40908</v>
      </c>
      <c r="C240" s="1291">
        <v>830610</v>
      </c>
      <c r="D240" s="1294">
        <v>14.395</v>
      </c>
    </row>
    <row r="241" spans="1:4">
      <c r="A241" s="1292">
        <v>40940</v>
      </c>
      <c r="B241" s="1292">
        <f t="shared" si="3"/>
        <v>40939</v>
      </c>
      <c r="C241" s="1291">
        <v>824368</v>
      </c>
      <c r="D241" s="1294">
        <v>14.975</v>
      </c>
    </row>
    <row r="242" spans="1:4">
      <c r="A242" s="1292">
        <v>40969</v>
      </c>
      <c r="B242" s="1292">
        <f t="shared" si="3"/>
        <v>40968</v>
      </c>
      <c r="C242" s="1291">
        <v>829288</v>
      </c>
      <c r="D242" s="1294">
        <v>14.593999999999999</v>
      </c>
    </row>
    <row r="243" spans="1:4">
      <c r="A243" s="1292">
        <v>41000</v>
      </c>
      <c r="B243" s="1292">
        <f t="shared" si="3"/>
        <v>40999</v>
      </c>
      <c r="C243" s="1291">
        <v>841740</v>
      </c>
      <c r="D243" s="1294">
        <v>14.769</v>
      </c>
    </row>
    <row r="244" spans="1:4">
      <c r="A244" s="1292">
        <v>41030</v>
      </c>
      <c r="B244" s="1292">
        <f t="shared" si="3"/>
        <v>41029</v>
      </c>
      <c r="C244" s="1291">
        <v>850928</v>
      </c>
      <c r="D244" s="1294">
        <v>14.496</v>
      </c>
    </row>
    <row r="245" spans="1:4">
      <c r="A245" s="1292">
        <v>41061</v>
      </c>
      <c r="B245" s="1292">
        <f t="shared" si="3"/>
        <v>41060</v>
      </c>
      <c r="C245" s="1291">
        <v>858009</v>
      </c>
      <c r="D245" s="1294">
        <v>14.467000000000001</v>
      </c>
    </row>
    <row r="246" spans="1:4">
      <c r="A246" s="1292">
        <v>41091</v>
      </c>
      <c r="B246" s="1292">
        <f t="shared" si="3"/>
        <v>41090</v>
      </c>
      <c r="C246" s="1291">
        <v>858934</v>
      </c>
      <c r="D246" s="1294">
        <v>14.38</v>
      </c>
    </row>
    <row r="247" spans="1:4">
      <c r="A247" s="1292">
        <v>41122</v>
      </c>
      <c r="B247" s="1292">
        <f t="shared" si="3"/>
        <v>41121</v>
      </c>
      <c r="C247" s="1291">
        <v>862726</v>
      </c>
      <c r="D247" s="1294">
        <v>14.444000000000001</v>
      </c>
    </row>
    <row r="248" spans="1:4">
      <c r="A248" s="1292">
        <v>41153</v>
      </c>
      <c r="B248" s="1292">
        <f t="shared" si="3"/>
        <v>41152</v>
      </c>
      <c r="C248" s="1291">
        <v>866588</v>
      </c>
      <c r="D248" s="1294">
        <v>15.099</v>
      </c>
    </row>
    <row r="249" spans="1:4">
      <c r="A249" s="1292">
        <v>41183</v>
      </c>
      <c r="B249" s="1292">
        <f t="shared" si="3"/>
        <v>41182</v>
      </c>
      <c r="C249" s="1291">
        <v>875366</v>
      </c>
      <c r="D249" s="1294">
        <v>14.83</v>
      </c>
    </row>
    <row r="250" spans="1:4">
      <c r="A250" s="1292">
        <v>41214</v>
      </c>
      <c r="B250" s="1292">
        <f t="shared" si="3"/>
        <v>41213</v>
      </c>
      <c r="C250" s="1291">
        <v>872052</v>
      </c>
      <c r="D250" s="1294">
        <v>15.456</v>
      </c>
    </row>
    <row r="251" spans="1:4">
      <c r="A251" s="1292">
        <v>41244</v>
      </c>
      <c r="B251" s="1292">
        <f t="shared" si="3"/>
        <v>41243</v>
      </c>
      <c r="C251" s="1291">
        <v>871809</v>
      </c>
      <c r="D251" s="1294">
        <v>15.462</v>
      </c>
    </row>
    <row r="252" spans="1:4">
      <c r="A252" s="1292">
        <v>41275</v>
      </c>
      <c r="B252" s="1292">
        <f t="shared" si="3"/>
        <v>41274</v>
      </c>
      <c r="C252" s="1291">
        <v>862722</v>
      </c>
      <c r="D252" s="1294">
        <v>15.813000000000001</v>
      </c>
    </row>
    <row r="253" spans="1:4">
      <c r="A253" s="1292">
        <v>41306</v>
      </c>
      <c r="B253" s="1292">
        <f t="shared" si="3"/>
        <v>41305</v>
      </c>
      <c r="C253" s="1291">
        <v>873583</v>
      </c>
      <c r="D253" s="1294">
        <v>15.861000000000001</v>
      </c>
    </row>
    <row r="254" spans="1:4">
      <c r="A254" s="1292">
        <v>41334</v>
      </c>
      <c r="B254" s="1292">
        <f t="shared" si="3"/>
        <v>41333</v>
      </c>
      <c r="C254" s="1291">
        <v>864510</v>
      </c>
      <c r="D254" s="1294">
        <v>15.721</v>
      </c>
    </row>
    <row r="255" spans="1:4">
      <c r="A255" s="1292">
        <v>41365</v>
      </c>
      <c r="B255" s="1292">
        <f t="shared" si="3"/>
        <v>41364</v>
      </c>
      <c r="C255" s="1291">
        <v>879728</v>
      </c>
      <c r="D255" s="1294">
        <v>15.811</v>
      </c>
    </row>
    <row r="256" spans="1:4">
      <c r="A256" s="1292">
        <v>41395</v>
      </c>
      <c r="B256" s="1292">
        <f t="shared" si="3"/>
        <v>41394</v>
      </c>
      <c r="C256" s="1291">
        <v>888752</v>
      </c>
      <c r="D256" s="1294">
        <v>15.884</v>
      </c>
    </row>
    <row r="257" spans="1:4">
      <c r="A257" s="1292">
        <v>41426</v>
      </c>
      <c r="B257" s="1292">
        <f t="shared" si="3"/>
        <v>41425</v>
      </c>
      <c r="C257" s="1291">
        <v>899295</v>
      </c>
      <c r="D257" s="1294">
        <v>16.149000000000001</v>
      </c>
    </row>
    <row r="258" spans="1:4">
      <c r="A258" s="1292">
        <v>41456</v>
      </c>
      <c r="B258" s="1292">
        <f t="shared" si="3"/>
        <v>41455</v>
      </c>
      <c r="C258" s="1291">
        <v>917756</v>
      </c>
      <c r="D258" s="1294">
        <v>16.021000000000001</v>
      </c>
    </row>
    <row r="259" spans="1:4">
      <c r="A259" s="1292">
        <v>41487</v>
      </c>
      <c r="B259" s="1292">
        <f t="shared" si="3"/>
        <v>41486</v>
      </c>
      <c r="C259" s="1291">
        <v>929061</v>
      </c>
      <c r="D259" s="1294">
        <v>15.827</v>
      </c>
    </row>
    <row r="260" spans="1:4">
      <c r="A260" s="1292">
        <v>41518</v>
      </c>
      <c r="B260" s="1292">
        <f t="shared" si="3"/>
        <v>41517</v>
      </c>
      <c r="C260" s="1291">
        <v>938121</v>
      </c>
      <c r="D260" s="1294">
        <v>15.856999999999999</v>
      </c>
    </row>
    <row r="261" spans="1:4">
      <c r="A261" s="1292">
        <v>41548</v>
      </c>
      <c r="B261" s="1292">
        <f t="shared" si="3"/>
        <v>41547</v>
      </c>
      <c r="C261" s="1291">
        <v>951214</v>
      </c>
      <c r="D261" s="1294">
        <v>15.727</v>
      </c>
    </row>
    <row r="262" spans="1:4">
      <c r="A262" s="1292">
        <v>41579</v>
      </c>
      <c r="B262" s="1292">
        <f t="shared" si="3"/>
        <v>41578</v>
      </c>
      <c r="C262" s="1291">
        <v>964122</v>
      </c>
      <c r="D262" s="1294">
        <v>16.079000000000001</v>
      </c>
    </row>
    <row r="263" spans="1:4">
      <c r="A263" s="1292">
        <v>41609</v>
      </c>
      <c r="B263" s="1292">
        <f t="shared" si="3"/>
        <v>41608</v>
      </c>
      <c r="C263" s="1291">
        <v>979211</v>
      </c>
      <c r="D263" s="1294">
        <v>15.835000000000001</v>
      </c>
    </row>
    <row r="264" spans="1:4">
      <c r="A264" s="1292">
        <v>41640</v>
      </c>
      <c r="B264" s="1292">
        <f t="shared" si="3"/>
        <v>41639</v>
      </c>
      <c r="C264" s="1291">
        <v>986587</v>
      </c>
      <c r="D264" s="1294">
        <v>15.614000000000001</v>
      </c>
    </row>
    <row r="265" spans="1:4">
      <c r="A265" s="1292">
        <v>41671</v>
      </c>
      <c r="B265" s="1292">
        <f t="shared" si="3"/>
        <v>41670</v>
      </c>
      <c r="C265" s="1291">
        <v>987538</v>
      </c>
      <c r="D265" s="1294">
        <v>15.993</v>
      </c>
    </row>
    <row r="266" spans="1:4">
      <c r="A266" s="1292">
        <v>41699</v>
      </c>
      <c r="B266" s="1292">
        <f t="shared" si="3"/>
        <v>41698</v>
      </c>
      <c r="C266" s="1291">
        <v>991157</v>
      </c>
      <c r="D266" s="1294">
        <v>16.984999999999999</v>
      </c>
    </row>
    <row r="267" spans="1:4">
      <c r="A267" s="1292">
        <v>41730</v>
      </c>
      <c r="B267" s="1292">
        <f t="shared" si="3"/>
        <v>41729</v>
      </c>
      <c r="C267" s="1291">
        <v>1006901</v>
      </c>
      <c r="D267" s="1294">
        <v>16.695</v>
      </c>
    </row>
    <row r="268" spans="1:4">
      <c r="A268" s="1292">
        <v>41760</v>
      </c>
      <c r="B268" s="1292">
        <f t="shared" si="3"/>
        <v>41759</v>
      </c>
      <c r="C268" s="1291">
        <v>1007147</v>
      </c>
      <c r="D268" s="1294">
        <v>17.137</v>
      </c>
    </row>
    <row r="269" spans="1:4">
      <c r="A269" s="1292">
        <v>41791</v>
      </c>
      <c r="B269" s="1292">
        <f t="shared" ref="B269:B332" si="4">+A269-1</f>
        <v>41790</v>
      </c>
      <c r="C269" s="1291">
        <v>1006424</v>
      </c>
      <c r="D269" s="1294">
        <v>17.515999999999998</v>
      </c>
    </row>
    <row r="270" spans="1:4">
      <c r="A270" s="1292">
        <v>41821</v>
      </c>
      <c r="B270" s="1292">
        <f t="shared" si="4"/>
        <v>41820</v>
      </c>
      <c r="C270" s="1291">
        <v>1014935</v>
      </c>
      <c r="D270" s="1294">
        <v>17.277000000000001</v>
      </c>
    </row>
    <row r="271" spans="1:4">
      <c r="A271" s="1292">
        <v>41852</v>
      </c>
      <c r="B271" s="1292">
        <f t="shared" si="4"/>
        <v>41851</v>
      </c>
      <c r="C271" s="1291">
        <v>1015096</v>
      </c>
      <c r="D271" s="1294">
        <v>17.239000000000001</v>
      </c>
    </row>
    <row r="272" spans="1:4">
      <c r="A272" s="1292">
        <v>41883</v>
      </c>
      <c r="B272" s="1292">
        <f t="shared" si="4"/>
        <v>41882</v>
      </c>
      <c r="C272" s="1291">
        <v>1021890</v>
      </c>
      <c r="D272" s="1294">
        <v>16.959</v>
      </c>
    </row>
    <row r="273" spans="1:4">
      <c r="A273" s="1292">
        <v>41913</v>
      </c>
      <c r="B273" s="1292">
        <f t="shared" si="4"/>
        <v>41912</v>
      </c>
      <c r="C273" s="1291">
        <v>1046402</v>
      </c>
      <c r="D273" s="1294">
        <v>16.756</v>
      </c>
    </row>
    <row r="274" spans="1:4">
      <c r="A274" s="1292">
        <v>41944</v>
      </c>
      <c r="B274" s="1292">
        <f t="shared" si="4"/>
        <v>41943</v>
      </c>
      <c r="C274" s="1291">
        <v>1044893</v>
      </c>
      <c r="D274" s="1294">
        <v>16.949000000000002</v>
      </c>
    </row>
    <row r="275" spans="1:4">
      <c r="A275" s="1292">
        <v>41974</v>
      </c>
      <c r="B275" s="1292">
        <f t="shared" si="4"/>
        <v>41973</v>
      </c>
      <c r="C275" s="1291">
        <v>1056429</v>
      </c>
      <c r="D275" s="1294">
        <v>17.178000000000001</v>
      </c>
    </row>
    <row r="276" spans="1:4">
      <c r="A276" s="1292">
        <v>42005</v>
      </c>
      <c r="B276" s="1292">
        <f t="shared" si="4"/>
        <v>42004</v>
      </c>
      <c r="C276" s="1291">
        <v>1066763</v>
      </c>
      <c r="D276" s="1294">
        <v>16.911999999999999</v>
      </c>
    </row>
    <row r="277" spans="1:4">
      <c r="A277" s="1292">
        <v>42036</v>
      </c>
      <c r="B277" s="1292">
        <f t="shared" si="4"/>
        <v>42035</v>
      </c>
      <c r="C277" s="1291">
        <v>1078296</v>
      </c>
      <c r="D277" s="1294">
        <v>16.895</v>
      </c>
    </row>
    <row r="278" spans="1:4">
      <c r="A278" s="1292">
        <v>42064</v>
      </c>
      <c r="B278" s="1292">
        <f t="shared" si="4"/>
        <v>42063</v>
      </c>
      <c r="C278" s="1291">
        <v>1092703</v>
      </c>
      <c r="D278" s="1294">
        <v>17.893999999999998</v>
      </c>
    </row>
    <row r="279" spans="1:4">
      <c r="A279" s="1292">
        <v>42095</v>
      </c>
      <c r="B279" s="1292">
        <f t="shared" si="4"/>
        <v>42094</v>
      </c>
      <c r="C279" s="1291">
        <v>1121895</v>
      </c>
      <c r="D279" s="1294">
        <v>17.689</v>
      </c>
    </row>
    <row r="280" spans="1:4">
      <c r="A280" s="1292">
        <v>42125</v>
      </c>
      <c r="B280" s="1292">
        <f t="shared" si="4"/>
        <v>42124</v>
      </c>
      <c r="C280" s="1291">
        <v>1143089</v>
      </c>
      <c r="D280" s="1294">
        <v>17.945</v>
      </c>
    </row>
    <row r="281" spans="1:4">
      <c r="A281" s="1292">
        <v>42156</v>
      </c>
      <c r="B281" s="1292">
        <f t="shared" si="4"/>
        <v>42155</v>
      </c>
      <c r="C281" s="1291">
        <v>1166153</v>
      </c>
      <c r="D281" s="1294">
        <v>17.881</v>
      </c>
    </row>
    <row r="282" spans="1:4">
      <c r="A282" s="1292">
        <v>42186</v>
      </c>
      <c r="B282" s="1292">
        <f t="shared" si="4"/>
        <v>42185</v>
      </c>
      <c r="C282" s="1291">
        <v>1162184</v>
      </c>
      <c r="D282" s="1294">
        <v>18.305</v>
      </c>
    </row>
    <row r="283" spans="1:4">
      <c r="A283" s="1292">
        <v>42217</v>
      </c>
      <c r="B283" s="1292">
        <f t="shared" si="4"/>
        <v>42216</v>
      </c>
      <c r="C283" s="1291">
        <v>1171979</v>
      </c>
      <c r="D283" s="1294">
        <v>18.407</v>
      </c>
    </row>
    <row r="284" spans="1:4">
      <c r="A284" s="1292">
        <v>42248</v>
      </c>
      <c r="B284" s="1292">
        <f t="shared" si="4"/>
        <v>42247</v>
      </c>
      <c r="C284" s="1291">
        <v>1174097</v>
      </c>
      <c r="D284" s="1294">
        <v>18.273</v>
      </c>
    </row>
    <row r="285" spans="1:4">
      <c r="A285" s="1292">
        <v>42278</v>
      </c>
      <c r="B285" s="1292">
        <f t="shared" si="4"/>
        <v>42277</v>
      </c>
      <c r="C285" s="1291">
        <v>1161174</v>
      </c>
      <c r="D285" s="1294">
        <v>18.271999999999998</v>
      </c>
    </row>
    <row r="286" spans="1:4">
      <c r="A286" s="1292">
        <v>42309</v>
      </c>
      <c r="B286" s="1292">
        <f t="shared" si="4"/>
        <v>42308</v>
      </c>
      <c r="C286" s="1291">
        <v>1156692</v>
      </c>
      <c r="D286" s="1294">
        <v>18.32</v>
      </c>
    </row>
    <row r="287" spans="1:4">
      <c r="A287" s="1292">
        <v>42339</v>
      </c>
      <c r="B287" s="1292">
        <f t="shared" si="4"/>
        <v>42338</v>
      </c>
      <c r="C287" s="1291">
        <v>1167856</v>
      </c>
      <c r="D287" s="1294">
        <v>17.492000000000001</v>
      </c>
    </row>
    <row r="288" spans="1:4">
      <c r="A288" s="1292">
        <v>42370</v>
      </c>
      <c r="B288" s="1292">
        <f t="shared" si="4"/>
        <v>42369</v>
      </c>
      <c r="C288" s="1291">
        <v>1171352</v>
      </c>
      <c r="D288" s="1294">
        <v>18.07</v>
      </c>
    </row>
    <row r="289" spans="1:4">
      <c r="A289" s="1292">
        <v>42401</v>
      </c>
      <c r="B289" s="1292">
        <f t="shared" si="4"/>
        <v>42400</v>
      </c>
      <c r="C289" s="1291">
        <v>1181683</v>
      </c>
      <c r="D289" s="1294">
        <v>18.079999999999998</v>
      </c>
    </row>
    <row r="290" spans="1:4">
      <c r="A290" s="1292">
        <v>42430</v>
      </c>
      <c r="B290" s="1292">
        <f t="shared" si="4"/>
        <v>42429</v>
      </c>
      <c r="C290" s="1291">
        <v>1200627</v>
      </c>
      <c r="D290" s="1294">
        <v>17.29</v>
      </c>
    </row>
    <row r="291" spans="1:4">
      <c r="A291" s="1292">
        <v>42461</v>
      </c>
      <c r="B291" s="1292">
        <f t="shared" si="4"/>
        <v>42460</v>
      </c>
      <c r="C291" s="1291">
        <v>1198571</v>
      </c>
      <c r="D291" s="1294">
        <v>17.664000000000001</v>
      </c>
    </row>
    <row r="292" spans="1:4">
      <c r="A292" s="1292">
        <v>42491</v>
      </c>
      <c r="B292" s="1292">
        <f t="shared" si="4"/>
        <v>42490</v>
      </c>
      <c r="C292" s="1291">
        <v>1203495</v>
      </c>
      <c r="D292" s="1294">
        <v>17.696999999999999</v>
      </c>
    </row>
    <row r="293" spans="1:4">
      <c r="A293" s="1292">
        <v>42522</v>
      </c>
      <c r="B293" s="1292">
        <f t="shared" si="4"/>
        <v>42521</v>
      </c>
      <c r="C293" s="1291">
        <v>1226695</v>
      </c>
      <c r="D293" s="1294">
        <v>17.728000000000002</v>
      </c>
    </row>
    <row r="294" spans="1:4">
      <c r="A294" s="1292">
        <v>42552</v>
      </c>
      <c r="B294" s="1292">
        <f t="shared" si="4"/>
        <v>42551</v>
      </c>
      <c r="C294" s="1291">
        <v>1225886</v>
      </c>
      <c r="D294" s="1294">
        <v>18.123000000000001</v>
      </c>
    </row>
    <row r="295" spans="1:4">
      <c r="A295" s="1292">
        <v>42583</v>
      </c>
      <c r="B295" s="1292">
        <f t="shared" si="4"/>
        <v>42582</v>
      </c>
      <c r="C295" s="1291">
        <v>1231616</v>
      </c>
      <c r="D295" s="1294">
        <v>17.917000000000002</v>
      </c>
    </row>
    <row r="296" spans="1:4">
      <c r="A296" s="1292">
        <v>42614</v>
      </c>
      <c r="B296" s="1292">
        <f t="shared" si="4"/>
        <v>42613</v>
      </c>
      <c r="C296" s="1291">
        <v>1240908</v>
      </c>
      <c r="D296" s="1294">
        <v>17.949000000000002</v>
      </c>
    </row>
    <row r="297" spans="1:4">
      <c r="A297" s="1292">
        <v>42644</v>
      </c>
      <c r="B297" s="1292">
        <f t="shared" si="4"/>
        <v>42643</v>
      </c>
      <c r="C297" s="1291">
        <v>1250370</v>
      </c>
      <c r="D297" s="1294">
        <v>17.966000000000001</v>
      </c>
    </row>
    <row r="298" spans="1:4">
      <c r="A298" s="1292">
        <v>42675</v>
      </c>
      <c r="B298" s="1292">
        <f t="shared" si="4"/>
        <v>42674</v>
      </c>
      <c r="C298" s="1291">
        <v>1275898</v>
      </c>
      <c r="D298" s="1294">
        <v>17.785</v>
      </c>
    </row>
    <row r="299" spans="1:4">
      <c r="A299" s="1292">
        <v>42705</v>
      </c>
      <c r="B299" s="1292">
        <f t="shared" si="4"/>
        <v>42704</v>
      </c>
      <c r="C299" s="1291">
        <v>1280619</v>
      </c>
      <c r="D299" s="1294">
        <v>18.277999999999999</v>
      </c>
    </row>
    <row r="300" spans="1:4">
      <c r="A300" s="1292">
        <v>42736</v>
      </c>
      <c r="B300" s="1292">
        <f t="shared" si="4"/>
        <v>42735</v>
      </c>
      <c r="C300" s="1291">
        <v>1253266</v>
      </c>
      <c r="D300" s="1294">
        <v>17.654</v>
      </c>
    </row>
    <row r="301" spans="1:4">
      <c r="A301" s="1292">
        <v>42767</v>
      </c>
      <c r="B301" s="1292">
        <f t="shared" si="4"/>
        <v>42766</v>
      </c>
      <c r="C301" s="1291">
        <v>1276334</v>
      </c>
      <c r="D301" s="1294">
        <v>17.702000000000002</v>
      </c>
    </row>
    <row r="302" spans="1:4">
      <c r="A302" s="1292">
        <v>42795</v>
      </c>
      <c r="B302" s="1292">
        <f t="shared" si="4"/>
        <v>42794</v>
      </c>
      <c r="C302" s="1291">
        <v>1271940</v>
      </c>
      <c r="D302" s="1294">
        <v>17.047000000000001</v>
      </c>
    </row>
    <row r="303" spans="1:4">
      <c r="A303" s="1292">
        <v>42826</v>
      </c>
      <c r="B303" s="1292">
        <f t="shared" si="4"/>
        <v>42825</v>
      </c>
      <c r="C303" s="1291">
        <v>1271219</v>
      </c>
      <c r="D303" s="1294">
        <v>17.187999999999999</v>
      </c>
    </row>
    <row r="304" spans="1:4">
      <c r="A304" s="1292">
        <v>42856</v>
      </c>
      <c r="B304" s="1292">
        <f t="shared" si="4"/>
        <v>42855</v>
      </c>
      <c r="C304" s="1291">
        <v>1285109</v>
      </c>
      <c r="D304" s="1294">
        <v>17.07</v>
      </c>
    </row>
    <row r="305" spans="1:4">
      <c r="A305" s="1292">
        <v>42887</v>
      </c>
      <c r="B305" s="1292">
        <f t="shared" si="4"/>
        <v>42886</v>
      </c>
      <c r="C305" s="1291">
        <v>1277748</v>
      </c>
      <c r="D305" s="1294">
        <v>17.122</v>
      </c>
    </row>
    <row r="306" spans="1:4">
      <c r="A306" s="1292">
        <v>42917</v>
      </c>
      <c r="B306" s="1292">
        <f t="shared" si="4"/>
        <v>42916</v>
      </c>
      <c r="C306" s="1291">
        <v>1277071</v>
      </c>
      <c r="D306" s="1294">
        <v>17.251000000000001</v>
      </c>
    </row>
    <row r="307" spans="1:4">
      <c r="A307" s="1292">
        <v>42948</v>
      </c>
      <c r="B307" s="1292">
        <f t="shared" si="4"/>
        <v>42947</v>
      </c>
      <c r="C307" s="1291">
        <v>1274859</v>
      </c>
      <c r="D307" s="1294">
        <v>17.04</v>
      </c>
    </row>
    <row r="308" spans="1:4">
      <c r="A308" s="1292">
        <v>42979</v>
      </c>
      <c r="B308" s="1292">
        <f t="shared" si="4"/>
        <v>42978</v>
      </c>
      <c r="C308" s="1291">
        <v>1281382</v>
      </c>
      <c r="D308" s="1294">
        <v>18.318000000000001</v>
      </c>
    </row>
    <row r="309" spans="1:4">
      <c r="A309" s="1292">
        <v>43009</v>
      </c>
      <c r="B309" s="1292">
        <f t="shared" si="4"/>
        <v>43008</v>
      </c>
      <c r="C309" s="1291">
        <v>1282298</v>
      </c>
      <c r="D309" s="1294">
        <v>18.484000000000002</v>
      </c>
    </row>
    <row r="310" spans="1:4">
      <c r="A310" s="1292">
        <v>43040</v>
      </c>
      <c r="B310" s="1292">
        <f t="shared" si="4"/>
        <v>43039</v>
      </c>
      <c r="C310" s="1291">
        <v>1305629</v>
      </c>
      <c r="D310" s="1294">
        <v>17.995000000000001</v>
      </c>
    </row>
    <row r="311" spans="1:4">
      <c r="A311" s="1292">
        <v>43070</v>
      </c>
      <c r="B311" s="1292">
        <f t="shared" si="4"/>
        <v>43069</v>
      </c>
      <c r="C311" s="1291">
        <v>1313472</v>
      </c>
      <c r="D311" s="1294">
        <v>17.902999999999999</v>
      </c>
    </row>
    <row r="312" spans="1:4">
      <c r="A312" s="1292">
        <v>43101</v>
      </c>
      <c r="B312" s="1292">
        <f t="shared" si="4"/>
        <v>43100</v>
      </c>
      <c r="C312" s="1291">
        <v>1335174</v>
      </c>
      <c r="D312" s="1294">
        <v>17.507999999999999</v>
      </c>
    </row>
    <row r="313" spans="1:4">
      <c r="A313" s="1292">
        <v>43132</v>
      </c>
      <c r="B313" s="1292">
        <f t="shared" si="4"/>
        <v>43131</v>
      </c>
      <c r="C313" s="1291">
        <v>1355642</v>
      </c>
      <c r="D313" s="1294">
        <v>17.460999999999999</v>
      </c>
    </row>
    <row r="314" spans="1:4">
      <c r="A314" s="1292">
        <v>43160</v>
      </c>
      <c r="B314" s="1292">
        <f t="shared" si="4"/>
        <v>43159</v>
      </c>
      <c r="C314" s="1291">
        <v>1345261</v>
      </c>
      <c r="D314" s="1294">
        <v>17.628</v>
      </c>
    </row>
    <row r="315" spans="1:4">
      <c r="A315" s="1292">
        <v>43191</v>
      </c>
      <c r="B315" s="1292">
        <f t="shared" si="4"/>
        <v>43190</v>
      </c>
      <c r="C315" s="1291">
        <v>1356953</v>
      </c>
      <c r="D315" s="1294">
        <v>17.651</v>
      </c>
    </row>
    <row r="316" spans="1:4">
      <c r="A316" s="1292">
        <v>43221</v>
      </c>
      <c r="B316" s="1292">
        <f t="shared" si="4"/>
        <v>43220</v>
      </c>
      <c r="C316" s="1291">
        <v>1364892</v>
      </c>
      <c r="D316" s="1294">
        <v>17.558</v>
      </c>
    </row>
    <row r="317" spans="1:4">
      <c r="A317" s="1292">
        <v>43252</v>
      </c>
      <c r="B317" s="1292">
        <f t="shared" si="4"/>
        <v>43251</v>
      </c>
      <c r="C317" s="1291">
        <v>1346265</v>
      </c>
      <c r="D317" s="1294">
        <v>17.571000000000002</v>
      </c>
    </row>
    <row r="318" spans="1:4">
      <c r="A318" s="1292">
        <v>43282</v>
      </c>
      <c r="B318" s="1292">
        <f t="shared" si="4"/>
        <v>43281</v>
      </c>
      <c r="C318" s="1291">
        <v>1338377</v>
      </c>
      <c r="D318" s="1294">
        <v>17.456</v>
      </c>
    </row>
    <row r="319" spans="1:4">
      <c r="A319" s="1292">
        <v>43313</v>
      </c>
      <c r="B319" s="1292">
        <f t="shared" si="4"/>
        <v>43312</v>
      </c>
      <c r="C319" s="1291">
        <v>1339536</v>
      </c>
      <c r="D319" s="1294">
        <v>17.39</v>
      </c>
    </row>
    <row r="320" spans="1:4">
      <c r="A320" s="1292">
        <v>43344</v>
      </c>
      <c r="B320" s="1292">
        <f t="shared" si="4"/>
        <v>43343</v>
      </c>
      <c r="C320" s="1291">
        <v>1325585</v>
      </c>
      <c r="D320" s="1294">
        <v>17.827999999999999</v>
      </c>
    </row>
    <row r="321" spans="1:5">
      <c r="A321" s="1292">
        <v>43374</v>
      </c>
      <c r="B321" s="1292">
        <f t="shared" si="4"/>
        <v>43373</v>
      </c>
      <c r="C321" s="1291">
        <v>1308508</v>
      </c>
      <c r="D321" s="1294">
        <v>18.298999999999999</v>
      </c>
    </row>
    <row r="322" spans="1:5">
      <c r="A322" s="1292">
        <v>43405</v>
      </c>
      <c r="B322" s="1292">
        <f t="shared" si="4"/>
        <v>43404</v>
      </c>
      <c r="C322" s="1291">
        <v>1296961</v>
      </c>
      <c r="D322" s="1294">
        <v>18.02</v>
      </c>
    </row>
    <row r="323" spans="1:5">
      <c r="A323" s="1292">
        <v>43435</v>
      </c>
      <c r="B323" s="1292">
        <f t="shared" si="4"/>
        <v>43434</v>
      </c>
      <c r="C323" s="1291">
        <v>1287899</v>
      </c>
      <c r="D323" s="1294">
        <v>18.167000000000002</v>
      </c>
    </row>
    <row r="324" spans="1:5">
      <c r="A324" s="1292">
        <v>43466</v>
      </c>
      <c r="B324" s="1292">
        <f t="shared" si="4"/>
        <v>43465</v>
      </c>
      <c r="C324" s="1291">
        <v>1294398</v>
      </c>
      <c r="D324" s="1294">
        <v>17.291</v>
      </c>
    </row>
    <row r="325" spans="1:5">
      <c r="A325" s="1292">
        <v>43497</v>
      </c>
      <c r="B325" s="1292">
        <f t="shared" si="4"/>
        <v>43496</v>
      </c>
      <c r="C325" s="1291">
        <v>1312418</v>
      </c>
      <c r="D325" s="1294">
        <v>16.968</v>
      </c>
    </row>
    <row r="326" spans="1:5">
      <c r="A326" s="1292">
        <v>43525</v>
      </c>
      <c r="B326" s="1292">
        <f t="shared" si="4"/>
        <v>43524</v>
      </c>
      <c r="C326" s="1291">
        <v>1323764</v>
      </c>
      <c r="D326" s="1294">
        <v>17.733000000000001</v>
      </c>
    </row>
    <row r="327" spans="1:5">
      <c r="A327" s="1292">
        <v>43556</v>
      </c>
      <c r="B327" s="1292">
        <f t="shared" si="4"/>
        <v>43555</v>
      </c>
      <c r="C327" s="1291">
        <v>1358075</v>
      </c>
      <c r="D327" s="1294">
        <v>16.898</v>
      </c>
    </row>
    <row r="328" spans="1:5">
      <c r="A328" s="1292">
        <v>43586</v>
      </c>
      <c r="B328" s="1292">
        <f t="shared" si="4"/>
        <v>43585</v>
      </c>
      <c r="C328" s="1291">
        <v>1367893</v>
      </c>
      <c r="D328" s="1294">
        <v>17.725000000000001</v>
      </c>
    </row>
    <row r="329" spans="1:5">
      <c r="A329" s="1292">
        <v>43617</v>
      </c>
      <c r="B329" s="1292">
        <f t="shared" si="4"/>
        <v>43616</v>
      </c>
      <c r="C329" s="1291">
        <v>1386880</v>
      </c>
      <c r="D329" s="1294">
        <v>17.68</v>
      </c>
    </row>
    <row r="330" spans="1:5">
      <c r="A330" s="1292">
        <v>43647</v>
      </c>
      <c r="B330" s="1292">
        <f t="shared" si="4"/>
        <v>43646</v>
      </c>
      <c r="C330" s="1291">
        <v>1412995</v>
      </c>
      <c r="D330" s="1294">
        <v>17.550999999999998</v>
      </c>
    </row>
    <row r="331" spans="1:5">
      <c r="A331" s="1292">
        <v>43678</v>
      </c>
      <c r="B331" s="1292">
        <f t="shared" si="4"/>
        <v>43677</v>
      </c>
      <c r="C331" s="1291">
        <v>1424952</v>
      </c>
      <c r="D331" s="1294">
        <v>17.635000000000002</v>
      </c>
    </row>
    <row r="332" spans="1:5">
      <c r="A332" s="1292">
        <v>43709</v>
      </c>
      <c r="B332" s="1292">
        <f t="shared" si="4"/>
        <v>43708</v>
      </c>
      <c r="C332" s="1291">
        <v>1434950</v>
      </c>
      <c r="D332" s="1294">
        <v>17.77</v>
      </c>
    </row>
    <row r="333" spans="1:5">
      <c r="A333" s="1292">
        <v>43739</v>
      </c>
      <c r="B333" s="1292">
        <f t="shared" ref="B333:B374" si="5">+A333-1</f>
        <v>43738</v>
      </c>
      <c r="C333" s="1291">
        <v>1436789</v>
      </c>
      <c r="D333" s="1294">
        <v>17.425000000000001</v>
      </c>
    </row>
    <row r="334" spans="1:5">
      <c r="A334" s="1292">
        <v>43770</v>
      </c>
      <c r="B334" s="1292">
        <f t="shared" si="5"/>
        <v>43769</v>
      </c>
      <c r="C334" s="1291">
        <v>1459790</v>
      </c>
      <c r="D334" s="1294">
        <v>17.645</v>
      </c>
    </row>
    <row r="335" spans="1:5">
      <c r="A335" s="1292">
        <v>43800</v>
      </c>
      <c r="B335" s="1292">
        <f t="shared" si="5"/>
        <v>43799</v>
      </c>
      <c r="C335" s="1291">
        <v>1463531</v>
      </c>
      <c r="D335" s="1294">
        <v>17.54</v>
      </c>
    </row>
    <row r="336" spans="1:5">
      <c r="A336" s="1292">
        <v>43831</v>
      </c>
      <c r="B336" s="1292">
        <f t="shared" si="5"/>
        <v>43830</v>
      </c>
      <c r="C336" s="1291">
        <v>1489988</v>
      </c>
      <c r="D336" s="1294">
        <v>17.314</v>
      </c>
      <c r="E336" s="1293"/>
    </row>
    <row r="337" spans="1:5">
      <c r="A337" s="1292">
        <v>43862</v>
      </c>
      <c r="B337" s="1292">
        <f t="shared" si="5"/>
        <v>43861</v>
      </c>
      <c r="C337" s="1291">
        <v>1501841</v>
      </c>
      <c r="D337" s="1294">
        <v>17.061</v>
      </c>
      <c r="E337" s="1293"/>
    </row>
    <row r="338" spans="1:5">
      <c r="A338" s="1292">
        <v>43891</v>
      </c>
      <c r="B338" s="1292">
        <f t="shared" si="5"/>
        <v>43890</v>
      </c>
      <c r="C338" s="1291">
        <v>1508887</v>
      </c>
      <c r="D338" s="1294">
        <v>11.68</v>
      </c>
      <c r="E338" s="1293"/>
    </row>
    <row r="339" spans="1:5">
      <c r="A339" s="1292">
        <v>43922</v>
      </c>
      <c r="B339" s="1292">
        <f t="shared" si="5"/>
        <v>43921</v>
      </c>
      <c r="C339" s="1291">
        <v>1466175</v>
      </c>
      <c r="D339" s="1294">
        <v>8.923</v>
      </c>
      <c r="E339" s="1293"/>
    </row>
    <row r="340" spans="1:5">
      <c r="A340" s="1292">
        <v>43952</v>
      </c>
      <c r="B340" s="1292">
        <f t="shared" si="5"/>
        <v>43951</v>
      </c>
      <c r="C340" s="1291">
        <v>1461910</v>
      </c>
      <c r="D340" s="1294">
        <v>12.327999999999999</v>
      </c>
      <c r="E340" s="1293"/>
    </row>
    <row r="341" spans="1:5">
      <c r="A341" s="1292">
        <v>43983</v>
      </c>
      <c r="B341" s="1292">
        <f t="shared" si="5"/>
        <v>43982</v>
      </c>
      <c r="C341" s="1291">
        <v>1463182</v>
      </c>
      <c r="D341" s="1294">
        <v>13.271000000000001</v>
      </c>
      <c r="E341" s="1293"/>
    </row>
    <row r="342" spans="1:5">
      <c r="A342" s="1292">
        <v>44013</v>
      </c>
      <c r="B342" s="1292">
        <f t="shared" si="5"/>
        <v>44012</v>
      </c>
      <c r="C342" s="1291">
        <v>1474982</v>
      </c>
      <c r="D342" s="1294">
        <v>15.074999999999999</v>
      </c>
      <c r="E342" s="1293"/>
    </row>
    <row r="343" spans="1:5">
      <c r="A343" s="1292">
        <v>44044</v>
      </c>
      <c r="B343" s="1292">
        <f t="shared" si="5"/>
        <v>44043</v>
      </c>
      <c r="C343" s="1291">
        <v>1486856</v>
      </c>
      <c r="D343" s="1294">
        <v>15.704000000000001</v>
      </c>
      <c r="E343" s="1293"/>
    </row>
    <row r="344" spans="1:5">
      <c r="A344" s="1292">
        <v>44075</v>
      </c>
      <c r="B344" s="1292">
        <f t="shared" si="5"/>
        <v>44074</v>
      </c>
      <c r="C344" s="1291">
        <v>1505074</v>
      </c>
      <c r="D344" s="1294">
        <v>16.692</v>
      </c>
      <c r="E344" s="1293"/>
    </row>
    <row r="345" spans="1:5">
      <c r="A345" s="1292">
        <v>44105</v>
      </c>
      <c r="B345" s="1292">
        <f t="shared" si="5"/>
        <v>44104</v>
      </c>
      <c r="C345" s="1291">
        <v>1525872</v>
      </c>
      <c r="D345" s="1294">
        <v>17.084</v>
      </c>
      <c r="E345" s="1293"/>
    </row>
    <row r="346" spans="1:5">
      <c r="A346" s="1292">
        <v>44136</v>
      </c>
      <c r="B346" s="1292">
        <f t="shared" si="5"/>
        <v>44135</v>
      </c>
      <c r="C346" s="1291">
        <v>1542987</v>
      </c>
      <c r="D346" s="1294">
        <v>16.492000000000001</v>
      </c>
      <c r="E346" s="1293"/>
    </row>
    <row r="347" spans="1:5">
      <c r="A347" s="1292">
        <v>44166</v>
      </c>
      <c r="B347" s="1292">
        <f t="shared" si="5"/>
        <v>44165</v>
      </c>
      <c r="C347" s="1291">
        <v>1566367</v>
      </c>
      <c r="D347" s="1294">
        <v>16.927</v>
      </c>
      <c r="E347" s="1293"/>
    </row>
    <row r="348" spans="1:5">
      <c r="A348" s="1292">
        <v>44197</v>
      </c>
      <c r="B348" s="1292">
        <f t="shared" si="5"/>
        <v>44196</v>
      </c>
      <c r="C348" s="1291">
        <v>1583380</v>
      </c>
      <c r="D348" s="1294">
        <v>17.327000000000002</v>
      </c>
      <c r="E348" s="1293"/>
    </row>
    <row r="349" spans="1:5">
      <c r="A349" s="1292">
        <v>44228</v>
      </c>
      <c r="B349" s="1292">
        <f t="shared" si="5"/>
        <v>44227</v>
      </c>
      <c r="C349" s="1291">
        <v>1569822</v>
      </c>
      <c r="D349" s="1294">
        <v>16.106000000000002</v>
      </c>
      <c r="E349" s="1293"/>
    </row>
    <row r="350" spans="1:5">
      <c r="A350" s="1292">
        <v>44256</v>
      </c>
      <c r="B350" s="1292">
        <f t="shared" si="5"/>
        <v>44255</v>
      </c>
      <c r="C350" s="1291">
        <v>1600520</v>
      </c>
      <c r="D350" s="1294">
        <v>18.222999999999999</v>
      </c>
      <c r="E350" s="1293"/>
    </row>
    <row r="351" spans="1:5">
      <c r="A351" s="1292">
        <v>44287</v>
      </c>
      <c r="B351" s="1292">
        <f t="shared" si="5"/>
        <v>44286</v>
      </c>
      <c r="C351" s="1291">
        <v>1608488</v>
      </c>
      <c r="D351" s="1294">
        <v>18.655000000000001</v>
      </c>
      <c r="E351" s="1293"/>
    </row>
    <row r="352" spans="1:5">
      <c r="A352" s="1292">
        <v>44317</v>
      </c>
      <c r="B352" s="1292">
        <f t="shared" si="5"/>
        <v>44316</v>
      </c>
      <c r="C352" s="1291">
        <v>1621942</v>
      </c>
      <c r="D352" s="1294">
        <v>17.177</v>
      </c>
      <c r="E352" s="1293"/>
    </row>
    <row r="353" spans="1:8">
      <c r="A353" s="1292">
        <v>44348</v>
      </c>
      <c r="B353" s="1292">
        <f t="shared" si="5"/>
        <v>44347</v>
      </c>
      <c r="C353" s="1291">
        <v>1627985</v>
      </c>
      <c r="D353" s="1294">
        <v>15.757</v>
      </c>
      <c r="E353" s="1293"/>
    </row>
    <row r="354" spans="1:8">
      <c r="A354" s="1292">
        <v>44378</v>
      </c>
      <c r="B354" s="1292">
        <f t="shared" si="5"/>
        <v>44377</v>
      </c>
      <c r="C354" s="1291">
        <v>1637329</v>
      </c>
      <c r="D354" s="1294">
        <v>15.067</v>
      </c>
      <c r="E354" s="1293"/>
    </row>
    <row r="355" spans="1:8">
      <c r="A355" s="1292">
        <v>44409</v>
      </c>
      <c r="B355" s="1292">
        <f t="shared" si="5"/>
        <v>44408</v>
      </c>
      <c r="C355" s="1291">
        <v>1641600</v>
      </c>
      <c r="D355" s="1294">
        <v>13.486000000000001</v>
      </c>
      <c r="E355" s="1293"/>
    </row>
    <row r="356" spans="1:8">
      <c r="A356" s="1292">
        <v>44440</v>
      </c>
      <c r="B356" s="1292">
        <f t="shared" si="5"/>
        <v>44439</v>
      </c>
      <c r="C356" s="1291">
        <v>1632860</v>
      </c>
      <c r="D356" s="1294">
        <v>12.731</v>
      </c>
      <c r="E356" s="1293"/>
    </row>
    <row r="357" spans="1:8">
      <c r="A357" s="1292">
        <v>44470</v>
      </c>
      <c r="B357" s="1292">
        <f t="shared" si="5"/>
        <v>44469</v>
      </c>
      <c r="C357" s="1291">
        <v>1644332</v>
      </c>
      <c r="D357" s="1294">
        <v>13.662000000000001</v>
      </c>
      <c r="E357" s="1293"/>
    </row>
    <row r="358" spans="1:8">
      <c r="A358" s="1292">
        <v>44501</v>
      </c>
      <c r="B358" s="1292">
        <f t="shared" si="5"/>
        <v>44500</v>
      </c>
      <c r="C358" s="1291">
        <v>1665191</v>
      </c>
      <c r="D358" s="1294">
        <v>13.542</v>
      </c>
      <c r="E358" s="1293"/>
    </row>
    <row r="359" spans="1:8">
      <c r="A359" s="1292">
        <v>44531</v>
      </c>
      <c r="B359" s="1292">
        <f t="shared" si="5"/>
        <v>44530</v>
      </c>
      <c r="C359" s="1291">
        <v>1681044</v>
      </c>
      <c r="D359" s="1294">
        <v>13.172000000000001</v>
      </c>
      <c r="E359" s="1293"/>
      <c r="H359" s="1290"/>
    </row>
    <row r="360" spans="1:8">
      <c r="A360" s="1292">
        <v>44562</v>
      </c>
      <c r="B360" s="1292">
        <f t="shared" si="5"/>
        <v>44561</v>
      </c>
      <c r="C360" s="1291">
        <v>1726585</v>
      </c>
      <c r="D360" s="1294">
        <v>15.55</v>
      </c>
      <c r="E360" s="1293"/>
    </row>
    <row r="361" spans="1:8">
      <c r="A361" s="1292">
        <v>44593</v>
      </c>
      <c r="B361" s="1292">
        <f t="shared" si="5"/>
        <v>44592</v>
      </c>
      <c r="C361" s="1291">
        <v>1753123</v>
      </c>
      <c r="D361" s="1294">
        <v>14.166</v>
      </c>
      <c r="E361" s="1293"/>
    </row>
    <row r="362" spans="1:8">
      <c r="A362" s="1292">
        <v>44621</v>
      </c>
      <c r="B362" s="1292">
        <f t="shared" si="5"/>
        <v>44620</v>
      </c>
      <c r="C362" s="1291">
        <v>1768168</v>
      </c>
      <c r="D362" s="1294">
        <v>14.007</v>
      </c>
      <c r="E362" s="1293"/>
    </row>
    <row r="363" spans="1:8">
      <c r="A363" s="1292">
        <v>44652</v>
      </c>
      <c r="B363" s="1292">
        <f t="shared" si="5"/>
        <v>44651</v>
      </c>
      <c r="C363" s="1291">
        <v>1780890</v>
      </c>
      <c r="D363" s="1294">
        <v>14.739000000000001</v>
      </c>
      <c r="E363" s="1293"/>
    </row>
    <row r="364" spans="1:8">
      <c r="A364" s="1292">
        <v>44682</v>
      </c>
      <c r="B364" s="1292">
        <f t="shared" si="5"/>
        <v>44681</v>
      </c>
      <c r="C364" s="1291">
        <v>1793778</v>
      </c>
      <c r="D364" s="1294">
        <v>13.042999999999999</v>
      </c>
      <c r="E364" s="1293"/>
    </row>
    <row r="365" spans="1:8">
      <c r="A365" s="1292">
        <v>44713</v>
      </c>
      <c r="B365" s="1292">
        <f t="shared" si="5"/>
        <v>44712</v>
      </c>
      <c r="C365" s="1291">
        <v>1803791</v>
      </c>
      <c r="D365" s="1294">
        <v>13.52</v>
      </c>
      <c r="E365" s="1293"/>
    </row>
    <row r="366" spans="1:8">
      <c r="A366" s="1292">
        <v>44743</v>
      </c>
      <c r="B366" s="1292">
        <f t="shared" si="5"/>
        <v>44742</v>
      </c>
      <c r="C366" s="1291">
        <v>1817862</v>
      </c>
      <c r="D366" s="1294">
        <v>13.805</v>
      </c>
      <c r="E366" s="1293"/>
    </row>
    <row r="367" spans="1:8">
      <c r="A367" s="1292">
        <v>44774</v>
      </c>
      <c r="B367" s="1292">
        <f t="shared" si="5"/>
        <v>44773</v>
      </c>
      <c r="C367" s="1291">
        <v>1797771</v>
      </c>
      <c r="D367" s="1294">
        <v>13.738</v>
      </c>
      <c r="E367" s="1293"/>
    </row>
    <row r="368" spans="1:8">
      <c r="A368" s="1292">
        <v>44805</v>
      </c>
      <c r="B368" s="1292">
        <f t="shared" si="5"/>
        <v>44804</v>
      </c>
      <c r="C368" s="1291">
        <v>1807497</v>
      </c>
      <c r="D368" s="1294">
        <v>14.113</v>
      </c>
      <c r="E368" s="1293"/>
    </row>
    <row r="369" spans="1:5">
      <c r="A369" s="1292">
        <v>44835</v>
      </c>
      <c r="B369" s="1292">
        <f t="shared" si="5"/>
        <v>44834</v>
      </c>
      <c r="C369" s="1291">
        <v>1808343</v>
      </c>
      <c r="D369" s="1294">
        <v>15.773</v>
      </c>
      <c r="E369" s="1293"/>
    </row>
    <row r="370" spans="1:5">
      <c r="A370" s="1292">
        <v>44866</v>
      </c>
      <c r="B370" s="1292">
        <f t="shared" si="5"/>
        <v>44865</v>
      </c>
      <c r="C370" s="1291">
        <v>1840294</v>
      </c>
      <c r="D370" s="1294">
        <v>14.851000000000001</v>
      </c>
      <c r="E370" s="1293"/>
    </row>
    <row r="371" spans="1:5">
      <c r="A371" s="1292">
        <v>44896</v>
      </c>
      <c r="B371" s="1292">
        <f t="shared" si="5"/>
        <v>44895</v>
      </c>
      <c r="C371" s="1291">
        <v>1838507</v>
      </c>
      <c r="D371" s="1294">
        <v>13.875</v>
      </c>
      <c r="E371" s="1293"/>
    </row>
    <row r="372" spans="1:5">
      <c r="A372" s="1292">
        <v>44927</v>
      </c>
      <c r="B372" s="1292">
        <f t="shared" si="5"/>
        <v>44926</v>
      </c>
      <c r="C372" s="1291">
        <v>1845407</v>
      </c>
      <c r="D372" s="1294">
        <v>16.539000000000001</v>
      </c>
      <c r="E372" s="1293"/>
    </row>
    <row r="373" spans="1:5">
      <c r="A373" s="1292">
        <v>44958</v>
      </c>
      <c r="B373" s="1292">
        <f t="shared" si="5"/>
        <v>44957</v>
      </c>
      <c r="C373" s="1291">
        <v>1844105</v>
      </c>
      <c r="D373" s="1294">
        <v>15.516</v>
      </c>
    </row>
    <row r="374" spans="1:5">
      <c r="A374" s="1292">
        <v>44986</v>
      </c>
      <c r="B374" s="1292">
        <f t="shared" si="5"/>
        <v>44985</v>
      </c>
      <c r="D374" s="1294">
        <v>15.298999999999999</v>
      </c>
    </row>
  </sheetData>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369CE-4296-47C4-A9D5-6B6AE38D1CE4}">
  <sheetPr codeName="Sheet25">
    <pageSetUpPr autoPageBreaks="0"/>
  </sheetPr>
  <dimension ref="C2:J45"/>
  <sheetViews>
    <sheetView showGridLines="0" zoomScaleNormal="100" workbookViewId="0">
      <pane ySplit="7" topLeftCell="A8" activePane="bottomLeft" state="frozen"/>
      <selection activeCell="J18" sqref="J18"/>
      <selection pane="bottomLeft" activeCell="C17" sqref="C17:F17"/>
    </sheetView>
  </sheetViews>
  <sheetFormatPr defaultColWidth="8.796875" defaultRowHeight="10.5" outlineLevelCol="1"/>
  <cols>
    <col min="1" max="1" width="3.53125" style="921" customWidth="1"/>
    <col min="2" max="2" width="5.19921875" style="921" customWidth="1"/>
    <col min="3" max="3" width="32.796875" style="920" customWidth="1" outlineLevel="1"/>
    <col min="4" max="4" width="35" style="921" customWidth="1"/>
    <col min="5" max="5" width="24.796875" style="920" customWidth="1"/>
    <col min="6" max="6" width="47.19921875" style="920" customWidth="1" outlineLevel="1"/>
    <col min="7" max="7" width="15.53125" style="921" customWidth="1"/>
    <col min="8" max="8" width="21.19921875" style="921" customWidth="1" outlineLevel="1"/>
    <col min="9" max="9" width="3.53125" style="921" customWidth="1"/>
    <col min="10" max="10" width="12" style="921" bestFit="1" customWidth="1"/>
    <col min="11" max="16384" width="8.796875" style="921"/>
  </cols>
  <sheetData>
    <row r="2" spans="3:8">
      <c r="D2" s="921" t="s">
        <v>1276</v>
      </c>
      <c r="E2" s="922" t="s">
        <v>637</v>
      </c>
      <c r="F2" s="923" t="e">
        <f ca="1">_xll.TR(E2,"TR.CommonName")</f>
        <v>#NAME?</v>
      </c>
    </row>
    <row r="4" spans="3:8">
      <c r="D4" s="924" t="s">
        <v>1277</v>
      </c>
      <c r="E4" s="924"/>
      <c r="F4" s="924"/>
      <c r="G4" s="924"/>
    </row>
    <row r="6" spans="3:8">
      <c r="D6" s="925" t="s">
        <v>1154</v>
      </c>
      <c r="E6" s="926" t="s">
        <v>1252</v>
      </c>
      <c r="F6" s="926" t="s">
        <v>1278</v>
      </c>
      <c r="G6" s="925" t="s">
        <v>1279</v>
      </c>
      <c r="H6" s="927"/>
    </row>
    <row r="7" spans="3:8" ht="12">
      <c r="C7" s="920" t="s">
        <v>1280</v>
      </c>
      <c r="D7" s="928" t="e">
        <f ca="1">_xll.TR(E2,C7:C20,"CH:Fd Transpose:Y")</f>
        <v>#NAME?</v>
      </c>
      <c r="E7" s="929">
        <v>8.5102219082760495</v>
      </c>
      <c r="F7" s="929" t="s">
        <v>1281</v>
      </c>
      <c r="G7" s="930">
        <f ca="1">G9*E14%+G8*E13%+E10*E15%</f>
        <v>8.535429420712779</v>
      </c>
    </row>
    <row r="8" spans="3:8" ht="12">
      <c r="C8" s="920" t="s">
        <v>1282</v>
      </c>
      <c r="D8" s="931" t="s">
        <v>1283</v>
      </c>
      <c r="E8" s="920">
        <v>5.0117028851307097</v>
      </c>
      <c r="F8" s="920" t="s">
        <v>1284</v>
      </c>
      <c r="G8" s="921">
        <f>(E17*E23%+E18*E24%)*(1-E16%)</f>
        <v>5.0817770149187336</v>
      </c>
    </row>
    <row r="9" spans="3:8" ht="12">
      <c r="C9" s="920" t="s">
        <v>1285</v>
      </c>
      <c r="D9" s="932" t="s">
        <v>1286</v>
      </c>
      <c r="E9" s="933">
        <v>10.4758027118289</v>
      </c>
      <c r="F9" s="933" t="s">
        <v>1287</v>
      </c>
      <c r="G9" s="934">
        <f ca="1">E12+E19*G11</f>
        <v>10.475802711828873</v>
      </c>
    </row>
    <row r="10" spans="3:8" ht="12">
      <c r="C10" s="920" t="s">
        <v>1288</v>
      </c>
      <c r="D10" s="931" t="s">
        <v>1289</v>
      </c>
      <c r="E10" s="935">
        <v>0</v>
      </c>
      <c r="F10" s="920" t="s">
        <v>1290</v>
      </c>
    </row>
    <row r="11" spans="3:8">
      <c r="C11" s="920" t="s">
        <v>1291</v>
      </c>
      <c r="D11" s="931" t="s">
        <v>1292</v>
      </c>
      <c r="E11" s="920">
        <v>4.6941127874645803</v>
      </c>
      <c r="F11" s="920" t="e">
        <v>#NAME?</v>
      </c>
      <c r="G11" s="936">
        <f ca="1">IF(G35="",E11,G35)</f>
        <v>4.6941127874645803</v>
      </c>
      <c r="H11" s="937" t="str">
        <f ca="1">IF(G35="","From WACC Model","From ERP Model (below)")</f>
        <v>From WACC Model</v>
      </c>
    </row>
    <row r="12" spans="3:8" ht="14.25">
      <c r="C12" s="920" t="s">
        <v>1293</v>
      </c>
      <c r="D12" s="931" t="s">
        <v>1294</v>
      </c>
      <c r="E12" s="935">
        <v>3.3524349999999998</v>
      </c>
      <c r="F12" s="920" t="s">
        <v>1295</v>
      </c>
    </row>
    <row r="13" spans="3:8" ht="12">
      <c r="C13" s="920" t="s">
        <v>1296</v>
      </c>
      <c r="D13" s="931" t="s">
        <v>1297</v>
      </c>
      <c r="E13" s="935">
        <v>35.972637138669903</v>
      </c>
      <c r="F13" s="920" t="s">
        <v>1298</v>
      </c>
    </row>
    <row r="14" spans="3:8" ht="12">
      <c r="C14" s="920" t="s">
        <v>1299</v>
      </c>
      <c r="D14" s="931" t="s">
        <v>1300</v>
      </c>
      <c r="E14" s="935">
        <v>64.027362861330104</v>
      </c>
      <c r="F14" s="920" t="s">
        <v>1301</v>
      </c>
    </row>
    <row r="15" spans="3:8" ht="12">
      <c r="C15" s="920" t="s">
        <v>1302</v>
      </c>
      <c r="D15" s="931" t="s">
        <v>1303</v>
      </c>
      <c r="E15" s="935">
        <v>0</v>
      </c>
      <c r="F15" s="920" t="s">
        <v>1304</v>
      </c>
    </row>
    <row r="16" spans="3:8">
      <c r="C16" s="920" t="s">
        <v>1305</v>
      </c>
      <c r="D16" s="931" t="s">
        <v>1306</v>
      </c>
      <c r="E16" s="935">
        <v>18.5261</v>
      </c>
      <c r="F16" s="920" t="s">
        <v>1307</v>
      </c>
    </row>
    <row r="17" spans="3:10" ht="12">
      <c r="C17" s="920" t="s">
        <v>1308</v>
      </c>
      <c r="D17" s="931" t="s">
        <v>1309</v>
      </c>
      <c r="E17" s="935">
        <v>5.5039999999999996</v>
      </c>
      <c r="F17" s="920" t="s">
        <v>1310</v>
      </c>
      <c r="H17" s="937"/>
      <c r="J17" s="1031">
        <f>SUMPRODUCT(E17:E18,E23:E24)/10000</f>
        <v>6.2373066895272403E-2</v>
      </c>
    </row>
    <row r="18" spans="3:10" ht="12">
      <c r="C18" s="920" t="s">
        <v>1311</v>
      </c>
      <c r="D18" s="931" t="s">
        <v>1312</v>
      </c>
      <c r="E18" s="935">
        <v>6.2930000000000001</v>
      </c>
      <c r="F18" s="920" t="s">
        <v>1313</v>
      </c>
      <c r="H18" s="937"/>
    </row>
    <row r="19" spans="3:10">
      <c r="C19" s="920" t="s">
        <v>1314</v>
      </c>
      <c r="D19" s="938" t="s">
        <v>592</v>
      </c>
      <c r="E19" s="935">
        <v>1.51751098330051</v>
      </c>
      <c r="F19" s="920" t="s">
        <v>1315</v>
      </c>
      <c r="H19" s="937"/>
    </row>
    <row r="20" spans="3:10" ht="12">
      <c r="C20" s="920" t="s">
        <v>1316</v>
      </c>
      <c r="D20" s="931" t="s">
        <v>1317</v>
      </c>
      <c r="E20" s="935">
        <v>18.5261</v>
      </c>
      <c r="F20" s="920" t="s">
        <v>1318</v>
      </c>
    </row>
    <row r="22" spans="3:10">
      <c r="D22" s="939" t="e">
        <v>#NAME?</v>
      </c>
    </row>
    <row r="23" spans="3:10" ht="12">
      <c r="D23" s="938" t="s">
        <v>1319</v>
      </c>
      <c r="E23" s="935">
        <v>7.0587212259515697</v>
      </c>
      <c r="F23" s="920" t="s">
        <v>1320</v>
      </c>
    </row>
    <row r="24" spans="3:10" ht="12">
      <c r="D24" s="938" t="s">
        <v>1321</v>
      </c>
      <c r="E24" s="935">
        <v>92.941278774048399</v>
      </c>
      <c r="F24" s="920" t="s">
        <v>1322</v>
      </c>
      <c r="G24" s="940"/>
    </row>
    <row r="25" spans="3:10">
      <c r="D25" s="938" t="s">
        <v>1323</v>
      </c>
      <c r="E25" s="920" t="str">
        <f>IF(E20=E16,"No","Yes")</f>
        <v>No</v>
      </c>
    </row>
    <row r="27" spans="3:10">
      <c r="D27" s="924" t="s">
        <v>1324</v>
      </c>
      <c r="E27" s="924"/>
      <c r="F27" s="924"/>
      <c r="G27" s="924"/>
    </row>
    <row r="29" spans="3:10">
      <c r="C29" s="920" t="s">
        <v>1325</v>
      </c>
      <c r="D29" s="941" t="e">
        <f ca="1">_xll.TR($E$2,C29,"CH:Fd Transpose:Y")</f>
        <v>#NAME?</v>
      </c>
      <c r="E29" s="920" t="s">
        <v>1326</v>
      </c>
    </row>
    <row r="30" spans="3:10">
      <c r="D30" s="938" t="s">
        <v>1327</v>
      </c>
      <c r="E30" s="920" t="str">
        <f>E29&amp;"GVERP=SM"</f>
        <v>USGVERP=SM</v>
      </c>
    </row>
    <row r="32" spans="3:10">
      <c r="D32" s="925" t="s">
        <v>1154</v>
      </c>
      <c r="E32" s="926" t="s">
        <v>1252</v>
      </c>
      <c r="F32" s="926" t="s">
        <v>1278</v>
      </c>
      <c r="G32" s="925" t="s">
        <v>1279</v>
      </c>
      <c r="H32" s="927"/>
    </row>
    <row r="33" spans="4:8">
      <c r="D33" s="938" t="s">
        <v>873</v>
      </c>
      <c r="E33" s="942" t="e">
        <f ca="1">_xll.TR($E$30,"3;1271;393;996;997;998;999;1029;1030;1031","transpose=Y")</f>
        <v>#NAME?</v>
      </c>
    </row>
    <row r="34" spans="4:8">
      <c r="D34" s="938" t="s">
        <v>1328</v>
      </c>
      <c r="E34" s="920" t="s">
        <v>1809</v>
      </c>
    </row>
    <row r="35" spans="4:8">
      <c r="D35" s="938" t="s">
        <v>1329</v>
      </c>
      <c r="E35" s="920">
        <v>4.6900000000000004</v>
      </c>
      <c r="F35" s="920" t="s">
        <v>1330</v>
      </c>
      <c r="G35" s="943" t="str">
        <f ca="1">IFERROR(G36-G37,"")</f>
        <v/>
      </c>
      <c r="H35" s="944"/>
    </row>
    <row r="36" spans="4:8" ht="12">
      <c r="D36" s="938" t="s">
        <v>1331</v>
      </c>
      <c r="E36" s="920">
        <v>8.0500000000000007</v>
      </c>
      <c r="F36" s="920" t="s">
        <v>1332</v>
      </c>
      <c r="G36" s="943">
        <f>IFERROR($E$39*$G$38%+$E$41,"")</f>
        <v>8.047043343653252</v>
      </c>
      <c r="H36" s="944"/>
    </row>
    <row r="37" spans="4:8" ht="12">
      <c r="D37" s="938" t="s">
        <v>1333</v>
      </c>
      <c r="E37" s="920">
        <v>3.35</v>
      </c>
      <c r="F37" s="920" t="s">
        <v>1334</v>
      </c>
      <c r="G37" s="944" t="str">
        <f ca="1">IFERROR($E$44+$E$42-$E$45,"")</f>
        <v/>
      </c>
    </row>
    <row r="38" spans="4:8" ht="12">
      <c r="D38" s="945" t="s">
        <v>1335</v>
      </c>
      <c r="E38" s="933">
        <v>80.56</v>
      </c>
      <c r="F38" s="933" t="s">
        <v>1336</v>
      </c>
      <c r="G38" s="946">
        <f>IFERROR(MAX((E40-E41)/E40*100,0),"")</f>
        <v>80.546955624355007</v>
      </c>
      <c r="H38" s="944"/>
    </row>
    <row r="39" spans="4:8" ht="12">
      <c r="D39" s="938" t="s">
        <v>1337</v>
      </c>
      <c r="E39" s="920">
        <v>5.3100000000000005</v>
      </c>
      <c r="F39" s="920" t="s">
        <v>1338</v>
      </c>
    </row>
    <row r="40" spans="4:8" ht="12">
      <c r="D40" s="938" t="s">
        <v>1339</v>
      </c>
      <c r="E40" s="920">
        <v>19.38</v>
      </c>
      <c r="F40" s="920" t="s">
        <v>1340</v>
      </c>
    </row>
    <row r="41" spans="4:8" ht="12">
      <c r="D41" s="938" t="s">
        <v>1341</v>
      </c>
      <c r="E41" s="920">
        <v>3.77</v>
      </c>
      <c r="F41" s="920" t="s">
        <v>1342</v>
      </c>
    </row>
    <row r="42" spans="4:8" ht="12">
      <c r="D42" s="938" t="s">
        <v>1343</v>
      </c>
      <c r="E42" s="920">
        <v>2.1</v>
      </c>
      <c r="F42" s="920" t="s">
        <v>1344</v>
      </c>
    </row>
    <row r="44" spans="4:8" ht="12">
      <c r="D44" s="938" t="s">
        <v>1345</v>
      </c>
      <c r="E44" s="942" t="e">
        <f ca="1">_xll.TR("USGVERP=SM","997;1031","transpose=y")</f>
        <v>#NAME?</v>
      </c>
      <c r="F44" s="920" t="s">
        <v>1346</v>
      </c>
    </row>
    <row r="45" spans="4:8" ht="12">
      <c r="D45" s="938" t="s">
        <v>1347</v>
      </c>
      <c r="E45" s="920">
        <v>2.1</v>
      </c>
      <c r="F45" s="920" t="s">
        <v>1348</v>
      </c>
    </row>
  </sheetData>
  <conditionalFormatting sqref="E11">
    <cfRule type="expression" dxfId="13" priority="2">
      <formula>$H$11="From WACC Model"</formula>
    </cfRule>
  </conditionalFormatting>
  <conditionalFormatting sqref="E39:E42 E45">
    <cfRule type="expression" dxfId="12" priority="1">
      <formula>$H$11="From ERP Model (below)"</formula>
    </cfRule>
  </conditionalFormatting>
  <pageMargins left="0.7" right="0.7" top="0.75" bottom="0.75" header="0.3" footer="0.3"/>
  <pageSetup orientation="portrait" r:id="rId1"/>
  <headerFooter>
    <oddFooter>&amp;L&amp;1#&amp;"Calibri"&amp;8&amp;K000000Sensitivity: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EB7C-8FC7-4D00-B71A-34A0BB8E4FD3}">
  <sheetPr>
    <tabColor theme="9" tint="0.79998168889431442"/>
  </sheetPr>
  <dimension ref="A1:Q64"/>
  <sheetViews>
    <sheetView showGridLines="0" zoomScaleNormal="100" workbookViewId="0">
      <selection activeCell="B1" sqref="B1"/>
    </sheetView>
  </sheetViews>
  <sheetFormatPr defaultColWidth="8.796875" defaultRowHeight="10.5"/>
  <cols>
    <col min="1" max="15" width="8.796875" style="762"/>
    <col min="16" max="16" width="3.53125" style="762" customWidth="1"/>
    <col min="17" max="16384" width="8.796875" style="762"/>
  </cols>
  <sheetData>
    <row r="1" spans="1:1">
      <c r="A1" s="770" t="str">
        <f>'New Peers'!A1</f>
        <v>1 Yr Forward Multiples</v>
      </c>
    </row>
    <row r="2" spans="1:1">
      <c r="A2" s="767" t="str">
        <f>'New Peers'!A2</f>
        <v>Forward EBITDA</v>
      </c>
    </row>
    <row r="60" spans="17:17">
      <c r="Q60" s="767"/>
    </row>
    <row r="61" spans="17:17">
      <c r="Q61" s="767"/>
    </row>
    <row r="62" spans="17:17">
      <c r="Q62" s="767"/>
    </row>
    <row r="63" spans="17:17">
      <c r="Q63" s="767"/>
    </row>
    <row r="64" spans="17:17">
      <c r="Q64" s="781"/>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6AA10-2CF6-4FD4-89E0-350D1C58A948}">
  <sheetPr codeName="Sheet26">
    <tabColor theme="9" tint="0.79998168889431442"/>
  </sheetPr>
  <dimension ref="A1:S88"/>
  <sheetViews>
    <sheetView showGridLines="0" zoomScaleNormal="100" workbookViewId="0">
      <pane xSplit="4" ySplit="11" topLeftCell="E12" activePane="bottomRight" state="frozen"/>
      <selection activeCell="B18" sqref="B18"/>
      <selection pane="topRight" activeCell="B18" sqref="B18"/>
      <selection pane="bottomLeft" activeCell="B18" sqref="B18"/>
      <selection pane="bottomRight" activeCell="E31" sqref="E31"/>
    </sheetView>
  </sheetViews>
  <sheetFormatPr defaultColWidth="11.53125" defaultRowHeight="10.5" outlineLevelRow="1" outlineLevelCol="1"/>
  <cols>
    <col min="1" max="2" width="1.46484375" style="960" customWidth="1"/>
    <col min="3" max="3" width="8.796875" style="960" bestFit="1" customWidth="1"/>
    <col min="4" max="4" width="9.46484375" style="960" customWidth="1" outlineLevel="1"/>
    <col min="5" max="10" width="11.53125" style="963" customWidth="1"/>
    <col min="11" max="11" width="11.53125" style="963" customWidth="1" outlineLevel="1"/>
    <col min="12" max="13" width="11.53125" style="963" customWidth="1"/>
    <col min="14" max="17" width="11.53125" style="963"/>
    <col min="18" max="16384" width="11.53125" style="762"/>
  </cols>
  <sheetData>
    <row r="1" spans="1:17" ht="11.25" customHeight="1">
      <c r="A1" s="959" t="s">
        <v>1151</v>
      </c>
      <c r="E1" s="960"/>
      <c r="F1" s="960"/>
      <c r="G1" s="960"/>
      <c r="H1" s="960"/>
      <c r="I1" s="960"/>
      <c r="J1" s="960"/>
      <c r="K1" s="960"/>
      <c r="L1" s="960"/>
      <c r="M1" s="960"/>
      <c r="N1" s="960"/>
      <c r="O1" s="960"/>
      <c r="P1" s="960"/>
      <c r="Q1" s="960"/>
    </row>
    <row r="2" spans="1:17" ht="11.25" customHeight="1">
      <c r="A2" s="961" t="s">
        <v>1349</v>
      </c>
      <c r="E2" s="960"/>
      <c r="F2" s="960"/>
      <c r="G2" s="960"/>
      <c r="H2" s="960"/>
      <c r="I2" s="960"/>
      <c r="J2" s="960"/>
      <c r="K2" s="960"/>
      <c r="L2" s="960"/>
      <c r="M2" s="960"/>
      <c r="N2" s="960"/>
      <c r="O2" s="960"/>
      <c r="P2" s="960"/>
      <c r="Q2" s="960"/>
    </row>
    <row r="3" spans="1:17" ht="11.25" customHeight="1">
      <c r="E3" s="962" t="s">
        <v>925</v>
      </c>
      <c r="F3" s="960"/>
      <c r="H3" s="960"/>
      <c r="I3" s="960"/>
      <c r="J3" s="960"/>
      <c r="K3" s="960"/>
      <c r="L3" s="960"/>
      <c r="M3" s="960"/>
      <c r="N3" s="960"/>
      <c r="O3" s="960"/>
      <c r="P3" s="960"/>
      <c r="Q3" s="960"/>
    </row>
    <row r="4" spans="1:17" ht="11.25" customHeight="1">
      <c r="E4" s="962" t="s">
        <v>1153</v>
      </c>
      <c r="F4" s="960"/>
      <c r="H4" s="960"/>
      <c r="I4" s="960"/>
      <c r="J4" s="960"/>
      <c r="K4" s="960"/>
      <c r="L4" s="960"/>
      <c r="M4" s="960"/>
      <c r="N4" s="960"/>
      <c r="O4" s="960"/>
      <c r="P4" s="960"/>
      <c r="Q4" s="960"/>
    </row>
    <row r="5" spans="1:17" ht="11.25" customHeight="1">
      <c r="E5" s="960"/>
      <c r="F5" s="960"/>
      <c r="G5" s="960"/>
      <c r="H5" s="960"/>
      <c r="I5" s="960"/>
      <c r="J5" s="960"/>
      <c r="K5" s="960"/>
      <c r="L5" s="960"/>
      <c r="M5" s="960"/>
      <c r="N5" s="960"/>
      <c r="O5" s="960"/>
      <c r="P5" s="960"/>
      <c r="Q5" s="960"/>
    </row>
    <row r="6" spans="1:17" s="767" customFormat="1" outlineLevel="1">
      <c r="A6" s="961"/>
      <c r="B6" s="961"/>
      <c r="C6" s="961"/>
      <c r="D6" s="964" t="s">
        <v>1154</v>
      </c>
      <c r="E6" s="961" t="s">
        <v>1350</v>
      </c>
      <c r="F6" s="961" t="s">
        <v>1350</v>
      </c>
      <c r="G6" s="961" t="s">
        <v>1350</v>
      </c>
      <c r="H6" s="961" t="s">
        <v>1350</v>
      </c>
      <c r="I6" s="961" t="s">
        <v>1350</v>
      </c>
      <c r="J6" s="961" t="s">
        <v>1350</v>
      </c>
      <c r="K6" s="961" t="s">
        <v>1350</v>
      </c>
      <c r="L6" s="961" t="s">
        <v>1350</v>
      </c>
      <c r="M6" s="961" t="s">
        <v>1350</v>
      </c>
      <c r="N6" s="961" t="s">
        <v>1350</v>
      </c>
      <c r="O6" s="961" t="s">
        <v>1350</v>
      </c>
      <c r="P6" s="961" t="s">
        <v>1350</v>
      </c>
      <c r="Q6" s="961" t="s">
        <v>1350</v>
      </c>
    </row>
    <row r="7" spans="1:17" s="767" customFormat="1" outlineLevel="1">
      <c r="A7" s="961"/>
      <c r="B7" s="961"/>
      <c r="C7" s="961"/>
      <c r="D7" s="964" t="s">
        <v>623</v>
      </c>
      <c r="E7" s="768" t="s">
        <v>637</v>
      </c>
      <c r="F7" s="768" t="s">
        <v>1194</v>
      </c>
      <c r="G7" s="768" t="s">
        <v>1197</v>
      </c>
      <c r="H7" s="768" t="s">
        <v>1156</v>
      </c>
      <c r="I7" s="768" t="s">
        <v>1157</v>
      </c>
      <c r="J7" s="768" t="s">
        <v>1362</v>
      </c>
      <c r="K7" s="768" t="s">
        <v>1363</v>
      </c>
      <c r="L7" s="861" t="s">
        <v>1512</v>
      </c>
      <c r="M7" s="961" t="s">
        <v>1509</v>
      </c>
      <c r="N7" s="961" t="s">
        <v>1510</v>
      </c>
      <c r="O7" s="961" t="s">
        <v>1511</v>
      </c>
      <c r="P7" s="961" t="s">
        <v>1513</v>
      </c>
      <c r="Q7" s="961" t="s">
        <v>1514</v>
      </c>
    </row>
    <row r="8" spans="1:17" ht="11.25" customHeight="1">
      <c r="E8" s="959"/>
      <c r="F8" s="959"/>
      <c r="G8" s="959"/>
      <c r="H8" s="959"/>
      <c r="I8" s="959"/>
      <c r="J8" s="959"/>
      <c r="K8" s="959"/>
      <c r="L8" s="959"/>
      <c r="M8" s="959"/>
      <c r="N8" s="959"/>
      <c r="O8" s="959"/>
      <c r="P8" s="959"/>
      <c r="Q8" s="959"/>
    </row>
    <row r="9" spans="1:17" s="770" customFormat="1" ht="11.25" customHeight="1">
      <c r="A9" s="959"/>
      <c r="B9" s="959"/>
      <c r="C9" s="959"/>
      <c r="D9" s="959"/>
      <c r="E9" s="965" t="s">
        <v>1158</v>
      </c>
      <c r="F9" s="965"/>
      <c r="G9" s="965"/>
      <c r="H9" s="965"/>
      <c r="I9" s="965"/>
      <c r="J9" s="965"/>
      <c r="K9" s="965"/>
      <c r="L9" s="965"/>
      <c r="M9" s="965"/>
      <c r="N9" s="965"/>
      <c r="O9" s="965"/>
      <c r="P9" s="965"/>
      <c r="Q9" s="965"/>
    </row>
    <row r="10" spans="1:17" ht="5.2" customHeight="1">
      <c r="E10" s="966"/>
      <c r="F10" s="967"/>
      <c r="G10" s="960"/>
      <c r="H10" s="960"/>
      <c r="I10" s="960"/>
      <c r="J10" s="960"/>
      <c r="K10" s="960"/>
      <c r="L10" s="960"/>
      <c r="M10" s="960"/>
      <c r="N10" s="960"/>
      <c r="O10" s="960"/>
      <c r="P10" s="960"/>
      <c r="Q10" s="960"/>
    </row>
    <row r="11" spans="1:17" ht="20.25">
      <c r="A11" s="968"/>
      <c r="B11" s="968"/>
      <c r="C11" s="774" t="s">
        <v>579</v>
      </c>
      <c r="D11" s="774" t="s">
        <v>1159</v>
      </c>
      <c r="E11" s="774" t="str" cm="1">
        <f t="array" aca="1" ref="E11" ca="1">IF(Thomson=1,_xll.TR(E7,"TR.CommonName"),E11)</f>
        <v>Eastman Chemical Co</v>
      </c>
      <c r="F11" s="774" t="str" cm="1">
        <f t="array" aca="1" ref="F11" ca="1">IF(Thomson=1,_xll.TR(F7,"TR.CommonName"),F11)</f>
        <v>Celanese Corp</v>
      </c>
      <c r="G11" s="774" t="str" cm="1">
        <f t="array" aca="1" ref="G11" ca="1">IF(Thomson=1,_xll.TR(G7,"TR.CommonName"),G11)</f>
        <v>BASF SE</v>
      </c>
      <c r="H11" s="774" t="str" cm="1">
        <f t="array" aca="1" ref="H11" ca="1">IF(Thomson=1,_xll.TR(H7,"TR.CommonName"),H11)</f>
        <v>Dow Inc</v>
      </c>
      <c r="I11" s="774" t="str" cm="1">
        <f t="array" aca="1" ref="I11" ca="1">IF(Thomson=1,_xll.TR(I7,"TR.CommonName"),I11)</f>
        <v>LyondellBasell Industries NV</v>
      </c>
      <c r="J11" s="774" t="str" cm="1">
        <f t="array" aca="1" ref="J11" ca="1">IF(Thomson=1,_xll.TR(J7,"TR.CommonName"),J11)</f>
        <v>Dupont De Nemours Inc</v>
      </c>
      <c r="K11" s="774" t="str" cm="1">
        <f t="array" aca="1" ref="K11" ca="1">IF(Thomson=1,_xll.TR(K7,"TR.CommonName"),K11)</f>
        <v>Avient Corp</v>
      </c>
      <c r="L11" s="774" t="str" cm="1">
        <f t="array" aca="1" ref="L11" ca="1">IF(Thomson=1,_xll.TR(L7,"TR.CommonName"),L11)</f>
        <v>FMC Corp</v>
      </c>
      <c r="M11" s="774" t="str" cm="1">
        <f t="array" aca="1" ref="M11" ca="1">IF(Thomson=1,_xll.TR(M7,"TR.CommonName"),M11)</f>
        <v>3M Co</v>
      </c>
      <c r="N11" s="774" t="str" cm="1">
        <f t="array" aca="1" ref="N11" ca="1">IF(Thomson=1,_xll.TR(N7,"TR.CommonName"),N11)</f>
        <v>Albemarle Corp</v>
      </c>
      <c r="O11" s="774" t="str" cm="1">
        <f t="array" aca="1" ref="O11" ca="1">IF(Thomson=1,_xll.TR(O7,"TR.CommonName"),O11)</f>
        <v>Ashland Inc</v>
      </c>
      <c r="P11" s="774" t="str" cm="1">
        <f t="array" aca="1" ref="P11" ca="1">IF(Thomson=1,_xll.TR(P7,"TR.CommonName"),P11)</f>
        <v>PPG Industries Inc</v>
      </c>
      <c r="Q11" s="774" t="str" cm="1">
        <f t="array" aca="1" ref="Q11" ca="1">IF(Thomson=1,_xll.TR(Q7,"TR.CommonName"),Q11)</f>
        <v>Solvay SA</v>
      </c>
    </row>
    <row r="12" spans="1:17" ht="5.2" customHeight="1">
      <c r="A12" s="762"/>
      <c r="B12" s="762"/>
      <c r="C12" s="762"/>
      <c r="D12" s="762"/>
      <c r="E12" s="762"/>
      <c r="F12" s="762"/>
      <c r="G12" s="762"/>
      <c r="H12" s="762"/>
      <c r="I12" s="762"/>
      <c r="J12" s="762"/>
      <c r="K12" s="762"/>
      <c r="L12" s="762"/>
      <c r="M12" s="762"/>
      <c r="N12" s="762"/>
      <c r="O12" s="762"/>
      <c r="P12" s="762"/>
      <c r="Q12" s="762"/>
    </row>
    <row r="13" spans="1:17" ht="11.25" customHeight="1" outlineLevel="1">
      <c r="A13" s="762"/>
      <c r="B13" s="762"/>
      <c r="C13" s="762" t="s">
        <v>1160</v>
      </c>
      <c r="D13" s="762"/>
      <c r="E13" s="775">
        <v>0</v>
      </c>
      <c r="F13" s="775">
        <v>0</v>
      </c>
      <c r="G13" s="775">
        <v>0</v>
      </c>
      <c r="H13" s="775">
        <v>0</v>
      </c>
      <c r="I13" s="775">
        <v>0</v>
      </c>
      <c r="J13" s="775">
        <v>0</v>
      </c>
      <c r="K13" s="775">
        <v>0</v>
      </c>
      <c r="L13" s="775">
        <v>0</v>
      </c>
      <c r="M13" s="775">
        <v>0</v>
      </c>
      <c r="N13" s="775">
        <v>0</v>
      </c>
      <c r="O13" s="775">
        <v>0</v>
      </c>
      <c r="P13" s="775">
        <v>0</v>
      </c>
      <c r="Q13" s="775">
        <v>0</v>
      </c>
    </row>
    <row r="14" spans="1:17" ht="11.25" customHeight="1" outlineLevel="1">
      <c r="A14" s="762"/>
      <c r="B14" s="762"/>
      <c r="C14" s="762" t="s">
        <v>1161</v>
      </c>
      <c r="D14" s="762"/>
      <c r="E14" s="775">
        <v>30</v>
      </c>
      <c r="F14" s="775">
        <v>30</v>
      </c>
      <c r="G14" s="775">
        <v>30</v>
      </c>
      <c r="H14" s="775">
        <v>30</v>
      </c>
      <c r="I14" s="775">
        <v>30</v>
      </c>
      <c r="J14" s="775">
        <v>30</v>
      </c>
      <c r="K14" s="775">
        <v>30</v>
      </c>
      <c r="L14" s="775">
        <v>30</v>
      </c>
      <c r="M14" s="775">
        <v>30</v>
      </c>
      <c r="N14" s="775">
        <v>30</v>
      </c>
      <c r="O14" s="775">
        <v>30</v>
      </c>
      <c r="P14" s="775">
        <v>30</v>
      </c>
      <c r="Q14" s="775">
        <v>30</v>
      </c>
    </row>
    <row r="15" spans="1:17" ht="11.25" customHeight="1">
      <c r="A15" s="762"/>
      <c r="B15" s="762"/>
      <c r="C15" s="762"/>
      <c r="D15" s="762"/>
      <c r="E15" s="762"/>
      <c r="F15" s="762"/>
      <c r="G15" s="762"/>
      <c r="H15" s="762"/>
      <c r="I15" s="762"/>
      <c r="J15" s="762"/>
      <c r="K15" s="762"/>
      <c r="L15" s="762"/>
      <c r="M15" s="762"/>
      <c r="N15" s="762"/>
      <c r="O15" s="762"/>
      <c r="P15" s="762"/>
      <c r="Q15" s="762"/>
    </row>
    <row r="16" spans="1:17" s="770" customFormat="1" ht="11.25" customHeight="1">
      <c r="C16" s="776" t="s">
        <v>482</v>
      </c>
      <c r="E16" s="777">
        <f t="shared" ref="E16:M16" ca="1" si="0">+AVERAGEIFS(E20:E67,E20:E67,"&lt;"&amp;E$14,E20:E67,"&gt;"&amp;E$13)</f>
        <v>1.8040266102902607</v>
      </c>
      <c r="F16" s="777">
        <f t="shared" ca="1" si="0"/>
        <v>2.2072513400652882</v>
      </c>
      <c r="G16" s="777">
        <f t="shared" ca="1" si="0"/>
        <v>1.1865413665765268</v>
      </c>
      <c r="H16" s="777">
        <f t="shared" ca="1" si="0"/>
        <v>1.1318547290042378</v>
      </c>
      <c r="I16" s="777">
        <f t="shared" ca="1" si="0"/>
        <v>1.1475116394862912</v>
      </c>
      <c r="J16" s="777">
        <f t="shared" ca="1" si="0"/>
        <v>2.690175164872679</v>
      </c>
      <c r="K16" s="777">
        <f t="shared" ca="1" si="0"/>
        <v>1.114411278554051</v>
      </c>
      <c r="L16" s="777">
        <f t="shared" ca="1" si="0"/>
        <v>2.8208269816890401</v>
      </c>
      <c r="M16" s="777">
        <f t="shared" ca="1" si="0"/>
        <v>3.3130659081497615</v>
      </c>
      <c r="N16" s="777">
        <f ca="1">+AVERAGEIFS(N20:N67,N20:N67,"&lt;"&amp;N$14,N20:N67,"&gt;"&amp;N$13)</f>
        <v>3.6953738425296532</v>
      </c>
      <c r="O16" s="777">
        <f ca="1">+AVERAGEIFS(O20:O67,O20:O67,"&lt;"&amp;O$14,O20:O67,"&gt;"&amp;O$13)</f>
        <v>2.1124593413321997</v>
      </c>
      <c r="P16" s="777">
        <f ca="1">+AVERAGEIFS(P20:P67,P20:P67,"&lt;"&amp;P$14,P20:P67,"&gt;"&amp;P$13)</f>
        <v>1.9825929651360399</v>
      </c>
      <c r="Q16" s="777">
        <f ca="1">+AVERAGEIFS(Q20:Q67,Q20:Q67,"&lt;"&amp;Q$14,Q20:Q67,"&gt;"&amp;Q$13)</f>
        <v>1.2063996094692051</v>
      </c>
    </row>
    <row r="17" spans="1:19" s="770" customFormat="1" ht="11.25" customHeight="1">
      <c r="C17" s="776" t="s">
        <v>1162</v>
      </c>
      <c r="E17" s="777" cm="1">
        <f t="array" aca="1" ref="E17" ca="1">+E16-_xlfn.STDEV.P(IF(E20:E67&lt;E$14,IF(E20:E67&gt;E$13,E20:E67)))</f>
        <v>1.5940938567625225</v>
      </c>
      <c r="F17" s="777" cm="1">
        <f t="array" aca="1" ref="F17" ca="1">+F16-_xlfn.STDEV.P(IF(F20:F67&lt;F$14,IF(F20:F67&gt;F$13,F20:F67)))</f>
        <v>1.7126137663973631</v>
      </c>
      <c r="G17" s="777" cm="1">
        <f t="array" aca="1" ref="G17" ca="1">+G16-_xlfn.STDEV.P(IF(G20:G67&lt;G$14,IF(G20:G67&gt;G$13,G20:G67)))</f>
        <v>0.98727190906190532</v>
      </c>
      <c r="H17" s="777" cm="1">
        <f t="array" aca="1" ref="H17" ca="1">+H16-_xlfn.STDEV.P(IF(H20:H67&lt;H$14,IF(H20:H67&gt;H$13,H20:H67)))</f>
        <v>0.99757044893559199</v>
      </c>
      <c r="I17" s="777" cm="1">
        <f t="array" aca="1" ref="I17" ca="1">+I16-_xlfn.STDEV.P(IF(I20:I67&lt;I$14,IF(I20:I67&gt;I$13,I20:I67)))</f>
        <v>0.95006386032281864</v>
      </c>
      <c r="J17" s="777" cm="1">
        <f t="array" aca="1" ref="J17" ca="1">+J16-_xlfn.STDEV.P(IF(J20:J67&lt;J$14,IF(J20:J67&gt;J$13,J20:J67)))</f>
        <v>2.1284149095567662</v>
      </c>
      <c r="K17" s="777" cm="1">
        <f t="array" aca="1" ref="K17" ca="1">+K16-_xlfn.STDEV.P(IF(K20:K67&lt;K$14,IF(K20:K67&gt;K$13,K20:K67)))</f>
        <v>0.89779915030512047</v>
      </c>
      <c r="L17" s="777" cm="1">
        <f t="array" aca="1" ref="L17" ca="1">+L16-_xlfn.STDEV.P(IF(L20:L67&lt;L$14,IF(L20:L67&gt;L$13,L20:L67)))</f>
        <v>2.3415003998988042</v>
      </c>
      <c r="M17" s="777" cm="1">
        <f t="array" aca="1" ref="M17" ca="1">+M16-_xlfn.STDEV.P(IF(M20:M67&lt;M$14,IF(M20:M67&gt;M$13,M20:M67)))</f>
        <v>2.772254943769827</v>
      </c>
      <c r="N17" s="777" cm="1">
        <f t="array" aca="1" ref="N17" ca="1">+N16-_xlfn.STDEV.P(IF(N20:N67&lt;N$14,IF(N20:N67&gt;N$13,N20:N67)))</f>
        <v>2.0118969484753677</v>
      </c>
      <c r="O17" s="777" cm="1">
        <f t="array" aca="1" ref="O17" ca="1">+O16-_xlfn.STDEV.P(IF(O20:O67&lt;O$14,IF(O20:O67&gt;O$13,O20:O67)))</f>
        <v>1.5871888132842162</v>
      </c>
      <c r="P17" s="777" cm="1">
        <f t="array" aca="1" ref="P17" ca="1">+P16-_xlfn.STDEV.P(IF(P20:P67&lt;P$14,IF(P20:P67&gt;P$13,P20:P67)))</f>
        <v>1.7172489780618969</v>
      </c>
      <c r="Q17" s="777" cm="1">
        <f t="array" aca="1" ref="Q17" ca="1">+Q16-_xlfn.STDEV.P(IF(Q20:Q67&lt;Q$14,IF(Q20:Q67&gt;Q$13,Q20:Q67)))</f>
        <v>1.0153848744800327</v>
      </c>
    </row>
    <row r="18" spans="1:19" s="770" customFormat="1" ht="11.25" customHeight="1">
      <c r="C18" s="776" t="s">
        <v>1163</v>
      </c>
      <c r="E18" s="777" cm="1">
        <f t="array" aca="1" ref="E18" ca="1">+E16+_xlfn.STDEV.P(IF(E20:E67&lt;E$14,IF(E20:E67&gt;E$13,E20:E67)))</f>
        <v>2.0139593638179987</v>
      </c>
      <c r="F18" s="777" cm="1">
        <f t="array" aca="1" ref="F18" ca="1">+F16+_xlfn.STDEV.P(IF(F20:F67&lt;F$14,IF(F20:F67&gt;F$13,F20:F67)))</f>
        <v>2.7018889137332134</v>
      </c>
      <c r="G18" s="777" cm="1">
        <f t="array" aca="1" ref="G18" ca="1">+G16+_xlfn.STDEV.P(IF(G20:G67&lt;G$14,IF(G20:G67&gt;G$13,G20:G67)))</f>
        <v>1.3858108240911482</v>
      </c>
      <c r="H18" s="777" cm="1">
        <f t="array" aca="1" ref="H18" ca="1">+H16+_xlfn.STDEV.P(IF(H20:H67&lt;H$14,IF(H20:H67&gt;H$13,H20:H67)))</f>
        <v>1.2661390090728837</v>
      </c>
      <c r="I18" s="777" cm="1">
        <f t="array" aca="1" ref="I18" ca="1">+I16+_xlfn.STDEV.P(IF(I20:I67&lt;I$14,IF(I20:I67&gt;I$13,I20:I67)))</f>
        <v>1.3449594186497638</v>
      </c>
      <c r="J18" s="777" cm="1">
        <f t="array" aca="1" ref="J18" ca="1">+J16+_xlfn.STDEV.P(IF(J20:J67&lt;J$14,IF(J20:J67&gt;J$13,J20:J67)))</f>
        <v>3.2519354201885919</v>
      </c>
      <c r="K18" s="777" cm="1">
        <f t="array" aca="1" ref="K18" ca="1">+K16+_xlfn.STDEV.P(IF(K20:K67&lt;K$14,IF(K20:K67&gt;K$13,K20:K67)))</f>
        <v>1.3310234068029816</v>
      </c>
      <c r="L18" s="777" cm="1">
        <f t="array" aca="1" ref="L18" ca="1">+L16+_xlfn.STDEV.P(IF(L20:L67&lt;L$14,IF(L20:L67&gt;L$13,L20:L67)))</f>
        <v>3.300153563479276</v>
      </c>
      <c r="M18" s="777" cm="1">
        <f t="array" aca="1" ref="M18" ca="1">+M16+_xlfn.STDEV.P(IF(M20:M67&lt;M$14,IF(M20:M67&gt;M$13,M20:M67)))</f>
        <v>3.8538768725296961</v>
      </c>
      <c r="N18" s="777" cm="1">
        <f t="array" aca="1" ref="N18" ca="1">+N16+_xlfn.STDEV.P(IF(N20:N67&lt;N$14,IF(N20:N67&gt;N$13,N20:N67)))</f>
        <v>5.3788507365839386</v>
      </c>
      <c r="O18" s="777" cm="1">
        <f t="array" aca="1" ref="O18" ca="1">+O16+_xlfn.STDEV.P(IF(O20:O67&lt;O$14,IF(O20:O67&gt;O$13,O20:O67)))</f>
        <v>2.6377298693801832</v>
      </c>
      <c r="P18" s="777" cm="1">
        <f t="array" aca="1" ref="P18" ca="1">+P16+_xlfn.STDEV.P(IF(P20:P67&lt;P$14,IF(P20:P67&gt;P$13,P20:P67)))</f>
        <v>2.2479369522101829</v>
      </c>
      <c r="Q18" s="777" cm="1">
        <f t="array" aca="1" ref="Q18" ca="1">+Q16+_xlfn.STDEV.P(IF(Q20:Q67&lt;Q$14,IF(Q20:Q67&gt;Q$13,Q20:Q67)))</f>
        <v>1.3974143444583775</v>
      </c>
    </row>
    <row r="19" spans="1:19" ht="5.2" customHeight="1">
      <c r="A19" s="762"/>
      <c r="B19" s="762"/>
      <c r="C19" s="762"/>
      <c r="D19" s="762"/>
      <c r="E19" s="762"/>
      <c r="F19" s="762"/>
      <c r="G19" s="762"/>
      <c r="H19" s="762"/>
      <c r="I19" s="762"/>
      <c r="J19" s="762"/>
      <c r="K19" s="762"/>
      <c r="L19" s="762"/>
      <c r="M19" s="762"/>
      <c r="N19" s="762"/>
      <c r="O19" s="762"/>
      <c r="P19" s="762"/>
      <c r="Q19" s="762"/>
    </row>
    <row r="20" spans="1:19" ht="11.25" customHeight="1">
      <c r="C20" s="969">
        <v>41274</v>
      </c>
      <c r="D20" s="970">
        <f t="shared" ref="D20:D59" si="1">+C20+45</f>
        <v>41319</v>
      </c>
      <c r="E20" s="963" cm="1">
        <f t="array" aca="1" ref="E20" ca="1">IF(Thomson=1,_xll.TR(E$7,E$6,"Sdate=#1 Period=#2 NULL=BLANK",,$D20,$E$4),E20)</f>
        <v>1.68081565852921</v>
      </c>
      <c r="F20" s="963" cm="1">
        <f t="array" aca="1" ref="F20" ca="1">IF(Thomson=1,_xll.TR(F$7,F$6,"Sdate=#1 Period=#2 NULL=BLANK",,$D20,$E$4),F20)</f>
        <v>1.50577742315787</v>
      </c>
      <c r="G20" s="963" cm="1">
        <f t="array" aca="1" ref="G20" ca="1">IF(Thomson=1,_xll.TR(G$7,G$6,"Sdate=#1 Period=#2 NULL=BLANK",,$D20,$E$4),G20)</f>
        <v>0.96013616057242801</v>
      </c>
      <c r="H20" s="963" t="str" cm="1">
        <f t="array" aca="1" ref="H20" ca="1">IF(Thomson=1,_xll.TR(H$7,H$6,"Sdate=#1 Period=#2 NULL=BLANK",,$D20,$E$4),H20)</f>
        <v/>
      </c>
      <c r="I20" s="963" cm="1">
        <f t="array" aca="1" ref="I20" ca="1">IF(Thomson=1,_xll.TR(I$7,I$6,"Sdate=#1 Period=#2 NULL=BLANK",,$D20,$E$4),I20)</f>
        <v>0.81191080480967504</v>
      </c>
      <c r="J20" s="963" t="str" cm="1">
        <f t="array" aca="1" ref="J20" ca="1">IF(Thomson=1,_xll.TR(J$7,J$6,"Sdate=#1 Period=#2 NULL=BLANK",,$D20,$E$4),J20)</f>
        <v/>
      </c>
      <c r="K20" s="963" cm="1">
        <f t="array" aca="1" ref="K20" ca="1">IF(Thomson=1,_xll.TR(K$7,K$6,"Sdate=#1 Period=#2 NULL=BLANK",,$D20,$E$4),K20)</f>
        <v>0.61414805802510997</v>
      </c>
      <c r="L20" s="963" cm="1">
        <f t="array" aca="1" ref="L20" ca="1">IF(Thomson=1,_xll.TR(L$7,L$6,"Sdate=#1 Period=#2 NULL=BLANK",,$D20,$E$4),L20)</f>
        <v>2.1436248850900399</v>
      </c>
      <c r="M20" s="963" cm="1">
        <f t="array" aca="1" ref="M20" ca="1">IF(Thomson=1,_xll.TR(M$7,M$6,"Sdate=#1 Period=#2 NULL=BLANK",,$D20,$E$4),M20)</f>
        <v>2.2906288920723799</v>
      </c>
      <c r="N20" s="963" cm="1">
        <f t="array" aca="1" ref="N20" ca="1">IF(Thomson=1,_xll.TR(N$7,N$6,"Sdate=#1 Period=#2 NULL=BLANK",,$D20,$E$4),N20)</f>
        <v>2.1693406413599798</v>
      </c>
      <c r="O20" s="963" cm="1">
        <f t="array" aca="1" ref="O20" ca="1">IF(Thomson=1,_xll.TR(O$7,O$6,"Sdate=#1 Period=#2 NULL=BLANK",,$D20,$E$4),O20)</f>
        <v>1.10517511856033</v>
      </c>
      <c r="P20" s="963" cm="1">
        <f t="array" aca="1" ref="P20" ca="1">IF(Thomson=1,_xll.TR(P$7,P$6,"Sdate=#1 Period=#2 NULL=BLANK",,$D20,$E$4),P20)</f>
        <v>1.4737960700075501</v>
      </c>
      <c r="Q20" s="963" cm="1">
        <f t="array" aca="1" ref="Q20" ca="1">IF(Thomson=1,_xll.TR(Q$7,Q$6,"Sdate=#1 Period=#2 NULL=BLANK",,$D20,$E$4),Q20)</f>
        <v>0.96132752162385104</v>
      </c>
      <c r="S20" s="861" t="s">
        <v>1512</v>
      </c>
    </row>
    <row r="21" spans="1:19" ht="11.25" customHeight="1">
      <c r="C21" s="971">
        <f t="shared" ref="C21:C60" si="2">+EOMONTH(C20,3)</f>
        <v>41364</v>
      </c>
      <c r="D21" s="970">
        <f t="shared" si="1"/>
        <v>41409</v>
      </c>
      <c r="E21" s="963" cm="1">
        <f t="array" aca="1" ref="E21" ca="1">IF(Thomson=1,_xll.TR(E$7,E$6,"Sdate=#1 Period=#2 NULL=BLANK",,$D21,"NTM"),E21)</f>
        <v>1.6346922794254599</v>
      </c>
      <c r="F21" s="963" cm="1">
        <f t="array" aca="1" ref="F21" ca="1">IF(Thomson=1,_xll.TR(F$7,F$6,"Sdate=#1 Period=#2 NULL=BLANK",,$D21,"NTM"),F21)</f>
        <v>1.4693122807286301</v>
      </c>
      <c r="G21" s="963" cm="1">
        <f t="array" aca="1" ref="G21" ca="1">IF(Thomson=1,_xll.TR(G$7,G$6,"Sdate=#1 Period=#2 NULL=BLANK",,$D21,"NTM"),G21)</f>
        <v>1.07421510542524</v>
      </c>
      <c r="H21" s="963" t="str" cm="1">
        <f t="array" aca="1" ref="H21" ca="1">IF(Thomson=1,_xll.TR(H$7,H$6,"Sdate=#1 Period=#2 NULL=BLANK",,$D21,"NTM"),H21)</f>
        <v/>
      </c>
      <c r="I21" s="963" cm="1">
        <f t="array" aca="1" ref="I21" ca="1">IF(Thomson=1,_xll.TR(I$7,I$6,"Sdate=#1 Period=#2 NULL=BLANK",,$D21,"NTM"),I21)</f>
        <v>0.86033474110553299</v>
      </c>
      <c r="J21" s="963" t="str" cm="1">
        <f t="array" aca="1" ref="J21" ca="1">IF(Thomson=1,_xll.TR(J$7,J$6,"Sdate=#1 Period=#2 NULL=BLANK",,$D21,"NTM"),J21)</f>
        <v/>
      </c>
      <c r="K21" s="963" cm="1">
        <f t="array" aca="1" ref="K21" ca="1">IF(Thomson=1,_xll.TR(K$7,K$6,"Sdate=#1 Period=#2 NULL=BLANK",,$D21,"NTM"),K21)</f>
        <v>0.84527697941990099</v>
      </c>
      <c r="L21" s="963" cm="1">
        <f t="array" aca="1" ref="L21" ca="1">IF(Thomson=1,_xll.TR(L$7,L$6,"Sdate=#1 Period=#2 NULL=BLANK",,$D21,"NTM"),L21)</f>
        <v>2.2801721209518</v>
      </c>
      <c r="M21" s="963" cm="1">
        <f t="array" aca="1" ref="M21" ca="1">IF(Thomson=1,_xll.TR(M$7,M$6,"Sdate=#1 Period=#2 NULL=BLANK",,$D21,"NTM"),M21)</f>
        <v>2.4832408684470599</v>
      </c>
      <c r="N21" s="963" cm="1">
        <f t="array" aca="1" ref="N21" ca="1">IF(Thomson=1,_xll.TR(N$7,N$6,"Sdate=#1 Period=#2 NULL=BLANK",,$D21,"NTM"),N21)</f>
        <v>2.1749601677314998</v>
      </c>
      <c r="O21" s="963" cm="1">
        <f t="array" aca="1" ref="O21" ca="1">IF(Thomson=1,_xll.TR(O$7,O$6,"Sdate=#1 Period=#2 NULL=BLANK",,$D21,"NTM"),O21)</f>
        <v>1.23814237494334</v>
      </c>
      <c r="P21" s="963" cm="1">
        <f t="array" aca="1" ref="P21" ca="1">IF(Thomson=1,_xll.TR(P$7,P$6,"Sdate=#1 Period=#2 NULL=BLANK",,$D21,"NTM"),P21)</f>
        <v>1.5153202913663599</v>
      </c>
      <c r="Q21" s="963" cm="1">
        <f t="array" aca="1" ref="Q21" ca="1">IF(Thomson=1,_xll.TR(Q$7,Q$6,"Sdate=#1 Period=#2 NULL=BLANK",,$D21,"NTM"),Q21)</f>
        <v>0.95204399119866401</v>
      </c>
      <c r="S21" s="861" t="s">
        <v>1513</v>
      </c>
    </row>
    <row r="22" spans="1:19" ht="11.25" customHeight="1">
      <c r="C22" s="972">
        <f t="shared" si="2"/>
        <v>41455</v>
      </c>
      <c r="D22" s="970">
        <f t="shared" si="1"/>
        <v>41500</v>
      </c>
      <c r="E22" s="963" cm="1">
        <f t="array" aca="1" ref="E22" ca="1">IF(Thomson=1,_xll.TR(E$7,E$6,"Sdate=#1 Period=#2 NULL=BLANK",,$D22,"NTM"),E22)</f>
        <v>1.74571244989424</v>
      </c>
      <c r="F22" s="963" cm="1">
        <f t="array" aca="1" ref="F22" ca="1">IF(Thomson=1,_xll.TR(F$7,F$6,"Sdate=#1 Period=#2 NULL=BLANK",,$D22,"NTM"),F22)</f>
        <v>1.47776362561804</v>
      </c>
      <c r="G22" s="963" cm="1">
        <f t="array" aca="1" ref="G22" ca="1">IF(Thomson=1,_xll.TR(G$7,G$6,"Sdate=#1 Period=#2 NULL=BLANK",,$D22,"NTM"),G22)</f>
        <v>1.0491872752860101</v>
      </c>
      <c r="H22" s="963" t="str" cm="1">
        <f t="array" aca="1" ref="H22" ca="1">IF(Thomson=1,_xll.TR(H$7,H$6,"Sdate=#1 Period=#2 NULL=BLANK",,$D22,"NTM"),H22)</f>
        <v/>
      </c>
      <c r="I22" s="963" cm="1">
        <f t="array" aca="1" ref="I22" ca="1">IF(Thomson=1,_xll.TR(I$7,I$6,"Sdate=#1 Period=#2 NULL=BLANK",,$D22,"NTM"),I22)</f>
        <v>0.90206500660317002</v>
      </c>
      <c r="J22" s="963" t="str" cm="1">
        <f t="array" aca="1" ref="J22" ca="1">IF(Thomson=1,_xll.TR(J$7,J$6,"Sdate=#1 Period=#2 NULL=BLANK",,$D22,"NTM"),J22)</f>
        <v/>
      </c>
      <c r="K22" s="963" cm="1">
        <f t="array" aca="1" ref="K22" ca="1">IF(Thomson=1,_xll.TR(K$7,K$6,"Sdate=#1 Period=#2 NULL=BLANK",,$D22,"NTM"),K22)</f>
        <v>0.84554900282606205</v>
      </c>
      <c r="L22" s="963" cm="1">
        <f t="array" aca="1" ref="L22" ca="1">IF(Thomson=1,_xll.TR(L$7,L$6,"Sdate=#1 Period=#2 NULL=BLANK",,$D22,"NTM"),L22)</f>
        <v>2.3539724356193901</v>
      </c>
      <c r="M22" s="963" cm="1">
        <f t="array" aca="1" ref="M22" ca="1">IF(Thomson=1,_xll.TR(M$7,M$6,"Sdate=#1 Period=#2 NULL=BLANK",,$D22,"NTM"),M22)</f>
        <v>2.5774925310376902</v>
      </c>
      <c r="N22" s="963" cm="1">
        <f t="array" aca="1" ref="N22" ca="1">IF(Thomson=1,_xll.TR(N$7,N$6,"Sdate=#1 Period=#2 NULL=BLANK",,$D22,"NTM"),N22)</f>
        <v>2.1883664983650002</v>
      </c>
      <c r="O22" s="963" cm="1">
        <f t="array" aca="1" ref="O22" ca="1">IF(Thomson=1,_xll.TR(O$7,O$6,"Sdate=#1 Period=#2 NULL=BLANK",,$D22,"NTM"),O22)</f>
        <v>1.2105439121913699</v>
      </c>
      <c r="P22" s="963" cm="1">
        <f t="array" aca="1" ref="P22" ca="1">IF(Thomson=1,_xll.TR(P$7,P$6,"Sdate=#1 Period=#2 NULL=BLANK",,$D22,"NTM"),P22)</f>
        <v>1.59758293416905</v>
      </c>
      <c r="Q22" s="963" cm="1">
        <f t="array" aca="1" ref="Q22" ca="1">IF(Thomson=1,_xll.TR(Q$7,Q$6,"Sdate=#1 Period=#2 NULL=BLANK",,$D22,"NTM"),Q22)</f>
        <v>0.96710933560437995</v>
      </c>
      <c r="S22" s="861" t="s">
        <v>1514</v>
      </c>
    </row>
    <row r="23" spans="1:19" ht="11.25" customHeight="1">
      <c r="C23" s="973">
        <f t="shared" si="2"/>
        <v>41547</v>
      </c>
      <c r="D23" s="970">
        <f t="shared" si="1"/>
        <v>41592</v>
      </c>
      <c r="E23" s="963" cm="1">
        <f t="array" aca="1" ref="E23" ca="1">IF(Thomson=1,_xll.TR(E$7,E$6,"Sdate=#1 Period=#2 NULL=BLANK",,$D23,"NTM"),E23)</f>
        <v>1.69319627713245</v>
      </c>
      <c r="F23" s="963" cm="1">
        <f t="array" aca="1" ref="F23" ca="1">IF(Thomson=1,_xll.TR(F$7,F$6,"Sdate=#1 Period=#2 NULL=BLANK",,$D23,"NTM"),F23)</f>
        <v>1.6376417909608301</v>
      </c>
      <c r="G23" s="963" cm="1">
        <f t="array" aca="1" ref="G23" ca="1">IF(Thomson=1,_xll.TR(G$7,G$6,"Sdate=#1 Period=#2 NULL=BLANK",,$D23,"NTM"),G23)</f>
        <v>1.21755831875842</v>
      </c>
      <c r="H23" s="963" t="str" cm="1">
        <f t="array" aca="1" ref="H23" ca="1">IF(Thomson=1,_xll.TR(H$7,H$6,"Sdate=#1 Period=#2 NULL=BLANK",,$D23,"NTM"),H23)</f>
        <v/>
      </c>
      <c r="I23" s="963" cm="1">
        <f t="array" aca="1" ref="I23" ca="1">IF(Thomson=1,_xll.TR(I$7,I$6,"Sdate=#1 Period=#2 NULL=BLANK",,$D23,"NTM"),I23)</f>
        <v>0.97571616119115501</v>
      </c>
      <c r="J23" s="963" t="str" cm="1">
        <f t="array" aca="1" ref="J23" ca="1">IF(Thomson=1,_xll.TR(J$7,J$6,"Sdate=#1 Period=#2 NULL=BLANK",,$D23,"NTM"),J23)</f>
        <v/>
      </c>
      <c r="K23" s="963" cm="1">
        <f t="array" aca="1" ref="K23" ca="1">IF(Thomson=1,_xll.TR(K$7,K$6,"Sdate=#1 Period=#2 NULL=BLANK",,$D23,"NTM"),K23)</f>
        <v>0.87467818053950497</v>
      </c>
      <c r="L23" s="963" cm="1">
        <f t="array" aca="1" ref="L23" ca="1">IF(Thomson=1,_xll.TR(L$7,L$6,"Sdate=#1 Period=#2 NULL=BLANK",,$D23,"NTM"),L23)</f>
        <v>2.6644060394986901</v>
      </c>
      <c r="M23" s="963" cm="1">
        <f t="array" aca="1" ref="M23" ca="1">IF(Thomson=1,_xll.TR(M$7,M$6,"Sdate=#1 Period=#2 NULL=BLANK",,$D23,"NTM"),M23)</f>
        <v>2.7786004139053402</v>
      </c>
      <c r="N23" s="963" cm="1">
        <f t="array" aca="1" ref="N23" ca="1">IF(Thomson=1,_xll.TR(N$7,N$6,"Sdate=#1 Period=#2 NULL=BLANK",,$D23,"NTM"),N23)</f>
        <v>2.3002139679388698</v>
      </c>
      <c r="O23" s="963" cm="1">
        <f t="array" aca="1" ref="O23" ca="1">IF(Thomson=1,_xll.TR(O$7,O$6,"Sdate=#1 Period=#2 NULL=BLANK",,$D23,"NTM"),O23)</f>
        <v>1.25744052295508</v>
      </c>
      <c r="P23" s="963" cm="1">
        <f t="array" aca="1" ref="P23" ca="1">IF(Thomson=1,_xll.TR(P$7,P$6,"Sdate=#1 Period=#2 NULL=BLANK",,$D23,"NTM"),P23)</f>
        <v>1.7600328684926201</v>
      </c>
      <c r="Q23" s="963" cm="1">
        <f t="array" aca="1" ref="Q23" ca="1">IF(Thomson=1,_xll.TR(Q$7,Q$6,"Sdate=#1 Period=#2 NULL=BLANK",,$D23,"NTM"),Q23)</f>
        <v>1.0792133972667599</v>
      </c>
    </row>
    <row r="24" spans="1:19" ht="11.25" customHeight="1">
      <c r="C24" s="969">
        <f t="shared" si="2"/>
        <v>41639</v>
      </c>
      <c r="D24" s="970">
        <f t="shared" si="1"/>
        <v>41684</v>
      </c>
      <c r="E24" s="963" cm="1">
        <f t="array" aca="1" ref="E24" ca="1">IF(Thomson=1,_xll.TR(E$7,E$6,"Sdate=#1 Period=#2 NULL=BLANK",,$D24,"NTM"),E24)</f>
        <v>1.71284386385952</v>
      </c>
      <c r="F24" s="963" cm="1">
        <f t="array" aca="1" ref="F24" ca="1">IF(Thomson=1,_xll.TR(F$7,F$6,"Sdate=#1 Period=#2 NULL=BLANK",,$D24,"NTM"),F24)</f>
        <v>1.5105726529033201</v>
      </c>
      <c r="G24" s="963" cm="1">
        <f t="array" aca="1" ref="G24" ca="1">IF(Thomson=1,_xll.TR(G$7,G$6,"Sdate=#1 Period=#2 NULL=BLANK",,$D24,"NTM"),G24)</f>
        <v>1.32362241240776</v>
      </c>
      <c r="H24" s="963" t="str" cm="1">
        <f t="array" aca="1" ref="H24" ca="1">IF(Thomson=1,_xll.TR(H$7,H$6,"Sdate=#1 Period=#2 NULL=BLANK",,$D24,"NTM"),H24)</f>
        <v/>
      </c>
      <c r="I24" s="963" cm="1">
        <f t="array" aca="1" ref="I24" ca="1">IF(Thomson=1,_xll.TR(I$7,I$6,"Sdate=#1 Period=#2 NULL=BLANK",,$D24,"NTM"),I24)</f>
        <v>1.04680486225462</v>
      </c>
      <c r="J24" s="963" t="str" cm="1">
        <f t="array" aca="1" ref="J24" ca="1">IF(Thomson=1,_xll.TR(J$7,J$6,"Sdate=#1 Period=#2 NULL=BLANK",,$D24,"NTM"),J24)</f>
        <v/>
      </c>
      <c r="K24" s="963" cm="1">
        <f t="array" aca="1" ref="K24" ca="1">IF(Thomson=1,_xll.TR(K$7,K$6,"Sdate=#1 Period=#2 NULL=BLANK",,$D24,"NTM"),K24)</f>
        <v>0.95648627156376698</v>
      </c>
      <c r="L24" s="963" cm="1">
        <f t="array" aca="1" ref="L24" ca="1">IF(Thomson=1,_xll.TR(L$7,L$6,"Sdate=#1 Period=#2 NULL=BLANK",,$D24,"NTM"),L24)</f>
        <v>2.5241480294505401</v>
      </c>
      <c r="M24" s="963" cm="1">
        <f t="array" aca="1" ref="M24" ca="1">IF(Thomson=1,_xll.TR(M$7,M$6,"Sdate=#1 Period=#2 NULL=BLANK",,$D24,"NTM"),M24)</f>
        <v>2.7778384202476998</v>
      </c>
      <c r="N24" s="963" cm="1">
        <f t="array" aca="1" ref="N24" ca="1">IF(Thomson=1,_xll.TR(N$7,N$6,"Sdate=#1 Period=#2 NULL=BLANK",,$D24,"NTM"),N24)</f>
        <v>2.1518335142774401</v>
      </c>
      <c r="O24" s="963" cm="1">
        <f t="array" aca="1" ref="O24" ca="1">IF(Thomson=1,_xll.TR(O$7,O$6,"Sdate=#1 Period=#2 NULL=BLANK",,$D24,"NTM"),O24)</f>
        <v>1.3127101067390801</v>
      </c>
      <c r="P24" s="963" cm="1">
        <f t="array" aca="1" ref="P24" ca="1">IF(Thomson=1,_xll.TR(P$7,P$6,"Sdate=#1 Period=#2 NULL=BLANK",,$D24,"NTM"),P24)</f>
        <v>1.7135723612103</v>
      </c>
      <c r="Q24" s="963" cm="1">
        <f t="array" aca="1" ref="Q24" ca="1">IF(Thomson=1,_xll.TR(Q$7,Q$6,"Sdate=#1 Period=#2 NULL=BLANK",,$D24,"NTM"),Q24)</f>
        <v>1.0996791181162999</v>
      </c>
    </row>
    <row r="25" spans="1:19" ht="11.25" customHeight="1">
      <c r="C25" s="971">
        <f t="shared" si="2"/>
        <v>41729</v>
      </c>
      <c r="D25" s="970">
        <f t="shared" si="1"/>
        <v>41774</v>
      </c>
      <c r="E25" s="963" cm="1">
        <f t="array" aca="1" ref="E25" ca="1">IF(Thomson=1,_xll.TR(E$7,E$6,"Sdate=#1 Period=#2 NULL=BLANK",,$D25,"NTM"),E25)</f>
        <v>1.74801689293832</v>
      </c>
      <c r="F25" s="963" cm="1">
        <f t="array" aca="1" ref="F25" ca="1">IF(Thomson=1,_xll.TR(F$7,F$6,"Sdate=#1 Period=#2 NULL=BLANK",,$D25,"NTM"),F25)</f>
        <v>1.61094145470782</v>
      </c>
      <c r="G25" s="963" cm="1">
        <f t="array" aca="1" ref="G25" ca="1">IF(Thomson=1,_xll.TR(G$7,G$6,"Sdate=#1 Period=#2 NULL=BLANK",,$D25,"NTM"),G25)</f>
        <v>1.2810467105671</v>
      </c>
      <c r="H25" s="963" t="str" cm="1">
        <f t="array" aca="1" ref="H25" ca="1">IF(Thomson=1,_xll.TR(H$7,H$6,"Sdate=#1 Period=#2 NULL=BLANK",,$D25,"NTM"),H25)</f>
        <v/>
      </c>
      <c r="I25" s="963" cm="1">
        <f t="array" aca="1" ref="I25" ca="1">IF(Thomson=1,_xll.TR(I$7,I$6,"Sdate=#1 Period=#2 NULL=BLANK",,$D25,"NTM"),I25)</f>
        <v>1.1471684733284599</v>
      </c>
      <c r="J25" s="963" t="str" cm="1">
        <f t="array" aca="1" ref="J25" ca="1">IF(Thomson=1,_xll.TR(J$7,J$6,"Sdate=#1 Period=#2 NULL=BLANK",,$D25,"NTM"),J25)</f>
        <v/>
      </c>
      <c r="K25" s="963" cm="1">
        <f t="array" aca="1" ref="K25" ca="1">IF(Thomson=1,_xll.TR(K$7,K$6,"Sdate=#1 Period=#2 NULL=BLANK",,$D25,"NTM"),K25)</f>
        <v>1.0163877225315101</v>
      </c>
      <c r="L25" s="963" cm="1">
        <f t="array" aca="1" ref="L25" ca="1">IF(Thomson=1,_xll.TR(L$7,L$6,"Sdate=#1 Period=#2 NULL=BLANK",,$D25,"NTM"),L25)</f>
        <v>2.47664484875289</v>
      </c>
      <c r="M25" s="963" cm="1">
        <f t="array" aca="1" ref="M25" ca="1">IF(Thomson=1,_xll.TR(M$7,M$6,"Sdate=#1 Period=#2 NULL=BLANK",,$D25,"NTM"),M25)</f>
        <v>2.92215635683585</v>
      </c>
      <c r="N25" s="963" cm="1">
        <f t="array" aca="1" ref="N25" ca="1">IF(Thomson=1,_xll.TR(N$7,N$6,"Sdate=#1 Period=#2 NULL=BLANK",,$D25,"NTM"),N25)</f>
        <v>2.2057031152319402</v>
      </c>
      <c r="O25" s="963" cm="1">
        <f t="array" aca="1" ref="O25" ca="1">IF(Thomson=1,_xll.TR(O$7,O$6,"Sdate=#1 Period=#2 NULL=BLANK",,$D25,"NTM"),O25)</f>
        <v>1.7120973394622301</v>
      </c>
      <c r="P25" s="963" cm="1">
        <f t="array" aca="1" ref="P25" ca="1">IF(Thomson=1,_xll.TR(P$7,P$6,"Sdate=#1 Period=#2 NULL=BLANK",,$D25,"NTM"),P25)</f>
        <v>1.73951668346411</v>
      </c>
      <c r="Q25" s="963" cm="1">
        <f t="array" aca="1" ref="Q25" ca="1">IF(Thomson=1,_xll.TR(Q$7,Q$6,"Sdate=#1 Period=#2 NULL=BLANK",,$D25,"NTM"),Q25)</f>
        <v>1.1422802744935501</v>
      </c>
    </row>
    <row r="26" spans="1:19" ht="11.25" customHeight="1">
      <c r="C26" s="972">
        <f t="shared" si="2"/>
        <v>41820</v>
      </c>
      <c r="D26" s="970">
        <f t="shared" si="1"/>
        <v>41865</v>
      </c>
      <c r="E26" s="963" cm="1">
        <f t="array" aca="1" ref="E26" ca="1">IF(Thomson=1,_xll.TR(E$7,E$6,"Sdate=#1 Period=#2 NULL=BLANK",,$D26,"NTM"),E26)</f>
        <v>1.70259856113875</v>
      </c>
      <c r="F26" s="963" cm="1">
        <f t="array" aca="1" ref="F26" ca="1">IF(Thomson=1,_xll.TR(F$7,F$6,"Sdate=#1 Period=#2 NULL=BLANK",,$D26,"NTM"),F26)</f>
        <v>1.6019955568243101</v>
      </c>
      <c r="G26" s="963" cm="1">
        <f t="array" aca="1" ref="G26" ca="1">IF(Thomson=1,_xll.TR(G$7,G$6,"Sdate=#1 Period=#2 NULL=BLANK",,$D26,"NTM"),G26)</f>
        <v>1.24329299554706</v>
      </c>
      <c r="H26" s="963" t="str" cm="1">
        <f t="array" aca="1" ref="H26" ca="1">IF(Thomson=1,_xll.TR(H$7,H$6,"Sdate=#1 Period=#2 NULL=BLANK",,$D26,"NTM"),H26)</f>
        <v/>
      </c>
      <c r="I26" s="963" cm="1">
        <f t="array" aca="1" ref="I26" ca="1">IF(Thomson=1,_xll.TR(I$7,I$6,"Sdate=#1 Period=#2 NULL=BLANK",,$D26,"NTM"),I26)</f>
        <v>1.2528991080952701</v>
      </c>
      <c r="J26" s="963" t="str" cm="1">
        <f t="array" aca="1" ref="J26" ca="1">IF(Thomson=1,_xll.TR(J$7,J$6,"Sdate=#1 Period=#2 NULL=BLANK",,$D26,"NTM"),J26)</f>
        <v/>
      </c>
      <c r="K26" s="963" cm="1">
        <f t="array" aca="1" ref="K26" ca="1">IF(Thomson=1,_xll.TR(K$7,K$6,"Sdate=#1 Period=#2 NULL=BLANK",,$D26,"NTM"),K26)</f>
        <v>1.0599368962332401</v>
      </c>
      <c r="L26" s="963" cm="1">
        <f t="array" aca="1" ref="L26" ca="1">IF(Thomson=1,_xll.TR(L$7,L$6,"Sdate=#1 Period=#2 NULL=BLANK",,$D26,"NTM"),L26)</f>
        <v>2.29018194962083</v>
      </c>
      <c r="M26" s="963" cm="1">
        <f t="array" aca="1" ref="M26" ca="1">IF(Thomson=1,_xll.TR(M$7,M$6,"Sdate=#1 Period=#2 NULL=BLANK",,$D26,"NTM"),M26)</f>
        <v>2.9117002074395901</v>
      </c>
      <c r="N26" s="963" cm="1">
        <f t="array" aca="1" ref="N26" ca="1">IF(Thomson=1,_xll.TR(N$7,N$6,"Sdate=#1 Period=#2 NULL=BLANK",,$D26,"NTM"),N26)</f>
        <v>2.0716105207467299</v>
      </c>
      <c r="O26" s="963" cm="1">
        <f t="array" aca="1" ref="O26" ca="1">IF(Thomson=1,_xll.TR(O$7,O$6,"Sdate=#1 Period=#2 NULL=BLANK",,$D26,"NTM"),O26)</f>
        <v>1.7269764045103699</v>
      </c>
      <c r="P26" s="963" cm="1">
        <f t="array" aca="1" ref="P26" ca="1">IF(Thomson=1,_xll.TR(P$7,P$6,"Sdate=#1 Period=#2 NULL=BLANK",,$D26,"NTM"),P26)</f>
        <v>1.7303016461543801</v>
      </c>
      <c r="Q26" s="963" cm="1">
        <f t="array" aca="1" ref="Q26" ca="1">IF(Thomson=1,_xll.TR(Q$7,Q$6,"Sdate=#1 Period=#2 NULL=BLANK",,$D26,"NTM"),Q26)</f>
        <v>1.11265942826077</v>
      </c>
    </row>
    <row r="27" spans="1:19" ht="11.25" customHeight="1">
      <c r="C27" s="973">
        <f t="shared" si="2"/>
        <v>41912</v>
      </c>
      <c r="D27" s="970">
        <f t="shared" si="1"/>
        <v>41957</v>
      </c>
      <c r="E27" s="963" cm="1">
        <f t="array" aca="1" ref="E27" ca="1">IF(Thomson=1,_xll.TR(E$7,E$6,"Sdate=#1 Period=#2 NULL=BLANK",,$D27,"NTM"),E27)</f>
        <v>1.6373237523469599</v>
      </c>
      <c r="F27" s="963" cm="1">
        <f t="array" aca="1" ref="F27" ca="1">IF(Thomson=1,_xll.TR(F$7,F$6,"Sdate=#1 Period=#2 NULL=BLANK",,$D27,"NTM"),F27)</f>
        <v>1.58681475290537</v>
      </c>
      <c r="G27" s="963" cm="1">
        <f t="array" aca="1" ref="G27" ca="1">IF(Thomson=1,_xll.TR(G$7,G$6,"Sdate=#1 Period=#2 NULL=BLANK",,$D27,"NTM"),G27)</f>
        <v>1.1731583793873901</v>
      </c>
      <c r="H27" s="963" t="str" cm="1">
        <f t="array" aca="1" ref="H27" ca="1">IF(Thomson=1,_xll.TR(H$7,H$6,"Sdate=#1 Period=#2 NULL=BLANK",,$D27,"NTM"),H27)</f>
        <v/>
      </c>
      <c r="I27" s="963" cm="1">
        <f t="array" aca="1" ref="I27" ca="1">IF(Thomson=1,_xll.TR(I$7,I$6,"Sdate=#1 Period=#2 NULL=BLANK",,$D27,"NTM"),I27)</f>
        <v>1.03307320439156</v>
      </c>
      <c r="J27" s="963" t="str" cm="1">
        <f t="array" aca="1" ref="J27" ca="1">IF(Thomson=1,_xll.TR(J$7,J$6,"Sdate=#1 Period=#2 NULL=BLANK",,$D27,"NTM"),J27)</f>
        <v/>
      </c>
      <c r="K27" s="963" cm="1">
        <f t="array" aca="1" ref="K27" ca="1">IF(Thomson=1,_xll.TR(K$7,K$6,"Sdate=#1 Period=#2 NULL=BLANK",,$D27,"NTM"),K27)</f>
        <v>1.00820988855518</v>
      </c>
      <c r="L27" s="963" cm="1">
        <f t="array" aca="1" ref="L27" ca="1">IF(Thomson=1,_xll.TR(L$7,L$6,"Sdate=#1 Period=#2 NULL=BLANK",,$D27,"NTM"),L27)</f>
        <v>1.93850554026476</v>
      </c>
      <c r="M27" s="963" cm="1">
        <f t="array" aca="1" ref="M27" ca="1">IF(Thomson=1,_xll.TR(M$7,M$6,"Sdate=#1 Period=#2 NULL=BLANK",,$D27,"NTM"),M27)</f>
        <v>3.22295119461082</v>
      </c>
      <c r="N27" s="963" cm="1">
        <f t="array" aca="1" ref="N27" ca="1">IF(Thomson=1,_xll.TR(N$7,N$6,"Sdate=#1 Period=#2 NULL=BLANK",,$D27,"NTM"),N27)</f>
        <v>2.0491448672501802</v>
      </c>
      <c r="O27" s="963" cm="1">
        <f t="array" aca="1" ref="O27" ca="1">IF(Thomson=1,_xll.TR(O$7,O$6,"Sdate=#1 Period=#2 NULL=BLANK",,$D27,"NTM"),O27)</f>
        <v>1.6631913822622599</v>
      </c>
      <c r="P27" s="963" cm="1">
        <f t="array" aca="1" ref="P27" ca="1">IF(Thomson=1,_xll.TR(P$7,P$6,"Sdate=#1 Period=#2 NULL=BLANK",,$D27,"NTM"),P27)</f>
        <v>1.71473728911481</v>
      </c>
      <c r="Q27" s="963" cm="1">
        <f t="array" aca="1" ref="Q27" ca="1">IF(Thomson=1,_xll.TR(Q$7,Q$6,"Sdate=#1 Period=#2 NULL=BLANK",,$D27,"NTM"),Q27)</f>
        <v>1.0790325168854999</v>
      </c>
    </row>
    <row r="28" spans="1:19" ht="11.25" customHeight="1">
      <c r="C28" s="969">
        <f t="shared" si="2"/>
        <v>42004</v>
      </c>
      <c r="D28" s="970">
        <f t="shared" si="1"/>
        <v>42049</v>
      </c>
      <c r="E28" s="963" cm="1">
        <f t="array" aca="1" ref="E28" ca="1">IF(Thomson=1,_xll.TR(E$7,E$6,"Sdate=#1 Period=#2 NULL=BLANK",,$D28,"NTM"),E28)</f>
        <v>1.47150689602629</v>
      </c>
      <c r="F28" s="963" cm="1">
        <f t="array" aca="1" ref="F28" ca="1">IF(Thomson=1,_xll.TR(F$7,F$6,"Sdate=#1 Period=#2 NULL=BLANK",,$D28,"NTM"),F28)</f>
        <v>1.6615216982926899</v>
      </c>
      <c r="G28" s="963" cm="1">
        <f t="array" aca="1" ref="G28" ca="1">IF(Thomson=1,_xll.TR(G$7,G$6,"Sdate=#1 Period=#2 NULL=BLANK",,$D28,"NTM"),G28)</f>
        <v>1.29055565917783</v>
      </c>
      <c r="H28" s="963" t="str" cm="1">
        <f t="array" aca="1" ref="H28" ca="1">IF(Thomson=1,_xll.TR(H$7,H$6,"Sdate=#1 Period=#2 NULL=BLANK",,$D28,"NTM"),H28)</f>
        <v/>
      </c>
      <c r="I28" s="963" cm="1">
        <f t="array" aca="1" ref="I28" ca="1">IF(Thomson=1,_xll.TR(I$7,I$6,"Sdate=#1 Period=#2 NULL=BLANK",,$D28,"NTM"),I28)</f>
        <v>1.2000684207029799</v>
      </c>
      <c r="J28" s="963" t="str" cm="1">
        <f t="array" aca="1" ref="J28" ca="1">IF(Thomson=1,_xll.TR(J$7,J$6,"Sdate=#1 Period=#2 NULL=BLANK",,$D28,"NTM"),J28)</f>
        <v/>
      </c>
      <c r="K28" s="963" cm="1">
        <f t="array" aca="1" ref="K28" ca="1">IF(Thomson=1,_xll.TR(K$7,K$6,"Sdate=#1 Period=#2 NULL=BLANK",,$D28,"NTM"),K28)</f>
        <v>1.10947961550519</v>
      </c>
      <c r="L28" s="963" cm="1">
        <f t="array" aca="1" ref="L28" ca="1">IF(Thomson=1,_xll.TR(L$7,L$6,"Sdate=#1 Period=#2 NULL=BLANK",,$D28,"NTM"),L28)</f>
        <v>2.2862634621748699</v>
      </c>
      <c r="M28" s="963" cm="1">
        <f t="array" aca="1" ref="M28" ca="1">IF(Thomson=1,_xll.TR(M$7,M$6,"Sdate=#1 Period=#2 NULL=BLANK",,$D28,"NTM"),M28)</f>
        <v>3.3523645140733498</v>
      </c>
      <c r="N28" s="963" cm="1">
        <f t="array" aca="1" ref="N28" ca="1">IF(Thomson=1,_xll.TR(N$7,N$6,"Sdate=#1 Period=#2 NULL=BLANK",,$D28,"NTM"),N28)</f>
        <v>1.7369255972151501</v>
      </c>
      <c r="O28" s="963" cm="1">
        <f t="array" aca="1" ref="O28" ca="1">IF(Thomson=1,_xll.TR(O$7,O$6,"Sdate=#1 Period=#2 NULL=BLANK",,$D28,"NTM"),O28)</f>
        <v>1.8393177835010699</v>
      </c>
      <c r="P28" s="963" cm="1">
        <f t="array" aca="1" ref="P28" ca="1">IF(Thomson=1,_xll.TR(P$7,P$6,"Sdate=#1 Period=#2 NULL=BLANK",,$D28,"NTM"),P28)</f>
        <v>1.99642115209022</v>
      </c>
      <c r="Q28" s="963" cm="1">
        <f t="array" aca="1" ref="Q28" ca="1">IF(Thomson=1,_xll.TR(Q$7,Q$6,"Sdate=#1 Period=#2 NULL=BLANK",,$D28,"NTM"),Q28)</f>
        <v>1.1738448952035501</v>
      </c>
    </row>
    <row r="29" spans="1:19" ht="11.25" customHeight="1">
      <c r="C29" s="971">
        <f t="shared" si="2"/>
        <v>42094</v>
      </c>
      <c r="D29" s="970">
        <f t="shared" si="1"/>
        <v>42139</v>
      </c>
      <c r="E29" s="963" cm="1">
        <f t="array" aca="1" ref="E29" ca="1">IF(Thomson=1,_xll.TR(E$7,E$6,"Sdate=#1 Period=#2 NULL=BLANK",,$D29,"NTM"),E29)</f>
        <v>1.82102169866729</v>
      </c>
      <c r="F29" s="963" cm="1">
        <f t="array" aca="1" ref="F29" ca="1">IF(Thomson=1,_xll.TR(F$7,F$6,"Sdate=#1 Period=#2 NULL=BLANK",,$D29,"NTM"),F29)</f>
        <v>1.9679507401248799</v>
      </c>
      <c r="G29" s="963" cm="1">
        <f t="array" aca="1" ref="G29" ca="1">IF(Thomson=1,_xll.TR(G$7,G$6,"Sdate=#1 Period=#2 NULL=BLANK",,$D29,"NTM"),G29)</f>
        <v>1.2175731303303601</v>
      </c>
      <c r="H29" s="963" t="str" cm="1">
        <f t="array" aca="1" ref="H29" ca="1">IF(Thomson=1,_xll.TR(H$7,H$6,"Sdate=#1 Period=#2 NULL=BLANK",,$D29,"NTM"),H29)</f>
        <v/>
      </c>
      <c r="I29" s="963" cm="1">
        <f t="array" aca="1" ref="I29" ca="1">IF(Thomson=1,_xll.TR(I$7,I$6,"Sdate=#1 Period=#2 NULL=BLANK",,$D29,"NTM"),I29)</f>
        <v>1.5569001633597199</v>
      </c>
      <c r="J29" s="963" t="str" cm="1">
        <f t="array" aca="1" ref="J29" ca="1">IF(Thomson=1,_xll.TR(J$7,J$6,"Sdate=#1 Period=#2 NULL=BLANK",,$D29,"NTM"),J29)</f>
        <v/>
      </c>
      <c r="K29" s="963" cm="1">
        <f t="array" aca="1" ref="K29" ca="1">IF(Thomson=1,_xll.TR(K$7,K$6,"Sdate=#1 Period=#2 NULL=BLANK",,$D29,"NTM"),K29)</f>
        <v>1.17733185264541</v>
      </c>
      <c r="L29" s="963" cm="1">
        <f t="array" aca="1" ref="L29" ca="1">IF(Thomson=1,_xll.TR(L$7,L$6,"Sdate=#1 Period=#2 NULL=BLANK",,$D29,"NTM"),L29)</f>
        <v>2.40486571433394</v>
      </c>
      <c r="M29" s="963" cm="1">
        <f t="array" aca="1" ref="M29" ca="1">IF(Thomson=1,_xll.TR(M$7,M$6,"Sdate=#1 Period=#2 NULL=BLANK",,$D29,"NTM"),M29)</f>
        <v>3.3800470396379199</v>
      </c>
      <c r="N29" s="963" cm="1">
        <f t="array" aca="1" ref="N29" ca="1">IF(Thomson=1,_xll.TR(N$7,N$6,"Sdate=#1 Period=#2 NULL=BLANK",,$D29,"NTM"),N29)</f>
        <v>2.9079337614548102</v>
      </c>
      <c r="O29" s="963" cm="1">
        <f t="array" aca="1" ref="O29" ca="1">IF(Thomson=1,_xll.TR(O$7,O$6,"Sdate=#1 Period=#2 NULL=BLANK",,$D29,"NTM"),O29)</f>
        <v>1.88299497991958</v>
      </c>
      <c r="P29" s="963" cm="1">
        <f t="array" aca="1" ref="P29" ca="1">IF(Thomson=1,_xll.TR(P$7,P$6,"Sdate=#1 Period=#2 NULL=BLANK",,$D29,"NTM"),P29)</f>
        <v>2.1846160620130499</v>
      </c>
      <c r="Q29" s="963" cm="1">
        <f t="array" aca="1" ref="Q29" ca="1">IF(Thomson=1,_xll.TR(Q$7,Q$6,"Sdate=#1 Period=#2 NULL=BLANK",,$D29,"NTM"),Q29)</f>
        <v>1.11418617180401</v>
      </c>
    </row>
    <row r="30" spans="1:19" ht="11.25" customHeight="1">
      <c r="C30" s="972">
        <f t="shared" si="2"/>
        <v>42185</v>
      </c>
      <c r="D30" s="970">
        <f t="shared" si="1"/>
        <v>42230</v>
      </c>
      <c r="E30" s="963" cm="1">
        <f t="array" aca="1" ref="E30" ca="1">IF(Thomson=1,_xll.TR(E$7,E$6,"Sdate=#1 Period=#2 NULL=BLANK",,$D30,"NTM"),E30)</f>
        <v>1.7810442190462701</v>
      </c>
      <c r="F30" s="963" cm="1">
        <f t="array" aca="1" ref="F30" ca="1">IF(Thomson=1,_xll.TR(F$7,F$6,"Sdate=#1 Period=#2 NULL=BLANK",,$D30,"NTM"),F30)</f>
        <v>1.9402186188778601</v>
      </c>
      <c r="G30" s="963" cm="1">
        <f t="array" aca="1" ref="G30" ca="1">IF(Thomson=1,_xll.TR(G$7,G$6,"Sdate=#1 Period=#2 NULL=BLANK",,$D30,"NTM"),G30)</f>
        <v>1.1050729593762001</v>
      </c>
      <c r="H30" s="963" t="str" cm="1">
        <f t="array" aca="1" ref="H30" ca="1">IF(Thomson=1,_xll.TR(H$7,H$6,"Sdate=#1 Period=#2 NULL=BLANK",,$D30,"NTM"),H30)</f>
        <v/>
      </c>
      <c r="I30" s="963" cm="1">
        <f t="array" aca="1" ref="I30" ca="1">IF(Thomson=1,_xll.TR(I$7,I$6,"Sdate=#1 Period=#2 NULL=BLANK",,$D30,"NTM"),I30)</f>
        <v>1.28401122786975</v>
      </c>
      <c r="J30" s="963" t="str" cm="1">
        <f t="array" aca="1" ref="J30" ca="1">IF(Thomson=1,_xll.TR(J$7,J$6,"Sdate=#1 Period=#2 NULL=BLANK",,$D30,"NTM"),J30)</f>
        <v/>
      </c>
      <c r="K30" s="963" cm="1">
        <f t="array" aca="1" ref="K30" ca="1">IF(Thomson=1,_xll.TR(K$7,K$6,"Sdate=#1 Period=#2 NULL=BLANK",,$D30,"NTM"),K30)</f>
        <v>1.04869876641065</v>
      </c>
      <c r="L30" s="963" cm="1">
        <f t="array" aca="1" ref="L30" ca="1">IF(Thomson=1,_xll.TR(L$7,L$6,"Sdate=#1 Period=#2 NULL=BLANK",,$D30,"NTM"),L30)</f>
        <v>2.0164627372277701</v>
      </c>
      <c r="M30" s="963" cm="1">
        <f t="array" aca="1" ref="M30" ca="1">IF(Thomson=1,_xll.TR(M$7,M$6,"Sdate=#1 Period=#2 NULL=BLANK",,$D30,"NTM"),M30)</f>
        <v>3.0761460905002198</v>
      </c>
      <c r="N30" s="963" cm="1">
        <f t="array" aca="1" ref="N30" ca="1">IF(Thomson=1,_xll.TR(N$7,N$6,"Sdate=#1 Period=#2 NULL=BLANK",,$D30,"NTM"),N30)</f>
        <v>2.53619177136658</v>
      </c>
      <c r="O30" s="963" cm="1">
        <f t="array" aca="1" ref="O30" ca="1">IF(Thomson=1,_xll.TR(O$7,O$6,"Sdate=#1 Period=#2 NULL=BLANK",,$D30,"NTM"),O30)</f>
        <v>1.86538487058641</v>
      </c>
      <c r="P30" s="963" cm="1">
        <f t="array" aca="1" ref="P30" ca="1">IF(Thomson=1,_xll.TR(P$7,P$6,"Sdate=#1 Period=#2 NULL=BLANK",,$D30,"NTM"),P30)</f>
        <v>1.9653470411131799</v>
      </c>
      <c r="Q30" s="963" cm="1">
        <f t="array" aca="1" ref="Q30" ca="1">IF(Thomson=1,_xll.TR(Q$7,Q$6,"Sdate=#1 Period=#2 NULL=BLANK",,$D30,"NTM"),Q30)</f>
        <v>1.0455273243085701</v>
      </c>
    </row>
    <row r="31" spans="1:19" ht="11.25" customHeight="1">
      <c r="C31" s="973">
        <f t="shared" si="2"/>
        <v>42277</v>
      </c>
      <c r="D31" s="970">
        <f t="shared" si="1"/>
        <v>42322</v>
      </c>
      <c r="E31" s="963" cm="1">
        <f t="array" aca="1" ref="E31" ca="1">IF(Thomson=1,_xll.TR(E$7,E$6,"Sdate=#1 Period=#2 NULL=BLANK",,$D31,"NTM"),E31)</f>
        <v>1.7083387740312601</v>
      </c>
      <c r="F31" s="963" cm="1">
        <f t="array" aca="1" ref="F31" ca="1">IF(Thomson=1,_xll.TR(F$7,F$6,"Sdate=#1 Period=#2 NULL=BLANK",,$D31,"NTM"),F31)</f>
        <v>2.1608046066617002</v>
      </c>
      <c r="G31" s="963" cm="1">
        <f t="array" aca="1" ref="G31" ca="1">IF(Thomson=1,_xll.TR(G$7,G$6,"Sdate=#1 Period=#2 NULL=BLANK",,$D31,"NTM"),G31)</f>
        <v>1.26786078894631</v>
      </c>
      <c r="H31" s="963" t="str" cm="1">
        <f t="array" aca="1" ref="H31" ca="1">IF(Thomson=1,_xll.TR(H$7,H$6,"Sdate=#1 Period=#2 NULL=BLANK",,$D31,"NTM"),H31)</f>
        <v/>
      </c>
      <c r="I31" s="963" cm="1">
        <f t="array" aca="1" ref="I31" ca="1">IF(Thomson=1,_xll.TR(I$7,I$6,"Sdate=#1 Period=#2 NULL=BLANK",,$D31,"NTM"),I31)</f>
        <v>1.36908518411504</v>
      </c>
      <c r="J31" s="963" t="str" cm="1">
        <f t="array" aca="1" ref="J31" ca="1">IF(Thomson=1,_xll.TR(J$7,J$6,"Sdate=#1 Period=#2 NULL=BLANK",,$D31,"NTM"),J31)</f>
        <v/>
      </c>
      <c r="K31" s="963" cm="1">
        <f t="array" aca="1" ref="K31" ca="1">IF(Thomson=1,_xll.TR(K$7,K$6,"Sdate=#1 Period=#2 NULL=BLANK",,$D31,"NTM"),K31)</f>
        <v>1.06392023210033</v>
      </c>
      <c r="L31" s="963" cm="1">
        <f t="array" aca="1" ref="L31" ca="1">IF(Thomson=1,_xll.TR(L$7,L$6,"Sdate=#1 Period=#2 NULL=BLANK",,$D31,"NTM"),L31)</f>
        <v>2.0696128116132</v>
      </c>
      <c r="M31" s="963" cm="1">
        <f t="array" aca="1" ref="M31" ca="1">IF(Thomson=1,_xll.TR(M$7,M$6,"Sdate=#1 Period=#2 NULL=BLANK",,$D31,"NTM"),M31)</f>
        <v>3.39424513306711</v>
      </c>
      <c r="N31" s="963" cm="1">
        <f t="array" aca="1" ref="N31" ca="1">IF(Thomson=1,_xll.TR(N$7,N$6,"Sdate=#1 Period=#2 NULL=BLANK",,$D31,"NTM"),N31)</f>
        <v>2.4605940911992898</v>
      </c>
      <c r="O31" s="963" cm="1">
        <f t="array" aca="1" ref="O31" ca="1">IF(Thomson=1,_xll.TR(O$7,O$6,"Sdate=#1 Period=#2 NULL=BLANK",,$D31,"NTM"),O31)</f>
        <v>1.84654694408243</v>
      </c>
      <c r="P31" s="963" cm="1">
        <f t="array" aca="1" ref="P31" ca="1">IF(Thomson=1,_xll.TR(P$7,P$6,"Sdate=#1 Period=#2 NULL=BLANK",,$D31,"NTM"),P31)</f>
        <v>1.90293899388594</v>
      </c>
      <c r="Q31" s="963" cm="1">
        <f t="array" aca="1" ref="Q31" ca="1">IF(Thomson=1,_xll.TR(Q$7,Q$6,"Sdate=#1 Period=#2 NULL=BLANK",,$D31,"NTM"),Q31)</f>
        <v>0.90517915430870599</v>
      </c>
    </row>
    <row r="32" spans="1:19" ht="11.25" customHeight="1">
      <c r="C32" s="969">
        <f t="shared" si="2"/>
        <v>42369</v>
      </c>
      <c r="D32" s="970">
        <f t="shared" si="1"/>
        <v>42414</v>
      </c>
      <c r="E32" s="963" cm="1">
        <f t="array" aca="1" ref="E32" ca="1">IF(Thomson=1,_xll.TR(E$7,E$6,"Sdate=#1 Period=#2 NULL=BLANK",,$D32,"NTM"),E32)</f>
        <v>1.68839797458135</v>
      </c>
      <c r="F32" s="963" cm="1">
        <f t="array" aca="1" ref="F32" ca="1">IF(Thomson=1,_xll.TR(F$7,F$6,"Sdate=#1 Period=#2 NULL=BLANK",,$D32,"NTM"),F32)</f>
        <v>1.9009900070243</v>
      </c>
      <c r="G32" s="963" cm="1">
        <f t="array" aca="1" ref="G32" ca="1">IF(Thomson=1,_xll.TR(G$7,G$6,"Sdate=#1 Period=#2 NULL=BLANK",,$D32,"NTM"),G32)</f>
        <v>1.0834930991223399</v>
      </c>
      <c r="H32" s="963" t="str" cm="1">
        <f t="array" aca="1" ref="H32" ca="1">IF(Thomson=1,_xll.TR(H$7,H$6,"Sdate=#1 Period=#2 NULL=BLANK",,$D32,"NTM"),H32)</f>
        <v/>
      </c>
      <c r="I32" s="963" cm="1">
        <f t="array" aca="1" ref="I32" ca="1">IF(Thomson=1,_xll.TR(I$7,I$6,"Sdate=#1 Period=#2 NULL=BLANK",,$D32,"NTM"),I32)</f>
        <v>1.24613545044998</v>
      </c>
      <c r="J32" s="963" t="str" cm="1">
        <f t="array" aca="1" ref="J32" ca="1">IF(Thomson=1,_xll.TR(J$7,J$6,"Sdate=#1 Period=#2 NULL=BLANK",,$D32,"NTM"),J32)</f>
        <v/>
      </c>
      <c r="K32" s="963" cm="1">
        <f t="array" aca="1" ref="K32" ca="1">IF(Thomson=1,_xll.TR(K$7,K$6,"Sdate=#1 Period=#2 NULL=BLANK",,$D32,"NTM"),K32)</f>
        <v>0.897257686131123</v>
      </c>
      <c r="L32" s="963" cm="1">
        <f t="array" aca="1" ref="L32" ca="1">IF(Thomson=1,_xll.TR(L$7,L$6,"Sdate=#1 Period=#2 NULL=BLANK",,$D32,"NTM"),L32)</f>
        <v>1.9322323720642001</v>
      </c>
      <c r="M32" s="963" cm="1">
        <f t="array" aca="1" ref="M32" ca="1">IF(Thomson=1,_xll.TR(M$7,M$6,"Sdate=#1 Period=#2 NULL=BLANK",,$D32,"NTM"),M32)</f>
        <v>3.3589197518223499</v>
      </c>
      <c r="N32" s="963" cm="1">
        <f t="array" aca="1" ref="N32" ca="1">IF(Thomson=1,_xll.TR(N$7,N$6,"Sdate=#1 Period=#2 NULL=BLANK",,$D32,"NTM"),N32)</f>
        <v>2.6640538420887299</v>
      </c>
      <c r="O32" s="963" cm="1">
        <f t="array" aca="1" ref="O32" ca="1">IF(Thomson=1,_xll.TR(O$7,O$6,"Sdate=#1 Period=#2 NULL=BLANK",,$D32,"NTM"),O32)</f>
        <v>1.70699148873546</v>
      </c>
      <c r="P32" s="963" cm="1">
        <f t="array" aca="1" ref="P32" ca="1">IF(Thomson=1,_xll.TR(P$7,P$6,"Sdate=#1 Period=#2 NULL=BLANK",,$D32,"NTM"),P32)</f>
        <v>1.7659381800543299</v>
      </c>
      <c r="Q32" s="963" cm="1">
        <f t="array" aca="1" ref="Q32" ca="1">IF(Thomson=1,_xll.TR(Q$7,Q$6,"Sdate=#1 Period=#2 NULL=BLANK",,$D32,"NTM"),Q32)</f>
        <v>0.79232464006544601</v>
      </c>
    </row>
    <row r="33" spans="3:17" ht="11.25" customHeight="1">
      <c r="C33" s="971">
        <f t="shared" si="2"/>
        <v>42460</v>
      </c>
      <c r="D33" s="970">
        <f t="shared" si="1"/>
        <v>42505</v>
      </c>
      <c r="E33" s="963" cm="1">
        <f t="array" aca="1" ref="E33" ca="1">IF(Thomson=1,_xll.TR(E$7,E$6,"Sdate=#1 Period=#2 NULL=BLANK",,$D33,"NTM"),E33)</f>
        <v>1.8939550394395801</v>
      </c>
      <c r="F33" s="963" cm="1">
        <f t="array" aca="1" ref="F33" ca="1">IF(Thomson=1,_xll.TR(F$7,F$6,"Sdate=#1 Period=#2 NULL=BLANK",,$D33,"NTM"),F33)</f>
        <v>2.19683960974444</v>
      </c>
      <c r="G33" s="963" cm="1">
        <f t="array" aca="1" ref="G33" ca="1">IF(Thomson=1,_xll.TR(G$7,G$6,"Sdate=#1 Period=#2 NULL=BLANK",,$D33,"NTM"),G33)</f>
        <v>1.2631712948859399</v>
      </c>
      <c r="H33" s="963" t="str" cm="1">
        <f t="array" aca="1" ref="H33" ca="1">IF(Thomson=1,_xll.TR(H$7,H$6,"Sdate=#1 Period=#2 NULL=BLANK",,$D33,"NTM"),H33)</f>
        <v/>
      </c>
      <c r="I33" s="963" cm="1">
        <f t="array" aca="1" ref="I33" ca="1">IF(Thomson=1,_xll.TR(I$7,I$6,"Sdate=#1 Period=#2 NULL=BLANK",,$D33,"NTM"),I33)</f>
        <v>1.3505137615445699</v>
      </c>
      <c r="J33" s="963" t="str" cm="1">
        <f t="array" aca="1" ref="J33" ca="1">IF(Thomson=1,_xll.TR(J$7,J$6,"Sdate=#1 Period=#2 NULL=BLANK",,$D33,"NTM"),J33)</f>
        <v/>
      </c>
      <c r="K33" s="963" cm="1">
        <f t="array" aca="1" ref="K33" ca="1">IF(Thomson=1,_xll.TR(K$7,K$6,"Sdate=#1 Period=#2 NULL=BLANK",,$D33,"NTM"),K33)</f>
        <v>1.19699384872554</v>
      </c>
      <c r="L33" s="963" cm="1">
        <f t="array" aca="1" ref="L33" ca="1">IF(Thomson=1,_xll.TR(L$7,L$6,"Sdate=#1 Period=#2 NULL=BLANK",,$D33,"NTM"),L33)</f>
        <v>2.3415751694692299</v>
      </c>
      <c r="M33" s="963" cm="1">
        <f t="array" aca="1" ref="M33" ca="1">IF(Thomson=1,_xll.TR(M$7,M$6,"Sdate=#1 Period=#2 NULL=BLANK",,$D33,"NTM"),M33)</f>
        <v>3.6266235458141698</v>
      </c>
      <c r="N33" s="963" cm="1">
        <f t="array" aca="1" ref="N33" ca="1">IF(Thomson=1,_xll.TR(N$7,N$6,"Sdate=#1 Period=#2 NULL=BLANK",,$D33,"NTM"),N33)</f>
        <v>3.3941749752900598</v>
      </c>
      <c r="O33" s="963" cm="1">
        <f t="array" aca="1" ref="O33" ca="1">IF(Thomson=1,_xll.TR(O$7,O$6,"Sdate=#1 Period=#2 NULL=BLANK",,$D33,"NTM"),O33)</f>
        <v>1.92409961467746</v>
      </c>
      <c r="P33" s="963" cm="1">
        <f t="array" aca="1" ref="P33" ca="1">IF(Thomson=1,_xll.TR(P$7,P$6,"Sdate=#1 Period=#2 NULL=BLANK",,$D33,"NTM"),P33)</f>
        <v>1.9969334719913601</v>
      </c>
      <c r="Q33" s="963" cm="1">
        <f t="array" aca="1" ref="Q33" ca="1">IF(Thomson=1,_xll.TR(Q$7,Q$6,"Sdate=#1 Period=#2 NULL=BLANK",,$D33,"NTM"),Q33)</f>
        <v>1.1134294716123001</v>
      </c>
    </row>
    <row r="34" spans="3:17" ht="11.25" customHeight="1">
      <c r="C34" s="972">
        <f t="shared" si="2"/>
        <v>42551</v>
      </c>
      <c r="D34" s="970">
        <f t="shared" si="1"/>
        <v>42596</v>
      </c>
      <c r="E34" s="963" cm="1">
        <f t="array" aca="1" ref="E34" ca="1">IF(Thomson=1,_xll.TR(E$7,E$6,"Sdate=#1 Period=#2 NULL=BLANK",,$D34,"NTM"),E34)</f>
        <v>1.7754490747129099</v>
      </c>
      <c r="F34" s="963" cm="1">
        <f t="array" aca="1" ref="F34" ca="1">IF(Thomson=1,_xll.TR(F$7,F$6,"Sdate=#1 Period=#2 NULL=BLANK",,$D34,"NTM"),F34)</f>
        <v>2.1074777942106602</v>
      </c>
      <c r="G34" s="963" cm="1">
        <f t="array" aca="1" ref="G34" ca="1">IF(Thomson=1,_xll.TR(G$7,G$6,"Sdate=#1 Period=#2 NULL=BLANK",,$D34,"NTM"),G34)</f>
        <v>1.3851999305503799</v>
      </c>
      <c r="H34" s="963" t="str" cm="1">
        <f t="array" aca="1" ref="H34" ca="1">IF(Thomson=1,_xll.TR(H$7,H$6,"Sdate=#1 Period=#2 NULL=BLANK",,$D34,"NTM"),H34)</f>
        <v/>
      </c>
      <c r="I34" s="963" cm="1">
        <f t="array" aca="1" ref="I34" ca="1">IF(Thomson=1,_xll.TR(I$7,I$6,"Sdate=#1 Period=#2 NULL=BLANK",,$D34,"NTM"),I34)</f>
        <v>1.2577066734795299</v>
      </c>
      <c r="J34" s="963" t="str" cm="1">
        <f t="array" aca="1" ref="J34" ca="1">IF(Thomson=1,_xll.TR(J$7,J$6,"Sdate=#1 Period=#2 NULL=BLANK",,$D34,"NTM"),J34)</f>
        <v/>
      </c>
      <c r="K34" s="963" cm="1">
        <f t="array" aca="1" ref="K34" ca="1">IF(Thomson=1,_xll.TR(K$7,K$6,"Sdate=#1 Period=#2 NULL=BLANK",,$D34,"NTM"),K34)</f>
        <v>1.1194647151828001</v>
      </c>
      <c r="L34" s="963" cm="1">
        <f t="array" aca="1" ref="L34" ca="1">IF(Thomson=1,_xll.TR(L$7,L$6,"Sdate=#1 Period=#2 NULL=BLANK",,$D34,"NTM"),L34)</f>
        <v>2.43507301093504</v>
      </c>
      <c r="M34" s="963" cm="1">
        <f t="array" aca="1" ref="M34" ca="1">IF(Thomson=1,_xll.TR(M$7,M$6,"Sdate=#1 Period=#2 NULL=BLANK",,$D34,"NTM"),M34)</f>
        <v>3.8644901160792</v>
      </c>
      <c r="N34" s="963" cm="1">
        <f t="array" aca="1" ref="N34" ca="1">IF(Thomson=1,_xll.TR(N$7,N$6,"Sdate=#1 Period=#2 NULL=BLANK",,$D34,"NTM"),N34)</f>
        <v>4.6021400100335104</v>
      </c>
      <c r="O34" s="963" cm="1">
        <f t="array" aca="1" ref="O34" ca="1">IF(Thomson=1,_xll.TR(O$7,O$6,"Sdate=#1 Period=#2 NULL=BLANK",,$D34,"NTM"),O34)</f>
        <v>1.9369107478270999</v>
      </c>
      <c r="P34" s="963" cm="1">
        <f t="array" aca="1" ref="P34" ca="1">IF(Thomson=1,_xll.TR(P$7,P$6,"Sdate=#1 Period=#2 NULL=BLANK",,$D34,"NTM"),P34)</f>
        <v>2.0193813962828102</v>
      </c>
      <c r="Q34" s="963" cm="1">
        <f t="array" aca="1" ref="Q34" ca="1">IF(Thomson=1,_xll.TR(Q$7,Q$6,"Sdate=#1 Period=#2 NULL=BLANK",,$D34,"NTM"),Q34)</f>
        <v>1.2242173222313999</v>
      </c>
    </row>
    <row r="35" spans="3:17" ht="11.25" customHeight="1">
      <c r="C35" s="973">
        <f t="shared" si="2"/>
        <v>42643</v>
      </c>
      <c r="D35" s="970">
        <f t="shared" si="1"/>
        <v>42688</v>
      </c>
      <c r="E35" s="963" cm="1">
        <f t="array" aca="1" ref="E35" ca="1">IF(Thomson=1,_xll.TR(E$7,E$6,"Sdate=#1 Period=#2 NULL=BLANK",,$D35,"NTM"),E35)</f>
        <v>1.8956432196652699</v>
      </c>
      <c r="F35" s="963" cm="1">
        <f t="array" aca="1" ref="F35" ca="1">IF(Thomson=1,_xll.TR(F$7,F$6,"Sdate=#1 Period=#2 NULL=BLANK",,$D35,"NTM"),F35)</f>
        <v>2.3681928746471899</v>
      </c>
      <c r="G35" s="963" cm="1">
        <f t="array" aca="1" ref="G35" ca="1">IF(Thomson=1,_xll.TR(G$7,G$6,"Sdate=#1 Period=#2 NULL=BLANK",,$D35,"NTM"),G35)</f>
        <v>1.482786631755</v>
      </c>
      <c r="H35" s="963" t="str" cm="1">
        <f t="array" aca="1" ref="H35" ca="1">IF(Thomson=1,_xll.TR(H$7,H$6,"Sdate=#1 Period=#2 NULL=BLANK",,$D35,"NTM"),H35)</f>
        <v/>
      </c>
      <c r="I35" s="963" cm="1">
        <f t="array" aca="1" ref="I35" ca="1">IF(Thomson=1,_xll.TR(I$7,I$6,"Sdate=#1 Period=#2 NULL=BLANK",,$D35,"NTM"),I35)</f>
        <v>1.3325593193521501</v>
      </c>
      <c r="J35" s="963" t="str" cm="1">
        <f t="array" aca="1" ref="J35" ca="1">IF(Thomson=1,_xll.TR(J$7,J$6,"Sdate=#1 Period=#2 NULL=BLANK",,$D35,"NTM"),J35)</f>
        <v/>
      </c>
      <c r="K35" s="963" cm="1">
        <f t="array" aca="1" ref="K35" ca="1">IF(Thomson=1,_xll.TR(K$7,K$6,"Sdate=#1 Period=#2 NULL=BLANK",,$D35,"NTM"),K35)</f>
        <v>1.10607160806048</v>
      </c>
      <c r="L35" s="963" cm="1">
        <f t="array" aca="1" ref="L35" ca="1">IF(Thomson=1,_xll.TR(L$7,L$6,"Sdate=#1 Period=#2 NULL=BLANK",,$D35,"NTM"),L35)</f>
        <v>2.5838423312507399</v>
      </c>
      <c r="M35" s="963" cm="1">
        <f t="array" aca="1" ref="M35" ca="1">IF(Thomson=1,_xll.TR(M$7,M$6,"Sdate=#1 Period=#2 NULL=BLANK",,$D35,"NTM"),M35)</f>
        <v>3.6973231980828398</v>
      </c>
      <c r="N35" s="963" cm="1">
        <f t="array" aca="1" ref="N35" ca="1">IF(Thomson=1,_xll.TR(N$7,N$6,"Sdate=#1 Period=#2 NULL=BLANK",,$D35,"NTM"),N35)</f>
        <v>4.3606018521984096</v>
      </c>
      <c r="O35" s="963" cm="1">
        <f t="array" aca="1" ref="O35" ca="1">IF(Thomson=1,_xll.TR(O$7,O$6,"Sdate=#1 Period=#2 NULL=BLANK",,$D35,"NTM"),O35)</f>
        <v>2.16491027188553</v>
      </c>
      <c r="P35" s="963" cm="1">
        <f t="array" aca="1" ref="P35" ca="1">IF(Thomson=1,_xll.TR(P$7,P$6,"Sdate=#1 Period=#2 NULL=BLANK",,$D35,"NTM"),P35)</f>
        <v>1.9152085498545901</v>
      </c>
      <c r="Q35" s="963" cm="1">
        <f t="array" aca="1" ref="Q35" ca="1">IF(Thomson=1,_xll.TR(Q$7,Q$6,"Sdate=#1 Period=#2 NULL=BLANK",,$D35,"NTM"),Q35)</f>
        <v>1.2446702516902299</v>
      </c>
    </row>
    <row r="36" spans="3:17" ht="11.25" customHeight="1">
      <c r="C36" s="969">
        <f t="shared" si="2"/>
        <v>42735</v>
      </c>
      <c r="D36" s="970">
        <f t="shared" si="1"/>
        <v>42780</v>
      </c>
      <c r="E36" s="963" cm="1">
        <f t="array" aca="1" ref="E36" ca="1">IF(Thomson=1,_xll.TR(E$7,E$6,"Sdate=#1 Period=#2 NULL=BLANK",,$D36,"NTM"),E36)</f>
        <v>1.9807398512449499</v>
      </c>
      <c r="F36" s="963" cm="1">
        <f t="array" aca="1" ref="F36" ca="1">IF(Thomson=1,_xll.TR(F$7,F$6,"Sdate=#1 Period=#2 NULL=BLANK",,$D36,"NTM"),F36)</f>
        <v>2.6528283914208002</v>
      </c>
      <c r="G36" s="963" cm="1">
        <f t="array" aca="1" ref="G36" ca="1">IF(Thomson=1,_xll.TR(G$7,G$6,"Sdate=#1 Period=#2 NULL=BLANK",,$D36,"NTM"),G36)</f>
        <v>1.5785918254833</v>
      </c>
      <c r="H36" s="963" t="str" cm="1">
        <f t="array" aca="1" ref="H36" ca="1">IF(Thomson=1,_xll.TR(H$7,H$6,"Sdate=#1 Period=#2 NULL=BLANK",,$D36,"NTM"),H36)</f>
        <v/>
      </c>
      <c r="I36" s="963" cm="1">
        <f t="array" aca="1" ref="I36" ca="1">IF(Thomson=1,_xll.TR(I$7,I$6,"Sdate=#1 Period=#2 NULL=BLANK",,$D36,"NTM"),I36)</f>
        <v>1.4125009539172699</v>
      </c>
      <c r="J36" s="963" t="str" cm="1">
        <f t="array" aca="1" ref="J36" ca="1">IF(Thomson=1,_xll.TR(J$7,J$6,"Sdate=#1 Period=#2 NULL=BLANK",,$D36,"NTM"),J36)</f>
        <v/>
      </c>
      <c r="K36" s="963" cm="1">
        <f t="array" aca="1" ref="K36" ca="1">IF(Thomson=1,_xll.TR(K$7,K$6,"Sdate=#1 Period=#2 NULL=BLANK",,$D36,"NTM"),K36)</f>
        <v>1.10878746790056</v>
      </c>
      <c r="L36" s="963" cm="1">
        <f t="array" aca="1" ref="L36" ca="1">IF(Thomson=1,_xll.TR(L$7,L$6,"Sdate=#1 Period=#2 NULL=BLANK",,$D36,"NTM"),L36)</f>
        <v>2.8191461159951201</v>
      </c>
      <c r="M36" s="963" cm="1">
        <f t="array" aca="1" ref="M36" ca="1">IF(Thomson=1,_xll.TR(M$7,M$6,"Sdate=#1 Period=#2 NULL=BLANK",,$D36,"NTM"),M36)</f>
        <v>3.8347120966631798</v>
      </c>
      <c r="N36" s="963" cm="1">
        <f t="array" aca="1" ref="N36" ca="1">IF(Thomson=1,_xll.TR(N$7,N$6,"Sdate=#1 Period=#2 NULL=BLANK",,$D36,"NTM"),N36)</f>
        <v>4.84013885256552</v>
      </c>
      <c r="O36" s="963" cm="1">
        <f t="array" aca="1" ref="O36" ca="1">IF(Thomson=1,_xll.TR(O$7,O$6,"Sdate=#1 Period=#2 NULL=BLANK",,$D36,"NTM"),O36)</f>
        <v>2.5775084538797102</v>
      </c>
      <c r="P36" s="963" cm="1">
        <f t="array" aca="1" ref="P36" ca="1">IF(Thomson=1,_xll.TR(P$7,P$6,"Sdate=#1 Period=#2 NULL=BLANK",,$D36,"NTM"),P36)</f>
        <v>1.9785089676851699</v>
      </c>
      <c r="Q36" s="963" cm="1">
        <f t="array" aca="1" ref="Q36" ca="1">IF(Thomson=1,_xll.TR(Q$7,Q$6,"Sdate=#1 Period=#2 NULL=BLANK",,$D36,"NTM"),Q36)</f>
        <v>1.3708581858971101</v>
      </c>
    </row>
    <row r="37" spans="3:17" ht="11.25" customHeight="1">
      <c r="C37" s="971">
        <f t="shared" si="2"/>
        <v>42825</v>
      </c>
      <c r="D37" s="970">
        <f t="shared" si="1"/>
        <v>42870</v>
      </c>
      <c r="E37" s="963" cm="1">
        <f t="array" aca="1" ref="E37" ca="1">IF(Thomson=1,_xll.TR(E$7,E$6,"Sdate=#1 Period=#2 NULL=BLANK",,$D37,"NTM"),E37)</f>
        <v>1.9409104534188999</v>
      </c>
      <c r="F37" s="963" cm="1">
        <f t="array" aca="1" ref="F37" ca="1">IF(Thomson=1,_xll.TR(F$7,F$6,"Sdate=#1 Period=#2 NULL=BLANK",,$D37,"NTM"),F37)</f>
        <v>2.49485699861419</v>
      </c>
      <c r="G37" s="963" cm="1">
        <f t="array" aca="1" ref="G37" ca="1">IF(Thomson=1,_xll.TR(G$7,G$6,"Sdate=#1 Period=#2 NULL=BLANK",,$D37,"NTM"),G37)</f>
        <v>1.51727655229474</v>
      </c>
      <c r="H37" s="963" t="str" cm="1">
        <f t="array" aca="1" ref="H37" ca="1">IF(Thomson=1,_xll.TR(H$7,H$6,"Sdate=#1 Period=#2 NULL=BLANK",,$D37,"NTM"),H37)</f>
        <v/>
      </c>
      <c r="I37" s="963" cm="1">
        <f t="array" aca="1" ref="I37" ca="1">IF(Thomson=1,_xll.TR(I$7,I$6,"Sdate=#1 Period=#2 NULL=BLANK",,$D37,"NTM"),I37)</f>
        <v>1.2324126201738299</v>
      </c>
      <c r="J37" s="963" t="str" cm="1">
        <f t="array" aca="1" ref="J37" ca="1">IF(Thomson=1,_xll.TR(J$7,J$6,"Sdate=#1 Period=#2 NULL=BLANK",,$D37,"NTM"),J37)</f>
        <v/>
      </c>
      <c r="K37" s="963" cm="1">
        <f t="array" aca="1" ref="K37" ca="1">IF(Thomson=1,_xll.TR(K$7,K$6,"Sdate=#1 Period=#2 NULL=BLANK",,$D37,"NTM"),K37)</f>
        <v>1.2142130739057</v>
      </c>
      <c r="L37" s="963" cm="1">
        <f t="array" aca="1" ref="L37" ca="1">IF(Thomson=1,_xll.TR(L$7,L$6,"Sdate=#1 Period=#2 NULL=BLANK",,$D37,"NTM"),L37)</f>
        <v>3.5846089305641402</v>
      </c>
      <c r="M37" s="963" cm="1">
        <f t="array" aca="1" ref="M37" ca="1">IF(Thomson=1,_xll.TR(M$7,M$6,"Sdate=#1 Period=#2 NULL=BLANK",,$D37,"NTM"),M37)</f>
        <v>4.0828436022677801</v>
      </c>
      <c r="N37" s="963" cm="1">
        <f t="array" aca="1" ref="N37" ca="1">IF(Thomson=1,_xll.TR(N$7,N$6,"Sdate=#1 Period=#2 NULL=BLANK",,$D37,"NTM"),N37)</f>
        <v>4.28615663266969</v>
      </c>
      <c r="O37" s="963" cm="1">
        <f t="array" aca="1" ref="O37" ca="1">IF(Thomson=1,_xll.TR(O$7,O$6,"Sdate=#1 Period=#2 NULL=BLANK",,$D37,"NTM"),O37)</f>
        <v>1.6171364776991199</v>
      </c>
      <c r="P37" s="963" cm="1">
        <f t="array" aca="1" ref="P37" ca="1">IF(Thomson=1,_xll.TR(P$7,P$6,"Sdate=#1 Period=#2 NULL=BLANK",,$D37,"NTM"),P37)</f>
        <v>2.0158113905957502</v>
      </c>
      <c r="Q37" s="963" cm="1">
        <f t="array" aca="1" ref="Q37" ca="1">IF(Thomson=1,_xll.TR(Q$7,Q$6,"Sdate=#1 Period=#2 NULL=BLANK",,$D37,"NTM"),Q37)</f>
        <v>1.4493924413102901</v>
      </c>
    </row>
    <row r="38" spans="3:17" ht="11.25" customHeight="1">
      <c r="C38" s="972">
        <f t="shared" si="2"/>
        <v>42916</v>
      </c>
      <c r="D38" s="970">
        <f t="shared" si="1"/>
        <v>42961</v>
      </c>
      <c r="E38" s="963" cm="1">
        <f t="array" aca="1" ref="E38" ca="1">IF(Thomson=1,_xll.TR(E$7,E$6,"Sdate=#1 Period=#2 NULL=BLANK",,$D38,"NTM"),E38)</f>
        <v>1.98627291389435</v>
      </c>
      <c r="F38" s="963" cm="1">
        <f t="array" aca="1" ref="F38" ca="1">IF(Thomson=1,_xll.TR(F$7,F$6,"Sdate=#1 Period=#2 NULL=BLANK",,$D38,"NTM"),F38)</f>
        <v>2.6864625581565398</v>
      </c>
      <c r="G38" s="963" cm="1">
        <f t="array" aca="1" ref="G38" ca="1">IF(Thomson=1,_xll.TR(G$7,G$6,"Sdate=#1 Period=#2 NULL=BLANK",,$D38,"NTM"),G38)</f>
        <v>1.4130561131528101</v>
      </c>
      <c r="H38" s="963" t="str" cm="1">
        <f t="array" aca="1" ref="H38" ca="1">IF(Thomson=1,_xll.TR(H$7,H$6,"Sdate=#1 Period=#2 NULL=BLANK",,$D38,"NTM"),H38)</f>
        <v/>
      </c>
      <c r="I38" s="963" cm="1">
        <f t="array" aca="1" ref="I38" ca="1">IF(Thomson=1,_xll.TR(I$7,I$6,"Sdate=#1 Period=#2 NULL=BLANK",,$D38,"NTM"),I38)</f>
        <v>1.28468113387848</v>
      </c>
      <c r="J38" s="963" t="str" cm="1">
        <f t="array" aca="1" ref="J38" ca="1">IF(Thomson=1,_xll.TR(J$7,J$6,"Sdate=#1 Period=#2 NULL=BLANK",,$D38,"NTM"),J38)</f>
        <v/>
      </c>
      <c r="K38" s="963" cm="1">
        <f t="array" aca="1" ref="K38" ca="1">IF(Thomson=1,_xll.TR(K$7,K$6,"Sdate=#1 Period=#2 NULL=BLANK",,$D38,"NTM"),K38)</f>
        <v>1.29784000699416</v>
      </c>
      <c r="L38" s="963" cm="1">
        <f t="array" aca="1" ref="L38" ca="1">IF(Thomson=1,_xll.TR(L$7,L$6,"Sdate=#1 Period=#2 NULL=BLANK",,$D38,"NTM"),L38)</f>
        <v>3.3620773685723302</v>
      </c>
      <c r="M38" s="963" cm="1">
        <f t="array" aca="1" ref="M38" ca="1">IF(Thomson=1,_xll.TR(M$7,M$6,"Sdate=#1 Period=#2 NULL=BLANK",,$D38,"NTM"),M38)</f>
        <v>4.1963346616098001</v>
      </c>
      <c r="N38" s="963" cm="1">
        <f t="array" aca="1" ref="N38" ca="1">IF(Thomson=1,_xll.TR(N$7,N$6,"Sdate=#1 Period=#2 NULL=BLANK",,$D38,"NTM"),N38)</f>
        <v>4.2322066846166999</v>
      </c>
      <c r="O38" s="963" cm="1">
        <f t="array" aca="1" ref="O38" ca="1">IF(Thomson=1,_xll.TR(O$7,O$6,"Sdate=#1 Period=#2 NULL=BLANK",,$D38,"NTM"),O38)</f>
        <v>1.68266844213441</v>
      </c>
      <c r="P38" s="963" cm="1">
        <f t="array" aca="1" ref="P38" ca="1">IF(Thomson=1,_xll.TR(P$7,P$6,"Sdate=#1 Period=#2 NULL=BLANK",,$D38,"NTM"),P38)</f>
        <v>1.9573709861133</v>
      </c>
      <c r="Q38" s="963" cm="1">
        <f t="array" aca="1" ref="Q38" ca="1">IF(Thomson=1,_xll.TR(Q$7,Q$6,"Sdate=#1 Period=#2 NULL=BLANK",,$D38,"NTM"),Q38)</f>
        <v>1.43295586519147</v>
      </c>
    </row>
    <row r="39" spans="3:17" ht="11.25" customHeight="1">
      <c r="C39" s="973">
        <f t="shared" si="2"/>
        <v>43008</v>
      </c>
      <c r="D39" s="970">
        <f t="shared" si="1"/>
        <v>43053</v>
      </c>
      <c r="E39" s="963" cm="1">
        <f t="array" aca="1" ref="E39" ca="1">IF(Thomson=1,_xll.TR(E$7,E$6,"Sdate=#1 Period=#2 NULL=BLANK",,$D39,"NTM"),E39)</f>
        <v>2.0028638562791099</v>
      </c>
      <c r="F39" s="963" cm="1">
        <f t="array" aca="1" ref="F39" ca="1">IF(Thomson=1,_xll.TR(F$7,F$6,"Sdate=#1 Period=#2 NULL=BLANK",,$D39,"NTM"),F39)</f>
        <v>2.7360766650520199</v>
      </c>
      <c r="G39" s="963" cm="1">
        <f t="array" aca="1" ref="G39" ca="1">IF(Thomson=1,_xll.TR(G$7,G$6,"Sdate=#1 Period=#2 NULL=BLANK",,$D39,"NTM"),G39)</f>
        <v>1.50584684012895</v>
      </c>
      <c r="H39" s="963" t="str" cm="1">
        <f t="array" aca="1" ref="H39" ca="1">IF(Thomson=1,_xll.TR(H$7,H$6,"Sdate=#1 Period=#2 NULL=BLANK",,$D39,"NTM"),H39)</f>
        <v/>
      </c>
      <c r="I39" s="963" cm="1">
        <f t="array" aca="1" ref="I39" ca="1">IF(Thomson=1,_xll.TR(I$7,I$6,"Sdate=#1 Period=#2 NULL=BLANK",,$D39,"NTM"),I39)</f>
        <v>1.4118266819668299</v>
      </c>
      <c r="J39" s="963" cm="1">
        <f t="array" aca="1" ref="J39" ca="1">IF(Thomson=1,_xll.TR(J$7,J$6,"Sdate=#1 Period=#2 NULL=BLANK",,$D39,"NTM"),J39)</f>
        <v>2.2049240189216901</v>
      </c>
      <c r="K39" s="963" cm="1">
        <f t="array" aca="1" ref="K39" ca="1">IF(Thomson=1,_xll.TR(K$7,K$6,"Sdate=#1 Period=#2 NULL=BLANK",,$D39,"NTM"),K39)</f>
        <v>1.4458709919149999</v>
      </c>
      <c r="L39" s="963" cm="1">
        <f t="array" aca="1" ref="L39" ca="1">IF(Thomson=1,_xll.TR(L$7,L$6,"Sdate=#1 Period=#2 NULL=BLANK",,$D39,"NTM"),L39)</f>
        <v>3.2486691500745302</v>
      </c>
      <c r="M39" s="963" cm="1">
        <f t="array" aca="1" ref="M39" ca="1">IF(Thomson=1,_xll.TR(M$7,M$6,"Sdate=#1 Period=#2 NULL=BLANK",,$D39,"NTM"),M39)</f>
        <v>4.3962449404386001</v>
      </c>
      <c r="N39" s="963" cm="1">
        <f t="array" aca="1" ref="N39" ca="1">IF(Thomson=1,_xll.TR(N$7,N$6,"Sdate=#1 Period=#2 NULL=BLANK",,$D39,"NTM"),N39)</f>
        <v>4.9901150085309398</v>
      </c>
      <c r="O39" s="963" cm="1">
        <f t="array" aca="1" ref="O39" ca="1">IF(Thomson=1,_xll.TR(O$7,O$6,"Sdate=#1 Period=#2 NULL=BLANK",,$D39,"NTM"),O39)</f>
        <v>1.7850149882803801</v>
      </c>
      <c r="P39" s="963" cm="1">
        <f t="array" aca="1" ref="P39" ca="1">IF(Thomson=1,_xll.TR(P$7,P$6,"Sdate=#1 Period=#2 NULL=BLANK",,$D39,"NTM"),P39)</f>
        <v>2.06895721284392</v>
      </c>
      <c r="Q39" s="963" cm="1">
        <f t="array" aca="1" ref="Q39" ca="1">IF(Thomson=1,_xll.TR(Q$7,Q$6,"Sdate=#1 Period=#2 NULL=BLANK",,$D39,"NTM"),Q39)</f>
        <v>1.5124144605227401</v>
      </c>
    </row>
    <row r="40" spans="3:17" ht="11.25" customHeight="1">
      <c r="C40" s="969">
        <f t="shared" si="2"/>
        <v>43100</v>
      </c>
      <c r="D40" s="970">
        <f t="shared" si="1"/>
        <v>43145</v>
      </c>
      <c r="E40" s="963" cm="1">
        <f t="array" aca="1" ref="E40" ca="1">IF(Thomson=1,_xll.TR(E$7,E$6,"Sdate=#1 Period=#2 NULL=BLANK",,$D40,"NTM"),E40)</f>
        <v>2.07199841214464</v>
      </c>
      <c r="F40" s="963" cm="1">
        <f t="array" aca="1" ref="F40" ca="1">IF(Thomson=1,_xll.TR(F$7,F$6,"Sdate=#1 Period=#2 NULL=BLANK",,$D40,"NTM"),F40)</f>
        <v>2.5878614481569802</v>
      </c>
      <c r="G40" s="963" cm="1">
        <f t="array" aca="1" ref="G40" ca="1">IF(Thomson=1,_xll.TR(G$7,G$6,"Sdate=#1 Period=#2 NULL=BLANK",,$D40,"NTM"),G40)</f>
        <v>1.3853667831465999</v>
      </c>
      <c r="H40" s="963" t="str" cm="1">
        <f t="array" aca="1" ref="H40" ca="1">IF(Thomson=1,_xll.TR(H$7,H$6,"Sdate=#1 Period=#2 NULL=BLANK",,$D40,"NTM"),H40)</f>
        <v/>
      </c>
      <c r="I40" s="963" cm="1">
        <f t="array" aca="1" ref="I40" ca="1">IF(Thomson=1,_xll.TR(I$7,I$6,"Sdate=#1 Period=#2 NULL=BLANK",,$D40,"NTM"),I40)</f>
        <v>1.4262421737650901</v>
      </c>
      <c r="J40" s="963" cm="1">
        <f t="array" aca="1" ref="J40" ca="1">IF(Thomson=1,_xll.TR(J$7,J$6,"Sdate=#1 Period=#2 NULL=BLANK",,$D40,"NTM"),J40)</f>
        <v>2.2472215874699399</v>
      </c>
      <c r="K40" s="963" cm="1">
        <f t="array" aca="1" ref="K40" ca="1">IF(Thomson=1,_xll.TR(K$7,K$6,"Sdate=#1 Period=#2 NULL=BLANK",,$D40,"NTM"),K40)</f>
        <v>1.2971928816541101</v>
      </c>
      <c r="L40" s="963" cm="1">
        <f t="array" aca="1" ref="L40" ca="1">IF(Thomson=1,_xll.TR(L$7,L$6,"Sdate=#1 Period=#2 NULL=BLANK",,$D40,"NTM"),L40)</f>
        <v>2.8969099252786399</v>
      </c>
      <c r="M40" s="963" cm="1">
        <f t="array" aca="1" ref="M40" ca="1">IF(Thomson=1,_xll.TR(M$7,M$6,"Sdate=#1 Period=#2 NULL=BLANK",,$D40,"NTM"),M40)</f>
        <v>4.3627274915747698</v>
      </c>
      <c r="N40" s="963" cm="1">
        <f t="array" aca="1" ref="N40" ca="1">IF(Thomson=1,_xll.TR(N$7,N$6,"Sdate=#1 Period=#2 NULL=BLANK",,$D40,"NTM"),N40)</f>
        <v>4.0300952283596203</v>
      </c>
      <c r="O40" s="963" cm="1">
        <f t="array" aca="1" ref="O40" ca="1">IF(Thomson=1,_xll.TR(O$7,O$6,"Sdate=#1 Period=#2 NULL=BLANK",,$D40,"NTM"),O40)</f>
        <v>1.81709215208004</v>
      </c>
      <c r="P40" s="963" cm="1">
        <f t="array" aca="1" ref="P40" ca="1">IF(Thomson=1,_xll.TR(P$7,P$6,"Sdate=#1 Period=#2 NULL=BLANK",,$D40,"NTM"),P40)</f>
        <v>2.00481659381449</v>
      </c>
      <c r="Q40" s="963" cm="1">
        <f t="array" aca="1" ref="Q40" ca="1">IF(Thomson=1,_xll.TR(Q$7,Q$6,"Sdate=#1 Period=#2 NULL=BLANK",,$D40,"NTM"),Q40)</f>
        <v>1.4786023564205499</v>
      </c>
    </row>
    <row r="41" spans="3:17" ht="11.25" customHeight="1">
      <c r="C41" s="971">
        <f t="shared" si="2"/>
        <v>43190</v>
      </c>
      <c r="D41" s="970">
        <f t="shared" si="1"/>
        <v>43235</v>
      </c>
      <c r="E41" s="963" cm="1">
        <f t="array" aca="1" ref="E41" ca="1">IF(Thomson=1,_xll.TR(E$7,E$6,"Sdate=#1 Period=#2 NULL=BLANK",,$D41,"NTM"),E41)</f>
        <v>2.1380550181329201</v>
      </c>
      <c r="F41" s="963" cm="1">
        <f t="array" aca="1" ref="F41" ca="1">IF(Thomson=1,_xll.TR(F$7,F$6,"Sdate=#1 Period=#2 NULL=BLANK",,$D41,"NTM"),F41)</f>
        <v>2.5548197518347999</v>
      </c>
      <c r="G41" s="963" cm="1">
        <f t="array" aca="1" ref="G41" ca="1">IF(Thomson=1,_xll.TR(G$7,G$6,"Sdate=#1 Period=#2 NULL=BLANK",,$D41,"NTM"),G41)</f>
        <v>1.3543101700472</v>
      </c>
      <c r="H41" s="963" t="str" cm="1">
        <f t="array" aca="1" ref="H41" ca="1">IF(Thomson=1,_xll.TR(H$7,H$6,"Sdate=#1 Period=#2 NULL=BLANK",,$D41,"NTM"),H41)</f>
        <v/>
      </c>
      <c r="I41" s="963" cm="1">
        <f t="array" aca="1" ref="I41" ca="1">IF(Thomson=1,_xll.TR(I$7,I$6,"Sdate=#1 Period=#2 NULL=BLANK",,$D41,"NTM"),I41)</f>
        <v>1.3435745982329399</v>
      </c>
      <c r="J41" s="963" cm="1">
        <f t="array" aca="1" ref="J41" ca="1">IF(Thomson=1,_xll.TR(J$7,J$6,"Sdate=#1 Period=#2 NULL=BLANK",,$D41,"NTM"),J41)</f>
        <v>2.0877785921866701</v>
      </c>
      <c r="K41" s="963" cm="1">
        <f t="array" aca="1" ref="K41" ca="1">IF(Thomson=1,_xll.TR(K$7,K$6,"Sdate=#1 Period=#2 NULL=BLANK",,$D41,"NTM"),K41)</f>
        <v>1.2734438211027399</v>
      </c>
      <c r="L41" s="963" cm="1">
        <f t="array" aca="1" ref="L41" ca="1">IF(Thomson=1,_xll.TR(L$7,L$6,"Sdate=#1 Period=#2 NULL=BLANK",,$D41,"NTM"),L41)</f>
        <v>3.1716985451854001</v>
      </c>
      <c r="M41" s="963" cm="1">
        <f t="array" aca="1" ref="M41" ca="1">IF(Thomson=1,_xll.TR(M$7,M$6,"Sdate=#1 Period=#2 NULL=BLANK",,$D41,"NTM"),M41)</f>
        <v>3.8591804436669701</v>
      </c>
      <c r="N41" s="963" cm="1">
        <f t="array" aca="1" ref="N41" ca="1">IF(Thomson=1,_xll.TR(N$7,N$6,"Sdate=#1 Period=#2 NULL=BLANK",,$D41,"NTM"),N41)</f>
        <v>3.52925967651047</v>
      </c>
      <c r="O41" s="963" cm="1">
        <f t="array" aca="1" ref="O41" ca="1">IF(Thomson=1,_xll.TR(O$7,O$6,"Sdate=#1 Period=#2 NULL=BLANK",,$D41,"NTM"),O41)</f>
        <v>1.85160335726051</v>
      </c>
      <c r="P41" s="963" cm="1">
        <f t="array" aca="1" ref="P41" ca="1">IF(Thomson=1,_xll.TR(P$7,P$6,"Sdate=#1 Period=#2 NULL=BLANK",,$D41,"NTM"),P41)</f>
        <v>1.7794032861285001</v>
      </c>
      <c r="Q41" s="963" cm="1">
        <f t="array" aca="1" ref="Q41" ca="1">IF(Thomson=1,_xll.TR(Q$7,Q$6,"Sdate=#1 Period=#2 NULL=BLANK",,$D41,"NTM"),Q41)</f>
        <v>1.4943757233564301</v>
      </c>
    </row>
    <row r="42" spans="3:17" ht="11.25" customHeight="1">
      <c r="C42" s="972">
        <f t="shared" si="2"/>
        <v>43281</v>
      </c>
      <c r="D42" s="970">
        <f t="shared" si="1"/>
        <v>43326</v>
      </c>
      <c r="E42" s="963" cm="1">
        <f t="array" aca="1" ref="E42" ca="1">IF(Thomson=1,_xll.TR(E$7,E$6,"Sdate=#1 Period=#2 NULL=BLANK",,$D42,"NTM"),E42)</f>
        <v>1.96371586002688</v>
      </c>
      <c r="F42" s="963" cm="1">
        <f t="array" aca="1" ref="F42" ca="1">IF(Thomson=1,_xll.TR(F$7,F$6,"Sdate=#1 Period=#2 NULL=BLANK",,$D42,"NTM"),F42)</f>
        <v>2.56259703458133</v>
      </c>
      <c r="G42" s="963" cm="1">
        <f t="array" aca="1" ref="G42" ca="1">IF(Thomson=1,_xll.TR(G$7,G$6,"Sdate=#1 Period=#2 NULL=BLANK",,$D42,"NTM"),G42)</f>
        <v>1.2485615983046401</v>
      </c>
      <c r="H42" s="963" t="str" cm="1">
        <f t="array" aca="1" ref="H42" ca="1">IF(Thomson=1,_xll.TR(H$7,H$6,"Sdate=#1 Period=#2 NULL=BLANK",,$D42,"NTM"),H42)</f>
        <v/>
      </c>
      <c r="I42" s="963" cm="1">
        <f t="array" aca="1" ref="I42" ca="1">IF(Thomson=1,_xll.TR(I$7,I$6,"Sdate=#1 Period=#2 NULL=BLANK",,$D42,"NTM"),I42)</f>
        <v>1.2708798337723699</v>
      </c>
      <c r="J42" s="963" cm="1">
        <f t="array" aca="1" ref="J42" ca="1">IF(Thomson=1,_xll.TR(J$7,J$6,"Sdate=#1 Period=#2 NULL=BLANK",,$D42,"NTM"),J42)</f>
        <v>2.03109534248108</v>
      </c>
      <c r="K42" s="963" cm="1">
        <f t="array" aca="1" ref="K42" ca="1">IF(Thomson=1,_xll.TR(K$7,K$6,"Sdate=#1 Period=#2 NULL=BLANK",,$D42,"NTM"),K42)</f>
        <v>1.27439663161496</v>
      </c>
      <c r="L42" s="963" cm="1">
        <f t="array" aca="1" ref="L42" ca="1">IF(Thomson=1,_xll.TR(L$7,L$6,"Sdate=#1 Period=#2 NULL=BLANK",,$D42,"NTM"),L42)</f>
        <v>2.9445462612819702</v>
      </c>
      <c r="M42" s="963" cm="1">
        <f t="array" aca="1" ref="M42" ca="1">IF(Thomson=1,_xll.TR(M$7,M$6,"Sdate=#1 Period=#2 NULL=BLANK",,$D42,"NTM"),M42)</f>
        <v>3.7873350783886401</v>
      </c>
      <c r="N42" s="963" cm="1">
        <f t="array" aca="1" ref="N42" ca="1">IF(Thomson=1,_xll.TR(N$7,N$6,"Sdate=#1 Period=#2 NULL=BLANK",,$D42,"NTM"),N42)</f>
        <v>3.2265586181270498</v>
      </c>
      <c r="O42" s="963" cm="1">
        <f t="array" aca="1" ref="O42" ca="1">IF(Thomson=1,_xll.TR(O$7,O$6,"Sdate=#1 Period=#2 NULL=BLANK",,$D42,"NTM"),O42)</f>
        <v>2.0875910162884401</v>
      </c>
      <c r="P42" s="963" cm="1">
        <f t="array" aca="1" ref="P42" ca="1">IF(Thomson=1,_xll.TR(P$7,P$6,"Sdate=#1 Period=#2 NULL=BLANK",,$D42,"NTM"),P42)</f>
        <v>1.8787669714853299</v>
      </c>
      <c r="Q42" s="963" cm="1">
        <f t="array" aca="1" ref="Q42" ca="1">IF(Thomson=1,_xll.TR(Q$7,Q$6,"Sdate=#1 Period=#2 NULL=BLANK",,$D42,"NTM"),Q42)</f>
        <v>1.4838439520492599</v>
      </c>
    </row>
    <row r="43" spans="3:17" ht="11.25" customHeight="1">
      <c r="C43" s="973">
        <f t="shared" si="2"/>
        <v>43373</v>
      </c>
      <c r="D43" s="970">
        <f t="shared" si="1"/>
        <v>43418</v>
      </c>
      <c r="E43" s="963" cm="1">
        <f t="array" aca="1" ref="E43" ca="1">IF(Thomson=1,_xll.TR(E$7,E$6,"Sdate=#1 Period=#2 NULL=BLANK",,$D43,"NTM"),E43)</f>
        <v>1.7104206491301399</v>
      </c>
      <c r="F43" s="963" cm="1">
        <f t="array" aca="1" ref="F43" ca="1">IF(Thomson=1,_xll.TR(F$7,F$6,"Sdate=#1 Period=#2 NULL=BLANK",,$D43,"NTM"),F43)</f>
        <v>2.22151511700668</v>
      </c>
      <c r="G43" s="963" cm="1">
        <f t="array" aca="1" ref="G43" ca="1">IF(Thomson=1,_xll.TR(G$7,G$6,"Sdate=#1 Period=#2 NULL=BLANK",,$D43,"NTM"),G43)</f>
        <v>1.24116666022134</v>
      </c>
      <c r="H43" s="963" t="str" cm="1">
        <f t="array" aca="1" ref="H43" ca="1">IF(Thomson=1,_xll.TR(H$7,H$6,"Sdate=#1 Period=#2 NULL=BLANK",,$D43,"NTM"),H43)</f>
        <v/>
      </c>
      <c r="I43" s="963" cm="1">
        <f t="array" aca="1" ref="I43" ca="1">IF(Thomson=1,_xll.TR(I$7,I$6,"Sdate=#1 Period=#2 NULL=BLANK",,$D43,"NTM"),I43)</f>
        <v>1.0527616011322001</v>
      </c>
      <c r="J43" s="963" cm="1">
        <f t="array" aca="1" ref="J43" ca="1">IF(Thomson=1,_xll.TR(J$7,J$6,"Sdate=#1 Period=#2 NULL=BLANK",,$D43,"NTM"),J43)</f>
        <v>1.8076991116068599</v>
      </c>
      <c r="K43" s="963" cm="1">
        <f t="array" aca="1" ref="K43" ca="1">IF(Thomson=1,_xll.TR(K$7,K$6,"Sdate=#1 Period=#2 NULL=BLANK",,$D43,"NTM"),K43)</f>
        <v>1.0367746616676801</v>
      </c>
      <c r="L43" s="963" cm="1">
        <f t="array" aca="1" ref="L43" ca="1">IF(Thomson=1,_xll.TR(L$7,L$6,"Sdate=#1 Period=#2 NULL=BLANK",,$D43,"NTM"),L43)</f>
        <v>2.8641680271612602</v>
      </c>
      <c r="M43" s="963" cm="1">
        <f t="array" aca="1" ref="M43" ca="1">IF(Thomson=1,_xll.TR(M$7,M$6,"Sdate=#1 Period=#2 NULL=BLANK",,$D43,"NTM"),M43)</f>
        <v>3.7869868145082002</v>
      </c>
      <c r="N43" s="963" cm="1">
        <f t="array" aca="1" ref="N43" ca="1">IF(Thomson=1,_xll.TR(N$7,N$6,"Sdate=#1 Period=#2 NULL=BLANK",,$D43,"NTM"),N43)</f>
        <v>3.2780102582030999</v>
      </c>
      <c r="O43" s="963" cm="1">
        <f t="array" aca="1" ref="O43" ca="1">IF(Thomson=1,_xll.TR(O$7,O$6,"Sdate=#1 Period=#2 NULL=BLANK",,$D43,"NTM"),O43)</f>
        <v>2.0759639515335002</v>
      </c>
      <c r="P43" s="963" cm="1">
        <f t="array" aca="1" ref="P43" ca="1">IF(Thomson=1,_xll.TR(P$7,P$6,"Sdate=#1 Period=#2 NULL=BLANK",,$D43,"NTM"),P43)</f>
        <v>1.8546297524695201</v>
      </c>
      <c r="Q43" s="963" cm="1">
        <f t="array" aca="1" ref="Q43" ca="1">IF(Thomson=1,_xll.TR(Q$7,Q$6,"Sdate=#1 Period=#2 NULL=BLANK",,$D43,"NTM"),Q43)</f>
        <v>1.35068305657126</v>
      </c>
    </row>
    <row r="44" spans="3:17" ht="11.25" customHeight="1">
      <c r="C44" s="969">
        <f t="shared" si="2"/>
        <v>43465</v>
      </c>
      <c r="D44" s="970">
        <f t="shared" si="1"/>
        <v>43510</v>
      </c>
      <c r="E44" s="963" cm="1">
        <f t="array" aca="1" ref="E44" ca="1">IF(Thomson=1,_xll.TR(E$7,E$6,"Sdate=#1 Period=#2 NULL=BLANK",,$D44,"NTM"),E44)</f>
        <v>1.71789412780488</v>
      </c>
      <c r="F44" s="963" cm="1">
        <f t="array" aca="1" ref="F44" ca="1">IF(Thomson=1,_xll.TR(F$7,F$6,"Sdate=#1 Period=#2 NULL=BLANK",,$D44,"NTM"),F44)</f>
        <v>2.2445388405936</v>
      </c>
      <c r="G44" s="963" cm="1">
        <f t="array" aca="1" ref="G44" ca="1">IF(Thomson=1,_xll.TR(G$7,G$6,"Sdate=#1 Period=#2 NULL=BLANK",,$D44,"NTM"),G44)</f>
        <v>1.21405178340772</v>
      </c>
      <c r="H44" s="963" t="str" cm="1">
        <f t="array" aca="1" ref="H44" ca="1">IF(Thomson=1,_xll.TR(H$7,H$6,"Sdate=#1 Period=#2 NULL=BLANK",,$D44,"NTM"),H44)</f>
        <v/>
      </c>
      <c r="I44" s="963" cm="1">
        <f t="array" aca="1" ref="I44" ca="1">IF(Thomson=1,_xll.TR(I$7,I$6,"Sdate=#1 Period=#2 NULL=BLANK",,$D44,"NTM"),I44)</f>
        <v>1.0305674336315001</v>
      </c>
      <c r="J44" s="963" cm="1">
        <f t="array" aca="1" ref="J44" ca="1">IF(Thomson=1,_xll.TR(J$7,J$6,"Sdate=#1 Period=#2 NULL=BLANK",,$D44,"NTM"),J44)</f>
        <v>1.4463098955434299</v>
      </c>
      <c r="K44" s="963" cm="1">
        <f t="array" aca="1" ref="K44" ca="1">IF(Thomson=1,_xll.TR(K$7,K$6,"Sdate=#1 Period=#2 NULL=BLANK",,$D44,"NTM"),K44)</f>
        <v>0.97659861628483102</v>
      </c>
      <c r="L44" s="963" cm="1">
        <f t="array" aca="1" ref="L44" ca="1">IF(Thomson=1,_xll.TR(L$7,L$6,"Sdate=#1 Period=#2 NULL=BLANK",,$D44,"NTM"),L44)</f>
        <v>3.0096681640276501</v>
      </c>
      <c r="M44" s="963" cm="1">
        <f t="array" aca="1" ref="M44" ca="1">IF(Thomson=1,_xll.TR(M$7,M$6,"Sdate=#1 Period=#2 NULL=BLANK",,$D44,"NTM"),M44)</f>
        <v>3.84712929524943</v>
      </c>
      <c r="N44" s="963" cm="1">
        <f t="array" aca="1" ref="N44" ca="1">IF(Thomson=1,_xll.TR(N$7,N$6,"Sdate=#1 Period=#2 NULL=BLANK",,$D44,"NTM"),N44)</f>
        <v>2.64486857708311</v>
      </c>
      <c r="O44" s="963" cm="1">
        <f t="array" aca="1" ref="O44" ca="1">IF(Thomson=1,_xll.TR(O$7,O$6,"Sdate=#1 Period=#2 NULL=BLANK",,$D44,"NTM"),O44)</f>
        <v>2.7332205322503298</v>
      </c>
      <c r="P44" s="963" cm="1">
        <f t="array" aca="1" ref="P44" ca="1">IF(Thomson=1,_xll.TR(P$7,P$6,"Sdate=#1 Period=#2 NULL=BLANK",,$D44,"NTM"),P44)</f>
        <v>1.8570186875286501</v>
      </c>
      <c r="Q44" s="963" cm="1">
        <f t="array" aca="1" ref="Q44" ca="1">IF(Thomson=1,_xll.TR(Q$7,Q$6,"Sdate=#1 Period=#2 NULL=BLANK",,$D44,"NTM"),Q44)</f>
        <v>1.2756140141176899</v>
      </c>
    </row>
    <row r="45" spans="3:17" ht="11.25" customHeight="1">
      <c r="C45" s="971">
        <f t="shared" si="2"/>
        <v>43555</v>
      </c>
      <c r="D45" s="970">
        <f t="shared" si="1"/>
        <v>43600</v>
      </c>
      <c r="E45" s="963" cm="1">
        <f t="array" aca="1" ref="E45" ca="1">IF(Thomson=1,_xll.TR(E$7,E$6,"Sdate=#1 Period=#2 NULL=BLANK",,$D45,"NTM"),E45)</f>
        <v>1.60000161034435</v>
      </c>
      <c r="F45" s="963" cm="1">
        <f t="array" aca="1" ref="F45" ca="1">IF(Thomson=1,_xll.TR(F$7,F$6,"Sdate=#1 Period=#2 NULL=BLANK",,$D45,"NTM"),F45)</f>
        <v>2.29810286122312</v>
      </c>
      <c r="G45" s="963" cm="1">
        <f t="array" aca="1" ref="G45" ca="1">IF(Thomson=1,_xll.TR(G$7,G$6,"Sdate=#1 Period=#2 NULL=BLANK",,$D45,"NTM"),G45)</f>
        <v>1.1942047320050999</v>
      </c>
      <c r="H45" s="963" cm="1">
        <f t="array" aca="1" ref="H45" ca="1">IF(Thomson=1,_xll.TR(H$7,H$6,"Sdate=#1 Period=#2 NULL=BLANK",,$D45,"NTM"),H45)</f>
        <v>1.2144873557551901</v>
      </c>
      <c r="I45" s="963" cm="1">
        <f t="array" aca="1" ref="I45" ca="1">IF(Thomson=1,_xll.TR(I$7,I$6,"Sdate=#1 Period=#2 NULL=BLANK",,$D45,"NTM"),I45)</f>
        <v>1.0034306671561</v>
      </c>
      <c r="J45" s="963" cm="1">
        <f t="array" aca="1" ref="J45" ca="1">IF(Thomson=1,_xll.TR(J$7,J$6,"Sdate=#1 Period=#2 NULL=BLANK",,$D45,"NTM"),J45)</f>
        <v>2.2943567824085598</v>
      </c>
      <c r="K45" s="963" cm="1">
        <f t="array" aca="1" ref="K45" ca="1">IF(Thomson=1,_xll.TR(K$7,K$6,"Sdate=#1 Period=#2 NULL=BLANK",,$D45,"NTM"),K45)</f>
        <v>0.93009651512743696</v>
      </c>
      <c r="L45" s="963" cm="1">
        <f t="array" aca="1" ref="L45" ca="1">IF(Thomson=1,_xll.TR(L$7,L$6,"Sdate=#1 Period=#2 NULL=BLANK",,$D45,"NTM"),L45)</f>
        <v>2.80226919512751</v>
      </c>
      <c r="M45" s="963" cm="1">
        <f t="array" aca="1" ref="M45" ca="1">IF(Thomson=1,_xll.TR(M$7,M$6,"Sdate=#1 Period=#2 NULL=BLANK",,$D45,"NTM"),M45)</f>
        <v>3.44357506816183</v>
      </c>
      <c r="N45" s="963" cm="1">
        <f t="array" aca="1" ref="N45" ca="1">IF(Thomson=1,_xll.TR(N$7,N$6,"Sdate=#1 Period=#2 NULL=BLANK",,$D45,"NTM"),N45)</f>
        <v>2.3421686626000899</v>
      </c>
      <c r="O45" s="963" cm="1">
        <f t="array" aca="1" ref="O45" ca="1">IF(Thomson=1,_xll.TR(O$7,O$6,"Sdate=#1 Period=#2 NULL=BLANK",,$D45,"NTM"),O45)</f>
        <v>2.6415267893160101</v>
      </c>
      <c r="P45" s="963" cm="1">
        <f t="array" aca="1" ref="P45" ca="1">IF(Thomson=1,_xll.TR(P$7,P$6,"Sdate=#1 Period=#2 NULL=BLANK",,$D45,"NTM"),P45)</f>
        <v>1.95804201830452</v>
      </c>
      <c r="Q45" s="963" cm="1">
        <f t="array" aca="1" ref="Q45" ca="1">IF(Thomson=1,_xll.TR(Q$7,Q$6,"Sdate=#1 Period=#2 NULL=BLANK",,$D45,"NTM"),Q45)</f>
        <v>1.19459428423492</v>
      </c>
    </row>
    <row r="46" spans="3:17" ht="11.25" customHeight="1">
      <c r="C46" s="972">
        <f t="shared" si="2"/>
        <v>43646</v>
      </c>
      <c r="D46" s="970">
        <f t="shared" si="1"/>
        <v>43691</v>
      </c>
      <c r="E46" s="963" cm="1">
        <f t="array" aca="1" ref="E46" ca="1">IF(Thomson=1,_xll.TR(E$7,E$6,"Sdate=#1 Period=#2 NULL=BLANK",,$D46,"NTM"),E46)</f>
        <v>1.53592842184978</v>
      </c>
      <c r="F46" s="963" cm="1">
        <f t="array" aca="1" ref="F46" ca="1">IF(Thomson=1,_xll.TR(F$7,F$6,"Sdate=#1 Period=#2 NULL=BLANK",,$D46,"NTM"),F46)</f>
        <v>2.4947034403270498</v>
      </c>
      <c r="G46" s="963" cm="1">
        <f t="array" aca="1" ref="G46" ca="1">IF(Thomson=1,_xll.TR(G$7,G$6,"Sdate=#1 Period=#2 NULL=BLANK",,$D46,"NTM"),G46)</f>
        <v>1.1378920154026599</v>
      </c>
      <c r="H46" s="963" cm="1">
        <f t="array" aca="1" ref="H46" ca="1">IF(Thomson=1,_xll.TR(H$7,H$6,"Sdate=#1 Period=#2 NULL=BLANK",,$D46,"NTM"),H46)</f>
        <v>1.0750818509266999</v>
      </c>
      <c r="I46" s="963" cm="1">
        <f t="array" aca="1" ref="I46" ca="1">IF(Thomson=1,_xll.TR(I$7,I$6,"Sdate=#1 Period=#2 NULL=BLANK",,$D46,"NTM"),I46)</f>
        <v>0.90243590936510498</v>
      </c>
      <c r="J46" s="963" cm="1">
        <f t="array" aca="1" ref="J46" ca="1">IF(Thomson=1,_xll.TR(J$7,J$6,"Sdate=#1 Period=#2 NULL=BLANK",,$D46,"NTM"),J46)</f>
        <v>2.9154063290705898</v>
      </c>
      <c r="K46" s="963" cm="1">
        <f t="array" aca="1" ref="K46" ca="1">IF(Thomson=1,_xll.TR(K$7,K$6,"Sdate=#1 Period=#2 NULL=BLANK",,$D46,"NTM"),K46)</f>
        <v>0.97772108997658902</v>
      </c>
      <c r="L46" s="963" cm="1">
        <f t="array" aca="1" ref="L46" ca="1">IF(Thomson=1,_xll.TR(L$7,L$6,"Sdate=#1 Period=#2 NULL=BLANK",,$D46,"NTM"),L46)</f>
        <v>2.9893129239915899</v>
      </c>
      <c r="M46" s="963" cm="1">
        <f t="array" aca="1" ref="M46" ca="1">IF(Thomson=1,_xll.TR(M$7,M$6,"Sdate=#1 Period=#2 NULL=BLANK",,$D46,"NTM"),M46)</f>
        <v>3.1410413547114699</v>
      </c>
      <c r="N46" s="963" cm="1">
        <f t="array" aca="1" ref="N46" ca="1">IF(Thomson=1,_xll.TR(N$7,N$6,"Sdate=#1 Period=#2 NULL=BLANK",,$D46,"NTM"),N46)</f>
        <v>2.2232300417895399</v>
      </c>
      <c r="O46" s="963" cm="1">
        <f t="array" aca="1" ref="O46" ca="1">IF(Thomson=1,_xll.TR(O$7,O$6,"Sdate=#1 Period=#2 NULL=BLANK",,$D46,"NTM"),O46)</f>
        <v>2.6592661836020501</v>
      </c>
      <c r="P46" s="963" cm="1">
        <f t="array" aca="1" ref="P46" ca="1">IF(Thomson=1,_xll.TR(P$7,P$6,"Sdate=#1 Period=#2 NULL=BLANK",,$D46,"NTM"),P46)</f>
        <v>1.9476350263720199</v>
      </c>
      <c r="Q46" s="963" cm="1">
        <f t="array" aca="1" ref="Q46" ca="1">IF(Thomson=1,_xll.TR(Q$7,Q$6,"Sdate=#1 Period=#2 NULL=BLANK",,$D46,"NTM"),Q46)</f>
        <v>1.2425882959533701</v>
      </c>
    </row>
    <row r="47" spans="3:17" ht="11.25" customHeight="1">
      <c r="C47" s="973">
        <f t="shared" si="2"/>
        <v>43738</v>
      </c>
      <c r="D47" s="970">
        <f t="shared" si="1"/>
        <v>43783</v>
      </c>
      <c r="E47" s="963" cm="1">
        <f t="array" aca="1" ref="E47" ca="1">IF(Thomson=1,_xll.TR(E$7,E$6,"Sdate=#1 Period=#2 NULL=BLANK",,$D47,"NTM"),E47)</f>
        <v>1.78486883183871</v>
      </c>
      <c r="F47" s="963" cm="1">
        <f t="array" aca="1" ref="F47" ca="1">IF(Thomson=1,_xll.TR(F$7,F$6,"Sdate=#1 Period=#2 NULL=BLANK",,$D47,"NTM"),F47)</f>
        <v>2.8300921500683098</v>
      </c>
      <c r="G47" s="963" cm="1">
        <f t="array" aca="1" ref="G47" ca="1">IF(Thomson=1,_xll.TR(G$7,G$6,"Sdate=#1 Period=#2 NULL=BLANK",,$D47,"NTM"),G47)</f>
        <v>1.30429294451554</v>
      </c>
      <c r="H47" s="963" cm="1">
        <f t="array" aca="1" ref="H47" ca="1">IF(Thomson=1,_xll.TR(H$7,H$6,"Sdate=#1 Period=#2 NULL=BLANK",,$D47,"NTM"),H47)</f>
        <v>1.27617640836313</v>
      </c>
      <c r="I47" s="963" cm="1">
        <f t="array" aca="1" ref="I47" ca="1">IF(Thomson=1,_xll.TR(I$7,I$6,"Sdate=#1 Period=#2 NULL=BLANK",,$D47,"NTM"),I47)</f>
        <v>1.1982868416196799</v>
      </c>
      <c r="J47" s="963" cm="1">
        <f t="array" aca="1" ref="J47" ca="1">IF(Thomson=1,_xll.TR(J$7,J$6,"Sdate=#1 Period=#2 NULL=BLANK",,$D47,"NTM"),J47)</f>
        <v>3.0684857657311899</v>
      </c>
      <c r="K47" s="963" cm="1">
        <f t="array" aca="1" ref="K47" ca="1">IF(Thomson=1,_xll.TR(K$7,K$6,"Sdate=#1 Period=#2 NULL=BLANK",,$D47,"NTM"),K47)</f>
        <v>1.27742601367635</v>
      </c>
      <c r="L47" s="963" cm="1">
        <f t="array" aca="1" ref="L47" ca="1">IF(Thomson=1,_xll.TR(L$7,L$6,"Sdate=#1 Period=#2 NULL=BLANK",,$D47,"NTM"),L47)</f>
        <v>3.26057154310908</v>
      </c>
      <c r="M47" s="963" cm="1">
        <f t="array" aca="1" ref="M47" ca="1">IF(Thomson=1,_xll.TR(M$7,M$6,"Sdate=#1 Period=#2 NULL=BLANK",,$D47,"NTM"),M47)</f>
        <v>3.2711670479010899</v>
      </c>
      <c r="N47" s="963" cm="1">
        <f t="array" aca="1" ref="N47" ca="1">IF(Thomson=1,_xll.TR(N$7,N$6,"Sdate=#1 Period=#2 NULL=BLANK",,$D47,"NTM"),N47)</f>
        <v>2.4381539390951601</v>
      </c>
      <c r="O47" s="963" cm="1">
        <f t="array" aca="1" ref="O47" ca="1">IF(Thomson=1,_xll.TR(O$7,O$6,"Sdate=#1 Period=#2 NULL=BLANK",,$D47,"NTM"),O47)</f>
        <v>2.7977126261722902</v>
      </c>
      <c r="P47" s="963" cm="1">
        <f t="array" aca="1" ref="P47" ca="1">IF(Thomson=1,_xll.TR(P$7,P$6,"Sdate=#1 Period=#2 NULL=BLANK",,$D47,"NTM"),P47)</f>
        <v>2.2355990004441502</v>
      </c>
      <c r="Q47" s="963" cm="1">
        <f t="array" aca="1" ref="Q47" ca="1">IF(Thomson=1,_xll.TR(Q$7,Q$6,"Sdate=#1 Period=#2 NULL=BLANK",,$D47,"NTM"),Q47)</f>
        <v>1.3920918878560899</v>
      </c>
    </row>
    <row r="48" spans="3:17" ht="11.25" customHeight="1">
      <c r="C48" s="969">
        <f t="shared" si="2"/>
        <v>43830</v>
      </c>
      <c r="D48" s="970">
        <f t="shared" si="1"/>
        <v>43875</v>
      </c>
      <c r="E48" s="963" cm="1">
        <f t="array" aca="1" ref="E48" ca="1">IF(Thomson=1,_xll.TR(E$7,E$6,"Sdate=#1 Period=#2 NULL=BLANK",,$D48,"NTM"),E48)</f>
        <v>1.74853175953875</v>
      </c>
      <c r="F48" s="963" cm="1">
        <f t="array" aca="1" ref="F48" ca="1">IF(Thomson=1,_xll.TR(F$7,F$6,"Sdate=#1 Period=#2 NULL=BLANK",,$D48,"NTM"),F48)</f>
        <v>2.6154805536841401</v>
      </c>
      <c r="G48" s="963" cm="1">
        <f t="array" aca="1" ref="G48" ca="1">IF(Thomson=1,_xll.TR(G$7,G$6,"Sdate=#1 Period=#2 NULL=BLANK",,$D48,"NTM"),G48)</f>
        <v>1.20886847898553</v>
      </c>
      <c r="H48" s="963" cm="1">
        <f t="array" aca="1" ref="H48" ca="1">IF(Thomson=1,_xll.TR(H$7,H$6,"Sdate=#1 Period=#2 NULL=BLANK",,$D48,"NTM"),H48)</f>
        <v>1.1825615015381701</v>
      </c>
      <c r="I48" s="963" cm="1">
        <f t="array" aca="1" ref="I48" ca="1">IF(Thomson=1,_xll.TR(I$7,I$6,"Sdate=#1 Period=#2 NULL=BLANK",,$D48,"NTM"),I48)</f>
        <v>1.15446237848652</v>
      </c>
      <c r="J48" s="963" cm="1">
        <f t="array" aca="1" ref="J48" ca="1">IF(Thomson=1,_xll.TR(J$7,J$6,"Sdate=#1 Period=#2 NULL=BLANK",,$D48,"NTM"),J48)</f>
        <v>2.5493217060915199</v>
      </c>
      <c r="K48" s="963" cm="1">
        <f t="array" aca="1" ref="K48" ca="1">IF(Thomson=1,_xll.TR(K$7,K$6,"Sdate=#1 Period=#2 NULL=BLANK",,$D48,"NTM"),K48)</f>
        <v>1.42448519259108</v>
      </c>
      <c r="L48" s="963" cm="1">
        <f t="array" aca="1" ref="L48" ca="1">IF(Thomson=1,_xll.TR(L$7,L$6,"Sdate=#1 Period=#2 NULL=BLANK",,$D48,"NTM"),L48)</f>
        <v>3.4152968308253699</v>
      </c>
      <c r="M48" s="963" cm="1">
        <f t="array" aca="1" ref="M48" ca="1">IF(Thomson=1,_xll.TR(M$7,M$6,"Sdate=#1 Period=#2 NULL=BLANK",,$D48,"NTM"),M48)</f>
        <v>3.2758228059558401</v>
      </c>
      <c r="N48" s="963" cm="1">
        <f t="array" aca="1" ref="N48" ca="1">IF(Thomson=1,_xll.TR(N$7,N$6,"Sdate=#1 Period=#2 NULL=BLANK",,$D48,"NTM"),N48)</f>
        <v>3.1655919202932798</v>
      </c>
      <c r="O48" s="963" cm="1">
        <f t="array" aca="1" ref="O48" ca="1">IF(Thomson=1,_xll.TR(O$7,O$6,"Sdate=#1 Period=#2 NULL=BLANK",,$D48,"NTM"),O48)</f>
        <v>2.6107631912064</v>
      </c>
      <c r="P48" s="963" cm="1">
        <f t="array" aca="1" ref="P48" ca="1">IF(Thomson=1,_xll.TR(P$7,P$6,"Sdate=#1 Period=#2 NULL=BLANK",,$D48,"NTM"),P48)</f>
        <v>2.08646473929443</v>
      </c>
      <c r="Q48" s="963" cm="1">
        <f t="array" aca="1" ref="Q48" ca="1">IF(Thomson=1,_xll.TR(Q$7,Q$6,"Sdate=#1 Period=#2 NULL=BLANK",,$D48,"NTM"),Q48)</f>
        <v>1.33815240864902</v>
      </c>
    </row>
    <row r="49" spans="3:17" ht="11.25" customHeight="1">
      <c r="C49" s="971">
        <f t="shared" si="2"/>
        <v>43921</v>
      </c>
      <c r="D49" s="970">
        <f t="shared" si="1"/>
        <v>43966</v>
      </c>
      <c r="E49" s="963" cm="1">
        <f t="array" aca="1" ref="E49" ca="1">IF(Thomson=1,_xll.TR(E$7,E$6,"Sdate=#1 Period=#2 NULL=BLANK",,$D49,"NTM"),E49)</f>
        <v>1.64875639197771</v>
      </c>
      <c r="F49" s="963" cm="1">
        <f t="array" aca="1" ref="F49" ca="1">IF(Thomson=1,_xll.TR(F$7,F$6,"Sdate=#1 Period=#2 NULL=BLANK",,$D49,"NTM"),F49)</f>
        <v>2.4106222690727002</v>
      </c>
      <c r="G49" s="963" cm="1">
        <f t="array" aca="1" ref="G49" ca="1">IF(Thomson=1,_xll.TR(G$7,G$6,"Sdate=#1 Period=#2 NULL=BLANK",,$D49,"NTM"),G49)</f>
        <v>1.0174794948680299</v>
      </c>
      <c r="H49" s="963" cm="1">
        <f t="array" aca="1" ref="H49" ca="1">IF(Thomson=1,_xll.TR(H$7,H$6,"Sdate=#1 Period=#2 NULL=BLANK",,$D49,"NTM"),H49)</f>
        <v>1.08029581494358</v>
      </c>
      <c r="I49" s="963" cm="1">
        <f t="array" aca="1" ref="I49" ca="1">IF(Thomson=1,_xll.TR(I$7,I$6,"Sdate=#1 Period=#2 NULL=BLANK",,$D49,"NTM"),I49)</f>
        <v>1.10832461234816</v>
      </c>
      <c r="J49" s="963" cm="1">
        <f t="array" aca="1" ref="J49" ca="1">IF(Thomson=1,_xll.TR(J$7,J$6,"Sdate=#1 Period=#2 NULL=BLANK",,$D49,"NTM"),J49)</f>
        <v>2.44771210169898</v>
      </c>
      <c r="K49" s="963" cm="1">
        <f t="array" aca="1" ref="K49" ca="1">IF(Thomson=1,_xll.TR(K$7,K$6,"Sdate=#1 Period=#2 NULL=BLANK",,$D49,"NTM"),K49)</f>
        <v>0.68931258202704404</v>
      </c>
      <c r="L49" s="963" cm="1">
        <f t="array" aca="1" ref="L49" ca="1">IF(Thomson=1,_xll.TR(L$7,L$6,"Sdate=#1 Period=#2 NULL=BLANK",,$D49,"NTM"),L49)</f>
        <v>3.0397502429589598</v>
      </c>
      <c r="M49" s="963" cm="1">
        <f t="array" aca="1" ref="M49" ca="1">IF(Thomson=1,_xll.TR(M$7,M$6,"Sdate=#1 Period=#2 NULL=BLANK",,$D49,"NTM"),M49)</f>
        <v>3.1139284345812301</v>
      </c>
      <c r="N49" s="963" cm="1">
        <f t="array" aca="1" ref="N49" ca="1">IF(Thomson=1,_xll.TR(N$7,N$6,"Sdate=#1 Period=#2 NULL=BLANK",,$D49,"NTM"),N49)</f>
        <v>2.9427566011669199</v>
      </c>
      <c r="O49" s="963" cm="1">
        <f t="array" aca="1" ref="O49" ca="1">IF(Thomson=1,_xll.TR(O$7,O$6,"Sdate=#1 Period=#2 NULL=BLANK",,$D49,"NTM"),O49)</f>
        <v>2.2174612466085599</v>
      </c>
      <c r="P49" s="963" cm="1">
        <f t="array" aca="1" ref="P49" ca="1">IF(Thomson=1,_xll.TR(P$7,P$6,"Sdate=#1 Period=#2 NULL=BLANK",,$D49,"NTM"),P49)</f>
        <v>1.8286326503886401</v>
      </c>
      <c r="Q49" s="963" cm="1">
        <f t="array" aca="1" ref="Q49" ca="1">IF(Thomson=1,_xll.TR(Q$7,Q$6,"Sdate=#1 Period=#2 NULL=BLANK",,$D49,"NTM"),Q49)</f>
        <v>1.06904564480257</v>
      </c>
    </row>
    <row r="50" spans="3:17" ht="11.25" customHeight="1">
      <c r="C50" s="972">
        <f t="shared" si="2"/>
        <v>44012</v>
      </c>
      <c r="D50" s="970">
        <f t="shared" si="1"/>
        <v>44057</v>
      </c>
      <c r="E50" s="963" cm="1">
        <f t="array" aca="1" ref="E50" ca="1">IF(Thomson=1,_xll.TR(E$7,E$6,"Sdate=#1 Period=#2 NULL=BLANK",,$D50,"NTM"),E50)</f>
        <v>1.78734423526132</v>
      </c>
      <c r="F50" s="963" cm="1">
        <f t="array" aca="1" ref="F50" ca="1">IF(Thomson=1,_xll.TR(F$7,F$6,"Sdate=#1 Period=#2 NULL=BLANK",,$D50,"NTM"),F50)</f>
        <v>2.7996809657305199</v>
      </c>
      <c r="G50" s="963" cm="1">
        <f t="array" aca="1" ref="G50" ca="1">IF(Thomson=1,_xll.TR(G$7,G$6,"Sdate=#1 Period=#2 NULL=BLANK",,$D50,"NTM"),G50)</f>
        <v>1.15012102884849</v>
      </c>
      <c r="H50" s="963" cm="1">
        <f t="array" aca="1" ref="H50" ca="1">IF(Thomson=1,_xll.TR(H$7,H$6,"Sdate=#1 Period=#2 NULL=BLANK",,$D50,"NTM"),H50)</f>
        <v>1.24302300769662</v>
      </c>
      <c r="I50" s="963" cm="1">
        <f t="array" aca="1" ref="I50" ca="1">IF(Thomson=1,_xll.TR(I$7,I$6,"Sdate=#1 Period=#2 NULL=BLANK",,$D50,"NTM"),I50)</f>
        <v>1.2099187865281</v>
      </c>
      <c r="J50" s="963" cm="1">
        <f t="array" aca="1" ref="J50" ca="1">IF(Thomson=1,_xll.TR(J$7,J$6,"Sdate=#1 Period=#2 NULL=BLANK",,$D50,"NTM"),J50)</f>
        <v>2.82497407534846</v>
      </c>
      <c r="K50" s="963" cm="1">
        <f t="array" aca="1" ref="K50" ca="1">IF(Thomson=1,_xll.TR(K$7,K$6,"Sdate=#1 Period=#2 NULL=BLANK",,$D50,"NTM"),K50)</f>
        <v>0.671846984941461</v>
      </c>
      <c r="L50" s="963" cm="1">
        <f t="array" aca="1" ref="L50" ca="1">IF(Thomson=1,_xll.TR(L$7,L$6,"Sdate=#1 Period=#2 NULL=BLANK",,$D50,"NTM"),L50)</f>
        <v>3.5304011988960902</v>
      </c>
      <c r="M50" s="963" cm="1">
        <f t="array" aca="1" ref="M50" ca="1">IF(Thomson=1,_xll.TR(M$7,M$6,"Sdate=#1 Period=#2 NULL=BLANK",,$D50,"NTM"),M50)</f>
        <v>3.4460291434423902</v>
      </c>
      <c r="N50" s="963" cm="1">
        <f t="array" aca="1" ref="N50" ca="1">IF(Thomson=1,_xll.TR(N$7,N$6,"Sdate=#1 Period=#2 NULL=BLANK",,$D50,"NTM"),N50)</f>
        <v>4.0127384009439</v>
      </c>
      <c r="O50" s="963" cm="1">
        <f t="array" aca="1" ref="O50" ca="1">IF(Thomson=1,_xll.TR(O$7,O$6,"Sdate=#1 Period=#2 NULL=BLANK",,$D50,"NTM"),O50)</f>
        <v>2.60328988345583</v>
      </c>
      <c r="P50" s="963" cm="1">
        <f t="array" aca="1" ref="P50" ca="1">IF(Thomson=1,_xll.TR(P$7,P$6,"Sdate=#1 Period=#2 NULL=BLANK",,$D50,"NTM"),P50)</f>
        <v>2.26450127474408</v>
      </c>
      <c r="Q50" s="963" cm="1">
        <f t="array" aca="1" ref="Q50" ca="1">IF(Thomson=1,_xll.TR(Q$7,Q$6,"Sdate=#1 Period=#2 NULL=BLANK",,$D50,"NTM"),Q50)</f>
        <v>1.1349155134625799</v>
      </c>
    </row>
    <row r="51" spans="3:17">
      <c r="C51" s="973">
        <f t="shared" si="2"/>
        <v>44104</v>
      </c>
      <c r="D51" s="970">
        <f t="shared" si="1"/>
        <v>44149</v>
      </c>
      <c r="E51" s="963" cm="1">
        <f t="array" aca="1" ref="E51" ca="1">IF(Thomson=1,_xll.TR(E$7,E$6,"Sdate=#1 Period=#2 NULL=BLANK",,$D51,"NTM"),E51)</f>
        <v>2.03053950003655</v>
      </c>
      <c r="F51" s="963" cm="1">
        <f t="array" aca="1" ref="F51" ca="1">IF(Thomson=1,_xll.TR(F$7,F$6,"Sdate=#1 Period=#2 NULL=BLANK",,$D51,"NTM"),F51)</f>
        <v>3.20354756094014</v>
      </c>
      <c r="G51" s="963" cm="1">
        <f t="array" aca="1" ref="G51" ca="1">IF(Thomson=1,_xll.TR(G$7,G$6,"Sdate=#1 Period=#2 NULL=BLANK",,$D51,"NTM"),G51)</f>
        <v>1.1293085042297999</v>
      </c>
      <c r="H51" s="963" cm="1">
        <f t="array" aca="1" ref="H51" ca="1">IF(Thomson=1,_xll.TR(H$7,H$6,"Sdate=#1 Period=#2 NULL=BLANK",,$D51,"NTM"),H51)</f>
        <v>1.28566443407904</v>
      </c>
      <c r="I51" s="963" cm="1">
        <f t="array" aca="1" ref="I51" ca="1">IF(Thomson=1,_xll.TR(I$7,I$6,"Sdate=#1 Period=#2 NULL=BLANK",,$D51,"NTM"),I51)</f>
        <v>1.22951758222909</v>
      </c>
      <c r="J51" s="963" cm="1">
        <f t="array" aca="1" ref="J51" ca="1">IF(Thomson=1,_xll.TR(J$7,J$6,"Sdate=#1 Period=#2 NULL=BLANK",,$D51,"NTM"),J51)</f>
        <v>3.2561821395278598</v>
      </c>
      <c r="K51" s="963" cm="1">
        <f t="array" aca="1" ref="K51" ca="1">IF(Thomson=1,_xll.TR(K$7,K$6,"Sdate=#1 Period=#2 NULL=BLANK",,$D51,"NTM"),K51)</f>
        <v>1.1899829088322</v>
      </c>
      <c r="L51" s="963" cm="1">
        <f t="array" aca="1" ref="L51" ca="1">IF(Thomson=1,_xll.TR(L$7,L$6,"Sdate=#1 Period=#2 NULL=BLANK",,$D51,"NTM"),L51)</f>
        <v>3.3951926058287198</v>
      </c>
      <c r="M51" s="963" cm="1">
        <f t="array" aca="1" ref="M51" ca="1">IF(Thomson=1,_xll.TR(M$7,M$6,"Sdate=#1 Period=#2 NULL=BLANK",,$D51,"NTM"),M51)</f>
        <v>3.3797782100112799</v>
      </c>
      <c r="N51" s="963" cm="1">
        <f t="array" aca="1" ref="N51" ca="1">IF(Thomson=1,_xll.TR(N$7,N$6,"Sdate=#1 Period=#2 NULL=BLANK",,$D51,"NTM"),N51)</f>
        <v>5.0658568555017398</v>
      </c>
      <c r="O51" s="963" cm="1">
        <f t="array" aca="1" ref="O51" ca="1">IF(Thomson=1,_xll.TR(O$7,O$6,"Sdate=#1 Period=#2 NULL=BLANK",,$D51,"NTM"),O51)</f>
        <v>2.65950353155002</v>
      </c>
      <c r="P51" s="963" cm="1">
        <f t="array" aca="1" ref="P51" ca="1">IF(Thomson=1,_xll.TR(P$7,P$6,"Sdate=#1 Period=#2 NULL=BLANK",,$D51,"NTM"),P51)</f>
        <v>2.5206855065965899</v>
      </c>
      <c r="Q51" s="963" cm="1">
        <f t="array" aca="1" ref="Q51" ca="1">IF(Thomson=1,_xll.TR(Q$7,Q$6,"Sdate=#1 Period=#2 NULL=BLANK",,$D51,"NTM"),Q51)</f>
        <v>1.2137723143705199</v>
      </c>
    </row>
    <row r="52" spans="3:17">
      <c r="C52" s="969">
        <f t="shared" si="2"/>
        <v>44196</v>
      </c>
      <c r="D52" s="970">
        <f t="shared" si="1"/>
        <v>44241</v>
      </c>
      <c r="E52" s="963" cm="1">
        <f t="array" aca="1" ref="E52" ca="1">IF(Thomson=1,_xll.TR(E$7,E$6,"Sdate=#1 Period=#2 NULL=BLANK",,$D52,"NTM"),E52)</f>
        <v>2.20419210243073</v>
      </c>
      <c r="F52" s="963" cm="1">
        <f t="array" aca="1" ref="F52" ca="1">IF(Thomson=1,_xll.TR(F$7,F$6,"Sdate=#1 Period=#2 NULL=BLANK",,$D52,"NTM"),F52)</f>
        <v>2.7795380730608001</v>
      </c>
      <c r="G52" s="963" cm="1">
        <f t="array" aca="1" ref="G52" ca="1">IF(Thomson=1,_xll.TR(G$7,G$6,"Sdate=#1 Period=#2 NULL=BLANK",,$D52,"NTM"),G52)</f>
        <v>1.25414070288218</v>
      </c>
      <c r="H52" s="963" cm="1">
        <f t="array" aca="1" ref="H52" ca="1">IF(Thomson=1,_xll.TR(H$7,H$6,"Sdate=#1 Period=#2 NULL=BLANK",,$D52,"NTM"),H52)</f>
        <v>1.28108784843323</v>
      </c>
      <c r="I52" s="963" cm="1">
        <f t="array" aca="1" ref="I52" ca="1">IF(Thomson=1,_xll.TR(I$7,I$6,"Sdate=#1 Period=#2 NULL=BLANK",,$D52,"NTM"),I52)</f>
        <v>1.3065084228383601</v>
      </c>
      <c r="J52" s="963" cm="1">
        <f t="array" aca="1" ref="J52" ca="1">IF(Thomson=1,_xll.TR(J$7,J$6,"Sdate=#1 Period=#2 NULL=BLANK",,$D52,"NTM"),J52)</f>
        <v>3.8296705584472699</v>
      </c>
      <c r="K52" s="963" cm="1">
        <f t="array" aca="1" ref="K52" ca="1">IF(Thomson=1,_xll.TR(K$7,K$6,"Sdate=#1 Period=#2 NULL=BLANK",,$D52,"NTM"),K52)</f>
        <v>1.2904627602886201</v>
      </c>
      <c r="L52" s="963" cm="1">
        <f t="array" aca="1" ref="L52" ca="1">IF(Thomson=1,_xll.TR(L$7,L$6,"Sdate=#1 Period=#2 NULL=BLANK",,$D52,"NTM"),L52)</f>
        <v>3.3606385583243199</v>
      </c>
      <c r="M52" s="963" cm="1">
        <f t="array" aca="1" ref="M52" ca="1">IF(Thomson=1,_xll.TR(M$7,M$6,"Sdate=#1 Period=#2 NULL=BLANK",,$D52,"NTM"),M52)</f>
        <v>3.3962291162747098</v>
      </c>
      <c r="N52" s="963" cm="1">
        <f t="array" aca="1" ref="N52" ca="1">IF(Thomson=1,_xll.TR(N$7,N$6,"Sdate=#1 Period=#2 NULL=BLANK",,$D52,"NTM"),N52)</f>
        <v>6.8632227925999496</v>
      </c>
      <c r="O52" s="963" cm="1">
        <f t="array" aca="1" ref="O52" ca="1">IF(Thomson=1,_xll.TR(O$7,O$6,"Sdate=#1 Period=#2 NULL=BLANK",,$D52,"NTM"),O52)</f>
        <v>2.6155651075512401</v>
      </c>
      <c r="P52" s="963" cm="1">
        <f t="array" aca="1" ref="P52" ca="1">IF(Thomson=1,_xll.TR(P$7,P$6,"Sdate=#1 Period=#2 NULL=BLANK",,$D52,"NTM"),P52)</f>
        <v>2.2609948748942101</v>
      </c>
      <c r="Q52" s="963" cm="1">
        <f t="array" aca="1" ref="Q52" ca="1">IF(Thomson=1,_xll.TR(Q$7,Q$6,"Sdate=#1 Period=#2 NULL=BLANK",,$D52,"NTM"),Q52)</f>
        <v>1.34613200490872</v>
      </c>
    </row>
    <row r="53" spans="3:17">
      <c r="C53" s="971">
        <f t="shared" si="2"/>
        <v>44286</v>
      </c>
      <c r="D53" s="970">
        <f t="shared" si="1"/>
        <v>44331</v>
      </c>
      <c r="E53" s="963" cm="1">
        <f t="array" aca="1" ref="E53" ca="1">IF(Thomson=1,_xll.TR(E$7,E$6,"Sdate=#1 Period=#2 NULL=BLANK",,$D53,"NTM"),E53)</f>
        <v>2.3577183008099998</v>
      </c>
      <c r="F53" s="963" cm="1">
        <f t="array" aca="1" ref="F53" ca="1">IF(Thomson=1,_xll.TR(F$7,F$6,"Sdate=#1 Period=#2 NULL=BLANK",,$D53,"NTM"),F53)</f>
        <v>3.0735500827320998</v>
      </c>
      <c r="G53" s="963" cm="1">
        <f t="array" aca="1" ref="G53" ca="1">IF(Thomson=1,_xll.TR(G$7,G$6,"Sdate=#1 Period=#2 NULL=BLANK",,$D53,"NTM"),G53)</f>
        <v>1.1922630750401499</v>
      </c>
      <c r="H53" s="963" cm="1">
        <f t="array" aca="1" ref="H53" ca="1">IF(Thomson=1,_xll.TR(H$7,H$6,"Sdate=#1 Period=#2 NULL=BLANK",,$D53,"NTM"),H53)</f>
        <v>1.35730261528393</v>
      </c>
      <c r="I53" s="963" cm="1">
        <f t="array" aca="1" ref="I53" ca="1">IF(Thomson=1,_xll.TR(I$7,I$6,"Sdate=#1 Period=#2 NULL=BLANK",,$D53,"NTM"),I53)</f>
        <v>1.3495154889335901</v>
      </c>
      <c r="J53" s="963" cm="1">
        <f t="array" aca="1" ref="J53" ca="1">IF(Thomson=1,_xll.TR(J$7,J$6,"Sdate=#1 Period=#2 NULL=BLANK",,$D53,"NTM"),J53)</f>
        <v>3.1571090554263601</v>
      </c>
      <c r="K53" s="963" cm="1">
        <f t="array" aca="1" ref="K53" ca="1">IF(Thomson=1,_xll.TR(K$7,K$6,"Sdate=#1 Period=#2 NULL=BLANK",,$D53,"NTM"),K53)</f>
        <v>1.40305486129671</v>
      </c>
      <c r="L53" s="963" cm="1">
        <f t="array" aca="1" ref="L53" ca="1">IF(Thomson=1,_xll.TR(L$7,L$6,"Sdate=#1 Period=#2 NULL=BLANK",,$D53,"NTM"),L53)</f>
        <v>3.6065297427093701</v>
      </c>
      <c r="M53" s="963" cm="1">
        <f t="array" aca="1" ref="M53" ca="1">IF(Thomson=1,_xll.TR(M$7,M$6,"Sdate=#1 Period=#2 NULL=BLANK",,$D53,"NTM"),M53)</f>
        <v>3.7188636077303601</v>
      </c>
      <c r="N53" s="963" cm="1">
        <f t="array" aca="1" ref="N53" ca="1">IF(Thomson=1,_xll.TR(N$7,N$6,"Sdate=#1 Period=#2 NULL=BLANK",,$D53,"NTM"),N53)</f>
        <v>6.0408351379215901</v>
      </c>
      <c r="O53" s="963" cm="1">
        <f t="array" aca="1" ref="O53" ca="1">IF(Thomson=1,_xll.TR(O$7,O$6,"Sdate=#1 Period=#2 NULL=BLANK",,$D53,"NTM"),O53)</f>
        <v>2.6118749019849501</v>
      </c>
      <c r="P53" s="963" cm="1">
        <f t="array" aca="1" ref="P53" ca="1">IF(Thomson=1,_xll.TR(P$7,P$6,"Sdate=#1 Period=#2 NULL=BLANK",,$D53,"NTM"),P53)</f>
        <v>2.7540939007241998</v>
      </c>
      <c r="Q53" s="963" cm="1">
        <f t="array" aca="1" ref="Q53" ca="1">IF(Thomson=1,_xll.TR(Q$7,Q$6,"Sdate=#1 Period=#2 NULL=BLANK",,$D53,"NTM"),Q53)</f>
        <v>1.49595086392317</v>
      </c>
    </row>
    <row r="54" spans="3:17">
      <c r="C54" s="972">
        <f t="shared" si="2"/>
        <v>44377</v>
      </c>
      <c r="D54" s="970">
        <f t="shared" si="1"/>
        <v>44422</v>
      </c>
      <c r="E54" s="963" cm="1">
        <f t="array" aca="1" ref="E54" ca="1">IF(Thomson=1,_xll.TR(E$7,E$6,"Sdate=#1 Period=#2 NULL=BLANK",,$D54,"NTM"),E54)</f>
        <v>2.0708785832382399</v>
      </c>
      <c r="F54" s="963" cm="1">
        <f t="array" aca="1" ref="F54" ca="1">IF(Thomson=1,_xll.TR(F$7,F$6,"Sdate=#1 Period=#2 NULL=BLANK",,$D54,"NTM"),F54)</f>
        <v>2.65275324520552</v>
      </c>
      <c r="G54" s="963" cm="1">
        <f t="array" aca="1" ref="G54" ca="1">IF(Thomson=1,_xll.TR(G$7,G$6,"Sdate=#1 Period=#2 NULL=BLANK",,$D54,"NTM"),G54)</f>
        <v>1.10397557600951</v>
      </c>
      <c r="H54" s="963" cm="1">
        <f t="array" aca="1" ref="H54" ca="1">IF(Thomson=1,_xll.TR(H$7,H$6,"Sdate=#1 Period=#2 NULL=BLANK",,$D54,"NTM"),H54)</f>
        <v>1.1679175540229101</v>
      </c>
      <c r="I54" s="963" cm="1">
        <f t="array" aca="1" ref="I54" ca="1">IF(Thomson=1,_xll.TR(I$7,I$6,"Sdate=#1 Period=#2 NULL=BLANK",,$D54,"NTM"),I54)</f>
        <v>1.1904153350256701</v>
      </c>
      <c r="J54" s="963" cm="1">
        <f t="array" aca="1" ref="J54" ca="1">IF(Thomson=1,_xll.TR(J$7,J$6,"Sdate=#1 Period=#2 NULL=BLANK",,$D54,"NTM"),J54)</f>
        <v>2.7876803914843298</v>
      </c>
      <c r="K54" s="963" cm="1">
        <f t="array" aca="1" ref="K54" ca="1">IF(Thomson=1,_xll.TR(K$7,K$6,"Sdate=#1 Period=#2 NULL=BLANK",,$D54,"NTM"),K54)</f>
        <v>1.21452994042125</v>
      </c>
      <c r="L54" s="963" cm="1">
        <f t="array" aca="1" ref="L54" ca="1">IF(Thomson=1,_xll.TR(L$7,L$6,"Sdate=#1 Period=#2 NULL=BLANK",,$D54,"NTM"),L54)</f>
        <v>2.9388672100132802</v>
      </c>
      <c r="M54" s="963" cm="1">
        <f t="array" aca="1" ref="M54" ca="1">IF(Thomson=1,_xll.TR(M$7,M$6,"Sdate=#1 Period=#2 NULL=BLANK",,$D54,"NTM"),M54)</f>
        <v>3.5628213695434301</v>
      </c>
      <c r="N54" s="963" cm="1">
        <f t="array" aca="1" ref="N54" ca="1">IF(Thomson=1,_xll.TR(N$7,N$6,"Sdate=#1 Period=#2 NULL=BLANK",,$D54,"NTM"),N54)</f>
        <v>8.0947206616120493</v>
      </c>
      <c r="O54" s="963" cm="1">
        <f t="array" aca="1" ref="O54" ca="1">IF(Thomson=1,_xll.TR(O$7,O$6,"Sdate=#1 Period=#2 NULL=BLANK",,$D54,"NTM"),O54)</f>
        <v>2.5412028011941601</v>
      </c>
      <c r="P54" s="963" cm="1">
        <f t="array" aca="1" ref="P54" ca="1">IF(Thomson=1,_xll.TR(P$7,P$6,"Sdate=#1 Period=#2 NULL=BLANK",,$D54,"NTM"),P54)</f>
        <v>2.56912199048136</v>
      </c>
      <c r="Q54" s="963" cm="1">
        <f t="array" aca="1" ref="Q54" ca="1">IF(Thomson=1,_xll.TR(Q$7,Q$6,"Sdate=#1 Period=#2 NULL=BLANK",,$D54,"NTM"),Q54)</f>
        <v>1.5252928819654199</v>
      </c>
    </row>
    <row r="55" spans="3:17">
      <c r="C55" s="973">
        <f t="shared" si="2"/>
        <v>44469</v>
      </c>
      <c r="D55" s="970">
        <f t="shared" si="1"/>
        <v>44514</v>
      </c>
      <c r="E55" s="963" cm="1">
        <f t="array" aca="1" ref="E55" ca="1">IF(Thomson=1,_xll.TR(E$7,E$6,"Sdate=#1 Period=#2 NULL=BLANK",,$D55,"NTM"),E55)</f>
        <v>2.05992212378779</v>
      </c>
      <c r="F55" s="963" cm="1">
        <f t="array" aca="1" ref="F55" ca="1">IF(Thomson=1,_xll.TR(F$7,F$6,"Sdate=#1 Period=#2 NULL=BLANK",,$D55,"NTM"),F55)</f>
        <v>2.5300303114869802</v>
      </c>
      <c r="G55" s="963" cm="1">
        <f t="array" aca="1" ref="G55" ca="1">IF(Thomson=1,_xll.TR(G$7,G$6,"Sdate=#1 Period=#2 NULL=BLANK",,$D55,"NTM"),G55)</f>
        <v>1.01304930650629</v>
      </c>
      <c r="H55" s="963" cm="1">
        <f t="array" aca="1" ref="H55" ca="1">IF(Thomson=1,_xll.TR(H$7,H$6,"Sdate=#1 Period=#2 NULL=BLANK",,$D55,"NTM"),H55)</f>
        <v>1.07389501539969</v>
      </c>
      <c r="I55" s="963" cm="1">
        <f t="array" aca="1" ref="I55" ca="1">IF(Thomson=1,_xll.TR(I$7,I$6,"Sdate=#1 Period=#2 NULL=BLANK",,$D55,"NTM"),I55)</f>
        <v>1.00248909951474</v>
      </c>
      <c r="J55" s="963" cm="1">
        <f t="array" aca="1" ref="J55" ca="1">IF(Thomson=1,_xll.TR(J$7,J$6,"Sdate=#1 Period=#2 NULL=BLANK",,$D55,"NTM"),J55)</f>
        <v>2.9793224365283399</v>
      </c>
      <c r="K55" s="963" cm="1">
        <f t="array" aca="1" ref="K55" ca="1">IF(Thomson=1,_xll.TR(K$7,K$6,"Sdate=#1 Period=#2 NULL=BLANK",,$D55,"NTM"),K55)</f>
        <v>1.3540926811799501</v>
      </c>
      <c r="L55" s="963" cm="1">
        <f t="array" aca="1" ref="L55" ca="1">IF(Thomson=1,_xll.TR(L$7,L$6,"Sdate=#1 Period=#2 NULL=BLANK",,$D55,"NTM"),L55)</f>
        <v>3.1189298813913902</v>
      </c>
      <c r="M55" s="963" cm="1">
        <f t="array" aca="1" ref="M55" ca="1">IF(Thomson=1,_xll.TR(M$7,M$6,"Sdate=#1 Period=#2 NULL=BLANK",,$D55,"NTM"),M55)</f>
        <v>3.2479348487214099</v>
      </c>
      <c r="N55" s="963" cm="1">
        <f t="array" aca="1" ref="N55" ca="1">IF(Thomson=1,_xll.TR(N$7,N$6,"Sdate=#1 Period=#2 NULL=BLANK",,$D55,"NTM"),N55)</f>
        <v>8.7028467168056292</v>
      </c>
      <c r="O55" s="963" cm="1">
        <f t="array" aca="1" ref="O55" ca="1">IF(Thomson=1,_xll.TR(O$7,O$6,"Sdate=#1 Period=#2 NULL=BLANK",,$D55,"NTM"),O55)</f>
        <v>3.1605830158388</v>
      </c>
      <c r="P55" s="963" cm="1">
        <f t="array" aca="1" ref="P55" ca="1">IF(Thomson=1,_xll.TR(P$7,P$6,"Sdate=#1 Period=#2 NULL=BLANK",,$D55,"NTM"),P55)</f>
        <v>2.4223725535290801</v>
      </c>
      <c r="Q55" s="963" cm="1">
        <f t="array" aca="1" ref="Q55" ca="1">IF(Thomson=1,_xll.TR(Q$7,Q$6,"Sdate=#1 Period=#2 NULL=BLANK",,$D55,"NTM"),Q55)</f>
        <v>1.32231308609174</v>
      </c>
    </row>
    <row r="56" spans="3:17">
      <c r="C56" s="969">
        <f t="shared" si="2"/>
        <v>44561</v>
      </c>
      <c r="D56" s="970">
        <f t="shared" si="1"/>
        <v>44606</v>
      </c>
      <c r="E56" s="963" cm="1">
        <f t="array" aca="1" ref="E56" ca="1">IF(Thomson=1,_xll.TR(E$7,E$6,"Sdate=#1 Period=#2 NULL=BLANK",,$D56,"NTM"),E56)</f>
        <v>1.9544078091166599</v>
      </c>
      <c r="F56" s="963" cm="1">
        <f t="array" aca="1" ref="F56" ca="1">IF(Thomson=1,_xll.TR(F$7,F$6,"Sdate=#1 Period=#2 NULL=BLANK",,$D56,"NTM"),F56)</f>
        <v>2.3811819637680798</v>
      </c>
      <c r="G56" s="963" cm="1">
        <f t="array" aca="1" ref="G56" ca="1">IF(Thomson=1,_xll.TR(G$7,G$6,"Sdate=#1 Period=#2 NULL=BLANK",,$D56,"NTM"),G56)</f>
        <v>1.0312932418532299</v>
      </c>
      <c r="H56" s="963" cm="1">
        <f t="array" aca="1" ref="H56" ca="1">IF(Thomson=1,_xll.TR(H$7,H$6,"Sdate=#1 Period=#2 NULL=BLANK",,$D56,"NTM"),H56)</f>
        <v>1.0376702803634399</v>
      </c>
      <c r="I56" s="963" cm="1">
        <f t="array" aca="1" ref="I56" ca="1">IF(Thomson=1,_xll.TR(I$7,I$6,"Sdate=#1 Period=#2 NULL=BLANK",,$D56,"NTM"),I56)</f>
        <v>0.98488479198226497</v>
      </c>
      <c r="J56" s="963" cm="1">
        <f t="array" aca="1" ref="J56" ca="1">IF(Thomson=1,_xll.TR(J$7,J$6,"Sdate=#1 Period=#2 NULL=BLANK",,$D56,"NTM"),J56)</f>
        <v>2.8089882636801198</v>
      </c>
      <c r="K56" s="963" cm="1">
        <f t="array" aca="1" ref="K56" ca="1">IF(Thomson=1,_xll.TR(K$7,K$6,"Sdate=#1 Period=#2 NULL=BLANK",,$D56,"NTM"),K56)</f>
        <v>1.2009703428079801</v>
      </c>
      <c r="L56" s="963" cm="1">
        <f t="array" aca="1" ref="L56" ca="1">IF(Thomson=1,_xll.TR(L$7,L$6,"Sdate=#1 Period=#2 NULL=BLANK",,$D56,"NTM"),L56)</f>
        <v>3.2356202825093399</v>
      </c>
      <c r="M56" s="963" cm="1">
        <f t="array" aca="1" ref="M56" ca="1">IF(Thomson=1,_xll.TR(M$7,M$6,"Sdate=#1 Period=#2 NULL=BLANK",,$D56,"NTM"),M56)</f>
        <v>2.8000185060857001</v>
      </c>
      <c r="N56" s="963" cm="1">
        <f t="array" aca="1" ref="N56" ca="1">IF(Thomson=1,_xll.TR(N$7,N$6,"Sdate=#1 Period=#2 NULL=BLANK",,$D56,"NTM"),N56)</f>
        <v>6.8708790129926003</v>
      </c>
      <c r="O56" s="963" cm="1">
        <f t="array" aca="1" ref="O56" ca="1">IF(Thomson=1,_xll.TR(O$7,O$6,"Sdate=#1 Period=#2 NULL=BLANK",,$D56,"NTM"),O56)</f>
        <v>3.0414744933929301</v>
      </c>
      <c r="P56" s="963" cm="1">
        <f t="array" aca="1" ref="P56" ca="1">IF(Thomson=1,_xll.TR(P$7,P$6,"Sdate=#1 Period=#2 NULL=BLANK",,$D56,"NTM"),P56)</f>
        <v>2.1947048743300202</v>
      </c>
      <c r="Q56" s="963" cm="1">
        <f t="array" aca="1" ref="Q56" ca="1">IF(Thomson=1,_xll.TR(Q$7,Q$6,"Sdate=#1 Period=#2 NULL=BLANK",,$D56,"NTM"),Q56)</f>
        <v>1.28772071111524</v>
      </c>
    </row>
    <row r="57" spans="3:17">
      <c r="C57" s="971">
        <f t="shared" si="2"/>
        <v>44651</v>
      </c>
      <c r="D57" s="970">
        <f t="shared" si="1"/>
        <v>44696</v>
      </c>
      <c r="E57" s="963" cm="1">
        <f t="array" aca="1" ref="E57" ca="1">IF(Thomson=1,_xll.TR(E$7,E$6,"Sdate=#1 Period=#2 NULL=BLANK",,$D57,"NTM"),E57)</f>
        <v>1.6737373056537701</v>
      </c>
      <c r="F57" s="963" cm="1">
        <f t="array" aca="1" ref="F57" ca="1">IF(Thomson=1,_xll.TR(F$7,F$6,"Sdate=#1 Period=#2 NULL=BLANK",,$D57,"NTM"),F57)</f>
        <v>2.0422061974105801</v>
      </c>
      <c r="G57" s="963" cm="1">
        <f t="array" aca="1" ref="G57" ca="1">IF(Thomson=1,_xll.TR(G$7,G$6,"Sdate=#1 Period=#2 NULL=BLANK",,$D57,"NTM"),G57)</f>
        <v>0.77032900254820602</v>
      </c>
      <c r="H57" s="963" cm="1">
        <f t="array" aca="1" ref="H57" ca="1">IF(Thomson=1,_xll.TR(H$7,H$6,"Sdate=#1 Period=#2 NULL=BLANK",,$D57,"NTM"),H57)</f>
        <v>1.0344396132368701</v>
      </c>
      <c r="I57" s="963" cm="1">
        <f t="array" aca="1" ref="I57" ca="1">IF(Thomson=1,_xll.TR(I$7,I$6,"Sdate=#1 Period=#2 NULL=BLANK",,$D57,"NTM"),I57)</f>
        <v>0.86649446870260405</v>
      </c>
      <c r="J57" s="963" cm="1">
        <f t="array" aca="1" ref="J57" ca="1">IF(Thomson=1,_xll.TR(J$7,J$6,"Sdate=#1 Period=#2 NULL=BLANK",,$D57,"NTM"),J57)</f>
        <v>3.0810196745515901</v>
      </c>
      <c r="K57" s="963" cm="1">
        <f t="array" aca="1" ref="K57" ca="1">IF(Thomson=1,_xll.TR(K$7,K$6,"Sdate=#1 Period=#2 NULL=BLANK",,$D57,"NTM"),K57)</f>
        <v>1.0668615481133401</v>
      </c>
      <c r="L57" s="963" cm="1">
        <f t="array" aca="1" ref="L57" ca="1">IF(Thomson=1,_xll.TR(L$7,L$6,"Sdate=#1 Period=#2 NULL=BLANK",,$D57,"NTM"),L57)</f>
        <v>3.2662118103152</v>
      </c>
      <c r="M57" s="963" cm="1">
        <f t="array" aca="1" ref="M57" ca="1">IF(Thomson=1,_xll.TR(M$7,M$6,"Sdate=#1 Period=#2 NULL=BLANK",,$D57,"NTM"),M57)</f>
        <v>2.7061962202910101</v>
      </c>
      <c r="N57" s="963" cm="1">
        <f t="array" aca="1" ref="N57" ca="1">IF(Thomson=1,_xll.TR(N$7,N$6,"Sdate=#1 Period=#2 NULL=BLANK",,$D57,"NTM"),N57)</f>
        <v>5.02559080304452</v>
      </c>
      <c r="O57" s="963" cm="1">
        <f t="array" aca="1" ref="O57" ca="1">IF(Thomson=1,_xll.TR(O$7,O$6,"Sdate=#1 Period=#2 NULL=BLANK",,$D57,"NTM"),O57)</f>
        <v>2.3540803830567101</v>
      </c>
      <c r="P57" s="963" cm="1">
        <f t="array" aca="1" ref="P57" ca="1">IF(Thomson=1,_xll.TR(P$7,P$6,"Sdate=#1 Period=#2 NULL=BLANK",,$D57,"NTM"),P57)</f>
        <v>1.8570781081946199</v>
      </c>
      <c r="Q57" s="963" cm="1">
        <f t="array" aca="1" ref="Q57" ca="1">IF(Thomson=1,_xll.TR(Q$7,Q$6,"Sdate=#1 Period=#2 NULL=BLANK",,$D57,"NTM"),Q57)</f>
        <v>1.0615523496439101</v>
      </c>
    </row>
    <row r="58" spans="3:17">
      <c r="C58" s="972">
        <f t="shared" si="2"/>
        <v>44742</v>
      </c>
      <c r="D58" s="970">
        <f t="shared" si="1"/>
        <v>44787</v>
      </c>
      <c r="E58" s="963" cm="1">
        <f t="array" aca="1" ref="E58" ca="1">IF(Thomson=1,_xll.TR(E$7,E$6,"Sdate=#1 Period=#2 NULL=BLANK",,$D58,"NTM"),E58)</f>
        <v>1.57819232268872</v>
      </c>
      <c r="F58" s="963" cm="1">
        <f t="array" aca="1" ref="F58" ca="1">IF(Thomson=1,_xll.TR(F$7,F$6,"Sdate=#1 Period=#2 NULL=BLANK",,$D58,"NTM"),F58)</f>
        <v>1.64453046904225</v>
      </c>
      <c r="G58" s="963" cm="1">
        <f t="array" aca="1" ref="G58" ca="1">IF(Thomson=1,_xll.TR(G$7,G$6,"Sdate=#1 Period=#2 NULL=BLANK",,$D58,"NTM"),G58)</f>
        <v>0.73322815972293398</v>
      </c>
      <c r="H58" s="963" cm="1">
        <f t="array" aca="1" ref="H58" ca="1">IF(Thomson=1,_xll.TR(H$7,H$6,"Sdate=#1 Period=#2 NULL=BLANK",,$D58,"NTM"),H58)</f>
        <v>0.90826498541404599</v>
      </c>
      <c r="I58" s="963" cm="1">
        <f t="array" aca="1" ref="I58" ca="1">IF(Thomson=1,_xll.TR(I$7,I$6,"Sdate=#1 Period=#2 NULL=BLANK",,$D58,"NTM"),I58)</f>
        <v>0.77406820619138605</v>
      </c>
      <c r="J58" s="963" cm="1">
        <f t="array" aca="1" ref="J58" ca="1">IF(Thomson=1,_xll.TR(J$7,J$6,"Sdate=#1 Period=#2 NULL=BLANK",,$D58,"NTM"),J58)</f>
        <v>3.0679175510063601</v>
      </c>
      <c r="K58" s="963" cm="1">
        <f t="array" aca="1" ref="K58" ca="1">IF(Thomson=1,_xll.TR(K$7,K$6,"Sdate=#1 Period=#2 NULL=BLANK",,$D58,"NTM"),K58)</f>
        <v>1.0903476962179399</v>
      </c>
      <c r="L58" s="963" cm="1">
        <f t="array" aca="1" ref="L58" ca="1">IF(Thomson=1,_xll.TR(L$7,L$6,"Sdate=#1 Period=#2 NULL=BLANK",,$D58,"NTM"),L58)</f>
        <v>2.9984291833764698</v>
      </c>
      <c r="M58" s="963" cm="1">
        <f t="array" aca="1" ref="M58" ca="1">IF(Thomson=1,_xll.TR(M$7,M$6,"Sdate=#1 Period=#2 NULL=BLANK",,$D58,"NTM"),M58)</f>
        <v>2.8229639120065899</v>
      </c>
      <c r="N58" s="963" cm="1">
        <f t="array" aca="1" ref="N58" ca="1">IF(Thomson=1,_xll.TR(N$7,N$6,"Sdate=#1 Period=#2 NULL=BLANK",,$D58,"NTM"),N58)</f>
        <v>4.3084048668549704</v>
      </c>
      <c r="O58" s="963" cm="1">
        <f t="array" aca="1" ref="O58" ca="1">IF(Thomson=1,_xll.TR(O$7,O$6,"Sdate=#1 Period=#2 NULL=BLANK",,$D58,"NTM"),O58)</f>
        <v>2.5983484511581998</v>
      </c>
      <c r="P58" s="963" cm="1">
        <f t="array" aca="1" ref="P58" ca="1">IF(Thomson=1,_xll.TR(P$7,P$6,"Sdate=#1 Period=#2 NULL=BLANK",,$D58,"NTM"),P58)</f>
        <v>2.0374899213914501</v>
      </c>
      <c r="Q58" s="963" cm="1">
        <f t="array" aca="1" ref="Q58" ca="1">IF(Thomson=1,_xll.TR(Q$7,Q$6,"Sdate=#1 Period=#2 NULL=BLANK",,$D58,"NTM"),Q58)</f>
        <v>0.98862882129054297</v>
      </c>
    </row>
    <row r="59" spans="3:17">
      <c r="C59" s="973">
        <f t="shared" si="2"/>
        <v>44834</v>
      </c>
      <c r="D59" s="970">
        <f t="shared" si="1"/>
        <v>44879</v>
      </c>
      <c r="E59" s="963" cm="1">
        <f t="array" aca="1" ref="E59" ca="1">IF(Thomson=1,_xll.TR(E$7,E$6,"Sdate=#1 Period=#2 NULL=BLANK",,$D59,"NTM"),E59)</f>
        <v>1.47226683384278</v>
      </c>
      <c r="F59" s="963" cm="1">
        <f t="array" aca="1" ref="F59" ca="1">IF(Thomson=1,_xll.TR(F$7,F$6,"Sdate=#1 Period=#2 NULL=BLANK",,$D59,"NTM"),F59)</f>
        <v>1.20499922393449</v>
      </c>
      <c r="G59" s="963" cm="1">
        <f t="array" aca="1" ref="G59" ca="1">IF(Thomson=1,_xll.TR(G$7,G$6,"Sdate=#1 Period=#2 NULL=BLANK",,$D59,"NTM"),G59)</f>
        <v>0.81307421484534803</v>
      </c>
      <c r="H59" s="963" cm="1">
        <f t="array" aca="1" ref="H59" ca="1">IF(Thomson=1,_xll.TR(H$7,H$6,"Sdate=#1 Period=#2 NULL=BLANK",,$D59,"NTM"),H59)</f>
        <v>0.922182157251489</v>
      </c>
      <c r="I59" s="963" cm="1">
        <f t="array" aca="1" ref="I59" ca="1">IF(Thomson=1,_xll.TR(I$7,I$6,"Sdate=#1 Period=#2 NULL=BLANK",,$D59,"NTM"),I59)</f>
        <v>0.80636840801885101</v>
      </c>
      <c r="J59" s="963" cm="1">
        <f t="array" aca="1" ref="J59" ca="1">IF(Thomson=1,_xll.TR(J$7,J$6,"Sdate=#1 Period=#2 NULL=BLANK",,$D59,"NTM"),J59)</f>
        <v>3.5238524284928898</v>
      </c>
      <c r="K59" s="963" cm="1">
        <f t="array" aca="1" ref="K59" ca="1">IF(Thomson=1,_xll.TR(K$7,K$6,"Sdate=#1 Period=#2 NULL=BLANK",,$D59,"NTM"),K59)</f>
        <v>1.60041331310608</v>
      </c>
      <c r="L59" s="963" cm="1">
        <f t="array" aca="1" ref="L59" ca="1">IF(Thomson=1,_xll.TR(L$7,L$6,"Sdate=#1 Period=#2 NULL=BLANK",,$D59,"NTM"),L59)</f>
        <v>3.2131199021801602</v>
      </c>
      <c r="M59" s="963" cm="1">
        <f t="array" aca="1" ref="M59" ca="1">IF(Thomson=1,_xll.TR(M$7,M$6,"Sdate=#1 Period=#2 NULL=BLANK",,$D59,"NTM"),M59)</f>
        <v>2.48910934154874</v>
      </c>
      <c r="N59" s="963" cm="1">
        <f t="array" aca="1" ref="N59" ca="1">IF(Thomson=1,_xll.TR(N$7,N$6,"Sdate=#1 Period=#2 NULL=BLANK",,$D59,"NTM"),N59)</f>
        <v>3.99075724354477</v>
      </c>
      <c r="O59" s="963" cm="1">
        <f t="array" aca="1" ref="O59" ca="1">IF(Thomson=1,_xll.TR(O$7,O$6,"Sdate=#1 Period=#2 NULL=BLANK",,$D59,"NTM"),O59)</f>
        <v>2.5913966360918002</v>
      </c>
      <c r="P59" s="963" cm="1">
        <f t="array" aca="1" ref="P59" ca="1">IF(Thomson=1,_xll.TR(P$7,P$6,"Sdate=#1 Period=#2 NULL=BLANK",,$D59,"NTM"),P59)</f>
        <v>2.04017472479527</v>
      </c>
      <c r="Q59" s="963" cm="1">
        <f t="array" aca="1" ref="Q59" ca="1">IF(Thomson=1,_xll.TR(Q$7,Q$6,"Sdate=#1 Period=#2 NULL=BLANK",,$D59,"NTM"),Q59)</f>
        <v>1.0024185192281301</v>
      </c>
    </row>
    <row r="60" spans="3:17">
      <c r="C60" s="969">
        <f t="shared" si="2"/>
        <v>44926</v>
      </c>
      <c r="D60" s="974">
        <f>+C60+72</f>
        <v>44998</v>
      </c>
      <c r="E60" s="963" cm="1">
        <f t="array" aca="1" ref="E60" ca="1">IF(Thomson=1,_xll.TR(E$7,E$6,"Sdate=#1 Period=#2 NULL=BLANK",,$D60,"NTM"),E60)</f>
        <v>1.3543771159729301</v>
      </c>
      <c r="F60" s="963" cm="1">
        <f t="array" aca="1" ref="F60" ca="1">IF(Thomson=1,_xll.TR(F$7,F$6,"Sdate=#1 Period=#2 NULL=BLANK",,$D60,"NTM"),F60)</f>
        <v>2.0899132821831801</v>
      </c>
      <c r="G60" s="963" cm="1">
        <f t="array" aca="1" ref="G60" ca="1">IF(Thomson=1,_xll.TR(G$7,G$6,"Sdate=#1 Period=#2 NULL=BLANK",,$D60,"NTM"),G60)</f>
        <v>0.71851637309153105</v>
      </c>
      <c r="H60" s="963" cm="1">
        <f t="array" aca="1" ref="H60" ca="1">IF(Thomson=1,_xll.TR(H$7,H$6,"Sdate=#1 Period=#2 NULL=BLANK",,$D60,"NTM"),H60)</f>
        <v>0.96962522135977003</v>
      </c>
      <c r="I60" s="963" cm="1">
        <f t="array" aca="1" ref="I60" ca="1">IF(Thomson=1,_xll.TR(I$7,I$6,"Sdate=#1 Period=#2 NULL=BLANK",,$D60,"NTM"),I60)</f>
        <v>0.86845662687404501</v>
      </c>
      <c r="J60" s="963" cm="1">
        <f t="array" aca="1" ref="J60" ca="1">IF(Thomson=1,_xll.TR(J$7,J$6,"Sdate=#1 Period=#2 NULL=BLANK",,$D60,"NTM"),J60)</f>
        <v>2.7668258194948501</v>
      </c>
      <c r="K60" s="963" cm="1">
        <f t="array" aca="1" ref="K60" ca="1">IF(Thomson=1,_xll.TR(K$7,K$6,"Sdate=#1 Period=#2 NULL=BLANK",,$D60,"NTM"),K60)</f>
        <v>1.4442485126165201</v>
      </c>
      <c r="L60" s="963" cm="1">
        <f t="array" aca="1" ref="L60" ca="1">IF(Thomson=1,_xll.TR(L$7,L$6,"Sdate=#1 Period=#2 NULL=BLANK",,$D60,"NTM"),L60)</f>
        <v>2.8396891912348101</v>
      </c>
      <c r="M60" s="963" cm="1">
        <f t="array" aca="1" ref="M60" ca="1">IF(Thomson=1,_xll.TR(M$7,M$6,"Sdate=#1 Period=#2 NULL=BLANK",,$D60,"NTM"),M60)</f>
        <v>2.15196054913218</v>
      </c>
      <c r="N60" s="963" cm="1">
        <f t="array" aca="1" ref="N60" ca="1">IF(Thomson=1,_xll.TR(N$7,N$6,"Sdate=#1 Period=#2 NULL=BLANK",,$D60,"NTM"),N60)</f>
        <v>2.3913751565347399</v>
      </c>
      <c r="O60" s="963" cm="1">
        <f t="array" aca="1" ref="O60" ca="1">IF(Thomson=1,_xll.TR(O$7,O$6,"Sdate=#1 Period=#2 NULL=BLANK",,$D60,"NTM"),O60)</f>
        <v>2.28555051819471</v>
      </c>
      <c r="P60" s="963" cm="1">
        <f t="array" aca="1" ref="P60" ca="1">IF(Thomson=1,_xll.TR(P$7,P$6,"Sdate=#1 Period=#2 NULL=BLANK",,$D60,"NTM"),P60)</f>
        <v>1.9217915661637299</v>
      </c>
      <c r="Q60" s="963" cm="1">
        <f t="array" aca="1" ref="Q60" ca="1">IF(Thomson=1,_xll.TR(Q$7,Q$6,"Sdate=#1 Period=#2 NULL=BLANK",,$D60,"NTM"),Q60)</f>
        <v>0.99174953063067905</v>
      </c>
    </row>
    <row r="61" spans="3:17">
      <c r="C61" s="972"/>
      <c r="D61" s="970"/>
    </row>
    <row r="62" spans="3:17">
      <c r="C62" s="973"/>
      <c r="D62" s="970"/>
    </row>
    <row r="63" spans="3:17">
      <c r="C63" s="969"/>
      <c r="D63" s="970"/>
    </row>
    <row r="64" spans="3:17">
      <c r="C64" s="971"/>
      <c r="D64" s="970"/>
    </row>
    <row r="65" spans="1:17">
      <c r="C65" s="972"/>
      <c r="D65" s="970"/>
    </row>
    <row r="66" spans="1:17">
      <c r="C66" s="973"/>
      <c r="D66" s="975"/>
    </row>
    <row r="67" spans="1:17">
      <c r="C67" s="969"/>
      <c r="D67" s="975"/>
    </row>
    <row r="68" spans="1:17">
      <c r="C68" s="973"/>
      <c r="D68" s="975"/>
    </row>
    <row r="69" spans="1:17">
      <c r="C69" s="973"/>
      <c r="D69" s="975"/>
    </row>
    <row r="70" spans="1:17" s="767" customFormat="1">
      <c r="A70" s="961"/>
      <c r="B70" s="961"/>
      <c r="C70" s="976"/>
      <c r="D70" s="977"/>
      <c r="E70" s="985"/>
      <c r="F70" s="985"/>
      <c r="G70" s="985"/>
      <c r="H70" s="985"/>
      <c r="I70" s="985"/>
      <c r="J70" s="985"/>
      <c r="K70" s="985"/>
      <c r="L70" s="985"/>
      <c r="M70" s="985"/>
      <c r="N70" s="985"/>
      <c r="O70" s="985"/>
      <c r="P70" s="985"/>
      <c r="Q70" s="985"/>
    </row>
    <row r="71" spans="1:17" s="767" customFormat="1">
      <c r="A71" s="961"/>
      <c r="B71" s="961"/>
      <c r="C71" s="976"/>
      <c r="D71" s="977"/>
      <c r="E71" s="986"/>
      <c r="F71" s="985"/>
      <c r="G71" s="985"/>
      <c r="H71" s="985"/>
      <c r="I71" s="985"/>
      <c r="J71" s="985"/>
      <c r="K71" s="985"/>
      <c r="L71" s="985"/>
      <c r="M71" s="985"/>
      <c r="N71" s="985"/>
      <c r="O71" s="985"/>
      <c r="P71" s="985"/>
      <c r="Q71" s="985"/>
    </row>
    <row r="72" spans="1:17" s="767" customFormat="1">
      <c r="A72" s="961"/>
      <c r="B72" s="961"/>
      <c r="C72" s="976"/>
      <c r="D72" s="977"/>
      <c r="E72" s="987"/>
      <c r="F72" s="985"/>
      <c r="G72" s="985"/>
      <c r="H72" s="985"/>
      <c r="I72" s="985"/>
      <c r="J72" s="985"/>
      <c r="K72" s="985"/>
      <c r="L72" s="985"/>
      <c r="M72" s="985"/>
      <c r="N72" s="985"/>
      <c r="O72" s="985"/>
      <c r="P72" s="985"/>
      <c r="Q72" s="985"/>
    </row>
    <row r="73" spans="1:17">
      <c r="C73" s="973"/>
      <c r="D73" s="970"/>
    </row>
    <row r="74" spans="1:17">
      <c r="C74" s="973"/>
      <c r="D74" s="970"/>
      <c r="F74" s="988"/>
    </row>
    <row r="75" spans="1:17" s="767" customFormat="1">
      <c r="A75" s="961"/>
      <c r="B75" s="961"/>
      <c r="C75" s="976"/>
      <c r="D75" s="978"/>
      <c r="E75" s="985"/>
      <c r="F75" s="989"/>
      <c r="G75" s="985"/>
      <c r="H75" s="985"/>
      <c r="I75" s="985"/>
      <c r="J75" s="985"/>
      <c r="K75" s="985"/>
      <c r="L75" s="985"/>
      <c r="M75" s="986"/>
      <c r="N75" s="986"/>
      <c r="O75" s="986"/>
      <c r="P75" s="986"/>
      <c r="Q75" s="986"/>
    </row>
    <row r="76" spans="1:17">
      <c r="C76" s="973"/>
      <c r="D76" s="970"/>
      <c r="F76" s="988"/>
    </row>
    <row r="77" spans="1:17">
      <c r="C77" s="973"/>
      <c r="D77" s="970"/>
    </row>
    <row r="78" spans="1:17">
      <c r="C78" s="973"/>
      <c r="D78" s="970"/>
    </row>
    <row r="79" spans="1:17">
      <c r="C79" s="973"/>
      <c r="D79" s="970"/>
    </row>
    <row r="80" spans="1:17">
      <c r="C80" s="973"/>
      <c r="D80" s="970"/>
    </row>
    <row r="81" spans="3:4">
      <c r="C81" s="973"/>
      <c r="D81" s="970"/>
    </row>
    <row r="82" spans="3:4">
      <c r="C82" s="973"/>
      <c r="D82" s="970"/>
    </row>
    <row r="83" spans="3:4">
      <c r="C83" s="973"/>
      <c r="D83" s="970"/>
    </row>
    <row r="84" spans="3:4">
      <c r="C84" s="973"/>
      <c r="D84" s="970"/>
    </row>
    <row r="85" spans="3:4">
      <c r="C85" s="973"/>
      <c r="D85" s="970"/>
    </row>
    <row r="86" spans="3:4">
      <c r="C86" s="973"/>
      <c r="D86" s="970"/>
    </row>
    <row r="87" spans="3:4">
      <c r="C87" s="973"/>
      <c r="D87" s="970"/>
    </row>
    <row r="88" spans="3:4">
      <c r="C88" s="973"/>
      <c r="D88" s="970"/>
    </row>
  </sheetData>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CBF5-4E52-415B-8D30-D9934FB2013C}">
  <sheetPr codeName="Sheet27">
    <tabColor theme="9" tint="0.79998168889431442"/>
  </sheetPr>
  <dimension ref="A1:Q64"/>
  <sheetViews>
    <sheetView showGridLines="0" topLeftCell="A72" zoomScaleNormal="100" workbookViewId="0">
      <selection activeCell="T73" sqref="T73"/>
    </sheetView>
  </sheetViews>
  <sheetFormatPr defaultColWidth="8.796875" defaultRowHeight="10.5"/>
  <cols>
    <col min="1" max="15" width="8.796875" style="762"/>
    <col min="16" max="16" width="3.53125" style="762" customWidth="1"/>
    <col min="17" max="16384" width="8.796875" style="762"/>
  </cols>
  <sheetData>
    <row r="1" spans="1:1">
      <c r="A1" s="770" t="str">
        <f>'Forward EV Revenue'!A1</f>
        <v>1 Yr Forward Multiples</v>
      </c>
    </row>
    <row r="2" spans="1:1">
      <c r="A2" s="767" t="str">
        <f>'Forward EV Revenue'!A2</f>
        <v>Forward EV Revenue</v>
      </c>
    </row>
    <row r="60" spans="17:17">
      <c r="Q60" s="767"/>
    </row>
    <row r="61" spans="17:17">
      <c r="Q61" s="767"/>
    </row>
    <row r="62" spans="17:17">
      <c r="Q62" s="767"/>
    </row>
    <row r="63" spans="17:17">
      <c r="Q63" s="767"/>
    </row>
    <row r="64" spans="17:17">
      <c r="Q64" s="781"/>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0FC91-8032-460D-B66F-6DB0336C7CC1}">
  <sheetPr codeName="Sheet28">
    <tabColor theme="9" tint="0.79998168889431442"/>
  </sheetPr>
  <dimension ref="A1:O67"/>
  <sheetViews>
    <sheetView showGridLines="0" zoomScaleNormal="100" workbookViewId="0">
      <pane xSplit="4" ySplit="11" topLeftCell="E12" activePane="bottomRight" state="frozen"/>
      <selection activeCell="B18" sqref="B18"/>
      <selection pane="topRight" activeCell="B18" sqref="B18"/>
      <selection pane="bottomLeft" activeCell="B18" sqref="B18"/>
      <selection pane="bottomRight" activeCell="E12" sqref="E12"/>
    </sheetView>
  </sheetViews>
  <sheetFormatPr defaultColWidth="11.53125" defaultRowHeight="10.5" outlineLevelRow="1" outlineLevelCol="1"/>
  <cols>
    <col min="1" max="2" width="1.46484375" style="960" customWidth="1"/>
    <col min="3" max="3" width="8.796875" style="960" bestFit="1" customWidth="1"/>
    <col min="4" max="4" width="9.46484375" style="960" customWidth="1" outlineLevel="1"/>
    <col min="5" max="10" width="11.53125" style="963" customWidth="1"/>
    <col min="11" max="13" width="11.53125" style="963" customWidth="1" outlineLevel="1"/>
    <col min="14" max="15" width="11.53125" style="963" outlineLevel="1"/>
    <col min="16" max="16384" width="11.53125" style="762"/>
  </cols>
  <sheetData>
    <row r="1" spans="1:15" ht="11.25" customHeight="1">
      <c r="A1" s="959" t="s">
        <v>1151</v>
      </c>
      <c r="E1" s="960"/>
      <c r="F1" s="960"/>
      <c r="G1" s="960"/>
      <c r="H1" s="960"/>
      <c r="I1" s="960"/>
      <c r="J1" s="960"/>
      <c r="K1" s="960"/>
      <c r="L1" s="960"/>
      <c r="M1" s="960"/>
      <c r="N1" s="960"/>
      <c r="O1" s="960"/>
    </row>
    <row r="2" spans="1:15" ht="11.25" customHeight="1">
      <c r="A2" s="961" t="s">
        <v>1351</v>
      </c>
      <c r="E2" s="960"/>
      <c r="F2" s="960"/>
      <c r="G2" s="960"/>
      <c r="H2" s="960"/>
      <c r="I2" s="960"/>
      <c r="J2" s="960"/>
      <c r="K2" s="960"/>
      <c r="L2" s="960"/>
      <c r="M2" s="960"/>
      <c r="N2" s="960"/>
      <c r="O2" s="960"/>
    </row>
    <row r="3" spans="1:15" ht="11.25" customHeight="1">
      <c r="E3" s="962" t="s">
        <v>925</v>
      </c>
      <c r="F3" s="960"/>
      <c r="H3" s="960"/>
      <c r="I3" s="960"/>
      <c r="J3" s="960"/>
      <c r="K3" s="960"/>
      <c r="L3" s="960"/>
      <c r="M3" s="960"/>
      <c r="N3" s="960"/>
      <c r="O3" s="960"/>
    </row>
    <row r="4" spans="1:15" ht="11.25" customHeight="1">
      <c r="E4" s="962" t="s">
        <v>1153</v>
      </c>
      <c r="F4" s="960"/>
      <c r="H4" s="960"/>
      <c r="I4" s="960"/>
      <c r="J4" s="960"/>
      <c r="K4" s="960"/>
      <c r="L4" s="960"/>
      <c r="M4" s="960"/>
      <c r="N4" s="960"/>
      <c r="O4" s="960"/>
    </row>
    <row r="5" spans="1:15" ht="11.25" customHeight="1">
      <c r="E5" s="960"/>
      <c r="F5" s="960"/>
      <c r="G5" s="960"/>
      <c r="H5" s="960"/>
      <c r="I5" s="960"/>
      <c r="J5" s="960"/>
      <c r="K5" s="960"/>
      <c r="L5" s="960"/>
      <c r="M5" s="960"/>
      <c r="N5" s="960"/>
      <c r="O5" s="960"/>
    </row>
    <row r="6" spans="1:15" s="767" customFormat="1" outlineLevel="1">
      <c r="A6" s="961"/>
      <c r="B6" s="961"/>
      <c r="C6" s="961"/>
      <c r="D6" s="964" t="s">
        <v>1154</v>
      </c>
      <c r="E6" s="961" t="s">
        <v>1352</v>
      </c>
      <c r="F6" s="961" t="s">
        <v>1352</v>
      </c>
      <c r="G6" s="961" t="s">
        <v>1352</v>
      </c>
      <c r="H6" s="961" t="s">
        <v>1352</v>
      </c>
      <c r="I6" s="961" t="s">
        <v>1352</v>
      </c>
      <c r="J6" s="961" t="s">
        <v>1352</v>
      </c>
      <c r="K6" s="961" t="s">
        <v>1352</v>
      </c>
      <c r="L6" s="961" t="s">
        <v>1352</v>
      </c>
      <c r="M6" s="961" t="s">
        <v>1352</v>
      </c>
      <c r="N6" s="961" t="s">
        <v>1352</v>
      </c>
      <c r="O6" s="961" t="s">
        <v>1352</v>
      </c>
    </row>
    <row r="7" spans="1:15" s="767" customFormat="1" outlineLevel="1">
      <c r="A7" s="961"/>
      <c r="B7" s="961"/>
      <c r="C7" s="961"/>
      <c r="D7" s="964" t="s">
        <v>623</v>
      </c>
      <c r="E7" s="768" t="s">
        <v>637</v>
      </c>
      <c r="F7" s="768" t="s">
        <v>1194</v>
      </c>
      <c r="G7" s="768" t="s">
        <v>1197</v>
      </c>
      <c r="H7" s="768" t="s">
        <v>1156</v>
      </c>
      <c r="I7" s="768" t="s">
        <v>1157</v>
      </c>
      <c r="J7" s="768" t="s">
        <v>1362</v>
      </c>
      <c r="K7" s="768" t="s">
        <v>1363</v>
      </c>
      <c r="L7" s="768" t="s">
        <v>1364</v>
      </c>
      <c r="M7" s="961" t="s">
        <v>1365</v>
      </c>
      <c r="N7" s="961" t="s">
        <v>1196</v>
      </c>
      <c r="O7" s="961" t="s">
        <v>1195</v>
      </c>
    </row>
    <row r="8" spans="1:15" ht="11.25" customHeight="1">
      <c r="E8" s="959"/>
      <c r="F8" s="959"/>
      <c r="G8" s="959"/>
      <c r="H8" s="959"/>
      <c r="I8" s="959"/>
      <c r="J8" s="959"/>
      <c r="K8" s="959"/>
      <c r="L8" s="959"/>
      <c r="M8" s="959"/>
      <c r="N8" s="959"/>
      <c r="O8" s="959"/>
    </row>
    <row r="9" spans="1:15" s="770" customFormat="1" ht="11.25" customHeight="1">
      <c r="A9" s="959"/>
      <c r="B9" s="959"/>
      <c r="C9" s="959"/>
      <c r="D9" s="959"/>
      <c r="E9" s="965" t="s">
        <v>1158</v>
      </c>
      <c r="F9" s="965"/>
      <c r="G9" s="965"/>
      <c r="H9" s="965"/>
      <c r="I9" s="965"/>
      <c r="J9" s="965"/>
      <c r="K9" s="965"/>
      <c r="L9" s="965"/>
      <c r="M9" s="965"/>
      <c r="N9" s="965"/>
      <c r="O9" s="965"/>
    </row>
    <row r="10" spans="1:15" ht="5.2" customHeight="1">
      <c r="E10" s="966"/>
      <c r="F10" s="967"/>
      <c r="G10" s="960"/>
      <c r="H10" s="960"/>
      <c r="I10" s="960"/>
      <c r="J10" s="960"/>
      <c r="K10" s="960"/>
      <c r="L10" s="960"/>
      <c r="M10" s="960"/>
      <c r="N10" s="960"/>
      <c r="O10" s="960"/>
    </row>
    <row r="11" spans="1:15" ht="20.25">
      <c r="A11" s="968"/>
      <c r="B11" s="968"/>
      <c r="C11" s="774" t="s">
        <v>579</v>
      </c>
      <c r="D11" s="774" t="s">
        <v>1159</v>
      </c>
      <c r="E11" s="774" t="str" cm="1">
        <f t="array" aca="1" ref="E11" ca="1">IF(Thomson=1,_xll.TR(E7,"TR.CommonName"),E11)</f>
        <v>Eastman Chemical Co</v>
      </c>
      <c r="F11" s="774" t="str" cm="1">
        <f t="array" aca="1" ref="F11" ca="1">IF(Thomson=1,_xll.TR(F7,"TR.CommonName"),F11)</f>
        <v>Celanese Corp</v>
      </c>
      <c r="G11" s="774" t="str" cm="1">
        <f t="array" aca="1" ref="G11" ca="1">IF(Thomson=1,_xll.TR(G7,"TR.CommonName"),G11)</f>
        <v>BASF SE</v>
      </c>
      <c r="H11" s="774" t="str" cm="1">
        <f t="array" aca="1" ref="H11" ca="1">IF(Thomson=1,_xll.TR(H7,"TR.CommonName"),H11)</f>
        <v>Dow Inc</v>
      </c>
      <c r="I11" s="774" t="str" cm="1">
        <f t="array" aca="1" ref="I11" ca="1">IF(Thomson=1,_xll.TR(I7,"TR.CommonName"),I11)</f>
        <v>LyondellBasell Industries NV</v>
      </c>
      <c r="J11" s="774" t="str" cm="1">
        <f t="array" aca="1" ref="J11" ca="1">IF(Thomson=1,_xll.TR(J7,"TR.CommonName"),J11)</f>
        <v>Dupont De Nemours Inc</v>
      </c>
      <c r="K11" s="774" t="str" cm="1">
        <f t="array" aca="1" ref="K11" ca="1">IF(Thomson=1,_xll.TR(K7,"TR.CommonName"),K11)</f>
        <v>Avient Corp</v>
      </c>
      <c r="L11" s="774" t="str" cm="1">
        <f t="array" aca="1" ref="L11" ca="1">IF(Thomson=1,_xll.TR(L7,"TR.CommonName"),L11)</f>
        <v>Olin Corp</v>
      </c>
      <c r="M11" s="774" t="str" cm="1">
        <f t="array" aca="1" ref="M11" ca="1">IF(Thomson=1,_xll.TR(M7,"TR.CommonName"),M11)</f>
        <v>Westlake Corp</v>
      </c>
      <c r="N11" s="774" t="str" cm="1">
        <f t="array" aca="1" ref="N11" ca="1">IF(Thomson=1,_xll.TR(N7,"TR.CommonName"),N11)</f>
        <v>Evonik Industries AG</v>
      </c>
      <c r="O11" s="774" t="str" cm="1">
        <f t="array" aca="1" ref="O11" ca="1">IF(Thomson=1,_xll.TR(O7,"TR.CommonName"),O11)</f>
        <v>Huntsman Corp</v>
      </c>
    </row>
    <row r="12" spans="1:15" ht="5.2" customHeight="1">
      <c r="A12" s="762"/>
      <c r="B12" s="762"/>
      <c r="C12" s="762"/>
      <c r="D12" s="762"/>
      <c r="E12" s="762"/>
      <c r="F12" s="762"/>
      <c r="G12" s="762"/>
      <c r="H12" s="762"/>
      <c r="I12" s="762"/>
      <c r="J12" s="762"/>
      <c r="K12" s="762"/>
      <c r="L12" s="762"/>
      <c r="M12" s="762"/>
      <c r="N12" s="762"/>
      <c r="O12" s="762"/>
    </row>
    <row r="13" spans="1:15" ht="11.25" customHeight="1" outlineLevel="1">
      <c r="A13" s="762"/>
      <c r="B13" s="762"/>
      <c r="C13" s="762" t="s">
        <v>1160</v>
      </c>
      <c r="D13" s="762"/>
      <c r="E13" s="775">
        <v>1</v>
      </c>
      <c r="F13" s="775">
        <v>1</v>
      </c>
      <c r="G13" s="775">
        <v>1</v>
      </c>
      <c r="H13" s="775">
        <v>1</v>
      </c>
      <c r="I13" s="775">
        <v>1</v>
      </c>
      <c r="J13" s="775">
        <v>1</v>
      </c>
      <c r="K13" s="775">
        <v>1</v>
      </c>
      <c r="L13" s="775">
        <v>1</v>
      </c>
      <c r="M13" s="775">
        <v>1</v>
      </c>
      <c r="N13" s="775">
        <v>1</v>
      </c>
      <c r="O13" s="775">
        <v>1</v>
      </c>
    </row>
    <row r="14" spans="1:15" ht="11.25" customHeight="1" outlineLevel="1">
      <c r="A14" s="762"/>
      <c r="B14" s="762"/>
      <c r="C14" s="762" t="s">
        <v>1161</v>
      </c>
      <c r="D14" s="762"/>
      <c r="E14" s="775">
        <v>30</v>
      </c>
      <c r="F14" s="775">
        <v>30</v>
      </c>
      <c r="G14" s="775">
        <v>30</v>
      </c>
      <c r="H14" s="775">
        <v>30</v>
      </c>
      <c r="I14" s="775">
        <v>30</v>
      </c>
      <c r="J14" s="775">
        <v>30</v>
      </c>
      <c r="K14" s="775">
        <v>30</v>
      </c>
      <c r="L14" s="775">
        <v>30</v>
      </c>
      <c r="M14" s="775">
        <v>30</v>
      </c>
      <c r="N14" s="775">
        <v>30</v>
      </c>
      <c r="O14" s="775">
        <v>30</v>
      </c>
    </row>
    <row r="15" spans="1:15" ht="11.25" customHeight="1">
      <c r="A15" s="762"/>
      <c r="B15" s="762"/>
      <c r="C15" s="762"/>
      <c r="D15" s="762"/>
      <c r="E15" s="762"/>
      <c r="F15" s="762"/>
      <c r="G15" s="762"/>
      <c r="H15" s="762"/>
      <c r="I15" s="762"/>
      <c r="J15" s="762"/>
      <c r="K15" s="762"/>
      <c r="L15" s="762"/>
      <c r="M15" s="762"/>
      <c r="N15" s="762"/>
      <c r="O15" s="762"/>
    </row>
    <row r="16" spans="1:15" s="770" customFormat="1" ht="11.25" customHeight="1">
      <c r="C16" s="776" t="s">
        <v>482</v>
      </c>
      <c r="E16" s="777">
        <f t="shared" ref="E16:K16" ca="1" si="0">+AVERAGEIFS(E20:E67,E20:E67,"&lt;"&amp;E$14,E20:E67,"&gt;"&amp;E$13)</f>
        <v>10.789720250682924</v>
      </c>
      <c r="F16" s="777">
        <f t="shared" ca="1" si="0"/>
        <v>10.696379539390241</v>
      </c>
      <c r="G16" s="777">
        <f t="shared" ca="1" si="0"/>
        <v>13.317640079146333</v>
      </c>
      <c r="H16" s="777">
        <f t="shared" ca="1" si="0"/>
        <v>13.430132722687501</v>
      </c>
      <c r="I16" s="777">
        <f t="shared" ca="1" si="0"/>
        <v>8.7291803540975579</v>
      </c>
      <c r="J16" s="777">
        <f t="shared" ca="1" si="0"/>
        <v>14.1686584905</v>
      </c>
      <c r="K16" s="777">
        <f t="shared" ca="1" si="0"/>
        <v>15.695061357926825</v>
      </c>
      <c r="L16" s="777">
        <f ca="1">+AVERAGEIFS(L20:L67,L20:L67,"&lt;"&amp;L$14,L20:L67,"&gt;"&amp;L$13)</f>
        <v>13.285161213197654</v>
      </c>
      <c r="M16" s="777">
        <f ca="1">+AVERAGEIFS(M20:M67,M20:M67,"&lt;"&amp;M$14,M20:M67,"&gt;"&amp;M$13)</f>
        <v>13.251890365658536</v>
      </c>
      <c r="N16" s="777">
        <f ca="1">+AVERAGEIFS(N20:N67,N20:N67,"&lt;"&amp;N$14,N20:N67,"&gt;"&amp;N$13)</f>
        <v>13.37684964014341</v>
      </c>
      <c r="O16" s="777">
        <f ca="1">+AVERAGEIFS(O20:O67,O20:O67,"&lt;"&amp;O$14,O20:O67,"&gt;"&amp;O$13)</f>
        <v>10.262399408170726</v>
      </c>
    </row>
    <row r="17" spans="1:15" s="770" customFormat="1" ht="11.25" customHeight="1">
      <c r="C17" s="776" t="s">
        <v>1162</v>
      </c>
      <c r="E17" s="777" cm="1">
        <f t="array" aca="1" ref="E17" ca="1">+E16-_xlfn.STDEV.P(IF(E20:E67&lt;E$14,IF(E20:E67&gt;E$13,E20:E67)))</f>
        <v>9.351090979960448</v>
      </c>
      <c r="F17" s="777" cm="1">
        <f t="array" aca="1" ref="F17" ca="1">+F16-_xlfn.STDEV.P(IF(F20:F67&lt;F$14,IF(F20:F67&gt;F$13,F20:F67)))</f>
        <v>9.2044054730110076</v>
      </c>
      <c r="G17" s="777" cm="1">
        <f t="array" aca="1" ref="G17" ca="1">+G16-_xlfn.STDEV.P(IF(G20:G67&lt;G$14,IF(G20:G67&gt;G$13,G20:G67)))</f>
        <v>10.978727718387034</v>
      </c>
      <c r="H17" s="777" cm="1">
        <f t="array" aca="1" ref="H17" ca="1">+H16-_xlfn.STDEV.P(IF(H20:H67&lt;H$14,IF(H20:H67&gt;H$13,H20:H67)))</f>
        <v>8.0880303027763834</v>
      </c>
      <c r="I17" s="777" cm="1">
        <f t="array" aca="1" ref="I17" ca="1">+I16-_xlfn.STDEV.P(IF(I20:I67&lt;I$14,IF(I20:I67&gt;I$13,I20:I67)))</f>
        <v>7.0895068434767401</v>
      </c>
      <c r="J17" s="777" cm="1">
        <f t="array" aca="1" ref="J17" ca="1">+J16-_xlfn.STDEV.P(IF(J20:J67&lt;J$14,IF(J20:J67&gt;J$13,J20:J67)))</f>
        <v>9.2602234152927849</v>
      </c>
      <c r="K17" s="777" cm="1">
        <f t="array" aca="1" ref="K17" ca="1">+K16-_xlfn.STDEV.P(IF(K20:K67&lt;K$14,IF(K20:K67&gt;K$13,K20:K67)))</f>
        <v>13.471115281374654</v>
      </c>
      <c r="L17" s="777" cm="1">
        <f t="array" aca="1" ref="L17" ca="1">+L16-_xlfn.STDEV.P(IF(L20:L67&lt;L$14,IF(L20:L67&gt;L$13,L20:L67)))</f>
        <v>8.531011019321749</v>
      </c>
      <c r="M17" s="777" cm="1">
        <f t="array" aca="1" ref="M17" ca="1">+M16-_xlfn.STDEV.P(IF(M20:M67&lt;M$14,IF(M20:M67&gt;M$13,M20:M67)))</f>
        <v>8.4296653155904124</v>
      </c>
      <c r="N17" s="777" cm="1">
        <f t="array" aca="1" ref="N17" ca="1">+N16-_xlfn.STDEV.P(IF(N20:N67&lt;N$14,IF(N20:N67&gt;N$13,N20:N67)))</f>
        <v>11.761856581022808</v>
      </c>
      <c r="O17" s="777" cm="1">
        <f t="array" aca="1" ref="O17" ca="1">+O16-_xlfn.STDEV.P(IF(O20:O67&lt;O$14,IF(O20:O67&gt;O$13,O20:O67)))</f>
        <v>7.0806264659121556</v>
      </c>
    </row>
    <row r="18" spans="1:15" s="770" customFormat="1" ht="11.25" customHeight="1">
      <c r="C18" s="776" t="s">
        <v>1163</v>
      </c>
      <c r="E18" s="777" cm="1">
        <f t="array" aca="1" ref="E18" ca="1">+E16+_xlfn.STDEV.P(IF(E20:E67&lt;E$14,IF(E20:E67&gt;E$13,E20:E67)))</f>
        <v>12.2283495214054</v>
      </c>
      <c r="F18" s="777" cm="1">
        <f t="array" aca="1" ref="F18" ca="1">+F16+_xlfn.STDEV.P(IF(F20:F67&lt;F$14,IF(F20:F67&gt;F$13,F20:F67)))</f>
        <v>12.188353605769475</v>
      </c>
      <c r="G18" s="777" cm="1">
        <f t="array" aca="1" ref="G18" ca="1">+G16+_xlfn.STDEV.P(IF(G20:G67&lt;G$14,IF(G20:G67&gt;G$13,G20:G67)))</f>
        <v>15.656552439905632</v>
      </c>
      <c r="H18" s="777" cm="1">
        <f t="array" aca="1" ref="H18" ca="1">+H16+_xlfn.STDEV.P(IF(H20:H67&lt;H$14,IF(H20:H67&gt;H$13,H20:H67)))</f>
        <v>18.772235142598618</v>
      </c>
      <c r="I18" s="777" cm="1">
        <f t="array" aca="1" ref="I18" ca="1">+I16+_xlfn.STDEV.P(IF(I20:I67&lt;I$14,IF(I20:I67&gt;I$13,I20:I67)))</f>
        <v>10.368853864718377</v>
      </c>
      <c r="J18" s="777" cm="1">
        <f t="array" aca="1" ref="J18" ca="1">+J16+_xlfn.STDEV.P(IF(J20:J67&lt;J$14,IF(J20:J67&gt;J$13,J20:J67)))</f>
        <v>19.077093565707216</v>
      </c>
      <c r="K18" s="777" cm="1">
        <f t="array" aca="1" ref="K18" ca="1">+K16+_xlfn.STDEV.P(IF(K20:K67&lt;K$14,IF(K20:K67&gt;K$13,K20:K67)))</f>
        <v>17.919007434478996</v>
      </c>
      <c r="L18" s="777" cm="1">
        <f t="array" aca="1" ref="L18" ca="1">+L16+_xlfn.STDEV.P(IF(L20:L67&lt;L$14,IF(L20:L67&gt;L$13,L20:L67)))</f>
        <v>18.039311407073559</v>
      </c>
      <c r="M18" s="777" cm="1">
        <f t="array" aca="1" ref="M18" ca="1">+M16+_xlfn.STDEV.P(IF(M20:M67&lt;M$14,IF(M20:M67&gt;M$13,M20:M67)))</f>
        <v>18.074115415726659</v>
      </c>
      <c r="N18" s="777" cm="1">
        <f t="array" aca="1" ref="N18" ca="1">+N16+_xlfn.STDEV.P(IF(N20:N67&lt;N$14,IF(N20:N67&gt;N$13,N20:N67)))</f>
        <v>14.991842699264012</v>
      </c>
      <c r="O18" s="777" cm="1">
        <f t="array" aca="1" ref="O18" ca="1">+O16+_xlfn.STDEV.P(IF(O20:O67&lt;O$14,IF(O20:O67&gt;O$13,O20:O67)))</f>
        <v>13.444172350429296</v>
      </c>
    </row>
    <row r="19" spans="1:15" ht="5.2" customHeight="1">
      <c r="A19" s="762"/>
      <c r="B19" s="762"/>
      <c r="C19" s="762"/>
      <c r="D19" s="762"/>
      <c r="E19" s="762"/>
      <c r="F19" s="762"/>
      <c r="G19" s="762"/>
      <c r="H19" s="762"/>
      <c r="I19" s="762"/>
      <c r="J19" s="762"/>
      <c r="K19" s="762"/>
      <c r="L19" s="762"/>
      <c r="M19" s="762"/>
      <c r="N19" s="762"/>
      <c r="O19" s="762"/>
    </row>
    <row r="20" spans="1:15" ht="11.25" customHeight="1">
      <c r="C20" s="969">
        <v>41274</v>
      </c>
      <c r="D20" s="970">
        <f t="shared" ref="D20:D59" si="1">+C20+45</f>
        <v>41319</v>
      </c>
      <c r="E20" s="963" cm="1">
        <f t="array" aca="1" ref="E20" ca="1">IF(Thomson=1,_xll.TR(E$7,E$6,"Sdate=#1 Period=#2 NULL=BLANK",,$D20,$E$4),E20)</f>
        <v>11.388332558</v>
      </c>
      <c r="F20" s="963" cm="1">
        <f t="array" aca="1" ref="F20" ca="1">IF(Thomson=1,_xll.TR(F$7,F$6,"Sdate=#1 Period=#2 NULL=BLANK",,$D20,$E$4),F20)</f>
        <v>11.329160828999999</v>
      </c>
      <c r="G20" s="963" cm="1">
        <f t="array" aca="1" ref="G20" ca="1">IF(Thomson=1,_xll.TR(G$7,G$6,"Sdate=#1 Period=#2 NULL=BLANK",,$D20,$E$4),G20)</f>
        <v>11.915024425</v>
      </c>
      <c r="H20" s="963" t="str" cm="1">
        <f t="array" aca="1" ref="H20" ca="1">IF(Thomson=1,_xll.TR(H$7,H$6,"Sdate=#1 Period=#2 NULL=BLANK",,$D20,$E$4),H20)</f>
        <v/>
      </c>
      <c r="I20" s="963" cm="1">
        <f t="array" aca="1" ref="I20" ca="1">IF(Thomson=1,_xll.TR(I$7,I$6,"Sdate=#1 Period=#2 NULL=BLANK",,$D20,$E$4),I20)</f>
        <v>9.5539371620000004</v>
      </c>
      <c r="J20" s="963" t="str" cm="1">
        <f t="array" aca="1" ref="J20" ca="1">IF(Thomson=1,_xll.TR(J$7,J$6,"Sdate=#1 Period=#2 NULL=BLANK",,$D20,$E$4),J20)</f>
        <v/>
      </c>
      <c r="K20" s="963" cm="1">
        <f t="array" aca="1" ref="K20" ca="1">IF(Thomson=1,_xll.TR(K$7,K$6,"Sdate=#1 Period=#2 NULL=BLANK",,$D20,$E$4),K20)</f>
        <v>16.617976751</v>
      </c>
      <c r="L20" s="963" cm="1">
        <f t="array" aca="1" ref="L20" ca="1">IF(Thomson=1,_xll.TR(L$7,L$6,"Sdate=#1 Period=#2 NULL=BLANK",,$D20,$E$4),L20)</f>
        <v>10.992711392</v>
      </c>
      <c r="M20" s="963" cm="1">
        <f t="array" aca="1" ref="M20" ca="1">IF(Thomson=1,_xll.TR(M$7,M$6,"Sdate=#1 Period=#2 NULL=BLANK",,$D20,$E$4),M20)</f>
        <v>15.880814316</v>
      </c>
      <c r="N20" s="963" t="str" cm="1">
        <f t="array" aca="1" ref="N20" ca="1">IF(Thomson=1,_xll.TR(N$7,N$6,"Sdate=#1 Period=#2 NULL=BLANK",,$D20,$E$4),N20)</f>
        <v/>
      </c>
      <c r="O20" s="963" cm="1">
        <f t="array" aca="1" ref="O20" ca="1">IF(Thomson=1,_xll.TR(O$7,O$6,"Sdate=#1 Period=#2 NULL=BLANK",,$D20,$E$4),O20)</f>
        <v>9.6525169680000005</v>
      </c>
    </row>
    <row r="21" spans="1:15" ht="11.25" customHeight="1">
      <c r="C21" s="971">
        <f t="shared" ref="C21:C60" si="2">+EOMONTH(C20,3)</f>
        <v>41364</v>
      </c>
      <c r="D21" s="970">
        <f t="shared" si="1"/>
        <v>41409</v>
      </c>
      <c r="E21" s="963" cm="1">
        <f t="array" aca="1" ref="E21" ca="1">IF(Thomson=1,_xll.TR(E$7,E$6,"Sdate=#1 Period=#2 NULL=BLANK",,$D21,"NTM"),E21)</f>
        <v>10.711028176999999</v>
      </c>
      <c r="F21" s="963" cm="1">
        <f t="array" aca="1" ref="F21" ca="1">IF(Thomson=1,_xll.TR(F$7,F$6,"Sdate=#1 Period=#2 NULL=BLANK",,$D21,"NTM"),F21)</f>
        <v>10.106417828</v>
      </c>
      <c r="G21" s="963" cm="1">
        <f t="array" aca="1" ref="G21" ca="1">IF(Thomson=1,_xll.TR(G$7,G$6,"Sdate=#1 Period=#2 NULL=BLANK",,$D21,"NTM"),G21)</f>
        <v>12.127742649</v>
      </c>
      <c r="H21" s="963" t="str" cm="1">
        <f t="array" aca="1" ref="H21" ca="1">IF(Thomson=1,_xll.TR(H$7,H$6,"Sdate=#1 Period=#2 NULL=BLANK",,$D21,"NTM"),H21)</f>
        <v/>
      </c>
      <c r="I21" s="963" cm="1">
        <f t="array" aca="1" ref="I21" ca="1">IF(Thomson=1,_xll.TR(I$7,I$6,"Sdate=#1 Period=#2 NULL=BLANK",,$D21,"NTM"),I21)</f>
        <v>9.5093720190000006</v>
      </c>
      <c r="J21" s="963" t="str" cm="1">
        <f t="array" aca="1" ref="J21" ca="1">IF(Thomson=1,_xll.TR(J$7,J$6,"Sdate=#1 Period=#2 NULL=BLANK",,$D21,"NTM"),J21)</f>
        <v/>
      </c>
      <c r="K21" s="963" cm="1">
        <f t="array" aca="1" ref="K21" ca="1">IF(Thomson=1,_xll.TR(K$7,K$6,"Sdate=#1 Period=#2 NULL=BLANK",,$D21,"NTM"),K21)</f>
        <v>17.997156405999998</v>
      </c>
      <c r="L21" s="963" cm="1">
        <f t="array" aca="1" ref="L21" ca="1">IF(Thomson=1,_xll.TR(L$7,L$6,"Sdate=#1 Period=#2 NULL=BLANK",,$D21,"NTM"),L21)</f>
        <v>11.512733379</v>
      </c>
      <c r="M21" s="963" cm="1">
        <f t="array" aca="1" ref="M21" ca="1">IF(Thomson=1,_xll.TR(M$7,M$6,"Sdate=#1 Period=#2 NULL=BLANK",,$D21,"NTM"),M21)</f>
        <v>12.537028384999999</v>
      </c>
      <c r="N21" s="963" cm="1">
        <f t="array" aca="1" ref="N21" ca="1">IF(Thomson=1,_xll.TR(N$7,N$6,"Sdate=#1 Period=#2 NULL=BLANK",,$D21,"NTM"),N21)</f>
        <v>13.568214145000001</v>
      </c>
      <c r="O21" s="963" cm="1">
        <f t="array" aca="1" ref="O21" ca="1">IF(Thomson=1,_xll.TR(O$7,O$6,"Sdate=#1 Period=#2 NULL=BLANK",,$D21,"NTM"),O21)</f>
        <v>10.042962086999999</v>
      </c>
    </row>
    <row r="22" spans="1:15" ht="11.25" customHeight="1">
      <c r="C22" s="972">
        <f t="shared" si="2"/>
        <v>41455</v>
      </c>
      <c r="D22" s="970">
        <f t="shared" si="1"/>
        <v>41500</v>
      </c>
      <c r="E22" s="963" cm="1">
        <f t="array" aca="1" ref="E22" ca="1">IF(Thomson=1,_xll.TR(E$7,E$6,"Sdate=#1 Period=#2 NULL=BLANK",,$D22,"NTM"),E22)</f>
        <v>11.575503929</v>
      </c>
      <c r="F22" s="963" cm="1">
        <f t="array" aca="1" ref="F22" ca="1">IF(Thomson=1,_xll.TR(F$7,F$6,"Sdate=#1 Period=#2 NULL=BLANK",,$D22,"NTM"),F22)</f>
        <v>10.422752597000001</v>
      </c>
      <c r="G22" s="963" cm="1">
        <f t="array" aca="1" ref="G22" ca="1">IF(Thomson=1,_xll.TR(G$7,G$6,"Sdate=#1 Period=#2 NULL=BLANK",,$D22,"NTM"),G22)</f>
        <v>11.741998573</v>
      </c>
      <c r="H22" s="963" t="str" cm="1">
        <f t="array" aca="1" ref="H22" ca="1">IF(Thomson=1,_xll.TR(H$7,H$6,"Sdate=#1 Period=#2 NULL=BLANK",,$D22,"NTM"),H22)</f>
        <v/>
      </c>
      <c r="I22" s="963" cm="1">
        <f t="array" aca="1" ref="I22" ca="1">IF(Thomson=1,_xll.TR(I$7,I$6,"Sdate=#1 Period=#2 NULL=BLANK",,$D22,"NTM"),I22)</f>
        <v>9.8400970139999995</v>
      </c>
      <c r="J22" s="963" t="str" cm="1">
        <f t="array" aca="1" ref="J22" ca="1">IF(Thomson=1,_xll.TR(J$7,J$6,"Sdate=#1 Period=#2 NULL=BLANK",,$D22,"NTM"),J22)</f>
        <v/>
      </c>
      <c r="K22" s="963" cm="1">
        <f t="array" aca="1" ref="K22" ca="1">IF(Thomson=1,_xll.TR(K$7,K$6,"Sdate=#1 Period=#2 NULL=BLANK",,$D22,"NTM"),K22)</f>
        <v>18.778656028</v>
      </c>
      <c r="L22" s="963" cm="1">
        <f t="array" aca="1" ref="L22" ca="1">IF(Thomson=1,_xll.TR(L$7,L$6,"Sdate=#1 Period=#2 NULL=BLANK",,$D22,"NTM"),L22)</f>
        <v>10.738285075</v>
      </c>
      <c r="M22" s="963" cm="1">
        <f t="array" aca="1" ref="M22" ca="1">IF(Thomson=1,_xll.TR(M$7,M$6,"Sdate=#1 Period=#2 NULL=BLANK",,$D22,"NTM"),M22)</f>
        <v>12.192373968</v>
      </c>
      <c r="N22" s="963" cm="1">
        <f t="array" aca="1" ref="N22" ca="1">IF(Thomson=1,_xll.TR(N$7,N$6,"Sdate=#1 Period=#2 NULL=BLANK",,$D22,"NTM"),N22)</f>
        <v>13.900858994</v>
      </c>
      <c r="O22" s="963" cm="1">
        <f t="array" aca="1" ref="O22" ca="1">IF(Thomson=1,_xll.TR(O$7,O$6,"Sdate=#1 Period=#2 NULL=BLANK",,$D22,"NTM"),O22)</f>
        <v>9.5357979910000008</v>
      </c>
    </row>
    <row r="23" spans="1:15" ht="11.25" customHeight="1">
      <c r="C23" s="973">
        <f t="shared" si="2"/>
        <v>41547</v>
      </c>
      <c r="D23" s="970">
        <f t="shared" si="1"/>
        <v>41592</v>
      </c>
      <c r="E23" s="963" cm="1">
        <f t="array" aca="1" ref="E23" ca="1">IF(Thomson=1,_xll.TR(E$7,E$6,"Sdate=#1 Period=#2 NULL=BLANK",,$D23,"NTM"),E23)</f>
        <v>11.46694057</v>
      </c>
      <c r="F23" s="963" cm="1">
        <f t="array" aca="1" ref="F23" ca="1">IF(Thomson=1,_xll.TR(F$7,F$6,"Sdate=#1 Period=#2 NULL=BLANK",,$D23,"NTM"),F23)</f>
        <v>11.616480455</v>
      </c>
      <c r="G23" s="963" cm="1">
        <f t="array" aca="1" ref="G23" ca="1">IF(Thomson=1,_xll.TR(G$7,G$6,"Sdate=#1 Period=#2 NULL=BLANK",,$D23,"NTM"),G23)</f>
        <v>13.066205774</v>
      </c>
      <c r="H23" s="963" t="str" cm="1">
        <f t="array" aca="1" ref="H23" ca="1">IF(Thomson=1,_xll.TR(H$7,H$6,"Sdate=#1 Period=#2 NULL=BLANK",,$D23,"NTM"),H23)</f>
        <v/>
      </c>
      <c r="I23" s="963" cm="1">
        <f t="array" aca="1" ref="I23" ca="1">IF(Thomson=1,_xll.TR(I$7,I$6,"Sdate=#1 Period=#2 NULL=BLANK",,$D23,"NTM"),I23)</f>
        <v>10.643430553</v>
      </c>
      <c r="J23" s="963" t="str" cm="1">
        <f t="array" aca="1" ref="J23" ca="1">IF(Thomson=1,_xll.TR(J$7,J$6,"Sdate=#1 Period=#2 NULL=BLANK",,$D23,"NTM"),J23)</f>
        <v/>
      </c>
      <c r="K23" s="963" cm="1">
        <f t="array" aca="1" ref="K23" ca="1">IF(Thomson=1,_xll.TR(K$7,K$6,"Sdate=#1 Period=#2 NULL=BLANK",,$D23,"NTM"),K23)</f>
        <v>18.565659048000001</v>
      </c>
      <c r="L23" s="963" cm="1">
        <f t="array" aca="1" ref="L23" ca="1">IF(Thomson=1,_xll.TR(L$7,L$6,"Sdate=#1 Period=#2 NULL=BLANK",,$D23,"NTM"),L23)</f>
        <v>12.207741996999999</v>
      </c>
      <c r="M23" s="963" cm="1">
        <f t="array" aca="1" ref="M23" ca="1">IF(Thomson=1,_xll.TR(M$7,M$6,"Sdate=#1 Period=#2 NULL=BLANK",,$D23,"NTM"),M23)</f>
        <v>12.242318537999999</v>
      </c>
      <c r="N23" s="963" cm="1">
        <f t="array" aca="1" ref="N23" ca="1">IF(Thomson=1,_xll.TR(N$7,N$6,"Sdate=#1 Period=#2 NULL=BLANK",,$D23,"NTM"),N23)</f>
        <v>13.498593566</v>
      </c>
      <c r="O23" s="963" cm="1">
        <f t="array" aca="1" ref="O23" ca="1">IF(Thomson=1,_xll.TR(O$7,O$6,"Sdate=#1 Period=#2 NULL=BLANK",,$D23,"NTM"),O23)</f>
        <v>10.846964842</v>
      </c>
    </row>
    <row r="24" spans="1:15" ht="11.25" customHeight="1">
      <c r="C24" s="969">
        <f t="shared" si="2"/>
        <v>41639</v>
      </c>
      <c r="D24" s="970">
        <f t="shared" si="1"/>
        <v>41684</v>
      </c>
      <c r="E24" s="963" cm="1">
        <f t="array" aca="1" ref="E24" ca="1">IF(Thomson=1,_xll.TR(E$7,E$6,"Sdate=#1 Period=#2 NULL=BLANK",,$D24,"NTM"),E24)</f>
        <v>11.888438179</v>
      </c>
      <c r="F24" s="963" cm="1">
        <f t="array" aca="1" ref="F24" ca="1">IF(Thomson=1,_xll.TR(F$7,F$6,"Sdate=#1 Period=#2 NULL=BLANK",,$D24,"NTM"),F24)</f>
        <v>10.584146485</v>
      </c>
      <c r="G24" s="963" cm="1">
        <f t="array" aca="1" ref="G24" ca="1">IF(Thomson=1,_xll.TR(G$7,G$6,"Sdate=#1 Period=#2 NULL=BLANK",,$D24,"NTM"),G24)</f>
        <v>13.804745915</v>
      </c>
      <c r="H24" s="963" t="str" cm="1">
        <f t="array" aca="1" ref="H24" ca="1">IF(Thomson=1,_xll.TR(H$7,H$6,"Sdate=#1 Period=#2 NULL=BLANK",,$D24,"NTM"),H24)</f>
        <v/>
      </c>
      <c r="I24" s="963" cm="1">
        <f t="array" aca="1" ref="I24" ca="1">IF(Thomson=1,_xll.TR(I$7,I$6,"Sdate=#1 Period=#2 NULL=BLANK",,$D24,"NTM"),I24)</f>
        <v>10.805842740999999</v>
      </c>
      <c r="J24" s="963" t="str" cm="1">
        <f t="array" aca="1" ref="J24" ca="1">IF(Thomson=1,_xll.TR(J$7,J$6,"Sdate=#1 Period=#2 NULL=BLANK",,$D24,"NTM"),J24)</f>
        <v/>
      </c>
      <c r="K24" s="963" cm="1">
        <f t="array" aca="1" ref="K24" ca="1">IF(Thomson=1,_xll.TR(K$7,K$6,"Sdate=#1 Period=#2 NULL=BLANK",,$D24,"NTM"),K24)</f>
        <v>19.562195800000001</v>
      </c>
      <c r="L24" s="963" cm="1">
        <f t="array" aca="1" ref="L24" ca="1">IF(Thomson=1,_xll.TR(L$7,L$6,"Sdate=#1 Period=#2 NULL=BLANK",,$D24,"NTM"),L24)</f>
        <v>13.636884927000001</v>
      </c>
      <c r="M24" s="963" cm="1">
        <f t="array" aca="1" ref="M24" ca="1">IF(Thomson=1,_xll.TR(M$7,M$6,"Sdate=#1 Period=#2 NULL=BLANK",,$D24,"NTM"),M24)</f>
        <v>12.925707428999999</v>
      </c>
      <c r="N24" s="963" cm="1">
        <f t="array" aca="1" ref="N24" ca="1">IF(Thomson=1,_xll.TR(N$7,N$6,"Sdate=#1 Period=#2 NULL=BLANK",,$D24,"NTM"),N24)</f>
        <v>14.075224441</v>
      </c>
      <c r="O24" s="963" cm="1">
        <f t="array" aca="1" ref="O24" ca="1">IF(Thomson=1,_xll.TR(O$7,O$6,"Sdate=#1 Period=#2 NULL=BLANK",,$D24,"NTM"),O24)</f>
        <v>10.597742667</v>
      </c>
    </row>
    <row r="25" spans="1:15" ht="11.25" customHeight="1">
      <c r="C25" s="971">
        <f t="shared" si="2"/>
        <v>41729</v>
      </c>
      <c r="D25" s="970">
        <f t="shared" si="1"/>
        <v>41774</v>
      </c>
      <c r="E25" s="963" cm="1">
        <f t="array" aca="1" ref="E25" ca="1">IF(Thomson=1,_xll.TR(E$7,E$6,"Sdate=#1 Period=#2 NULL=BLANK",,$D25,"NTM"),E25)</f>
        <v>11.569012488</v>
      </c>
      <c r="F25" s="963" cm="1">
        <f t="array" aca="1" ref="F25" ca="1">IF(Thomson=1,_xll.TR(F$7,F$6,"Sdate=#1 Period=#2 NULL=BLANK",,$D25,"NTM"),F25)</f>
        <v>11.238685590999999</v>
      </c>
      <c r="G25" s="963" cm="1">
        <f t="array" aca="1" ref="G25" ca="1">IF(Thomson=1,_xll.TR(G$7,G$6,"Sdate=#1 Period=#2 NULL=BLANK",,$D25,"NTM"),G25)</f>
        <v>13.610114712</v>
      </c>
      <c r="H25" s="963" t="str" cm="1">
        <f t="array" aca="1" ref="H25" ca="1">IF(Thomson=1,_xll.TR(H$7,H$6,"Sdate=#1 Period=#2 NULL=BLANK",,$D25,"NTM"),H25)</f>
        <v/>
      </c>
      <c r="I25" s="963" cm="1">
        <f t="array" aca="1" ref="I25" ca="1">IF(Thomson=1,_xll.TR(I$7,I$6,"Sdate=#1 Period=#2 NULL=BLANK",,$D25,"NTM"),I25)</f>
        <v>11.559380993</v>
      </c>
      <c r="J25" s="963" t="str" cm="1">
        <f t="array" aca="1" ref="J25" ca="1">IF(Thomson=1,_xll.TR(J$7,J$6,"Sdate=#1 Period=#2 NULL=BLANK",,$D25,"NTM"),J25)</f>
        <v/>
      </c>
      <c r="K25" s="963" cm="1">
        <f t="array" aca="1" ref="K25" ca="1">IF(Thomson=1,_xll.TR(K$7,K$6,"Sdate=#1 Period=#2 NULL=BLANK",,$D25,"NTM"),K25)</f>
        <v>18.453598523</v>
      </c>
      <c r="L25" s="963" cm="1">
        <f t="array" aca="1" ref="L25" ca="1">IF(Thomson=1,_xll.TR(L$7,L$6,"Sdate=#1 Period=#2 NULL=BLANK",,$D25,"NTM"),L25)</f>
        <v>14.357607455</v>
      </c>
      <c r="M25" s="963" cm="1">
        <f t="array" aca="1" ref="M25" ca="1">IF(Thomson=1,_xll.TR(M$7,M$6,"Sdate=#1 Period=#2 NULL=BLANK",,$D25,"NTM"),M25)</f>
        <v>13.423254819</v>
      </c>
      <c r="N25" s="963" cm="1">
        <f t="array" aca="1" ref="N25" ca="1">IF(Thomson=1,_xll.TR(N$7,N$6,"Sdate=#1 Period=#2 NULL=BLANK",,$D25,"NTM"),N25)</f>
        <v>14.311667945</v>
      </c>
      <c r="O25" s="963" cm="1">
        <f t="array" aca="1" ref="O25" ca="1">IF(Thomson=1,_xll.TR(O$7,O$6,"Sdate=#1 Period=#2 NULL=BLANK",,$D25,"NTM"),O25)</f>
        <v>10.854567958000001</v>
      </c>
    </row>
    <row r="26" spans="1:15" ht="11.25" customHeight="1">
      <c r="C26" s="972">
        <f t="shared" si="2"/>
        <v>41820</v>
      </c>
      <c r="D26" s="970">
        <f t="shared" si="1"/>
        <v>41865</v>
      </c>
      <c r="E26" s="963" cm="1">
        <f t="array" aca="1" ref="E26" ca="1">IF(Thomson=1,_xll.TR(E$7,E$6,"Sdate=#1 Period=#2 NULL=BLANK",,$D26,"NTM"),E26)</f>
        <v>10.929308716</v>
      </c>
      <c r="F26" s="963" cm="1">
        <f t="array" aca="1" ref="F26" ca="1">IF(Thomson=1,_xll.TR(F$7,F$6,"Sdate=#1 Period=#2 NULL=BLANK",,$D26,"NTM"),F26)</f>
        <v>11.068388818000001</v>
      </c>
      <c r="G26" s="963" cm="1">
        <f t="array" aca="1" ref="G26" ca="1">IF(Thomson=1,_xll.TR(G$7,G$6,"Sdate=#1 Period=#2 NULL=BLANK",,$D26,"NTM"),G26)</f>
        <v>12.420566736</v>
      </c>
      <c r="H26" s="963" t="str" cm="1">
        <f t="array" aca="1" ref="H26" ca="1">IF(Thomson=1,_xll.TR(H$7,H$6,"Sdate=#1 Period=#2 NULL=BLANK",,$D26,"NTM"),H26)</f>
        <v/>
      </c>
      <c r="I26" s="963" cm="1">
        <f t="array" aca="1" ref="I26" ca="1">IF(Thomson=1,_xll.TR(I$7,I$6,"Sdate=#1 Period=#2 NULL=BLANK",,$D26,"NTM"),I26)</f>
        <v>11.998756278</v>
      </c>
      <c r="J26" s="963" t="str" cm="1">
        <f t="array" aca="1" ref="J26" ca="1">IF(Thomson=1,_xll.TR(J$7,J$6,"Sdate=#1 Period=#2 NULL=BLANK",,$D26,"NTM"),J26)</f>
        <v/>
      </c>
      <c r="K26" s="963" cm="1">
        <f t="array" aca="1" ref="K26" ca="1">IF(Thomson=1,_xll.TR(K$7,K$6,"Sdate=#1 Period=#2 NULL=BLANK",,$D26,"NTM"),K26)</f>
        <v>17.863733778</v>
      </c>
      <c r="L26" s="963" cm="1">
        <f t="array" aca="1" ref="L26" ca="1">IF(Thomson=1,_xll.TR(L$7,L$6,"Sdate=#1 Period=#2 NULL=BLANK",,$D26,"NTM"),L26)</f>
        <v>14.621976004</v>
      </c>
      <c r="M26" s="963" cm="1">
        <f t="array" aca="1" ref="M26" ca="1">IF(Thomson=1,_xll.TR(M$7,M$6,"Sdate=#1 Period=#2 NULL=BLANK",,$D26,"NTM"),M26)</f>
        <v>15.301727099000001</v>
      </c>
      <c r="N26" s="963" cm="1">
        <f t="array" aca="1" ref="N26" ca="1">IF(Thomson=1,_xll.TR(N$7,N$6,"Sdate=#1 Period=#2 NULL=BLANK",,$D26,"NTM"),N26)</f>
        <v>14.261285908</v>
      </c>
      <c r="O26" s="963" cm="1">
        <f t="array" aca="1" ref="O26" ca="1">IF(Thomson=1,_xll.TR(O$7,O$6,"Sdate=#1 Period=#2 NULL=BLANK",,$D26,"NTM"),O26)</f>
        <v>10.879149623</v>
      </c>
    </row>
    <row r="27" spans="1:15" ht="11.25" customHeight="1">
      <c r="C27" s="973">
        <f t="shared" si="2"/>
        <v>41912</v>
      </c>
      <c r="D27" s="970">
        <f t="shared" si="1"/>
        <v>41957</v>
      </c>
      <c r="E27" s="963" cm="1">
        <f t="array" aca="1" ref="E27" ca="1">IF(Thomson=1,_xll.TR(E$7,E$6,"Sdate=#1 Period=#2 NULL=BLANK",,$D27,"NTM"),E27)</f>
        <v>11.107030125</v>
      </c>
      <c r="F27" s="963" cm="1">
        <f t="array" aca="1" ref="F27" ca="1">IF(Thomson=1,_xll.TR(F$7,F$6,"Sdate=#1 Period=#2 NULL=BLANK",,$D27,"NTM"),F27)</f>
        <v>10.725571202999999</v>
      </c>
      <c r="G27" s="963" cm="1">
        <f t="array" aca="1" ref="G27" ca="1">IF(Thomson=1,_xll.TR(G$7,G$6,"Sdate=#1 Period=#2 NULL=BLANK",,$D27,"NTM"),G27)</f>
        <v>11.880873748999999</v>
      </c>
      <c r="H27" s="963" t="str" cm="1">
        <f t="array" aca="1" ref="H27" ca="1">IF(Thomson=1,_xll.TR(H$7,H$6,"Sdate=#1 Period=#2 NULL=BLANK",,$D27,"NTM"),H27)</f>
        <v/>
      </c>
      <c r="I27" s="963" cm="1">
        <f t="array" aca="1" ref="I27" ca="1">IF(Thomson=1,_xll.TR(I$7,I$6,"Sdate=#1 Period=#2 NULL=BLANK",,$D27,"NTM"),I27)</f>
        <v>9.3447005930000007</v>
      </c>
      <c r="J27" s="963" t="str" cm="1">
        <f t="array" aca="1" ref="J27" ca="1">IF(Thomson=1,_xll.TR(J$7,J$6,"Sdate=#1 Period=#2 NULL=BLANK",,$D27,"NTM"),J27)</f>
        <v/>
      </c>
      <c r="K27" s="963" cm="1">
        <f t="array" aca="1" ref="K27" ca="1">IF(Thomson=1,_xll.TR(K$7,K$6,"Sdate=#1 Period=#2 NULL=BLANK",,$D27,"NTM"),K27)</f>
        <v>16.241317344999999</v>
      </c>
      <c r="L27" s="963" cm="1">
        <f t="array" aca="1" ref="L27" ca="1">IF(Thomson=1,_xll.TR(L$7,L$6,"Sdate=#1 Period=#2 NULL=BLANK",,$D27,"NTM"),L27)</f>
        <v>14.657583548</v>
      </c>
      <c r="M27" s="963" cm="1">
        <f t="array" aca="1" ref="M27" ca="1">IF(Thomson=1,_xll.TR(M$7,M$6,"Sdate=#1 Period=#2 NULL=BLANK",,$D27,"NTM"),M27)</f>
        <v>11.816187377</v>
      </c>
      <c r="N27" s="963" cm="1">
        <f t="array" aca="1" ref="N27" ca="1">IF(Thomson=1,_xll.TR(N$7,N$6,"Sdate=#1 Period=#2 NULL=BLANK",,$D27,"NTM"),N27)</f>
        <v>13.545799949999999</v>
      </c>
      <c r="O27" s="963" cm="1">
        <f t="array" aca="1" ref="O27" ca="1">IF(Thomson=1,_xll.TR(O$7,O$6,"Sdate=#1 Period=#2 NULL=BLANK",,$D27,"NTM"),O27)</f>
        <v>9.7003235029999999</v>
      </c>
    </row>
    <row r="28" spans="1:15" ht="11.25" customHeight="1">
      <c r="C28" s="969">
        <f t="shared" si="2"/>
        <v>42004</v>
      </c>
      <c r="D28" s="970">
        <f t="shared" si="1"/>
        <v>42049</v>
      </c>
      <c r="E28" s="963" cm="1">
        <f t="array" aca="1" ref="E28" ca="1">IF(Thomson=1,_xll.TR(E$7,E$6,"Sdate=#1 Period=#2 NULL=BLANK",,$D28,"NTM"),E28)</f>
        <v>10.634018344999999</v>
      </c>
      <c r="F28" s="963" cm="1">
        <f t="array" aca="1" ref="F28" ca="1">IF(Thomson=1,_xll.TR(F$7,F$6,"Sdate=#1 Period=#2 NULL=BLANK",,$D28,"NTM"),F28)</f>
        <v>10.919562983000001</v>
      </c>
      <c r="G28" s="963" cm="1">
        <f t="array" aca="1" ref="G28" ca="1">IF(Thomson=1,_xll.TR(G$7,G$6,"Sdate=#1 Period=#2 NULL=BLANK",,$D28,"NTM"),G28)</f>
        <v>15.08649591</v>
      </c>
      <c r="H28" s="963" t="str" cm="1">
        <f t="array" aca="1" ref="H28" ca="1">IF(Thomson=1,_xll.TR(H$7,H$6,"Sdate=#1 Period=#2 NULL=BLANK",,$D28,"NTM"),H28)</f>
        <v/>
      </c>
      <c r="I28" s="963" cm="1">
        <f t="array" aca="1" ref="I28" ca="1">IF(Thomson=1,_xll.TR(I$7,I$6,"Sdate=#1 Period=#2 NULL=BLANK",,$D28,"NTM"),I28)</f>
        <v>10.980903817</v>
      </c>
      <c r="J28" s="963" t="str" cm="1">
        <f t="array" aca="1" ref="J28" ca="1">IF(Thomson=1,_xll.TR(J$7,J$6,"Sdate=#1 Period=#2 NULL=BLANK",,$D28,"NTM"),J28)</f>
        <v/>
      </c>
      <c r="K28" s="963" cm="1">
        <f t="array" aca="1" ref="K28" ca="1">IF(Thomson=1,_xll.TR(K$7,K$6,"Sdate=#1 Period=#2 NULL=BLANK",,$D28,"NTM"),K28)</f>
        <v>17.556949641999999</v>
      </c>
      <c r="L28" s="963" cm="1">
        <f t="array" aca="1" ref="L28" ca="1">IF(Thomson=1,_xll.TR(L$7,L$6,"Sdate=#1 Period=#2 NULL=BLANK",,$D28,"NTM"),L28)</f>
        <v>15.814540311</v>
      </c>
      <c r="M28" s="963" cm="1">
        <f t="array" aca="1" ref="M28" ca="1">IF(Thomson=1,_xll.TR(M$7,M$6,"Sdate=#1 Period=#2 NULL=BLANK",,$D28,"NTM"),M28)</f>
        <v>13.718416015000001</v>
      </c>
      <c r="N28" s="963" cm="1">
        <f t="array" aca="1" ref="N28" ca="1">IF(Thomson=1,_xll.TR(N$7,N$6,"Sdate=#1 Period=#2 NULL=BLANK",,$D28,"NTM"),N28)</f>
        <v>15.813342881000001</v>
      </c>
      <c r="O28" s="963" cm="1">
        <f t="array" aca="1" ref="O28" ca="1">IF(Thomson=1,_xll.TR(O$7,O$6,"Sdate=#1 Period=#2 NULL=BLANK",,$D28,"NTM"),O28)</f>
        <v>9.5208737350000003</v>
      </c>
    </row>
    <row r="29" spans="1:15" ht="11.25" customHeight="1">
      <c r="C29" s="971">
        <f t="shared" si="2"/>
        <v>42094</v>
      </c>
      <c r="D29" s="970">
        <f t="shared" si="1"/>
        <v>42139</v>
      </c>
      <c r="E29" s="963" cm="1">
        <f t="array" aca="1" ref="E29" ca="1">IF(Thomson=1,_xll.TR(E$7,E$6,"Sdate=#1 Period=#2 NULL=BLANK",,$D29,"NTM"),E29)</f>
        <v>10.596865938000001</v>
      </c>
      <c r="F29" s="963" cm="1">
        <f t="array" aca="1" ref="F29" ca="1">IF(Thomson=1,_xll.TR(F$7,F$6,"Sdate=#1 Period=#2 NULL=BLANK",,$D29,"NTM"),F29)</f>
        <v>11.444985824</v>
      </c>
      <c r="G29" s="963" cm="1">
        <f t="array" aca="1" ref="G29" ca="1">IF(Thomson=1,_xll.TR(G$7,G$6,"Sdate=#1 Period=#2 NULL=BLANK",,$D29,"NTM"),G29)</f>
        <v>14.914558454</v>
      </c>
      <c r="H29" s="963" t="str" cm="1">
        <f t="array" aca="1" ref="H29" ca="1">IF(Thomson=1,_xll.TR(H$7,H$6,"Sdate=#1 Period=#2 NULL=BLANK",,$D29,"NTM"),H29)</f>
        <v/>
      </c>
      <c r="I29" s="963" cm="1">
        <f t="array" aca="1" ref="I29" ca="1">IF(Thomson=1,_xll.TR(I$7,I$6,"Sdate=#1 Period=#2 NULL=BLANK",,$D29,"NTM"),I29)</f>
        <v>10.427802927</v>
      </c>
      <c r="J29" s="963" t="str" cm="1">
        <f t="array" aca="1" ref="J29" ca="1">IF(Thomson=1,_xll.TR(J$7,J$6,"Sdate=#1 Period=#2 NULL=BLANK",,$D29,"NTM"),J29)</f>
        <v/>
      </c>
      <c r="K29" s="963" cm="1">
        <f t="array" aca="1" ref="K29" ca="1">IF(Thomson=1,_xll.TR(K$7,K$6,"Sdate=#1 Period=#2 NULL=BLANK",,$D29,"NTM"),K29)</f>
        <v>17.427616020999999</v>
      </c>
      <c r="L29" s="963" cm="1">
        <f t="array" aca="1" ref="L29" ca="1">IF(Thomson=1,_xll.TR(L$7,L$6,"Sdate=#1 Period=#2 NULL=BLANK",,$D29,"NTM"),L29)</f>
        <v>16.199172015999999</v>
      </c>
      <c r="M29" s="963" cm="1">
        <f t="array" aca="1" ref="M29" ca="1">IF(Thomson=1,_xll.TR(M$7,M$6,"Sdate=#1 Period=#2 NULL=BLANK",,$D29,"NTM"),M29)</f>
        <v>14.446367013</v>
      </c>
      <c r="N29" s="963" cm="1">
        <f t="array" aca="1" ref="N29" ca="1">IF(Thomson=1,_xll.TR(N$7,N$6,"Sdate=#1 Period=#2 NULL=BLANK",,$D29,"NTM"),N29)</f>
        <v>15.325929902</v>
      </c>
      <c r="O29" s="963" cm="1">
        <f t="array" aca="1" ref="O29" ca="1">IF(Thomson=1,_xll.TR(O$7,O$6,"Sdate=#1 Period=#2 NULL=BLANK",,$D29,"NTM"),O29)</f>
        <v>9.1311581240000006</v>
      </c>
    </row>
    <row r="30" spans="1:15" ht="11.25" customHeight="1">
      <c r="C30" s="972">
        <f t="shared" si="2"/>
        <v>42185</v>
      </c>
      <c r="D30" s="970">
        <f t="shared" si="1"/>
        <v>42230</v>
      </c>
      <c r="E30" s="963" cm="1">
        <f t="array" aca="1" ref="E30" ca="1">IF(Thomson=1,_xll.TR(E$7,E$6,"Sdate=#1 Period=#2 NULL=BLANK",,$D30,"NTM"),E30)</f>
        <v>9.991019841</v>
      </c>
      <c r="F30" s="963" cm="1">
        <f t="array" aca="1" ref="F30" ca="1">IF(Thomson=1,_xll.TR(F$7,F$6,"Sdate=#1 Period=#2 NULL=BLANK",,$D30,"NTM"),F30)</f>
        <v>10.587184879</v>
      </c>
      <c r="G30" s="963" cm="1">
        <f t="array" aca="1" ref="G30" ca="1">IF(Thomson=1,_xll.TR(G$7,G$6,"Sdate=#1 Period=#2 NULL=BLANK",,$D30,"NTM"),G30)</f>
        <v>13.164664785999999</v>
      </c>
      <c r="H30" s="963" t="str" cm="1">
        <f t="array" aca="1" ref="H30" ca="1">IF(Thomson=1,_xll.TR(H$7,H$6,"Sdate=#1 Period=#2 NULL=BLANK",,$D30,"NTM"),H30)</f>
        <v/>
      </c>
      <c r="I30" s="963" cm="1">
        <f t="array" aca="1" ref="I30" ca="1">IF(Thomson=1,_xll.TR(I$7,I$6,"Sdate=#1 Period=#2 NULL=BLANK",,$D30,"NTM"),I30)</f>
        <v>7.9740806390000003</v>
      </c>
      <c r="J30" s="963" t="str" cm="1">
        <f t="array" aca="1" ref="J30" ca="1">IF(Thomson=1,_xll.TR(J$7,J$6,"Sdate=#1 Period=#2 NULL=BLANK",,$D30,"NTM"),J30)</f>
        <v/>
      </c>
      <c r="K30" s="963" cm="1">
        <f t="array" aca="1" ref="K30" ca="1">IF(Thomson=1,_xll.TR(K$7,K$6,"Sdate=#1 Period=#2 NULL=BLANK",,$D30,"NTM"),K30)</f>
        <v>15.184922252</v>
      </c>
      <c r="L30" s="963" cm="1">
        <f t="array" aca="1" ref="L30" ca="1">IF(Thomson=1,_xll.TR(L$7,L$6,"Sdate=#1 Period=#2 NULL=BLANK",,$D30,"NTM"),L30)</f>
        <v>12.511409893</v>
      </c>
      <c r="M30" s="963" cm="1">
        <f t="array" aca="1" ref="M30" ca="1">IF(Thomson=1,_xll.TR(M$7,M$6,"Sdate=#1 Period=#2 NULL=BLANK",,$D30,"NTM"),M30)</f>
        <v>11.786987591999999</v>
      </c>
      <c r="N30" s="963" cm="1">
        <f t="array" aca="1" ref="N30" ca="1">IF(Thomson=1,_xll.TR(N$7,N$6,"Sdate=#1 Period=#2 NULL=BLANK",,$D30,"NTM"),N30)</f>
        <v>15.177256401999999</v>
      </c>
      <c r="O30" s="963" cm="1">
        <f t="array" aca="1" ref="O30" ca="1">IF(Thomson=1,_xll.TR(O$7,O$6,"Sdate=#1 Period=#2 NULL=BLANK",,$D30,"NTM"),O30)</f>
        <v>6.6359874110000003</v>
      </c>
    </row>
    <row r="31" spans="1:15" ht="11.25" customHeight="1">
      <c r="C31" s="973">
        <f t="shared" si="2"/>
        <v>42277</v>
      </c>
      <c r="D31" s="970">
        <f t="shared" si="1"/>
        <v>42322</v>
      </c>
      <c r="E31" s="963" cm="1">
        <f t="array" aca="1" ref="E31" ca="1">IF(Thomson=1,_xll.TR(E$7,E$6,"Sdate=#1 Period=#2 NULL=BLANK",,$D31,"NTM"),E31)</f>
        <v>9.003559117</v>
      </c>
      <c r="F31" s="963" cm="1">
        <f t="array" aca="1" ref="F31" ca="1">IF(Thomson=1,_xll.TR(F$7,F$6,"Sdate=#1 Period=#2 NULL=BLANK",,$D31,"NTM"),F31)</f>
        <v>11.107578132</v>
      </c>
      <c r="G31" s="963" cm="1">
        <f t="array" aca="1" ref="G31" ca="1">IF(Thomson=1,_xll.TR(G$7,G$6,"Sdate=#1 Period=#2 NULL=BLANK",,$D31,"NTM"),G31)</f>
        <v>13.968753233999999</v>
      </c>
      <c r="H31" s="963" t="str" cm="1">
        <f t="array" aca="1" ref="H31" ca="1">IF(Thomson=1,_xll.TR(H$7,H$6,"Sdate=#1 Period=#2 NULL=BLANK",,$D31,"NTM"),H31)</f>
        <v/>
      </c>
      <c r="I31" s="963" cm="1">
        <f t="array" aca="1" ref="I31" ca="1">IF(Thomson=1,_xll.TR(I$7,I$6,"Sdate=#1 Period=#2 NULL=BLANK",,$D31,"NTM"),I31)</f>
        <v>8.6147883939999996</v>
      </c>
      <c r="J31" s="963" t="str" cm="1">
        <f t="array" aca="1" ref="J31" ca="1">IF(Thomson=1,_xll.TR(J$7,J$6,"Sdate=#1 Period=#2 NULL=BLANK",,$D31,"NTM"),J31)</f>
        <v/>
      </c>
      <c r="K31" s="963" cm="1">
        <f t="array" aca="1" ref="K31" ca="1">IF(Thomson=1,_xll.TR(K$7,K$6,"Sdate=#1 Period=#2 NULL=BLANK",,$D31,"NTM"),K31)</f>
        <v>15.264893548</v>
      </c>
      <c r="L31" s="963" cm="1">
        <f t="array" aca="1" ref="L31" ca="1">IF(Thomson=1,_xll.TR(L$7,L$6,"Sdate=#1 Period=#2 NULL=BLANK",,$D31,"NTM"),L31)</f>
        <v>12.827896136</v>
      </c>
      <c r="M31" s="963" cm="1">
        <f t="array" aca="1" ref="M31" ca="1">IF(Thomson=1,_xll.TR(M$7,M$6,"Sdate=#1 Period=#2 NULL=BLANK",,$D31,"NTM"),M31)</f>
        <v>12.183136593</v>
      </c>
      <c r="N31" s="963" cm="1">
        <f t="array" aca="1" ref="N31" ca="1">IF(Thomson=1,_xll.TR(N$7,N$6,"Sdate=#1 Period=#2 NULL=BLANK",,$D31,"NTM"),N31)</f>
        <v>13.320696286</v>
      </c>
      <c r="O31" s="963" cm="1">
        <f t="array" aca="1" ref="O31" ca="1">IF(Thomson=1,_xll.TR(O$7,O$6,"Sdate=#1 Period=#2 NULL=BLANK",,$D31,"NTM"),O31)</f>
        <v>5.9096056199999998</v>
      </c>
    </row>
    <row r="32" spans="1:15" ht="11.25" customHeight="1">
      <c r="C32" s="969">
        <f t="shared" si="2"/>
        <v>42369</v>
      </c>
      <c r="D32" s="970">
        <f t="shared" si="1"/>
        <v>42414</v>
      </c>
      <c r="E32" s="963" cm="1">
        <f t="array" aca="1" ref="E32" ca="1">IF(Thomson=1,_xll.TR(E$7,E$6,"Sdate=#1 Period=#2 NULL=BLANK",,$D32,"NTM"),E32)</f>
        <v>8.5535561569999992</v>
      </c>
      <c r="F32" s="963" cm="1">
        <f t="array" aca="1" ref="F32" ca="1">IF(Thomson=1,_xll.TR(F$7,F$6,"Sdate=#1 Period=#2 NULL=BLANK",,$D32,"NTM"),F32)</f>
        <v>8.9210314040000007</v>
      </c>
      <c r="G32" s="963" cm="1">
        <f t="array" aca="1" ref="G32" ca="1">IF(Thomson=1,_xll.TR(G$7,G$6,"Sdate=#1 Period=#2 NULL=BLANK",,$D32,"NTM"),G32)</f>
        <v>11.967958557999999</v>
      </c>
      <c r="H32" s="963" t="str" cm="1">
        <f t="array" aca="1" ref="H32" ca="1">IF(Thomson=1,_xll.TR(H$7,H$6,"Sdate=#1 Period=#2 NULL=BLANK",,$D32,"NTM"),H32)</f>
        <v/>
      </c>
      <c r="I32" s="963" cm="1">
        <f t="array" aca="1" ref="I32" ca="1">IF(Thomson=1,_xll.TR(I$7,I$6,"Sdate=#1 Period=#2 NULL=BLANK",,$D32,"NTM"),I32)</f>
        <v>7.7266152129999996</v>
      </c>
      <c r="J32" s="963" t="str" cm="1">
        <f t="array" aca="1" ref="J32" ca="1">IF(Thomson=1,_xll.TR(J$7,J$6,"Sdate=#1 Period=#2 NULL=BLANK",,$D32,"NTM"),J32)</f>
        <v/>
      </c>
      <c r="K32" s="963" cm="1">
        <f t="array" aca="1" ref="K32" ca="1">IF(Thomson=1,_xll.TR(K$7,K$6,"Sdate=#1 Period=#2 NULL=BLANK",,$D32,"NTM"),K32)</f>
        <v>12.043062548</v>
      </c>
      <c r="L32" s="963" cm="1">
        <f t="array" aca="1" ref="L32" ca="1">IF(Thomson=1,_xll.TR(L$7,L$6,"Sdate=#1 Period=#2 NULL=BLANK",,$D32,"NTM"),L32)</f>
        <v>9.8057483600000008</v>
      </c>
      <c r="M32" s="963" cm="1">
        <f t="array" aca="1" ref="M32" ca="1">IF(Thomson=1,_xll.TR(M$7,M$6,"Sdate=#1 Period=#2 NULL=BLANK",,$D32,"NTM"),M32)</f>
        <v>9.6652210699999994</v>
      </c>
      <c r="N32" s="963" cm="1">
        <f t="array" aca="1" ref="N32" ca="1">IF(Thomson=1,_xll.TR(N$7,N$6,"Sdate=#1 Period=#2 NULL=BLANK",,$D32,"NTM"),N32)</f>
        <v>11.200718791</v>
      </c>
      <c r="O32" s="963" cm="1">
        <f t="array" aca="1" ref="O32" ca="1">IF(Thomson=1,_xll.TR(O$7,O$6,"Sdate=#1 Period=#2 NULL=BLANK",,$D32,"NTM"),O32)</f>
        <v>4.8490555559999997</v>
      </c>
    </row>
    <row r="33" spans="3:15" ht="11.25" customHeight="1">
      <c r="C33" s="971">
        <f t="shared" si="2"/>
        <v>42460</v>
      </c>
      <c r="D33" s="970">
        <f t="shared" si="1"/>
        <v>42505</v>
      </c>
      <c r="E33" s="963" cm="1">
        <f t="array" aca="1" ref="E33" ca="1">IF(Thomson=1,_xll.TR(E$7,E$6,"Sdate=#1 Period=#2 NULL=BLANK",,$D33,"NTM"),E33)</f>
        <v>9.9897804650000008</v>
      </c>
      <c r="F33" s="963" cm="1">
        <f t="array" aca="1" ref="F33" ca="1">IF(Thomson=1,_xll.TR(F$7,F$6,"Sdate=#1 Period=#2 NULL=BLANK",,$D33,"NTM"),F33)</f>
        <v>10.301699103000001</v>
      </c>
      <c r="G33" s="963" cm="1">
        <f t="array" aca="1" ref="G33" ca="1">IF(Thomson=1,_xll.TR(G$7,G$6,"Sdate=#1 Period=#2 NULL=BLANK",,$D33,"NTM"),G33)</f>
        <v>14.37522528</v>
      </c>
      <c r="H33" s="963" t="str" cm="1">
        <f t="array" aca="1" ref="H33" ca="1">IF(Thomson=1,_xll.TR(H$7,H$6,"Sdate=#1 Period=#2 NULL=BLANK",,$D33,"NTM"),H33)</f>
        <v/>
      </c>
      <c r="I33" s="963" cm="1">
        <f t="array" aca="1" ref="I33" ca="1">IF(Thomson=1,_xll.TR(I$7,I$6,"Sdate=#1 Period=#2 NULL=BLANK",,$D33,"NTM"),I33)</f>
        <v>7.84439595</v>
      </c>
      <c r="J33" s="963" t="str" cm="1">
        <f t="array" aca="1" ref="J33" ca="1">IF(Thomson=1,_xll.TR(J$7,J$6,"Sdate=#1 Period=#2 NULL=BLANK",,$D33,"NTM"),J33)</f>
        <v/>
      </c>
      <c r="K33" s="963" cm="1">
        <f t="array" aca="1" ref="K33" ca="1">IF(Thomson=1,_xll.TR(K$7,K$6,"Sdate=#1 Period=#2 NULL=BLANK",,$D33,"NTM"),K33)</f>
        <v>16.038862753</v>
      </c>
      <c r="L33" s="963" cm="1">
        <f t="array" aca="1" ref="L33" ca="1">IF(Thomson=1,_xll.TR(L$7,L$6,"Sdate=#1 Period=#2 NULL=BLANK",,$D33,"NTM"),L33)</f>
        <v>14.790862711000001</v>
      </c>
      <c r="M33" s="963" cm="1">
        <f t="array" aca="1" ref="M33" ca="1">IF(Thomson=1,_xll.TR(M$7,M$6,"Sdate=#1 Period=#2 NULL=BLANK",,$D33,"NTM"),M33)</f>
        <v>10.926371853999999</v>
      </c>
      <c r="N33" s="963" cm="1">
        <f t="array" aca="1" ref="N33" ca="1">IF(Thomson=1,_xll.TR(N$7,N$6,"Sdate=#1 Period=#2 NULL=BLANK",,$D33,"NTM"),N33)</f>
        <v>14.477458477000001</v>
      </c>
      <c r="O33" s="963" cm="1">
        <f t="array" aca="1" ref="O33" ca="1">IF(Thomson=1,_xll.TR(O$7,O$6,"Sdate=#1 Period=#2 NULL=BLANK",,$D33,"NTM"),O33)</f>
        <v>7.3819119290000001</v>
      </c>
    </row>
    <row r="34" spans="3:15" ht="11.25" customHeight="1">
      <c r="C34" s="972">
        <f t="shared" si="2"/>
        <v>42551</v>
      </c>
      <c r="D34" s="970">
        <f t="shared" si="1"/>
        <v>42596</v>
      </c>
      <c r="E34" s="963" cm="1">
        <f t="array" aca="1" ref="E34" ca="1">IF(Thomson=1,_xll.TR(E$7,E$6,"Sdate=#1 Period=#2 NULL=BLANK",,$D34,"NTM"),E34)</f>
        <v>9.3872103629999994</v>
      </c>
      <c r="F34" s="963" cm="1">
        <f t="array" aca="1" ref="F34" ca="1">IF(Thomson=1,_xll.TR(F$7,F$6,"Sdate=#1 Period=#2 NULL=BLANK",,$D34,"NTM"),F34)</f>
        <v>9.6053967799999995</v>
      </c>
      <c r="G34" s="963" cm="1">
        <f t="array" aca="1" ref="G34" ca="1">IF(Thomson=1,_xll.TR(G$7,G$6,"Sdate=#1 Period=#2 NULL=BLANK",,$D34,"NTM"),G34)</f>
        <v>15.139256577999999</v>
      </c>
      <c r="H34" s="963" t="str" cm="1">
        <f t="array" aca="1" ref="H34" ca="1">IF(Thomson=1,_xll.TR(H$7,H$6,"Sdate=#1 Period=#2 NULL=BLANK",,$D34,"NTM"),H34)</f>
        <v/>
      </c>
      <c r="I34" s="963" cm="1">
        <f t="array" aca="1" ref="I34" ca="1">IF(Thomson=1,_xll.TR(I$7,I$6,"Sdate=#1 Period=#2 NULL=BLANK",,$D34,"NTM"),I34)</f>
        <v>7.4833322219999996</v>
      </c>
      <c r="J34" s="963" t="str" cm="1">
        <f t="array" aca="1" ref="J34" ca="1">IF(Thomson=1,_xll.TR(J$7,J$6,"Sdate=#1 Period=#2 NULL=BLANK",,$D34,"NTM"),J34)</f>
        <v/>
      </c>
      <c r="K34" s="963" cm="1">
        <f t="array" aca="1" ref="K34" ca="1">IF(Thomson=1,_xll.TR(K$7,K$6,"Sdate=#1 Period=#2 NULL=BLANK",,$D34,"NTM"),K34)</f>
        <v>14.431262023</v>
      </c>
      <c r="L34" s="963" cm="1">
        <f t="array" aca="1" ref="L34" ca="1">IF(Thomson=1,_xll.TR(L$7,L$6,"Sdate=#1 Period=#2 NULL=BLANK",,$D34,"NTM"),L34)</f>
        <v>15.849682096</v>
      </c>
      <c r="M34" s="963" cm="1">
        <f t="array" aca="1" ref="M34" ca="1">IF(Thomson=1,_xll.TR(M$7,M$6,"Sdate=#1 Period=#2 NULL=BLANK",,$D34,"NTM"),M34)</f>
        <v>12.204113818</v>
      </c>
      <c r="N34" s="963" cm="1">
        <f t="array" aca="1" ref="N34" ca="1">IF(Thomson=1,_xll.TR(N$7,N$6,"Sdate=#1 Period=#2 NULL=BLANK",,$D34,"NTM"),N34)</f>
        <v>14.268429082000001</v>
      </c>
      <c r="O34" s="963" cm="1">
        <f t="array" aca="1" ref="O34" ca="1">IF(Thomson=1,_xll.TR(O$7,O$6,"Sdate=#1 Period=#2 NULL=BLANK",,$D34,"NTM"),O34)</f>
        <v>8.575151451</v>
      </c>
    </row>
    <row r="35" spans="3:15" ht="11.25" customHeight="1">
      <c r="C35" s="973">
        <f t="shared" si="2"/>
        <v>42643</v>
      </c>
      <c r="D35" s="970">
        <f t="shared" si="1"/>
        <v>42688</v>
      </c>
      <c r="E35" s="963" cm="1">
        <f t="array" aca="1" ref="E35" ca="1">IF(Thomson=1,_xll.TR(E$7,E$6,"Sdate=#1 Period=#2 NULL=BLANK",,$D35,"NTM"),E35)</f>
        <v>10.285875887</v>
      </c>
      <c r="F35" s="963" cm="1">
        <f t="array" aca="1" ref="F35" ca="1">IF(Thomson=1,_xll.TR(F$7,F$6,"Sdate=#1 Period=#2 NULL=BLANK",,$D35,"NTM"),F35)</f>
        <v>11.017215723</v>
      </c>
      <c r="G35" s="963" cm="1">
        <f t="array" aca="1" ref="G35" ca="1">IF(Thomson=1,_xll.TR(G$7,G$6,"Sdate=#1 Period=#2 NULL=BLANK",,$D35,"NTM"),G35)</f>
        <v>16.127508831</v>
      </c>
      <c r="H35" s="963" t="str" cm="1">
        <f t="array" aca="1" ref="H35" ca="1">IF(Thomson=1,_xll.TR(H$7,H$6,"Sdate=#1 Period=#2 NULL=BLANK",,$D35,"NTM"),H35)</f>
        <v/>
      </c>
      <c r="I35" s="963" cm="1">
        <f t="array" aca="1" ref="I35" ca="1">IF(Thomson=1,_xll.TR(I$7,I$6,"Sdate=#1 Period=#2 NULL=BLANK",,$D35,"NTM"),I35)</f>
        <v>7.9939295899999996</v>
      </c>
      <c r="J35" s="963" t="str" cm="1">
        <f t="array" aca="1" ref="J35" ca="1">IF(Thomson=1,_xll.TR(J$7,J$6,"Sdate=#1 Period=#2 NULL=BLANK",,$D35,"NTM"),J35)</f>
        <v/>
      </c>
      <c r="K35" s="963" cm="1">
        <f t="array" aca="1" ref="K35" ca="1">IF(Thomson=1,_xll.TR(K$7,K$6,"Sdate=#1 Period=#2 NULL=BLANK",,$D35,"NTM"),K35)</f>
        <v>14.227400567</v>
      </c>
      <c r="L35" s="963" cm="1">
        <f t="array" aca="1" ref="L35" ca="1">IF(Thomson=1,_xll.TR(L$7,L$6,"Sdate=#1 Period=#2 NULL=BLANK",,$D35,"NTM"),L35)</f>
        <v>20.319739983000002</v>
      </c>
      <c r="M35" s="963" cm="1">
        <f t="array" aca="1" ref="M35" ca="1">IF(Thomson=1,_xll.TR(M$7,M$6,"Sdate=#1 Period=#2 NULL=BLANK",,$D35,"NTM"),M35)</f>
        <v>13.181743485</v>
      </c>
      <c r="N35" s="963" cm="1">
        <f t="array" aca="1" ref="N35" ca="1">IF(Thomson=1,_xll.TR(N$7,N$6,"Sdate=#1 Period=#2 NULL=BLANK",,$D35,"NTM"),N35)</f>
        <v>12.263815547</v>
      </c>
      <c r="O35" s="963" cm="1">
        <f t="array" aca="1" ref="O35" ca="1">IF(Thomson=1,_xll.TR(O$7,O$6,"Sdate=#1 Period=#2 NULL=BLANK",,$D35,"NTM"),O35)</f>
        <v>10.075237353</v>
      </c>
    </row>
    <row r="36" spans="3:15" ht="11.25" customHeight="1">
      <c r="C36" s="969">
        <f t="shared" si="2"/>
        <v>42735</v>
      </c>
      <c r="D36" s="970">
        <f t="shared" si="1"/>
        <v>42780</v>
      </c>
      <c r="E36" s="963" cm="1">
        <f t="array" aca="1" ref="E36" ca="1">IF(Thomson=1,_xll.TR(E$7,E$6,"Sdate=#1 Period=#2 NULL=BLANK",,$D36,"NTM"),E36)</f>
        <v>10.944724136</v>
      </c>
      <c r="F36" s="963" cm="1">
        <f t="array" aca="1" ref="F36" ca="1">IF(Thomson=1,_xll.TR(F$7,F$6,"Sdate=#1 Period=#2 NULL=BLANK",,$D36,"NTM"),F36)</f>
        <v>12.061352584</v>
      </c>
      <c r="G36" s="963" cm="1">
        <f t="array" aca="1" ref="G36" ca="1">IF(Thomson=1,_xll.TR(G$7,G$6,"Sdate=#1 Period=#2 NULL=BLANK",,$D36,"NTM"),G36)</f>
        <v>16.926437851999999</v>
      </c>
      <c r="H36" s="963" t="str" cm="1">
        <f t="array" aca="1" ref="H36" ca="1">IF(Thomson=1,_xll.TR(H$7,H$6,"Sdate=#1 Period=#2 NULL=BLANK",,$D36,"NTM"),H36)</f>
        <v/>
      </c>
      <c r="I36" s="963" cm="1">
        <f t="array" aca="1" ref="I36" ca="1">IF(Thomson=1,_xll.TR(I$7,I$6,"Sdate=#1 Period=#2 NULL=BLANK",,$D36,"NTM"),I36)</f>
        <v>9.0226643679999992</v>
      </c>
      <c r="J36" s="963" t="str" cm="1">
        <f t="array" aca="1" ref="J36" ca="1">IF(Thomson=1,_xll.TR(J$7,J$6,"Sdate=#1 Period=#2 NULL=BLANK",,$D36,"NTM"),J36)</f>
        <v/>
      </c>
      <c r="K36" s="963" cm="1">
        <f t="array" aca="1" ref="K36" ca="1">IF(Thomson=1,_xll.TR(K$7,K$6,"Sdate=#1 Period=#2 NULL=BLANK",,$D36,"NTM"),K36)</f>
        <v>14.496878994999999</v>
      </c>
      <c r="L36" s="963" cm="1">
        <f t="array" aca="1" ref="L36" ca="1">IF(Thomson=1,_xll.TR(L$7,L$6,"Sdate=#1 Period=#2 NULL=BLANK",,$D36,"NTM"),L36)</f>
        <v>20.760230737000001</v>
      </c>
      <c r="M36" s="963" cm="1">
        <f t="array" aca="1" ref="M36" ca="1">IF(Thomson=1,_xll.TR(M$7,M$6,"Sdate=#1 Period=#2 NULL=BLANK",,$D36,"NTM"),M36)</f>
        <v>15.465630327</v>
      </c>
      <c r="N36" s="963" cm="1">
        <f t="array" aca="1" ref="N36" ca="1">IF(Thomson=1,_xll.TR(N$7,N$6,"Sdate=#1 Period=#2 NULL=BLANK",,$D36,"NTM"),N36)</f>
        <v>15.18958544</v>
      </c>
      <c r="O36" s="963" cm="1">
        <f t="array" aca="1" ref="O36" ca="1">IF(Thomson=1,_xll.TR(O$7,O$6,"Sdate=#1 Period=#2 NULL=BLANK",,$D36,"NTM"),O36)</f>
        <v>11.287842583</v>
      </c>
    </row>
    <row r="37" spans="3:15" ht="11.25" customHeight="1">
      <c r="C37" s="971">
        <f t="shared" si="2"/>
        <v>42825</v>
      </c>
      <c r="D37" s="970">
        <f t="shared" si="1"/>
        <v>42870</v>
      </c>
      <c r="E37" s="963" cm="1">
        <f t="array" aca="1" ref="E37" ca="1">IF(Thomson=1,_xll.TR(E$7,E$6,"Sdate=#1 Period=#2 NULL=BLANK",,$D37,"NTM"),E37)</f>
        <v>10.245286221000001</v>
      </c>
      <c r="F37" s="963" cm="1">
        <f t="array" aca="1" ref="F37" ca="1">IF(Thomson=1,_xll.TR(F$7,F$6,"Sdate=#1 Period=#2 NULL=BLANK",,$D37,"NTM"),F37)</f>
        <v>11.450865621</v>
      </c>
      <c r="G37" s="963" cm="1">
        <f t="array" aca="1" ref="G37" ca="1">IF(Thomson=1,_xll.TR(G$7,G$6,"Sdate=#1 Period=#2 NULL=BLANK",,$D37,"NTM"),G37)</f>
        <v>15.468724109</v>
      </c>
      <c r="H37" s="963" t="str" cm="1">
        <f t="array" aca="1" ref="H37" ca="1">IF(Thomson=1,_xll.TR(H$7,H$6,"Sdate=#1 Period=#2 NULL=BLANK",,$D37,"NTM"),H37)</f>
        <v/>
      </c>
      <c r="I37" s="963" cm="1">
        <f t="array" aca="1" ref="I37" ca="1">IF(Thomson=1,_xll.TR(I$7,I$6,"Sdate=#1 Period=#2 NULL=BLANK",,$D37,"NTM"),I37)</f>
        <v>8.1626702380000005</v>
      </c>
      <c r="J37" s="963" t="str" cm="1">
        <f t="array" aca="1" ref="J37" ca="1">IF(Thomson=1,_xll.TR(J$7,J$6,"Sdate=#1 Period=#2 NULL=BLANK",,$D37,"NTM"),J37)</f>
        <v/>
      </c>
      <c r="K37" s="963" cm="1">
        <f t="array" aca="1" ref="K37" ca="1">IF(Thomson=1,_xll.TR(K$7,K$6,"Sdate=#1 Period=#2 NULL=BLANK",,$D37,"NTM"),K37)</f>
        <v>16.075491280000001</v>
      </c>
      <c r="L37" s="963" cm="1">
        <f t="array" aca="1" ref="L37" ca="1">IF(Thomson=1,_xll.TR(L$7,L$6,"Sdate=#1 Period=#2 NULL=BLANK",,$D37,"NTM"),L37)</f>
        <v>20.098326711999999</v>
      </c>
      <c r="M37" s="963" cm="1">
        <f t="array" aca="1" ref="M37" ca="1">IF(Thomson=1,_xll.TR(M$7,M$6,"Sdate=#1 Period=#2 NULL=BLANK",,$D37,"NTM"),M37)</f>
        <v>13.971889636</v>
      </c>
      <c r="N37" s="963" cm="1">
        <f t="array" aca="1" ref="N37" ca="1">IF(Thomson=1,_xll.TR(N$7,N$6,"Sdate=#1 Period=#2 NULL=BLANK",,$D37,"NTM"),N37)</f>
        <v>15.421616342</v>
      </c>
      <c r="O37" s="963" cm="1">
        <f t="array" aca="1" ref="O37" ca="1">IF(Thomson=1,_xll.TR(O$7,O$6,"Sdate=#1 Period=#2 NULL=BLANK",,$D37,"NTM"),O37)</f>
        <v>11.797455148999999</v>
      </c>
    </row>
    <row r="38" spans="3:15" ht="11.25" customHeight="1">
      <c r="C38" s="972">
        <f t="shared" si="2"/>
        <v>42916</v>
      </c>
      <c r="D38" s="970">
        <f t="shared" si="1"/>
        <v>42961</v>
      </c>
      <c r="E38" s="963" cm="1">
        <f t="array" aca="1" ref="E38" ca="1">IF(Thomson=1,_xll.TR(E$7,E$6,"Sdate=#1 Period=#2 NULL=BLANK",,$D38,"NTM"),E38)</f>
        <v>10.703316372</v>
      </c>
      <c r="F38" s="963" cm="1">
        <f t="array" aca="1" ref="F38" ca="1">IF(Thomson=1,_xll.TR(F$7,F$6,"Sdate=#1 Period=#2 NULL=BLANK",,$D38,"NTM"),F38)</f>
        <v>12.512320301000001</v>
      </c>
      <c r="G38" s="963" cm="1">
        <f t="array" aca="1" ref="G38" ca="1">IF(Thomson=1,_xll.TR(G$7,G$6,"Sdate=#1 Period=#2 NULL=BLANK",,$D38,"NTM"),G38)</f>
        <v>13.942292324</v>
      </c>
      <c r="H38" s="963" t="str" cm="1">
        <f t="array" aca="1" ref="H38" ca="1">IF(Thomson=1,_xll.TR(H$7,H$6,"Sdate=#1 Period=#2 NULL=BLANK",,$D38,"NTM"),H38)</f>
        <v/>
      </c>
      <c r="I38" s="963" cm="1">
        <f t="array" aca="1" ref="I38" ca="1">IF(Thomson=1,_xll.TR(I$7,I$6,"Sdate=#1 Period=#2 NULL=BLANK",,$D38,"NTM"),I38)</f>
        <v>9.0071109059999994</v>
      </c>
      <c r="J38" s="963" t="str" cm="1">
        <f t="array" aca="1" ref="J38" ca="1">IF(Thomson=1,_xll.TR(J$7,J$6,"Sdate=#1 Period=#2 NULL=BLANK",,$D38,"NTM"),J38)</f>
        <v/>
      </c>
      <c r="K38" s="963" cm="1">
        <f t="array" aca="1" ref="K38" ca="1">IF(Thomson=1,_xll.TR(K$7,K$6,"Sdate=#1 Period=#2 NULL=BLANK",,$D38,"NTM"),K38)</f>
        <v>15.253158589</v>
      </c>
      <c r="L38" s="963" cm="1">
        <f t="array" aca="1" ref="L38" ca="1">IF(Thomson=1,_xll.TR(L$7,L$6,"Sdate=#1 Period=#2 NULL=BLANK",,$D38,"NTM"),L38)</f>
        <v>17.561313124000002</v>
      </c>
      <c r="M38" s="963" cm="1">
        <f t="array" aca="1" ref="M38" ca="1">IF(Thomson=1,_xll.TR(M$7,M$6,"Sdate=#1 Period=#2 NULL=BLANK",,$D38,"NTM"),M38)</f>
        <v>14.096169119000001</v>
      </c>
      <c r="N38" s="963" cm="1">
        <f t="array" aca="1" ref="N38" ca="1">IF(Thomson=1,_xll.TR(N$7,N$6,"Sdate=#1 Period=#2 NULL=BLANK",,$D38,"NTM"),N38)</f>
        <v>12.893284515</v>
      </c>
      <c r="O38" s="963" cm="1">
        <f t="array" aca="1" ref="O38" ca="1">IF(Thomson=1,_xll.TR(O$7,O$6,"Sdate=#1 Period=#2 NULL=BLANK",,$D38,"NTM"),O38)</f>
        <v>10.857452725</v>
      </c>
    </row>
    <row r="39" spans="3:15" ht="11.25" customHeight="1">
      <c r="C39" s="973">
        <f t="shared" si="2"/>
        <v>43008</v>
      </c>
      <c r="D39" s="970">
        <f t="shared" si="1"/>
        <v>43053</v>
      </c>
      <c r="E39" s="963" cm="1">
        <f t="array" aca="1" ref="E39" ca="1">IF(Thomson=1,_xll.TR(E$7,E$6,"Sdate=#1 Period=#2 NULL=BLANK",,$D39,"NTM"),E39)</f>
        <v>11.264194947</v>
      </c>
      <c r="F39" s="963" cm="1">
        <f t="array" aca="1" ref="F39" ca="1">IF(Thomson=1,_xll.TR(F$7,F$6,"Sdate=#1 Period=#2 NULL=BLANK",,$D39,"NTM"),F39)</f>
        <v>12.925444789</v>
      </c>
      <c r="G39" s="963" cm="1">
        <f t="array" aca="1" ref="G39" ca="1">IF(Thomson=1,_xll.TR(G$7,G$6,"Sdate=#1 Period=#2 NULL=BLANK",,$D39,"NTM"),G39)</f>
        <v>15.302556049</v>
      </c>
      <c r="H39" s="963" t="str" cm="1">
        <f t="array" aca="1" ref="H39" ca="1">IF(Thomson=1,_xll.TR(H$7,H$6,"Sdate=#1 Period=#2 NULL=BLANK",,$D39,"NTM"),H39)</f>
        <v/>
      </c>
      <c r="I39" s="963" cm="1">
        <f t="array" aca="1" ref="I39" ca="1">IF(Thomson=1,_xll.TR(I$7,I$6,"Sdate=#1 Period=#2 NULL=BLANK",,$D39,"NTM"),I39)</f>
        <v>10.423054844999999</v>
      </c>
      <c r="J39" s="963" cm="1">
        <f t="array" aca="1" ref="J39" ca="1">IF(Thomson=1,_xll.TR(J$7,J$6,"Sdate=#1 Period=#2 NULL=BLANK",,$D39,"NTM"),J39)</f>
        <v>8.3022331279999992</v>
      </c>
      <c r="K39" s="963" cm="1">
        <f t="array" aca="1" ref="K39" ca="1">IF(Thomson=1,_xll.TR(K$7,K$6,"Sdate=#1 Period=#2 NULL=BLANK",,$D39,"NTM"),K39)</f>
        <v>18.359690235999999</v>
      </c>
      <c r="L39" s="963" cm="1">
        <f t="array" aca="1" ref="L39" ca="1">IF(Thomson=1,_xll.TR(L$7,L$6,"Sdate=#1 Period=#2 NULL=BLANK",,$D39,"NTM"),L39)</f>
        <v>16.538122628</v>
      </c>
      <c r="M39" s="963" cm="1">
        <f t="array" aca="1" ref="M39" ca="1">IF(Thomson=1,_xll.TR(M$7,M$6,"Sdate=#1 Period=#2 NULL=BLANK",,$D39,"NTM"),M39)</f>
        <v>14.879825329000001</v>
      </c>
      <c r="N39" s="963" cm="1">
        <f t="array" aca="1" ref="N39" ca="1">IF(Thomson=1,_xll.TR(N$7,N$6,"Sdate=#1 Period=#2 NULL=BLANK",,$D39,"NTM"),N39)</f>
        <v>14.293237601</v>
      </c>
      <c r="O39" s="963" cm="1">
        <f t="array" aca="1" ref="O39" ca="1">IF(Thomson=1,_xll.TR(O$7,O$6,"Sdate=#1 Period=#2 NULL=BLANK",,$D39,"NTM"),O39)</f>
        <v>12.932031858</v>
      </c>
    </row>
    <row r="40" spans="3:15" ht="11.25" customHeight="1">
      <c r="C40" s="969">
        <f t="shared" si="2"/>
        <v>43100</v>
      </c>
      <c r="D40" s="970">
        <f t="shared" si="1"/>
        <v>43145</v>
      </c>
      <c r="E40" s="963" cm="1">
        <f t="array" aca="1" ref="E40" ca="1">IF(Thomson=1,_xll.TR(E$7,E$6,"Sdate=#1 Period=#2 NULL=BLANK",,$D40,"NTM"),E40)</f>
        <v>11.682606263</v>
      </c>
      <c r="F40" s="963" cm="1">
        <f t="array" aca="1" ref="F40" ca="1">IF(Thomson=1,_xll.TR(F$7,F$6,"Sdate=#1 Period=#2 NULL=BLANK",,$D40,"NTM"),F40)</f>
        <v>11.911277304</v>
      </c>
      <c r="G40" s="963" cm="1">
        <f t="array" aca="1" ref="G40" ca="1">IF(Thomson=1,_xll.TR(G$7,G$6,"Sdate=#1 Period=#2 NULL=BLANK",,$D40,"NTM"),G40)</f>
        <v>13.302463807000001</v>
      </c>
      <c r="H40" s="963" t="str" cm="1">
        <f t="array" aca="1" ref="H40" ca="1">IF(Thomson=1,_xll.TR(H$7,H$6,"Sdate=#1 Period=#2 NULL=BLANK",,$D40,"NTM"),H40)</f>
        <v/>
      </c>
      <c r="I40" s="963" cm="1">
        <f t="array" aca="1" ref="I40" ca="1">IF(Thomson=1,_xll.TR(I$7,I$6,"Sdate=#1 Period=#2 NULL=BLANK",,$D40,"NTM"),I40)</f>
        <v>10.238546889</v>
      </c>
      <c r="J40" s="963" cm="1">
        <f t="array" aca="1" ref="J40" ca="1">IF(Thomson=1,_xll.TR(J$7,J$6,"Sdate=#1 Period=#2 NULL=BLANK",,$D40,"NTM"),J40)</f>
        <v>8.0322828279999996</v>
      </c>
      <c r="K40" s="963" cm="1">
        <f t="array" aca="1" ref="K40" ca="1">IF(Thomson=1,_xll.TR(K$7,K$6,"Sdate=#1 Period=#2 NULL=BLANK",,$D40,"NTM"),K40)</f>
        <v>16.29487057</v>
      </c>
      <c r="L40" s="963" cm="1">
        <f t="array" aca="1" ref="L40" ca="1">IF(Thomson=1,_xll.TR(L$7,L$6,"Sdate=#1 Period=#2 NULL=BLANK",,$D40,"NTM"),L40)</f>
        <v>14.916790021000001</v>
      </c>
      <c r="M40" s="963" cm="1">
        <f t="array" aca="1" ref="M40" ca="1">IF(Thomson=1,_xll.TR(M$7,M$6,"Sdate=#1 Period=#2 NULL=BLANK",,$D40,"NTM"),M40)</f>
        <v>14.523560707</v>
      </c>
      <c r="N40" s="963" cm="1">
        <f t="array" aca="1" ref="N40" ca="1">IF(Thomson=1,_xll.TR(N$7,N$6,"Sdate=#1 Period=#2 NULL=BLANK",,$D40,"NTM"),N40)</f>
        <v>13.109140398999999</v>
      </c>
      <c r="O40" s="963" cm="1">
        <f t="array" aca="1" ref="O40" ca="1">IF(Thomson=1,_xll.TR(O$7,O$6,"Sdate=#1 Period=#2 NULL=BLANK",,$D40,"NTM"),O40)</f>
        <v>12.480558544999999</v>
      </c>
    </row>
    <row r="41" spans="3:15" ht="11.25" customHeight="1">
      <c r="C41" s="971">
        <f t="shared" si="2"/>
        <v>43190</v>
      </c>
      <c r="D41" s="970">
        <f t="shared" si="1"/>
        <v>43235</v>
      </c>
      <c r="E41" s="963" cm="1">
        <f t="array" aca="1" ref="E41" ca="1">IF(Thomson=1,_xll.TR(E$7,E$6,"Sdate=#1 Period=#2 NULL=BLANK",,$D41,"NTM"),E41)</f>
        <v>12.165028704999999</v>
      </c>
      <c r="F41" s="963" cm="1">
        <f t="array" aca="1" ref="F41" ca="1">IF(Thomson=1,_xll.TR(F$7,F$6,"Sdate=#1 Period=#2 NULL=BLANK",,$D41,"NTM"),F41)</f>
        <v>11.259332527</v>
      </c>
      <c r="G41" s="963" cm="1">
        <f t="array" aca="1" ref="G41" ca="1">IF(Thomson=1,_xll.TR(G$7,G$6,"Sdate=#1 Period=#2 NULL=BLANK",,$D41,"NTM"),G41)</f>
        <v>13.010252964999999</v>
      </c>
      <c r="H41" s="963" t="str" cm="1">
        <f t="array" aca="1" ref="H41" ca="1">IF(Thomson=1,_xll.TR(H$7,H$6,"Sdate=#1 Period=#2 NULL=BLANK",,$D41,"NTM"),H41)</f>
        <v/>
      </c>
      <c r="I41" s="963" cm="1">
        <f t="array" aca="1" ref="I41" ca="1">IF(Thomson=1,_xll.TR(I$7,I$6,"Sdate=#1 Period=#2 NULL=BLANK",,$D41,"NTM"),I41)</f>
        <v>9.698770197</v>
      </c>
      <c r="J41" s="963" cm="1">
        <f t="array" aca="1" ref="J41" ca="1">IF(Thomson=1,_xll.TR(J$7,J$6,"Sdate=#1 Period=#2 NULL=BLANK",,$D41,"NTM"),J41)</f>
        <v>7.174281798</v>
      </c>
      <c r="K41" s="963" cm="1">
        <f t="array" aca="1" ref="K41" ca="1">IF(Thomson=1,_xll.TR(K$7,K$6,"Sdate=#1 Period=#2 NULL=BLANK",,$D41,"NTM"),K41)</f>
        <v>15.899252901000001</v>
      </c>
      <c r="L41" s="963" cm="1">
        <f t="array" aca="1" ref="L41" ca="1">IF(Thomson=1,_xll.TR(L$7,L$6,"Sdate=#1 Period=#2 NULL=BLANK",,$D41,"NTM"),L41)</f>
        <v>14.563803396999999</v>
      </c>
      <c r="M41" s="963" cm="1">
        <f t="array" aca="1" ref="M41" ca="1">IF(Thomson=1,_xll.TR(M$7,M$6,"Sdate=#1 Period=#2 NULL=BLANK",,$D41,"NTM"),M41)</f>
        <v>12.892460013000001</v>
      </c>
      <c r="N41" s="963" cm="1">
        <f t="array" aca="1" ref="N41" ca="1">IF(Thomson=1,_xll.TR(N$7,N$6,"Sdate=#1 Period=#2 NULL=BLANK",,$D41,"NTM"),N41)</f>
        <v>13.294190919</v>
      </c>
      <c r="O41" s="963" cm="1">
        <f t="array" aca="1" ref="O41" ca="1">IF(Thomson=1,_xll.TR(O$7,O$6,"Sdate=#1 Period=#2 NULL=BLANK",,$D41,"NTM"),O41)</f>
        <v>10.236117531</v>
      </c>
    </row>
    <row r="42" spans="3:15" ht="11.25" customHeight="1">
      <c r="C42" s="972">
        <f t="shared" si="2"/>
        <v>43281</v>
      </c>
      <c r="D42" s="970">
        <f t="shared" si="1"/>
        <v>43326</v>
      </c>
      <c r="E42" s="963" cm="1">
        <f t="array" aca="1" ref="E42" ca="1">IF(Thomson=1,_xll.TR(E$7,E$6,"Sdate=#1 Period=#2 NULL=BLANK",,$D42,"NTM"),E42)</f>
        <v>10.970024061</v>
      </c>
      <c r="F42" s="963" cm="1">
        <f t="array" aca="1" ref="F42" ca="1">IF(Thomson=1,_xll.TR(F$7,F$6,"Sdate=#1 Period=#2 NULL=BLANK",,$D42,"NTM"),F42)</f>
        <v>10.752028121</v>
      </c>
      <c r="G42" s="963" cm="1">
        <f t="array" aca="1" ref="G42" ca="1">IF(Thomson=1,_xll.TR(G$7,G$6,"Sdate=#1 Period=#2 NULL=BLANK",,$D42,"NTM"),G42)</f>
        <v>11.571004053999999</v>
      </c>
      <c r="H42" s="963" t="str" cm="1">
        <f t="array" aca="1" ref="H42" ca="1">IF(Thomson=1,_xll.TR(H$7,H$6,"Sdate=#1 Period=#2 NULL=BLANK",,$D42,"NTM"),H42)</f>
        <v/>
      </c>
      <c r="I42" s="963" cm="1">
        <f t="array" aca="1" ref="I42" ca="1">IF(Thomson=1,_xll.TR(I$7,I$6,"Sdate=#1 Period=#2 NULL=BLANK",,$D42,"NTM"),I42)</f>
        <v>9.4323882930000007</v>
      </c>
      <c r="J42" s="963" cm="1">
        <f t="array" aca="1" ref="J42" ca="1">IF(Thomson=1,_xll.TR(J$7,J$6,"Sdate=#1 Period=#2 NULL=BLANK",,$D42,"NTM"),J42)</f>
        <v>6.9247316559999996</v>
      </c>
      <c r="K42" s="963" cm="1">
        <f t="array" aca="1" ref="K42" ca="1">IF(Thomson=1,_xll.TR(K$7,K$6,"Sdate=#1 Period=#2 NULL=BLANK",,$D42,"NTM"),K42)</f>
        <v>16.115579396000001</v>
      </c>
      <c r="L42" s="963" cm="1">
        <f t="array" aca="1" ref="L42" ca="1">IF(Thomson=1,_xll.TR(L$7,L$6,"Sdate=#1 Period=#2 NULL=BLANK",,$D42,"NTM"),L42)</f>
        <v>11.931995773000001</v>
      </c>
      <c r="M42" s="963" cm="1">
        <f t="array" aca="1" ref="M42" ca="1">IF(Thomson=1,_xll.TR(M$7,M$6,"Sdate=#1 Period=#2 NULL=BLANK",,$D42,"NTM"),M42)</f>
        <v>10.644663064</v>
      </c>
      <c r="N42" s="963" cm="1">
        <f t="array" aca="1" ref="N42" ca="1">IF(Thomson=1,_xll.TR(N$7,N$6,"Sdate=#1 Period=#2 NULL=BLANK",,$D42,"NTM"),N42)</f>
        <v>12.688481907</v>
      </c>
      <c r="O42" s="963" cm="1">
        <f t="array" aca="1" ref="O42" ca="1">IF(Thomson=1,_xll.TR(O$7,O$6,"Sdate=#1 Period=#2 NULL=BLANK",,$D42,"NTM"),O42)</f>
        <v>9.2267036880000006</v>
      </c>
    </row>
    <row r="43" spans="3:15" ht="11.25" customHeight="1">
      <c r="C43" s="973">
        <f t="shared" si="2"/>
        <v>43373</v>
      </c>
      <c r="D43" s="970">
        <f t="shared" si="1"/>
        <v>43418</v>
      </c>
      <c r="E43" s="963" cm="1">
        <f t="array" aca="1" ref="E43" ca="1">IF(Thomson=1,_xll.TR(E$7,E$6,"Sdate=#1 Period=#2 NULL=BLANK",,$D43,"NTM"),E43)</f>
        <v>9.0212064020000007</v>
      </c>
      <c r="F43" s="963" cm="1">
        <f t="array" aca="1" ref="F43" ca="1">IF(Thomson=1,_xll.TR(F$7,F$6,"Sdate=#1 Period=#2 NULL=BLANK",,$D43,"NTM"),F43)</f>
        <v>9.0230584030000003</v>
      </c>
      <c r="G43" s="963" cm="1">
        <f t="array" aca="1" ref="G43" ca="1">IF(Thomson=1,_xll.TR(G$7,G$6,"Sdate=#1 Period=#2 NULL=BLANK",,$D43,"NTM"),G43)</f>
        <v>10.692080167</v>
      </c>
      <c r="H43" s="963" t="str" cm="1">
        <f t="array" aca="1" ref="H43" ca="1">IF(Thomson=1,_xll.TR(H$7,H$6,"Sdate=#1 Period=#2 NULL=BLANK",,$D43,"NTM"),H43)</f>
        <v/>
      </c>
      <c r="I43" s="963" cm="1">
        <f t="array" aca="1" ref="I43" ca="1">IF(Thomson=1,_xll.TR(I$7,I$6,"Sdate=#1 Period=#2 NULL=BLANK",,$D43,"NTM"),I43)</f>
        <v>7.6496600900000002</v>
      </c>
      <c r="J43" s="963" cm="1">
        <f t="array" aca="1" ref="J43" ca="1">IF(Thomson=1,_xll.TR(J$7,J$6,"Sdate=#1 Period=#2 NULL=BLANK",,$D43,"NTM"),J43)</f>
        <v>5.8673623079999997</v>
      </c>
      <c r="K43" s="963" cm="1">
        <f t="array" aca="1" ref="K43" ca="1">IF(Thomson=1,_xll.TR(K$7,K$6,"Sdate=#1 Period=#2 NULL=BLANK",,$D43,"NTM"),K43)</f>
        <v>12.611573547000001</v>
      </c>
      <c r="L43" s="963" cm="1">
        <f t="array" aca="1" ref="L43" ca="1">IF(Thomson=1,_xll.TR(L$7,L$6,"Sdate=#1 Period=#2 NULL=BLANK",,$D43,"NTM"),L43)</f>
        <v>9.4178358099999997</v>
      </c>
      <c r="M43" s="963" cm="1">
        <f t="array" aca="1" ref="M43" ca="1">IF(Thomson=1,_xll.TR(M$7,M$6,"Sdate=#1 Period=#2 NULL=BLANK",,$D43,"NTM"),M43)</f>
        <v>8.4215907560000005</v>
      </c>
      <c r="N43" s="963" cm="1">
        <f t="array" aca="1" ref="N43" ca="1">IF(Thomson=1,_xll.TR(N$7,N$6,"Sdate=#1 Period=#2 NULL=BLANK",,$D43,"NTM"),N43)</f>
        <v>10.807297208</v>
      </c>
      <c r="O43" s="963" cm="1">
        <f t="array" aca="1" ref="O43" ca="1">IF(Thomson=1,_xll.TR(O$7,O$6,"Sdate=#1 Period=#2 NULL=BLANK",,$D43,"NTM"),O43)</f>
        <v>6.4577765109999996</v>
      </c>
    </row>
    <row r="44" spans="3:15" ht="11.25" customHeight="1">
      <c r="C44" s="969">
        <f t="shared" si="2"/>
        <v>43465</v>
      </c>
      <c r="D44" s="970">
        <f t="shared" si="1"/>
        <v>43510</v>
      </c>
      <c r="E44" s="963" cm="1">
        <f t="array" aca="1" ref="E44" ca="1">IF(Thomson=1,_xll.TR(E$7,E$6,"Sdate=#1 Period=#2 NULL=BLANK",,$D44,"NTM"),E44)</f>
        <v>9.2063831799999996</v>
      </c>
      <c r="F44" s="963" cm="1">
        <f t="array" aca="1" ref="F44" ca="1">IF(Thomson=1,_xll.TR(F$7,F$6,"Sdate=#1 Period=#2 NULL=BLANK",,$D44,"NTM"),F44)</f>
        <v>9.3221164420000004</v>
      </c>
      <c r="G44" s="963" cm="1">
        <f t="array" aca="1" ref="G44" ca="1">IF(Thomson=1,_xll.TR(G$7,G$6,"Sdate=#1 Period=#2 NULL=BLANK",,$D44,"NTM"),G44)</f>
        <v>11.625225224999999</v>
      </c>
      <c r="H44" s="963" t="str" cm="1">
        <f t="array" aca="1" ref="H44" ca="1">IF(Thomson=1,_xll.TR(H$7,H$6,"Sdate=#1 Period=#2 NULL=BLANK",,$D44,"NTM"),H44)</f>
        <v/>
      </c>
      <c r="I44" s="963" cm="1">
        <f t="array" aca="1" ref="I44" ca="1">IF(Thomson=1,_xll.TR(I$7,I$6,"Sdate=#1 Period=#2 NULL=BLANK",,$D44,"NTM"),I44)</f>
        <v>7.7493860750000003</v>
      </c>
      <c r="J44" s="963" cm="1">
        <f t="array" aca="1" ref="J44" ca="1">IF(Thomson=1,_xll.TR(J$7,J$6,"Sdate=#1 Period=#2 NULL=BLANK",,$D44,"NTM"),J44)</f>
        <v>6.1250580369999996</v>
      </c>
      <c r="K44" s="963" cm="1">
        <f t="array" aca="1" ref="K44" ca="1">IF(Thomson=1,_xll.TR(K$7,K$6,"Sdate=#1 Period=#2 NULL=BLANK",,$D44,"NTM"),K44)</f>
        <v>12.185468090000001</v>
      </c>
      <c r="L44" s="963" cm="1">
        <f t="array" aca="1" ref="L44" ca="1">IF(Thomson=1,_xll.TR(L$7,L$6,"Sdate=#1 Period=#2 NULL=BLANK",,$D44,"NTM"),L44)</f>
        <v>12.766796809000001</v>
      </c>
      <c r="M44" s="963" cm="1">
        <f t="array" aca="1" ref="M44" ca="1">IF(Thomson=1,_xll.TR(M$7,M$6,"Sdate=#1 Period=#2 NULL=BLANK",,$D44,"NTM"),M44)</f>
        <v>9.9398879529999995</v>
      </c>
      <c r="N44" s="963" cm="1">
        <f t="array" aca="1" ref="N44" ca="1">IF(Thomson=1,_xll.TR(N$7,N$6,"Sdate=#1 Period=#2 NULL=BLANK",,$D44,"NTM"),N44)</f>
        <v>10.779129209000001</v>
      </c>
      <c r="O44" s="963" cm="1">
        <f t="array" aca="1" ref="O44" ca="1">IF(Thomson=1,_xll.TR(O$7,O$6,"Sdate=#1 Period=#2 NULL=BLANK",,$D44,"NTM"),O44)</f>
        <v>7.6872170659999997</v>
      </c>
    </row>
    <row r="45" spans="3:15" ht="11.25" customHeight="1">
      <c r="C45" s="971">
        <f t="shared" si="2"/>
        <v>43555</v>
      </c>
      <c r="D45" s="970">
        <f t="shared" si="1"/>
        <v>43600</v>
      </c>
      <c r="E45" s="963" cm="1">
        <f t="array" aca="1" ref="E45" ca="1">IF(Thomson=1,_xll.TR(E$7,E$6,"Sdate=#1 Period=#2 NULL=BLANK",,$D45,"NTM"),E45)</f>
        <v>8.1367879219999999</v>
      </c>
      <c r="F45" s="963" cm="1">
        <f t="array" aca="1" ref="F45" ca="1">IF(Thomson=1,_xll.TR(F$7,F$6,"Sdate=#1 Period=#2 NULL=BLANK",,$D45,"NTM"),F45)</f>
        <v>9.1854822400000007</v>
      </c>
      <c r="G45" s="963" cm="1">
        <f t="array" aca="1" ref="G45" ca="1">IF(Thomson=1,_xll.TR(G$7,G$6,"Sdate=#1 Period=#2 NULL=BLANK",,$D45,"NTM"),G45)</f>
        <v>11.65834967</v>
      </c>
      <c r="H45" s="963" cm="1">
        <f t="array" aca="1" ref="H45" ca="1">IF(Thomson=1,_xll.TR(H$7,H$6,"Sdate=#1 Period=#2 NULL=BLANK",,$D45,"NTM"),H45)</f>
        <v>11.134817157000001</v>
      </c>
      <c r="I45" s="963" cm="1">
        <f t="array" aca="1" ref="I45" ca="1">IF(Thomson=1,_xll.TR(I$7,I$6,"Sdate=#1 Period=#2 NULL=BLANK",,$D45,"NTM"),I45)</f>
        <v>7.0673321680000001</v>
      </c>
      <c r="J45" s="963" cm="1">
        <f t="array" aca="1" ref="J45" ca="1">IF(Thomson=1,_xll.TR(J$7,J$6,"Sdate=#1 Period=#2 NULL=BLANK",,$D45,"NTM"),J45)</f>
        <v>9.4617794150000005</v>
      </c>
      <c r="K45" s="963" cm="1">
        <f t="array" aca="1" ref="K45" ca="1">IF(Thomson=1,_xll.TR(K$7,K$6,"Sdate=#1 Period=#2 NULL=BLANK",,$D45,"NTM"),K45)</f>
        <v>10.312237923</v>
      </c>
      <c r="L45" s="963" cm="1">
        <f t="array" aca="1" ref="L45" ca="1">IF(Thomson=1,_xll.TR(L$7,L$6,"Sdate=#1 Period=#2 NULL=BLANK",,$D45,"NTM"),L45)</f>
        <v>11.371899499</v>
      </c>
      <c r="M45" s="963" cm="1">
        <f t="array" aca="1" ref="M45" ca="1">IF(Thomson=1,_xll.TR(M$7,M$6,"Sdate=#1 Period=#2 NULL=BLANK",,$D45,"NTM"),M45)</f>
        <v>10.146235536000001</v>
      </c>
      <c r="N45" s="963" cm="1">
        <f t="array" aca="1" ref="N45" ca="1">IF(Thomson=1,_xll.TR(N$7,N$6,"Sdate=#1 Period=#2 NULL=BLANK",,$D45,"NTM"),N45)</f>
        <v>12.681485708</v>
      </c>
      <c r="O45" s="963" cm="1">
        <f t="array" aca="1" ref="O45" ca="1">IF(Thomson=1,_xll.TR(O$7,O$6,"Sdate=#1 Period=#2 NULL=BLANK",,$D45,"NTM"),O45)</f>
        <v>6.9663404150000003</v>
      </c>
    </row>
    <row r="46" spans="3:15" ht="11.25" customHeight="1">
      <c r="C46" s="972">
        <f t="shared" si="2"/>
        <v>43646</v>
      </c>
      <c r="D46" s="970">
        <f t="shared" si="1"/>
        <v>43691</v>
      </c>
      <c r="E46" s="963" cm="1">
        <f t="array" aca="1" ref="E46" ca="1">IF(Thomson=1,_xll.TR(E$7,E$6,"Sdate=#1 Period=#2 NULL=BLANK",,$D46,"NTM"),E46)</f>
        <v>7.7475511069999996</v>
      </c>
      <c r="F46" s="963" cm="1">
        <f t="array" aca="1" ref="F46" ca="1">IF(Thomson=1,_xll.TR(F$7,F$6,"Sdate=#1 Period=#2 NULL=BLANK",,$D46,"NTM"),F46)</f>
        <v>9.9343359549999999</v>
      </c>
      <c r="G46" s="963" cm="1">
        <f t="array" aca="1" ref="G46" ca="1">IF(Thomson=1,_xll.TR(G$7,G$6,"Sdate=#1 Period=#2 NULL=BLANK",,$D46,"NTM"),G46)</f>
        <v>13.169719624000001</v>
      </c>
      <c r="H46" s="963" cm="1">
        <f t="array" aca="1" ref="H46" ca="1">IF(Thomson=1,_xll.TR(H$7,H$6,"Sdate=#1 Period=#2 NULL=BLANK",,$D46,"NTM"),H46)</f>
        <v>10.842859355</v>
      </c>
      <c r="I46" s="963" cm="1">
        <f t="array" aca="1" ref="I46" ca="1">IF(Thomson=1,_xll.TR(I$7,I$6,"Sdate=#1 Period=#2 NULL=BLANK",,$D46,"NTM"),I46)</f>
        <v>5.9584392599999996</v>
      </c>
      <c r="J46" s="963" cm="1">
        <f t="array" aca="1" ref="J46" ca="1">IF(Thomson=1,_xll.TR(J$7,J$6,"Sdate=#1 Period=#2 NULL=BLANK",,$D46,"NTM"),J46)</f>
        <v>15.882928131</v>
      </c>
      <c r="K46" s="963" cm="1">
        <f t="array" aca="1" ref="K46" ca="1">IF(Thomson=1,_xll.TR(K$7,K$6,"Sdate=#1 Period=#2 NULL=BLANK",,$D46,"NTM"),K46)</f>
        <v>11.005651458000001</v>
      </c>
      <c r="L46" s="963" cm="1">
        <f t="array" aca="1" ref="L46" ca="1">IF(Thomson=1,_xll.TR(L$7,L$6,"Sdate=#1 Period=#2 NULL=BLANK",,$D46,"NTM"),L46)</f>
        <v>10.81408774</v>
      </c>
      <c r="M46" s="963" cm="1">
        <f t="array" aca="1" ref="M46" ca="1">IF(Thomson=1,_xll.TR(M$7,M$6,"Sdate=#1 Period=#2 NULL=BLANK",,$D46,"NTM"),M46)</f>
        <v>12.822314219000001</v>
      </c>
      <c r="N46" s="963" cm="1">
        <f t="array" aca="1" ref="N46" ca="1">IF(Thomson=1,_xll.TR(N$7,N$6,"Sdate=#1 Period=#2 NULL=BLANK",,$D46,"NTM"),N46)</f>
        <v>11.154907769999999</v>
      </c>
      <c r="O46" s="963" cm="1">
        <f t="array" aca="1" ref="O46" ca="1">IF(Thomson=1,_xll.TR(O$7,O$6,"Sdate=#1 Period=#2 NULL=BLANK",,$D46,"NTM"),O46)</f>
        <v>7.2796608870000004</v>
      </c>
    </row>
    <row r="47" spans="3:15" ht="11.25" customHeight="1">
      <c r="C47" s="973">
        <f t="shared" si="2"/>
        <v>43738</v>
      </c>
      <c r="D47" s="970">
        <f t="shared" si="1"/>
        <v>43783</v>
      </c>
      <c r="E47" s="963" cm="1">
        <f t="array" aca="1" ref="E47" ca="1">IF(Thomson=1,_xll.TR(E$7,E$6,"Sdate=#1 Period=#2 NULL=BLANK",,$D47,"NTM"),E47)</f>
        <v>10.243004195999999</v>
      </c>
      <c r="F47" s="963" cm="1">
        <f t="array" aca="1" ref="F47" ca="1">IF(Thomson=1,_xll.TR(F$7,F$6,"Sdate=#1 Period=#2 NULL=BLANK",,$D47,"NTM"),F47)</f>
        <v>11.561183875999999</v>
      </c>
      <c r="G47" s="963" cm="1">
        <f t="array" aca="1" ref="G47" ca="1">IF(Thomson=1,_xll.TR(G$7,G$6,"Sdate=#1 Period=#2 NULL=BLANK",,$D47,"NTM"),G47)</f>
        <v>15.878387388</v>
      </c>
      <c r="H47" s="963" cm="1">
        <f t="array" aca="1" ref="H47" ca="1">IF(Thomson=1,_xll.TR(H$7,H$6,"Sdate=#1 Period=#2 NULL=BLANK",,$D47,"NTM"),H47)</f>
        <v>12.906101415</v>
      </c>
      <c r="I47" s="963" cm="1">
        <f t="array" aca="1" ref="I47" ca="1">IF(Thomson=1,_xll.TR(I$7,I$6,"Sdate=#1 Period=#2 NULL=BLANK",,$D47,"NTM"),I47)</f>
        <v>7.9259026930000003</v>
      </c>
      <c r="J47" s="963" cm="1">
        <f t="array" aca="1" ref="J47" ca="1">IF(Thomson=1,_xll.TR(J$7,J$6,"Sdate=#1 Period=#2 NULL=BLANK",,$D47,"NTM"),J47)</f>
        <v>16.632708589</v>
      </c>
      <c r="K47" s="963" cm="1">
        <f t="array" aca="1" ref="K47" ca="1">IF(Thomson=1,_xll.TR(K$7,K$6,"Sdate=#1 Period=#2 NULL=BLANK",,$D47,"NTM"),K47)</f>
        <v>18.216504050000001</v>
      </c>
      <c r="L47" s="963" cm="1">
        <f t="array" aca="1" ref="L47" ca="1">IF(Thomson=1,_xll.TR(L$7,L$6,"Sdate=#1 Period=#2 NULL=BLANK",,$D47,"NTM"),L47)</f>
        <v>23.019367782</v>
      </c>
      <c r="M47" s="963" cm="1">
        <f t="array" aca="1" ref="M47" ca="1">IF(Thomson=1,_xll.TR(M$7,M$6,"Sdate=#1 Period=#2 NULL=BLANK",,$D47,"NTM"),M47)</f>
        <v>15.458859030999999</v>
      </c>
      <c r="N47" s="963" cm="1">
        <f t="array" aca="1" ref="N47" ca="1">IF(Thomson=1,_xll.TR(N$7,N$6,"Sdate=#1 Period=#2 NULL=BLANK",,$D47,"NTM"),N47)</f>
        <v>14.139018732</v>
      </c>
      <c r="O47" s="963" cm="1">
        <f t="array" aca="1" ref="O47" ca="1">IF(Thomson=1,_xll.TR(O$7,O$6,"Sdate=#1 Period=#2 NULL=BLANK",,$D47,"NTM"),O47)</f>
        <v>11.762169897</v>
      </c>
    </row>
    <row r="48" spans="3:15" ht="11.25" customHeight="1">
      <c r="C48" s="969">
        <f t="shared" si="2"/>
        <v>43830</v>
      </c>
      <c r="D48" s="970">
        <f t="shared" si="1"/>
        <v>43875</v>
      </c>
      <c r="E48" s="963" cm="1">
        <f t="array" aca="1" ref="E48" ca="1">IF(Thomson=1,_xll.TR(E$7,E$6,"Sdate=#1 Period=#2 NULL=BLANK",,$D48,"NTM"),E48)</f>
        <v>9.9580052089999995</v>
      </c>
      <c r="F48" s="963" cm="1">
        <f t="array" aca="1" ref="F48" ca="1">IF(Thomson=1,_xll.TR(F$7,F$6,"Sdate=#1 Period=#2 NULL=BLANK",,$D48,"NTM"),F48)</f>
        <v>10.169663944</v>
      </c>
      <c r="G48" s="963" cm="1">
        <f t="array" aca="1" ref="G48" ca="1">IF(Thomson=1,_xll.TR(G$7,G$6,"Sdate=#1 Period=#2 NULL=BLANK",,$D48,"NTM"),G48)</f>
        <v>14.885849751</v>
      </c>
      <c r="H48" s="963" cm="1">
        <f t="array" aca="1" ref="H48" ca="1">IF(Thomson=1,_xll.TR(H$7,H$6,"Sdate=#1 Period=#2 NULL=BLANK",,$D48,"NTM"),H48)</f>
        <v>13.493256168</v>
      </c>
      <c r="I48" s="963" cm="1">
        <f t="array" aca="1" ref="I48" ca="1">IF(Thomson=1,_xll.TR(I$7,I$6,"Sdate=#1 Period=#2 NULL=BLANK",,$D48,"NTM"),I48)</f>
        <v>7.6923766020000004</v>
      </c>
      <c r="J48" s="963" cm="1">
        <f t="array" aca="1" ref="J48" ca="1">IF(Thomson=1,_xll.TR(J$7,J$6,"Sdate=#1 Period=#2 NULL=BLANK",,$D48,"NTM"),J48)</f>
        <v>13.883277654</v>
      </c>
      <c r="K48" s="963" cm="1">
        <f t="array" aca="1" ref="K48" ca="1">IF(Thomson=1,_xll.TR(K$7,K$6,"Sdate=#1 Period=#2 NULL=BLANK",,$D48,"NTM"),K48)</f>
        <v>16.933100199999998</v>
      </c>
      <c r="L48" s="963" cm="1">
        <f t="array" aca="1" ref="L48" ca="1">IF(Thomson=1,_xll.TR(L$7,L$6,"Sdate=#1 Period=#2 NULL=BLANK",,$D48,"NTM"),L48)</f>
        <v>344.01013598399999</v>
      </c>
      <c r="M48" s="963" cm="1">
        <f t="array" aca="1" ref="M48" ca="1">IF(Thomson=1,_xll.TR(M$7,M$6,"Sdate=#1 Period=#2 NULL=BLANK",,$D48,"NTM"),M48)</f>
        <v>14.966853175000001</v>
      </c>
      <c r="N48" s="963" cm="1">
        <f t="array" aca="1" ref="N48" ca="1">IF(Thomson=1,_xll.TR(N$7,N$6,"Sdate=#1 Period=#2 NULL=BLANK",,$D48,"NTM"),N48)</f>
        <v>14.873073585</v>
      </c>
      <c r="O48" s="963" cm="1">
        <f t="array" aca="1" ref="O48" ca="1">IF(Thomson=1,_xll.TR(O$7,O$6,"Sdate=#1 Period=#2 NULL=BLANK",,$D48,"NTM"),O48)</f>
        <v>12.339408656</v>
      </c>
    </row>
    <row r="49" spans="3:15" ht="11.25" customHeight="1">
      <c r="C49" s="971">
        <f t="shared" si="2"/>
        <v>43921</v>
      </c>
      <c r="D49" s="970">
        <f t="shared" si="1"/>
        <v>43966</v>
      </c>
      <c r="E49" s="963" cm="1">
        <f t="array" aca="1" ref="E49" ca="1">IF(Thomson=1,_xll.TR(E$7,E$6,"Sdate=#1 Period=#2 NULL=BLANK",,$D49,"NTM"),E49)</f>
        <v>9.5575391270000001</v>
      </c>
      <c r="F49" s="963" cm="1">
        <f t="array" aca="1" ref="F49" ca="1">IF(Thomson=1,_xll.TR(F$7,F$6,"Sdate=#1 Period=#2 NULL=BLANK",,$D49,"NTM"),F49)</f>
        <v>10.135237759000001</v>
      </c>
      <c r="G49" s="963" cm="1">
        <f t="array" aca="1" ref="G49" ca="1">IF(Thomson=1,_xll.TR(G$7,G$6,"Sdate=#1 Period=#2 NULL=BLANK",,$D49,"NTM"),G49)</f>
        <v>15.060557361000001</v>
      </c>
      <c r="H49" s="963" cm="1">
        <f t="array" aca="1" ref="H49" ca="1">IF(Thomson=1,_xll.TR(H$7,H$6,"Sdate=#1 Period=#2 NULL=BLANK",,$D49,"NTM"),H49)</f>
        <v>19.307263331000001</v>
      </c>
      <c r="I49" s="963" cm="1">
        <f t="array" aca="1" ref="I49" ca="1">IF(Thomson=1,_xll.TR(I$7,I$6,"Sdate=#1 Period=#2 NULL=BLANK",,$D49,"NTM"),I49)</f>
        <v>8.703264184</v>
      </c>
      <c r="J49" s="963" cm="1">
        <f t="array" aca="1" ref="J49" ca="1">IF(Thomson=1,_xll.TR(J$7,J$6,"Sdate=#1 Period=#2 NULL=BLANK",,$D49,"NTM"),J49)</f>
        <v>14.802691021999999</v>
      </c>
      <c r="K49" s="963" cm="1">
        <f t="array" aca="1" ref="K49" ca="1">IF(Thomson=1,_xll.TR(K$7,K$6,"Sdate=#1 Period=#2 NULL=BLANK",,$D49,"NTM"),K49)</f>
        <v>14.232296556</v>
      </c>
      <c r="L49" s="963" t="str" cm="1">
        <f t="array" aca="1" ref="L49" ca="1">IF(Thomson=1,_xll.TR(L$7,L$6,"Sdate=#1 Period=#2 NULL=BLANK",,$D49,"NTM"),L49)</f>
        <v/>
      </c>
      <c r="M49" s="963" cm="1">
        <f t="array" aca="1" ref="M49" ca="1">IF(Thomson=1,_xll.TR(M$7,M$6,"Sdate=#1 Period=#2 NULL=BLANK",,$D49,"NTM"),M49)</f>
        <v>23.584492600000001</v>
      </c>
      <c r="N49" s="963" cm="1">
        <f t="array" aca="1" ref="N49" ca="1">IF(Thomson=1,_xll.TR(N$7,N$6,"Sdate=#1 Period=#2 NULL=BLANK",,$D49,"NTM"),N49)</f>
        <v>12.956906536</v>
      </c>
      <c r="O49" s="963" cm="1">
        <f t="array" aca="1" ref="O49" ca="1">IF(Thomson=1,_xll.TR(O$7,O$6,"Sdate=#1 Period=#2 NULL=BLANK",,$D49,"NTM"),O49)</f>
        <v>19.347705208000001</v>
      </c>
    </row>
    <row r="50" spans="3:15" ht="11.25" customHeight="1">
      <c r="C50" s="972">
        <f t="shared" si="2"/>
        <v>44012</v>
      </c>
      <c r="D50" s="970">
        <f t="shared" si="1"/>
        <v>44057</v>
      </c>
      <c r="E50" s="963" cm="1">
        <f t="array" aca="1" ref="E50" ca="1">IF(Thomson=1,_xll.TR(E$7,E$6,"Sdate=#1 Period=#2 NULL=BLANK",,$D50,"NTM"),E50)</f>
        <v>11.457505079000001</v>
      </c>
      <c r="F50" s="963" cm="1">
        <f t="array" aca="1" ref="F50" ca="1">IF(Thomson=1,_xll.TR(F$7,F$6,"Sdate=#1 Period=#2 NULL=BLANK",,$D50,"NTM"),F50)</f>
        <v>12.290270902</v>
      </c>
      <c r="G50" s="963" cm="1">
        <f t="array" aca="1" ref="G50" ca="1">IF(Thomson=1,_xll.TR(G$7,G$6,"Sdate=#1 Period=#2 NULL=BLANK",,$D50,"NTM"),G50)</f>
        <v>18.154561938000001</v>
      </c>
      <c r="H50" s="963" cm="1">
        <f t="array" aca="1" ref="H50" ca="1">IF(Thomson=1,_xll.TR(H$7,H$6,"Sdate=#1 Period=#2 NULL=BLANK",,$D50,"NTM"),H50)</f>
        <v>28.466424331999999</v>
      </c>
      <c r="I50" s="963" cm="1">
        <f t="array" aca="1" ref="I50" ca="1">IF(Thomson=1,_xll.TR(I$7,I$6,"Sdate=#1 Period=#2 NULL=BLANK",,$D50,"NTM"),I50)</f>
        <v>10.540748831</v>
      </c>
      <c r="J50" s="963" cm="1">
        <f t="array" aca="1" ref="J50" ca="1">IF(Thomson=1,_xll.TR(J$7,J$6,"Sdate=#1 Period=#2 NULL=BLANK",,$D50,"NTM"),J50)</f>
        <v>17.499634803999999</v>
      </c>
      <c r="K50" s="963" cm="1">
        <f t="array" aca="1" ref="K50" ca="1">IF(Thomson=1,_xll.TR(K$7,K$6,"Sdate=#1 Period=#2 NULL=BLANK",,$D50,"NTM"),K50)</f>
        <v>15.250235725</v>
      </c>
      <c r="L50" s="963" t="str" cm="1">
        <f t="array" aca="1" ref="L50" ca="1">IF(Thomson=1,_xll.TR(L$7,L$6,"Sdate=#1 Period=#2 NULL=BLANK",,$D50,"NTM"),L50)</f>
        <v/>
      </c>
      <c r="M50" s="963" cm="1">
        <f t="array" aca="1" ref="M50" ca="1">IF(Thomson=1,_xll.TR(M$7,M$6,"Sdate=#1 Period=#2 NULL=BLANK",,$D50,"NTM"),M50)</f>
        <v>29.397331547</v>
      </c>
      <c r="N50" s="963" cm="1">
        <f t="array" aca="1" ref="N50" ca="1">IF(Thomson=1,_xll.TR(N$7,N$6,"Sdate=#1 Period=#2 NULL=BLANK",,$D50,"NTM"),N50)</f>
        <v>15.240655474</v>
      </c>
      <c r="O50" s="963" cm="1">
        <f t="array" aca="1" ref="O50" ca="1">IF(Thomson=1,_xll.TR(O$7,O$6,"Sdate=#1 Period=#2 NULL=BLANK",,$D50,"NTM"),O50)</f>
        <v>21.169361981000002</v>
      </c>
    </row>
    <row r="51" spans="3:15">
      <c r="C51" s="973">
        <f t="shared" si="2"/>
        <v>44104</v>
      </c>
      <c r="D51" s="970">
        <f t="shared" si="1"/>
        <v>44149</v>
      </c>
      <c r="E51" s="963" cm="1">
        <f t="array" aca="1" ref="E51" ca="1">IF(Thomson=1,_xll.TR(E$7,E$6,"Sdate=#1 Period=#2 NULL=BLANK",,$D51,"NTM"),E51)</f>
        <v>13.675302059</v>
      </c>
      <c r="F51" s="963" cm="1">
        <f t="array" aca="1" ref="F51" ca="1">IF(Thomson=1,_xll.TR(F$7,F$6,"Sdate=#1 Period=#2 NULL=BLANK",,$D51,"NTM"),F51)</f>
        <v>14.611433091</v>
      </c>
      <c r="G51" s="963" cm="1">
        <f t="array" aca="1" ref="G51" ca="1">IF(Thomson=1,_xll.TR(G$7,G$6,"Sdate=#1 Period=#2 NULL=BLANK",,$D51,"NTM"),G51)</f>
        <v>17.318283767</v>
      </c>
      <c r="H51" s="963" cm="1">
        <f t="array" aca="1" ref="H51" ca="1">IF(Thomson=1,_xll.TR(H$7,H$6,"Sdate=#1 Period=#2 NULL=BLANK",,$D51,"NTM"),H51)</f>
        <v>20.616156663999998</v>
      </c>
      <c r="I51" s="963" cm="1">
        <f t="array" aca="1" ref="I51" ca="1">IF(Thomson=1,_xll.TR(I$7,I$6,"Sdate=#1 Period=#2 NULL=BLANK",,$D51,"NTM"),I51)</f>
        <v>10.743338681999999</v>
      </c>
      <c r="J51" s="963" cm="1">
        <f t="array" aca="1" ref="J51" ca="1">IF(Thomson=1,_xll.TR(J$7,J$6,"Sdate=#1 Period=#2 NULL=BLANK",,$D51,"NTM"),J51)</f>
        <v>18.556941002999999</v>
      </c>
      <c r="K51" s="963" cm="1">
        <f t="array" aca="1" ref="K51" ca="1">IF(Thomson=1,_xll.TR(K$7,K$6,"Sdate=#1 Period=#2 NULL=BLANK",,$D51,"NTM"),K51)</f>
        <v>16.674744235999999</v>
      </c>
      <c r="L51" s="963" t="str" cm="1">
        <f t="array" aca="1" ref="L51" ca="1">IF(Thomson=1,_xll.TR(L$7,L$6,"Sdate=#1 Period=#2 NULL=BLANK",,$D51,"NTM"),L51)</f>
        <v/>
      </c>
      <c r="M51" s="963" cm="1">
        <f t="array" aca="1" ref="M51" ca="1">IF(Thomson=1,_xll.TR(M$7,M$6,"Sdate=#1 Period=#2 NULL=BLANK",,$D51,"NTM"),M51)</f>
        <v>25.027552025999999</v>
      </c>
      <c r="N51" s="963" cm="1">
        <f t="array" aca="1" ref="N51" ca="1">IF(Thomson=1,_xll.TR(N$7,N$6,"Sdate=#1 Period=#2 NULL=BLANK",,$D51,"NTM"),N51)</f>
        <v>13.265885029</v>
      </c>
      <c r="O51" s="963" cm="1">
        <f t="array" aca="1" ref="O51" ca="1">IF(Thomson=1,_xll.TR(O$7,O$6,"Sdate=#1 Period=#2 NULL=BLANK",,$D51,"NTM"),O51)</f>
        <v>15.277187899999999</v>
      </c>
    </row>
    <row r="52" spans="3:15">
      <c r="C52" s="969">
        <f t="shared" si="2"/>
        <v>44196</v>
      </c>
      <c r="D52" s="970">
        <f t="shared" si="1"/>
        <v>44241</v>
      </c>
      <c r="E52" s="963" cm="1">
        <f t="array" aca="1" ref="E52" ca="1">IF(Thomson=1,_xll.TR(E$7,E$6,"Sdate=#1 Period=#2 NULL=BLANK",,$D52,"NTM"),E52)</f>
        <v>13.929456343</v>
      </c>
      <c r="F52" s="963" cm="1">
        <f t="array" aca="1" ref="F52" ca="1">IF(Thomson=1,_xll.TR(F$7,F$6,"Sdate=#1 Period=#2 NULL=BLANK",,$D52,"NTM"),F52)</f>
        <v>13.153625133</v>
      </c>
      <c r="G52" s="963" cm="1">
        <f t="array" aca="1" ref="G52" ca="1">IF(Thomson=1,_xll.TR(G$7,G$6,"Sdate=#1 Period=#2 NULL=BLANK",,$D52,"NTM"),G52)</f>
        <v>17.534928148999999</v>
      </c>
      <c r="H52" s="963" cm="1">
        <f t="array" aca="1" ref="H52" ca="1">IF(Thomson=1,_xll.TR(H$7,H$6,"Sdate=#1 Period=#2 NULL=BLANK",,$D52,"NTM"),H52)</f>
        <v>16.692208824000001</v>
      </c>
      <c r="I52" s="963" cm="1">
        <f t="array" aca="1" ref="I52" ca="1">IF(Thomson=1,_xll.TR(I$7,I$6,"Sdate=#1 Period=#2 NULL=BLANK",,$D52,"NTM"),I52)</f>
        <v>9.7688878970000008</v>
      </c>
      <c r="J52" s="963" cm="1">
        <f t="array" aca="1" ref="J52" ca="1">IF(Thomson=1,_xll.TR(J$7,J$6,"Sdate=#1 Period=#2 NULL=BLANK",,$D52,"NTM"),J52)</f>
        <v>20.643894499000002</v>
      </c>
      <c r="K52" s="963" cm="1">
        <f t="array" aca="1" ref="K52" ca="1">IF(Thomson=1,_xll.TR(K$7,K$6,"Sdate=#1 Period=#2 NULL=BLANK",,$D52,"NTM"),K52)</f>
        <v>17.602478100999999</v>
      </c>
      <c r="L52" s="963" cm="1">
        <f t="array" aca="1" ref="L52" ca="1">IF(Thomson=1,_xll.TR(L$7,L$6,"Sdate=#1 Period=#2 NULL=BLANK",,$D52,"NTM"),L52)</f>
        <v>27.102790336000002</v>
      </c>
      <c r="M52" s="963" cm="1">
        <f t="array" aca="1" ref="M52" ca="1">IF(Thomson=1,_xll.TR(M$7,M$6,"Sdate=#1 Period=#2 NULL=BLANK",,$D52,"NTM"),M52)</f>
        <v>24.313427667999999</v>
      </c>
      <c r="N52" s="963" cm="1">
        <f t="array" aca="1" ref="N52" ca="1">IF(Thomson=1,_xll.TR(N$7,N$6,"Sdate=#1 Period=#2 NULL=BLANK",,$D52,"NTM"),N52)</f>
        <v>15.586168119</v>
      </c>
      <c r="O52" s="963" cm="1">
        <f t="array" aca="1" ref="O52" ca="1">IF(Thomson=1,_xll.TR(O$7,O$6,"Sdate=#1 Period=#2 NULL=BLANK",,$D52,"NTM"),O52)</f>
        <v>14.393029024000001</v>
      </c>
    </row>
    <row r="53" spans="3:15">
      <c r="C53" s="971">
        <f t="shared" si="2"/>
        <v>44286</v>
      </c>
      <c r="D53" s="970">
        <f t="shared" si="1"/>
        <v>44331</v>
      </c>
      <c r="E53" s="963" cm="1">
        <f t="array" aca="1" ref="E53" ca="1">IF(Thomson=1,_xll.TR(E$7,E$6,"Sdate=#1 Period=#2 NULL=BLANK",,$D53,"NTM"),E53)</f>
        <v>14.667218342</v>
      </c>
      <c r="F53" s="963" cm="1">
        <f t="array" aca="1" ref="F53" ca="1">IF(Thomson=1,_xll.TR(F$7,F$6,"Sdate=#1 Period=#2 NULL=BLANK",,$D53,"NTM"),F53)</f>
        <v>12.684175743999999</v>
      </c>
      <c r="G53" s="963" cm="1">
        <f t="array" aca="1" ref="G53" ca="1">IF(Thomson=1,_xll.TR(G$7,G$6,"Sdate=#1 Period=#2 NULL=BLANK",,$D53,"NTM"),G53)</f>
        <v>14.649019027</v>
      </c>
      <c r="H53" s="963" cm="1">
        <f t="array" aca="1" ref="H53" ca="1">IF(Thomson=1,_xll.TR(H$7,H$6,"Sdate=#1 Period=#2 NULL=BLANK",,$D53,"NTM"),H53)</f>
        <v>12.207202504</v>
      </c>
      <c r="I53" s="963" cm="1">
        <f t="array" aca="1" ref="I53" ca="1">IF(Thomson=1,_xll.TR(I$7,I$6,"Sdate=#1 Period=#2 NULL=BLANK",,$D53,"NTM"),I53)</f>
        <v>7.8081541950000002</v>
      </c>
      <c r="J53" s="963" cm="1">
        <f t="array" aca="1" ref="J53" ca="1">IF(Thomson=1,_xll.TR(J$7,J$6,"Sdate=#1 Period=#2 NULL=BLANK",,$D53,"NTM"),J53)</f>
        <v>21.048685597999999</v>
      </c>
      <c r="K53" s="963" cm="1">
        <f t="array" aca="1" ref="K53" ca="1">IF(Thomson=1,_xll.TR(K$7,K$6,"Sdate=#1 Period=#2 NULL=BLANK",,$D53,"NTM"),K53)</f>
        <v>17.942146427000001</v>
      </c>
      <c r="L53" s="963" cm="1">
        <f t="array" aca="1" ref="L53" ca="1">IF(Thomson=1,_xll.TR(L$7,L$6,"Sdate=#1 Period=#2 NULL=BLANK",,$D53,"NTM"),L53)</f>
        <v>9.1270071089999991</v>
      </c>
      <c r="M53" s="963" cm="1">
        <f t="array" aca="1" ref="M53" ca="1">IF(Thomson=1,_xll.TR(M$7,M$6,"Sdate=#1 Period=#2 NULL=BLANK",,$D53,"NTM"),M53)</f>
        <v>13.07872764</v>
      </c>
      <c r="N53" s="963" cm="1">
        <f t="array" aca="1" ref="N53" ca="1">IF(Thomson=1,_xll.TR(N$7,N$6,"Sdate=#1 Period=#2 NULL=BLANK",,$D53,"NTM"),N53)</f>
        <v>15.356060929</v>
      </c>
      <c r="O53" s="963" cm="1">
        <f t="array" aca="1" ref="O53" ca="1">IF(Thomson=1,_xll.TR(O$7,O$6,"Sdate=#1 Period=#2 NULL=BLANK",,$D53,"NTM"),O53)</f>
        <v>11.06737981</v>
      </c>
    </row>
    <row r="54" spans="3:15">
      <c r="C54" s="972">
        <f t="shared" si="2"/>
        <v>44377</v>
      </c>
      <c r="D54" s="970">
        <f t="shared" si="1"/>
        <v>44422</v>
      </c>
      <c r="E54" s="963" cm="1">
        <f t="array" aca="1" ref="E54" ca="1">IF(Thomson=1,_xll.TR(E$7,E$6,"Sdate=#1 Period=#2 NULL=BLANK",,$D54,"NTM"),E54)</f>
        <v>12.3489249</v>
      </c>
      <c r="F54" s="963" cm="1">
        <f t="array" aca="1" ref="F54" ca="1">IF(Thomson=1,_xll.TR(F$7,F$6,"Sdate=#1 Period=#2 NULL=BLANK",,$D54,"NTM"),F54)</f>
        <v>10.817824702999999</v>
      </c>
      <c r="G54" s="963" cm="1">
        <f t="array" aca="1" ref="G54" ca="1">IF(Thomson=1,_xll.TR(G$7,G$6,"Sdate=#1 Period=#2 NULL=BLANK",,$D54,"NTM"),G54)</f>
        <v>11.912876730000001</v>
      </c>
      <c r="H54" s="963" cm="1">
        <f t="array" aca="1" ref="H54" ca="1">IF(Thomson=1,_xll.TR(H$7,H$6,"Sdate=#1 Period=#2 NULL=BLANK",,$D54,"NTM"),H54)</f>
        <v>9.2336103170000001</v>
      </c>
      <c r="I54" s="963" cm="1">
        <f t="array" aca="1" ref="I54" ca="1">IF(Thomson=1,_xll.TR(I$7,I$6,"Sdate=#1 Period=#2 NULL=BLANK",,$D54,"NTM"),I54)</f>
        <v>6.0132504730000003</v>
      </c>
      <c r="J54" s="963" cm="1">
        <f t="array" aca="1" ref="J54" ca="1">IF(Thomson=1,_xll.TR(J$7,J$6,"Sdate=#1 Period=#2 NULL=BLANK",,$D54,"NTM"),J54)</f>
        <v>16.417109013000001</v>
      </c>
      <c r="K54" s="963" cm="1">
        <f t="array" aca="1" ref="K54" ca="1">IF(Thomson=1,_xll.TR(K$7,K$6,"Sdate=#1 Period=#2 NULL=BLANK",,$D54,"NTM"),K54)</f>
        <v>15.196062061999999</v>
      </c>
      <c r="L54" s="963" cm="1">
        <f t="array" aca="1" ref="L54" ca="1">IF(Thomson=1,_xll.TR(L$7,L$6,"Sdate=#1 Period=#2 NULL=BLANK",,$D54,"NTM"),L54)</f>
        <v>7.3822219550000003</v>
      </c>
      <c r="M54" s="963" cm="1">
        <f t="array" aca="1" ref="M54" ca="1">IF(Thomson=1,_xll.TR(M$7,M$6,"Sdate=#1 Period=#2 NULL=BLANK",,$D54,"NTM"),M54)</f>
        <v>8.0164391740000003</v>
      </c>
      <c r="N54" s="963" cm="1">
        <f t="array" aca="1" ref="N54" ca="1">IF(Thomson=1,_xll.TR(N$7,N$6,"Sdate=#1 Period=#2 NULL=BLANK",,$D54,"NTM"),N54)</f>
        <v>14.493485109</v>
      </c>
      <c r="O54" s="963" cm="1">
        <f t="array" aca="1" ref="O54" ca="1">IF(Thomson=1,_xll.TR(O$7,O$6,"Sdate=#1 Period=#2 NULL=BLANK",,$D54,"NTM"),O54)</f>
        <v>8.2475987479999997</v>
      </c>
    </row>
    <row r="55" spans="3:15">
      <c r="C55" s="973">
        <f t="shared" si="2"/>
        <v>44469</v>
      </c>
      <c r="D55" s="970">
        <f t="shared" si="1"/>
        <v>44514</v>
      </c>
      <c r="E55" s="963" cm="1">
        <f t="array" aca="1" ref="E55" ca="1">IF(Thomson=1,_xll.TR(E$7,E$6,"Sdate=#1 Period=#2 NULL=BLANK",,$D55,"NTM"),E55)</f>
        <v>12.241358608000001</v>
      </c>
      <c r="F55" s="963" cm="1">
        <f t="array" aca="1" ref="F55" ca="1">IF(Thomson=1,_xll.TR(F$7,F$6,"Sdate=#1 Period=#2 NULL=BLANK",,$D55,"NTM"),F55)</f>
        <v>10.658875999999999</v>
      </c>
      <c r="G55" s="963" cm="1">
        <f t="array" aca="1" ref="G55" ca="1">IF(Thomson=1,_xll.TR(G$7,G$6,"Sdate=#1 Period=#2 NULL=BLANK",,$D55,"NTM"),G55)</f>
        <v>10.943909271000001</v>
      </c>
      <c r="H55" s="963" cm="1">
        <f t="array" aca="1" ref="H55" ca="1">IF(Thomson=1,_xll.TR(H$7,H$6,"Sdate=#1 Period=#2 NULL=BLANK",,$D55,"NTM"),H55)</f>
        <v>8.7852292750000007</v>
      </c>
      <c r="I55" s="963" cm="1">
        <f t="array" aca="1" ref="I55" ca="1">IF(Thomson=1,_xll.TR(I$7,I$6,"Sdate=#1 Period=#2 NULL=BLANK",,$D55,"NTM"),I55)</f>
        <v>5.7646178099999998</v>
      </c>
      <c r="J55" s="963" cm="1">
        <f t="array" aca="1" ref="J55" ca="1">IF(Thomson=1,_xll.TR(J$7,J$6,"Sdate=#1 Period=#2 NULL=BLANK",,$D55,"NTM"),J55)</f>
        <v>16.810589964999998</v>
      </c>
      <c r="K55" s="963" cm="1">
        <f t="array" aca="1" ref="K55" ca="1">IF(Thomson=1,_xll.TR(K$7,K$6,"Sdate=#1 Period=#2 NULL=BLANK",,$D55,"NTM"),K55)</f>
        <v>17.403681757000001</v>
      </c>
      <c r="L55" s="963" cm="1">
        <f t="array" aca="1" ref="L55" ca="1">IF(Thomson=1,_xll.TR(L$7,L$6,"Sdate=#1 Period=#2 NULL=BLANK",,$D55,"NTM"),L55)</f>
        <v>7.4192387130000004</v>
      </c>
      <c r="M55" s="963" cm="1">
        <f t="array" aca="1" ref="M55" ca="1">IF(Thomson=1,_xll.TR(M$7,M$6,"Sdate=#1 Period=#2 NULL=BLANK",,$D55,"NTM"),M55)</f>
        <v>8.1074087880000008</v>
      </c>
      <c r="N55" s="963" cm="1">
        <f t="array" aca="1" ref="N55" ca="1">IF(Thomson=1,_xll.TR(N$7,N$6,"Sdate=#1 Period=#2 NULL=BLANK",,$D55,"NTM"),N55)</f>
        <v>13.034007769</v>
      </c>
      <c r="O55" s="963" cm="1">
        <f t="array" aca="1" ref="O55" ca="1">IF(Thomson=1,_xll.TR(O$7,O$6,"Sdate=#1 Period=#2 NULL=BLANK",,$D55,"NTM"),O55)</f>
        <v>9.1071085170000003</v>
      </c>
    </row>
    <row r="56" spans="3:15">
      <c r="C56" s="969">
        <f t="shared" si="2"/>
        <v>44561</v>
      </c>
      <c r="D56" s="970">
        <f t="shared" si="1"/>
        <v>44606</v>
      </c>
      <c r="E56" s="963" cm="1">
        <f t="array" aca="1" ref="E56" ca="1">IF(Thomson=1,_xll.TR(E$7,E$6,"Sdate=#1 Period=#2 NULL=BLANK",,$D56,"NTM"),E56)</f>
        <v>12.292983871000001</v>
      </c>
      <c r="F56" s="963" cm="1">
        <f t="array" aca="1" ref="F56" ca="1">IF(Thomson=1,_xll.TR(F$7,F$6,"Sdate=#1 Period=#2 NULL=BLANK",,$D56,"NTM"),F56)</f>
        <v>9.7500361009999992</v>
      </c>
      <c r="G56" s="963" cm="1">
        <f t="array" aca="1" ref="G56" ca="1">IF(Thomson=1,_xll.TR(G$7,G$6,"Sdate=#1 Period=#2 NULL=BLANK",,$D56,"NTM"),G56)</f>
        <v>11.170151069999999</v>
      </c>
      <c r="H56" s="963" cm="1">
        <f t="array" aca="1" ref="H56" ca="1">IF(Thomson=1,_xll.TR(H$7,H$6,"Sdate=#1 Period=#2 NULL=BLANK",,$D56,"NTM"),H56)</f>
        <v>9.1322078130000008</v>
      </c>
      <c r="I56" s="963" cm="1">
        <f t="array" aca="1" ref="I56" ca="1">IF(Thomson=1,_xll.TR(I$7,I$6,"Sdate=#1 Period=#2 NULL=BLANK",,$D56,"NTM"),I56)</f>
        <v>6.3275525310000003</v>
      </c>
      <c r="J56" s="963" cm="1">
        <f t="array" aca="1" ref="J56" ca="1">IF(Thomson=1,_xll.TR(J$7,J$6,"Sdate=#1 Period=#2 NULL=BLANK",,$D56,"NTM"),J56)</f>
        <v>16.295018575</v>
      </c>
      <c r="K56" s="963" cm="1">
        <f t="array" aca="1" ref="K56" ca="1">IF(Thomson=1,_xll.TR(K$7,K$6,"Sdate=#1 Period=#2 NULL=BLANK",,$D56,"NTM"),K56)</f>
        <v>14.742670519000001</v>
      </c>
      <c r="L56" s="963" cm="1">
        <f t="array" aca="1" ref="L56" ca="1">IF(Thomson=1,_xll.TR(L$7,L$6,"Sdate=#1 Period=#2 NULL=BLANK",,$D56,"NTM"),L56)</f>
        <v>5.5908161300000003</v>
      </c>
      <c r="M56" s="963" cm="1">
        <f t="array" aca="1" ref="M56" ca="1">IF(Thomson=1,_xll.TR(M$7,M$6,"Sdate=#1 Period=#2 NULL=BLANK",,$D56,"NTM"),M56)</f>
        <v>7.3325292710000003</v>
      </c>
      <c r="N56" s="963" cm="1">
        <f t="array" aca="1" ref="N56" ca="1">IF(Thomson=1,_xll.TR(N$7,N$6,"Sdate=#1 Period=#2 NULL=BLANK",,$D56,"NTM"),N56)</f>
        <v>13.032278982999999</v>
      </c>
      <c r="O56" s="963" cm="1">
        <f t="array" aca="1" ref="O56" ca="1">IF(Thomson=1,_xll.TR(O$7,O$6,"Sdate=#1 Period=#2 NULL=BLANK",,$D56,"NTM"),O56)</f>
        <v>9.6502539540000001</v>
      </c>
    </row>
    <row r="57" spans="3:15">
      <c r="C57" s="971">
        <f t="shared" si="2"/>
        <v>44651</v>
      </c>
      <c r="D57" s="970">
        <f t="shared" si="1"/>
        <v>44696</v>
      </c>
      <c r="E57" s="963" cm="1">
        <f t="array" aca="1" ref="E57" ca="1">IF(Thomson=1,_xll.TR(E$7,E$6,"Sdate=#1 Period=#2 NULL=BLANK",,$D57,"NTM"),E57)</f>
        <v>10.239391005</v>
      </c>
      <c r="F57" s="963" cm="1">
        <f t="array" aca="1" ref="F57" ca="1">IF(Thomson=1,_xll.TR(F$7,F$6,"Sdate=#1 Period=#2 NULL=BLANK",,$D57,"NTM"),F57)</f>
        <v>8.1379246670000001</v>
      </c>
      <c r="G57" s="963" cm="1">
        <f t="array" aca="1" ref="G57" ca="1">IF(Thomson=1,_xll.TR(G$7,G$6,"Sdate=#1 Period=#2 NULL=BLANK",,$D57,"NTM"),G57)</f>
        <v>8.5638083869999999</v>
      </c>
      <c r="H57" s="963" cm="1">
        <f t="array" aca="1" ref="H57" ca="1">IF(Thomson=1,_xll.TR(H$7,H$6,"Sdate=#1 Period=#2 NULL=BLANK",,$D57,"NTM"),H57)</f>
        <v>8.5424351299999994</v>
      </c>
      <c r="I57" s="963" cm="1">
        <f t="array" aca="1" ref="I57" ca="1">IF(Thomson=1,_xll.TR(I$7,I$6,"Sdate=#1 Period=#2 NULL=BLANK",,$D57,"NTM"),I57)</f>
        <v>6.0421362680000001</v>
      </c>
      <c r="J57" s="963" cm="1">
        <f t="array" aca="1" ref="J57" ca="1">IF(Thomson=1,_xll.TR(J$7,J$6,"Sdate=#1 Period=#2 NULL=BLANK",,$D57,"NTM"),J57)</f>
        <v>17.603260455000001</v>
      </c>
      <c r="K57" s="963" cm="1">
        <f t="array" aca="1" ref="K57" ca="1">IF(Thomson=1,_xll.TR(K$7,K$6,"Sdate=#1 Period=#2 NULL=BLANK",,$D57,"NTM"),K57)</f>
        <v>12.770032562000001</v>
      </c>
      <c r="L57" s="963" cm="1">
        <f t="array" aca="1" ref="L57" ca="1">IF(Thomson=1,_xll.TR(L$7,L$6,"Sdate=#1 Period=#2 NULL=BLANK",,$D57,"NTM"),L57)</f>
        <v>6.4207402519999999</v>
      </c>
      <c r="M57" s="963" cm="1">
        <f t="array" aca="1" ref="M57" ca="1">IF(Thomson=1,_xll.TR(M$7,M$6,"Sdate=#1 Period=#2 NULL=BLANK",,$D57,"NTM"),M57)</f>
        <v>6.6024646779999996</v>
      </c>
      <c r="N57" s="963" cm="1">
        <f t="array" aca="1" ref="N57" ca="1">IF(Thomson=1,_xll.TR(N$7,N$6,"Sdate=#1 Period=#2 NULL=BLANK",,$D57,"NTM"),N57)</f>
        <v>11.104541006</v>
      </c>
      <c r="O57" s="963" cm="1">
        <f t="array" aca="1" ref="O57" ca="1">IF(Thomson=1,_xll.TR(O$7,O$6,"Sdate=#1 Period=#2 NULL=BLANK",,$D57,"NTM"),O57)</f>
        <v>7.6038091630000002</v>
      </c>
    </row>
    <row r="58" spans="3:15">
      <c r="C58" s="972">
        <f t="shared" si="2"/>
        <v>44742</v>
      </c>
      <c r="D58" s="970">
        <f t="shared" si="1"/>
        <v>44787</v>
      </c>
      <c r="E58" s="963" cm="1">
        <f t="array" aca="1" ref="E58" ca="1">IF(Thomson=1,_xll.TR(E$7,E$6,"Sdate=#1 Period=#2 NULL=BLANK",,$D58,"NTM"),E58)</f>
        <v>10.066605187</v>
      </c>
      <c r="F58" s="963" cm="1">
        <f t="array" aca="1" ref="F58" ca="1">IF(Thomson=1,_xll.TR(F$7,F$6,"Sdate=#1 Period=#2 NULL=BLANK",,$D58,"NTM"),F58)</f>
        <v>7.0105082620000001</v>
      </c>
      <c r="G58" s="963" cm="1">
        <f t="array" aca="1" ref="G58" ca="1">IF(Thomson=1,_xll.TR(G$7,G$6,"Sdate=#1 Period=#2 NULL=BLANK",,$D58,"NTM"),G58)</f>
        <v>7.8417572819999997</v>
      </c>
      <c r="H58" s="963" cm="1">
        <f t="array" aca="1" ref="H58" ca="1">IF(Thomson=1,_xll.TR(H$7,H$6,"Sdate=#1 Period=#2 NULL=BLANK",,$D58,"NTM"),H58)</f>
        <v>7.7818894739999998</v>
      </c>
      <c r="I58" s="963" cm="1">
        <f t="array" aca="1" ref="I58" ca="1">IF(Thomson=1,_xll.TR(I$7,I$6,"Sdate=#1 Period=#2 NULL=BLANK",,$D58,"NTM"),I58)</f>
        <v>5.8620491289999999</v>
      </c>
      <c r="J58" s="963" cm="1">
        <f t="array" aca="1" ref="J58" ca="1">IF(Thomson=1,_xll.TR(J$7,J$6,"Sdate=#1 Period=#2 NULL=BLANK",,$D58,"NTM"),J58)</f>
        <v>17.215051415000001</v>
      </c>
      <c r="K58" s="963" cm="1">
        <f t="array" aca="1" ref="K58" ca="1">IF(Thomson=1,_xll.TR(K$7,K$6,"Sdate=#1 Period=#2 NULL=BLANK",,$D58,"NTM"),K58)</f>
        <v>13.124113297999999</v>
      </c>
      <c r="L58" s="963" cm="1">
        <f t="array" aca="1" ref="L58" ca="1">IF(Thomson=1,_xll.TR(L$7,L$6,"Sdate=#1 Period=#2 NULL=BLANK",,$D58,"NTM"),L58)</f>
        <v>6.498888708</v>
      </c>
      <c r="M58" s="963" cm="1">
        <f t="array" aca="1" ref="M58" ca="1">IF(Thomson=1,_xll.TR(M$7,M$6,"Sdate=#1 Period=#2 NULL=BLANK",,$D58,"NTM"),M58)</f>
        <v>5.6884618229999999</v>
      </c>
      <c r="N58" s="963" cm="1">
        <f t="array" aca="1" ref="N58" ca="1">IF(Thomson=1,_xll.TR(N$7,N$6,"Sdate=#1 Period=#2 NULL=BLANK",,$D58,"NTM"),N58)</f>
        <v>9.4553547420000008</v>
      </c>
      <c r="O58" s="963" cm="1">
        <f t="array" aca="1" ref="O58" ca="1">IF(Thomson=1,_xll.TR(O$7,O$6,"Sdate=#1 Period=#2 NULL=BLANK",,$D58,"NTM"),O58)</f>
        <v>6.9339572829999998</v>
      </c>
    </row>
    <row r="59" spans="3:15">
      <c r="C59" s="973">
        <f t="shared" si="2"/>
        <v>44834</v>
      </c>
      <c r="D59" s="970">
        <f t="shared" si="1"/>
        <v>44879</v>
      </c>
      <c r="E59" s="963" cm="1">
        <f t="array" aca="1" ref="E59" ca="1">IF(Thomson=1,_xll.TR(E$7,E$6,"Sdate=#1 Period=#2 NULL=BLANK",,$D59,"NTM"),E59)</f>
        <v>10.573196086999999</v>
      </c>
      <c r="F59" s="963" cm="1">
        <f t="array" aca="1" ref="F59" ca="1">IF(Thomson=1,_xll.TR(F$7,F$6,"Sdate=#1 Period=#2 NULL=BLANK",,$D59,"NTM"),F59)</f>
        <v>7.8196447659999997</v>
      </c>
      <c r="G59" s="963" cm="1">
        <f t="array" aca="1" ref="G59" ca="1">IF(Thomson=1,_xll.TR(G$7,G$6,"Sdate=#1 Period=#2 NULL=BLANK",,$D59,"NTM"),G59)</f>
        <v>10.413031947</v>
      </c>
      <c r="H59" s="963" cm="1">
        <f t="array" aca="1" ref="H59" ca="1">IF(Thomson=1,_xll.TR(H$7,H$6,"Sdate=#1 Period=#2 NULL=BLANK",,$D59,"NTM"),H59)</f>
        <v>11.154974817999999</v>
      </c>
      <c r="I59" s="963" cm="1">
        <f t="array" aca="1" ref="I59" ca="1">IF(Thomson=1,_xll.TR(I$7,I$6,"Sdate=#1 Period=#2 NULL=BLANK",,$D59,"NTM"),I59)</f>
        <v>8.7774649870000001</v>
      </c>
      <c r="J59" s="963" cm="1">
        <f t="array" aca="1" ref="J59" ca="1">IF(Thomson=1,_xll.TR(J$7,J$6,"Sdate=#1 Period=#2 NULL=BLANK",,$D59,"NTM"),J59)</f>
        <v>18.764143465</v>
      </c>
      <c r="K59" s="963" cm="1">
        <f t="array" aca="1" ref="K59" ca="1">IF(Thomson=1,_xll.TR(K$7,K$6,"Sdate=#1 Period=#2 NULL=BLANK",,$D59,"NTM"),K59)</f>
        <v>13.326968764</v>
      </c>
      <c r="L59" s="963" cm="1">
        <f t="array" aca="1" ref="L59" ca="1">IF(Thomson=1,_xll.TR(L$7,L$6,"Sdate=#1 Period=#2 NULL=BLANK",,$D59,"NTM"),L59)</f>
        <v>9.0596137389999996</v>
      </c>
      <c r="M59" s="963" cm="1">
        <f t="array" aca="1" ref="M59" ca="1">IF(Thomson=1,_xll.TR(M$7,M$6,"Sdate=#1 Period=#2 NULL=BLANK",,$D59,"NTM"),M59)</f>
        <v>9.1951866199999994</v>
      </c>
      <c r="N59" s="963" cm="1">
        <f t="array" aca="1" ref="N59" ca="1">IF(Thomson=1,_xll.TR(N$7,N$6,"Sdate=#1 Period=#2 NULL=BLANK",,$D59,"NTM"),N59)</f>
        <v>10.182901960000001</v>
      </c>
      <c r="O59" s="963" cm="1">
        <f t="array" aca="1" ref="O59" ca="1">IF(Thomson=1,_xll.TR(O$7,O$6,"Sdate=#1 Period=#2 NULL=BLANK",,$D59,"NTM"),O59)</f>
        <v>9.8623017550000007</v>
      </c>
    </row>
    <row r="60" spans="3:15">
      <c r="C60" s="969">
        <f t="shared" si="2"/>
        <v>44926</v>
      </c>
      <c r="D60" s="974">
        <f>+C60+72</f>
        <v>44998</v>
      </c>
      <c r="E60" s="963" cm="1">
        <f t="array" aca="1" ref="E60" ca="1">IF(Thomson=1,_xll.TR(E$7,E$6,"Sdate=#1 Period=#2 NULL=BLANK",,$D60,"NTM"),E60)</f>
        <v>9.9634500940000006</v>
      </c>
      <c r="F60" s="963" cm="1">
        <f t="array" aca="1" ref="F60" ca="1">IF(Thomson=1,_xll.TR(F$7,F$6,"Sdate=#1 Period=#2 NULL=BLANK",,$D60,"NTM"),F60)</f>
        <v>8.4172832460000002</v>
      </c>
      <c r="G60" s="963" cm="1">
        <f t="array" aca="1" ref="G60" ca="1">IF(Thomson=1,_xll.TR(G$7,G$6,"Sdate=#1 Period=#2 NULL=BLANK",,$D60,"NTM"),G60)</f>
        <v>9.7153211669995905</v>
      </c>
      <c r="H60" s="963" cm="1">
        <f t="array" aca="1" ref="H60" ca="1">IF(Thomson=1,_xll.TR(H$7,H$6,"Sdate=#1 Period=#2 NULL=BLANK",,$D60,"NTM"),H60)</f>
        <v>14.585486985999999</v>
      </c>
      <c r="I60" s="963" cm="1">
        <f t="array" aca="1" ref="I60" ca="1">IF(Thomson=1,_xll.TR(I$7,I$6,"Sdate=#1 Period=#2 NULL=BLANK",,$D60,"NTM"),I60)</f>
        <v>9.2152608019999995</v>
      </c>
      <c r="J60" s="963" cm="1">
        <f t="array" aca="1" ref="J60" ca="1">IF(Thomson=1,_xll.TR(J$7,J$6,"Sdate=#1 Period=#2 NULL=BLANK",,$D60,"NTM"),J60)</f>
        <v>17.766823432999999</v>
      </c>
      <c r="K60" s="963" cm="1">
        <f t="array" aca="1" ref="K60" ca="1">IF(Thomson=1,_xll.TR(K$7,K$6,"Sdate=#1 Period=#2 NULL=BLANK",,$D60,"NTM"),K60)</f>
        <v>15.2173654</v>
      </c>
      <c r="L60" s="963" cm="1">
        <f t="array" aca="1" ref="L60" ca="1">IF(Thomson=1,_xll.TR(L$7,L$6,"Sdate=#1 Period=#2 NULL=BLANK",,$D60,"NTM"),L60)</f>
        <v>8.3445026313133006</v>
      </c>
      <c r="M60" s="963" cm="1">
        <f t="array" aca="1" ref="M60" ca="1">IF(Thomson=1,_xll.TR(M$7,M$6,"Sdate=#1 Period=#2 NULL=BLANK",,$D60,"NTM"),M60)</f>
        <v>10.321774920999999</v>
      </c>
      <c r="N60" s="963" cm="1">
        <f t="array" aca="1" ref="N60" ca="1">IF(Thomson=1,_xll.TR(N$7,N$6,"Sdate=#1 Period=#2 NULL=BLANK",,$D60,"NTM"),N60)</f>
        <v>11.0319982977362</v>
      </c>
      <c r="O60" s="963" cm="1">
        <f t="array" aca="1" ref="O60" ca="1">IF(Thomson=1,_xll.TR(O$7,O$6,"Sdate=#1 Period=#2 NULL=BLANK",,$D60,"NTM"),O60)</f>
        <v>12.598940063000001</v>
      </c>
    </row>
    <row r="61" spans="3:15">
      <c r="C61" s="972"/>
      <c r="D61" s="970"/>
    </row>
    <row r="62" spans="3:15">
      <c r="C62" s="973"/>
      <c r="D62" s="970"/>
    </row>
    <row r="63" spans="3:15">
      <c r="C63" s="969"/>
      <c r="D63" s="970"/>
    </row>
    <row r="64" spans="3:15">
      <c r="C64" s="971"/>
      <c r="D64" s="970"/>
    </row>
    <row r="65" spans="3:4">
      <c r="C65" s="972"/>
      <c r="D65" s="970"/>
    </row>
    <row r="66" spans="3:4">
      <c r="C66" s="973"/>
      <c r="D66" s="970"/>
    </row>
    <row r="67" spans="3:4">
      <c r="C67" s="969"/>
      <c r="D67" s="979"/>
    </row>
  </sheetData>
  <pageMargins left="0.7" right="0.7" top="0.75" bottom="0.75" header="0.3" footer="0.3"/>
  <pageSetup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26AD-DE05-4A18-A0EA-776089F8C0B8}">
  <sheetPr codeName="Sheet29">
    <tabColor theme="9" tint="0.79998168889431442"/>
  </sheetPr>
  <dimension ref="A1:Q64"/>
  <sheetViews>
    <sheetView showGridLines="0" zoomScale="80" zoomScaleNormal="80" workbookViewId="0">
      <selection activeCell="B18" sqref="B18"/>
    </sheetView>
  </sheetViews>
  <sheetFormatPr defaultColWidth="8.796875" defaultRowHeight="10.5"/>
  <cols>
    <col min="1" max="15" width="8.796875" style="762"/>
    <col min="16" max="16" width="3.53125" style="762" customWidth="1"/>
    <col min="17" max="16384" width="8.796875" style="762"/>
  </cols>
  <sheetData>
    <row r="1" spans="1:1">
      <c r="A1" s="770" t="str">
        <f>'Forward PE'!A1</f>
        <v>1 Yr Forward Multiples</v>
      </c>
    </row>
    <row r="2" spans="1:1">
      <c r="A2" s="767" t="str">
        <f>'Forward PE'!A2</f>
        <v>Forward PE</v>
      </c>
    </row>
    <row r="60" spans="17:17">
      <c r="Q60" s="767"/>
    </row>
    <row r="61" spans="17:17">
      <c r="Q61" s="767"/>
    </row>
    <row r="62" spans="17:17">
      <c r="Q62" s="767"/>
    </row>
    <row r="63" spans="17:17">
      <c r="Q63" s="767"/>
    </row>
    <row r="64" spans="17:17">
      <c r="Q64" s="781"/>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81DD-1ECA-472C-8DF6-B32A97A2A159}">
  <sheetPr codeName="Sheet11">
    <pageSetUpPr fitToPage="1"/>
  </sheetPr>
  <dimension ref="A1:P133"/>
  <sheetViews>
    <sheetView showGridLines="0" workbookViewId="0">
      <selection activeCell="E16" sqref="E16"/>
    </sheetView>
  </sheetViews>
  <sheetFormatPr defaultColWidth="9.19921875" defaultRowHeight="10.5" outlineLevelRow="1"/>
  <cols>
    <col min="1" max="2" width="1.796875" style="363" customWidth="1"/>
    <col min="3" max="3" width="35.796875" style="363" customWidth="1"/>
    <col min="4" max="16" width="9.19921875" style="363" customWidth="1"/>
    <col min="17" max="16384" width="9.19921875" style="363"/>
  </cols>
  <sheetData>
    <row r="1" spans="1:16">
      <c r="A1" s="362" t="str">
        <f>Financials!A1</f>
        <v>Eastman Chemical Co.</v>
      </c>
      <c r="E1" s="364" t="s">
        <v>618</v>
      </c>
      <c r="F1" s="364"/>
      <c r="G1" s="365"/>
      <c r="H1" s="365"/>
      <c r="I1" s="364" t="s">
        <v>619</v>
      </c>
      <c r="J1" s="365"/>
      <c r="K1" s="364"/>
      <c r="L1" s="364"/>
      <c r="M1" s="364" t="s">
        <v>620</v>
      </c>
      <c r="N1" s="364"/>
      <c r="O1" s="365"/>
      <c r="P1" s="365"/>
    </row>
    <row r="2" spans="1:16" outlineLevel="1">
      <c r="A2" s="366" t="str">
        <f>Financials!A2</f>
        <v>(All Values in USD mn unless stated otherwise)</v>
      </c>
    </row>
    <row r="3" spans="1:16" outlineLevel="1">
      <c r="A3" s="362" t="s">
        <v>621</v>
      </c>
      <c r="D3" s="367" t="s">
        <v>622</v>
      </c>
      <c r="E3" s="368">
        <f ca="1">IF(ISERROR(_xll.BDP("EMN US EQUITY","px_last")),0,1)</f>
        <v>0</v>
      </c>
      <c r="J3" s="363" t="s">
        <v>623</v>
      </c>
      <c r="K3" s="369" t="s">
        <v>637</v>
      </c>
      <c r="O3" s="363" t="s">
        <v>624</v>
      </c>
      <c r="P3" s="370">
        <v>0.1</v>
      </c>
    </row>
    <row r="4" spans="1:16" outlineLevel="1"/>
    <row r="5" spans="1:16" outlineLevel="1"/>
    <row r="7" spans="1:16" s="371" customFormat="1">
      <c r="B7" s="452" t="s">
        <v>14</v>
      </c>
      <c r="C7" s="373" t="s">
        <v>625</v>
      </c>
      <c r="D7" s="372"/>
      <c r="E7" s="372"/>
      <c r="F7" s="372"/>
      <c r="G7" s="372"/>
      <c r="H7" s="372"/>
      <c r="I7" s="372"/>
      <c r="J7" s="372"/>
      <c r="K7" s="372"/>
      <c r="L7" s="372"/>
      <c r="M7" s="372"/>
      <c r="N7" s="372"/>
      <c r="O7" s="372"/>
      <c r="P7" s="374" t="str">
        <f>+IF(Case=1,"Bull Case",IF(Case=2, "Base Case","Bear Case"))</f>
        <v>Base Case</v>
      </c>
    </row>
    <row r="9" spans="1:16">
      <c r="B9" s="375"/>
      <c r="C9" s="376" t="s">
        <v>626</v>
      </c>
      <c r="D9" s="1554" t="s">
        <v>1382</v>
      </c>
      <c r="E9" s="1555"/>
      <c r="F9" s="1556"/>
      <c r="G9" s="1554" t="s">
        <v>627</v>
      </c>
      <c r="H9" s="1556"/>
      <c r="I9" s="1554" t="s">
        <v>1383</v>
      </c>
      <c r="J9" s="1556"/>
      <c r="K9" s="1554" t="s">
        <v>627</v>
      </c>
      <c r="L9" s="1556"/>
      <c r="M9" s="1554" t="s">
        <v>1384</v>
      </c>
      <c r="N9" s="1556"/>
      <c r="O9" s="1554" t="s">
        <v>627</v>
      </c>
      <c r="P9" s="1555"/>
    </row>
    <row r="10" spans="1:16">
      <c r="B10" s="377"/>
      <c r="C10" s="377"/>
      <c r="D10" s="378" t="s">
        <v>628</v>
      </c>
      <c r="E10" s="378" t="s">
        <v>629</v>
      </c>
      <c r="F10" s="378" t="s">
        <v>630</v>
      </c>
      <c r="G10" s="378" t="s">
        <v>631</v>
      </c>
      <c r="H10" s="379" t="s">
        <v>632</v>
      </c>
      <c r="I10" s="378" t="s">
        <v>629</v>
      </c>
      <c r="J10" s="378" t="s">
        <v>630</v>
      </c>
      <c r="K10" s="378" t="s">
        <v>631</v>
      </c>
      <c r="L10" s="379" t="s">
        <v>632</v>
      </c>
      <c r="M10" s="378" t="s">
        <v>629</v>
      </c>
      <c r="N10" s="378" t="s">
        <v>630</v>
      </c>
      <c r="O10" s="378" t="s">
        <v>631</v>
      </c>
      <c r="P10" s="379" t="s">
        <v>632</v>
      </c>
    </row>
    <row r="11" spans="1:16">
      <c r="C11" s="380"/>
      <c r="I11" s="371"/>
    </row>
    <row r="12" spans="1:16">
      <c r="C12" s="381" t="s">
        <v>633</v>
      </c>
      <c r="E12" s="382"/>
      <c r="F12" s="382"/>
      <c r="I12" s="371"/>
      <c r="J12" s="382"/>
      <c r="M12" s="382"/>
      <c r="N12" s="382"/>
    </row>
    <row r="13" spans="1:16">
      <c r="A13" s="383"/>
      <c r="C13" s="384" t="s">
        <v>493</v>
      </c>
      <c r="D13" s="382"/>
      <c r="E13" s="385">
        <f ca="1">+IF(BBswitch=1,IF(_xll.BDP($K$3&amp;" US EQUITY","BEST_SALES", "BEST_FPERIOD_OVERRIDE="&amp;E$1)="#N/A N/A","NA ",_xll.BDP($K$3&amp;" US EQUITY","BEST_SALES", "BEST_FPERIOD_OVERRIDE="&amp;E$1)),E13)</f>
        <v>9196.5830000000005</v>
      </c>
      <c r="F13" s="717">
        <f>Financials!AR11</f>
        <v>8473</v>
      </c>
      <c r="G13" s="386">
        <f t="shared" ref="G13:G18" ca="1" si="0">+IFERROR(F13-E13,"NA ")</f>
        <v>-723.58300000000054</v>
      </c>
      <c r="H13" s="387">
        <f t="shared" ref="H13:H18" ca="1" si="1">+IFERROR(G13/E13,"NA ")</f>
        <v>-7.8679548697597843E-2</v>
      </c>
      <c r="I13" s="385">
        <f ca="1">+IF(BBswitch=1,IF(_xll.BDP($K$3&amp;" US EQUITY","BEST_SALES", "BEST_FPERIOD_OVERRIDE="&amp;I$1)="#N/A N/A","NA ",_xll.BDP($K$3&amp;" US EQUITY","BEST_SALES", "BEST_FPERIOD_OVERRIDE="&amp;I$1)),I13)</f>
        <v>9411.0769999999993</v>
      </c>
      <c r="J13" s="717">
        <f>Financials!AS11</f>
        <v>10476</v>
      </c>
      <c r="K13" s="386">
        <f t="shared" ref="K13:K18" ca="1" si="2">+IFERROR(J13-I13,"NA ")</f>
        <v>1064.9230000000007</v>
      </c>
      <c r="L13" s="387">
        <f t="shared" ref="L13:L18" ca="1" si="3">+IFERROR(K13/I13,"NA ")</f>
        <v>0.11315633694209502</v>
      </c>
      <c r="M13" s="385">
        <f ca="1">+IF(BBswitch=1,IF(_xll.BDP($K$3&amp;" US EQUITY","BEST_SALES", "BEST_FPERIOD_OVERRIDE="&amp;M$1)="#N/A N/A","NA ",_xll.BDP($K$3&amp;" US EQUITY","BEST_SALES", "BEST_FPERIOD_OVERRIDE="&amp;M$1)),M13)</f>
        <v>9708.1669999999995</v>
      </c>
      <c r="N13" s="717">
        <f>Financials!AT11</f>
        <v>10580</v>
      </c>
      <c r="O13" s="386">
        <f t="shared" ref="O13:O18" ca="1" si="4">+IFERROR(N13-M13,"NA ")</f>
        <v>871.83300000000054</v>
      </c>
      <c r="P13" s="387">
        <f t="shared" ref="P13:P18" ca="1" si="5">+IFERROR(O13/M13,"NA ")</f>
        <v>8.9804079390064115E-2</v>
      </c>
    </row>
    <row r="14" spans="1:16">
      <c r="A14" s="383"/>
      <c r="C14" s="384" t="s">
        <v>617</v>
      </c>
      <c r="E14" s="385">
        <f ca="1">+IF(BBswitch=1,IF(_xll.BDP($K$3&amp;" US EQUITY","BEST_EBITDA", "BEST_FPERIOD_OVERRIDE="&amp;E$1)="#N/A N/A","NA ",_xll.BDP($K$3&amp;" US EQUITY","BEST_EBITDA", "BEST_FPERIOD_OVERRIDE="&amp;E$1)),E14)</f>
        <v>1967.3330000000001</v>
      </c>
      <c r="F14" s="717">
        <f>Financials!AR119</f>
        <v>1790</v>
      </c>
      <c r="G14" s="386">
        <f t="shared" ca="1" si="0"/>
        <v>-177.33300000000008</v>
      </c>
      <c r="H14" s="387">
        <f t="shared" ca="1" si="1"/>
        <v>-9.0138781792406308E-2</v>
      </c>
      <c r="I14" s="385">
        <f ca="1">+IF(BBswitch=1,IF(_xll.BDP($K$3&amp;" US EQUITY","BEST_EBITDA", "BEST_FPERIOD_OVERRIDE="&amp;I$1)="#N/A N/A","NA ",_xll.BDP($K$3&amp;" US EQUITY","BEST_EBITDA", "BEST_FPERIOD_OVERRIDE="&amp;I$1)),I14)</f>
        <v>2043.867</v>
      </c>
      <c r="J14" s="717">
        <f>Financials!AS119</f>
        <v>2173</v>
      </c>
      <c r="K14" s="386">
        <f t="shared" ca="1" si="2"/>
        <v>129.13300000000004</v>
      </c>
      <c r="L14" s="387">
        <f t="shared" ca="1" si="3"/>
        <v>6.3180725556017114E-2</v>
      </c>
      <c r="M14" s="385">
        <f ca="1">+IF(BBswitch=1,IF(_xll.BDP($K$3&amp;" US EQUITY","BEST_EBITDA", "BEST_FPERIOD_OVERRIDE="&amp;M$1)="#N/A N/A","NA ",_xll.BDP($K$3&amp;" US EQUITY","BEST_EBITDA", "BEST_FPERIOD_OVERRIDE="&amp;M$1)),M14)</f>
        <v>2166.3330000000001</v>
      </c>
      <c r="N14" s="717">
        <f>Financials!AT119</f>
        <v>1816</v>
      </c>
      <c r="O14" s="386">
        <f t="shared" ca="1" si="4"/>
        <v>-350.33300000000008</v>
      </c>
      <c r="P14" s="387">
        <f t="shared" ca="1" si="5"/>
        <v>-0.16171705827312793</v>
      </c>
    </row>
    <row r="15" spans="1:16">
      <c r="A15" s="383"/>
      <c r="C15" s="384" t="s">
        <v>356</v>
      </c>
      <c r="D15" s="382"/>
      <c r="E15" s="385">
        <f ca="1">+IF(BBswitch=1,IF(_xll.BDP($K$3&amp;" US EQUITY","BEST_EBIT", "BEST_FPERIOD_OVERRIDE="&amp;E$1)="#N/A N/A","NA ",_xll.BDP($K$3&amp;" US EQUITY","BEST_EBIT", "BEST_FPERIOD_OVERRIDE="&amp;E$1)),E15)</f>
        <v>1395.3330000000001</v>
      </c>
      <c r="F15" s="717">
        <f>Financials!AR187</f>
        <v>1216</v>
      </c>
      <c r="G15" s="386">
        <f t="shared" ca="1" si="0"/>
        <v>-179.33300000000008</v>
      </c>
      <c r="H15" s="387">
        <f t="shared" ca="1" si="1"/>
        <v>-0.12852344207440092</v>
      </c>
      <c r="I15" s="385">
        <f ca="1">+IF(BBswitch=1,IF(_xll.BDP($K$3&amp;" US EQUITY","BEST_EBIT", "BEST_FPERIOD_OVERRIDE="&amp;I$1)="#N/A N/A","NA ",_xll.BDP($K$3&amp;" US EQUITY","BEST_EBIT", "BEST_FPERIOD_OVERRIDE="&amp;I$1)),I15)</f>
        <v>1490.1670000000001</v>
      </c>
      <c r="J15" s="717">
        <f>Financials!AS187</f>
        <v>1635</v>
      </c>
      <c r="K15" s="386">
        <f t="shared" ca="1" si="2"/>
        <v>144.83299999999986</v>
      </c>
      <c r="L15" s="387">
        <f t="shared" ca="1" si="3"/>
        <v>9.7192462321337034E-2</v>
      </c>
      <c r="M15" s="385">
        <f ca="1">+IF(BBswitch=1,IF(_xll.BDP($K$3&amp;" US EQUITY","BEST_EBIT", "BEST_FPERIOD_OVERRIDE="&amp;M$1)="#N/A N/A","NA ",_xll.BDP($K$3&amp;" US EQUITY","BEST_EBIT", "BEST_FPERIOD_OVERRIDE="&amp;M$1)),M15)</f>
        <v>1585</v>
      </c>
      <c r="N15" s="717">
        <f>Financials!AT187</f>
        <v>1339</v>
      </c>
      <c r="O15" s="386">
        <f t="shared" ca="1" si="4"/>
        <v>-246</v>
      </c>
      <c r="P15" s="387">
        <f t="shared" ca="1" si="5"/>
        <v>-0.15520504731861198</v>
      </c>
    </row>
    <row r="16" spans="1:16">
      <c r="A16" s="383"/>
      <c r="C16" s="384" t="s">
        <v>634</v>
      </c>
      <c r="D16" s="382"/>
      <c r="E16" s="385">
        <f ca="1">+IF(BBswitch=1,IF(_xll.BDP($K$3&amp;" US EQUITY","BEST_NET_INCOME", "BEST_FPERIOD_OVERRIDE="&amp;E$1)="#N/A N/A","NA ",_xll.BDP($K$3&amp;" US EQUITY","BEST_NET_INCOME", "BEST_FPERIOD_OVERRIDE="&amp;E$1)),E16)</f>
        <v>1002.615</v>
      </c>
      <c r="F16" s="717">
        <f>Financials!AR237</f>
        <v>839</v>
      </c>
      <c r="G16" s="386">
        <f t="shared" ca="1" si="0"/>
        <v>-163.61500000000001</v>
      </c>
      <c r="H16" s="387">
        <f t="shared" ca="1" si="1"/>
        <v>-0.16318826269305767</v>
      </c>
      <c r="I16" s="385">
        <f ca="1">+IF(BBswitch=1,IF(_xll.BDP($K$3&amp;" US EQUITY","BEST_NET_INCOME", "BEST_FPERIOD_OVERRIDE="&amp;I$1)="#N/A N/A","NA ",_xll.BDP($K$3&amp;" US EQUITY","BEST_NET_INCOME", "BEST_FPERIOD_OVERRIDE="&amp;I$1)),I16)</f>
        <v>1068.462</v>
      </c>
      <c r="J16" s="717">
        <f>Financials!AS237</f>
        <v>1213</v>
      </c>
      <c r="K16" s="386">
        <f t="shared" ca="1" si="2"/>
        <v>144.53800000000001</v>
      </c>
      <c r="L16" s="387">
        <f t="shared" ca="1" si="3"/>
        <v>0.13527668742547699</v>
      </c>
      <c r="M16" s="385">
        <f ca="1">+IF(BBswitch=1,IF(_xll.BDP($K$3&amp;" US EQUITY","BEST_NET_INCOME", "BEST_FPERIOD_OVERRIDE="&amp;M$1)="#N/A N/A","NA ",_xll.BDP($K$3&amp;" US EQUITY","BEST_NET_INCOME", "BEST_FPERIOD_OVERRIDE="&amp;M$1)),M16)</f>
        <v>1142.8330000000001</v>
      </c>
      <c r="N16" s="717">
        <f>Financials!AT237</f>
        <v>984</v>
      </c>
      <c r="O16" s="386">
        <f t="shared" ca="1" si="4"/>
        <v>-158.83300000000008</v>
      </c>
      <c r="P16" s="387">
        <f t="shared" ca="1" si="5"/>
        <v>-0.13898181099075724</v>
      </c>
    </row>
    <row r="17" spans="1:16">
      <c r="A17" s="383"/>
      <c r="C17" s="384" t="s">
        <v>346</v>
      </c>
      <c r="D17" s="388" t="str">
        <f>+E33</f>
        <v>$7.20 - $7.60</v>
      </c>
      <c r="E17" s="389">
        <f ca="1">+IF(BBswitch=1,IF(_xll.BDP($K$3&amp;" US EQUITY","BEST_EPS", "BEST_FPERIOD_OVERRIDE="&amp;E$1)="#N/A N/A","NA ",_xll.BDP($K$3&amp;" US EQUITY","BEST_EPS", "BEST_FPERIOD_OVERRIDE="&amp;E$1)),E17)</f>
        <v>7.3260000000000005</v>
      </c>
      <c r="F17" s="718">
        <f>Financials!AR245</f>
        <v>3.496068751142805</v>
      </c>
      <c r="G17" s="386">
        <f t="shared" ca="1" si="0"/>
        <v>-3.8299312488571955</v>
      </c>
      <c r="H17" s="387">
        <f t="shared" ca="1" si="1"/>
        <v>-0.52278613825514542</v>
      </c>
      <c r="I17" s="389">
        <f ca="1">+IF(BBswitch=1,IF(_xll.BDP($K$3&amp;" US EQUITY","BEST_EPS", "BEST_FPERIOD_OVERRIDE="&amp;I$1)="#N/A N/A","NA ",_xll.BDP($K$3&amp;" US EQUITY","BEST_EPS", "BEST_FPERIOD_OVERRIDE="&amp;I$1)),I17)</f>
        <v>8.0820000000000007</v>
      </c>
      <c r="J17" s="718">
        <f>Financials!AS245</f>
        <v>6.2669104204753197</v>
      </c>
      <c r="K17" s="386">
        <f t="shared" ca="1" si="2"/>
        <v>-1.8150895795246811</v>
      </c>
      <c r="L17" s="387">
        <f t="shared" ca="1" si="3"/>
        <v>-0.2245842092953082</v>
      </c>
      <c r="M17" s="389">
        <f ca="1">+IF(BBswitch=1,IF(_xll.BDP($K$3&amp;" US EQUITY","BEST_EPS", "BEST_FPERIOD_OVERRIDE="&amp;M$1)="#N/A N/A","NA ",_xll.BDP($K$3&amp;" US EQUITY","BEST_EPS", "BEST_FPERIOD_OVERRIDE="&amp;M$1)),M17)</f>
        <v>9.0640000000000001</v>
      </c>
      <c r="N17" s="718">
        <f>Financials!AT245</f>
        <v>6.304909560723515</v>
      </c>
      <c r="O17" s="386">
        <f t="shared" ca="1" si="4"/>
        <v>-2.759090439276485</v>
      </c>
      <c r="P17" s="387">
        <f t="shared" ca="1" si="5"/>
        <v>-0.30440097520702614</v>
      </c>
    </row>
    <row r="18" spans="1:16" outlineLevel="1">
      <c r="A18" s="383"/>
      <c r="C18" s="384" t="s">
        <v>488</v>
      </c>
      <c r="D18" s="388" t="str">
        <f>+E34</f>
        <v>$1.0-1.1 bn</v>
      </c>
      <c r="E18" s="385">
        <f ca="1">+IF(BBswitch=1,IF(_xll.BDP($K$3&amp;" US EQUITY","BEST_ESTIMATE_FCF", "BEST_FPERIOD_OVERRIDE="&amp;E$1)="#N/A N/A","NA ",_xll.BDP($K$3&amp;" US EQUITY","BEST_ESTIMATE_FCF", "BEST_FPERIOD_OVERRIDE="&amp;E$1)),E18)</f>
        <v>1050.433</v>
      </c>
      <c r="F18" s="717">
        <f>Financials!AR124</f>
        <v>1059</v>
      </c>
      <c r="G18" s="386">
        <f t="shared" ca="1" si="0"/>
        <v>8.5670000000000073</v>
      </c>
      <c r="H18" s="387">
        <f t="shared" ca="1" si="1"/>
        <v>8.1556843701597413E-3</v>
      </c>
      <c r="I18" s="385">
        <f ca="1">+IF(BBswitch=1,IF(_xll.BDP($K$3&amp;" US EQUITY","BEST_ESTIMATE_FCF", "BEST_FPERIOD_OVERRIDE="&amp;I$1)="#N/A N/A","NA ",_xll.BDP($K$3&amp;" US EQUITY","BEST_ESTIMATE_FCF", "BEST_FPERIOD_OVERRIDE="&amp;I$1)),I18)</f>
        <v>1075.5</v>
      </c>
      <c r="J18" s="717">
        <f>Financials!AS124</f>
        <v>1041</v>
      </c>
      <c r="K18" s="386">
        <f t="shared" ca="1" si="2"/>
        <v>-34.5</v>
      </c>
      <c r="L18" s="387">
        <f t="shared" ca="1" si="3"/>
        <v>-3.2078103207810321E-2</v>
      </c>
      <c r="M18" s="385">
        <f ca="1">+IF(BBswitch=1,IF(_xll.BDP($K$3&amp;" US EQUITY","BEST_ESTIMATE_FCF", "BEST_FPERIOD_OVERRIDE="&amp;M$1)="#N/A N/A","NA ",_xll.BDP($K$3&amp;" US EQUITY","BEST_ESTIMATE_FCF", "BEST_FPERIOD_OVERRIDE="&amp;M$1)),M18)</f>
        <v>1115</v>
      </c>
      <c r="N18" s="717">
        <f>Financials!AT124</f>
        <v>351</v>
      </c>
      <c r="O18" s="386">
        <f t="shared" ca="1" si="4"/>
        <v>-764</v>
      </c>
      <c r="P18" s="387">
        <f t="shared" ca="1" si="5"/>
        <v>-0.6852017937219731</v>
      </c>
    </row>
    <row r="19" spans="1:16" s="371" customFormat="1">
      <c r="C19" s="390"/>
      <c r="E19" s="385"/>
      <c r="F19" s="385"/>
      <c r="G19" s="387"/>
      <c r="H19" s="387"/>
      <c r="I19" s="385"/>
      <c r="J19" s="385"/>
      <c r="K19" s="387"/>
      <c r="L19" s="387"/>
      <c r="M19" s="385"/>
      <c r="N19" s="387"/>
      <c r="O19" s="387"/>
      <c r="P19" s="385"/>
    </row>
    <row r="20" spans="1:16">
      <c r="C20" s="381" t="s">
        <v>635</v>
      </c>
      <c r="E20" s="391"/>
      <c r="F20" s="391"/>
      <c r="G20" s="391"/>
      <c r="H20" s="391"/>
      <c r="I20" s="391"/>
      <c r="J20" s="391"/>
      <c r="K20" s="391"/>
      <c r="L20" s="391"/>
      <c r="M20" s="391"/>
      <c r="N20" s="391"/>
      <c r="O20" s="391"/>
      <c r="P20" s="391"/>
    </row>
    <row r="21" spans="1:16">
      <c r="C21" s="384" t="str">
        <f t="shared" ref="C21:C26" si="6">+C13</f>
        <v>Revenue</v>
      </c>
      <c r="E21" s="385">
        <f ca="1">+IF(BBswitch=1,IF(_xll.BDP($K$3&amp;" US EQUITY","BEST_SALES_MEDIAN", "BEST_FPERIOD_OVERRIDE="&amp;E$1)="#N/A N/A","NA ",_xll.BDP($K$3&amp;" US EQUITY","BEST_SALES_MEDIAN", "BEST_FPERIOD_OVERRIDE="&amp;E$1)),E21)</f>
        <v>9213</v>
      </c>
      <c r="F21" s="385">
        <f t="shared" ref="F21:F26" si="7">+F13</f>
        <v>8473</v>
      </c>
      <c r="G21" s="386">
        <f t="shared" ref="G21:G26" ca="1" si="8">+IFERROR(F21-E21,"NA ")</f>
        <v>-740</v>
      </c>
      <c r="H21" s="387">
        <f t="shared" ref="H21:H26" ca="1" si="9">+IFERROR(G21/E21,"NA ")</f>
        <v>-8.0321285140562249E-2</v>
      </c>
      <c r="I21" s="385">
        <f ca="1">+IF(BBswitch=1,IF(_xll.BDP($K$3&amp;" US EQUITY","BEST_SALES_MEDIAN", "BEST_FPERIOD_OVERRIDE="&amp;I$1)="#N/A N/A","NA ",_xll.BDP($K$3&amp;" US EQUITY","BEST_SALES_MEDIAN", "BEST_FPERIOD_OVERRIDE="&amp;I$1)),I21)</f>
        <v>9427</v>
      </c>
      <c r="J21" s="385">
        <f t="shared" ref="J21:J26" si="10">+J13</f>
        <v>10476</v>
      </c>
      <c r="K21" s="386">
        <f t="shared" ref="K21:K26" ca="1" si="11">+IFERROR(J21-I21,"NA ")</f>
        <v>1049</v>
      </c>
      <c r="L21" s="387">
        <f t="shared" ref="L21:L26" ca="1" si="12">+IFERROR(K21/I21,"NA ")</f>
        <v>0.11127612177787206</v>
      </c>
      <c r="M21" s="385">
        <f ca="1">+IF(BBswitch=1,IF(_xll.BDP($K$3&amp;" US EQUITY","BEST_SALES_MEDIAN", "BEST_FPERIOD_OVERRIDE="&amp;M$1)="#N/A N/A","NA ",_xll.BDP($K$3&amp;" US EQUITY","BEST_SALES_MEDIAN", "BEST_FPERIOD_OVERRIDE="&amp;M$1)),M21)</f>
        <v>9779</v>
      </c>
      <c r="N21" s="385">
        <f t="shared" ref="N21:N26" si="13">+N13</f>
        <v>10580</v>
      </c>
      <c r="O21" s="386">
        <f t="shared" ref="O21:O26" ca="1" si="14">+IFERROR(N21-M21,"NA ")</f>
        <v>801</v>
      </c>
      <c r="P21" s="387">
        <f t="shared" ref="P21:P26" ca="1" si="15">+IFERROR(O21/M21,"NA ")</f>
        <v>8.191021576848348E-2</v>
      </c>
    </row>
    <row r="22" spans="1:16">
      <c r="C22" s="384" t="str">
        <f t="shared" si="6"/>
        <v>Adjusted EBITDA</v>
      </c>
      <c r="E22" s="385">
        <f ca="1">+IF(BBswitch=1,IF(_xll.BDP($K$3&amp;" US EQUITY","BEST_EBITDA_MEDIAN", "BEST_FPERIOD_OVERRIDE="&amp;E$1)="#N/A N/A","NA ",_xll.BDP($K$3&amp;" US EQUITY","BEST_EBITDA_MEDIAN", "BEST_FPERIOD_OVERRIDE="&amp;E$1)),E22)</f>
        <v>1967</v>
      </c>
      <c r="F22" s="385">
        <f t="shared" si="7"/>
        <v>1790</v>
      </c>
      <c r="G22" s="386">
        <f t="shared" ca="1" si="8"/>
        <v>-177</v>
      </c>
      <c r="H22" s="387">
        <f t="shared" ca="1" si="9"/>
        <v>-8.9984748347737675E-2</v>
      </c>
      <c r="I22" s="385">
        <f ca="1">+IF(BBswitch=1,IF(_xll.BDP($K$3&amp;" US EQUITY","BEST_EBITDA_MEDIAN", "BEST_FPERIOD_OVERRIDE="&amp;I$1)="#N/A N/A","NA ",_xll.BDP($K$3&amp;" US EQUITY","BEST_EBITDA_MEDIAN", "BEST_FPERIOD_OVERRIDE="&amp;I$1)),I22)</f>
        <v>2027</v>
      </c>
      <c r="J22" s="385">
        <f t="shared" si="10"/>
        <v>2173</v>
      </c>
      <c r="K22" s="386">
        <f t="shared" ca="1" si="11"/>
        <v>146</v>
      </c>
      <c r="L22" s="387">
        <f t="shared" ca="1" si="12"/>
        <v>7.2027627035027131E-2</v>
      </c>
      <c r="M22" s="385">
        <f ca="1">+IF(BBswitch=1,IF(_xll.BDP($K$3&amp;" US EQUITY","BEST_EBITDA_MEDIAN", "BEST_FPERIOD_OVERRIDE="&amp;M$1)="#N/A N/A","NA ",_xll.BDP($K$3&amp;" US EQUITY","BEST_EBITDA_MEDIAN", "BEST_FPERIOD_OVERRIDE="&amp;M$1)),M22)</f>
        <v>2159</v>
      </c>
      <c r="N22" s="385">
        <f t="shared" si="13"/>
        <v>1816</v>
      </c>
      <c r="O22" s="386">
        <f t="shared" ca="1" si="14"/>
        <v>-343</v>
      </c>
      <c r="P22" s="387">
        <f t="shared" ca="1" si="15"/>
        <v>-0.15886984715145902</v>
      </c>
    </row>
    <row r="23" spans="1:16">
      <c r="C23" s="384" t="str">
        <f t="shared" si="6"/>
        <v>Adjusted EBIT</v>
      </c>
      <c r="E23" s="385">
        <f ca="1">+IF(BBswitch=1,IF(_xll.BDP($K$3&amp;" US EQUITY","BEST_EBIT_MEDIAN", "BEST_FPERIOD_OVERRIDE="&amp;E$1)="#N/A N/A","NA ",_xll.BDP($K$3&amp;" US EQUITY","BEST_EBIT_MEDIAN", "BEST_FPERIOD_OVERRIDE="&amp;E$1)),E23)</f>
        <v>1401</v>
      </c>
      <c r="F23" s="385">
        <f t="shared" si="7"/>
        <v>1216</v>
      </c>
      <c r="G23" s="386">
        <f t="shared" ca="1" si="8"/>
        <v>-185</v>
      </c>
      <c r="H23" s="387">
        <f t="shared" ca="1" si="9"/>
        <v>-0.13204853675945752</v>
      </c>
      <c r="I23" s="385">
        <f ca="1">+IF(BBswitch=1,IF(_xll.BDP($K$3&amp;" US EQUITY","BEST_EBIT_MEDIAN", "BEST_FPERIOD_OVERRIDE="&amp;I$1)="#N/A N/A","NA ",_xll.BDP($K$3&amp;" US EQUITY","BEST_EBIT_MEDIAN", "BEST_FPERIOD_OVERRIDE="&amp;I$1)),I23)</f>
        <v>1470</v>
      </c>
      <c r="J23" s="385">
        <f t="shared" si="10"/>
        <v>1635</v>
      </c>
      <c r="K23" s="386">
        <f t="shared" ca="1" si="11"/>
        <v>165</v>
      </c>
      <c r="L23" s="387">
        <f t="shared" ca="1" si="12"/>
        <v>0.11224489795918367</v>
      </c>
      <c r="M23" s="385">
        <f ca="1">+IF(BBswitch=1,IF(_xll.BDP($K$3&amp;" US EQUITY","BEST_EBIT_MEDIAN", "BEST_FPERIOD_OVERRIDE="&amp;M$1)="#N/A N/A","NA ",_xll.BDP($K$3&amp;" US EQUITY","BEST_EBIT_MEDIAN", "BEST_FPERIOD_OVERRIDE="&amp;M$1)),M23)</f>
        <v>1623</v>
      </c>
      <c r="N23" s="385">
        <f t="shared" si="13"/>
        <v>1339</v>
      </c>
      <c r="O23" s="386">
        <f t="shared" ca="1" si="14"/>
        <v>-284</v>
      </c>
      <c r="P23" s="387">
        <f t="shared" ca="1" si="15"/>
        <v>-0.17498459642637093</v>
      </c>
    </row>
    <row r="24" spans="1:16">
      <c r="C24" s="384" t="str">
        <f t="shared" si="6"/>
        <v>Adjusted Net Income</v>
      </c>
      <c r="E24" s="385">
        <f ca="1">+IF(BBswitch=1,IF(_xll.BDP($K$3&amp;" US EQUITY","BEST_NET_MEDIAN", "BEST_FPERIOD_OVERRIDE="&amp;E$1)="#N/A N/A","NA ",_xll.BDP($K$3&amp;" US EQUITY","BEST_NET_MEDIAN", "BEST_FPERIOD_OVERRIDE="&amp;E$1)),E24)</f>
        <v>1014</v>
      </c>
      <c r="F24" s="385">
        <f t="shared" si="7"/>
        <v>839</v>
      </c>
      <c r="G24" s="386">
        <f t="shared" ca="1" si="8"/>
        <v>-175</v>
      </c>
      <c r="H24" s="387">
        <f t="shared" ca="1" si="9"/>
        <v>-0.17258382642998027</v>
      </c>
      <c r="I24" s="385">
        <f ca="1">+IF(BBswitch=1,IF(_xll.BDP($K$3&amp;" US EQUITY","BEST_NET_MEDIAN", "BEST_FPERIOD_OVERRIDE="&amp;I$1)="#N/A N/A","NA ",_xll.BDP($K$3&amp;" US EQUITY","BEST_NET_MEDIAN", "BEST_FPERIOD_OVERRIDE="&amp;I$1)),I24)</f>
        <v>1069</v>
      </c>
      <c r="J24" s="385">
        <f t="shared" si="10"/>
        <v>1213</v>
      </c>
      <c r="K24" s="386">
        <f t="shared" ca="1" si="11"/>
        <v>144</v>
      </c>
      <c r="L24" s="387">
        <f t="shared" ca="1" si="12"/>
        <v>0.13470533208606175</v>
      </c>
      <c r="M24" s="385">
        <f ca="1">+IF(BBswitch=1,IF(_xll.BDP($K$3&amp;" US EQUITY","BEST_NET_MEDIAN", "BEST_FPERIOD_OVERRIDE="&amp;M$1)="#N/A N/A","NA ",_xll.BDP($K$3&amp;" US EQUITY","BEST_NET_MEDIAN", "BEST_FPERIOD_OVERRIDE="&amp;M$1)),M24)</f>
        <v>1143.5</v>
      </c>
      <c r="N24" s="385">
        <f t="shared" si="13"/>
        <v>984</v>
      </c>
      <c r="O24" s="386">
        <f t="shared" ca="1" si="14"/>
        <v>-159.5</v>
      </c>
      <c r="P24" s="387">
        <f t="shared" ca="1" si="15"/>
        <v>-0.1394840402273721</v>
      </c>
    </row>
    <row r="25" spans="1:16">
      <c r="C25" s="384" t="str">
        <f t="shared" si="6"/>
        <v>Adjusted EPS</v>
      </c>
      <c r="E25" s="389">
        <f ca="1">+IF(BBswitch=1,IF(_xll.BDP($K$3&amp;" US EQUITY","BEST_EPS_MEDIAN", "BEST_FPERIOD_OVERRIDE="&amp;E$1)="#N/A N/A","NA ",_xll.BDP($K$3&amp;" US EQUITY","BEST_EPS_MEDIAN", "BEST_FPERIOD_OVERRIDE="&amp;E$1)),E25)</f>
        <v>7.4</v>
      </c>
      <c r="F25" s="389">
        <f t="shared" si="7"/>
        <v>3.496068751142805</v>
      </c>
      <c r="G25" s="386">
        <f t="shared" ca="1" si="8"/>
        <v>-3.9039312488571953</v>
      </c>
      <c r="H25" s="387">
        <f t="shared" ca="1" si="9"/>
        <v>-0.52755827687259393</v>
      </c>
      <c r="I25" s="389">
        <f ca="1">+IF(BBswitch=1,IF(_xll.BDP($K$3&amp;" US EQUITY","BEST_EPS_MEDIAN", "BEST_FPERIOD_OVERRIDE="&amp;I$1)="#N/A N/A","NA ",_xll.BDP($K$3&amp;" US EQUITY","BEST_EPS_MEDIAN", "BEST_FPERIOD_OVERRIDE="&amp;I$1)),I25)</f>
        <v>8.1</v>
      </c>
      <c r="J25" s="389">
        <f t="shared" si="10"/>
        <v>6.2669104204753197</v>
      </c>
      <c r="K25" s="386">
        <f t="shared" ca="1" si="11"/>
        <v>-1.83308957952468</v>
      </c>
      <c r="L25" s="387">
        <f t="shared" ca="1" si="12"/>
        <v>-0.22630735549687409</v>
      </c>
      <c r="M25" s="389">
        <f ca="1">+IF(BBswitch=1,IF(_xll.BDP($K$3&amp;" US EQUITY","BEST_EPS_MEDIAN", "BEST_FPERIOD_OVERRIDE="&amp;M$1)="#N/A N/A","NA ",_xll.BDP($K$3&amp;" US EQUITY","BEST_EPS_MEDIAN", "BEST_FPERIOD_OVERRIDE="&amp;M$1)),M25)</f>
        <v>9.08</v>
      </c>
      <c r="N25" s="389">
        <f t="shared" si="13"/>
        <v>6.304909560723515</v>
      </c>
      <c r="O25" s="386">
        <f t="shared" ca="1" si="14"/>
        <v>-2.775090439276485</v>
      </c>
      <c r="P25" s="387">
        <f t="shared" ca="1" si="15"/>
        <v>-0.30562670036084638</v>
      </c>
    </row>
    <row r="26" spans="1:16" outlineLevel="1">
      <c r="C26" s="384" t="str">
        <f t="shared" si="6"/>
        <v>Free Cash Flow</v>
      </c>
      <c r="E26" s="385">
        <f ca="1">+IF(BBswitch=1,IF(_xll.BDP($K$3&amp;" US EQUITY","BEST_ESTIMATE_FCF", "BEST_FPERIOD_OVERRIDE="&amp;E$1)="#N/A N/A","NA ",_xll.BDP($K$3&amp;" US EQUITY","BEST_ESTIMATE_FCF", "BEST_FPERIOD_OVERRIDE="&amp;E$1)),E26)</f>
        <v>1050.433</v>
      </c>
      <c r="F26" s="385">
        <f t="shared" si="7"/>
        <v>1059</v>
      </c>
      <c r="G26" s="386">
        <f t="shared" ca="1" si="8"/>
        <v>8.5670000000000073</v>
      </c>
      <c r="H26" s="387">
        <f t="shared" ca="1" si="9"/>
        <v>8.1556843701597413E-3</v>
      </c>
      <c r="I26" s="385">
        <f ca="1">+IF(BBswitch=1,IF(_xll.BDP($K$3&amp;" US EQUITY","BEST_ESTIMATE_FCF", "BEST_FPERIOD_OVERRIDE="&amp;I$1)="#N/A N/A","NA ",_xll.BDP($K$3&amp;" US EQUITY","BEST_ESTIMATE_FCF", "BEST_FPERIOD_OVERRIDE="&amp;I$1)),I26)</f>
        <v>1075.5</v>
      </c>
      <c r="J26" s="385">
        <f t="shared" si="10"/>
        <v>1041</v>
      </c>
      <c r="K26" s="386">
        <f t="shared" ca="1" si="11"/>
        <v>-34.5</v>
      </c>
      <c r="L26" s="387">
        <f t="shared" ca="1" si="12"/>
        <v>-3.2078103207810321E-2</v>
      </c>
      <c r="M26" s="385">
        <f ca="1">+IF(BBswitch=1,IF(_xll.BDP($K$3&amp;" US EQUITY","BEST_ESTIMATE_FCF", "BEST_FPERIOD_OVERRIDE="&amp;M$1)="#N/A N/A","NA ",_xll.BDP($K$3&amp;" US EQUITY","BEST_ESTIMATE_FCF", "BEST_FPERIOD_OVERRIDE="&amp;M$1)),M26)</f>
        <v>1115</v>
      </c>
      <c r="N26" s="385">
        <f t="shared" si="13"/>
        <v>351</v>
      </c>
      <c r="O26" s="386">
        <f t="shared" ca="1" si="14"/>
        <v>-764</v>
      </c>
      <c r="P26" s="387">
        <f t="shared" ca="1" si="15"/>
        <v>-0.6852017937219731</v>
      </c>
    </row>
    <row r="27" spans="1:16" s="371" customFormat="1">
      <c r="C27" s="390"/>
      <c r="E27" s="385"/>
      <c r="F27" s="385"/>
      <c r="G27" s="385"/>
      <c r="H27" s="385"/>
      <c r="I27" s="385"/>
      <c r="J27" s="385"/>
      <c r="K27" s="385"/>
      <c r="L27" s="385"/>
      <c r="M27" s="385"/>
      <c r="N27" s="385"/>
      <c r="O27" s="385"/>
      <c r="P27" s="385"/>
    </row>
    <row r="28" spans="1:16" s="371" customFormat="1">
      <c r="B28" s="452" t="s">
        <v>14</v>
      </c>
      <c r="C28" s="373" t="s">
        <v>628</v>
      </c>
      <c r="D28" s="372"/>
      <c r="E28" s="372"/>
      <c r="F28" s="372"/>
      <c r="G28" s="372"/>
      <c r="H28" s="372"/>
      <c r="I28" s="372"/>
      <c r="J28" s="372"/>
      <c r="K28" s="372"/>
      <c r="L28" s="372"/>
      <c r="M28" s="372"/>
      <c r="N28" s="372"/>
      <c r="O28" s="372"/>
      <c r="P28" s="372"/>
    </row>
    <row r="29" spans="1:16">
      <c r="C29" s="392"/>
      <c r="E29" s="393"/>
    </row>
    <row r="30" spans="1:16">
      <c r="C30" s="394">
        <v>2019</v>
      </c>
      <c r="D30" s="395"/>
      <c r="E30" s="395"/>
      <c r="F30" s="395"/>
      <c r="G30" s="395"/>
      <c r="H30" s="395"/>
      <c r="I30" s="395"/>
      <c r="J30" s="395"/>
      <c r="K30" s="395"/>
    </row>
    <row r="31" spans="1:16" ht="11.65">
      <c r="C31" s="396" t="s">
        <v>1081</v>
      </c>
      <c r="D31" s="395"/>
      <c r="E31" s="397" t="s">
        <v>628</v>
      </c>
      <c r="F31" s="395"/>
      <c r="G31" s="397" t="s">
        <v>630</v>
      </c>
      <c r="H31" s="395"/>
      <c r="I31" s="396" t="s">
        <v>636</v>
      </c>
      <c r="J31" s="395"/>
      <c r="K31" s="395"/>
    </row>
    <row r="32" spans="1:16">
      <c r="C32" s="392"/>
      <c r="E32" s="398"/>
    </row>
    <row r="33" spans="3:9">
      <c r="C33" s="399" t="s">
        <v>346</v>
      </c>
      <c r="E33" s="681" t="s">
        <v>1114</v>
      </c>
      <c r="G33" s="719">
        <f>Financials!AR116</f>
        <v>3.496068751142805</v>
      </c>
    </row>
    <row r="34" spans="3:9">
      <c r="C34" s="399" t="s">
        <v>488</v>
      </c>
      <c r="E34" s="681" t="s">
        <v>1104</v>
      </c>
      <c r="G34" s="682">
        <f>Financials!AR124</f>
        <v>1059</v>
      </c>
    </row>
    <row r="35" spans="3:9">
      <c r="C35" s="399" t="s">
        <v>468</v>
      </c>
      <c r="E35" s="681" t="s">
        <v>1102</v>
      </c>
      <c r="G35" s="682">
        <f>Financials!AR40</f>
        <v>210</v>
      </c>
    </row>
    <row r="36" spans="3:9">
      <c r="C36" s="399" t="s">
        <v>1103</v>
      </c>
      <c r="E36" s="681" t="s">
        <v>1115</v>
      </c>
      <c r="G36" s="393">
        <f>+Financials!AR108</f>
        <v>0.15506958250497019</v>
      </c>
    </row>
    <row r="37" spans="3:9">
      <c r="C37" s="399" t="s">
        <v>650</v>
      </c>
      <c r="E37" s="681" t="s">
        <v>1106</v>
      </c>
      <c r="G37" s="682">
        <f>Financials!AR899</f>
        <v>574</v>
      </c>
    </row>
    <row r="38" spans="3:9">
      <c r="C38" s="399" t="s">
        <v>651</v>
      </c>
      <c r="E38" s="684" t="s">
        <v>1105</v>
      </c>
      <c r="G38" s="398">
        <f>Financials!AR871</f>
        <v>0</v>
      </c>
      <c r="I38" s="363" t="s">
        <v>1123</v>
      </c>
    </row>
    <row r="39" spans="3:9">
      <c r="C39" s="399" t="s">
        <v>1107</v>
      </c>
      <c r="E39" s="684" t="s">
        <v>1108</v>
      </c>
      <c r="G39" s="398">
        <f>Debt!$AK$46</f>
        <v>0</v>
      </c>
    </row>
    <row r="40" spans="3:9">
      <c r="C40" s="399"/>
      <c r="E40" s="400"/>
      <c r="G40" s="401"/>
    </row>
    <row r="41" spans="3:9">
      <c r="G41" s="398"/>
    </row>
    <row r="42" spans="3:9" ht="11.65">
      <c r="C42" s="707" t="s">
        <v>1089</v>
      </c>
      <c r="G42" s="398"/>
    </row>
    <row r="43" spans="3:9" ht="5.2" customHeight="1">
      <c r="C43" s="381"/>
      <c r="G43" s="398"/>
    </row>
    <row r="44" spans="3:9">
      <c r="C44" s="384" t="s">
        <v>1090</v>
      </c>
      <c r="G44" s="398"/>
    </row>
    <row r="45" spans="3:9">
      <c r="C45" s="384" t="s">
        <v>1091</v>
      </c>
      <c r="G45" s="398"/>
    </row>
    <row r="46" spans="3:9">
      <c r="C46" s="384" t="s">
        <v>1092</v>
      </c>
      <c r="G46" s="398"/>
    </row>
    <row r="47" spans="3:9" ht="5.2" customHeight="1">
      <c r="G47" s="398"/>
    </row>
    <row r="48" spans="3:9" ht="11.65">
      <c r="C48" s="707" t="s">
        <v>1097</v>
      </c>
      <c r="G48" s="398"/>
    </row>
    <row r="49" spans="3:7" ht="5.2" customHeight="1">
      <c r="C49" s="381"/>
      <c r="G49" s="398"/>
    </row>
    <row r="50" spans="3:7">
      <c r="C50" s="384" t="s">
        <v>1093</v>
      </c>
      <c r="G50" s="398"/>
    </row>
    <row r="51" spans="3:7">
      <c r="C51" s="384" t="s">
        <v>1094</v>
      </c>
      <c r="G51" s="398"/>
    </row>
    <row r="52" spans="3:7" ht="5.2" customHeight="1">
      <c r="G52" s="398"/>
    </row>
    <row r="53" spans="3:7" ht="11.65">
      <c r="C53" s="707" t="s">
        <v>1096</v>
      </c>
      <c r="G53" s="398"/>
    </row>
    <row r="54" spans="3:7" ht="5.2" customHeight="1">
      <c r="G54" s="398"/>
    </row>
    <row r="55" spans="3:7">
      <c r="C55" s="384" t="s">
        <v>1098</v>
      </c>
      <c r="G55" s="398"/>
    </row>
    <row r="56" spans="3:7" ht="5.2" customHeight="1">
      <c r="G56" s="398"/>
    </row>
    <row r="57" spans="3:7" ht="11.65">
      <c r="C57" s="707" t="s">
        <v>1099</v>
      </c>
      <c r="G57" s="398"/>
    </row>
    <row r="58" spans="3:7" ht="5.2" customHeight="1">
      <c r="G58" s="398"/>
    </row>
    <row r="59" spans="3:7">
      <c r="C59" s="384" t="s">
        <v>1100</v>
      </c>
      <c r="G59" s="398"/>
    </row>
    <row r="60" spans="3:7">
      <c r="C60" s="384" t="s">
        <v>1101</v>
      </c>
      <c r="G60" s="398"/>
    </row>
    <row r="61" spans="3:7">
      <c r="C61" s="384"/>
      <c r="G61" s="398"/>
    </row>
    <row r="62" spans="3:7">
      <c r="G62" s="398"/>
    </row>
    <row r="63" spans="3:7">
      <c r="G63" s="398"/>
    </row>
    <row r="64" spans="3:7">
      <c r="G64" s="398"/>
    </row>
    <row r="65" spans="7:7">
      <c r="G65" s="398"/>
    </row>
    <row r="66" spans="7:7">
      <c r="G66" s="398"/>
    </row>
    <row r="67" spans="7:7">
      <c r="G67" s="398"/>
    </row>
    <row r="68" spans="7:7">
      <c r="G68" s="398"/>
    </row>
    <row r="69" spans="7:7">
      <c r="G69" s="398"/>
    </row>
    <row r="70" spans="7:7">
      <c r="G70" s="398"/>
    </row>
    <row r="71" spans="7:7">
      <c r="G71" s="398"/>
    </row>
    <row r="72" spans="7:7">
      <c r="G72" s="398"/>
    </row>
    <row r="73" spans="7:7">
      <c r="G73" s="398"/>
    </row>
    <row r="74" spans="7:7">
      <c r="G74" s="398"/>
    </row>
    <row r="75" spans="7:7">
      <c r="G75" s="398"/>
    </row>
    <row r="76" spans="7:7">
      <c r="G76" s="398"/>
    </row>
    <row r="77" spans="7:7">
      <c r="G77" s="398"/>
    </row>
    <row r="78" spans="7:7">
      <c r="G78" s="398"/>
    </row>
    <row r="79" spans="7:7">
      <c r="G79" s="398"/>
    </row>
    <row r="80" spans="7:7">
      <c r="G80" s="398"/>
    </row>
    <row r="81" spans="2:16">
      <c r="G81" s="398"/>
    </row>
    <row r="82" spans="2:16">
      <c r="G82" s="398"/>
    </row>
    <row r="83" spans="2:16">
      <c r="G83" s="398"/>
    </row>
    <row r="84" spans="2:16">
      <c r="G84" s="398"/>
    </row>
    <row r="85" spans="2:16">
      <c r="G85" s="398"/>
    </row>
    <row r="87" spans="2:16">
      <c r="E87" s="670"/>
      <c r="J87" s="670"/>
      <c r="O87" s="670"/>
    </row>
    <row r="88" spans="2:16">
      <c r="B88" s="381" t="s">
        <v>14</v>
      </c>
      <c r="D88" s="399"/>
      <c r="E88" s="399"/>
      <c r="H88" s="399"/>
      <c r="M88" s="399"/>
    </row>
    <row r="90" spans="2:16">
      <c r="D90" s="668"/>
      <c r="E90" s="671"/>
      <c r="F90" s="668"/>
      <c r="G90" s="669"/>
      <c r="H90" s="669"/>
      <c r="I90" s="668"/>
      <c r="J90" s="671"/>
      <c r="K90" s="668"/>
      <c r="L90" s="669"/>
      <c r="M90" s="669"/>
      <c r="N90" s="668"/>
      <c r="O90" s="671"/>
      <c r="P90" s="668"/>
    </row>
    <row r="91" spans="2:16">
      <c r="D91" s="668"/>
      <c r="E91" s="671"/>
      <c r="F91" s="668"/>
      <c r="G91" s="669"/>
      <c r="H91" s="669"/>
      <c r="I91" s="668"/>
      <c r="J91" s="671"/>
      <c r="K91" s="668"/>
      <c r="L91" s="669"/>
      <c r="M91" s="669"/>
      <c r="N91" s="668"/>
      <c r="O91" s="671"/>
      <c r="P91" s="668"/>
    </row>
    <row r="92" spans="2:16">
      <c r="D92" s="668"/>
      <c r="E92" s="671"/>
      <c r="F92" s="668"/>
      <c r="G92" s="669"/>
      <c r="H92" s="669"/>
      <c r="I92" s="668"/>
      <c r="J92" s="671"/>
      <c r="K92" s="668"/>
      <c r="L92" s="669"/>
      <c r="M92" s="669"/>
      <c r="N92" s="668"/>
      <c r="O92" s="671"/>
      <c r="P92" s="668"/>
    </row>
    <row r="93" spans="2:16">
      <c r="D93" s="668"/>
      <c r="E93" s="671"/>
      <c r="F93" s="668"/>
      <c r="G93" s="669"/>
      <c r="H93" s="669"/>
      <c r="I93" s="668"/>
      <c r="J93" s="671"/>
      <c r="K93" s="668"/>
      <c r="L93" s="669"/>
      <c r="M93" s="669"/>
      <c r="N93" s="668"/>
      <c r="O93" s="671"/>
      <c r="P93" s="668"/>
    </row>
    <row r="94" spans="2:16">
      <c r="D94" s="672"/>
      <c r="E94" s="673"/>
      <c r="F94" s="672"/>
      <c r="G94" s="674"/>
      <c r="H94" s="674"/>
      <c r="I94" s="672"/>
      <c r="J94" s="673"/>
      <c r="K94" s="672"/>
      <c r="L94" s="674"/>
      <c r="M94" s="674"/>
      <c r="N94" s="672"/>
      <c r="O94" s="673"/>
      <c r="P94" s="672"/>
    </row>
    <row r="95" spans="2:16">
      <c r="G95" s="398"/>
    </row>
    <row r="96" spans="2:16">
      <c r="G96" s="398"/>
    </row>
    <row r="97" spans="2:7" s="371" customFormat="1">
      <c r="B97" s="675"/>
      <c r="C97" s="390"/>
    </row>
    <row r="98" spans="2:7">
      <c r="G98" s="398"/>
    </row>
    <row r="99" spans="2:7">
      <c r="C99" s="676"/>
      <c r="D99" s="676"/>
      <c r="E99" s="676"/>
      <c r="F99" s="676"/>
      <c r="G99" s="676"/>
    </row>
    <row r="100" spans="2:7">
      <c r="C100" s="676"/>
      <c r="D100" s="677"/>
      <c r="E100" s="678"/>
      <c r="F100" s="679"/>
      <c r="G100" s="680"/>
    </row>
    <row r="101" spans="2:7">
      <c r="C101" s="676"/>
      <c r="D101" s="677"/>
      <c r="E101" s="678"/>
      <c r="F101" s="679"/>
      <c r="G101" s="680"/>
    </row>
    <row r="102" spans="2:7">
      <c r="C102" s="676"/>
      <c r="D102" s="677"/>
      <c r="E102" s="678"/>
      <c r="F102" s="679"/>
      <c r="G102" s="680"/>
    </row>
    <row r="103" spans="2:7">
      <c r="C103" s="676"/>
      <c r="D103" s="677"/>
      <c r="E103" s="678"/>
      <c r="F103" s="679"/>
      <c r="G103" s="680"/>
    </row>
    <row r="104" spans="2:7">
      <c r="C104" s="676"/>
      <c r="D104" s="677"/>
      <c r="E104" s="678"/>
      <c r="F104" s="679"/>
      <c r="G104" s="680"/>
    </row>
    <row r="105" spans="2:7">
      <c r="C105" s="676"/>
      <c r="D105" s="677"/>
      <c r="E105" s="678"/>
      <c r="F105" s="679"/>
      <c r="G105" s="680"/>
    </row>
    <row r="106" spans="2:7">
      <c r="C106" s="676"/>
      <c r="D106" s="677"/>
      <c r="E106" s="678"/>
      <c r="F106" s="679"/>
      <c r="G106" s="680"/>
    </row>
    <row r="107" spans="2:7">
      <c r="C107" s="676"/>
      <c r="D107" s="677"/>
      <c r="E107" s="678"/>
      <c r="F107" s="679"/>
      <c r="G107" s="680"/>
    </row>
    <row r="108" spans="2:7">
      <c r="C108" s="676"/>
      <c r="D108" s="677"/>
      <c r="E108" s="678"/>
      <c r="F108" s="679"/>
      <c r="G108" s="680"/>
    </row>
    <row r="109" spans="2:7">
      <c r="C109" s="676"/>
      <c r="D109" s="677"/>
      <c r="E109" s="678"/>
      <c r="F109" s="679"/>
      <c r="G109" s="680"/>
    </row>
    <row r="110" spans="2:7">
      <c r="C110" s="676"/>
      <c r="D110" s="677"/>
      <c r="E110" s="678"/>
      <c r="F110" s="679"/>
      <c r="G110" s="680"/>
    </row>
    <row r="111" spans="2:7">
      <c r="C111" s="676"/>
      <c r="D111" s="677"/>
      <c r="E111" s="678"/>
      <c r="F111" s="679"/>
      <c r="G111" s="680"/>
    </row>
    <row r="112" spans="2:7">
      <c r="C112" s="676"/>
      <c r="D112" s="677"/>
      <c r="E112" s="678"/>
      <c r="F112" s="679"/>
      <c r="G112" s="680"/>
    </row>
    <row r="113" spans="3:7">
      <c r="C113" s="676"/>
      <c r="D113" s="677"/>
      <c r="E113" s="678"/>
      <c r="F113" s="679"/>
      <c r="G113" s="680"/>
    </row>
    <row r="114" spans="3:7">
      <c r="C114" s="676"/>
      <c r="D114" s="677"/>
      <c r="E114" s="678"/>
      <c r="F114" s="679"/>
      <c r="G114" s="680"/>
    </row>
    <row r="115" spans="3:7">
      <c r="C115" s="676"/>
      <c r="D115" s="677"/>
      <c r="E115" s="678"/>
      <c r="F115" s="679"/>
      <c r="G115" s="680"/>
    </row>
    <row r="116" spans="3:7">
      <c r="C116" s="676"/>
      <c r="D116" s="677"/>
      <c r="E116" s="678"/>
      <c r="F116" s="679"/>
      <c r="G116" s="680"/>
    </row>
    <row r="117" spans="3:7">
      <c r="C117" s="676"/>
      <c r="D117" s="677"/>
      <c r="E117" s="678"/>
      <c r="F117" s="679"/>
      <c r="G117" s="680"/>
    </row>
    <row r="133" spans="2:2">
      <c r="B133" s="381"/>
    </row>
  </sheetData>
  <mergeCells count="6">
    <mergeCell ref="O9:P9"/>
    <mergeCell ref="D9:F9"/>
    <mergeCell ref="G9:H9"/>
    <mergeCell ref="I9:J9"/>
    <mergeCell ref="K9:L9"/>
    <mergeCell ref="M9:N9"/>
  </mergeCells>
  <conditionalFormatting sqref="D15:D18 D13">
    <cfRule type="colorScale" priority="13">
      <colorScale>
        <cfvo type="min"/>
        <cfvo type="percentile" val="50"/>
        <cfvo type="max"/>
        <color rgb="FFF8696B"/>
        <color rgb="FFFFEB84"/>
        <color rgb="FF63BE7B"/>
      </colorScale>
    </cfRule>
  </conditionalFormatting>
  <conditionalFormatting sqref="H13:H18">
    <cfRule type="expression" dxfId="11" priority="11">
      <formula>ABS(H13)&gt;=$P$3</formula>
    </cfRule>
    <cfRule type="expression" dxfId="10" priority="12">
      <formula>ABS(H13)&lt;$P$3</formula>
    </cfRule>
  </conditionalFormatting>
  <conditionalFormatting sqref="H21:H26">
    <cfRule type="expression" dxfId="9" priority="9">
      <formula>ABS(H21)&gt;=$P$3</formula>
    </cfRule>
    <cfRule type="expression" dxfId="8" priority="10">
      <formula>ABS(H21)&lt;$P$3</formula>
    </cfRule>
  </conditionalFormatting>
  <conditionalFormatting sqref="L13:L18">
    <cfRule type="expression" dxfId="7" priority="7">
      <formula>ABS(L13)&gt;=$P$3</formula>
    </cfRule>
    <cfRule type="expression" dxfId="6" priority="8">
      <formula>ABS(L13)&lt;$P$3</formula>
    </cfRule>
  </conditionalFormatting>
  <conditionalFormatting sqref="L21:L26">
    <cfRule type="expression" dxfId="5" priority="5">
      <formula>ABS(L21)&gt;=$P$3</formula>
    </cfRule>
    <cfRule type="expression" dxfId="4" priority="6">
      <formula>ABS(L21)&lt;$P$3</formula>
    </cfRule>
  </conditionalFormatting>
  <conditionalFormatting sqref="P13:P18">
    <cfRule type="expression" dxfId="3" priority="3">
      <formula>ABS(P13)&gt;=$P$3</formula>
    </cfRule>
    <cfRule type="expression" dxfId="2" priority="4">
      <formula>ABS(P13)&lt;$P$3</formula>
    </cfRule>
  </conditionalFormatting>
  <conditionalFormatting sqref="P21:P26">
    <cfRule type="expression" dxfId="1" priority="1">
      <formula>ABS(P21)&gt;=$P$3</formula>
    </cfRule>
    <cfRule type="expression" dxfId="0" priority="2">
      <formula>ABS(P21)&lt;$P$3</formula>
    </cfRule>
  </conditionalFormatting>
  <pageMargins left="0.7" right="0.7" top="0.75" bottom="0.75" header="0.3" footer="0.3"/>
  <pageSetup scale="5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7F3A2-C1AF-4DC2-B074-61E6CA1D69D9}">
  <sheetPr codeName="Sheet12">
    <outlinePr summaryBelow="0" summaryRight="0"/>
    <pageSetUpPr fitToPage="1"/>
  </sheetPr>
  <dimension ref="A1:BG198"/>
  <sheetViews>
    <sheetView showGridLines="0" zoomScaleNormal="100" workbookViewId="0">
      <pane xSplit="4" ySplit="6" topLeftCell="U157" activePane="bottomRight" state="frozen"/>
      <selection activeCell="J18" sqref="J18"/>
      <selection pane="topRight" activeCell="J18" sqref="J18"/>
      <selection pane="bottomLeft" activeCell="J18" sqref="J18"/>
      <selection pane="bottomRight" activeCell="AG176" sqref="AG176"/>
    </sheetView>
  </sheetViews>
  <sheetFormatPr defaultColWidth="9.19921875" defaultRowHeight="11.25" customHeight="1" outlineLevelCol="1"/>
  <cols>
    <col min="1" max="2" width="1.796875" style="24" customWidth="1"/>
    <col min="3" max="3" width="35.796875" style="24" customWidth="1"/>
    <col min="4" max="4" width="9.19921875" style="24"/>
    <col min="5" max="32" width="9.19921875" style="24" customWidth="1" outlineLevel="1"/>
    <col min="33" max="16384" width="9.19921875" style="24"/>
  </cols>
  <sheetData>
    <row r="1" spans="1:59" s="1" customFormat="1" ht="10.5">
      <c r="A1" s="1" t="s">
        <v>17</v>
      </c>
    </row>
    <row r="2" spans="1:59" s="3" customFormat="1" ht="10.5">
      <c r="A2" s="2" t="s">
        <v>16</v>
      </c>
      <c r="F2" s="4"/>
      <c r="G2" s="5"/>
    </row>
    <row r="3" spans="1:59" s="3" customFormat="1" ht="10.5">
      <c r="A3" s="2"/>
      <c r="R3" s="5"/>
    </row>
    <row r="4" spans="1:59" s="3" customFormat="1" ht="10.5">
      <c r="AX4" s="6"/>
      <c r="AZ4" s="6"/>
    </row>
    <row r="5" spans="1:59" s="3" customFormat="1" ht="12.75" customHeight="1">
      <c r="B5" s="7"/>
      <c r="C5" s="7" t="s">
        <v>0</v>
      </c>
      <c r="D5" s="7"/>
      <c r="E5" s="8">
        <f>YEAR(H6)</f>
        <v>2016</v>
      </c>
      <c r="F5" s="9">
        <f>YEAR(H6)</f>
        <v>2016</v>
      </c>
      <c r="G5" s="10">
        <f>YEAR(H6)</f>
        <v>2016</v>
      </c>
      <c r="H5" s="11">
        <f>YEAR(H6)</f>
        <v>2016</v>
      </c>
      <c r="I5" s="8">
        <f>YEAR(L6)</f>
        <v>2017</v>
      </c>
      <c r="J5" s="9">
        <f>YEAR(L6)</f>
        <v>2017</v>
      </c>
      <c r="K5" s="10">
        <f>YEAR(L6)</f>
        <v>2017</v>
      </c>
      <c r="L5" s="11">
        <f>YEAR(L6)</f>
        <v>2017</v>
      </c>
      <c r="M5" s="8">
        <f>YEAR(P6)</f>
        <v>2018</v>
      </c>
      <c r="N5" s="9">
        <f>YEAR(P6)</f>
        <v>2018</v>
      </c>
      <c r="O5" s="10">
        <f>YEAR(P6)</f>
        <v>2018</v>
      </c>
      <c r="P5" s="11">
        <f>YEAR(P6)</f>
        <v>2018</v>
      </c>
      <c r="Q5" s="8">
        <f>YEAR(T6)</f>
        <v>2019</v>
      </c>
      <c r="R5" s="9">
        <f>YEAR(T6)</f>
        <v>2019</v>
      </c>
      <c r="S5" s="10">
        <f>YEAR(T6)</f>
        <v>2019</v>
      </c>
      <c r="T5" s="11">
        <f>YEAR(T6)</f>
        <v>2019</v>
      </c>
      <c r="U5" s="8">
        <f>YEAR(X6)</f>
        <v>2020</v>
      </c>
      <c r="V5" s="9">
        <f>YEAR(X6)</f>
        <v>2020</v>
      </c>
      <c r="W5" s="10">
        <f>YEAR(X6)</f>
        <v>2020</v>
      </c>
      <c r="X5" s="11">
        <f>YEAR(X6)</f>
        <v>2020</v>
      </c>
      <c r="Y5" s="8">
        <f>YEAR(AB6)</f>
        <v>2021</v>
      </c>
      <c r="Z5" s="9">
        <f>YEAR(AB6)</f>
        <v>2021</v>
      </c>
      <c r="AA5" s="10">
        <f>YEAR(AB6)</f>
        <v>2021</v>
      </c>
      <c r="AB5" s="11">
        <f>YEAR(AB6)</f>
        <v>2021</v>
      </c>
      <c r="AC5" s="8">
        <f>YEAR(AF6)</f>
        <v>2022</v>
      </c>
      <c r="AD5" s="9">
        <f>YEAR(AF6)</f>
        <v>2022</v>
      </c>
      <c r="AE5" s="10">
        <f>YEAR(AF6)</f>
        <v>2022</v>
      </c>
      <c r="AF5" s="11">
        <f>YEAR(AF6)</f>
        <v>2022</v>
      </c>
      <c r="AG5" s="12"/>
      <c r="AH5" s="13">
        <f>YEAR(AH6)</f>
        <v>2014</v>
      </c>
      <c r="AI5" s="13">
        <f>YEAR(AI6)</f>
        <v>2015</v>
      </c>
      <c r="AJ5" s="13">
        <f>YEAR(AJ6)</f>
        <v>2016</v>
      </c>
      <c r="AK5" s="13">
        <f t="shared" ref="AK5:AT5" si="0">YEAR(AK6)</f>
        <v>2017</v>
      </c>
      <c r="AL5" s="13">
        <f t="shared" si="0"/>
        <v>2018</v>
      </c>
      <c r="AM5" s="13">
        <f t="shared" si="0"/>
        <v>2019</v>
      </c>
      <c r="AN5" s="13">
        <f t="shared" si="0"/>
        <v>2020</v>
      </c>
      <c r="AO5" s="13">
        <f t="shared" si="0"/>
        <v>2021</v>
      </c>
      <c r="AP5" s="13">
        <f t="shared" si="0"/>
        <v>2022</v>
      </c>
      <c r="AQ5" s="14">
        <f t="shared" si="0"/>
        <v>2023</v>
      </c>
      <c r="AR5" s="14">
        <f t="shared" si="0"/>
        <v>2024</v>
      </c>
      <c r="AS5" s="14">
        <f t="shared" si="0"/>
        <v>2025</v>
      </c>
      <c r="AT5" s="14">
        <f t="shared" si="0"/>
        <v>2026</v>
      </c>
      <c r="AV5" s="8" t="s">
        <v>1</v>
      </c>
      <c r="AW5" s="15" t="s">
        <v>2</v>
      </c>
      <c r="AX5" s="15" t="s">
        <v>3</v>
      </c>
      <c r="AY5" s="15" t="s">
        <v>4</v>
      </c>
      <c r="AZ5" s="15" t="s">
        <v>5</v>
      </c>
      <c r="BA5" s="15" t="s">
        <v>6</v>
      </c>
      <c r="BB5" s="15" t="s">
        <v>7</v>
      </c>
      <c r="BC5" s="15" t="s">
        <v>8</v>
      </c>
      <c r="BD5" s="15" t="s">
        <v>9</v>
      </c>
      <c r="BE5" s="15" t="s">
        <v>10</v>
      </c>
      <c r="BF5" s="15" t="s">
        <v>11</v>
      </c>
      <c r="BG5" s="15" t="s">
        <v>12</v>
      </c>
    </row>
    <row r="6" spans="1:59" s="16" customFormat="1" ht="12.75" customHeight="1">
      <c r="B6" s="17"/>
      <c r="C6" s="17" t="s">
        <v>13</v>
      </c>
      <c r="D6" s="17"/>
      <c r="E6" s="17">
        <v>42460</v>
      </c>
      <c r="F6" s="17">
        <f t="shared" ref="F6:T6" si="1">+EOMONTH(E6,3)</f>
        <v>42551</v>
      </c>
      <c r="G6" s="17">
        <f t="shared" si="1"/>
        <v>42643</v>
      </c>
      <c r="H6" s="18">
        <f t="shared" si="1"/>
        <v>42735</v>
      </c>
      <c r="I6" s="17">
        <f t="shared" si="1"/>
        <v>42825</v>
      </c>
      <c r="J6" s="17">
        <f t="shared" si="1"/>
        <v>42916</v>
      </c>
      <c r="K6" s="17">
        <f>+EOMONTH(J6,3)</f>
        <v>43008</v>
      </c>
      <c r="L6" s="18">
        <f t="shared" si="1"/>
        <v>43100</v>
      </c>
      <c r="M6" s="17">
        <f t="shared" si="1"/>
        <v>43190</v>
      </c>
      <c r="N6" s="17">
        <f t="shared" si="1"/>
        <v>43281</v>
      </c>
      <c r="O6" s="17">
        <f t="shared" si="1"/>
        <v>43373</v>
      </c>
      <c r="P6" s="18">
        <f t="shared" si="1"/>
        <v>43465</v>
      </c>
      <c r="Q6" s="17">
        <f t="shared" si="1"/>
        <v>43555</v>
      </c>
      <c r="R6" s="17">
        <f t="shared" si="1"/>
        <v>43646</v>
      </c>
      <c r="S6" s="17">
        <f t="shared" si="1"/>
        <v>43738</v>
      </c>
      <c r="T6" s="17">
        <f t="shared" si="1"/>
        <v>43830</v>
      </c>
      <c r="U6" s="17">
        <f t="shared" ref="U6:AF6" si="2">+EOMONTH(T6,3)</f>
        <v>43921</v>
      </c>
      <c r="V6" s="17">
        <f t="shared" si="2"/>
        <v>44012</v>
      </c>
      <c r="W6" s="17">
        <f t="shared" si="2"/>
        <v>44104</v>
      </c>
      <c r="X6" s="17">
        <f t="shared" si="2"/>
        <v>44196</v>
      </c>
      <c r="Y6" s="17">
        <f t="shared" si="2"/>
        <v>44286</v>
      </c>
      <c r="Z6" s="17">
        <f t="shared" si="2"/>
        <v>44377</v>
      </c>
      <c r="AA6" s="17">
        <f t="shared" si="2"/>
        <v>44469</v>
      </c>
      <c r="AB6" s="17">
        <f t="shared" si="2"/>
        <v>44561</v>
      </c>
      <c r="AC6" s="17">
        <f t="shared" si="2"/>
        <v>44651</v>
      </c>
      <c r="AD6" s="17">
        <f t="shared" si="2"/>
        <v>44742</v>
      </c>
      <c r="AE6" s="17">
        <f t="shared" si="2"/>
        <v>44834</v>
      </c>
      <c r="AF6" s="17">
        <f t="shared" si="2"/>
        <v>44926</v>
      </c>
      <c r="AG6" s="12"/>
      <c r="AH6" s="18">
        <v>42004</v>
      </c>
      <c r="AI6" s="18">
        <f t="shared" ref="AI6:AT6" si="3">EOMONTH(AH6,12)</f>
        <v>42369</v>
      </c>
      <c r="AJ6" s="18">
        <f t="shared" si="3"/>
        <v>42735</v>
      </c>
      <c r="AK6" s="18">
        <f t="shared" si="3"/>
        <v>43100</v>
      </c>
      <c r="AL6" s="18">
        <f t="shared" si="3"/>
        <v>43465</v>
      </c>
      <c r="AM6" s="18">
        <f t="shared" si="3"/>
        <v>43830</v>
      </c>
      <c r="AN6" s="18">
        <f t="shared" si="3"/>
        <v>44196</v>
      </c>
      <c r="AO6" s="18">
        <f t="shared" si="3"/>
        <v>44561</v>
      </c>
      <c r="AP6" s="18">
        <f t="shared" si="3"/>
        <v>44926</v>
      </c>
      <c r="AQ6" s="18">
        <f t="shared" si="3"/>
        <v>45291</v>
      </c>
      <c r="AR6" s="18">
        <f t="shared" si="3"/>
        <v>45657</v>
      </c>
      <c r="AS6" s="18">
        <f t="shared" si="3"/>
        <v>46022</v>
      </c>
      <c r="AT6" s="18">
        <f t="shared" si="3"/>
        <v>46387</v>
      </c>
      <c r="AV6" s="17">
        <v>42400</v>
      </c>
      <c r="AW6" s="17">
        <f t="shared" ref="AW6:BG6" si="4">+EOMONTH(AV6,3)</f>
        <v>42490</v>
      </c>
      <c r="AX6" s="17">
        <f t="shared" si="4"/>
        <v>42582</v>
      </c>
      <c r="AY6" s="17">
        <f t="shared" si="4"/>
        <v>42674</v>
      </c>
      <c r="AZ6" s="17">
        <f t="shared" si="4"/>
        <v>42766</v>
      </c>
      <c r="BA6" s="17">
        <f t="shared" si="4"/>
        <v>42855</v>
      </c>
      <c r="BB6" s="17">
        <f t="shared" si="4"/>
        <v>42947</v>
      </c>
      <c r="BC6" s="17">
        <f t="shared" si="4"/>
        <v>43039</v>
      </c>
      <c r="BD6" s="17">
        <f t="shared" si="4"/>
        <v>43131</v>
      </c>
      <c r="BE6" s="17">
        <f t="shared" si="4"/>
        <v>43220</v>
      </c>
      <c r="BF6" s="17">
        <f t="shared" si="4"/>
        <v>43312</v>
      </c>
      <c r="BG6" s="17">
        <f t="shared" si="4"/>
        <v>43404</v>
      </c>
    </row>
    <row r="7" spans="1:59" s="5" customFormat="1" ht="10.5"/>
    <row r="8" spans="1:59" s="5" customFormat="1" ht="10.5">
      <c r="B8" s="19" t="s">
        <v>14</v>
      </c>
      <c r="C8" s="20" t="s">
        <v>124</v>
      </c>
      <c r="D8" s="20"/>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H8" s="19"/>
      <c r="AI8" s="19"/>
      <c r="AJ8" s="19"/>
      <c r="AK8" s="19"/>
      <c r="AL8" s="19"/>
      <c r="AM8" s="19"/>
      <c r="AN8" s="19"/>
      <c r="AO8" s="19"/>
      <c r="AP8" s="19"/>
      <c r="AQ8" s="19"/>
      <c r="AR8" s="19"/>
      <c r="AS8" s="19"/>
      <c r="AT8" s="19"/>
      <c r="AV8" s="19"/>
      <c r="AW8" s="19"/>
      <c r="AX8" s="19"/>
      <c r="AY8" s="19"/>
      <c r="AZ8" s="19"/>
      <c r="BA8" s="19"/>
      <c r="BB8" s="19"/>
      <c r="BC8" s="19"/>
      <c r="BD8" s="19"/>
      <c r="BE8" s="19"/>
      <c r="BF8" s="19"/>
      <c r="BG8" s="19"/>
    </row>
    <row r="9" spans="1:59" s="5" customFormat="1" ht="10.5">
      <c r="C9" s="21"/>
      <c r="D9" s="21"/>
      <c r="E9" s="22"/>
      <c r="F9" s="22"/>
      <c r="G9" s="22"/>
      <c r="H9" s="22"/>
      <c r="I9" s="22"/>
      <c r="J9" s="22"/>
      <c r="K9" s="22"/>
      <c r="L9" s="22"/>
      <c r="M9" s="22"/>
      <c r="N9" s="22"/>
      <c r="AM9" s="23"/>
      <c r="AN9" s="23"/>
      <c r="AO9" s="23"/>
      <c r="AP9" s="23"/>
      <c r="AQ9" s="23"/>
      <c r="AR9" s="23"/>
      <c r="AS9" s="23"/>
      <c r="AT9" s="23"/>
    </row>
    <row r="10" spans="1:59" s="5" customFormat="1" ht="10.5">
      <c r="C10" s="49" t="s">
        <v>123</v>
      </c>
      <c r="D10" s="21"/>
      <c r="E10" s="22"/>
      <c r="F10" s="22"/>
      <c r="G10" s="22"/>
      <c r="H10" s="22"/>
      <c r="I10" s="22"/>
      <c r="J10" s="22"/>
      <c r="K10" s="22"/>
      <c r="L10" s="22"/>
      <c r="M10" s="22"/>
      <c r="N10" s="22"/>
      <c r="AM10" s="23"/>
      <c r="AN10" s="23"/>
      <c r="AO10" s="23"/>
      <c r="AP10" s="23"/>
      <c r="AQ10" s="23"/>
      <c r="AR10" s="23"/>
      <c r="AS10" s="23"/>
      <c r="AT10" s="23"/>
    </row>
    <row r="11" spans="1:59" s="5" customFormat="1" ht="10.5">
      <c r="C11" s="50" t="s">
        <v>130</v>
      </c>
      <c r="D11" s="21"/>
      <c r="E11" s="52">
        <v>10</v>
      </c>
      <c r="F11" s="52">
        <v>10</v>
      </c>
      <c r="G11" s="52">
        <v>9</v>
      </c>
      <c r="H11" s="54">
        <f>+AJ11-SUM(E11:G11)</f>
        <v>10</v>
      </c>
      <c r="I11" s="52">
        <v>9</v>
      </c>
      <c r="J11" s="52">
        <v>9</v>
      </c>
      <c r="K11" s="52">
        <v>10</v>
      </c>
      <c r="L11" s="54">
        <f>+AK11-SUM(I11:K11)</f>
        <v>9</v>
      </c>
      <c r="M11" s="52">
        <v>9</v>
      </c>
      <c r="N11" s="52">
        <v>8</v>
      </c>
      <c r="O11" s="52">
        <v>9</v>
      </c>
      <c r="P11" s="54">
        <f>+AL11-SUM(M11:O11)</f>
        <v>9</v>
      </c>
      <c r="Q11" s="52">
        <v>7</v>
      </c>
      <c r="R11" s="52">
        <v>7</v>
      </c>
      <c r="S11" s="52">
        <v>6</v>
      </c>
      <c r="T11" s="54">
        <f>+AM11-SUM(M11:O11)</f>
        <v>1</v>
      </c>
      <c r="U11" s="52">
        <v>6</v>
      </c>
      <c r="V11" s="52">
        <v>6</v>
      </c>
      <c r="W11" s="52">
        <v>6</v>
      </c>
      <c r="X11" s="54">
        <f>AN11-SUM(U11:W11)</f>
        <v>7</v>
      </c>
      <c r="Y11" s="52">
        <v>7</v>
      </c>
      <c r="Z11" s="52">
        <v>6</v>
      </c>
      <c r="AA11" s="52">
        <v>7</v>
      </c>
      <c r="AB11" s="54">
        <f>AO11-SUM(Y11:AA11)</f>
        <v>6</v>
      </c>
      <c r="AC11" s="52">
        <v>6</v>
      </c>
      <c r="AD11" s="658"/>
      <c r="AE11" s="658"/>
      <c r="AF11" s="658"/>
      <c r="AH11" s="52">
        <v>40</v>
      </c>
      <c r="AI11" s="52">
        <v>39</v>
      </c>
      <c r="AJ11" s="52">
        <v>39</v>
      </c>
      <c r="AK11" s="52">
        <v>37</v>
      </c>
      <c r="AL11" s="52">
        <v>35</v>
      </c>
      <c r="AM11" s="52">
        <v>27</v>
      </c>
      <c r="AN11" s="29">
        <v>25</v>
      </c>
      <c r="AO11" s="52">
        <v>26</v>
      </c>
      <c r="AP11" s="52">
        <v>25</v>
      </c>
      <c r="AQ11" s="54">
        <f>+AP11*(1+AQ63)</f>
        <v>25.75</v>
      </c>
      <c r="AR11" s="54">
        <f>+AQ11*(1+AR63)</f>
        <v>26.522500000000001</v>
      </c>
      <c r="AS11" s="54">
        <f>+AR11*(1+AS63)</f>
        <v>27.318175</v>
      </c>
      <c r="AT11" s="54">
        <f>+AS11*(1+AT63)</f>
        <v>28.137720250000001</v>
      </c>
    </row>
    <row r="12" spans="1:59" s="5" customFormat="1" ht="10.5">
      <c r="C12" s="50" t="s">
        <v>125</v>
      </c>
      <c r="E12" s="52">
        <v>18</v>
      </c>
      <c r="F12" s="52">
        <v>19</v>
      </c>
      <c r="G12" s="52">
        <v>18</v>
      </c>
      <c r="H12" s="54">
        <f>+AJ12-SUM(E12:G12)</f>
        <v>19</v>
      </c>
      <c r="I12" s="52">
        <v>17</v>
      </c>
      <c r="J12" s="52">
        <v>16</v>
      </c>
      <c r="K12" s="52">
        <v>16</v>
      </c>
      <c r="L12" s="54">
        <f>+AK12-SUM(I12:K12)</f>
        <v>17</v>
      </c>
      <c r="M12" s="52">
        <v>17</v>
      </c>
      <c r="N12" s="52">
        <v>17</v>
      </c>
      <c r="O12" s="52">
        <v>16</v>
      </c>
      <c r="P12" s="54">
        <f>+AL12-SUM(M12:O12)</f>
        <v>17</v>
      </c>
      <c r="Q12" s="52">
        <v>19</v>
      </c>
      <c r="R12" s="52">
        <v>19</v>
      </c>
      <c r="S12" s="52">
        <v>19</v>
      </c>
      <c r="T12" s="54">
        <f>+AM12-SUM(M12:O12)</f>
        <v>26</v>
      </c>
      <c r="U12" s="52">
        <v>15</v>
      </c>
      <c r="V12" s="52">
        <v>14</v>
      </c>
      <c r="W12" s="52">
        <v>15</v>
      </c>
      <c r="X12" s="54">
        <f>AN12-SUM(U12:W12)</f>
        <v>13</v>
      </c>
      <c r="Y12" s="52">
        <v>9</v>
      </c>
      <c r="Z12" s="52">
        <v>9</v>
      </c>
      <c r="AA12" s="52">
        <v>9</v>
      </c>
      <c r="AB12" s="54">
        <f>AO12-SUM(Y12:AA12)</f>
        <v>10</v>
      </c>
      <c r="AC12" s="52">
        <v>11</v>
      </c>
      <c r="AD12" s="658"/>
      <c r="AE12" s="658"/>
      <c r="AF12" s="658"/>
      <c r="AH12" s="52">
        <v>100</v>
      </c>
      <c r="AI12" s="52">
        <v>87</v>
      </c>
      <c r="AJ12" s="52">
        <v>74</v>
      </c>
      <c r="AK12" s="52">
        <v>66</v>
      </c>
      <c r="AL12" s="52">
        <v>67</v>
      </c>
      <c r="AM12" s="52">
        <v>76</v>
      </c>
      <c r="AN12" s="29">
        <v>57</v>
      </c>
      <c r="AO12" s="52">
        <v>37</v>
      </c>
      <c r="AP12" s="52">
        <v>45</v>
      </c>
      <c r="AQ12" s="54">
        <f>+AQ22*AQ68</f>
        <v>48.542999999999999</v>
      </c>
      <c r="AR12" s="54">
        <f>+AR22*AR68</f>
        <v>46.011668999999998</v>
      </c>
      <c r="AS12" s="54">
        <f>+AS22*AS68</f>
        <v>43.422296576999997</v>
      </c>
      <c r="AT12" s="54">
        <f>+AT22*AT68</f>
        <v>40.773732139041002</v>
      </c>
    </row>
    <row r="13" spans="1:59" s="5" customFormat="1" ht="10.5">
      <c r="C13" s="50" t="s">
        <v>126</v>
      </c>
      <c r="E13" s="52">
        <v>-34</v>
      </c>
      <c r="F13" s="52">
        <v>-34</v>
      </c>
      <c r="G13" s="52">
        <v>-34</v>
      </c>
      <c r="H13" s="54">
        <f>+AJ13-SUM(E13:G13)</f>
        <v>-36</v>
      </c>
      <c r="I13" s="52">
        <v>-35</v>
      </c>
      <c r="J13" s="52">
        <v>-35</v>
      </c>
      <c r="K13" s="52">
        <v>-35</v>
      </c>
      <c r="L13" s="54">
        <f>+AK13-SUM(I13:K13)</f>
        <v>-35</v>
      </c>
      <c r="M13" s="52">
        <v>-37</v>
      </c>
      <c r="N13" s="52">
        <v>-37</v>
      </c>
      <c r="O13" s="52">
        <v>-36</v>
      </c>
      <c r="P13" s="54">
        <f>+AL13-SUM(M13:O13)</f>
        <v>-37</v>
      </c>
      <c r="Q13" s="52">
        <v>-32</v>
      </c>
      <c r="R13" s="52">
        <v>-33</v>
      </c>
      <c r="S13" s="52">
        <v>-31</v>
      </c>
      <c r="T13" s="54">
        <f>+AM13-SUM(M13:O13)</f>
        <v>-18</v>
      </c>
      <c r="U13" s="52">
        <v>-34</v>
      </c>
      <c r="V13" s="52">
        <v>-33</v>
      </c>
      <c r="W13" s="52">
        <v>-34</v>
      </c>
      <c r="X13" s="54">
        <f>AN13-SUM(U13:W13)</f>
        <v>-34</v>
      </c>
      <c r="Y13" s="52">
        <v>-32</v>
      </c>
      <c r="Z13" s="52">
        <v>-31</v>
      </c>
      <c r="AA13" s="52">
        <v>-31</v>
      </c>
      <c r="AB13" s="54">
        <f>AO13-SUM(Y13:AA13)</f>
        <v>-32</v>
      </c>
      <c r="AC13" s="52">
        <v>-32</v>
      </c>
      <c r="AD13" s="658"/>
      <c r="AE13" s="658"/>
      <c r="AF13" s="658"/>
      <c r="AH13" s="52">
        <v>-143</v>
      </c>
      <c r="AI13" s="52">
        <v>-148</v>
      </c>
      <c r="AJ13" s="52">
        <v>-138</v>
      </c>
      <c r="AK13" s="52">
        <v>-140</v>
      </c>
      <c r="AL13" s="52">
        <v>-147</v>
      </c>
      <c r="AM13" s="52">
        <v>-128</v>
      </c>
      <c r="AN13" s="29">
        <v>-135</v>
      </c>
      <c r="AO13" s="52">
        <v>-126</v>
      </c>
      <c r="AP13" s="52">
        <v>-128</v>
      </c>
      <c r="AQ13" s="54">
        <f>-AQ69*AVERAGE(AQ37,AQ48)</f>
        <v>-96.507249999999999</v>
      </c>
      <c r="AR13" s="54">
        <f>-AR69*AVERAGE(AR37,AR48)</f>
        <v>-92.692757499999999</v>
      </c>
      <c r="AS13" s="54">
        <f>-AS69*AVERAGE(AS37,AS48)</f>
        <v>-88.611250525000017</v>
      </c>
      <c r="AT13" s="54">
        <f>-AT69*AVERAGE(AT37,AT48)</f>
        <v>-84.244038061750018</v>
      </c>
    </row>
    <row r="14" spans="1:59" s="5" customFormat="1" ht="10.5">
      <c r="C14" s="50" t="s">
        <v>134</v>
      </c>
      <c r="E14" s="52">
        <v>0</v>
      </c>
      <c r="F14" s="52">
        <v>0</v>
      </c>
      <c r="G14" s="52">
        <v>0</v>
      </c>
      <c r="H14" s="54">
        <f>+AJ14-SUM(E14:G14)</f>
        <v>0</v>
      </c>
      <c r="I14" s="52">
        <v>0</v>
      </c>
      <c r="J14" s="52">
        <v>0</v>
      </c>
      <c r="K14" s="52">
        <v>0</v>
      </c>
      <c r="L14" s="54">
        <f>+AK14-SUM(I14:K14)</f>
        <v>0</v>
      </c>
      <c r="M14" s="52">
        <v>0</v>
      </c>
      <c r="N14" s="52">
        <v>0</v>
      </c>
      <c r="O14" s="52">
        <v>0</v>
      </c>
      <c r="P14" s="54">
        <f>+AL14-SUM(M14:O14)</f>
        <v>0</v>
      </c>
      <c r="R14" s="52"/>
      <c r="AH14" s="52">
        <v>0</v>
      </c>
      <c r="AI14" s="52">
        <v>0</v>
      </c>
      <c r="AJ14" s="52">
        <v>0</v>
      </c>
      <c r="AK14" s="52">
        <v>0</v>
      </c>
      <c r="AL14" s="52">
        <v>0</v>
      </c>
      <c r="AM14" s="52">
        <v>0</v>
      </c>
      <c r="AN14" s="33">
        <f>SUMIF($E$5:$X$5,AN$5,$E14:$X14)</f>
        <v>0</v>
      </c>
      <c r="AO14" s="52">
        <v>0</v>
      </c>
      <c r="AP14" s="52">
        <v>0</v>
      </c>
      <c r="AQ14" s="52">
        <v>0</v>
      </c>
      <c r="AR14" s="52">
        <v>0</v>
      </c>
      <c r="AS14" s="52">
        <v>0</v>
      </c>
      <c r="AT14" s="52">
        <v>0</v>
      </c>
    </row>
    <row r="15" spans="1:59" s="5" customFormat="1" ht="5.2" customHeight="1">
      <c r="C15" s="50"/>
      <c r="E15" s="52"/>
      <c r="F15" s="52"/>
      <c r="G15" s="52"/>
      <c r="H15" s="52"/>
      <c r="I15" s="52"/>
      <c r="J15" s="52"/>
      <c r="K15" s="52"/>
      <c r="L15" s="52"/>
      <c r="M15" s="52"/>
      <c r="N15" s="52"/>
      <c r="O15" s="52"/>
      <c r="P15" s="52"/>
      <c r="R15" s="52"/>
      <c r="AH15" s="52"/>
      <c r="AI15" s="52"/>
      <c r="AJ15" s="52"/>
      <c r="AK15" s="52"/>
      <c r="AL15" s="52"/>
      <c r="AM15" s="52"/>
      <c r="AN15" s="23"/>
      <c r="AO15" s="23"/>
      <c r="AP15" s="23"/>
      <c r="AQ15" s="23"/>
      <c r="AR15" s="23"/>
      <c r="AS15" s="23"/>
      <c r="AT15" s="23"/>
    </row>
    <row r="16" spans="1:59" s="5" customFormat="1" ht="10.5">
      <c r="C16" s="50" t="s">
        <v>127</v>
      </c>
      <c r="E16" s="52"/>
      <c r="F16" s="52"/>
      <c r="G16" s="52"/>
      <c r="H16" s="52"/>
      <c r="I16" s="52"/>
      <c r="J16" s="52"/>
      <c r="K16" s="52"/>
      <c r="L16" s="52"/>
      <c r="M16" s="52"/>
      <c r="N16" s="52"/>
      <c r="O16" s="52"/>
      <c r="P16" s="52"/>
      <c r="R16" s="52"/>
      <c r="AH16" s="52"/>
      <c r="AI16" s="52"/>
      <c r="AJ16" s="52"/>
      <c r="AK16" s="52"/>
      <c r="AL16" s="52"/>
      <c r="AM16" s="52"/>
      <c r="AN16" s="23"/>
      <c r="AO16" s="23"/>
      <c r="AP16" s="23"/>
      <c r="AQ16" s="23"/>
      <c r="AR16" s="23"/>
      <c r="AS16" s="23"/>
      <c r="AT16" s="23"/>
    </row>
    <row r="17" spans="3:46" s="5" customFormat="1" ht="10.5">
      <c r="C17" s="51" t="s">
        <v>128</v>
      </c>
      <c r="E17" s="52">
        <v>-1</v>
      </c>
      <c r="F17" s="52">
        <v>-1</v>
      </c>
      <c r="G17" s="52">
        <v>-1</v>
      </c>
      <c r="H17" s="54">
        <f>+AJ17-SUM(E17:G17)</f>
        <v>-1</v>
      </c>
      <c r="I17" s="52">
        <v>-1</v>
      </c>
      <c r="J17" s="52">
        <v>-1</v>
      </c>
      <c r="K17" s="52">
        <v>-1</v>
      </c>
      <c r="L17" s="54">
        <f>+AK17-SUM(I17:K17)</f>
        <v>-1</v>
      </c>
      <c r="M17" s="52">
        <v>0</v>
      </c>
      <c r="N17" s="52">
        <v>0</v>
      </c>
      <c r="O17" s="52">
        <v>0</v>
      </c>
      <c r="P17" s="54">
        <f>+AL17-SUM(M17:O17)</f>
        <v>-1</v>
      </c>
      <c r="Q17" s="52">
        <v>0</v>
      </c>
      <c r="R17" s="52">
        <v>0</v>
      </c>
      <c r="S17" s="5">
        <v>0</v>
      </c>
      <c r="T17" s="54">
        <f>+AM17-SUM(M17:O17)</f>
        <v>0</v>
      </c>
      <c r="V17" s="5">
        <v>0</v>
      </c>
      <c r="W17" s="5">
        <v>0</v>
      </c>
      <c r="X17" s="54">
        <f>AN17-SUM(U17:W17)</f>
        <v>1</v>
      </c>
      <c r="Y17" s="5">
        <v>0</v>
      </c>
      <c r="Z17" s="5">
        <v>0</v>
      </c>
      <c r="AA17" s="5">
        <v>0</v>
      </c>
      <c r="AB17" s="5">
        <v>0</v>
      </c>
      <c r="AC17" s="5">
        <v>0</v>
      </c>
      <c r="AH17" s="52">
        <v>-4</v>
      </c>
      <c r="AI17" s="52">
        <v>-4</v>
      </c>
      <c r="AJ17" s="52">
        <v>-4</v>
      </c>
      <c r="AK17" s="52">
        <v>-4</v>
      </c>
      <c r="AL17" s="52">
        <v>-1</v>
      </c>
      <c r="AM17" s="52">
        <v>0</v>
      </c>
      <c r="AN17" s="29">
        <v>1</v>
      </c>
      <c r="AO17" s="54">
        <v>0</v>
      </c>
      <c r="AP17" s="54">
        <v>1</v>
      </c>
      <c r="AQ17" s="658">
        <f>+AP17</f>
        <v>1</v>
      </c>
      <c r="AR17" s="658">
        <f>+AQ17</f>
        <v>1</v>
      </c>
      <c r="AS17" s="658">
        <f>+AR17</f>
        <v>1</v>
      </c>
      <c r="AT17" s="658">
        <f>+AS17</f>
        <v>1</v>
      </c>
    </row>
    <row r="18" spans="3:46" s="5" customFormat="1" ht="10.5">
      <c r="C18" s="50" t="s">
        <v>133</v>
      </c>
      <c r="E18" s="52">
        <v>0</v>
      </c>
      <c r="F18" s="52">
        <v>0</v>
      </c>
      <c r="G18" s="52">
        <v>0</v>
      </c>
      <c r="H18" s="54">
        <f>+AJ18-SUM(E18:G18)</f>
        <v>34</v>
      </c>
      <c r="I18" s="52">
        <v>0</v>
      </c>
      <c r="J18" s="52">
        <v>0</v>
      </c>
      <c r="K18" s="52">
        <v>0</v>
      </c>
      <c r="L18" s="54">
        <f>+AK18-SUM(I18:K18)</f>
        <v>-37</v>
      </c>
      <c r="M18" s="52">
        <v>0</v>
      </c>
      <c r="N18" s="52">
        <v>0</v>
      </c>
      <c r="O18" s="52">
        <v>0</v>
      </c>
      <c r="P18" s="54">
        <f>+AL18-SUM(M18:O18)</f>
        <v>89</v>
      </c>
      <c r="Q18" s="52">
        <v>0</v>
      </c>
      <c r="R18" s="52">
        <v>0</v>
      </c>
      <c r="S18" s="5">
        <v>0</v>
      </c>
      <c r="T18" s="54">
        <f>+AM18-SUM(M18:O18)</f>
        <v>39</v>
      </c>
      <c r="V18" s="5">
        <v>0</v>
      </c>
      <c r="W18" s="5">
        <v>0</v>
      </c>
      <c r="X18" s="54">
        <f>AN18-SUM(U18:W18)</f>
        <v>163</v>
      </c>
      <c r="Y18" s="5">
        <v>0</v>
      </c>
      <c r="Z18" s="5">
        <v>0</v>
      </c>
      <c r="AA18" s="5">
        <v>0</v>
      </c>
      <c r="AB18" s="54">
        <f>AO18-SUM(Y18:AA18)</f>
        <v>-170</v>
      </c>
      <c r="AC18" s="5">
        <v>0</v>
      </c>
      <c r="AH18" s="52">
        <v>166</v>
      </c>
      <c r="AI18" s="52">
        <v>140</v>
      </c>
      <c r="AJ18" s="52">
        <v>34</v>
      </c>
      <c r="AK18" s="52">
        <v>-37</v>
      </c>
      <c r="AL18" s="52">
        <v>89</v>
      </c>
      <c r="AM18" s="52">
        <v>39</v>
      </c>
      <c r="AN18" s="29">
        <v>163</v>
      </c>
      <c r="AO18" s="52">
        <v>-170</v>
      </c>
      <c r="AP18" s="52">
        <v>112</v>
      </c>
      <c r="AQ18" s="23"/>
      <c r="AR18" s="23"/>
      <c r="AS18" s="23"/>
      <c r="AT18" s="23"/>
    </row>
    <row r="19" spans="3:46" s="27" customFormat="1" ht="11.25" customHeight="1">
      <c r="C19" s="45" t="s">
        <v>129</v>
      </c>
      <c r="E19" s="35">
        <f t="shared" ref="E19:R19" si="5">+E17+E13+E12+E11+E18+E14</f>
        <v>-7</v>
      </c>
      <c r="F19" s="35">
        <f t="shared" si="5"/>
        <v>-6</v>
      </c>
      <c r="G19" s="35">
        <f t="shared" si="5"/>
        <v>-8</v>
      </c>
      <c r="H19" s="35">
        <f t="shared" si="5"/>
        <v>26</v>
      </c>
      <c r="I19" s="35">
        <f t="shared" si="5"/>
        <v>-10</v>
      </c>
      <c r="J19" s="35">
        <f t="shared" si="5"/>
        <v>-11</v>
      </c>
      <c r="K19" s="35">
        <f t="shared" si="5"/>
        <v>-10</v>
      </c>
      <c r="L19" s="35">
        <f t="shared" si="5"/>
        <v>-47</v>
      </c>
      <c r="M19" s="35">
        <f t="shared" si="5"/>
        <v>-11</v>
      </c>
      <c r="N19" s="35">
        <f t="shared" si="5"/>
        <v>-12</v>
      </c>
      <c r="O19" s="35">
        <f t="shared" si="5"/>
        <v>-11</v>
      </c>
      <c r="P19" s="35">
        <f t="shared" si="5"/>
        <v>77</v>
      </c>
      <c r="Q19" s="35">
        <f t="shared" si="5"/>
        <v>-6</v>
      </c>
      <c r="R19" s="35">
        <f t="shared" si="5"/>
        <v>-7</v>
      </c>
      <c r="S19" s="35">
        <f t="shared" ref="S19:U19" si="6">+S17+S13+S12+S11+S18+S14</f>
        <v>-6</v>
      </c>
      <c r="T19" s="35">
        <f t="shared" si="6"/>
        <v>48</v>
      </c>
      <c r="U19" s="35">
        <f t="shared" si="6"/>
        <v>-13</v>
      </c>
      <c r="V19" s="35">
        <f t="shared" ref="V19:AC19" si="7">+V17+V13+V12+V11+V18+V14</f>
        <v>-13</v>
      </c>
      <c r="W19" s="35">
        <f t="shared" si="7"/>
        <v>-13</v>
      </c>
      <c r="X19" s="35">
        <f t="shared" si="7"/>
        <v>150</v>
      </c>
      <c r="Y19" s="35">
        <f t="shared" si="7"/>
        <v>-16</v>
      </c>
      <c r="Z19" s="35">
        <f t="shared" si="7"/>
        <v>-16</v>
      </c>
      <c r="AA19" s="35">
        <f t="shared" si="7"/>
        <v>-15</v>
      </c>
      <c r="AB19" s="35">
        <f t="shared" si="7"/>
        <v>-186</v>
      </c>
      <c r="AC19" s="35">
        <f t="shared" si="7"/>
        <v>-15</v>
      </c>
      <c r="AD19" s="30"/>
      <c r="AE19" s="30"/>
      <c r="AF19" s="30"/>
      <c r="AH19" s="35">
        <f>+AH17+AH13+AH12+AH11+AH18+AH14</f>
        <v>159</v>
      </c>
      <c r="AI19" s="35">
        <f>+AI17+AI13+AI12+AI11+AI18+AI14</f>
        <v>114</v>
      </c>
      <c r="AJ19" s="35">
        <f>+AJ17+AJ13+AJ12+AJ11+AJ18+AJ14</f>
        <v>5</v>
      </c>
      <c r="AK19" s="35">
        <f>+AK17+AK13+AK12+AK11+AK18+AK14</f>
        <v>-78</v>
      </c>
      <c r="AL19" s="35">
        <f t="shared" ref="AL19:AQ19" si="8">+AL17+AL13+AL12+AL11+AL18+AL14</f>
        <v>43</v>
      </c>
      <c r="AM19" s="35">
        <f t="shared" si="8"/>
        <v>14</v>
      </c>
      <c r="AN19" s="35">
        <f t="shared" si="8"/>
        <v>111</v>
      </c>
      <c r="AO19" s="35">
        <f t="shared" si="8"/>
        <v>-233</v>
      </c>
      <c r="AP19" s="35">
        <f t="shared" si="8"/>
        <v>55</v>
      </c>
      <c r="AQ19" s="35">
        <f t="shared" si="8"/>
        <v>-21.21425</v>
      </c>
      <c r="AR19" s="35">
        <f t="shared" ref="AR19:AS19" si="9">+AR17+AR13+AR12+AR11+AR18+AR14</f>
        <v>-19.1585885</v>
      </c>
      <c r="AS19" s="35">
        <f t="shared" si="9"/>
        <v>-16.870778948000019</v>
      </c>
      <c r="AT19" s="35">
        <f t="shared" ref="AT19" si="10">+AT17+AT13+AT12+AT11+AT18+AT14</f>
        <v>-14.332585672709016</v>
      </c>
    </row>
    <row r="20" spans="3:46" s="27" customFormat="1" ht="11.25" customHeight="1">
      <c r="C20" s="45"/>
      <c r="E20" s="30"/>
      <c r="F20" s="30"/>
      <c r="G20" s="30"/>
      <c r="H20" s="30"/>
      <c r="I20" s="30"/>
      <c r="J20" s="30"/>
      <c r="K20" s="30"/>
      <c r="L20" s="30"/>
      <c r="M20" s="30"/>
      <c r="N20" s="30"/>
      <c r="O20" s="30"/>
      <c r="P20" s="30"/>
      <c r="AH20" s="30"/>
      <c r="AI20" s="30"/>
      <c r="AJ20" s="30"/>
      <c r="AK20" s="30"/>
      <c r="AL20" s="30"/>
    </row>
    <row r="21" spans="3:46" ht="11.25" customHeight="1">
      <c r="C21" s="26" t="s">
        <v>135</v>
      </c>
      <c r="E21" s="28"/>
      <c r="F21" s="28"/>
      <c r="G21" s="28"/>
      <c r="H21" s="28"/>
      <c r="I21" s="28"/>
      <c r="J21" s="28"/>
      <c r="K21" s="28"/>
      <c r="L21" s="28"/>
      <c r="M21" s="28"/>
      <c r="N21" s="28"/>
      <c r="O21" s="28"/>
      <c r="P21" s="28"/>
      <c r="AH21" s="28"/>
      <c r="AI21" s="28"/>
      <c r="AJ21" s="28"/>
      <c r="AK21" s="28"/>
      <c r="AL21" s="28"/>
    </row>
    <row r="22" spans="3:46" ht="11.25" customHeight="1">
      <c r="C22" s="43" t="s">
        <v>136</v>
      </c>
      <c r="E22" s="59"/>
      <c r="F22" s="59"/>
      <c r="G22" s="59"/>
      <c r="H22" s="59"/>
      <c r="I22" s="59"/>
      <c r="J22" s="59"/>
      <c r="K22" s="59"/>
      <c r="L22" s="59"/>
      <c r="M22" s="59"/>
      <c r="N22" s="59"/>
      <c r="O22" s="47"/>
      <c r="P22" s="59"/>
      <c r="AH22" s="29">
        <v>2236</v>
      </c>
      <c r="AI22" s="33">
        <f>+AH34</f>
        <v>2356</v>
      </c>
      <c r="AJ22" s="33">
        <f t="shared" ref="AJ22:AT22" si="11">+AI34</f>
        <v>2262</v>
      </c>
      <c r="AK22" s="33">
        <f t="shared" si="11"/>
        <v>2141</v>
      </c>
      <c r="AL22" s="33">
        <f t="shared" si="11"/>
        <v>2154</v>
      </c>
      <c r="AM22" s="33">
        <f t="shared" si="11"/>
        <v>1959</v>
      </c>
      <c r="AN22" s="33">
        <f t="shared" si="11"/>
        <v>2067</v>
      </c>
      <c r="AO22" s="33">
        <f t="shared" si="11"/>
        <v>2050</v>
      </c>
      <c r="AP22" s="33">
        <f t="shared" si="11"/>
        <v>1892</v>
      </c>
      <c r="AQ22" s="33">
        <f t="shared" si="11"/>
        <v>1471</v>
      </c>
      <c r="AR22" s="33">
        <f t="shared" si="11"/>
        <v>1394.2929999999999</v>
      </c>
      <c r="AS22" s="33">
        <f t="shared" si="11"/>
        <v>1315.8271689999999</v>
      </c>
      <c r="AT22" s="33">
        <f t="shared" si="11"/>
        <v>1235.567640577</v>
      </c>
    </row>
    <row r="23" spans="3:46" ht="11.25" customHeight="1">
      <c r="C23" s="43" t="s">
        <v>130</v>
      </c>
      <c r="E23" s="59"/>
      <c r="F23" s="59"/>
      <c r="G23" s="59"/>
      <c r="H23" s="59"/>
      <c r="I23" s="59"/>
      <c r="J23" s="59"/>
      <c r="K23" s="59"/>
      <c r="L23" s="59"/>
      <c r="M23" s="59"/>
      <c r="N23" s="59"/>
      <c r="O23" s="47"/>
      <c r="P23" s="59"/>
      <c r="AH23" s="29">
        <v>40</v>
      </c>
      <c r="AI23" s="29">
        <v>39</v>
      </c>
      <c r="AJ23" s="29">
        <v>39</v>
      </c>
      <c r="AK23" s="29">
        <v>37</v>
      </c>
      <c r="AL23" s="29">
        <v>35</v>
      </c>
      <c r="AM23" s="29">
        <v>27</v>
      </c>
      <c r="AN23" s="29">
        <v>25</v>
      </c>
      <c r="AO23" s="29">
        <v>26</v>
      </c>
      <c r="AP23" s="29">
        <v>25</v>
      </c>
      <c r="AQ23" s="28">
        <f t="shared" ref="AQ23:AQ24" si="12">+AQ11</f>
        <v>25.75</v>
      </c>
      <c r="AR23" s="28">
        <f t="shared" ref="AR23:AS23" si="13">+AR11</f>
        <v>26.522500000000001</v>
      </c>
      <c r="AS23" s="28">
        <f t="shared" si="13"/>
        <v>27.318175</v>
      </c>
      <c r="AT23" s="28">
        <f t="shared" ref="AT23" si="14">+AT11</f>
        <v>28.137720250000001</v>
      </c>
    </row>
    <row r="24" spans="3:46" ht="11.25" customHeight="1">
      <c r="C24" s="43" t="s">
        <v>125</v>
      </c>
      <c r="E24" s="59"/>
      <c r="F24" s="59"/>
      <c r="G24" s="59"/>
      <c r="H24" s="59"/>
      <c r="I24" s="59"/>
      <c r="J24" s="59"/>
      <c r="K24" s="59"/>
      <c r="L24" s="59"/>
      <c r="M24" s="59"/>
      <c r="N24" s="59"/>
      <c r="O24" s="47"/>
      <c r="P24" s="59"/>
      <c r="AH24" s="29">
        <v>100</v>
      </c>
      <c r="AI24" s="29">
        <v>87</v>
      </c>
      <c r="AJ24" s="29">
        <v>74</v>
      </c>
      <c r="AK24" s="29">
        <v>66</v>
      </c>
      <c r="AL24" s="29">
        <v>67</v>
      </c>
      <c r="AM24" s="29">
        <v>76</v>
      </c>
      <c r="AN24" s="29">
        <v>57</v>
      </c>
      <c r="AO24" s="29">
        <v>37</v>
      </c>
      <c r="AP24" s="29">
        <v>45</v>
      </c>
      <c r="AQ24" s="28">
        <f t="shared" si="12"/>
        <v>48.542999999999999</v>
      </c>
      <c r="AR24" s="28">
        <f t="shared" ref="AR24:AS24" si="15">+AR12</f>
        <v>46.011668999999998</v>
      </c>
      <c r="AS24" s="28">
        <f t="shared" si="15"/>
        <v>43.422296576999997</v>
      </c>
      <c r="AT24" s="28">
        <f t="shared" ref="AT24" si="16">+AT12</f>
        <v>40.773732139041002</v>
      </c>
    </row>
    <row r="25" spans="3:46" ht="11.25" customHeight="1">
      <c r="C25" s="43" t="s">
        <v>137</v>
      </c>
      <c r="E25" s="59"/>
      <c r="F25" s="59"/>
      <c r="G25" s="59"/>
      <c r="H25" s="59"/>
      <c r="I25" s="59"/>
      <c r="J25" s="59"/>
      <c r="K25" s="59"/>
      <c r="L25" s="59"/>
      <c r="M25" s="59"/>
      <c r="N25" s="59"/>
      <c r="O25" s="47"/>
      <c r="P25" s="59"/>
      <c r="AH25" s="29">
        <v>174</v>
      </c>
      <c r="AI25" s="29">
        <v>-31</v>
      </c>
      <c r="AJ25" s="29">
        <v>38</v>
      </c>
      <c r="AK25" s="29">
        <v>94</v>
      </c>
      <c r="AL25" s="29">
        <v>-119</v>
      </c>
      <c r="AM25" s="29">
        <v>200</v>
      </c>
      <c r="AN25" s="29">
        <v>203</v>
      </c>
      <c r="AO25" s="29">
        <v>-49</v>
      </c>
      <c r="AP25" s="29">
        <v>-328</v>
      </c>
      <c r="AQ25" s="29">
        <v>0</v>
      </c>
      <c r="AR25" s="29">
        <v>0</v>
      </c>
      <c r="AS25" s="29">
        <v>0</v>
      </c>
      <c r="AT25" s="29">
        <v>0</v>
      </c>
    </row>
    <row r="26" spans="3:46" ht="11.25" customHeight="1">
      <c r="C26" s="43" t="s">
        <v>134</v>
      </c>
      <c r="E26" s="59"/>
      <c r="F26" s="59"/>
      <c r="G26" s="59"/>
      <c r="H26" s="59"/>
      <c r="I26" s="59"/>
      <c r="J26" s="59"/>
      <c r="K26" s="59"/>
      <c r="L26" s="59"/>
      <c r="M26" s="59"/>
      <c r="N26" s="59"/>
      <c r="O26" s="47"/>
      <c r="P26" s="59"/>
      <c r="AH26" s="29">
        <v>0</v>
      </c>
      <c r="AI26" s="29">
        <v>0</v>
      </c>
      <c r="AJ26" s="29">
        <v>0</v>
      </c>
      <c r="AK26" s="29">
        <v>0</v>
      </c>
      <c r="AL26" s="29">
        <v>0</v>
      </c>
      <c r="AM26" s="29">
        <v>0</v>
      </c>
      <c r="AN26" s="29">
        <v>0</v>
      </c>
      <c r="AO26" s="29">
        <v>0</v>
      </c>
      <c r="AP26" s="29">
        <v>0</v>
      </c>
      <c r="AQ26" s="29">
        <v>0</v>
      </c>
      <c r="AR26" s="29">
        <v>0</v>
      </c>
      <c r="AS26" s="29">
        <v>0</v>
      </c>
      <c r="AT26" s="29">
        <v>0</v>
      </c>
    </row>
    <row r="27" spans="3:46" ht="11.25" customHeight="1">
      <c r="C27" s="43" t="s">
        <v>154</v>
      </c>
      <c r="E27" s="59"/>
      <c r="F27" s="59"/>
      <c r="G27" s="59"/>
      <c r="H27" s="59"/>
      <c r="I27" s="59"/>
      <c r="J27" s="59"/>
      <c r="K27" s="59"/>
      <c r="L27" s="59"/>
      <c r="M27" s="59"/>
      <c r="N27" s="59"/>
      <c r="O27" s="47"/>
      <c r="P27" s="59"/>
      <c r="AH27" s="29">
        <v>0</v>
      </c>
      <c r="AI27" s="29">
        <v>0</v>
      </c>
      <c r="AJ27" s="29">
        <v>-54</v>
      </c>
      <c r="AK27" s="29">
        <v>0</v>
      </c>
      <c r="AL27" s="29">
        <v>0</v>
      </c>
      <c r="AM27" s="29">
        <v>0</v>
      </c>
      <c r="AN27" s="29">
        <v>-122</v>
      </c>
      <c r="AO27" s="29">
        <v>-6</v>
      </c>
      <c r="AP27" s="29">
        <v>-9</v>
      </c>
      <c r="AQ27" s="29">
        <v>0</v>
      </c>
      <c r="AR27" s="29">
        <v>0</v>
      </c>
      <c r="AS27" s="29">
        <v>0</v>
      </c>
      <c r="AT27" s="29">
        <v>0</v>
      </c>
    </row>
    <row r="28" spans="3:46" ht="11.25" customHeight="1">
      <c r="C28" s="43" t="s">
        <v>157</v>
      </c>
      <c r="E28" s="59"/>
      <c r="F28" s="59"/>
      <c r="G28" s="59"/>
      <c r="H28" s="59"/>
      <c r="I28" s="59"/>
      <c r="J28" s="59"/>
      <c r="K28" s="59"/>
      <c r="L28" s="59"/>
      <c r="M28" s="59"/>
      <c r="N28" s="59"/>
      <c r="O28" s="47"/>
      <c r="P28" s="59"/>
      <c r="AH28" s="29">
        <v>0</v>
      </c>
      <c r="AI28" s="29">
        <v>0</v>
      </c>
      <c r="AJ28" s="29">
        <v>0</v>
      </c>
      <c r="AK28" s="29">
        <v>0</v>
      </c>
      <c r="AL28" s="29">
        <v>0</v>
      </c>
      <c r="AM28" s="29">
        <v>0</v>
      </c>
      <c r="AN28" s="29">
        <v>0</v>
      </c>
      <c r="AO28" s="29">
        <v>0</v>
      </c>
      <c r="AP28" s="29">
        <v>0</v>
      </c>
      <c r="AQ28" s="29">
        <v>0</v>
      </c>
      <c r="AR28" s="29">
        <v>0</v>
      </c>
      <c r="AS28" s="29">
        <v>0</v>
      </c>
      <c r="AT28" s="29">
        <v>0</v>
      </c>
    </row>
    <row r="29" spans="3:46" ht="11.25" customHeight="1">
      <c r="C29" s="43" t="s">
        <v>155</v>
      </c>
      <c r="E29" s="59"/>
      <c r="F29" s="59"/>
      <c r="G29" s="59"/>
      <c r="H29" s="59"/>
      <c r="I29" s="59"/>
      <c r="J29" s="59"/>
      <c r="K29" s="59"/>
      <c r="L29" s="59"/>
      <c r="M29" s="59"/>
      <c r="N29" s="59"/>
      <c r="O29" s="47"/>
      <c r="P29" s="59"/>
      <c r="AH29" s="29">
        <v>0</v>
      </c>
      <c r="AI29" s="29">
        <v>0</v>
      </c>
      <c r="AJ29" s="29">
        <v>2</v>
      </c>
      <c r="AK29" s="29">
        <v>0</v>
      </c>
      <c r="AL29" s="29">
        <v>0</v>
      </c>
      <c r="AM29" s="29">
        <v>0</v>
      </c>
      <c r="AN29" s="29">
        <v>0</v>
      </c>
      <c r="AO29" s="29">
        <v>0</v>
      </c>
      <c r="AP29" s="29">
        <v>0</v>
      </c>
      <c r="AQ29" s="29">
        <v>0</v>
      </c>
      <c r="AR29" s="29">
        <v>0</v>
      </c>
      <c r="AS29" s="29">
        <v>0</v>
      </c>
      <c r="AT29" s="29">
        <v>0</v>
      </c>
    </row>
    <row r="30" spans="3:46" ht="11.25" customHeight="1">
      <c r="C30" s="43" t="s">
        <v>138</v>
      </c>
      <c r="E30" s="59"/>
      <c r="F30" s="59"/>
      <c r="G30" s="59"/>
      <c r="H30" s="59"/>
      <c r="I30" s="59"/>
      <c r="J30" s="59"/>
      <c r="K30" s="59"/>
      <c r="L30" s="59"/>
      <c r="M30" s="59"/>
      <c r="N30" s="59"/>
      <c r="O30" s="47"/>
      <c r="P30" s="59"/>
      <c r="AH30" s="29">
        <v>0</v>
      </c>
      <c r="AI30" s="29">
        <v>0</v>
      </c>
      <c r="AJ30" s="29">
        <v>0</v>
      </c>
      <c r="AK30" s="29">
        <v>0</v>
      </c>
      <c r="AL30" s="29">
        <v>0</v>
      </c>
      <c r="AM30" s="29">
        <v>0</v>
      </c>
      <c r="AN30" s="29">
        <v>0</v>
      </c>
      <c r="AO30" s="29">
        <v>0</v>
      </c>
      <c r="AP30" s="29">
        <v>0</v>
      </c>
      <c r="AQ30" s="29">
        <v>0</v>
      </c>
      <c r="AR30" s="29">
        <v>0</v>
      </c>
      <c r="AS30" s="29">
        <v>0</v>
      </c>
      <c r="AT30" s="29">
        <v>0</v>
      </c>
    </row>
    <row r="31" spans="3:46" ht="11.25" customHeight="1">
      <c r="C31" s="43" t="s">
        <v>139</v>
      </c>
      <c r="E31" s="59"/>
      <c r="F31" s="59"/>
      <c r="G31" s="59"/>
      <c r="H31" s="59"/>
      <c r="I31" s="59"/>
      <c r="J31" s="59"/>
      <c r="K31" s="59"/>
      <c r="L31" s="59"/>
      <c r="M31" s="59"/>
      <c r="N31" s="59"/>
      <c r="O31" s="47"/>
      <c r="P31" s="59"/>
      <c r="AH31" s="29">
        <v>0</v>
      </c>
      <c r="AI31" s="29">
        <v>0</v>
      </c>
      <c r="AJ31" s="29">
        <v>0</v>
      </c>
      <c r="AK31" s="29">
        <v>0</v>
      </c>
      <c r="AL31" s="29">
        <v>0</v>
      </c>
      <c r="AM31" s="29">
        <v>0</v>
      </c>
      <c r="AN31" s="29">
        <v>0</v>
      </c>
      <c r="AO31" s="29">
        <v>0</v>
      </c>
      <c r="AP31" s="29">
        <v>0</v>
      </c>
      <c r="AQ31" s="29">
        <v>0</v>
      </c>
      <c r="AR31" s="29">
        <v>0</v>
      </c>
      <c r="AS31" s="29">
        <v>0</v>
      </c>
      <c r="AT31" s="29">
        <v>0</v>
      </c>
    </row>
    <row r="32" spans="3:46" ht="11.25" customHeight="1">
      <c r="C32" s="43" t="s">
        <v>140</v>
      </c>
      <c r="E32" s="59"/>
      <c r="F32" s="59"/>
      <c r="G32" s="59"/>
      <c r="H32" s="59"/>
      <c r="I32" s="59"/>
      <c r="J32" s="59"/>
      <c r="K32" s="59"/>
      <c r="L32" s="59"/>
      <c r="M32" s="59"/>
      <c r="N32" s="59"/>
      <c r="O32" s="47"/>
      <c r="P32" s="59"/>
      <c r="AH32" s="29">
        <v>0</v>
      </c>
      <c r="AI32" s="29">
        <v>0</v>
      </c>
      <c r="AJ32" s="29">
        <v>0</v>
      </c>
      <c r="AK32" s="29">
        <v>0</v>
      </c>
      <c r="AL32" s="29">
        <v>0</v>
      </c>
      <c r="AM32" s="29">
        <v>0</v>
      </c>
      <c r="AN32" s="29">
        <v>0</v>
      </c>
      <c r="AO32" s="29">
        <v>0</v>
      </c>
      <c r="AP32" s="29">
        <v>0</v>
      </c>
      <c r="AQ32" s="29">
        <v>0</v>
      </c>
      <c r="AR32" s="29">
        <v>0</v>
      </c>
      <c r="AS32" s="29">
        <v>0</v>
      </c>
      <c r="AT32" s="29">
        <v>0</v>
      </c>
    </row>
    <row r="33" spans="3:46" ht="11.25" customHeight="1">
      <c r="C33" s="43" t="s">
        <v>141</v>
      </c>
      <c r="E33" s="59"/>
      <c r="F33" s="59"/>
      <c r="G33" s="59"/>
      <c r="H33" s="59"/>
      <c r="I33" s="59"/>
      <c r="J33" s="59"/>
      <c r="K33" s="59"/>
      <c r="L33" s="59"/>
      <c r="M33" s="59"/>
      <c r="N33" s="59"/>
      <c r="O33" s="47"/>
      <c r="P33" s="59"/>
      <c r="AH33" s="29">
        <v>-194</v>
      </c>
      <c r="AI33" s="29">
        <v>-189</v>
      </c>
      <c r="AJ33" s="29">
        <v>-220</v>
      </c>
      <c r="AK33" s="29">
        <v>-184</v>
      </c>
      <c r="AL33" s="29">
        <v>-178</v>
      </c>
      <c r="AM33" s="29">
        <v>-195</v>
      </c>
      <c r="AN33" s="29">
        <v>-180</v>
      </c>
      <c r="AO33" s="29">
        <v>-166</v>
      </c>
      <c r="AP33" s="29">
        <v>-154</v>
      </c>
      <c r="AQ33" s="29">
        <v>-151</v>
      </c>
      <c r="AR33" s="29">
        <v>-151</v>
      </c>
      <c r="AS33" s="29">
        <v>-151</v>
      </c>
      <c r="AT33" s="29">
        <v>-151</v>
      </c>
    </row>
    <row r="34" spans="3:46" s="27" customFormat="1" ht="11.25" customHeight="1">
      <c r="C34" s="45" t="s">
        <v>142</v>
      </c>
      <c r="E34" s="60"/>
      <c r="F34" s="60"/>
      <c r="G34" s="60"/>
      <c r="H34" s="60"/>
      <c r="I34" s="60"/>
      <c r="J34" s="60"/>
      <c r="K34" s="60"/>
      <c r="L34" s="60"/>
      <c r="M34" s="60"/>
      <c r="N34" s="60"/>
      <c r="O34" s="61"/>
      <c r="P34" s="60"/>
      <c r="AH34" s="35">
        <f t="shared" ref="AH34:AS34" si="17">+SUM(AH22:AH33)</f>
        <v>2356</v>
      </c>
      <c r="AI34" s="35">
        <f t="shared" si="17"/>
        <v>2262</v>
      </c>
      <c r="AJ34" s="35">
        <f t="shared" si="17"/>
        <v>2141</v>
      </c>
      <c r="AK34" s="35">
        <f t="shared" si="17"/>
        <v>2154</v>
      </c>
      <c r="AL34" s="35">
        <f t="shared" si="17"/>
        <v>1959</v>
      </c>
      <c r="AM34" s="35">
        <f t="shared" si="17"/>
        <v>2067</v>
      </c>
      <c r="AN34" s="35">
        <f t="shared" si="17"/>
        <v>2050</v>
      </c>
      <c r="AO34" s="35">
        <f t="shared" si="17"/>
        <v>1892</v>
      </c>
      <c r="AP34" s="35">
        <f t="shared" si="17"/>
        <v>1471</v>
      </c>
      <c r="AQ34" s="35">
        <f t="shared" si="17"/>
        <v>1394.2929999999999</v>
      </c>
      <c r="AR34" s="35">
        <f t="shared" si="17"/>
        <v>1315.8271689999999</v>
      </c>
      <c r="AS34" s="35">
        <f t="shared" si="17"/>
        <v>1235.567640577</v>
      </c>
      <c r="AT34" s="35">
        <f t="shared" ref="AT34" si="18">+SUM(AT22:AT33)</f>
        <v>1153.479092966041</v>
      </c>
    </row>
    <row r="35" spans="3:46" ht="11.25" customHeight="1">
      <c r="C35" s="44"/>
      <c r="E35" s="28"/>
      <c r="F35" s="28"/>
      <c r="G35" s="28"/>
      <c r="H35" s="28"/>
      <c r="I35" s="28"/>
      <c r="J35" s="28"/>
      <c r="K35" s="28"/>
      <c r="L35" s="28"/>
      <c r="M35" s="28"/>
      <c r="N35" s="28"/>
      <c r="O35" s="28"/>
      <c r="P35" s="28"/>
      <c r="AH35" s="28"/>
      <c r="AI35" s="28"/>
      <c r="AJ35" s="28"/>
      <c r="AK35" s="28"/>
      <c r="AL35" s="28"/>
    </row>
    <row r="36" spans="3:46" ht="11.25" customHeight="1">
      <c r="C36" s="26" t="s">
        <v>143</v>
      </c>
      <c r="E36" s="28"/>
      <c r="F36" s="28"/>
      <c r="G36" s="28"/>
      <c r="H36" s="28"/>
      <c r="I36" s="28"/>
      <c r="J36" s="28"/>
      <c r="K36" s="28"/>
      <c r="L36" s="28"/>
      <c r="M36" s="28"/>
      <c r="N36" s="28"/>
      <c r="O36" s="28"/>
      <c r="P36" s="28"/>
      <c r="AH36" s="28"/>
      <c r="AI36" s="28"/>
      <c r="AJ36" s="28"/>
      <c r="AK36" s="28"/>
      <c r="AL36" s="28"/>
    </row>
    <row r="37" spans="3:46" ht="11.25" customHeight="1">
      <c r="C37" s="43" t="s">
        <v>144</v>
      </c>
      <c r="E37" s="59"/>
      <c r="F37" s="59"/>
      <c r="G37" s="59"/>
      <c r="H37" s="59"/>
      <c r="I37" s="59"/>
      <c r="J37" s="59"/>
      <c r="K37" s="59"/>
      <c r="L37" s="59"/>
      <c r="M37" s="59"/>
      <c r="N37" s="59"/>
      <c r="O37" s="59"/>
      <c r="P37" s="59"/>
      <c r="AH37" s="29">
        <v>1887</v>
      </c>
      <c r="AI37" s="33">
        <f>+AH48</f>
        <v>1968</v>
      </c>
      <c r="AJ37" s="33">
        <f t="shared" ref="AJ37:AT37" si="19">+AI48</f>
        <v>1887</v>
      </c>
      <c r="AK37" s="33">
        <f t="shared" si="19"/>
        <v>1959</v>
      </c>
      <c r="AL37" s="33">
        <f t="shared" si="19"/>
        <v>2054</v>
      </c>
      <c r="AM37" s="33">
        <f t="shared" si="19"/>
        <v>1820</v>
      </c>
      <c r="AN37" s="33">
        <f t="shared" si="19"/>
        <v>1919</v>
      </c>
      <c r="AO37" s="33">
        <f t="shared" si="19"/>
        <v>1798</v>
      </c>
      <c r="AP37" s="33">
        <f t="shared" si="19"/>
        <v>1877</v>
      </c>
      <c r="AQ37" s="33">
        <f t="shared" si="19"/>
        <v>1405</v>
      </c>
      <c r="AR37" s="33">
        <f t="shared" si="19"/>
        <v>1352.35</v>
      </c>
      <c r="AS37" s="33">
        <f t="shared" si="19"/>
        <v>1296.0145</v>
      </c>
      <c r="AT37" s="33">
        <f t="shared" si="19"/>
        <v>1235.7355150000001</v>
      </c>
    </row>
    <row r="38" spans="3:46" ht="11.25" customHeight="1">
      <c r="C38" s="43" t="s">
        <v>145</v>
      </c>
      <c r="E38" s="59"/>
      <c r="F38" s="59"/>
      <c r="G38" s="59"/>
      <c r="H38" s="59"/>
      <c r="I38" s="59"/>
      <c r="J38" s="59"/>
      <c r="K38" s="59"/>
      <c r="L38" s="59"/>
      <c r="M38" s="59"/>
      <c r="N38" s="59"/>
      <c r="O38" s="59"/>
      <c r="P38" s="59"/>
      <c r="AH38" s="29">
        <v>151</v>
      </c>
      <c r="AI38" s="29">
        <v>-23</v>
      </c>
      <c r="AJ38" s="29">
        <v>142</v>
      </c>
      <c r="AK38" s="29">
        <v>271</v>
      </c>
      <c r="AL38" s="29">
        <v>-61</v>
      </c>
      <c r="AM38" s="29">
        <v>289</v>
      </c>
      <c r="AN38" s="29">
        <v>175</v>
      </c>
      <c r="AO38" s="29">
        <v>247</v>
      </c>
      <c r="AP38" s="29">
        <v>-312</v>
      </c>
      <c r="AQ38" s="28">
        <f>+AQ37*AQ70</f>
        <v>98.350000000000009</v>
      </c>
      <c r="AR38" s="28">
        <f>+AR37*AR70</f>
        <v>94.664500000000004</v>
      </c>
      <c r="AS38" s="28">
        <f>+AS37*AS70</f>
        <v>90.721015000000008</v>
      </c>
      <c r="AT38" s="28">
        <f>+AT37*AT70</f>
        <v>86.501486050000011</v>
      </c>
    </row>
    <row r="39" spans="3:46" ht="11.25" customHeight="1">
      <c r="C39" s="43" t="s">
        <v>139</v>
      </c>
      <c r="E39" s="59"/>
      <c r="F39" s="59"/>
      <c r="G39" s="59"/>
      <c r="H39" s="59"/>
      <c r="I39" s="59"/>
      <c r="J39" s="59"/>
      <c r="K39" s="59"/>
      <c r="L39" s="59"/>
      <c r="M39" s="59"/>
      <c r="N39" s="59"/>
      <c r="O39" s="59"/>
      <c r="P39" s="59"/>
      <c r="AH39" s="29">
        <v>0</v>
      </c>
      <c r="AI39" s="29">
        <v>0</v>
      </c>
      <c r="AJ39" s="29">
        <v>0</v>
      </c>
      <c r="AK39" s="29">
        <v>0</v>
      </c>
      <c r="AL39" s="29">
        <v>0</v>
      </c>
      <c r="AM39" s="29">
        <v>0</v>
      </c>
      <c r="AN39" s="29">
        <v>0</v>
      </c>
      <c r="AO39" s="29">
        <v>0</v>
      </c>
      <c r="AP39" s="29">
        <v>0</v>
      </c>
      <c r="AQ39" s="29">
        <v>0</v>
      </c>
      <c r="AR39" s="29">
        <v>0</v>
      </c>
      <c r="AS39" s="29">
        <v>0</v>
      </c>
      <c r="AT39" s="29">
        <v>0</v>
      </c>
    </row>
    <row r="40" spans="3:46" ht="11.25" customHeight="1">
      <c r="C40" s="43" t="s">
        <v>146</v>
      </c>
      <c r="E40" s="59"/>
      <c r="F40" s="59"/>
      <c r="G40" s="59"/>
      <c r="H40" s="59"/>
      <c r="I40" s="59"/>
      <c r="J40" s="59"/>
      <c r="K40" s="59"/>
      <c r="L40" s="59"/>
      <c r="M40" s="59"/>
      <c r="N40" s="59"/>
      <c r="O40" s="59"/>
      <c r="P40" s="59"/>
      <c r="AH40" s="29">
        <v>124</v>
      </c>
      <c r="AI40" s="29">
        <v>131</v>
      </c>
      <c r="AJ40" s="29">
        <v>204</v>
      </c>
      <c r="AK40" s="29">
        <v>8</v>
      </c>
      <c r="AL40" s="29">
        <v>5</v>
      </c>
      <c r="AM40" s="29">
        <v>5</v>
      </c>
      <c r="AN40" s="29">
        <v>6</v>
      </c>
      <c r="AO40" s="29">
        <v>4</v>
      </c>
      <c r="AP40" s="29">
        <v>3</v>
      </c>
      <c r="AQ40" s="29">
        <v>0</v>
      </c>
      <c r="AR40" s="29">
        <v>0</v>
      </c>
      <c r="AS40" s="29">
        <v>0</v>
      </c>
      <c r="AT40" s="29">
        <v>0</v>
      </c>
    </row>
    <row r="41" spans="3:46" ht="11.25" customHeight="1">
      <c r="C41" s="43" t="s">
        <v>147</v>
      </c>
      <c r="E41" s="59"/>
      <c r="F41" s="59"/>
      <c r="G41" s="59"/>
      <c r="H41" s="59"/>
      <c r="I41" s="59"/>
      <c r="J41" s="59"/>
      <c r="K41" s="59"/>
      <c r="L41" s="59"/>
      <c r="M41" s="59"/>
      <c r="N41" s="59"/>
      <c r="O41" s="59"/>
      <c r="P41" s="59"/>
      <c r="AH41" s="29">
        <v>0</v>
      </c>
      <c r="AI41" s="29">
        <v>0</v>
      </c>
      <c r="AJ41" s="29">
        <v>0</v>
      </c>
      <c r="AK41" s="29">
        <v>0</v>
      </c>
      <c r="AL41" s="29">
        <v>0</v>
      </c>
      <c r="AM41" s="29">
        <v>0</v>
      </c>
      <c r="AN41" s="29">
        <v>0</v>
      </c>
      <c r="AO41" s="29">
        <v>0</v>
      </c>
      <c r="AP41" s="29">
        <v>0</v>
      </c>
      <c r="AQ41" s="29">
        <v>0</v>
      </c>
      <c r="AR41" s="29">
        <v>0</v>
      </c>
      <c r="AS41" s="29">
        <v>0</v>
      </c>
      <c r="AT41" s="29">
        <v>0</v>
      </c>
    </row>
    <row r="42" spans="3:46" ht="11.25" customHeight="1">
      <c r="C42" s="43" t="s">
        <v>138</v>
      </c>
      <c r="E42" s="59"/>
      <c r="F42" s="59"/>
      <c r="G42" s="59"/>
      <c r="H42" s="59"/>
      <c r="I42" s="59"/>
      <c r="J42" s="59"/>
      <c r="K42" s="59"/>
      <c r="L42" s="59"/>
      <c r="M42" s="59"/>
      <c r="N42" s="59"/>
      <c r="O42" s="59"/>
      <c r="P42" s="59"/>
      <c r="AH42" s="29">
        <v>0</v>
      </c>
      <c r="AI42" s="29">
        <v>0</v>
      </c>
      <c r="AJ42" s="29">
        <v>0</v>
      </c>
      <c r="AK42" s="29">
        <v>0</v>
      </c>
      <c r="AL42" s="29">
        <v>0</v>
      </c>
      <c r="AM42" s="29">
        <v>0</v>
      </c>
      <c r="AN42" s="29">
        <v>0</v>
      </c>
      <c r="AO42" s="29">
        <v>0</v>
      </c>
      <c r="AP42" s="29">
        <v>0</v>
      </c>
      <c r="AQ42" s="29">
        <v>0</v>
      </c>
      <c r="AR42" s="29">
        <v>0</v>
      </c>
      <c r="AS42" s="29">
        <v>0</v>
      </c>
      <c r="AT42" s="29">
        <v>0</v>
      </c>
    </row>
    <row r="43" spans="3:46" ht="11.25" customHeight="1">
      <c r="C43" s="43" t="s">
        <v>141</v>
      </c>
      <c r="E43" s="59"/>
      <c r="F43" s="59"/>
      <c r="G43" s="59"/>
      <c r="H43" s="59"/>
      <c r="I43" s="59"/>
      <c r="J43" s="59"/>
      <c r="K43" s="59"/>
      <c r="L43" s="59"/>
      <c r="M43" s="59"/>
      <c r="N43" s="59"/>
      <c r="O43" s="59"/>
      <c r="P43" s="59"/>
      <c r="AH43" s="29">
        <v>-194</v>
      </c>
      <c r="AI43" s="29">
        <v>-189</v>
      </c>
      <c r="AJ43" s="29">
        <v>-220</v>
      </c>
      <c r="AK43" s="29">
        <v>-184</v>
      </c>
      <c r="AL43" s="29">
        <v>-178</v>
      </c>
      <c r="AM43" s="29">
        <v>-195</v>
      </c>
      <c r="AN43" s="29">
        <v>-180</v>
      </c>
      <c r="AO43" s="29">
        <v>-166</v>
      </c>
      <c r="AP43" s="29">
        <v>-154</v>
      </c>
      <c r="AQ43" s="28">
        <f>AQ33</f>
        <v>-151</v>
      </c>
      <c r="AR43" s="28">
        <f>AR33</f>
        <v>-151</v>
      </c>
      <c r="AS43" s="28">
        <f>AS33</f>
        <v>-151</v>
      </c>
      <c r="AT43" s="28">
        <f>AT33</f>
        <v>-151</v>
      </c>
    </row>
    <row r="44" spans="3:46" ht="11.25" customHeight="1">
      <c r="C44" s="43" t="s">
        <v>140</v>
      </c>
      <c r="E44" s="59"/>
      <c r="F44" s="59"/>
      <c r="G44" s="59"/>
      <c r="H44" s="59"/>
      <c r="I44" s="59"/>
      <c r="J44" s="59"/>
      <c r="K44" s="59"/>
      <c r="L44" s="59"/>
      <c r="M44" s="59"/>
      <c r="N44" s="59"/>
      <c r="O44" s="59"/>
      <c r="P44" s="59"/>
      <c r="AH44" s="29">
        <v>0</v>
      </c>
      <c r="AI44" s="29">
        <v>0</v>
      </c>
      <c r="AJ44" s="29">
        <v>0</v>
      </c>
      <c r="AK44" s="29">
        <v>0</v>
      </c>
      <c r="AL44" s="29">
        <v>0</v>
      </c>
      <c r="AM44" s="29">
        <v>0</v>
      </c>
      <c r="AN44" s="29">
        <v>0</v>
      </c>
      <c r="AO44" s="29">
        <v>0</v>
      </c>
      <c r="AP44" s="29">
        <v>0</v>
      </c>
      <c r="AQ44" s="29">
        <v>0</v>
      </c>
      <c r="AR44" s="29">
        <v>0</v>
      </c>
      <c r="AS44" s="29">
        <v>0</v>
      </c>
      <c r="AT44" s="29">
        <v>0</v>
      </c>
    </row>
    <row r="45" spans="3:46" ht="11.25" customHeight="1">
      <c r="C45" s="43" t="s">
        <v>156</v>
      </c>
      <c r="E45" s="59"/>
      <c r="F45" s="59"/>
      <c r="G45" s="59"/>
      <c r="H45" s="59"/>
      <c r="I45" s="59"/>
      <c r="J45" s="59"/>
      <c r="K45" s="59"/>
      <c r="L45" s="59"/>
      <c r="M45" s="59"/>
      <c r="N45" s="59"/>
      <c r="O45" s="59"/>
      <c r="P45" s="59"/>
      <c r="AH45" s="29">
        <v>0</v>
      </c>
      <c r="AI45" s="29">
        <v>0</v>
      </c>
      <c r="AJ45" s="29">
        <v>-54</v>
      </c>
      <c r="AK45" s="29">
        <v>0</v>
      </c>
      <c r="AL45" s="29">
        <v>0</v>
      </c>
      <c r="AM45" s="29">
        <v>0</v>
      </c>
      <c r="AN45" s="29">
        <v>-122</v>
      </c>
      <c r="AO45" s="29">
        <v>-6</v>
      </c>
      <c r="AP45" s="29">
        <v>-9</v>
      </c>
      <c r="AQ45" s="29">
        <v>0</v>
      </c>
      <c r="AR45" s="29">
        <v>0</v>
      </c>
      <c r="AS45" s="29">
        <v>0</v>
      </c>
      <c r="AT45" s="29">
        <v>0</v>
      </c>
    </row>
    <row r="46" spans="3:46" ht="11.25" customHeight="1">
      <c r="C46" s="43" t="s">
        <v>108</v>
      </c>
      <c r="E46" s="59"/>
      <c r="F46" s="59"/>
      <c r="G46" s="59"/>
      <c r="H46" s="59"/>
      <c r="I46" s="59"/>
      <c r="J46" s="59"/>
      <c r="K46" s="59"/>
      <c r="L46" s="59"/>
      <c r="M46" s="59"/>
      <c r="N46" s="59"/>
      <c r="O46" s="59"/>
      <c r="P46" s="59"/>
      <c r="AH46" s="29">
        <v>0</v>
      </c>
      <c r="AI46" s="29">
        <v>0</v>
      </c>
      <c r="AJ46" s="29">
        <v>0</v>
      </c>
      <c r="AK46" s="29">
        <v>0</v>
      </c>
      <c r="AL46" s="29">
        <v>0</v>
      </c>
      <c r="AM46" s="29">
        <v>0</v>
      </c>
      <c r="AN46" s="29">
        <v>0</v>
      </c>
      <c r="AO46" s="29">
        <v>0</v>
      </c>
      <c r="AP46" s="29">
        <v>0</v>
      </c>
      <c r="AQ46" s="29">
        <v>0</v>
      </c>
      <c r="AR46" s="29">
        <v>0</v>
      </c>
      <c r="AS46" s="29">
        <v>0</v>
      </c>
      <c r="AT46" s="29">
        <v>0</v>
      </c>
    </row>
    <row r="47" spans="3:46" ht="11.25" customHeight="1">
      <c r="C47" s="43" t="s">
        <v>157</v>
      </c>
      <c r="E47" s="59"/>
      <c r="F47" s="59"/>
      <c r="G47" s="59"/>
      <c r="H47" s="59"/>
      <c r="I47" s="59"/>
      <c r="J47" s="59"/>
      <c r="K47" s="59"/>
      <c r="L47" s="59"/>
      <c r="M47" s="59"/>
      <c r="N47" s="59"/>
      <c r="O47" s="59"/>
      <c r="P47" s="59"/>
      <c r="AH47" s="29">
        <v>0</v>
      </c>
      <c r="AI47" s="29">
        <v>0</v>
      </c>
      <c r="AJ47" s="29">
        <v>0</v>
      </c>
      <c r="AK47" s="29">
        <v>0</v>
      </c>
      <c r="AL47" s="29">
        <v>0</v>
      </c>
      <c r="AM47" s="29">
        <v>0</v>
      </c>
      <c r="AN47" s="29">
        <v>0</v>
      </c>
      <c r="AO47" s="29">
        <v>0</v>
      </c>
      <c r="AP47" s="29">
        <v>0</v>
      </c>
      <c r="AQ47" s="29">
        <v>0</v>
      </c>
      <c r="AR47" s="29">
        <v>0</v>
      </c>
      <c r="AS47" s="29">
        <v>0</v>
      </c>
      <c r="AT47" s="29">
        <v>0</v>
      </c>
    </row>
    <row r="48" spans="3:46" s="27" customFormat="1" ht="11.25" customHeight="1">
      <c r="C48" s="45" t="s">
        <v>148</v>
      </c>
      <c r="E48" s="59"/>
      <c r="F48" s="59"/>
      <c r="G48" s="59"/>
      <c r="H48" s="59"/>
      <c r="I48" s="59"/>
      <c r="J48" s="59"/>
      <c r="K48" s="59"/>
      <c r="L48" s="59"/>
      <c r="M48" s="59"/>
      <c r="N48" s="59"/>
      <c r="O48" s="59"/>
      <c r="P48" s="59"/>
      <c r="AH48" s="32">
        <f>+SUM(AH37:AH47)</f>
        <v>1968</v>
      </c>
      <c r="AI48" s="32">
        <f>+SUM(AI37:AI47)</f>
        <v>1887</v>
      </c>
      <c r="AJ48" s="32">
        <f>+SUM(AJ37:AJ47)</f>
        <v>1959</v>
      </c>
      <c r="AK48" s="32">
        <f>+SUM(AK37:AK47)</f>
        <v>2054</v>
      </c>
      <c r="AL48" s="32">
        <f t="shared" ref="AL48:AQ48" si="20">+SUM(AL37:AL47)</f>
        <v>1820</v>
      </c>
      <c r="AM48" s="32">
        <f t="shared" si="20"/>
        <v>1919</v>
      </c>
      <c r="AN48" s="32">
        <f t="shared" si="20"/>
        <v>1798</v>
      </c>
      <c r="AO48" s="32">
        <f t="shared" si="20"/>
        <v>1877</v>
      </c>
      <c r="AP48" s="32">
        <f t="shared" si="20"/>
        <v>1405</v>
      </c>
      <c r="AQ48" s="32">
        <f t="shared" si="20"/>
        <v>1352.35</v>
      </c>
      <c r="AR48" s="32">
        <f t="shared" ref="AR48:AS48" si="21">+SUM(AR37:AR47)</f>
        <v>1296.0145</v>
      </c>
      <c r="AS48" s="32">
        <f t="shared" si="21"/>
        <v>1235.7355150000001</v>
      </c>
      <c r="AT48" s="32">
        <f t="shared" ref="AT48" si="22">+SUM(AT37:AT47)</f>
        <v>1171.2370010500001</v>
      </c>
    </row>
    <row r="49" spans="3:46" s="27" customFormat="1" ht="11.25" customHeight="1">
      <c r="C49" s="45" t="s">
        <v>149</v>
      </c>
      <c r="E49" s="59"/>
      <c r="F49" s="59"/>
      <c r="G49" s="59"/>
      <c r="H49" s="59"/>
      <c r="I49" s="59"/>
      <c r="J49" s="59"/>
      <c r="K49" s="59"/>
      <c r="L49" s="59"/>
      <c r="M49" s="59"/>
      <c r="N49" s="59"/>
      <c r="O49" s="59"/>
      <c r="P49" s="59"/>
      <c r="AH49" s="32">
        <f t="shared" ref="AH49:AS49" si="23">+AH48-AH34</f>
        <v>-388</v>
      </c>
      <c r="AI49" s="32">
        <f t="shared" si="23"/>
        <v>-375</v>
      </c>
      <c r="AJ49" s="32">
        <f t="shared" si="23"/>
        <v>-182</v>
      </c>
      <c r="AK49" s="32">
        <f t="shared" si="23"/>
        <v>-100</v>
      </c>
      <c r="AL49" s="32">
        <f t="shared" si="23"/>
        <v>-139</v>
      </c>
      <c r="AM49" s="32">
        <f t="shared" si="23"/>
        <v>-148</v>
      </c>
      <c r="AN49" s="32">
        <f t="shared" si="23"/>
        <v>-252</v>
      </c>
      <c r="AO49" s="32">
        <f t="shared" si="23"/>
        <v>-15</v>
      </c>
      <c r="AP49" s="32">
        <f t="shared" si="23"/>
        <v>-66</v>
      </c>
      <c r="AQ49" s="32">
        <f t="shared" si="23"/>
        <v>-41.942999999999984</v>
      </c>
      <c r="AR49" s="32">
        <f t="shared" si="23"/>
        <v>-19.812668999999914</v>
      </c>
      <c r="AS49" s="32">
        <f t="shared" si="23"/>
        <v>0.1678744230000575</v>
      </c>
      <c r="AT49" s="32">
        <f t="shared" ref="AT49" si="24">+AT48-AT34</f>
        <v>17.757908083959137</v>
      </c>
    </row>
    <row r="50" spans="3:46" ht="11.25" customHeight="1">
      <c r="C50" s="44"/>
      <c r="E50" s="28"/>
      <c r="F50" s="28"/>
      <c r="G50" s="28"/>
      <c r="H50" s="28"/>
      <c r="I50" s="28"/>
      <c r="J50" s="28"/>
      <c r="K50" s="28"/>
      <c r="L50" s="28"/>
      <c r="M50" s="28"/>
      <c r="N50" s="28"/>
      <c r="O50" s="28"/>
      <c r="P50" s="28"/>
      <c r="AH50" s="28"/>
      <c r="AI50" s="28"/>
      <c r="AJ50" s="28"/>
      <c r="AK50" s="28"/>
      <c r="AL50" s="28"/>
    </row>
    <row r="51" spans="3:46" ht="11.25" customHeight="1">
      <c r="C51" s="25" t="s">
        <v>151</v>
      </c>
      <c r="E51" s="28"/>
      <c r="F51" s="28"/>
      <c r="G51" s="28"/>
      <c r="H51" s="28"/>
      <c r="I51" s="28"/>
      <c r="J51" s="28"/>
      <c r="K51" s="28"/>
      <c r="L51" s="28"/>
      <c r="M51" s="28"/>
      <c r="N51" s="28"/>
      <c r="O51" s="28"/>
      <c r="P51" s="28"/>
      <c r="AH51" s="28"/>
      <c r="AI51" s="28"/>
      <c r="AJ51" s="28"/>
      <c r="AK51" s="28"/>
      <c r="AL51" s="28"/>
    </row>
    <row r="52" spans="3:46" ht="11.25" customHeight="1">
      <c r="C52" s="43" t="s">
        <v>49</v>
      </c>
      <c r="E52" s="59"/>
      <c r="F52" s="59"/>
      <c r="G52" s="59"/>
      <c r="H52" s="59"/>
      <c r="I52" s="59"/>
      <c r="J52" s="59"/>
      <c r="K52" s="59"/>
      <c r="L52" s="59"/>
      <c r="M52" s="59"/>
      <c r="N52" s="59"/>
      <c r="O52" s="59"/>
      <c r="P52" s="59"/>
      <c r="AH52" s="29">
        <v>4</v>
      </c>
      <c r="AI52" s="29">
        <v>0</v>
      </c>
      <c r="AJ52" s="29">
        <v>3</v>
      </c>
      <c r="AK52" s="29">
        <v>12</v>
      </c>
      <c r="AL52" s="29">
        <v>2</v>
      </c>
      <c r="AM52" s="29">
        <v>13</v>
      </c>
      <c r="AN52" s="29">
        <v>0</v>
      </c>
      <c r="AO52" s="29">
        <v>41</v>
      </c>
      <c r="AP52" s="29">
        <v>0</v>
      </c>
    </row>
    <row r="53" spans="3:46" ht="11.25" customHeight="1">
      <c r="C53" s="43" t="s">
        <v>51</v>
      </c>
      <c r="E53" s="59"/>
      <c r="F53" s="59"/>
      <c r="G53" s="59"/>
      <c r="H53" s="59"/>
      <c r="I53" s="59"/>
      <c r="J53" s="59"/>
      <c r="K53" s="59"/>
      <c r="L53" s="59"/>
      <c r="M53" s="59"/>
      <c r="N53" s="59"/>
      <c r="O53" s="59"/>
      <c r="P53" s="59"/>
      <c r="AH53" s="29">
        <v>-2</v>
      </c>
      <c r="AI53" s="29">
        <v>-3</v>
      </c>
      <c r="AJ53" s="29">
        <v>-7</v>
      </c>
      <c r="AK53" s="29">
        <v>-3</v>
      </c>
      <c r="AL53" s="29">
        <v>-4</v>
      </c>
      <c r="AM53" s="29">
        <v>-3</v>
      </c>
      <c r="AN53" s="29">
        <v>-3</v>
      </c>
      <c r="AO53" s="29">
        <v>-3</v>
      </c>
      <c r="AP53" s="29">
        <v>-13</v>
      </c>
    </row>
    <row r="54" spans="3:46" ht="11.25" customHeight="1">
      <c r="C54" s="43" t="s">
        <v>56</v>
      </c>
      <c r="E54" s="59"/>
      <c r="F54" s="59"/>
      <c r="G54" s="59"/>
      <c r="H54" s="59"/>
      <c r="I54" s="59"/>
      <c r="J54" s="59"/>
      <c r="K54" s="59"/>
      <c r="L54" s="59"/>
      <c r="M54" s="59"/>
      <c r="N54" s="59"/>
      <c r="O54" s="59"/>
      <c r="P54" s="59"/>
      <c r="AH54" s="29">
        <v>-390</v>
      </c>
      <c r="AI54" s="29">
        <v>-372</v>
      </c>
      <c r="AJ54" s="29">
        <v>-178</v>
      </c>
      <c r="AK54" s="29">
        <v>-109</v>
      </c>
      <c r="AL54" s="29">
        <v>-137</v>
      </c>
      <c r="AM54" s="29">
        <v>-158</v>
      </c>
      <c r="AN54" s="29">
        <v>-249</v>
      </c>
      <c r="AO54" s="29">
        <v>-53</v>
      </c>
      <c r="AP54" s="29">
        <v>-53</v>
      </c>
    </row>
    <row r="55" spans="3:46" s="27" customFormat="1" ht="11.25" customHeight="1">
      <c r="C55" s="45" t="s">
        <v>150</v>
      </c>
      <c r="E55" s="59"/>
      <c r="F55" s="59"/>
      <c r="G55" s="59"/>
      <c r="H55" s="59"/>
      <c r="I55" s="59"/>
      <c r="J55" s="59"/>
      <c r="K55" s="59"/>
      <c r="L55" s="59"/>
      <c r="M55" s="59"/>
      <c r="N55" s="59"/>
      <c r="O55" s="59"/>
      <c r="P55" s="59"/>
      <c r="AH55" s="35">
        <f t="shared" ref="AH55:AM55" si="25">+SUM(AH52:AH54)</f>
        <v>-388</v>
      </c>
      <c r="AI55" s="35">
        <f t="shared" si="25"/>
        <v>-375</v>
      </c>
      <c r="AJ55" s="35">
        <f t="shared" si="25"/>
        <v>-182</v>
      </c>
      <c r="AK55" s="35">
        <f t="shared" si="25"/>
        <v>-100</v>
      </c>
      <c r="AL55" s="35">
        <f t="shared" si="25"/>
        <v>-139</v>
      </c>
      <c r="AM55" s="35">
        <f t="shared" si="25"/>
        <v>-148</v>
      </c>
      <c r="AN55" s="35">
        <f t="shared" ref="AN55" si="26">+SUM(AN52:AN54)</f>
        <v>-252</v>
      </c>
      <c r="AO55" s="35">
        <f t="shared" ref="AO55:AP55" si="27">+SUM(AO52:AO54)</f>
        <v>-15</v>
      </c>
      <c r="AP55" s="35">
        <f t="shared" si="27"/>
        <v>-66</v>
      </c>
    </row>
    <row r="56" spans="3:46" s="41" customFormat="1" ht="11.25" customHeight="1">
      <c r="C56" s="55" t="s">
        <v>68</v>
      </c>
      <c r="E56" s="42"/>
      <c r="F56" s="42"/>
      <c r="G56" s="42"/>
      <c r="H56" s="42"/>
      <c r="I56" s="42"/>
      <c r="J56" s="42"/>
      <c r="K56" s="42"/>
      <c r="L56" s="42"/>
      <c r="M56" s="42"/>
      <c r="N56" s="42"/>
      <c r="O56" s="42"/>
      <c r="P56" s="42"/>
      <c r="AH56" s="42">
        <f t="shared" ref="AH56:AM56" si="28">+AH55-AH49</f>
        <v>0</v>
      </c>
      <c r="AI56" s="42">
        <f t="shared" si="28"/>
        <v>0</v>
      </c>
      <c r="AJ56" s="42">
        <f t="shared" si="28"/>
        <v>0</v>
      </c>
      <c r="AK56" s="42">
        <f t="shared" si="28"/>
        <v>0</v>
      </c>
      <c r="AL56" s="42">
        <f t="shared" si="28"/>
        <v>0</v>
      </c>
      <c r="AM56" s="42">
        <f t="shared" si="28"/>
        <v>0</v>
      </c>
      <c r="AN56" s="42">
        <f t="shared" ref="AN56" si="29">+AN55-AN49</f>
        <v>0</v>
      </c>
      <c r="AO56" s="42">
        <f t="shared" ref="AO56:AP56" si="30">+AO55-AO49</f>
        <v>0</v>
      </c>
      <c r="AP56" s="42">
        <f t="shared" si="30"/>
        <v>0</v>
      </c>
    </row>
    <row r="57" spans="3:46" s="56" customFormat="1" ht="11.25" customHeight="1">
      <c r="C57" s="57"/>
      <c r="E57" s="33"/>
      <c r="F57" s="33"/>
      <c r="G57" s="33"/>
      <c r="H57" s="33"/>
      <c r="I57" s="33"/>
      <c r="J57" s="33"/>
      <c r="K57" s="33"/>
      <c r="L57" s="33"/>
      <c r="M57" s="33"/>
      <c r="N57" s="33"/>
      <c r="O57" s="33"/>
      <c r="P57" s="33"/>
      <c r="AH57" s="33"/>
      <c r="AI57" s="33"/>
      <c r="AJ57" s="33"/>
      <c r="AK57" s="33"/>
      <c r="AL57" s="33"/>
    </row>
    <row r="58" spans="3:46" s="56" customFormat="1" ht="11.25" customHeight="1">
      <c r="C58" s="58" t="s">
        <v>152</v>
      </c>
      <c r="E58" s="59"/>
      <c r="F58" s="59"/>
      <c r="G58" s="59"/>
      <c r="H58" s="59"/>
      <c r="I58" s="59"/>
      <c r="J58" s="59"/>
      <c r="K58" s="59"/>
      <c r="L58" s="59"/>
      <c r="M58" s="59"/>
      <c r="N58" s="59"/>
      <c r="O58" s="59"/>
      <c r="P58" s="59"/>
      <c r="AH58" s="29">
        <v>1973</v>
      </c>
      <c r="AI58" s="29">
        <v>2262</v>
      </c>
      <c r="AJ58" s="29">
        <v>1865</v>
      </c>
      <c r="AK58" s="29">
        <v>1709</v>
      </c>
      <c r="AL58" s="29">
        <v>1726</v>
      </c>
      <c r="AM58" s="29">
        <v>1673</v>
      </c>
      <c r="AN58" s="29">
        <v>2050</v>
      </c>
      <c r="AO58" s="29">
        <v>175</v>
      </c>
      <c r="AP58" s="29">
        <v>1471</v>
      </c>
    </row>
    <row r="59" spans="3:46" s="56" customFormat="1" ht="11.25" customHeight="1">
      <c r="C59" s="58" t="s">
        <v>153</v>
      </c>
      <c r="E59" s="59"/>
      <c r="F59" s="59"/>
      <c r="G59" s="59"/>
      <c r="H59" s="59"/>
      <c r="I59" s="59"/>
      <c r="J59" s="59"/>
      <c r="K59" s="59"/>
      <c r="L59" s="59"/>
      <c r="M59" s="59"/>
      <c r="N59" s="59"/>
      <c r="O59" s="59"/>
      <c r="P59" s="59"/>
      <c r="AH59" s="29">
        <v>1581</v>
      </c>
      <c r="AI59" s="29">
        <v>1887</v>
      </c>
      <c r="AJ59" s="29">
        <v>1680</v>
      </c>
      <c r="AK59" s="29">
        <v>1597</v>
      </c>
      <c r="AL59" s="29">
        <v>1585</v>
      </c>
      <c r="AM59" s="29">
        <v>1512</v>
      </c>
      <c r="AN59" s="29">
        <v>1798</v>
      </c>
      <c r="AO59" s="29">
        <v>119</v>
      </c>
      <c r="AP59" s="29">
        <v>1405</v>
      </c>
    </row>
    <row r="60" spans="3:46" s="56" customFormat="1" ht="11.25" customHeight="1">
      <c r="C60" s="58"/>
      <c r="E60" s="28"/>
      <c r="F60" s="28"/>
      <c r="G60" s="28"/>
      <c r="H60" s="28"/>
      <c r="I60" s="28"/>
      <c r="J60" s="28"/>
      <c r="K60" s="28"/>
      <c r="L60" s="28"/>
      <c r="M60" s="28"/>
      <c r="N60" s="28"/>
      <c r="O60" s="28"/>
      <c r="P60" s="28"/>
      <c r="AH60" s="29"/>
      <c r="AI60" s="29"/>
      <c r="AJ60" s="29"/>
      <c r="AK60" s="29"/>
      <c r="AL60" s="29"/>
    </row>
    <row r="61" spans="3:46" s="56" customFormat="1" ht="11.25" customHeight="1">
      <c r="C61" s="58" t="s">
        <v>183</v>
      </c>
      <c r="E61" s="28"/>
      <c r="F61" s="28"/>
      <c r="G61" s="28"/>
      <c r="H61" s="28"/>
      <c r="I61" s="28"/>
      <c r="J61" s="28"/>
      <c r="K61" s="28"/>
      <c r="L61" s="28"/>
      <c r="M61" s="28"/>
      <c r="N61" s="28"/>
      <c r="O61" s="28"/>
      <c r="P61" s="28"/>
      <c r="AH61" s="29"/>
      <c r="AI61" s="29"/>
      <c r="AJ61" s="29"/>
      <c r="AK61" s="29"/>
      <c r="AL61" s="29"/>
    </row>
    <row r="62" spans="3:46" s="56" customFormat="1" ht="11.25" customHeight="1">
      <c r="C62" s="64" t="s">
        <v>181</v>
      </c>
      <c r="E62" s="59"/>
      <c r="F62" s="59"/>
      <c r="G62" s="59"/>
      <c r="H62" s="59"/>
      <c r="I62" s="59"/>
      <c r="J62" s="59"/>
      <c r="K62" s="59"/>
      <c r="L62" s="59"/>
      <c r="M62" s="59"/>
      <c r="N62" s="59"/>
      <c r="O62" s="59"/>
      <c r="P62" s="59"/>
      <c r="AH62" s="65">
        <v>3.7999999999999999E-2</v>
      </c>
      <c r="AI62" s="65">
        <v>4.1300000000000003E-2</v>
      </c>
      <c r="AJ62" s="65">
        <v>3.8899999999999997E-2</v>
      </c>
      <c r="AK62" s="65">
        <v>3.5700000000000003E-2</v>
      </c>
      <c r="AL62" s="65">
        <v>4.2900000000000001E-2</v>
      </c>
      <c r="AM62" s="65">
        <v>3.2500000000000001E-2</v>
      </c>
      <c r="AN62" s="65">
        <v>2.4799999999999999E-2</v>
      </c>
      <c r="AO62" s="65">
        <v>2.8799999999999999E-2</v>
      </c>
      <c r="AP62" s="65">
        <v>5.5800000000000002E-2</v>
      </c>
    </row>
    <row r="63" spans="3:46" s="56" customFormat="1" ht="11.25" customHeight="1">
      <c r="C63" s="64" t="s">
        <v>182</v>
      </c>
      <c r="E63" s="59"/>
      <c r="F63" s="59"/>
      <c r="G63" s="59"/>
      <c r="H63" s="59"/>
      <c r="I63" s="59"/>
      <c r="J63" s="59"/>
      <c r="K63" s="59"/>
      <c r="L63" s="59"/>
      <c r="M63" s="59"/>
      <c r="N63" s="59"/>
      <c r="O63" s="59"/>
      <c r="P63" s="59"/>
      <c r="AH63" s="65">
        <v>3.5000000000000003E-2</v>
      </c>
      <c r="AI63" s="65">
        <v>3.5000000000000003E-2</v>
      </c>
      <c r="AJ63" s="65">
        <v>3.2500000000000001E-2</v>
      </c>
      <c r="AK63" s="65">
        <v>3.2500000000000001E-2</v>
      </c>
      <c r="AL63" s="65">
        <v>3.2500000000000001E-2</v>
      </c>
      <c r="AM63" s="65">
        <v>3.2500000000000001E-2</v>
      </c>
      <c r="AN63" s="65">
        <v>2.75E-2</v>
      </c>
      <c r="AO63" s="65">
        <v>0.03</v>
      </c>
      <c r="AP63" s="65">
        <v>0.03</v>
      </c>
      <c r="AQ63" s="657">
        <f>+AP63</f>
        <v>0.03</v>
      </c>
      <c r="AR63" s="657">
        <f>+AQ63</f>
        <v>0.03</v>
      </c>
      <c r="AS63" s="657">
        <f>+AR63</f>
        <v>0.03</v>
      </c>
      <c r="AT63" s="657">
        <f>+AS63</f>
        <v>0.03</v>
      </c>
    </row>
    <row r="64" spans="3:46" s="56" customFormat="1" ht="11.25" customHeight="1">
      <c r="C64" s="58"/>
      <c r="E64" s="28"/>
      <c r="F64" s="28"/>
      <c r="G64" s="28"/>
      <c r="H64" s="28"/>
      <c r="I64" s="28"/>
      <c r="J64" s="28"/>
      <c r="K64" s="28"/>
      <c r="L64" s="28"/>
      <c r="M64" s="28"/>
      <c r="N64" s="28"/>
      <c r="O64" s="28"/>
      <c r="P64" s="28"/>
      <c r="AH64" s="29"/>
      <c r="AI64" s="29"/>
      <c r="AJ64" s="29"/>
      <c r="AK64" s="29"/>
      <c r="AL64" s="29"/>
    </row>
    <row r="65" spans="3:46" s="56" customFormat="1" ht="11.25" customHeight="1">
      <c r="C65" s="58" t="s">
        <v>184</v>
      </c>
      <c r="E65" s="28"/>
      <c r="F65" s="28"/>
      <c r="G65" s="28"/>
      <c r="H65" s="28"/>
      <c r="I65" s="28"/>
      <c r="J65" s="28"/>
      <c r="K65" s="28"/>
      <c r="L65" s="28"/>
      <c r="M65" s="28"/>
      <c r="N65" s="28"/>
      <c r="O65" s="28"/>
      <c r="P65" s="28"/>
      <c r="AH65" s="29"/>
      <c r="AI65" s="29"/>
      <c r="AJ65" s="29"/>
      <c r="AK65" s="29"/>
      <c r="AL65" s="29"/>
    </row>
    <row r="66" spans="3:46" s="56" customFormat="1" ht="11.25" customHeight="1">
      <c r="C66" s="64" t="s">
        <v>187</v>
      </c>
      <c r="E66" s="59"/>
      <c r="F66" s="59"/>
      <c r="G66" s="59"/>
      <c r="H66" s="59"/>
      <c r="I66" s="59"/>
      <c r="J66" s="59"/>
      <c r="K66" s="59"/>
      <c r="L66" s="59"/>
      <c r="M66" s="59"/>
      <c r="N66" s="59"/>
      <c r="O66" s="59"/>
      <c r="P66" s="59"/>
      <c r="AH66" s="65">
        <v>4.5900000000000003E-2</v>
      </c>
      <c r="AI66" s="65">
        <v>3.7999999999999999E-2</v>
      </c>
      <c r="AJ66" s="65">
        <v>4.1300000000000003E-2</v>
      </c>
      <c r="AK66" s="65">
        <v>3.8899999999999997E-2</v>
      </c>
      <c r="AL66" s="65">
        <v>3.5700000000000003E-2</v>
      </c>
      <c r="AM66" s="65">
        <v>4.2900000000000001E-2</v>
      </c>
      <c r="AN66" s="65">
        <v>3.2500000000000001E-2</v>
      </c>
      <c r="AO66" s="65">
        <v>2.4799999999999999E-2</v>
      </c>
      <c r="AP66" s="65">
        <v>2.8799999999999999E-2</v>
      </c>
    </row>
    <row r="67" spans="3:46" s="56" customFormat="1" ht="11.25" customHeight="1">
      <c r="C67" s="64" t="s">
        <v>185</v>
      </c>
      <c r="E67" s="59"/>
      <c r="F67" s="59"/>
      <c r="G67" s="59"/>
      <c r="H67" s="59"/>
      <c r="I67" s="59"/>
      <c r="J67" s="59"/>
      <c r="K67" s="59"/>
      <c r="L67" s="59"/>
      <c r="M67" s="59"/>
      <c r="N67" s="59"/>
      <c r="O67" s="59"/>
      <c r="P67" s="59"/>
      <c r="AH67" s="65">
        <v>4.5900000000000003E-2</v>
      </c>
      <c r="AI67" s="65">
        <v>3.7999999999999999E-2</v>
      </c>
      <c r="AJ67" s="65">
        <v>4.1300000000000003E-2</v>
      </c>
      <c r="AK67" s="65">
        <v>3.8899999999999997E-2</v>
      </c>
      <c r="AL67" s="65">
        <v>3.6400000000000002E-2</v>
      </c>
      <c r="AM67" s="65">
        <v>4.3200000000000002E-2</v>
      </c>
      <c r="AN67" s="65">
        <v>3.3099999999999997E-2</v>
      </c>
      <c r="AO67" s="65">
        <v>2.5700000000000001E-2</v>
      </c>
      <c r="AP67" s="65">
        <v>2.9499999999999998E-2</v>
      </c>
    </row>
    <row r="68" spans="3:46" s="56" customFormat="1" ht="11.25" customHeight="1">
      <c r="C68" s="64" t="s">
        <v>186</v>
      </c>
      <c r="E68" s="59"/>
      <c r="F68" s="59"/>
      <c r="G68" s="59"/>
      <c r="H68" s="59"/>
      <c r="I68" s="59"/>
      <c r="J68" s="59"/>
      <c r="K68" s="59"/>
      <c r="L68" s="59"/>
      <c r="M68" s="59"/>
      <c r="N68" s="59"/>
      <c r="O68" s="59"/>
      <c r="P68" s="59"/>
      <c r="AH68" s="65">
        <v>4.5900000000000003E-2</v>
      </c>
      <c r="AI68" s="65">
        <v>3.7999999999999999E-2</v>
      </c>
      <c r="AJ68" s="65">
        <v>3.3300000000000003E-2</v>
      </c>
      <c r="AK68" s="65">
        <v>3.2399999999999998E-2</v>
      </c>
      <c r="AL68" s="65">
        <v>3.1800000000000002E-2</v>
      </c>
      <c r="AM68" s="65">
        <v>3.9600000000000003E-2</v>
      </c>
      <c r="AN68" s="65">
        <v>2.8299999999999999E-2</v>
      </c>
      <c r="AO68" s="65">
        <v>1.7899999999999999E-2</v>
      </c>
      <c r="AP68" s="65">
        <v>2.46E-2</v>
      </c>
      <c r="AQ68" s="657">
        <v>3.3000000000000002E-2</v>
      </c>
      <c r="AR68" s="657">
        <v>3.3000000000000002E-2</v>
      </c>
      <c r="AS68" s="657">
        <v>3.3000000000000002E-2</v>
      </c>
      <c r="AT68" s="657">
        <v>3.3000000000000002E-2</v>
      </c>
    </row>
    <row r="69" spans="3:46" s="56" customFormat="1" ht="11.25" customHeight="1">
      <c r="C69" s="64" t="s">
        <v>126</v>
      </c>
      <c r="E69" s="59"/>
      <c r="F69" s="59"/>
      <c r="G69" s="59"/>
      <c r="H69" s="59"/>
      <c r="I69" s="59"/>
      <c r="J69" s="59"/>
      <c r="K69" s="59"/>
      <c r="L69" s="59"/>
      <c r="M69" s="59"/>
      <c r="N69" s="59"/>
      <c r="O69" s="59"/>
      <c r="P69" s="59"/>
      <c r="AH69" s="65">
        <v>7.8299999999999995E-2</v>
      </c>
      <c r="AI69" s="65">
        <v>7.7799999999999994E-2</v>
      </c>
      <c r="AJ69" s="65">
        <v>7.5999999999999998E-2</v>
      </c>
      <c r="AK69" s="65">
        <v>7.4899999999999994E-2</v>
      </c>
      <c r="AL69" s="65">
        <v>7.4800000000000005E-2</v>
      </c>
      <c r="AM69" s="65">
        <v>7.4300000000000005E-2</v>
      </c>
      <c r="AN69" s="65">
        <v>7.3700000000000002E-2</v>
      </c>
      <c r="AO69" s="65">
        <v>7.2900000000000006E-2</v>
      </c>
      <c r="AP69" s="65">
        <v>7.0699999999999999E-2</v>
      </c>
      <c r="AQ69" s="657">
        <v>7.0000000000000007E-2</v>
      </c>
      <c r="AR69" s="657">
        <v>7.0000000000000007E-2</v>
      </c>
      <c r="AS69" s="657">
        <v>7.0000000000000007E-2</v>
      </c>
      <c r="AT69" s="657">
        <v>7.0000000000000007E-2</v>
      </c>
    </row>
    <row r="70" spans="3:46" s="56" customFormat="1" ht="11.25" customHeight="1">
      <c r="C70" s="64" t="s">
        <v>1071</v>
      </c>
      <c r="E70" s="59"/>
      <c r="F70" s="59"/>
      <c r="G70" s="59"/>
      <c r="H70" s="59"/>
      <c r="I70" s="59"/>
      <c r="J70" s="59"/>
      <c r="K70" s="59"/>
      <c r="L70" s="59"/>
      <c r="M70" s="59"/>
      <c r="N70" s="59"/>
      <c r="O70" s="59"/>
      <c r="P70" s="59"/>
      <c r="AH70" s="659">
        <f t="shared" ref="AH70:AM70" si="31">+AH38/AH37</f>
        <v>8.0021197668256494E-2</v>
      </c>
      <c r="AI70" s="659">
        <f t="shared" si="31"/>
        <v>-1.1686991869918699E-2</v>
      </c>
      <c r="AJ70" s="659">
        <f t="shared" si="31"/>
        <v>7.5251722310545846E-2</v>
      </c>
      <c r="AK70" s="659">
        <f t="shared" si="31"/>
        <v>0.1383358856559469</v>
      </c>
      <c r="AL70" s="659">
        <f t="shared" si="31"/>
        <v>-2.969814995131451E-2</v>
      </c>
      <c r="AM70" s="659">
        <f t="shared" si="31"/>
        <v>0.15879120879120878</v>
      </c>
      <c r="AN70" s="659">
        <f t="shared" ref="AN70:AS70" si="32">+AN69</f>
        <v>7.3700000000000002E-2</v>
      </c>
      <c r="AO70" s="659">
        <f t="shared" si="32"/>
        <v>7.2900000000000006E-2</v>
      </c>
      <c r="AP70" s="659">
        <f t="shared" si="32"/>
        <v>7.0699999999999999E-2</v>
      </c>
      <c r="AQ70" s="659">
        <f t="shared" si="32"/>
        <v>7.0000000000000007E-2</v>
      </c>
      <c r="AR70" s="659">
        <f t="shared" si="32"/>
        <v>7.0000000000000007E-2</v>
      </c>
      <c r="AS70" s="659">
        <f t="shared" si="32"/>
        <v>7.0000000000000007E-2</v>
      </c>
      <c r="AT70" s="659">
        <f t="shared" ref="AT70" si="33">+AT69</f>
        <v>7.0000000000000007E-2</v>
      </c>
    </row>
    <row r="71" spans="3:46" s="56" customFormat="1" ht="11.25" customHeight="1">
      <c r="C71" s="64" t="s">
        <v>182</v>
      </c>
      <c r="E71" s="59"/>
      <c r="F71" s="59"/>
      <c r="G71" s="59"/>
      <c r="H71" s="59"/>
      <c r="I71" s="59"/>
      <c r="J71" s="59"/>
      <c r="K71" s="59"/>
      <c r="L71" s="59"/>
      <c r="M71" s="59"/>
      <c r="N71" s="59"/>
      <c r="O71" s="59"/>
      <c r="P71" s="59"/>
      <c r="AH71" s="65">
        <v>3.5000000000000003E-2</v>
      </c>
      <c r="AI71" s="65">
        <v>3.5000000000000003E-2</v>
      </c>
      <c r="AJ71" s="65">
        <v>3.5000000000000003E-2</v>
      </c>
      <c r="AK71" s="65">
        <v>3.2500000000000001E-2</v>
      </c>
      <c r="AL71" s="65">
        <v>3.2500000000000001E-2</v>
      </c>
      <c r="AM71" s="65">
        <v>3.2500000000000001E-2</v>
      </c>
      <c r="AN71" s="65">
        <v>3.2500000000000001E-2</v>
      </c>
      <c r="AO71" s="65">
        <v>2.75E-2</v>
      </c>
      <c r="AP71" s="65">
        <v>0.03</v>
      </c>
      <c r="AQ71" s="657">
        <f>+AP71</f>
        <v>0.03</v>
      </c>
      <c r="AR71" s="657">
        <f>+AQ71</f>
        <v>0.03</v>
      </c>
      <c r="AS71" s="657">
        <f>+AR71</f>
        <v>0.03</v>
      </c>
      <c r="AT71" s="657">
        <f>+AS71</f>
        <v>0.03</v>
      </c>
    </row>
    <row r="72" spans="3:46" s="56" customFormat="1" ht="11.25" customHeight="1"/>
    <row r="73" spans="3:46" s="5" customFormat="1" ht="10.5">
      <c r="C73" s="49" t="s">
        <v>131</v>
      </c>
      <c r="D73" s="21"/>
      <c r="E73" s="22"/>
      <c r="F73" s="22"/>
      <c r="G73" s="22"/>
      <c r="H73" s="22"/>
      <c r="I73" s="22"/>
      <c r="J73" s="22"/>
      <c r="K73" s="22"/>
      <c r="L73" s="22"/>
      <c r="M73" s="22"/>
      <c r="N73" s="22"/>
      <c r="AM73" s="23"/>
      <c r="AN73" s="23"/>
      <c r="AO73" s="23"/>
      <c r="AP73" s="23"/>
      <c r="AQ73" s="23"/>
      <c r="AR73" s="23"/>
      <c r="AS73" s="23"/>
      <c r="AT73" s="23"/>
    </row>
    <row r="74" spans="3:46" s="5" customFormat="1" ht="10.5">
      <c r="C74" s="50" t="s">
        <v>130</v>
      </c>
      <c r="D74" s="21"/>
      <c r="E74" s="52">
        <v>3</v>
      </c>
      <c r="F74" s="52">
        <v>3</v>
      </c>
      <c r="G74" s="52">
        <v>3</v>
      </c>
      <c r="H74" s="54">
        <f>+AJ74-SUM(E74:G74)</f>
        <v>3</v>
      </c>
      <c r="I74" s="52">
        <v>3</v>
      </c>
      <c r="J74" s="52">
        <v>4</v>
      </c>
      <c r="K74" s="52">
        <v>3</v>
      </c>
      <c r="L74" s="54">
        <f>+AK74-SUM(I74:K74)</f>
        <v>3</v>
      </c>
      <c r="M74" s="52">
        <v>4</v>
      </c>
      <c r="N74" s="52">
        <v>4</v>
      </c>
      <c r="O74" s="52">
        <v>3</v>
      </c>
      <c r="P74" s="54">
        <f>+AL74-SUM(M74:O74)</f>
        <v>3</v>
      </c>
      <c r="Q74" s="52">
        <v>3</v>
      </c>
      <c r="R74" s="52">
        <v>4</v>
      </c>
      <c r="S74" s="52">
        <v>4</v>
      </c>
      <c r="T74" s="54">
        <f>+AM74-SUM(M74:O74)</f>
        <v>3</v>
      </c>
      <c r="U74" s="52">
        <v>5</v>
      </c>
      <c r="V74" s="52">
        <v>4</v>
      </c>
      <c r="W74" s="52">
        <v>5</v>
      </c>
      <c r="X74" s="54">
        <f>AN74-SUM(U74:W74)</f>
        <v>3</v>
      </c>
      <c r="Y74" s="52">
        <v>7</v>
      </c>
      <c r="Z74" s="52">
        <v>5</v>
      </c>
      <c r="AA74" s="52">
        <v>5</v>
      </c>
      <c r="AB74" s="54">
        <f>AO74-SUM(Y74:AA74)</f>
        <v>2</v>
      </c>
      <c r="AC74" s="52">
        <v>6</v>
      </c>
      <c r="AD74" s="658"/>
      <c r="AE74" s="658"/>
      <c r="AF74" s="658"/>
      <c r="AH74" s="52">
        <v>14</v>
      </c>
      <c r="AI74" s="52">
        <v>15</v>
      </c>
      <c r="AJ74" s="52">
        <v>12</v>
      </c>
      <c r="AK74" s="52">
        <v>13</v>
      </c>
      <c r="AL74" s="52">
        <v>14</v>
      </c>
      <c r="AM74" s="52">
        <v>14</v>
      </c>
      <c r="AN74" s="29">
        <v>17</v>
      </c>
      <c r="AO74" s="29">
        <v>19</v>
      </c>
      <c r="AP74" s="29">
        <v>11</v>
      </c>
      <c r="AQ74" s="28">
        <f>+AP74*(1+AQ134)</f>
        <v>11.33</v>
      </c>
      <c r="AR74" s="28">
        <f>+AQ74*(1+AR134)</f>
        <v>11.6699</v>
      </c>
      <c r="AS74" s="28">
        <f>+AR74*(1+AS134)</f>
        <v>12.019997</v>
      </c>
      <c r="AT74" s="28">
        <f>+AS74*(1+AT134)</f>
        <v>12.38059691</v>
      </c>
    </row>
    <row r="75" spans="3:46" s="5" customFormat="1" ht="10.5">
      <c r="C75" s="50" t="s">
        <v>125</v>
      </c>
      <c r="E75" s="52">
        <v>6</v>
      </c>
      <c r="F75" s="52">
        <v>6</v>
      </c>
      <c r="G75" s="52">
        <v>5</v>
      </c>
      <c r="H75" s="54">
        <f>+AJ75-SUM(E75:G75)</f>
        <v>6</v>
      </c>
      <c r="I75" s="52">
        <v>5</v>
      </c>
      <c r="J75" s="52">
        <v>4</v>
      </c>
      <c r="K75" s="52">
        <v>5</v>
      </c>
      <c r="L75" s="54">
        <f>+AK75-SUM(I75:K75)</f>
        <v>6</v>
      </c>
      <c r="M75" s="52">
        <v>5</v>
      </c>
      <c r="N75" s="52">
        <v>5</v>
      </c>
      <c r="O75" s="52">
        <v>5</v>
      </c>
      <c r="P75" s="54">
        <f>+AL75-SUM(M75:O75)</f>
        <v>5</v>
      </c>
      <c r="Q75" s="52">
        <v>5</v>
      </c>
      <c r="R75" s="52">
        <v>5</v>
      </c>
      <c r="S75" s="52">
        <v>5</v>
      </c>
      <c r="T75" s="54">
        <f>+AM75-SUM(M75:O75)</f>
        <v>5</v>
      </c>
      <c r="U75" s="52">
        <v>4</v>
      </c>
      <c r="V75" s="52">
        <v>3</v>
      </c>
      <c r="W75" s="52">
        <v>4</v>
      </c>
      <c r="X75" s="54">
        <f>AN75-SUM(U75:W75)</f>
        <v>4</v>
      </c>
      <c r="Y75" s="52">
        <v>9</v>
      </c>
      <c r="Z75" s="52">
        <v>3</v>
      </c>
      <c r="AA75" s="52">
        <v>3</v>
      </c>
      <c r="AB75" s="54">
        <f>AO75-SUM(Y75:AA75)</f>
        <v>-3</v>
      </c>
      <c r="AC75" s="52">
        <v>11</v>
      </c>
      <c r="AD75" s="658"/>
      <c r="AE75" s="658"/>
      <c r="AF75" s="658"/>
      <c r="AH75" s="52">
        <v>31</v>
      </c>
      <c r="AI75" s="52">
        <v>26</v>
      </c>
      <c r="AJ75" s="52">
        <v>23</v>
      </c>
      <c r="AK75" s="52">
        <v>20</v>
      </c>
      <c r="AL75" s="52">
        <v>20</v>
      </c>
      <c r="AM75" s="52">
        <v>20</v>
      </c>
      <c r="AN75" s="29">
        <v>15</v>
      </c>
      <c r="AO75" s="29">
        <v>12</v>
      </c>
      <c r="AP75" s="29">
        <v>14</v>
      </c>
      <c r="AQ75" s="28">
        <f>+AQ85*AQ131</f>
        <v>9.4513999999999996</v>
      </c>
      <c r="AR75" s="28">
        <f>+AR85*AR131</f>
        <v>9.3537679800000006</v>
      </c>
      <c r="AS75" s="28">
        <f>+AS85*AS131</f>
        <v>9.2599395672860005</v>
      </c>
      <c r="AT75" s="28">
        <f>+AT85*AT131</f>
        <v>9.1701345713923903</v>
      </c>
    </row>
    <row r="76" spans="3:46" s="5" customFormat="1" ht="10.5">
      <c r="C76" s="50" t="s">
        <v>126</v>
      </c>
      <c r="E76" s="52">
        <v>-8</v>
      </c>
      <c r="F76" s="52">
        <v>-8</v>
      </c>
      <c r="G76" s="52">
        <v>-7</v>
      </c>
      <c r="H76" s="54">
        <f>+AJ76-SUM(E76:G76)</f>
        <v>-9</v>
      </c>
      <c r="I76" s="52">
        <v>-8</v>
      </c>
      <c r="J76" s="52">
        <v>-9</v>
      </c>
      <c r="K76" s="52">
        <v>-8</v>
      </c>
      <c r="L76" s="54">
        <f>+AK76-SUM(I76:K76)</f>
        <v>-10</v>
      </c>
      <c r="M76" s="52">
        <v>-9</v>
      </c>
      <c r="N76" s="52">
        <v>-10</v>
      </c>
      <c r="O76" s="52">
        <v>-9</v>
      </c>
      <c r="P76" s="54">
        <f>+AL76-SUM(M76:O76)</f>
        <v>-9</v>
      </c>
      <c r="Q76" s="52">
        <v>-8</v>
      </c>
      <c r="R76" s="52">
        <v>-8</v>
      </c>
      <c r="S76" s="52">
        <v>-8</v>
      </c>
      <c r="T76" s="54">
        <f>+AM76-SUM(M76:O76)</f>
        <v>-4</v>
      </c>
      <c r="U76" s="52">
        <v>-9</v>
      </c>
      <c r="V76" s="52">
        <v>-8</v>
      </c>
      <c r="W76" s="52">
        <v>-9</v>
      </c>
      <c r="X76" s="54">
        <f>AN76-SUM(U76:W76)</f>
        <v>-8</v>
      </c>
      <c r="Y76" s="52">
        <v>-32</v>
      </c>
      <c r="Z76" s="52">
        <v>-10</v>
      </c>
      <c r="AA76" s="52">
        <v>-9</v>
      </c>
      <c r="AB76" s="54">
        <f>AO76-SUM(Y76:AA76)</f>
        <v>14</v>
      </c>
      <c r="AC76" s="52">
        <v>-32</v>
      </c>
      <c r="AD76" s="658"/>
      <c r="AE76" s="658"/>
      <c r="AF76" s="658"/>
      <c r="AH76" s="52">
        <v>-38</v>
      </c>
      <c r="AI76" s="52">
        <v>-37</v>
      </c>
      <c r="AJ76" s="52">
        <v>-32</v>
      </c>
      <c r="AK76" s="52">
        <v>-35</v>
      </c>
      <c r="AL76" s="52">
        <v>-37</v>
      </c>
      <c r="AM76" s="52">
        <v>-32</v>
      </c>
      <c r="AN76" s="29">
        <v>-34</v>
      </c>
      <c r="AO76" s="29">
        <v>-37</v>
      </c>
      <c r="AP76" s="29">
        <v>-31</v>
      </c>
      <c r="AQ76" s="28">
        <f>-AQ132*AVERAGE(AQ85,AQ97)</f>
        <v>-28.746753600000002</v>
      </c>
      <c r="AR76" s="28">
        <f>-AR132*AVERAGE(AR85,AR97)</f>
        <v>-28.454075231520005</v>
      </c>
      <c r="AS76" s="28">
        <f>-AS132*AVERAGE(AS85,AS97)</f>
        <v>-28.173361740654865</v>
      </c>
      <c r="AT76" s="28">
        <f>-AT132*AVERAGE(AT85,AT97)</f>
        <v>-27.90529777382315</v>
      </c>
    </row>
    <row r="77" spans="3:46" s="5" customFormat="1" ht="10.5">
      <c r="C77" s="50" t="s">
        <v>134</v>
      </c>
      <c r="E77" s="52">
        <v>0</v>
      </c>
      <c r="F77" s="52">
        <v>0</v>
      </c>
      <c r="G77" s="52">
        <v>0</v>
      </c>
      <c r="H77" s="54">
        <f>+AJ77-SUM(E77:G77)</f>
        <v>0</v>
      </c>
      <c r="I77" s="52">
        <v>0</v>
      </c>
      <c r="J77" s="52">
        <v>0</v>
      </c>
      <c r="K77" s="52">
        <v>0</v>
      </c>
      <c r="L77" s="54">
        <f>+AK77-SUM(I77:K77)</f>
        <v>0</v>
      </c>
      <c r="M77" s="52">
        <v>0</v>
      </c>
      <c r="N77" s="52">
        <v>0</v>
      </c>
      <c r="O77" s="52">
        <v>0</v>
      </c>
      <c r="P77" s="54">
        <f>+AL77-SUM(M77:O77)</f>
        <v>0</v>
      </c>
      <c r="AH77" s="52">
        <v>0</v>
      </c>
      <c r="AI77" s="52">
        <v>-7</v>
      </c>
      <c r="AJ77" s="52">
        <v>0</v>
      </c>
      <c r="AK77" s="52">
        <v>0</v>
      </c>
      <c r="AL77" s="52">
        <v>0</v>
      </c>
      <c r="AM77" s="52">
        <v>0</v>
      </c>
      <c r="AN77" s="33">
        <f>SUMIF($E$5:$X$5,AN$5,$E77:$X77)</f>
        <v>0</v>
      </c>
      <c r="AO77" s="33">
        <f t="shared" ref="AO77:AP77" si="34">SUMIF($E$5:$X$5,AO$5,$E77:$X77)</f>
        <v>0</v>
      </c>
      <c r="AP77" s="33">
        <f t="shared" si="34"/>
        <v>0</v>
      </c>
      <c r="AQ77" s="23"/>
      <c r="AR77" s="23"/>
      <c r="AS77" s="23"/>
      <c r="AT77" s="23"/>
    </row>
    <row r="78" spans="3:46" s="5" customFormat="1" ht="10.5">
      <c r="C78" s="50"/>
      <c r="E78" s="52"/>
      <c r="F78" s="52"/>
      <c r="G78" s="52"/>
      <c r="H78" s="52"/>
      <c r="I78" s="52"/>
      <c r="J78" s="52"/>
      <c r="K78" s="52"/>
      <c r="L78" s="52"/>
      <c r="M78" s="52"/>
      <c r="N78" s="52"/>
      <c r="O78" s="52"/>
      <c r="P78" s="52"/>
      <c r="AH78" s="52"/>
      <c r="AI78" s="52"/>
      <c r="AJ78" s="52"/>
      <c r="AK78" s="52"/>
      <c r="AL78" s="52"/>
      <c r="AM78" s="52"/>
      <c r="AN78" s="23"/>
      <c r="AO78" s="23"/>
      <c r="AP78" s="23"/>
      <c r="AQ78" s="23"/>
      <c r="AR78" s="23"/>
      <c r="AS78" s="23"/>
      <c r="AT78" s="23"/>
    </row>
    <row r="79" spans="3:46" s="5" customFormat="1" ht="10.5">
      <c r="C79" s="50" t="s">
        <v>127</v>
      </c>
      <c r="E79" s="52"/>
      <c r="F79" s="52"/>
      <c r="G79" s="52"/>
      <c r="H79" s="52"/>
      <c r="I79" s="52"/>
      <c r="J79" s="52"/>
      <c r="K79" s="52"/>
      <c r="L79" s="52"/>
      <c r="M79" s="52"/>
      <c r="N79" s="52"/>
      <c r="O79" s="52"/>
      <c r="P79" s="52"/>
      <c r="AH79" s="52"/>
      <c r="AI79" s="52"/>
      <c r="AJ79" s="52"/>
      <c r="AK79" s="52"/>
      <c r="AL79" s="52"/>
      <c r="AM79" s="52"/>
      <c r="AN79" s="23"/>
      <c r="AO79" s="23"/>
      <c r="AP79" s="23"/>
      <c r="AQ79" s="23"/>
      <c r="AR79" s="23"/>
      <c r="AS79" s="23"/>
      <c r="AT79" s="23"/>
    </row>
    <row r="80" spans="3:46" s="5" customFormat="1" ht="10.5">
      <c r="C80" s="51" t="s">
        <v>128</v>
      </c>
      <c r="E80" s="52">
        <v>0</v>
      </c>
      <c r="F80" s="52">
        <v>0</v>
      </c>
      <c r="G80" s="52">
        <v>0</v>
      </c>
      <c r="H80" s="54">
        <f>+AJ80-SUM(E80:G80)</f>
        <v>0</v>
      </c>
      <c r="I80" s="52">
        <v>0</v>
      </c>
      <c r="J80" s="52">
        <v>0</v>
      </c>
      <c r="K80" s="52">
        <v>0</v>
      </c>
      <c r="L80" s="54">
        <f>+AK80-SUM(I80:K80)</f>
        <v>1</v>
      </c>
      <c r="M80" s="52">
        <v>0</v>
      </c>
      <c r="N80" s="52">
        <v>0</v>
      </c>
      <c r="O80" s="52">
        <v>0</v>
      </c>
      <c r="P80" s="54">
        <f>+AL80-SUM(M80:O80)</f>
        <v>1</v>
      </c>
      <c r="Q80" s="52">
        <v>0</v>
      </c>
      <c r="R80" s="52">
        <v>0</v>
      </c>
      <c r="S80" s="5">
        <v>0</v>
      </c>
      <c r="T80" s="54">
        <f>+AM80-SUM(M80:O80)</f>
        <v>0</v>
      </c>
      <c r="U80" s="5">
        <v>0</v>
      </c>
      <c r="V80" s="5">
        <v>0</v>
      </c>
      <c r="W80" s="5">
        <v>0</v>
      </c>
      <c r="X80" s="54">
        <f>AN80-SUM(U80:W80)</f>
        <v>-1</v>
      </c>
      <c r="Y80" s="5">
        <v>0</v>
      </c>
      <c r="Z80" s="5">
        <v>0</v>
      </c>
      <c r="AA80" s="5">
        <v>0</v>
      </c>
      <c r="AB80" s="54">
        <f>AO80-SUM(Y80:AA80)</f>
        <v>-1</v>
      </c>
      <c r="AC80" s="5">
        <v>0</v>
      </c>
      <c r="AH80" s="52">
        <v>0</v>
      </c>
      <c r="AI80" s="52">
        <v>1</v>
      </c>
      <c r="AJ80" s="52">
        <v>0</v>
      </c>
      <c r="AK80" s="52">
        <v>1</v>
      </c>
      <c r="AL80" s="52">
        <v>1</v>
      </c>
      <c r="AM80" s="52">
        <v>0</v>
      </c>
      <c r="AN80" s="29">
        <v>-1</v>
      </c>
      <c r="AO80" s="52">
        <v>-1</v>
      </c>
      <c r="AP80" s="52">
        <v>0</v>
      </c>
      <c r="AQ80" s="23"/>
      <c r="AR80" s="23"/>
      <c r="AS80" s="23"/>
      <c r="AT80" s="23"/>
    </row>
    <row r="81" spans="3:46" s="5" customFormat="1" ht="10.5">
      <c r="C81" s="50" t="s">
        <v>133</v>
      </c>
      <c r="E81" s="52">
        <v>0</v>
      </c>
      <c r="F81" s="52">
        <v>0</v>
      </c>
      <c r="G81" s="52">
        <v>30</v>
      </c>
      <c r="H81" s="54">
        <f>+AJ81-SUM(E81:G81)</f>
        <v>22</v>
      </c>
      <c r="I81" s="52">
        <v>0</v>
      </c>
      <c r="J81" s="52">
        <v>0</v>
      </c>
      <c r="K81" s="52">
        <v>0</v>
      </c>
      <c r="L81" s="54">
        <f>+AK81-SUM(I81:K81)</f>
        <v>-7</v>
      </c>
      <c r="M81" s="52">
        <v>0</v>
      </c>
      <c r="N81" s="52">
        <v>0</v>
      </c>
      <c r="O81" s="52">
        <v>0</v>
      </c>
      <c r="P81" s="54">
        <f>+AL81-SUM(M81:O81)</f>
        <v>36</v>
      </c>
      <c r="Q81" s="52">
        <v>0</v>
      </c>
      <c r="R81" s="52">
        <v>0</v>
      </c>
      <c r="S81" s="5">
        <v>0</v>
      </c>
      <c r="T81" s="54">
        <f>+AM81-SUM(M81:O81)</f>
        <v>43</v>
      </c>
      <c r="U81" s="5">
        <v>0</v>
      </c>
      <c r="V81" s="5">
        <v>0</v>
      </c>
      <c r="W81" s="5">
        <v>0</v>
      </c>
      <c r="X81" s="54">
        <f ca="1">AN81-SUM(U81:W81)</f>
        <v>0</v>
      </c>
      <c r="Y81" s="5">
        <v>0</v>
      </c>
      <c r="Z81" s="5">
        <v>0</v>
      </c>
      <c r="AA81" s="5">
        <v>0</v>
      </c>
      <c r="AB81" s="54">
        <f>AO81-SUM(Y81:AA81)</f>
        <v>0</v>
      </c>
      <c r="AC81" s="5">
        <v>0</v>
      </c>
      <c r="AH81" s="52">
        <v>95</v>
      </c>
      <c r="AI81" s="52">
        <v>-20</v>
      </c>
      <c r="AJ81" s="52">
        <v>52</v>
      </c>
      <c r="AK81" s="52">
        <v>-7</v>
      </c>
      <c r="AL81" s="52">
        <v>36</v>
      </c>
      <c r="AM81" s="52">
        <v>43</v>
      </c>
      <c r="AN81" s="33">
        <f ca="1">SUMIF($E$5:$X$5,AN$5,$E81:$X81)</f>
        <v>0</v>
      </c>
      <c r="AO81" s="52">
        <v>0</v>
      </c>
      <c r="AP81" s="52">
        <v>10</v>
      </c>
      <c r="AQ81" s="23"/>
      <c r="AR81" s="23"/>
      <c r="AS81" s="23"/>
      <c r="AT81" s="23"/>
    </row>
    <row r="82" spans="3:46" s="27" customFormat="1" ht="11.25" customHeight="1">
      <c r="C82" s="45" t="s">
        <v>129</v>
      </c>
      <c r="E82" s="35">
        <f t="shared" ref="E82:P82" si="35">+E80+E76+E75+E74+E81+E77</f>
        <v>1</v>
      </c>
      <c r="F82" s="35">
        <f t="shared" si="35"/>
        <v>1</v>
      </c>
      <c r="G82" s="35">
        <f t="shared" si="35"/>
        <v>31</v>
      </c>
      <c r="H82" s="35">
        <f t="shared" si="35"/>
        <v>22</v>
      </c>
      <c r="I82" s="35">
        <f t="shared" si="35"/>
        <v>0</v>
      </c>
      <c r="J82" s="35">
        <f t="shared" si="35"/>
        <v>-1</v>
      </c>
      <c r="K82" s="35">
        <f t="shared" si="35"/>
        <v>0</v>
      </c>
      <c r="L82" s="35">
        <f t="shared" si="35"/>
        <v>-7</v>
      </c>
      <c r="M82" s="35">
        <f t="shared" si="35"/>
        <v>0</v>
      </c>
      <c r="N82" s="35">
        <f t="shared" si="35"/>
        <v>-1</v>
      </c>
      <c r="O82" s="35">
        <f t="shared" si="35"/>
        <v>-1</v>
      </c>
      <c r="P82" s="35">
        <f t="shared" si="35"/>
        <v>36</v>
      </c>
      <c r="Q82" s="35">
        <f t="shared" ref="Q82:T82" si="36">+Q80+Q76+Q75+Q74+Q81+Q77</f>
        <v>0</v>
      </c>
      <c r="R82" s="35">
        <f t="shared" si="36"/>
        <v>1</v>
      </c>
      <c r="S82" s="35">
        <f t="shared" si="36"/>
        <v>1</v>
      </c>
      <c r="T82" s="35">
        <f t="shared" si="36"/>
        <v>47</v>
      </c>
      <c r="U82" s="35">
        <f t="shared" ref="U82:AC82" si="37">+U80+U76+U75+U74+U81+U77</f>
        <v>0</v>
      </c>
      <c r="V82" s="35">
        <f t="shared" si="37"/>
        <v>-1</v>
      </c>
      <c r="W82" s="35">
        <f t="shared" si="37"/>
        <v>0</v>
      </c>
      <c r="X82" s="35">
        <f t="shared" ca="1" si="37"/>
        <v>-2</v>
      </c>
      <c r="Y82" s="35">
        <f t="shared" si="37"/>
        <v>-16</v>
      </c>
      <c r="Z82" s="35">
        <f t="shared" si="37"/>
        <v>-2</v>
      </c>
      <c r="AA82" s="35">
        <f t="shared" si="37"/>
        <v>-1</v>
      </c>
      <c r="AB82" s="35">
        <f t="shared" si="37"/>
        <v>12</v>
      </c>
      <c r="AC82" s="35">
        <f t="shared" si="37"/>
        <v>-15</v>
      </c>
      <c r="AD82" s="30"/>
      <c r="AE82" s="30"/>
      <c r="AF82" s="30"/>
      <c r="AH82" s="35">
        <f>+AH80+AH76+AH75+AH74+AH81+AH77</f>
        <v>102</v>
      </c>
      <c r="AI82" s="35">
        <f>+AI80+AI76+AI75+AI74+AI81+AI77</f>
        <v>-22</v>
      </c>
      <c r="AJ82" s="35">
        <f>+AJ80+AJ76+AJ75+AJ74+AJ81+AJ77</f>
        <v>55</v>
      </c>
      <c r="AK82" s="35">
        <f>+AK80+AK76+AK75+AK74+AK81+AK77</f>
        <v>-8</v>
      </c>
      <c r="AL82" s="35">
        <f t="shared" ref="AL82:AQ82" si="38">+AL80+AL76+AL75+AL74+AL81+AL77</f>
        <v>34</v>
      </c>
      <c r="AM82" s="35">
        <f>+AM80+AM76+AM75+AM74+AM81+AM77</f>
        <v>45</v>
      </c>
      <c r="AN82" s="35">
        <f t="shared" ca="1" si="38"/>
        <v>-3</v>
      </c>
      <c r="AO82" s="35">
        <f t="shared" si="38"/>
        <v>-7</v>
      </c>
      <c r="AP82" s="35">
        <f t="shared" si="38"/>
        <v>4</v>
      </c>
      <c r="AQ82" s="35">
        <f t="shared" si="38"/>
        <v>-7.965353600000002</v>
      </c>
      <c r="AR82" s="35">
        <f t="shared" ref="AR82:AS82" si="39">+AR80+AR76+AR75+AR74+AR81+AR77</f>
        <v>-7.4304072515200037</v>
      </c>
      <c r="AS82" s="35">
        <f t="shared" si="39"/>
        <v>-6.8934251733688647</v>
      </c>
      <c r="AT82" s="35">
        <f t="shared" ref="AT82" si="40">+AT80+AT76+AT75+AT74+AT81+AT77</f>
        <v>-6.3545662924307624</v>
      </c>
    </row>
    <row r="84" spans="3:46" ht="11.25" customHeight="1">
      <c r="C84" s="26" t="s">
        <v>135</v>
      </c>
      <c r="E84" s="28"/>
      <c r="F84" s="28"/>
      <c r="G84" s="28"/>
      <c r="H84" s="28"/>
      <c r="I84" s="28"/>
      <c r="J84" s="28"/>
      <c r="K84" s="28"/>
      <c r="L84" s="28"/>
      <c r="M84" s="28"/>
      <c r="N84" s="28"/>
      <c r="O84" s="28"/>
      <c r="P84" s="28"/>
      <c r="AH84" s="28"/>
      <c r="AI84" s="28"/>
      <c r="AJ84" s="28"/>
      <c r="AK84" s="28"/>
      <c r="AL84" s="28"/>
    </row>
    <row r="85" spans="3:46" ht="11.25" customHeight="1">
      <c r="C85" s="43" t="s">
        <v>136</v>
      </c>
      <c r="E85" s="59"/>
      <c r="F85" s="59"/>
      <c r="G85" s="59"/>
      <c r="H85" s="59"/>
      <c r="I85" s="59"/>
      <c r="J85" s="59"/>
      <c r="K85" s="59"/>
      <c r="L85" s="59"/>
      <c r="M85" s="59"/>
      <c r="N85" s="59"/>
      <c r="O85" s="47"/>
      <c r="P85" s="59"/>
      <c r="AH85" s="29">
        <v>736</v>
      </c>
      <c r="AI85" s="33">
        <f>+AH97</f>
        <v>867</v>
      </c>
      <c r="AJ85" s="33">
        <f t="shared" ref="AJ85:AT85" si="41">+AI97</f>
        <v>763</v>
      </c>
      <c r="AK85" s="33">
        <f t="shared" si="41"/>
        <v>801</v>
      </c>
      <c r="AL85" s="33">
        <f t="shared" si="41"/>
        <v>893</v>
      </c>
      <c r="AM85" s="33">
        <f t="shared" si="41"/>
        <v>840</v>
      </c>
      <c r="AN85" s="33">
        <f t="shared" si="41"/>
        <v>972</v>
      </c>
      <c r="AO85" s="33">
        <f t="shared" si="41"/>
        <v>1089</v>
      </c>
      <c r="AP85" s="33">
        <f t="shared" si="41"/>
        <v>948</v>
      </c>
      <c r="AQ85" s="33">
        <f t="shared" si="41"/>
        <v>602</v>
      </c>
      <c r="AR85" s="33">
        <f t="shared" si="41"/>
        <v>595.78140000000008</v>
      </c>
      <c r="AS85" s="33">
        <f t="shared" si="41"/>
        <v>589.8050679800001</v>
      </c>
      <c r="AT85" s="33">
        <f t="shared" si="41"/>
        <v>584.08500454728608</v>
      </c>
    </row>
    <row r="86" spans="3:46" ht="11.25" customHeight="1">
      <c r="C86" s="43" t="s">
        <v>130</v>
      </c>
      <c r="E86" s="59"/>
      <c r="F86" s="59"/>
      <c r="G86" s="59"/>
      <c r="H86" s="59"/>
      <c r="I86" s="59"/>
      <c r="J86" s="59"/>
      <c r="K86" s="59"/>
      <c r="L86" s="59"/>
      <c r="M86" s="59"/>
      <c r="N86" s="59"/>
      <c r="O86" s="47"/>
      <c r="P86" s="59"/>
      <c r="AH86" s="29">
        <v>14</v>
      </c>
      <c r="AI86" s="29">
        <v>15</v>
      </c>
      <c r="AJ86" s="29">
        <v>12</v>
      </c>
      <c r="AK86" s="29">
        <v>13</v>
      </c>
      <c r="AL86" s="29">
        <v>14</v>
      </c>
      <c r="AM86" s="29">
        <v>14</v>
      </c>
      <c r="AN86" s="29">
        <v>17</v>
      </c>
      <c r="AO86" s="29">
        <v>19</v>
      </c>
      <c r="AP86" s="29">
        <v>11</v>
      </c>
      <c r="AQ86" s="28">
        <f t="shared" ref="AQ86:AQ87" si="42">+AQ74</f>
        <v>11.33</v>
      </c>
      <c r="AR86" s="28">
        <f t="shared" ref="AR86:AS86" si="43">+AR74</f>
        <v>11.6699</v>
      </c>
      <c r="AS86" s="28">
        <f t="shared" si="43"/>
        <v>12.019997</v>
      </c>
      <c r="AT86" s="28">
        <f t="shared" ref="AT86" si="44">+AT74</f>
        <v>12.38059691</v>
      </c>
    </row>
    <row r="87" spans="3:46" ht="11.25" customHeight="1">
      <c r="C87" s="43" t="s">
        <v>125</v>
      </c>
      <c r="E87" s="59"/>
      <c r="F87" s="59"/>
      <c r="G87" s="59"/>
      <c r="H87" s="59"/>
      <c r="I87" s="59"/>
      <c r="J87" s="59"/>
      <c r="K87" s="59"/>
      <c r="L87" s="59"/>
      <c r="M87" s="59"/>
      <c r="N87" s="59"/>
      <c r="O87" s="47"/>
      <c r="P87" s="59"/>
      <c r="AH87" s="29">
        <v>31</v>
      </c>
      <c r="AI87" s="29">
        <v>26</v>
      </c>
      <c r="AJ87" s="29">
        <v>23</v>
      </c>
      <c r="AK87" s="29">
        <v>20</v>
      </c>
      <c r="AL87" s="29">
        <v>20</v>
      </c>
      <c r="AM87" s="29">
        <v>20</v>
      </c>
      <c r="AN87" s="29">
        <v>15</v>
      </c>
      <c r="AO87" s="29">
        <v>12</v>
      </c>
      <c r="AP87" s="29">
        <v>14</v>
      </c>
      <c r="AQ87" s="28">
        <f t="shared" si="42"/>
        <v>9.4513999999999996</v>
      </c>
      <c r="AR87" s="28">
        <f t="shared" ref="AR87:AS87" si="45">+AR75</f>
        <v>9.3537679800000006</v>
      </c>
      <c r="AS87" s="28">
        <f t="shared" si="45"/>
        <v>9.2599395672860005</v>
      </c>
      <c r="AT87" s="28">
        <f t="shared" ref="AT87" si="46">+AT75</f>
        <v>9.1701345713923903</v>
      </c>
    </row>
    <row r="88" spans="3:46" ht="11.25" customHeight="1">
      <c r="C88" s="43" t="s">
        <v>137</v>
      </c>
      <c r="E88" s="59"/>
      <c r="F88" s="59"/>
      <c r="G88" s="59"/>
      <c r="H88" s="59"/>
      <c r="I88" s="59"/>
      <c r="J88" s="59"/>
      <c r="K88" s="59"/>
      <c r="L88" s="59"/>
      <c r="M88" s="59"/>
      <c r="N88" s="59"/>
      <c r="O88" s="47"/>
      <c r="P88" s="59"/>
      <c r="AH88" s="29">
        <v>149</v>
      </c>
      <c r="AI88" s="29">
        <v>-50</v>
      </c>
      <c r="AJ88" s="29">
        <v>123</v>
      </c>
      <c r="AK88" s="29">
        <v>-11</v>
      </c>
      <c r="AL88" s="29">
        <v>-20</v>
      </c>
      <c r="AM88" s="29">
        <v>113</v>
      </c>
      <c r="AN88" s="29">
        <v>66</v>
      </c>
      <c r="AO88" s="29">
        <v>-68</v>
      </c>
      <c r="AP88" s="29">
        <v>-264</v>
      </c>
      <c r="AQ88" s="29">
        <v>0</v>
      </c>
      <c r="AR88" s="29">
        <v>0</v>
      </c>
      <c r="AS88" s="29">
        <v>0</v>
      </c>
      <c r="AT88" s="29">
        <v>0</v>
      </c>
    </row>
    <row r="89" spans="3:46" ht="11.25" customHeight="1">
      <c r="C89" s="43" t="s">
        <v>134</v>
      </c>
      <c r="E89" s="59"/>
      <c r="F89" s="59"/>
      <c r="G89" s="59"/>
      <c r="H89" s="59"/>
      <c r="I89" s="59"/>
      <c r="J89" s="59"/>
      <c r="K89" s="59"/>
      <c r="L89" s="59"/>
      <c r="M89" s="59"/>
      <c r="N89" s="59"/>
      <c r="O89" s="47"/>
      <c r="P89" s="59"/>
      <c r="AH89" s="29">
        <v>0</v>
      </c>
      <c r="AI89" s="29">
        <v>-4</v>
      </c>
      <c r="AJ89" s="29">
        <v>0</v>
      </c>
      <c r="AK89" s="29">
        <v>0</v>
      </c>
      <c r="AL89" s="29">
        <v>0</v>
      </c>
      <c r="AM89" s="29">
        <v>0</v>
      </c>
      <c r="AN89" s="29">
        <v>-6</v>
      </c>
      <c r="AO89" s="29">
        <v>0</v>
      </c>
      <c r="AP89" s="29">
        <v>-3</v>
      </c>
      <c r="AQ89" s="29">
        <v>0</v>
      </c>
      <c r="AR89" s="29">
        <v>0</v>
      </c>
      <c r="AS89" s="29">
        <v>0</v>
      </c>
      <c r="AT89" s="29">
        <v>0</v>
      </c>
    </row>
    <row r="90" spans="3:46" ht="11.25" customHeight="1">
      <c r="C90" s="43" t="s">
        <v>154</v>
      </c>
      <c r="E90" s="59"/>
      <c r="F90" s="59"/>
      <c r="G90" s="59"/>
      <c r="H90" s="59"/>
      <c r="I90" s="59"/>
      <c r="J90" s="59"/>
      <c r="K90" s="59"/>
      <c r="L90" s="59"/>
      <c r="M90" s="59"/>
      <c r="N90" s="59"/>
      <c r="O90" s="47"/>
      <c r="P90" s="59"/>
      <c r="AH90" s="29">
        <v>-18</v>
      </c>
      <c r="AI90" s="29">
        <v>0</v>
      </c>
      <c r="AJ90" s="29">
        <v>0</v>
      </c>
      <c r="AK90" s="29">
        <v>0</v>
      </c>
      <c r="AL90" s="29">
        <v>0</v>
      </c>
      <c r="AM90" s="29">
        <v>0</v>
      </c>
      <c r="AN90" s="29">
        <v>0</v>
      </c>
      <c r="AO90" s="29">
        <v>-32</v>
      </c>
      <c r="AP90" s="29">
        <v>0</v>
      </c>
      <c r="AQ90" s="29">
        <v>0</v>
      </c>
      <c r="AR90" s="29">
        <v>0</v>
      </c>
      <c r="AS90" s="29">
        <v>0</v>
      </c>
      <c r="AT90" s="29">
        <v>0</v>
      </c>
    </row>
    <row r="91" spans="3:46" ht="11.25" customHeight="1">
      <c r="C91" s="43" t="s">
        <v>157</v>
      </c>
      <c r="E91" s="59"/>
      <c r="F91" s="59"/>
      <c r="G91" s="59"/>
      <c r="H91" s="59"/>
      <c r="I91" s="59"/>
      <c r="J91" s="59"/>
      <c r="K91" s="59"/>
      <c r="L91" s="59"/>
      <c r="M91" s="59"/>
      <c r="N91" s="59"/>
      <c r="O91" s="47"/>
      <c r="P91" s="59"/>
      <c r="AH91" s="29">
        <v>48</v>
      </c>
      <c r="AI91" s="29">
        <v>-10</v>
      </c>
      <c r="AJ91" s="29">
        <v>0</v>
      </c>
      <c r="AK91" s="29">
        <v>0</v>
      </c>
      <c r="AL91" s="29">
        <v>0</v>
      </c>
      <c r="AM91" s="29">
        <v>0</v>
      </c>
      <c r="AN91" s="29">
        <v>0</v>
      </c>
      <c r="AO91" s="29">
        <v>0</v>
      </c>
      <c r="AP91" s="29">
        <v>0</v>
      </c>
      <c r="AQ91" s="29">
        <v>0</v>
      </c>
      <c r="AR91" s="29">
        <v>0</v>
      </c>
      <c r="AS91" s="29">
        <v>0</v>
      </c>
      <c r="AT91" s="29">
        <v>0</v>
      </c>
    </row>
    <row r="92" spans="3:46" ht="11.25" customHeight="1">
      <c r="C92" s="43" t="s">
        <v>155</v>
      </c>
      <c r="E92" s="59"/>
      <c r="F92" s="59"/>
      <c r="G92" s="59"/>
      <c r="H92" s="59"/>
      <c r="I92" s="59"/>
      <c r="J92" s="59"/>
      <c r="K92" s="59"/>
      <c r="L92" s="59"/>
      <c r="M92" s="59"/>
      <c r="N92" s="59"/>
      <c r="O92" s="47"/>
      <c r="P92" s="59"/>
      <c r="AH92" s="29">
        <v>0</v>
      </c>
      <c r="AI92" s="29">
        <v>0</v>
      </c>
      <c r="AJ92" s="29">
        <v>0</v>
      </c>
      <c r="AK92" s="29">
        <v>0</v>
      </c>
      <c r="AL92" s="29">
        <v>0</v>
      </c>
      <c r="AM92" s="29">
        <v>0</v>
      </c>
      <c r="AN92" s="29">
        <v>-12</v>
      </c>
      <c r="AO92" s="29">
        <v>0</v>
      </c>
      <c r="AP92" s="29">
        <v>0</v>
      </c>
      <c r="AQ92" s="29">
        <v>0</v>
      </c>
      <c r="AR92" s="29">
        <v>0</v>
      </c>
      <c r="AS92" s="29">
        <v>0</v>
      </c>
      <c r="AT92" s="29">
        <v>0</v>
      </c>
    </row>
    <row r="93" spans="3:46" ht="11.25" customHeight="1">
      <c r="C93" s="43" t="s">
        <v>138</v>
      </c>
      <c r="E93" s="59"/>
      <c r="F93" s="59"/>
      <c r="G93" s="59"/>
      <c r="H93" s="59"/>
      <c r="I93" s="59"/>
      <c r="J93" s="59"/>
      <c r="K93" s="59"/>
      <c r="L93" s="59"/>
      <c r="M93" s="59"/>
      <c r="N93" s="59"/>
      <c r="O93" s="47"/>
      <c r="P93" s="59"/>
      <c r="AH93" s="29">
        <v>2</v>
      </c>
      <c r="AI93" s="29">
        <v>2</v>
      </c>
      <c r="AJ93" s="29">
        <v>1</v>
      </c>
      <c r="AK93" s="29">
        <v>1</v>
      </c>
      <c r="AL93" s="29">
        <v>1</v>
      </c>
      <c r="AM93" s="29">
        <v>1</v>
      </c>
      <c r="AN93" s="29">
        <v>1</v>
      </c>
      <c r="AO93" s="29">
        <v>1</v>
      </c>
      <c r="AP93" s="29">
        <v>1</v>
      </c>
      <c r="AQ93" s="29">
        <v>0</v>
      </c>
      <c r="AR93" s="29">
        <v>0</v>
      </c>
      <c r="AS93" s="29">
        <v>0</v>
      </c>
      <c r="AT93" s="29">
        <v>0</v>
      </c>
    </row>
    <row r="94" spans="3:46" ht="11.25" customHeight="1">
      <c r="C94" s="43" t="s">
        <v>139</v>
      </c>
      <c r="E94" s="59"/>
      <c r="F94" s="59"/>
      <c r="G94" s="59"/>
      <c r="H94" s="59"/>
      <c r="I94" s="59"/>
      <c r="J94" s="59"/>
      <c r="K94" s="59"/>
      <c r="L94" s="59"/>
      <c r="M94" s="59"/>
      <c r="N94" s="59"/>
      <c r="O94" s="47"/>
      <c r="P94" s="59"/>
      <c r="AH94" s="29">
        <v>-73</v>
      </c>
      <c r="AI94" s="29">
        <v>-61</v>
      </c>
      <c r="AJ94" s="29">
        <v>-100</v>
      </c>
      <c r="AK94" s="29">
        <v>90</v>
      </c>
      <c r="AL94" s="29">
        <v>-45</v>
      </c>
      <c r="AM94" s="29">
        <v>11</v>
      </c>
      <c r="AN94" s="29">
        <v>61</v>
      </c>
      <c r="AO94" s="29">
        <v>-43</v>
      </c>
      <c r="AP94" s="29">
        <v>-77</v>
      </c>
      <c r="AQ94" s="29">
        <v>0</v>
      </c>
      <c r="AR94" s="29">
        <v>0</v>
      </c>
      <c r="AS94" s="29">
        <v>0</v>
      </c>
      <c r="AT94" s="29">
        <v>0</v>
      </c>
    </row>
    <row r="95" spans="3:46" ht="11.25" customHeight="1">
      <c r="C95" s="43" t="s">
        <v>140</v>
      </c>
      <c r="E95" s="59"/>
      <c r="F95" s="59"/>
      <c r="G95" s="59"/>
      <c r="H95" s="59"/>
      <c r="I95" s="59"/>
      <c r="J95" s="59"/>
      <c r="K95" s="59"/>
      <c r="L95" s="59"/>
      <c r="M95" s="59"/>
      <c r="N95" s="59"/>
      <c r="O95" s="47"/>
      <c r="P95" s="59"/>
      <c r="AH95" s="29">
        <v>0</v>
      </c>
      <c r="AI95" s="29">
        <v>0</v>
      </c>
      <c r="AJ95" s="29">
        <v>0</v>
      </c>
      <c r="AK95" s="29">
        <v>0</v>
      </c>
      <c r="AL95" s="29">
        <v>0</v>
      </c>
      <c r="AM95" s="29">
        <v>0</v>
      </c>
      <c r="AN95" s="29">
        <v>0</v>
      </c>
      <c r="AO95" s="29">
        <v>0</v>
      </c>
      <c r="AP95" s="29">
        <v>0</v>
      </c>
      <c r="AQ95" s="29">
        <v>0</v>
      </c>
      <c r="AR95" s="29">
        <v>0</v>
      </c>
      <c r="AS95" s="29">
        <v>0</v>
      </c>
      <c r="AT95" s="29">
        <v>0</v>
      </c>
    </row>
    <row r="96" spans="3:46" ht="11.25" customHeight="1">
      <c r="C96" s="43" t="s">
        <v>141</v>
      </c>
      <c r="E96" s="59"/>
      <c r="F96" s="59"/>
      <c r="G96" s="59"/>
      <c r="H96" s="59"/>
      <c r="I96" s="59"/>
      <c r="J96" s="59"/>
      <c r="K96" s="59"/>
      <c r="L96" s="59"/>
      <c r="M96" s="59"/>
      <c r="N96" s="59"/>
      <c r="O96" s="47"/>
      <c r="P96" s="59"/>
      <c r="AH96" s="29">
        <v>-22</v>
      </c>
      <c r="AI96" s="29">
        <v>-22</v>
      </c>
      <c r="AJ96" s="29">
        <v>-21</v>
      </c>
      <c r="AK96" s="29">
        <v>-21</v>
      </c>
      <c r="AL96" s="29">
        <v>-23</v>
      </c>
      <c r="AM96" s="29">
        <v>-27</v>
      </c>
      <c r="AN96" s="29">
        <v>-25</v>
      </c>
      <c r="AO96" s="29">
        <v>-30</v>
      </c>
      <c r="AP96" s="29">
        <v>-28</v>
      </c>
      <c r="AQ96" s="29">
        <v>-27</v>
      </c>
      <c r="AR96" s="29">
        <v>-27</v>
      </c>
      <c r="AS96" s="29">
        <v>-27</v>
      </c>
      <c r="AT96" s="29">
        <v>-27</v>
      </c>
    </row>
    <row r="97" spans="3:46" s="27" customFormat="1" ht="11.25" customHeight="1">
      <c r="C97" s="45" t="s">
        <v>142</v>
      </c>
      <c r="E97" s="60"/>
      <c r="F97" s="60"/>
      <c r="G97" s="60"/>
      <c r="H97" s="60"/>
      <c r="I97" s="60"/>
      <c r="J97" s="60"/>
      <c r="K97" s="60"/>
      <c r="L97" s="60"/>
      <c r="M97" s="60"/>
      <c r="N97" s="60"/>
      <c r="O97" s="61"/>
      <c r="P97" s="60"/>
      <c r="AH97" s="35">
        <f t="shared" ref="AH97:AS97" si="47">+SUM(AH85:AH96)</f>
        <v>867</v>
      </c>
      <c r="AI97" s="35">
        <f t="shared" si="47"/>
        <v>763</v>
      </c>
      <c r="AJ97" s="35">
        <f t="shared" si="47"/>
        <v>801</v>
      </c>
      <c r="AK97" s="35">
        <f t="shared" si="47"/>
        <v>893</v>
      </c>
      <c r="AL97" s="35">
        <f t="shared" si="47"/>
        <v>840</v>
      </c>
      <c r="AM97" s="35">
        <f t="shared" si="47"/>
        <v>972</v>
      </c>
      <c r="AN97" s="35">
        <f t="shared" si="47"/>
        <v>1089</v>
      </c>
      <c r="AO97" s="35">
        <f t="shared" si="47"/>
        <v>948</v>
      </c>
      <c r="AP97" s="35">
        <f t="shared" ref="AP97" si="48">+SUM(AP85:AP96)</f>
        <v>602</v>
      </c>
      <c r="AQ97" s="35">
        <f t="shared" si="47"/>
        <v>595.78140000000008</v>
      </c>
      <c r="AR97" s="35">
        <f t="shared" si="47"/>
        <v>589.8050679800001</v>
      </c>
      <c r="AS97" s="35">
        <f t="shared" si="47"/>
        <v>584.08500454728608</v>
      </c>
      <c r="AT97" s="35">
        <f t="shared" ref="AT97" si="49">+SUM(AT85:AT96)</f>
        <v>578.63573602867848</v>
      </c>
    </row>
    <row r="98" spans="3:46" ht="11.25" customHeight="1">
      <c r="C98" s="44"/>
      <c r="E98" s="28"/>
      <c r="F98" s="28"/>
      <c r="G98" s="28"/>
      <c r="H98" s="28"/>
      <c r="I98" s="28"/>
      <c r="J98" s="28"/>
      <c r="K98" s="28"/>
      <c r="L98" s="28"/>
      <c r="M98" s="28"/>
      <c r="N98" s="28"/>
      <c r="O98" s="28"/>
      <c r="P98" s="28"/>
      <c r="AH98" s="28"/>
      <c r="AI98" s="28"/>
      <c r="AJ98" s="28"/>
      <c r="AK98" s="28"/>
      <c r="AL98" s="28"/>
    </row>
    <row r="99" spans="3:46" ht="11.25" customHeight="1">
      <c r="C99" s="26" t="s">
        <v>143</v>
      </c>
      <c r="E99" s="28"/>
      <c r="F99" s="28"/>
      <c r="G99" s="28"/>
      <c r="H99" s="28"/>
      <c r="I99" s="28"/>
      <c r="J99" s="28"/>
      <c r="K99" s="28"/>
      <c r="L99" s="28"/>
      <c r="M99" s="28"/>
      <c r="N99" s="28"/>
      <c r="O99" s="28"/>
      <c r="P99" s="28"/>
      <c r="AH99" s="28"/>
      <c r="AI99" s="28"/>
      <c r="AJ99" s="28"/>
      <c r="AK99" s="28"/>
      <c r="AL99" s="28"/>
    </row>
    <row r="100" spans="3:46" ht="11.25" customHeight="1">
      <c r="C100" s="43" t="s">
        <v>144</v>
      </c>
      <c r="E100" s="59"/>
      <c r="F100" s="59"/>
      <c r="G100" s="59"/>
      <c r="H100" s="59"/>
      <c r="I100" s="59"/>
      <c r="J100" s="59"/>
      <c r="K100" s="59"/>
      <c r="L100" s="59"/>
      <c r="M100" s="59"/>
      <c r="N100" s="59"/>
      <c r="O100" s="59"/>
      <c r="P100" s="59"/>
      <c r="AH100" s="29">
        <v>658</v>
      </c>
      <c r="AI100" s="33">
        <f>+AH111</f>
        <v>699</v>
      </c>
      <c r="AJ100" s="33">
        <f t="shared" ref="AJ100:AT100" si="50">+AI111</f>
        <v>650</v>
      </c>
      <c r="AK100" s="33">
        <f t="shared" si="50"/>
        <v>667</v>
      </c>
      <c r="AL100" s="33">
        <f t="shared" si="50"/>
        <v>773</v>
      </c>
      <c r="AM100" s="33">
        <f t="shared" si="50"/>
        <v>713</v>
      </c>
      <c r="AN100" s="33">
        <f t="shared" si="50"/>
        <v>820</v>
      </c>
      <c r="AO100" s="33">
        <f t="shared" si="50"/>
        <v>938</v>
      </c>
      <c r="AP100" s="33">
        <f t="shared" si="50"/>
        <v>924</v>
      </c>
      <c r="AQ100" s="33">
        <f t="shared" si="50"/>
        <v>589</v>
      </c>
      <c r="AR100" s="33">
        <f t="shared" si="50"/>
        <v>611.27200000000005</v>
      </c>
      <c r="AS100" s="33">
        <f t="shared" si="50"/>
        <v>634.61305600000003</v>
      </c>
      <c r="AT100" s="33">
        <f t="shared" si="50"/>
        <v>659.07448268799999</v>
      </c>
    </row>
    <row r="101" spans="3:46" ht="11.25" customHeight="1">
      <c r="C101" s="43" t="s">
        <v>145</v>
      </c>
      <c r="E101" s="59"/>
      <c r="F101" s="59"/>
      <c r="G101" s="59"/>
      <c r="H101" s="59"/>
      <c r="I101" s="59"/>
      <c r="J101" s="59"/>
      <c r="K101" s="59"/>
      <c r="L101" s="59"/>
      <c r="M101" s="59"/>
      <c r="N101" s="59"/>
      <c r="O101" s="59"/>
      <c r="P101" s="59"/>
      <c r="AH101" s="29">
        <v>92</v>
      </c>
      <c r="AI101" s="29">
        <v>7</v>
      </c>
      <c r="AJ101" s="29">
        <v>103</v>
      </c>
      <c r="AK101" s="29">
        <v>31</v>
      </c>
      <c r="AL101" s="29">
        <v>-19</v>
      </c>
      <c r="AM101" s="29">
        <v>102</v>
      </c>
      <c r="AN101" s="29">
        <v>72</v>
      </c>
      <c r="AO101" s="29">
        <v>31</v>
      </c>
      <c r="AP101" s="29">
        <v>-250</v>
      </c>
      <c r="AQ101" s="28">
        <f>+AQ100*AQ133</f>
        <v>28.272000000000002</v>
      </c>
      <c r="AR101" s="28">
        <f>+AR100*AR133</f>
        <v>29.341056000000002</v>
      </c>
      <c r="AS101" s="28">
        <f>+AS100*AS133</f>
        <v>30.461426688000003</v>
      </c>
      <c r="AT101" s="28">
        <f>+AT100*AT133</f>
        <v>31.635575169024001</v>
      </c>
    </row>
    <row r="102" spans="3:46" ht="11.25" customHeight="1">
      <c r="C102" s="43" t="s">
        <v>139</v>
      </c>
      <c r="E102" s="59"/>
      <c r="F102" s="59"/>
      <c r="G102" s="59"/>
      <c r="H102" s="59"/>
      <c r="I102" s="59"/>
      <c r="J102" s="59"/>
      <c r="K102" s="59"/>
      <c r="L102" s="59"/>
      <c r="M102" s="59"/>
      <c r="N102" s="59"/>
      <c r="O102" s="59"/>
      <c r="P102" s="59"/>
      <c r="AH102" s="29">
        <v>-60</v>
      </c>
      <c r="AI102" s="29">
        <v>-48</v>
      </c>
      <c r="AJ102" s="29">
        <v>-84</v>
      </c>
      <c r="AK102" s="29">
        <v>76</v>
      </c>
      <c r="AL102" s="29">
        <v>-39</v>
      </c>
      <c r="AM102" s="29">
        <v>9</v>
      </c>
      <c r="AN102" s="29">
        <v>54</v>
      </c>
      <c r="AO102" s="29">
        <v>-39</v>
      </c>
      <c r="AP102" s="29">
        <v>-76</v>
      </c>
      <c r="AQ102" s="29">
        <v>0</v>
      </c>
      <c r="AR102" s="29">
        <v>0</v>
      </c>
      <c r="AS102" s="29">
        <v>0</v>
      </c>
      <c r="AT102" s="29">
        <v>0</v>
      </c>
    </row>
    <row r="103" spans="3:46" ht="11.25" customHeight="1">
      <c r="C103" s="43" t="s">
        <v>146</v>
      </c>
      <c r="E103" s="59"/>
      <c r="F103" s="59"/>
      <c r="G103" s="59"/>
      <c r="H103" s="59"/>
      <c r="I103" s="59"/>
      <c r="J103" s="59"/>
      <c r="K103" s="59"/>
      <c r="L103" s="59"/>
      <c r="M103" s="59"/>
      <c r="N103" s="59"/>
      <c r="O103" s="59"/>
      <c r="P103" s="59"/>
      <c r="AH103" s="29">
        <v>22</v>
      </c>
      <c r="AI103" s="29">
        <v>21</v>
      </c>
      <c r="AJ103" s="29">
        <v>18</v>
      </c>
      <c r="AK103" s="29">
        <v>19</v>
      </c>
      <c r="AL103" s="29">
        <v>20</v>
      </c>
      <c r="AM103" s="29">
        <v>22</v>
      </c>
      <c r="AN103" s="29">
        <v>22</v>
      </c>
      <c r="AO103" s="29">
        <v>23</v>
      </c>
      <c r="AP103" s="29">
        <v>18</v>
      </c>
      <c r="AQ103" s="133">
        <v>20</v>
      </c>
      <c r="AR103" s="133">
        <v>20</v>
      </c>
      <c r="AS103" s="133">
        <v>20</v>
      </c>
      <c r="AT103" s="133">
        <v>20</v>
      </c>
    </row>
    <row r="104" spans="3:46" ht="11.25" customHeight="1">
      <c r="C104" s="43" t="s">
        <v>147</v>
      </c>
      <c r="E104" s="59"/>
      <c r="F104" s="59"/>
      <c r="G104" s="59"/>
      <c r="H104" s="59"/>
      <c r="I104" s="59"/>
      <c r="J104" s="59"/>
      <c r="K104" s="59"/>
      <c r="L104" s="59"/>
      <c r="M104" s="59"/>
      <c r="N104" s="59"/>
      <c r="O104" s="59"/>
      <c r="P104" s="59"/>
      <c r="AH104" s="29">
        <v>0</v>
      </c>
      <c r="AI104" s="29">
        <v>0</v>
      </c>
      <c r="AJ104" s="29">
        <v>0</v>
      </c>
      <c r="AK104" s="29">
        <v>0</v>
      </c>
      <c r="AL104" s="29">
        <v>0</v>
      </c>
      <c r="AM104" s="29">
        <v>0</v>
      </c>
      <c r="AN104" s="29">
        <v>0</v>
      </c>
      <c r="AO104" s="29">
        <v>0</v>
      </c>
      <c r="AP104" s="29">
        <v>0</v>
      </c>
      <c r="AQ104" s="29">
        <v>0</v>
      </c>
      <c r="AR104" s="29">
        <v>0</v>
      </c>
      <c r="AS104" s="29">
        <v>0</v>
      </c>
      <c r="AT104" s="29">
        <v>0</v>
      </c>
    </row>
    <row r="105" spans="3:46" ht="11.25" customHeight="1">
      <c r="C105" s="43" t="s">
        <v>138</v>
      </c>
      <c r="E105" s="59"/>
      <c r="F105" s="59"/>
      <c r="G105" s="59"/>
      <c r="H105" s="59"/>
      <c r="I105" s="59"/>
      <c r="J105" s="59"/>
      <c r="K105" s="59"/>
      <c r="L105" s="59"/>
      <c r="M105" s="59"/>
      <c r="N105" s="59"/>
      <c r="O105" s="59"/>
      <c r="P105" s="59"/>
      <c r="AH105" s="29">
        <v>2</v>
      </c>
      <c r="AI105" s="29">
        <v>2</v>
      </c>
      <c r="AJ105" s="29">
        <v>1</v>
      </c>
      <c r="AK105" s="29">
        <v>1</v>
      </c>
      <c r="AL105" s="29">
        <v>1</v>
      </c>
      <c r="AM105" s="29">
        <v>1</v>
      </c>
      <c r="AN105" s="29">
        <v>1</v>
      </c>
      <c r="AO105" s="29">
        <f>+AN105</f>
        <v>1</v>
      </c>
      <c r="AP105" s="29">
        <v>1</v>
      </c>
      <c r="AQ105" s="133">
        <f>+AP105</f>
        <v>1</v>
      </c>
      <c r="AR105" s="133">
        <f>+AQ105</f>
        <v>1</v>
      </c>
      <c r="AS105" s="133">
        <f>+AR105</f>
        <v>1</v>
      </c>
      <c r="AT105" s="133">
        <f>+AS105</f>
        <v>1</v>
      </c>
    </row>
    <row r="106" spans="3:46" ht="11.25" customHeight="1">
      <c r="C106" s="43" t="s">
        <v>141</v>
      </c>
      <c r="E106" s="59"/>
      <c r="F106" s="59"/>
      <c r="G106" s="59"/>
      <c r="H106" s="59"/>
      <c r="I106" s="59"/>
      <c r="J106" s="59"/>
      <c r="K106" s="59"/>
      <c r="L106" s="59"/>
      <c r="M106" s="59"/>
      <c r="N106" s="59"/>
      <c r="O106" s="59"/>
      <c r="P106" s="59"/>
      <c r="AH106" s="29">
        <v>-22</v>
      </c>
      <c r="AI106" s="29">
        <v>-22</v>
      </c>
      <c r="AJ106" s="29">
        <v>-21</v>
      </c>
      <c r="AK106" s="29">
        <v>-21</v>
      </c>
      <c r="AL106" s="29">
        <v>-23</v>
      </c>
      <c r="AM106" s="29">
        <v>-27</v>
      </c>
      <c r="AN106" s="29">
        <v>-25</v>
      </c>
      <c r="AO106" s="29">
        <v>-30</v>
      </c>
      <c r="AP106" s="29">
        <v>-28</v>
      </c>
      <c r="AQ106" s="28">
        <f>+AQ96</f>
        <v>-27</v>
      </c>
      <c r="AR106" s="28">
        <f>+AR96</f>
        <v>-27</v>
      </c>
      <c r="AS106" s="28">
        <f>+AS96</f>
        <v>-27</v>
      </c>
      <c r="AT106" s="28">
        <f>+AT96</f>
        <v>-27</v>
      </c>
    </row>
    <row r="107" spans="3:46" ht="11.25" customHeight="1">
      <c r="C107" s="43" t="s">
        <v>140</v>
      </c>
      <c r="E107" s="59"/>
      <c r="F107" s="59"/>
      <c r="G107" s="59"/>
      <c r="H107" s="59"/>
      <c r="I107" s="59"/>
      <c r="J107" s="59"/>
      <c r="K107" s="59"/>
      <c r="L107" s="59"/>
      <c r="M107" s="59"/>
      <c r="N107" s="59"/>
      <c r="O107" s="59"/>
      <c r="P107" s="59"/>
      <c r="AH107" s="29">
        <v>0</v>
      </c>
      <c r="AI107" s="29">
        <v>0</v>
      </c>
      <c r="AJ107" s="29">
        <v>0</v>
      </c>
      <c r="AK107" s="29">
        <v>0</v>
      </c>
      <c r="AL107" s="29">
        <v>0</v>
      </c>
      <c r="AM107" s="29">
        <v>0</v>
      </c>
      <c r="AN107" s="29">
        <v>0</v>
      </c>
      <c r="AO107" s="29">
        <v>0</v>
      </c>
      <c r="AP107" s="29">
        <v>0</v>
      </c>
      <c r="AQ107" s="29">
        <v>0</v>
      </c>
      <c r="AR107" s="29">
        <v>0</v>
      </c>
      <c r="AS107" s="29">
        <v>0</v>
      </c>
      <c r="AT107" s="29">
        <v>0</v>
      </c>
    </row>
    <row r="108" spans="3:46" ht="11.25" customHeight="1">
      <c r="C108" s="43" t="s">
        <v>156</v>
      </c>
      <c r="E108" s="59"/>
      <c r="F108" s="59"/>
      <c r="G108" s="59"/>
      <c r="H108" s="59"/>
      <c r="I108" s="59"/>
      <c r="J108" s="59"/>
      <c r="K108" s="59"/>
      <c r="L108" s="59"/>
      <c r="M108" s="59"/>
      <c r="N108" s="59"/>
      <c r="O108" s="59"/>
      <c r="P108" s="59"/>
      <c r="AH108" s="29">
        <v>-18</v>
      </c>
      <c r="AI108" s="29">
        <v>0</v>
      </c>
      <c r="AJ108" s="29">
        <v>0</v>
      </c>
      <c r="AK108" s="29">
        <v>0</v>
      </c>
      <c r="AL108" s="29">
        <v>0</v>
      </c>
      <c r="AM108" s="29">
        <v>0</v>
      </c>
      <c r="AN108" s="29">
        <v>-6</v>
      </c>
      <c r="AO108" s="29">
        <v>0</v>
      </c>
      <c r="AP108" s="29">
        <v>0</v>
      </c>
      <c r="AQ108" s="29">
        <v>0</v>
      </c>
      <c r="AR108" s="29">
        <v>0</v>
      </c>
      <c r="AS108" s="29">
        <v>0</v>
      </c>
      <c r="AT108" s="29">
        <v>0</v>
      </c>
    </row>
    <row r="109" spans="3:46" ht="11.25" customHeight="1">
      <c r="C109" s="43" t="s">
        <v>108</v>
      </c>
      <c r="E109" s="59"/>
      <c r="F109" s="59"/>
      <c r="G109" s="59"/>
      <c r="H109" s="59"/>
      <c r="I109" s="59"/>
      <c r="J109" s="59"/>
      <c r="K109" s="59"/>
      <c r="L109" s="59"/>
      <c r="M109" s="59"/>
      <c r="N109" s="59"/>
      <c r="O109" s="59"/>
      <c r="P109" s="59"/>
      <c r="AH109" s="29">
        <v>0</v>
      </c>
      <c r="AI109" s="29">
        <v>0</v>
      </c>
      <c r="AJ109" s="29">
        <v>0</v>
      </c>
      <c r="AK109" s="29">
        <v>0</v>
      </c>
      <c r="AL109" s="29">
        <v>0</v>
      </c>
      <c r="AM109" s="29">
        <v>0</v>
      </c>
      <c r="AN109" s="29">
        <v>0</v>
      </c>
      <c r="AO109" s="29">
        <v>0</v>
      </c>
      <c r="AP109" s="29">
        <v>0</v>
      </c>
      <c r="AQ109" s="29">
        <v>0</v>
      </c>
      <c r="AR109" s="29">
        <v>0</v>
      </c>
      <c r="AS109" s="29">
        <v>0</v>
      </c>
      <c r="AT109" s="29">
        <v>0</v>
      </c>
    </row>
    <row r="110" spans="3:46" ht="11.25" customHeight="1">
      <c r="C110" s="43" t="s">
        <v>157</v>
      </c>
      <c r="E110" s="59"/>
      <c r="F110" s="59"/>
      <c r="G110" s="59"/>
      <c r="H110" s="59"/>
      <c r="I110" s="59"/>
      <c r="J110" s="59"/>
      <c r="K110" s="59"/>
      <c r="L110" s="59"/>
      <c r="M110" s="59"/>
      <c r="N110" s="59"/>
      <c r="O110" s="59"/>
      <c r="P110" s="59"/>
      <c r="AH110" s="29">
        <v>25</v>
      </c>
      <c r="AI110" s="29">
        <v>-9</v>
      </c>
      <c r="AJ110" s="29">
        <v>0</v>
      </c>
      <c r="AK110" s="29">
        <v>0</v>
      </c>
      <c r="AL110" s="29">
        <v>0</v>
      </c>
      <c r="AM110" s="29">
        <v>0</v>
      </c>
      <c r="AN110" s="29">
        <v>0</v>
      </c>
      <c r="AO110" s="29">
        <v>0</v>
      </c>
      <c r="AP110" s="29">
        <v>0</v>
      </c>
      <c r="AQ110" s="29">
        <v>0</v>
      </c>
      <c r="AR110" s="29">
        <v>0</v>
      </c>
      <c r="AS110" s="29">
        <v>0</v>
      </c>
      <c r="AT110" s="29">
        <v>0</v>
      </c>
    </row>
    <row r="111" spans="3:46" s="27" customFormat="1" ht="11.25" customHeight="1">
      <c r="C111" s="45" t="s">
        <v>148</v>
      </c>
      <c r="E111" s="59"/>
      <c r="F111" s="59"/>
      <c r="G111" s="59"/>
      <c r="H111" s="59"/>
      <c r="I111" s="59"/>
      <c r="J111" s="59"/>
      <c r="K111" s="59"/>
      <c r="L111" s="59"/>
      <c r="M111" s="59"/>
      <c r="N111" s="59"/>
      <c r="O111" s="59"/>
      <c r="P111" s="59"/>
      <c r="AH111" s="32">
        <f>+SUM(AH100:AH110)</f>
        <v>699</v>
      </c>
      <c r="AI111" s="32">
        <f>+SUM(AI100:AI110)</f>
        <v>650</v>
      </c>
      <c r="AJ111" s="32">
        <f>+SUM(AJ100:AJ110)</f>
        <v>667</v>
      </c>
      <c r="AK111" s="32">
        <f>+SUM(AK100:AK110)</f>
        <v>773</v>
      </c>
      <c r="AL111" s="32">
        <f t="shared" ref="AL111:AQ111" si="51">+SUM(AL100:AL110)</f>
        <v>713</v>
      </c>
      <c r="AM111" s="32">
        <f t="shared" si="51"/>
        <v>820</v>
      </c>
      <c r="AN111" s="32">
        <f t="shared" si="51"/>
        <v>938</v>
      </c>
      <c r="AO111" s="32">
        <f t="shared" si="51"/>
        <v>924</v>
      </c>
      <c r="AP111" s="32">
        <f t="shared" ref="AP111" si="52">+SUM(AP100:AP110)</f>
        <v>589</v>
      </c>
      <c r="AQ111" s="32">
        <f t="shared" si="51"/>
        <v>611.27200000000005</v>
      </c>
      <c r="AR111" s="32">
        <f t="shared" ref="AR111:AS111" si="53">+SUM(AR100:AR110)</f>
        <v>634.61305600000003</v>
      </c>
      <c r="AS111" s="32">
        <f t="shared" si="53"/>
        <v>659.07448268799999</v>
      </c>
      <c r="AT111" s="32">
        <f t="shared" ref="AT111" si="54">+SUM(AT100:AT110)</f>
        <v>684.71005785702403</v>
      </c>
    </row>
    <row r="112" spans="3:46" s="27" customFormat="1" ht="11.25" customHeight="1">
      <c r="C112" s="45" t="s">
        <v>149</v>
      </c>
      <c r="E112" s="59"/>
      <c r="F112" s="59"/>
      <c r="G112" s="59"/>
      <c r="H112" s="59"/>
      <c r="I112" s="59"/>
      <c r="J112" s="59"/>
      <c r="K112" s="59"/>
      <c r="L112" s="59"/>
      <c r="M112" s="59"/>
      <c r="N112" s="59"/>
      <c r="O112" s="59"/>
      <c r="P112" s="59"/>
      <c r="AH112" s="32">
        <f t="shared" ref="AH112:AS112" si="55">+AH111-AH97</f>
        <v>-168</v>
      </c>
      <c r="AI112" s="32">
        <f t="shared" si="55"/>
        <v>-113</v>
      </c>
      <c r="AJ112" s="32">
        <f t="shared" si="55"/>
        <v>-134</v>
      </c>
      <c r="AK112" s="32">
        <f t="shared" si="55"/>
        <v>-120</v>
      </c>
      <c r="AL112" s="32">
        <f t="shared" si="55"/>
        <v>-127</v>
      </c>
      <c r="AM112" s="32">
        <f t="shared" si="55"/>
        <v>-152</v>
      </c>
      <c r="AN112" s="32">
        <f t="shared" si="55"/>
        <v>-151</v>
      </c>
      <c r="AO112" s="32">
        <f t="shared" si="55"/>
        <v>-24</v>
      </c>
      <c r="AP112" s="32">
        <f t="shared" ref="AP112" si="56">+AP111-AP97</f>
        <v>-13</v>
      </c>
      <c r="AQ112" s="32">
        <f t="shared" si="55"/>
        <v>15.490599999999972</v>
      </c>
      <c r="AR112" s="32">
        <f t="shared" si="55"/>
        <v>44.807988019999925</v>
      </c>
      <c r="AS112" s="32">
        <f t="shared" si="55"/>
        <v>74.989478140713913</v>
      </c>
      <c r="AT112" s="32">
        <f t="shared" ref="AT112" si="57">+AT111-AT97</f>
        <v>106.07432182834555</v>
      </c>
    </row>
    <row r="113" spans="3:42" ht="11.25" customHeight="1">
      <c r="C113" s="44"/>
      <c r="E113" s="28"/>
      <c r="F113" s="28"/>
      <c r="G113" s="28"/>
      <c r="H113" s="28"/>
      <c r="I113" s="28"/>
      <c r="J113" s="28"/>
      <c r="K113" s="28"/>
      <c r="L113" s="28"/>
      <c r="M113" s="28"/>
      <c r="N113" s="28"/>
      <c r="O113" s="28"/>
      <c r="P113" s="28"/>
      <c r="AH113" s="28"/>
      <c r="AI113" s="28"/>
      <c r="AJ113" s="28"/>
      <c r="AK113" s="28"/>
      <c r="AL113" s="28"/>
    </row>
    <row r="114" spans="3:42" ht="11.25" customHeight="1">
      <c r="C114" s="25" t="s">
        <v>151</v>
      </c>
      <c r="E114" s="28"/>
      <c r="F114" s="28"/>
      <c r="G114" s="28"/>
      <c r="H114" s="28"/>
      <c r="I114" s="28"/>
      <c r="J114" s="28"/>
      <c r="K114" s="28"/>
      <c r="L114" s="28"/>
      <c r="M114" s="28"/>
      <c r="N114" s="28"/>
      <c r="O114" s="28"/>
      <c r="P114" s="28"/>
      <c r="AH114" s="28"/>
      <c r="AI114" s="28"/>
      <c r="AJ114" s="28"/>
      <c r="AK114" s="28"/>
      <c r="AL114" s="28"/>
    </row>
    <row r="115" spans="3:42" ht="11.25" customHeight="1">
      <c r="C115" s="43" t="s">
        <v>49</v>
      </c>
      <c r="E115" s="59"/>
      <c r="F115" s="59"/>
      <c r="G115" s="59"/>
      <c r="H115" s="59"/>
      <c r="I115" s="59"/>
      <c r="J115" s="59"/>
      <c r="K115" s="59"/>
      <c r="L115" s="59"/>
      <c r="M115" s="59"/>
      <c r="N115" s="59"/>
      <c r="O115" s="59"/>
      <c r="P115" s="59"/>
      <c r="AH115" s="29">
        <v>4</v>
      </c>
      <c r="AI115" s="29">
        <v>7</v>
      </c>
      <c r="AJ115" s="29">
        <v>0</v>
      </c>
      <c r="AK115" s="29">
        <v>8</v>
      </c>
      <c r="AL115" s="29">
        <v>0</v>
      </c>
      <c r="AM115" s="29">
        <v>0</v>
      </c>
      <c r="AN115" s="29">
        <v>1</v>
      </c>
      <c r="AO115" s="29">
        <v>42</v>
      </c>
      <c r="AP115" s="29">
        <v>23</v>
      </c>
    </row>
    <row r="116" spans="3:42" ht="11.25" customHeight="1">
      <c r="C116" s="43" t="s">
        <v>51</v>
      </c>
      <c r="E116" s="59"/>
      <c r="F116" s="59"/>
      <c r="G116" s="59"/>
      <c r="H116" s="59"/>
      <c r="I116" s="59"/>
      <c r="J116" s="59"/>
      <c r="K116" s="59"/>
      <c r="L116" s="59"/>
      <c r="M116" s="59"/>
      <c r="N116" s="59"/>
      <c r="O116" s="59"/>
      <c r="P116" s="59"/>
      <c r="AH116" s="29">
        <v>-1</v>
      </c>
      <c r="AI116" s="29">
        <v>0</v>
      </c>
      <c r="AJ116" s="29">
        <v>-1</v>
      </c>
      <c r="AK116" s="29">
        <v>-1</v>
      </c>
      <c r="AL116" s="29">
        <v>-1</v>
      </c>
      <c r="AM116" s="29">
        <v>-1</v>
      </c>
      <c r="AN116" s="29">
        <v>-1</v>
      </c>
      <c r="AO116" s="29">
        <v>0</v>
      </c>
      <c r="AP116" s="29">
        <v>0</v>
      </c>
    </row>
    <row r="117" spans="3:42" ht="11.25" customHeight="1">
      <c r="C117" s="43" t="s">
        <v>56</v>
      </c>
      <c r="E117" s="59"/>
      <c r="F117" s="59"/>
      <c r="G117" s="59"/>
      <c r="H117" s="59"/>
      <c r="I117" s="59"/>
      <c r="J117" s="59"/>
      <c r="K117" s="59"/>
      <c r="L117" s="59"/>
      <c r="M117" s="59"/>
      <c r="N117" s="59"/>
      <c r="O117" s="59"/>
      <c r="P117" s="59"/>
      <c r="AH117" s="29">
        <v>-171</v>
      </c>
      <c r="AI117" s="29">
        <v>-120</v>
      </c>
      <c r="AJ117" s="29">
        <v>-133</v>
      </c>
      <c r="AK117" s="29">
        <v>-127</v>
      </c>
      <c r="AL117" s="29">
        <v>-126</v>
      </c>
      <c r="AM117" s="29">
        <v>-151</v>
      </c>
      <c r="AN117" s="29">
        <v>-151</v>
      </c>
      <c r="AO117" s="29">
        <v>-66</v>
      </c>
      <c r="AP117" s="29">
        <v>-36</v>
      </c>
    </row>
    <row r="118" spans="3:42" s="27" customFormat="1" ht="11.25" customHeight="1">
      <c r="C118" s="45" t="s">
        <v>150</v>
      </c>
      <c r="E118" s="59"/>
      <c r="F118" s="59"/>
      <c r="G118" s="59"/>
      <c r="H118" s="59"/>
      <c r="I118" s="59"/>
      <c r="J118" s="59"/>
      <c r="K118" s="59"/>
      <c r="L118" s="59"/>
      <c r="M118" s="59"/>
      <c r="N118" s="59"/>
      <c r="O118" s="59"/>
      <c r="P118" s="59"/>
      <c r="AH118" s="35">
        <f t="shared" ref="AH118:AM118" si="58">+SUM(AH115:AH117)</f>
        <v>-168</v>
      </c>
      <c r="AI118" s="35">
        <f t="shared" si="58"/>
        <v>-113</v>
      </c>
      <c r="AJ118" s="35">
        <f t="shared" si="58"/>
        <v>-134</v>
      </c>
      <c r="AK118" s="35">
        <f t="shared" si="58"/>
        <v>-120</v>
      </c>
      <c r="AL118" s="35">
        <f t="shared" si="58"/>
        <v>-127</v>
      </c>
      <c r="AM118" s="35">
        <f t="shared" si="58"/>
        <v>-152</v>
      </c>
      <c r="AN118" s="35">
        <f t="shared" ref="AN118" si="59">+SUM(AN115:AN117)</f>
        <v>-151</v>
      </c>
      <c r="AO118" s="35">
        <f t="shared" ref="AO118:AP118" si="60">+SUM(AO115:AO117)</f>
        <v>-24</v>
      </c>
      <c r="AP118" s="35">
        <f t="shared" si="60"/>
        <v>-13</v>
      </c>
    </row>
    <row r="119" spans="3:42" s="41" customFormat="1" ht="11.25" customHeight="1">
      <c r="C119" s="55" t="s">
        <v>68</v>
      </c>
      <c r="E119" s="42"/>
      <c r="F119" s="42"/>
      <c r="G119" s="42"/>
      <c r="H119" s="42"/>
      <c r="I119" s="42"/>
      <c r="J119" s="42"/>
      <c r="K119" s="42"/>
      <c r="L119" s="42"/>
      <c r="M119" s="42"/>
      <c r="N119" s="42"/>
      <c r="O119" s="42"/>
      <c r="P119" s="42"/>
      <c r="AH119" s="42">
        <f t="shared" ref="AH119:AM119" si="61">+AH118-AH112</f>
        <v>0</v>
      </c>
      <c r="AI119" s="42">
        <f t="shared" si="61"/>
        <v>0</v>
      </c>
      <c r="AJ119" s="42">
        <f t="shared" si="61"/>
        <v>0</v>
      </c>
      <c r="AK119" s="42">
        <f t="shared" si="61"/>
        <v>0</v>
      </c>
      <c r="AL119" s="42">
        <f t="shared" si="61"/>
        <v>0</v>
      </c>
      <c r="AM119" s="42">
        <f t="shared" si="61"/>
        <v>0</v>
      </c>
      <c r="AN119" s="42">
        <f t="shared" ref="AN119" si="62">+AN118-AN112</f>
        <v>0</v>
      </c>
      <c r="AO119" s="42">
        <f t="shared" ref="AO119:AP119" si="63">+AO118-AO112</f>
        <v>0</v>
      </c>
      <c r="AP119" s="42">
        <f t="shared" si="63"/>
        <v>0</v>
      </c>
    </row>
    <row r="120" spans="3:42" s="41" customFormat="1" ht="11.25" customHeight="1">
      <c r="C120" s="55"/>
      <c r="E120" s="33"/>
      <c r="F120" s="33"/>
      <c r="G120" s="33"/>
      <c r="H120" s="33"/>
      <c r="I120" s="33"/>
      <c r="J120" s="33"/>
      <c r="K120" s="33"/>
      <c r="L120" s="33"/>
      <c r="M120" s="33"/>
      <c r="N120" s="33"/>
      <c r="O120" s="33"/>
      <c r="P120" s="33"/>
      <c r="AH120" s="42"/>
      <c r="AI120" s="42"/>
      <c r="AJ120" s="42"/>
      <c r="AK120" s="42"/>
      <c r="AL120" s="42"/>
    </row>
    <row r="121" spans="3:42" s="56" customFormat="1" ht="11.25" customHeight="1">
      <c r="C121" s="58" t="s">
        <v>152</v>
      </c>
      <c r="E121" s="59"/>
      <c r="F121" s="59"/>
      <c r="G121" s="59"/>
      <c r="H121" s="59"/>
      <c r="I121" s="59"/>
      <c r="J121" s="59"/>
      <c r="K121" s="59"/>
      <c r="L121" s="59"/>
      <c r="M121" s="59"/>
      <c r="N121" s="59"/>
      <c r="O121" s="59"/>
      <c r="P121" s="59"/>
      <c r="AH121" s="29">
        <v>745</v>
      </c>
      <c r="AI121" s="29">
        <v>622</v>
      </c>
      <c r="AJ121" s="29">
        <v>801</v>
      </c>
      <c r="AK121" s="29">
        <v>658</v>
      </c>
      <c r="AL121" s="29">
        <v>840</v>
      </c>
      <c r="AM121" s="29">
        <v>972</v>
      </c>
      <c r="AN121" s="29">
        <v>769</v>
      </c>
      <c r="AO121" s="29">
        <v>288</v>
      </c>
      <c r="AP121" s="29">
        <v>176</v>
      </c>
    </row>
    <row r="122" spans="3:42" s="56" customFormat="1" ht="11.25" customHeight="1">
      <c r="C122" s="58" t="s">
        <v>153</v>
      </c>
      <c r="E122" s="59"/>
      <c r="F122" s="59"/>
      <c r="G122" s="59"/>
      <c r="H122" s="59"/>
      <c r="I122" s="59"/>
      <c r="J122" s="59"/>
      <c r="K122" s="59"/>
      <c r="L122" s="59"/>
      <c r="M122" s="59"/>
      <c r="N122" s="59"/>
      <c r="O122" s="59"/>
      <c r="P122" s="59"/>
      <c r="AH122" s="29">
        <v>573</v>
      </c>
      <c r="AI122" s="29">
        <v>501</v>
      </c>
      <c r="AJ122" s="29">
        <v>667</v>
      </c>
      <c r="AK122" s="29">
        <v>530</v>
      </c>
      <c r="AL122" s="29">
        <v>713</v>
      </c>
      <c r="AM122" s="29">
        <v>820</v>
      </c>
      <c r="AN122" s="29">
        <v>617</v>
      </c>
      <c r="AO122" s="29">
        <v>222</v>
      </c>
      <c r="AP122" s="29">
        <v>140</v>
      </c>
    </row>
    <row r="123" spans="3:42" s="56" customFormat="1" ht="11.25" customHeight="1">
      <c r="C123" s="58"/>
      <c r="E123" s="59"/>
      <c r="F123" s="59"/>
      <c r="G123" s="59"/>
      <c r="H123" s="59"/>
      <c r="I123" s="59"/>
      <c r="J123" s="59"/>
      <c r="K123" s="59"/>
      <c r="L123" s="59"/>
      <c r="M123" s="59"/>
      <c r="N123" s="59"/>
      <c r="O123" s="59"/>
      <c r="P123" s="59"/>
      <c r="AH123" s="29"/>
      <c r="AI123" s="29"/>
      <c r="AJ123" s="29"/>
      <c r="AK123" s="29"/>
      <c r="AL123" s="29"/>
    </row>
    <row r="124" spans="3:42" s="56" customFormat="1" ht="11.25" customHeight="1">
      <c r="C124" s="58" t="s">
        <v>183</v>
      </c>
      <c r="E124" s="28"/>
      <c r="F124" s="28"/>
      <c r="G124" s="28"/>
      <c r="H124" s="28"/>
      <c r="I124" s="28"/>
      <c r="J124" s="28"/>
      <c r="K124" s="28"/>
      <c r="L124" s="28"/>
      <c r="M124" s="28"/>
      <c r="N124" s="28"/>
      <c r="O124" s="28"/>
      <c r="P124" s="28"/>
      <c r="AH124" s="29"/>
      <c r="AI124" s="29"/>
      <c r="AJ124" s="29"/>
      <c r="AK124" s="29"/>
      <c r="AL124" s="29"/>
    </row>
    <row r="125" spans="3:42" s="56" customFormat="1" ht="11.25" customHeight="1">
      <c r="C125" s="64" t="s">
        <v>181</v>
      </c>
      <c r="E125" s="59"/>
      <c r="F125" s="59"/>
      <c r="G125" s="59"/>
      <c r="H125" s="59"/>
      <c r="I125" s="59"/>
      <c r="J125" s="59"/>
      <c r="K125" s="59"/>
      <c r="L125" s="59"/>
      <c r="M125" s="59"/>
      <c r="N125" s="59"/>
      <c r="O125" s="59"/>
      <c r="P125" s="59"/>
      <c r="AH125" s="65">
        <v>3.1E-2</v>
      </c>
      <c r="AI125" s="65">
        <v>3.2599999999999997E-2</v>
      </c>
      <c r="AJ125" s="65">
        <v>2.3300000000000001E-2</v>
      </c>
      <c r="AK125" s="65">
        <v>2.2499999999999999E-2</v>
      </c>
      <c r="AL125" s="65">
        <v>2.35E-2</v>
      </c>
      <c r="AM125" s="65">
        <v>1.5599999999999999E-2</v>
      </c>
      <c r="AN125" s="65">
        <v>1.0800000000000001E-2</v>
      </c>
      <c r="AO125" s="65">
        <v>1.5699999999999999E-2</v>
      </c>
      <c r="AP125" s="65">
        <v>4.2700000000000002E-2</v>
      </c>
    </row>
    <row r="126" spans="3:42" s="56" customFormat="1" ht="11.25" customHeight="1">
      <c r="C126" s="64" t="s">
        <v>182</v>
      </c>
      <c r="E126" s="59"/>
      <c r="F126" s="59"/>
      <c r="G126" s="59"/>
      <c r="H126" s="59"/>
      <c r="I126" s="59"/>
      <c r="J126" s="59"/>
      <c r="K126" s="59"/>
      <c r="L126" s="59"/>
      <c r="M126" s="59"/>
      <c r="N126" s="59"/>
      <c r="O126" s="59"/>
      <c r="P126" s="59"/>
      <c r="AH126" s="65">
        <v>3.2399999999999998E-2</v>
      </c>
      <c r="AI126" s="65">
        <v>0.03</v>
      </c>
      <c r="AJ126" s="65">
        <v>2.9399999999999999E-2</v>
      </c>
      <c r="AK126" s="65">
        <v>2.9499999999999998E-2</v>
      </c>
      <c r="AL126" s="65">
        <v>2.9399999999999999E-2</v>
      </c>
      <c r="AM126" s="65">
        <v>2.9399999999999999E-2</v>
      </c>
      <c r="AN126" s="65">
        <v>2.9399999999999999E-2</v>
      </c>
      <c r="AO126" s="65">
        <v>0.03</v>
      </c>
      <c r="AP126" s="65">
        <v>3.04E-2</v>
      </c>
    </row>
    <row r="127" spans="3:42" s="56" customFormat="1" ht="11.25" customHeight="1">
      <c r="C127" s="58"/>
      <c r="E127" s="28"/>
      <c r="F127" s="28"/>
      <c r="G127" s="28"/>
      <c r="H127" s="28"/>
      <c r="I127" s="28"/>
      <c r="J127" s="28"/>
      <c r="K127" s="28"/>
      <c r="L127" s="28"/>
      <c r="M127" s="28"/>
      <c r="N127" s="28"/>
      <c r="O127" s="28"/>
      <c r="P127" s="28"/>
      <c r="AH127" s="29"/>
      <c r="AI127" s="29"/>
      <c r="AJ127" s="29"/>
      <c r="AK127" s="29"/>
      <c r="AL127" s="29"/>
    </row>
    <row r="128" spans="3:42" s="56" customFormat="1" ht="11.25" customHeight="1">
      <c r="C128" s="58" t="s">
        <v>184</v>
      </c>
      <c r="E128" s="28"/>
      <c r="F128" s="28"/>
      <c r="G128" s="28"/>
      <c r="H128" s="28"/>
      <c r="I128" s="28"/>
      <c r="J128" s="28"/>
      <c r="K128" s="28"/>
      <c r="L128" s="28"/>
      <c r="M128" s="28"/>
      <c r="N128" s="28"/>
      <c r="O128" s="28"/>
      <c r="P128" s="28"/>
      <c r="AH128" s="29"/>
      <c r="AI128" s="29"/>
      <c r="AJ128" s="29"/>
      <c r="AK128" s="29"/>
      <c r="AL128" s="29"/>
    </row>
    <row r="129" spans="2:59" s="56" customFormat="1" ht="11.25" customHeight="1">
      <c r="C129" s="64" t="s">
        <v>187</v>
      </c>
      <c r="E129" s="59"/>
      <c r="F129" s="59"/>
      <c r="G129" s="59"/>
      <c r="H129" s="59"/>
      <c r="I129" s="59"/>
      <c r="J129" s="59"/>
      <c r="K129" s="59"/>
      <c r="L129" s="59"/>
      <c r="M129" s="59"/>
      <c r="N129" s="59"/>
      <c r="O129" s="59"/>
      <c r="P129" s="59"/>
      <c r="AH129" s="65">
        <v>4.1799999999999997E-2</v>
      </c>
      <c r="AI129" s="65">
        <v>3.1E-2</v>
      </c>
      <c r="AJ129" s="65">
        <v>3.2599999999999997E-2</v>
      </c>
      <c r="AK129" s="65">
        <v>2.3300000000000001E-2</v>
      </c>
      <c r="AL129" s="65">
        <v>2.2499999999999999E-2</v>
      </c>
      <c r="AM129" s="65">
        <v>2.35E-2</v>
      </c>
      <c r="AN129" s="756">
        <f t="shared" ref="AN129:AN131" si="64">IFERROR(0.0156,"NA ")</f>
        <v>1.5599999999999999E-2</v>
      </c>
      <c r="AO129" s="756">
        <v>1.0800000000000001E-2</v>
      </c>
      <c r="AP129" s="756">
        <v>1.5699999999999999E-2</v>
      </c>
    </row>
    <row r="130" spans="2:59" s="56" customFormat="1" ht="11.25" customHeight="1">
      <c r="C130" s="64" t="s">
        <v>185</v>
      </c>
      <c r="E130" s="59"/>
      <c r="F130" s="59"/>
      <c r="G130" s="59"/>
      <c r="H130" s="59"/>
      <c r="I130" s="59"/>
      <c r="J130" s="59"/>
      <c r="K130" s="59"/>
      <c r="L130" s="59"/>
      <c r="M130" s="59"/>
      <c r="N130" s="59"/>
      <c r="O130" s="59"/>
      <c r="P130" s="59"/>
      <c r="AH130" s="65">
        <v>4.1799999999999997E-2</v>
      </c>
      <c r="AI130" s="65">
        <v>3.1E-2</v>
      </c>
      <c r="AJ130" s="65">
        <v>3.2599999999999997E-2</v>
      </c>
      <c r="AK130" s="65">
        <v>2.3300000000000001E-2</v>
      </c>
      <c r="AL130" s="65">
        <v>2.2499999999999999E-2</v>
      </c>
      <c r="AM130" s="65">
        <v>2.35E-2</v>
      </c>
      <c r="AN130" s="756">
        <f t="shared" si="64"/>
        <v>1.5599999999999999E-2</v>
      </c>
      <c r="AO130" s="756">
        <v>1.0800000000000001E-2</v>
      </c>
      <c r="AP130" s="756">
        <v>1.3100000000000001E-2</v>
      </c>
    </row>
    <row r="131" spans="2:59" s="56" customFormat="1" ht="11.25" customHeight="1">
      <c r="C131" s="64" t="s">
        <v>186</v>
      </c>
      <c r="E131" s="59"/>
      <c r="F131" s="59"/>
      <c r="G131" s="59"/>
      <c r="H131" s="59"/>
      <c r="I131" s="59"/>
      <c r="J131" s="59"/>
      <c r="K131" s="59"/>
      <c r="L131" s="59"/>
      <c r="M131" s="59"/>
      <c r="N131" s="59"/>
      <c r="O131" s="59"/>
      <c r="P131" s="59"/>
      <c r="AH131" s="65">
        <v>4.1799999999999997E-2</v>
      </c>
      <c r="AI131" s="65">
        <v>3.1E-2</v>
      </c>
      <c r="AJ131" s="65">
        <v>3.2599999999999997E-2</v>
      </c>
      <c r="AK131" s="65">
        <v>2.3300000000000001E-2</v>
      </c>
      <c r="AL131" s="65">
        <v>2.2499999999999999E-2</v>
      </c>
      <c r="AM131" s="65">
        <v>2.35E-2</v>
      </c>
      <c r="AN131" s="756">
        <f t="shared" si="64"/>
        <v>1.5599999999999999E-2</v>
      </c>
      <c r="AO131" s="756">
        <v>1.0800000000000001E-2</v>
      </c>
      <c r="AP131" s="756">
        <v>1.5699999999999999E-2</v>
      </c>
      <c r="AQ131" s="657">
        <f>+AP131</f>
        <v>1.5699999999999999E-2</v>
      </c>
      <c r="AR131" s="657">
        <f>+AQ131</f>
        <v>1.5699999999999999E-2</v>
      </c>
      <c r="AS131" s="657">
        <f>+AR131</f>
        <v>1.5699999999999999E-2</v>
      </c>
      <c r="AT131" s="657">
        <f>+AS131</f>
        <v>1.5699999999999999E-2</v>
      </c>
    </row>
    <row r="132" spans="2:59" s="56" customFormat="1" ht="11.25" customHeight="1">
      <c r="C132" s="64" t="s">
        <v>126</v>
      </c>
      <c r="E132" s="59"/>
      <c r="F132" s="59"/>
      <c r="G132" s="59"/>
      <c r="H132" s="59"/>
      <c r="I132" s="59"/>
      <c r="J132" s="59"/>
      <c r="K132" s="59"/>
      <c r="L132" s="59"/>
      <c r="M132" s="59"/>
      <c r="N132" s="59"/>
      <c r="O132" s="59"/>
      <c r="P132" s="59"/>
      <c r="AH132" s="65">
        <v>5.7799999999999997E-2</v>
      </c>
      <c r="AI132" s="65">
        <v>5.5E-2</v>
      </c>
      <c r="AJ132" s="65">
        <v>5.11E-2</v>
      </c>
      <c r="AK132" s="65">
        <v>5.0200000000000002E-2</v>
      </c>
      <c r="AL132" s="65">
        <v>4.8300000000000003E-2</v>
      </c>
      <c r="AM132" s="65">
        <v>4.4900000000000002E-2</v>
      </c>
      <c r="AN132" s="756">
        <f>IFERROR(0.0426,"NA ")</f>
        <v>4.2599999999999999E-2</v>
      </c>
      <c r="AO132" s="756">
        <v>4.0399999999999998E-2</v>
      </c>
      <c r="AP132" s="756">
        <v>3.8100000000000002E-2</v>
      </c>
      <c r="AQ132" s="657">
        <v>4.8000000000000001E-2</v>
      </c>
      <c r="AR132" s="657">
        <v>4.8000000000000001E-2</v>
      </c>
      <c r="AS132" s="657">
        <v>4.8000000000000001E-2</v>
      </c>
      <c r="AT132" s="657">
        <v>4.8000000000000001E-2</v>
      </c>
    </row>
    <row r="133" spans="2:59" s="56" customFormat="1" ht="11.25" customHeight="1">
      <c r="C133" s="64" t="s">
        <v>1072</v>
      </c>
      <c r="E133" s="59"/>
      <c r="F133" s="59"/>
      <c r="G133" s="59"/>
      <c r="H133" s="59"/>
      <c r="I133" s="59"/>
      <c r="J133" s="59"/>
      <c r="K133" s="59"/>
      <c r="L133" s="59"/>
      <c r="M133" s="59"/>
      <c r="N133" s="59"/>
      <c r="O133" s="59"/>
      <c r="P133" s="59"/>
      <c r="AH133" s="659">
        <f t="shared" ref="AH133:AN133" si="65">AH101/AH100</f>
        <v>0.1398176291793313</v>
      </c>
      <c r="AI133" s="659">
        <f t="shared" si="65"/>
        <v>1.0014306151645207E-2</v>
      </c>
      <c r="AJ133" s="659">
        <f t="shared" si="65"/>
        <v>0.15846153846153846</v>
      </c>
      <c r="AK133" s="659">
        <f t="shared" si="65"/>
        <v>4.6476761619190406E-2</v>
      </c>
      <c r="AL133" s="659">
        <f t="shared" si="65"/>
        <v>-2.4579560155239329E-2</v>
      </c>
      <c r="AM133" s="659">
        <f t="shared" si="65"/>
        <v>0.14305750350631136</v>
      </c>
      <c r="AN133" s="659">
        <f t="shared" si="65"/>
        <v>8.7804878048780483E-2</v>
      </c>
      <c r="AO133" s="659">
        <f t="shared" ref="AO133:AP133" si="66">AO101/AO100</f>
        <v>3.3049040511727079E-2</v>
      </c>
      <c r="AP133" s="659">
        <f t="shared" si="66"/>
        <v>-0.27056277056277056</v>
      </c>
      <c r="AQ133" s="659">
        <f>+AQ132</f>
        <v>4.8000000000000001E-2</v>
      </c>
      <c r="AR133" s="659">
        <f>+AR132</f>
        <v>4.8000000000000001E-2</v>
      </c>
      <c r="AS133" s="659">
        <f>+AS132</f>
        <v>4.8000000000000001E-2</v>
      </c>
      <c r="AT133" s="659">
        <f>+AT132</f>
        <v>4.8000000000000001E-2</v>
      </c>
    </row>
    <row r="134" spans="2:59" s="56" customFormat="1" ht="11.25" customHeight="1">
      <c r="C134" s="64" t="s">
        <v>182</v>
      </c>
      <c r="E134" s="59"/>
      <c r="F134" s="59"/>
      <c r="G134" s="59"/>
      <c r="H134" s="59"/>
      <c r="I134" s="59"/>
      <c r="J134" s="59"/>
      <c r="K134" s="59"/>
      <c r="L134" s="59"/>
      <c r="M134" s="59"/>
      <c r="N134" s="59"/>
      <c r="O134" s="59"/>
      <c r="P134" s="59"/>
      <c r="AH134" s="65">
        <v>3.49E-2</v>
      </c>
      <c r="AI134" s="65">
        <v>3.2399999999999998E-2</v>
      </c>
      <c r="AJ134" s="65">
        <v>0.03</v>
      </c>
      <c r="AK134" s="65">
        <v>2.9399999999999999E-2</v>
      </c>
      <c r="AL134" s="65">
        <v>2.9499999999999998E-2</v>
      </c>
      <c r="AM134" s="65">
        <v>2.9499999999999998E-2</v>
      </c>
      <c r="AN134" s="65">
        <v>2.9399999999999999E-2</v>
      </c>
      <c r="AO134" s="65">
        <v>2.9399999999999999E-2</v>
      </c>
      <c r="AP134" s="65">
        <v>0.03</v>
      </c>
      <c r="AQ134" s="657">
        <f>+AP134</f>
        <v>0.03</v>
      </c>
      <c r="AR134" s="657">
        <f>+AQ134</f>
        <v>0.03</v>
      </c>
      <c r="AS134" s="657">
        <f>+AR134</f>
        <v>0.03</v>
      </c>
      <c r="AT134" s="657">
        <f>+AS134</f>
        <v>0.03</v>
      </c>
    </row>
    <row r="136" spans="2:59" s="5" customFormat="1" ht="10.5">
      <c r="B136" s="19" t="s">
        <v>14</v>
      </c>
      <c r="C136" s="20" t="s">
        <v>132</v>
      </c>
      <c r="D136" s="20"/>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H136" s="19"/>
      <c r="AI136" s="19"/>
      <c r="AJ136" s="19"/>
      <c r="AK136" s="19"/>
      <c r="AL136" s="19"/>
      <c r="AM136" s="19"/>
      <c r="AN136" s="19"/>
      <c r="AO136" s="19"/>
      <c r="AP136" s="19"/>
      <c r="AQ136" s="19"/>
      <c r="AR136" s="19"/>
      <c r="AS136" s="19"/>
      <c r="AT136" s="19"/>
      <c r="AV136" s="19"/>
      <c r="AW136" s="19"/>
      <c r="AX136" s="19"/>
      <c r="AY136" s="19"/>
      <c r="AZ136" s="19"/>
      <c r="BA136" s="19"/>
      <c r="BB136" s="19"/>
      <c r="BC136" s="19"/>
      <c r="BD136" s="19"/>
      <c r="BE136" s="19"/>
      <c r="BF136" s="19"/>
      <c r="BG136" s="19"/>
    </row>
    <row r="138" spans="2:59" s="5" customFormat="1" ht="10.5">
      <c r="C138" s="53" t="s">
        <v>130</v>
      </c>
      <c r="D138" s="21"/>
      <c r="E138" s="52">
        <v>2</v>
      </c>
      <c r="F138" s="52">
        <v>1</v>
      </c>
      <c r="G138" s="52">
        <v>2</v>
      </c>
      <c r="H138" s="54">
        <f>+AJ138-SUM(E138:G138)</f>
        <v>0</v>
      </c>
      <c r="I138" s="52">
        <v>1</v>
      </c>
      <c r="J138" s="52">
        <v>1</v>
      </c>
      <c r="K138" s="52">
        <v>0</v>
      </c>
      <c r="L138" s="54">
        <f>+AK138-SUM(I138:K138)</f>
        <v>1</v>
      </c>
      <c r="M138" s="52">
        <v>0</v>
      </c>
      <c r="N138" s="52">
        <v>0</v>
      </c>
      <c r="O138" s="52">
        <v>0</v>
      </c>
      <c r="P138" s="54">
        <f>+AL138-SUM(M138:O138)</f>
        <v>0</v>
      </c>
      <c r="Q138" s="52">
        <v>0</v>
      </c>
      <c r="R138" s="52">
        <v>0</v>
      </c>
      <c r="S138" s="52">
        <v>0</v>
      </c>
      <c r="T138" s="54">
        <f t="shared" ref="T138:X138" ca="1" si="67">+AM138-SUM(M138:O138)</f>
        <v>0</v>
      </c>
      <c r="U138" s="54">
        <f t="shared" ca="1" si="67"/>
        <v>0</v>
      </c>
      <c r="V138" s="54">
        <f t="shared" si="67"/>
        <v>0</v>
      </c>
      <c r="W138" s="54">
        <f t="shared" si="67"/>
        <v>0</v>
      </c>
      <c r="X138" s="54">
        <f t="shared" si="67"/>
        <v>0</v>
      </c>
      <c r="Y138" s="54">
        <f ca="1">+AU138-SUM(R138:T138)</f>
        <v>0</v>
      </c>
      <c r="Z138" s="54">
        <f ca="1">+AV138-SUM(S138:U138)</f>
        <v>0</v>
      </c>
      <c r="AA138" s="54">
        <f ca="1">+AW138-SUM(T138:V138)</f>
        <v>0</v>
      </c>
      <c r="AB138" s="54">
        <f t="shared" ref="AB138:AB145" ca="1" si="68">AO138-SUM(Y138:AA138)</f>
        <v>0</v>
      </c>
      <c r="AC138" s="54">
        <f>+AY138-SUM(V138:X138)</f>
        <v>0</v>
      </c>
      <c r="AD138" s="23"/>
      <c r="AE138" s="23"/>
      <c r="AF138" s="23"/>
      <c r="AH138" s="52">
        <v>8</v>
      </c>
      <c r="AI138" s="52">
        <v>8</v>
      </c>
      <c r="AJ138" s="52">
        <v>5</v>
      </c>
      <c r="AK138" s="52">
        <v>3</v>
      </c>
      <c r="AL138" s="52">
        <v>0</v>
      </c>
      <c r="AM138" s="33">
        <f ca="1">SUMIF($E$5:$X$5,AM$5,$E138:$X138)</f>
        <v>0</v>
      </c>
      <c r="AN138" s="33">
        <f ca="1">SUMIF($E$5:$X$5,AN$5,$E138:$X138)</f>
        <v>0</v>
      </c>
      <c r="AO138" s="52">
        <v>0</v>
      </c>
      <c r="AP138" s="52">
        <v>0</v>
      </c>
      <c r="AQ138" s="52">
        <v>0</v>
      </c>
      <c r="AR138" s="52">
        <v>0</v>
      </c>
      <c r="AS138" s="52">
        <v>0</v>
      </c>
      <c r="AT138" s="52">
        <v>0</v>
      </c>
    </row>
    <row r="139" spans="2:59" s="5" customFormat="1" ht="10.5">
      <c r="C139" s="53" t="s">
        <v>125</v>
      </c>
      <c r="E139" s="52">
        <v>7</v>
      </c>
      <c r="F139" s="52">
        <v>7</v>
      </c>
      <c r="G139" s="52">
        <v>7</v>
      </c>
      <c r="H139" s="54">
        <f>+AJ139-SUM(E139:G139)</f>
        <v>6</v>
      </c>
      <c r="I139" s="52">
        <v>6</v>
      </c>
      <c r="J139" s="52">
        <v>6</v>
      </c>
      <c r="K139" s="52">
        <v>6</v>
      </c>
      <c r="L139" s="54">
        <f>+AK139-SUM(I139:K139)</f>
        <v>5</v>
      </c>
      <c r="M139" s="52">
        <v>6</v>
      </c>
      <c r="N139" s="52">
        <v>5</v>
      </c>
      <c r="O139" s="52">
        <v>6</v>
      </c>
      <c r="P139" s="54">
        <f>+AL139-SUM(M139:O139)</f>
        <v>5</v>
      </c>
      <c r="Q139" s="52">
        <v>6</v>
      </c>
      <c r="R139" s="52">
        <v>7</v>
      </c>
      <c r="S139" s="52">
        <v>6</v>
      </c>
      <c r="T139" s="54">
        <f>+AM139-SUM(M139:O139)</f>
        <v>8</v>
      </c>
      <c r="U139" s="52">
        <v>5</v>
      </c>
      <c r="V139" s="52">
        <v>4</v>
      </c>
      <c r="W139" s="52">
        <v>5</v>
      </c>
      <c r="X139" s="54">
        <f>AN139-SUM(U139:W139)</f>
        <v>5</v>
      </c>
      <c r="Y139" s="52">
        <v>3</v>
      </c>
      <c r="Z139" s="52">
        <v>3</v>
      </c>
      <c r="AA139" s="52">
        <v>3</v>
      </c>
      <c r="AB139" s="54">
        <f t="shared" si="68"/>
        <v>3</v>
      </c>
      <c r="AC139" s="52">
        <v>4</v>
      </c>
      <c r="AD139" s="658"/>
      <c r="AE139" s="658"/>
      <c r="AF139" s="658"/>
      <c r="AH139" s="52">
        <v>45</v>
      </c>
      <c r="AI139" s="52">
        <v>39</v>
      </c>
      <c r="AJ139" s="52">
        <v>27</v>
      </c>
      <c r="AK139" s="52">
        <v>23</v>
      </c>
      <c r="AL139" s="52">
        <v>22</v>
      </c>
      <c r="AM139" s="52">
        <v>25</v>
      </c>
      <c r="AN139" s="29">
        <v>19</v>
      </c>
      <c r="AO139" s="52">
        <v>12</v>
      </c>
      <c r="AP139" s="52">
        <v>14</v>
      </c>
      <c r="AQ139" s="54">
        <f>+AQ149*AQ192</f>
        <v>11.961500000000001</v>
      </c>
      <c r="AR139" s="54">
        <f>+AR149*AR192</f>
        <v>11.537595250000001</v>
      </c>
      <c r="AS139" s="54">
        <f>+AS149*AS192</f>
        <v>11.103728738374999</v>
      </c>
      <c r="AT139" s="54">
        <f>+AT149*AT192</f>
        <v>10.659666363726812</v>
      </c>
    </row>
    <row r="140" spans="2:59" s="5" customFormat="1" ht="10.5">
      <c r="C140" s="53" t="s">
        <v>126</v>
      </c>
      <c r="E140" s="52">
        <v>-2</v>
      </c>
      <c r="F140" s="52">
        <v>-1</v>
      </c>
      <c r="G140" s="52">
        <v>-1</v>
      </c>
      <c r="H140" s="54">
        <f>+AJ140-SUM(E140:G140)</f>
        <v>-2</v>
      </c>
      <c r="I140" s="52">
        <v>-2</v>
      </c>
      <c r="J140" s="52">
        <v>-1</v>
      </c>
      <c r="K140" s="52">
        <v>-1</v>
      </c>
      <c r="L140" s="54">
        <f>+AK140-SUM(I140:K140)</f>
        <v>-1</v>
      </c>
      <c r="M140" s="52">
        <v>-2</v>
      </c>
      <c r="N140" s="52">
        <v>0</v>
      </c>
      <c r="O140" s="52">
        <v>-2</v>
      </c>
      <c r="P140" s="54">
        <f>+AL140-SUM(M140:O140)</f>
        <v>-1</v>
      </c>
      <c r="Q140" s="52">
        <v>-1</v>
      </c>
      <c r="R140" s="52">
        <v>-1</v>
      </c>
      <c r="S140" s="52">
        <v>-2</v>
      </c>
      <c r="T140" s="54">
        <f>+AM140-SUM(M140:O140)</f>
        <v>-1</v>
      </c>
      <c r="U140" s="52">
        <v>-1</v>
      </c>
      <c r="V140" s="52">
        <v>-1</v>
      </c>
      <c r="W140" s="52">
        <v>-2</v>
      </c>
      <c r="X140" s="54">
        <f>AN140-SUM(U140:W140)</f>
        <v>-1</v>
      </c>
      <c r="Y140" s="52">
        <v>-1</v>
      </c>
      <c r="Z140" s="52">
        <v>-1</v>
      </c>
      <c r="AA140" s="52">
        <v>-1</v>
      </c>
      <c r="AB140" s="54">
        <f t="shared" si="68"/>
        <v>-2</v>
      </c>
      <c r="AC140" s="52">
        <v>-1</v>
      </c>
      <c r="AD140" s="658"/>
      <c r="AE140" s="658"/>
      <c r="AF140" s="658"/>
      <c r="AH140" s="52">
        <v>-7</v>
      </c>
      <c r="AI140" s="52">
        <v>-6</v>
      </c>
      <c r="AJ140" s="52">
        <v>-6</v>
      </c>
      <c r="AK140" s="52">
        <v>-5</v>
      </c>
      <c r="AL140" s="52">
        <v>-5</v>
      </c>
      <c r="AM140" s="52">
        <v>-5</v>
      </c>
      <c r="AN140" s="29">
        <v>-5</v>
      </c>
      <c r="AO140" s="52">
        <v>-5</v>
      </c>
      <c r="AP140" s="52">
        <v>-4</v>
      </c>
      <c r="AQ140" s="658">
        <f>+AP140</f>
        <v>-4</v>
      </c>
      <c r="AR140" s="658">
        <f>+AQ140</f>
        <v>-4</v>
      </c>
      <c r="AS140" s="658">
        <f>+AR140</f>
        <v>-4</v>
      </c>
      <c r="AT140" s="658">
        <f>+AS140</f>
        <v>-4</v>
      </c>
    </row>
    <row r="141" spans="2:59" s="5" customFormat="1" ht="10.5">
      <c r="C141" s="53" t="s">
        <v>134</v>
      </c>
      <c r="E141" s="52">
        <v>0</v>
      </c>
      <c r="F141" s="52">
        <v>0</v>
      </c>
      <c r="G141" s="52">
        <v>0</v>
      </c>
      <c r="H141" s="54">
        <f>+AJ141-SUM(E141:G141)</f>
        <v>0</v>
      </c>
      <c r="I141" s="52">
        <v>0</v>
      </c>
      <c r="J141" s="52">
        <v>0</v>
      </c>
      <c r="K141" s="52">
        <v>0</v>
      </c>
      <c r="L141" s="54">
        <f>+AK141-SUM(I141:K141)</f>
        <v>0</v>
      </c>
      <c r="M141" s="52">
        <v>0</v>
      </c>
      <c r="N141" s="52">
        <v>0</v>
      </c>
      <c r="O141" s="52">
        <v>0</v>
      </c>
      <c r="P141" s="54">
        <f>+AL141-SUM(M141:O141)</f>
        <v>0</v>
      </c>
      <c r="Q141" s="52">
        <v>0</v>
      </c>
      <c r="R141" s="52"/>
      <c r="T141" s="54">
        <f>+AM141-SUM(M141:O141)</f>
        <v>0</v>
      </c>
      <c r="AB141" s="54"/>
      <c r="AC141" s="5">
        <v>0</v>
      </c>
      <c r="AH141" s="52">
        <v>0</v>
      </c>
      <c r="AI141" s="52">
        <v>-2</v>
      </c>
      <c r="AJ141" s="52"/>
      <c r="AK141" s="52"/>
      <c r="AL141" s="52"/>
      <c r="AM141" s="52"/>
      <c r="AN141" s="52"/>
      <c r="AO141" s="52"/>
      <c r="AP141" s="52"/>
      <c r="AQ141" s="23"/>
      <c r="AR141" s="23"/>
      <c r="AS141" s="23"/>
      <c r="AT141" s="23"/>
    </row>
    <row r="142" spans="2:59" s="5" customFormat="1" ht="10.5">
      <c r="C142" s="53"/>
      <c r="E142" s="52"/>
      <c r="F142" s="52"/>
      <c r="G142" s="52"/>
      <c r="H142" s="52"/>
      <c r="I142" s="52"/>
      <c r="J142" s="52"/>
      <c r="K142" s="52"/>
      <c r="L142" s="52"/>
      <c r="M142" s="52"/>
      <c r="N142" s="52"/>
      <c r="O142" s="52"/>
      <c r="P142" s="52"/>
      <c r="Q142" s="52"/>
      <c r="R142" s="52"/>
      <c r="AB142" s="54"/>
      <c r="AH142" s="52"/>
      <c r="AI142" s="52"/>
      <c r="AJ142" s="52"/>
      <c r="AK142" s="52"/>
      <c r="AL142" s="52"/>
      <c r="AM142" s="52"/>
      <c r="AN142" s="52"/>
      <c r="AO142" s="52"/>
      <c r="AP142" s="52"/>
      <c r="AQ142" s="23"/>
      <c r="AR142" s="23"/>
      <c r="AS142" s="23"/>
      <c r="AT142" s="23"/>
    </row>
    <row r="143" spans="2:59" s="5" customFormat="1" ht="10.5">
      <c r="C143" s="53" t="s">
        <v>127</v>
      </c>
      <c r="E143" s="52"/>
      <c r="F143" s="52"/>
      <c r="G143" s="52"/>
      <c r="H143" s="52"/>
      <c r="I143" s="52"/>
      <c r="J143" s="52"/>
      <c r="K143" s="52"/>
      <c r="L143" s="52"/>
      <c r="M143" s="52"/>
      <c r="N143" s="52"/>
      <c r="O143" s="52"/>
      <c r="P143" s="52"/>
      <c r="Q143" s="52"/>
      <c r="R143" s="52"/>
      <c r="AB143" s="54"/>
      <c r="AH143" s="52"/>
      <c r="AI143" s="52"/>
      <c r="AJ143" s="52"/>
      <c r="AK143" s="52"/>
      <c r="AL143" s="52"/>
      <c r="AM143" s="52"/>
      <c r="AN143" s="52"/>
      <c r="AO143" s="52"/>
      <c r="AP143" s="52"/>
      <c r="AQ143" s="23"/>
      <c r="AR143" s="23"/>
      <c r="AS143" s="23"/>
      <c r="AT143" s="23"/>
    </row>
    <row r="144" spans="2:59" s="5" customFormat="1" ht="10.5">
      <c r="C144" s="50" t="s">
        <v>128</v>
      </c>
      <c r="E144" s="52">
        <v>-10</v>
      </c>
      <c r="F144" s="52">
        <v>-10</v>
      </c>
      <c r="G144" s="52">
        <v>-11</v>
      </c>
      <c r="H144" s="54">
        <f>+AJ144-SUM(E144:G144)</f>
        <v>-13</v>
      </c>
      <c r="I144" s="52">
        <v>-10</v>
      </c>
      <c r="J144" s="52">
        <v>-10</v>
      </c>
      <c r="K144" s="52">
        <v>-10</v>
      </c>
      <c r="L144" s="54">
        <f>+AK144-SUM(I144:K144)</f>
        <v>-10</v>
      </c>
      <c r="M144" s="52">
        <v>-10</v>
      </c>
      <c r="N144" s="52">
        <v>-10</v>
      </c>
      <c r="O144" s="52">
        <v>-10</v>
      </c>
      <c r="P144" s="54">
        <f>+AL144-SUM(M144:O144)</f>
        <v>-10</v>
      </c>
      <c r="Q144" s="52">
        <v>-10</v>
      </c>
      <c r="R144" s="52">
        <v>-10</v>
      </c>
      <c r="S144" s="52">
        <v>-9</v>
      </c>
      <c r="T144" s="54">
        <f>+AM144-SUM(M144:O144)</f>
        <v>-9</v>
      </c>
      <c r="U144" s="52">
        <v>0</v>
      </c>
      <c r="V144" s="52">
        <v>0</v>
      </c>
      <c r="W144" s="52">
        <v>0</v>
      </c>
      <c r="X144" s="54">
        <f>AN144-SUM(U144:W144)</f>
        <v>-38</v>
      </c>
      <c r="Y144" s="52">
        <v>0</v>
      </c>
      <c r="Z144" s="52">
        <v>0</v>
      </c>
      <c r="AA144" s="52">
        <v>0</v>
      </c>
      <c r="AB144" s="54">
        <f t="shared" si="68"/>
        <v>-38</v>
      </c>
      <c r="AC144" s="52">
        <v>-8</v>
      </c>
      <c r="AD144" s="658"/>
      <c r="AE144" s="658"/>
      <c r="AF144" s="658"/>
      <c r="AH144" s="52">
        <v>-24</v>
      </c>
      <c r="AI144" s="52">
        <v>-24</v>
      </c>
      <c r="AJ144" s="52">
        <v>-44</v>
      </c>
      <c r="AK144" s="52">
        <v>-40</v>
      </c>
      <c r="AL144" s="52">
        <v>-40</v>
      </c>
      <c r="AM144" s="52">
        <v>-39</v>
      </c>
      <c r="AN144" s="29">
        <v>-38</v>
      </c>
      <c r="AO144" s="52">
        <v>-38</v>
      </c>
      <c r="AP144" s="52">
        <v>-31</v>
      </c>
      <c r="AQ144" s="658">
        <v>-20</v>
      </c>
      <c r="AR144" s="658">
        <v>-20</v>
      </c>
      <c r="AS144" s="658">
        <v>-20</v>
      </c>
      <c r="AT144" s="658">
        <v>-20</v>
      </c>
    </row>
    <row r="145" spans="3:46" s="5" customFormat="1" ht="10.5">
      <c r="C145" s="50" t="s">
        <v>133</v>
      </c>
      <c r="E145" s="52">
        <v>0</v>
      </c>
      <c r="F145" s="52">
        <v>0</v>
      </c>
      <c r="G145" s="52">
        <v>0</v>
      </c>
      <c r="H145" s="54">
        <f>+AJ145-SUM(E145:G145)</f>
        <v>11</v>
      </c>
      <c r="I145" s="52">
        <v>0</v>
      </c>
      <c r="J145" s="52">
        <v>0</v>
      </c>
      <c r="K145" s="52">
        <v>0</v>
      </c>
      <c r="L145" s="54">
        <f>+AK145-SUM(I145:K145)</f>
        <v>23</v>
      </c>
      <c r="M145" s="52">
        <v>0</v>
      </c>
      <c r="N145" s="52">
        <v>0</v>
      </c>
      <c r="O145" s="52">
        <v>0</v>
      </c>
      <c r="P145" s="54">
        <f>+AL145-SUM(M145:O145)</f>
        <v>-26</v>
      </c>
      <c r="Q145" s="52">
        <v>0</v>
      </c>
      <c r="R145" s="52">
        <v>0</v>
      </c>
      <c r="S145" s="52">
        <v>0</v>
      </c>
      <c r="T145" s="54">
        <f>+AM145-SUM(M145:O145)</f>
        <v>61</v>
      </c>
      <c r="U145" s="52">
        <v>0</v>
      </c>
      <c r="V145" s="52">
        <v>0</v>
      </c>
      <c r="W145" s="52">
        <v>-9</v>
      </c>
      <c r="X145" s="54">
        <f>AN145-SUM(U145:W145)</f>
        <v>58</v>
      </c>
      <c r="Y145" s="52">
        <v>-9</v>
      </c>
      <c r="Z145" s="52">
        <v>0</v>
      </c>
      <c r="AA145" s="52">
        <v>-9</v>
      </c>
      <c r="AB145" s="54">
        <f t="shared" si="68"/>
        <v>-17</v>
      </c>
      <c r="AC145" s="52">
        <v>0</v>
      </c>
      <c r="AD145" s="658"/>
      <c r="AE145" s="658"/>
      <c r="AF145" s="658"/>
      <c r="AH145" s="52">
        <v>43</v>
      </c>
      <c r="AI145" s="52">
        <v>-5</v>
      </c>
      <c r="AJ145" s="52">
        <v>11</v>
      </c>
      <c r="AK145" s="52">
        <v>23</v>
      </c>
      <c r="AL145" s="52">
        <v>-26</v>
      </c>
      <c r="AM145" s="52">
        <v>61</v>
      </c>
      <c r="AN145" s="29">
        <v>49</v>
      </c>
      <c r="AO145" s="52">
        <v>-35</v>
      </c>
      <c r="AP145" s="52">
        <v>-103</v>
      </c>
      <c r="AQ145" s="23"/>
      <c r="AR145" s="23"/>
      <c r="AS145" s="23"/>
      <c r="AT145" s="23"/>
    </row>
    <row r="146" spans="3:46" s="27" customFormat="1" ht="11.25" customHeight="1">
      <c r="C146" s="36" t="s">
        <v>129</v>
      </c>
      <c r="E146" s="35">
        <f t="shared" ref="E146:O146" si="69">+E144+E140+E139+E138+E145+E141</f>
        <v>-3</v>
      </c>
      <c r="F146" s="35">
        <f t="shared" si="69"/>
        <v>-3</v>
      </c>
      <c r="G146" s="35">
        <f t="shared" si="69"/>
        <v>-3</v>
      </c>
      <c r="H146" s="35">
        <f t="shared" si="69"/>
        <v>2</v>
      </c>
      <c r="I146" s="35">
        <f t="shared" si="69"/>
        <v>-5</v>
      </c>
      <c r="J146" s="35">
        <f t="shared" si="69"/>
        <v>-4</v>
      </c>
      <c r="K146" s="35">
        <f t="shared" si="69"/>
        <v>-5</v>
      </c>
      <c r="L146" s="35">
        <f t="shared" si="69"/>
        <v>18</v>
      </c>
      <c r="M146" s="35">
        <f t="shared" si="69"/>
        <v>-6</v>
      </c>
      <c r="N146" s="35">
        <f t="shared" si="69"/>
        <v>-5</v>
      </c>
      <c r="O146" s="35">
        <f t="shared" si="69"/>
        <v>-6</v>
      </c>
      <c r="P146" s="35">
        <f>+P144+P140+P139+P138+P145+P141</f>
        <v>-32</v>
      </c>
      <c r="Q146" s="35">
        <f t="shared" ref="Q146:T146" si="70">+Q144+Q140+Q139+Q138+Q145+Q141</f>
        <v>-5</v>
      </c>
      <c r="R146" s="35">
        <f t="shared" si="70"/>
        <v>-4</v>
      </c>
      <c r="S146" s="35">
        <f t="shared" si="70"/>
        <v>-5</v>
      </c>
      <c r="T146" s="35">
        <f t="shared" ca="1" si="70"/>
        <v>59</v>
      </c>
      <c r="U146" s="35">
        <f t="shared" ref="U146:AC146" ca="1" si="71">+U144+U140+U139+U138+U145+U141</f>
        <v>4</v>
      </c>
      <c r="V146" s="35">
        <f t="shared" si="71"/>
        <v>3</v>
      </c>
      <c r="W146" s="35">
        <f t="shared" si="71"/>
        <v>-6</v>
      </c>
      <c r="X146" s="35">
        <f t="shared" si="71"/>
        <v>24</v>
      </c>
      <c r="Y146" s="35">
        <f t="shared" ca="1" si="71"/>
        <v>-7</v>
      </c>
      <c r="Z146" s="35">
        <f t="shared" ca="1" si="71"/>
        <v>2</v>
      </c>
      <c r="AA146" s="35">
        <f t="shared" ca="1" si="71"/>
        <v>-7</v>
      </c>
      <c r="AB146" s="35">
        <f t="shared" ca="1" si="71"/>
        <v>-54</v>
      </c>
      <c r="AC146" s="35">
        <f t="shared" si="71"/>
        <v>-5</v>
      </c>
      <c r="AD146" s="30"/>
      <c r="AE146" s="30"/>
      <c r="AF146" s="30"/>
      <c r="AH146" s="35">
        <f>+AH144+AH140+AH139+AH138+AH145+AH141</f>
        <v>65</v>
      </c>
      <c r="AI146" s="35">
        <f>+AI144+AI140+AI139+AI138+AI145+AI141</f>
        <v>10</v>
      </c>
      <c r="AJ146" s="35">
        <f>+AJ144+AJ140+AJ139+AJ138+AJ145+AJ141</f>
        <v>-7</v>
      </c>
      <c r="AK146" s="35">
        <f>+AK144+AK140+AK139+AK138+AK145+AK141</f>
        <v>4</v>
      </c>
      <c r="AL146" s="35">
        <f t="shared" ref="AL146:AQ146" si="72">+AL144+AL140+AL139+AL138+AL145+AL141</f>
        <v>-49</v>
      </c>
      <c r="AM146" s="35">
        <f t="shared" ca="1" si="72"/>
        <v>42</v>
      </c>
      <c r="AN146" s="35">
        <f t="shared" ca="1" si="72"/>
        <v>25</v>
      </c>
      <c r="AO146" s="35">
        <f t="shared" si="72"/>
        <v>-66</v>
      </c>
      <c r="AP146" s="35">
        <f t="shared" ref="AP146" si="73">+AP144+AP140+AP139+AP138+AP145+AP141</f>
        <v>-124</v>
      </c>
      <c r="AQ146" s="35">
        <f t="shared" si="72"/>
        <v>-12.038499999999999</v>
      </c>
      <c r="AR146" s="35">
        <f t="shared" ref="AR146:AS146" si="74">+AR144+AR140+AR139+AR138+AR145+AR141</f>
        <v>-12.462404749999999</v>
      </c>
      <c r="AS146" s="35">
        <f t="shared" si="74"/>
        <v>-12.896271261625001</v>
      </c>
      <c r="AT146" s="35">
        <f t="shared" ref="AT146" si="75">+AT144+AT140+AT139+AT138+AT145+AT141</f>
        <v>-13.340333636273188</v>
      </c>
    </row>
    <row r="148" spans="3:46" ht="11.25" customHeight="1">
      <c r="C148" s="26" t="s">
        <v>135</v>
      </c>
      <c r="E148" s="28"/>
      <c r="F148" s="28"/>
      <c r="G148" s="28"/>
      <c r="H148" s="28"/>
      <c r="I148" s="28"/>
      <c r="J148" s="28"/>
      <c r="K148" s="28"/>
      <c r="L148" s="28"/>
      <c r="M148" s="28"/>
      <c r="N148" s="28"/>
      <c r="O148" s="28"/>
      <c r="P148" s="28"/>
      <c r="AH148" s="28"/>
      <c r="AI148" s="28"/>
      <c r="AJ148" s="28"/>
      <c r="AK148" s="28"/>
      <c r="AL148" s="28"/>
    </row>
    <row r="149" spans="3:46" ht="11.25" customHeight="1">
      <c r="C149" s="43" t="s">
        <v>136</v>
      </c>
      <c r="E149" s="59"/>
      <c r="F149" s="59"/>
      <c r="G149" s="59"/>
      <c r="H149" s="59"/>
      <c r="I149" s="59"/>
      <c r="J149" s="59"/>
      <c r="K149" s="59"/>
      <c r="L149" s="59"/>
      <c r="M149" s="59"/>
      <c r="N149" s="59"/>
      <c r="O149" s="47"/>
      <c r="P149" s="59"/>
      <c r="AH149" s="29">
        <v>962</v>
      </c>
      <c r="AI149" s="33">
        <f>+AH161</f>
        <v>1014</v>
      </c>
      <c r="AJ149" s="33">
        <f t="shared" ref="AJ149:AT149" si="76">+AI161</f>
        <v>853</v>
      </c>
      <c r="AK149" s="33">
        <f t="shared" si="76"/>
        <v>737</v>
      </c>
      <c r="AL149" s="33">
        <f t="shared" si="76"/>
        <v>738</v>
      </c>
      <c r="AM149" s="33">
        <f t="shared" si="76"/>
        <v>672</v>
      </c>
      <c r="AN149" s="33">
        <f t="shared" si="76"/>
        <v>716</v>
      </c>
      <c r="AO149" s="33">
        <f t="shared" si="76"/>
        <v>745</v>
      </c>
      <c r="AP149" s="33">
        <f t="shared" si="76"/>
        <v>665</v>
      </c>
      <c r="AQ149" s="33">
        <f t="shared" si="76"/>
        <v>509</v>
      </c>
      <c r="AR149" s="33">
        <f t="shared" si="76"/>
        <v>490.9615</v>
      </c>
      <c r="AS149" s="33">
        <f t="shared" si="76"/>
        <v>472.49909524999998</v>
      </c>
      <c r="AT149" s="33">
        <f t="shared" si="76"/>
        <v>453.60282398837501</v>
      </c>
    </row>
    <row r="150" spans="3:46" ht="11.25" customHeight="1">
      <c r="C150" s="43" t="s">
        <v>130</v>
      </c>
      <c r="E150" s="59"/>
      <c r="F150" s="59"/>
      <c r="G150" s="59"/>
      <c r="H150" s="59"/>
      <c r="I150" s="59"/>
      <c r="J150" s="59"/>
      <c r="K150" s="59"/>
      <c r="L150" s="59"/>
      <c r="M150" s="59"/>
      <c r="N150" s="59"/>
      <c r="O150" s="47"/>
      <c r="P150" s="59"/>
      <c r="AH150" s="29">
        <v>8</v>
      </c>
      <c r="AI150" s="29">
        <v>8</v>
      </c>
      <c r="AJ150" s="29">
        <v>5</v>
      </c>
      <c r="AK150" s="29">
        <v>3</v>
      </c>
      <c r="AL150" s="29">
        <v>0</v>
      </c>
      <c r="AM150" s="29">
        <v>0</v>
      </c>
      <c r="AN150" s="29">
        <v>0</v>
      </c>
      <c r="AO150" s="29">
        <v>0</v>
      </c>
      <c r="AP150" s="29">
        <v>0</v>
      </c>
      <c r="AQ150" s="29">
        <v>0</v>
      </c>
      <c r="AR150" s="29">
        <v>0</v>
      </c>
      <c r="AS150" s="29">
        <v>0</v>
      </c>
      <c r="AT150" s="29">
        <v>0</v>
      </c>
    </row>
    <row r="151" spans="3:46" ht="11.25" customHeight="1">
      <c r="C151" s="43" t="s">
        <v>125</v>
      </c>
      <c r="E151" s="59"/>
      <c r="F151" s="59"/>
      <c r="G151" s="59"/>
      <c r="H151" s="59"/>
      <c r="I151" s="59"/>
      <c r="J151" s="59"/>
      <c r="K151" s="59"/>
      <c r="L151" s="59"/>
      <c r="M151" s="59"/>
      <c r="N151" s="59"/>
      <c r="O151" s="47"/>
      <c r="P151" s="59"/>
      <c r="AH151" s="29">
        <v>45</v>
      </c>
      <c r="AI151" s="29">
        <v>39</v>
      </c>
      <c r="AJ151" s="29">
        <v>27</v>
      </c>
      <c r="AK151" s="29">
        <v>23</v>
      </c>
      <c r="AL151" s="29">
        <v>22</v>
      </c>
      <c r="AM151" s="29">
        <v>25</v>
      </c>
      <c r="AN151" s="29">
        <v>19</v>
      </c>
      <c r="AO151" s="28">
        <f t="shared" ref="AO151:AT151" si="77">+AO139</f>
        <v>12</v>
      </c>
      <c r="AP151" s="28">
        <f t="shared" si="77"/>
        <v>14</v>
      </c>
      <c r="AQ151" s="28">
        <f t="shared" si="77"/>
        <v>11.961500000000001</v>
      </c>
      <c r="AR151" s="28">
        <f t="shared" si="77"/>
        <v>11.537595250000001</v>
      </c>
      <c r="AS151" s="28">
        <f t="shared" si="77"/>
        <v>11.103728738374999</v>
      </c>
      <c r="AT151" s="28">
        <f t="shared" si="77"/>
        <v>10.659666363726812</v>
      </c>
    </row>
    <row r="152" spans="3:46" ht="11.25" customHeight="1">
      <c r="C152" s="43" t="s">
        <v>137</v>
      </c>
      <c r="E152" s="59"/>
      <c r="F152" s="59"/>
      <c r="G152" s="59"/>
      <c r="H152" s="59"/>
      <c r="I152" s="59"/>
      <c r="J152" s="59"/>
      <c r="K152" s="59"/>
      <c r="L152" s="59"/>
      <c r="M152" s="59"/>
      <c r="N152" s="59"/>
      <c r="O152" s="47"/>
      <c r="P152" s="59"/>
      <c r="AH152" s="29">
        <v>49</v>
      </c>
      <c r="AI152" s="29">
        <v>-13</v>
      </c>
      <c r="AJ152" s="29">
        <v>12</v>
      </c>
      <c r="AK152" s="29">
        <v>30</v>
      </c>
      <c r="AL152" s="29">
        <v>-33</v>
      </c>
      <c r="AM152" s="29">
        <v>71</v>
      </c>
      <c r="AN152" s="29">
        <v>57</v>
      </c>
      <c r="AO152" s="29">
        <v>-40</v>
      </c>
      <c r="AP152" s="29">
        <v>-127</v>
      </c>
      <c r="AQ152" s="29">
        <v>0</v>
      </c>
      <c r="AR152" s="29">
        <v>0</v>
      </c>
      <c r="AS152" s="29">
        <v>0</v>
      </c>
      <c r="AT152" s="29">
        <v>0</v>
      </c>
    </row>
    <row r="153" spans="3:46" ht="11.25" customHeight="1">
      <c r="C153" s="43" t="s">
        <v>134</v>
      </c>
      <c r="E153" s="59"/>
      <c r="F153" s="59"/>
      <c r="G153" s="59"/>
      <c r="H153" s="59"/>
      <c r="I153" s="59"/>
      <c r="J153" s="59"/>
      <c r="K153" s="59"/>
      <c r="L153" s="59"/>
      <c r="M153" s="59"/>
      <c r="N153" s="59"/>
      <c r="O153" s="47"/>
      <c r="P153" s="59"/>
      <c r="AH153" s="29">
        <v>0</v>
      </c>
      <c r="AI153" s="29">
        <v>-2</v>
      </c>
      <c r="AJ153" s="29">
        <v>0</v>
      </c>
      <c r="AK153" s="29">
        <v>0</v>
      </c>
      <c r="AL153" s="29">
        <v>0</v>
      </c>
      <c r="AM153" s="29">
        <v>0</v>
      </c>
      <c r="AN153" s="29">
        <v>0</v>
      </c>
      <c r="AO153" s="29">
        <v>0</v>
      </c>
      <c r="AP153" s="29">
        <v>0</v>
      </c>
      <c r="AQ153" s="29">
        <v>0</v>
      </c>
      <c r="AR153" s="29">
        <v>0</v>
      </c>
      <c r="AS153" s="29">
        <v>0</v>
      </c>
      <c r="AT153" s="29">
        <v>0</v>
      </c>
    </row>
    <row r="154" spans="3:46" ht="11.25" customHeight="1">
      <c r="C154" s="43" t="s">
        <v>154</v>
      </c>
      <c r="E154" s="59"/>
      <c r="F154" s="59"/>
      <c r="G154" s="59"/>
      <c r="H154" s="59"/>
      <c r="I154" s="59"/>
      <c r="J154" s="59"/>
      <c r="K154" s="59"/>
      <c r="L154" s="59"/>
      <c r="M154" s="59"/>
      <c r="N154" s="59"/>
      <c r="O154" s="47"/>
      <c r="P154" s="59"/>
      <c r="AH154" s="29">
        <v>0</v>
      </c>
      <c r="AI154" s="29">
        <v>0</v>
      </c>
      <c r="AJ154" s="29">
        <v>0</v>
      </c>
      <c r="AK154" s="29">
        <v>0</v>
      </c>
      <c r="AL154" s="29">
        <v>0</v>
      </c>
      <c r="AM154" s="29">
        <v>0</v>
      </c>
      <c r="AN154" s="29">
        <v>0</v>
      </c>
      <c r="AO154" s="29">
        <v>-2</v>
      </c>
      <c r="AP154" s="29">
        <v>0</v>
      </c>
      <c r="AQ154" s="29">
        <v>0</v>
      </c>
      <c r="AR154" s="29">
        <v>0</v>
      </c>
      <c r="AS154" s="29">
        <v>0</v>
      </c>
      <c r="AT154" s="29">
        <v>0</v>
      </c>
    </row>
    <row r="155" spans="3:46" ht="11.25" customHeight="1">
      <c r="C155" s="43" t="s">
        <v>157</v>
      </c>
      <c r="E155" s="59"/>
      <c r="F155" s="59"/>
      <c r="G155" s="59"/>
      <c r="H155" s="59"/>
      <c r="I155" s="59"/>
      <c r="J155" s="59"/>
      <c r="K155" s="59"/>
      <c r="L155" s="59"/>
      <c r="M155" s="59"/>
      <c r="N155" s="59"/>
      <c r="O155" s="47"/>
      <c r="P155" s="59"/>
      <c r="AH155" s="29">
        <v>4</v>
      </c>
      <c r="AI155" s="29">
        <v>0</v>
      </c>
      <c r="AJ155" s="29">
        <v>0</v>
      </c>
      <c r="AK155" s="29">
        <v>0</v>
      </c>
      <c r="AL155" s="29">
        <v>0</v>
      </c>
      <c r="AM155" s="29">
        <v>0</v>
      </c>
      <c r="AN155" s="29">
        <v>0</v>
      </c>
      <c r="AO155" s="29">
        <v>0</v>
      </c>
      <c r="AP155" s="29">
        <v>0</v>
      </c>
      <c r="AQ155" s="29">
        <v>0</v>
      </c>
      <c r="AR155" s="29">
        <v>0</v>
      </c>
      <c r="AS155" s="29">
        <v>0</v>
      </c>
      <c r="AT155" s="29">
        <v>0</v>
      </c>
    </row>
    <row r="156" spans="3:46" ht="11.25" customHeight="1">
      <c r="C156" s="43" t="s">
        <v>155</v>
      </c>
      <c r="E156" s="59"/>
      <c r="F156" s="59"/>
      <c r="G156" s="59"/>
      <c r="H156" s="59"/>
      <c r="I156" s="59"/>
      <c r="J156" s="59"/>
      <c r="K156" s="59"/>
      <c r="L156" s="59"/>
      <c r="M156" s="59"/>
      <c r="N156" s="59"/>
      <c r="O156" s="47"/>
      <c r="P156" s="59"/>
      <c r="AH156" s="29">
        <v>1</v>
      </c>
      <c r="AI156" s="29">
        <v>-140</v>
      </c>
      <c r="AJ156" s="29">
        <v>-106</v>
      </c>
      <c r="AK156" s="29">
        <v>0</v>
      </c>
      <c r="AL156" s="29">
        <v>0</v>
      </c>
      <c r="AM156" s="29">
        <v>0</v>
      </c>
      <c r="AN156" s="29">
        <v>0</v>
      </c>
      <c r="AO156" s="29">
        <v>0</v>
      </c>
      <c r="AP156" s="29">
        <v>0</v>
      </c>
      <c r="AQ156" s="29">
        <v>0</v>
      </c>
      <c r="AR156" s="29">
        <v>0</v>
      </c>
      <c r="AS156" s="29">
        <v>0</v>
      </c>
      <c r="AT156" s="29">
        <v>0</v>
      </c>
    </row>
    <row r="157" spans="3:46" ht="11.25" customHeight="1">
      <c r="C157" s="43" t="s">
        <v>138</v>
      </c>
      <c r="E157" s="59"/>
      <c r="F157" s="59"/>
      <c r="G157" s="59"/>
      <c r="H157" s="59"/>
      <c r="I157" s="59"/>
      <c r="J157" s="59"/>
      <c r="K157" s="59"/>
      <c r="L157" s="59"/>
      <c r="M157" s="59"/>
      <c r="N157" s="59"/>
      <c r="O157" s="47"/>
      <c r="P157" s="59"/>
      <c r="AH157" s="29">
        <v>18</v>
      </c>
      <c r="AI157" s="29">
        <v>15</v>
      </c>
      <c r="AJ157" s="29">
        <v>14</v>
      </c>
      <c r="AK157" s="29">
        <v>12</v>
      </c>
      <c r="AL157" s="29">
        <v>11</v>
      </c>
      <c r="AM157" s="29">
        <v>10</v>
      </c>
      <c r="AN157" s="29">
        <v>10</v>
      </c>
      <c r="AO157" s="29">
        <v>9</v>
      </c>
      <c r="AP157" s="29">
        <v>2</v>
      </c>
      <c r="AQ157" s="133">
        <v>10</v>
      </c>
      <c r="AR157" s="133">
        <v>10</v>
      </c>
      <c r="AS157" s="133">
        <v>10</v>
      </c>
      <c r="AT157" s="133">
        <v>10</v>
      </c>
    </row>
    <row r="158" spans="3:46" ht="11.25" customHeight="1">
      <c r="C158" s="43" t="s">
        <v>139</v>
      </c>
      <c r="E158" s="59"/>
      <c r="F158" s="59"/>
      <c r="G158" s="59"/>
      <c r="H158" s="59"/>
      <c r="I158" s="59"/>
      <c r="J158" s="59"/>
      <c r="K158" s="59"/>
      <c r="L158" s="59"/>
      <c r="M158" s="59"/>
      <c r="N158" s="59"/>
      <c r="O158" s="47"/>
      <c r="P158" s="59"/>
      <c r="AH158" s="29">
        <v>0</v>
      </c>
      <c r="AI158" s="29">
        <v>-2</v>
      </c>
      <c r="AJ158" s="29">
        <v>0</v>
      </c>
      <c r="AK158" s="29">
        <v>1</v>
      </c>
      <c r="AL158" s="29">
        <v>-1</v>
      </c>
      <c r="AM158" s="29">
        <v>1</v>
      </c>
      <c r="AN158" s="29">
        <v>0</v>
      </c>
      <c r="AO158" s="29">
        <v>0</v>
      </c>
      <c r="AP158" s="29">
        <v>0</v>
      </c>
    </row>
    <row r="159" spans="3:46" ht="11.25" customHeight="1">
      <c r="C159" s="43" t="s">
        <v>140</v>
      </c>
      <c r="E159" s="59"/>
      <c r="F159" s="59"/>
      <c r="G159" s="59"/>
      <c r="H159" s="59"/>
      <c r="I159" s="59"/>
      <c r="J159" s="59"/>
      <c r="K159" s="59"/>
      <c r="L159" s="59"/>
      <c r="M159" s="59"/>
      <c r="N159" s="59"/>
      <c r="O159" s="47"/>
      <c r="P159" s="59"/>
      <c r="AH159" s="29">
        <v>1</v>
      </c>
      <c r="AI159" s="29">
        <v>1</v>
      </c>
      <c r="AJ159" s="29">
        <v>1</v>
      </c>
      <c r="AK159" s="29">
        <v>1</v>
      </c>
      <c r="AL159" s="29">
        <v>0</v>
      </c>
      <c r="AM159" s="29">
        <v>0</v>
      </c>
      <c r="AN159" s="29">
        <v>1</v>
      </c>
      <c r="AO159" s="29">
        <v>1</v>
      </c>
      <c r="AP159" s="29">
        <v>0</v>
      </c>
    </row>
    <row r="160" spans="3:46" ht="11.25" customHeight="1">
      <c r="C160" s="43" t="s">
        <v>141</v>
      </c>
      <c r="E160" s="59"/>
      <c r="F160" s="59"/>
      <c r="G160" s="59"/>
      <c r="H160" s="59"/>
      <c r="I160" s="59"/>
      <c r="J160" s="59"/>
      <c r="K160" s="59"/>
      <c r="L160" s="59"/>
      <c r="M160" s="59"/>
      <c r="N160" s="59"/>
      <c r="O160" s="47"/>
      <c r="P160" s="59"/>
      <c r="AH160" s="29">
        <v>-74</v>
      </c>
      <c r="AI160" s="29">
        <v>-67</v>
      </c>
      <c r="AJ160" s="29">
        <v>-69</v>
      </c>
      <c r="AK160" s="29">
        <v>-69</v>
      </c>
      <c r="AL160" s="29">
        <v>-65</v>
      </c>
      <c r="AM160" s="29">
        <v>-63</v>
      </c>
      <c r="AN160" s="29">
        <v>-58</v>
      </c>
      <c r="AO160" s="29">
        <v>-60</v>
      </c>
      <c r="AP160" s="29">
        <v>-45</v>
      </c>
      <c r="AQ160" s="28">
        <f>-AQ167</f>
        <v>-40</v>
      </c>
      <c r="AR160" s="28">
        <f>-AR167</f>
        <v>-40</v>
      </c>
      <c r="AS160" s="28">
        <f>-AS167</f>
        <v>-40</v>
      </c>
      <c r="AT160" s="28">
        <f>-AT167</f>
        <v>-40</v>
      </c>
    </row>
    <row r="161" spans="3:46" s="27" customFormat="1" ht="11.25" customHeight="1">
      <c r="C161" s="45" t="s">
        <v>142</v>
      </c>
      <c r="E161" s="60"/>
      <c r="F161" s="60"/>
      <c r="G161" s="60"/>
      <c r="H161" s="60"/>
      <c r="I161" s="60"/>
      <c r="J161" s="60"/>
      <c r="K161" s="60"/>
      <c r="L161" s="60"/>
      <c r="M161" s="60"/>
      <c r="N161" s="60"/>
      <c r="O161" s="61"/>
      <c r="P161" s="60"/>
      <c r="AH161" s="35">
        <f t="shared" ref="AH161:AS161" si="78">+SUM(AH149:AH160)</f>
        <v>1014</v>
      </c>
      <c r="AI161" s="35">
        <f t="shared" si="78"/>
        <v>853</v>
      </c>
      <c r="AJ161" s="35">
        <f t="shared" si="78"/>
        <v>737</v>
      </c>
      <c r="AK161" s="35">
        <f t="shared" si="78"/>
        <v>738</v>
      </c>
      <c r="AL161" s="35">
        <f t="shared" si="78"/>
        <v>672</v>
      </c>
      <c r="AM161" s="35">
        <f t="shared" si="78"/>
        <v>716</v>
      </c>
      <c r="AN161" s="35">
        <f t="shared" si="78"/>
        <v>745</v>
      </c>
      <c r="AO161" s="35">
        <f t="shared" si="78"/>
        <v>665</v>
      </c>
      <c r="AP161" s="35">
        <f t="shared" ref="AP161" si="79">+SUM(AP149:AP160)</f>
        <v>509</v>
      </c>
      <c r="AQ161" s="35">
        <f t="shared" si="78"/>
        <v>490.9615</v>
      </c>
      <c r="AR161" s="35">
        <f t="shared" si="78"/>
        <v>472.49909524999998</v>
      </c>
      <c r="AS161" s="35">
        <f t="shared" si="78"/>
        <v>453.60282398837501</v>
      </c>
      <c r="AT161" s="35">
        <f t="shared" ref="AT161" si="80">+SUM(AT149:AT160)</f>
        <v>434.26249035210179</v>
      </c>
    </row>
    <row r="162" spans="3:46" ht="11.25" customHeight="1">
      <c r="C162" s="44"/>
      <c r="E162" s="28"/>
      <c r="F162" s="28"/>
      <c r="G162" s="28"/>
      <c r="H162" s="28"/>
      <c r="I162" s="28"/>
      <c r="J162" s="28"/>
      <c r="K162" s="28"/>
      <c r="L162" s="28"/>
      <c r="M162" s="28"/>
      <c r="N162" s="28"/>
      <c r="O162" s="28"/>
      <c r="P162" s="28"/>
      <c r="AH162" s="28"/>
      <c r="AI162" s="28"/>
      <c r="AJ162" s="28"/>
      <c r="AK162" s="28"/>
      <c r="AL162" s="28"/>
    </row>
    <row r="163" spans="3:46" ht="11.25" customHeight="1">
      <c r="C163" s="26" t="s">
        <v>143</v>
      </c>
      <c r="E163" s="28"/>
      <c r="F163" s="28"/>
      <c r="G163" s="28"/>
      <c r="H163" s="28"/>
      <c r="I163" s="28"/>
      <c r="J163" s="28"/>
      <c r="K163" s="28"/>
      <c r="L163" s="28"/>
      <c r="M163" s="28"/>
      <c r="N163" s="28"/>
      <c r="O163" s="28"/>
      <c r="P163" s="28"/>
      <c r="AH163" s="28"/>
      <c r="AI163" s="28"/>
      <c r="AJ163" s="28"/>
      <c r="AK163" s="28"/>
      <c r="AL163" s="28"/>
    </row>
    <row r="164" spans="3:46" ht="11.25" customHeight="1">
      <c r="C164" s="43" t="s">
        <v>144</v>
      </c>
      <c r="E164" s="59"/>
      <c r="F164" s="59"/>
      <c r="G164" s="59"/>
      <c r="H164" s="59"/>
      <c r="I164" s="59"/>
      <c r="J164" s="59"/>
      <c r="K164" s="59"/>
      <c r="L164" s="59"/>
      <c r="M164" s="59"/>
      <c r="N164" s="59"/>
      <c r="O164" s="59"/>
      <c r="P164" s="59"/>
      <c r="AH164" s="29">
        <v>179</v>
      </c>
      <c r="AI164" s="33">
        <f>+AH175</f>
        <v>176</v>
      </c>
      <c r="AJ164" s="33">
        <f t="shared" ref="AJ164:AT164" si="81">+AI175</f>
        <v>157</v>
      </c>
      <c r="AK164" s="33">
        <f t="shared" si="81"/>
        <v>149</v>
      </c>
      <c r="AL164" s="33">
        <f t="shared" si="81"/>
        <v>148</v>
      </c>
      <c r="AM164" s="33">
        <f t="shared" si="81"/>
        <v>135</v>
      </c>
      <c r="AN164" s="33">
        <f t="shared" si="81"/>
        <v>139</v>
      </c>
      <c r="AO164" s="33">
        <f t="shared" si="81"/>
        <v>144</v>
      </c>
      <c r="AP164" s="33">
        <f t="shared" si="81"/>
        <v>134</v>
      </c>
      <c r="AQ164" s="33">
        <f t="shared" si="81"/>
        <v>106</v>
      </c>
      <c r="AR164" s="33">
        <f t="shared" si="81"/>
        <v>109.70999999999998</v>
      </c>
      <c r="AS164" s="33">
        <f t="shared" si="81"/>
        <v>113.54984999999999</v>
      </c>
      <c r="AT164" s="33">
        <f t="shared" si="81"/>
        <v>117.52409474999999</v>
      </c>
    </row>
    <row r="165" spans="3:46" ht="11.25" customHeight="1">
      <c r="C165" s="43" t="s">
        <v>145</v>
      </c>
      <c r="E165" s="59"/>
      <c r="F165" s="59"/>
      <c r="G165" s="59"/>
      <c r="H165" s="59"/>
      <c r="I165" s="59"/>
      <c r="J165" s="59"/>
      <c r="K165" s="59"/>
      <c r="L165" s="59"/>
      <c r="M165" s="59"/>
      <c r="N165" s="59"/>
      <c r="O165" s="59"/>
      <c r="P165" s="59"/>
      <c r="AH165" s="29">
        <v>16</v>
      </c>
      <c r="AI165" s="29">
        <v>-1</v>
      </c>
      <c r="AJ165" s="29">
        <v>12</v>
      </c>
      <c r="AK165" s="29">
        <v>22</v>
      </c>
      <c r="AL165" s="29">
        <v>-6</v>
      </c>
      <c r="AM165" s="29">
        <v>27</v>
      </c>
      <c r="AN165" s="29">
        <v>18</v>
      </c>
      <c r="AO165" s="29">
        <v>7</v>
      </c>
      <c r="AP165" s="29">
        <v>-31</v>
      </c>
      <c r="AQ165" s="28">
        <f>+AQ164*AQ193</f>
        <v>3.7100000000000004</v>
      </c>
      <c r="AR165" s="28">
        <f>+AR164*AR193</f>
        <v>3.8398499999999998</v>
      </c>
      <c r="AS165" s="28">
        <f>+AS164*AS193</f>
        <v>3.97424475</v>
      </c>
      <c r="AT165" s="28">
        <f>+AT164*AT193</f>
        <v>4.1133433162499999</v>
      </c>
    </row>
    <row r="166" spans="3:46" ht="11.25" customHeight="1">
      <c r="C166" s="43" t="s">
        <v>139</v>
      </c>
      <c r="E166" s="59"/>
      <c r="F166" s="59"/>
      <c r="G166" s="59"/>
      <c r="H166" s="59"/>
      <c r="I166" s="59"/>
      <c r="J166" s="59"/>
      <c r="K166" s="59"/>
      <c r="L166" s="59"/>
      <c r="M166" s="59"/>
      <c r="N166" s="59"/>
      <c r="O166" s="59"/>
      <c r="P166" s="59"/>
      <c r="AH166" s="29">
        <v>0</v>
      </c>
      <c r="AI166" s="29">
        <v>0</v>
      </c>
      <c r="AJ166" s="29">
        <v>0</v>
      </c>
      <c r="AK166" s="29">
        <v>0</v>
      </c>
      <c r="AL166" s="29">
        <v>0</v>
      </c>
      <c r="AM166" s="29">
        <v>0</v>
      </c>
      <c r="AN166" s="29">
        <v>0</v>
      </c>
      <c r="AO166" s="29">
        <v>0</v>
      </c>
      <c r="AP166" s="29">
        <v>0</v>
      </c>
    </row>
    <row r="167" spans="3:46" ht="11.25" customHeight="1">
      <c r="C167" s="43" t="s">
        <v>146</v>
      </c>
      <c r="E167" s="59"/>
      <c r="F167" s="59"/>
      <c r="G167" s="59"/>
      <c r="H167" s="59"/>
      <c r="I167" s="59"/>
      <c r="J167" s="59"/>
      <c r="K167" s="59"/>
      <c r="L167" s="59"/>
      <c r="M167" s="59"/>
      <c r="N167" s="59"/>
      <c r="O167" s="59"/>
      <c r="P167" s="59"/>
      <c r="AH167" s="29">
        <v>38</v>
      </c>
      <c r="AI167" s="29">
        <v>34</v>
      </c>
      <c r="AJ167" s="29">
        <v>39</v>
      </c>
      <c r="AK167" s="29">
        <v>43</v>
      </c>
      <c r="AL167" s="29">
        <v>43</v>
      </c>
      <c r="AM167" s="29">
        <v>42</v>
      </c>
      <c r="AN167" s="29">
        <v>39</v>
      </c>
      <c r="AO167" s="29">
        <v>40</v>
      </c>
      <c r="AP167" s="29">
        <v>35</v>
      </c>
      <c r="AQ167" s="133">
        <v>40</v>
      </c>
      <c r="AR167" s="133">
        <v>40</v>
      </c>
      <c r="AS167" s="133">
        <v>40</v>
      </c>
      <c r="AT167" s="133">
        <v>40</v>
      </c>
    </row>
    <row r="168" spans="3:46" ht="11.25" customHeight="1">
      <c r="C168" s="43" t="s">
        <v>147</v>
      </c>
      <c r="E168" s="59"/>
      <c r="F168" s="59"/>
      <c r="G168" s="59"/>
      <c r="H168" s="59"/>
      <c r="I168" s="59"/>
      <c r="J168" s="59"/>
      <c r="K168" s="59"/>
      <c r="L168" s="59"/>
      <c r="M168" s="59"/>
      <c r="N168" s="59"/>
      <c r="O168" s="59"/>
      <c r="P168" s="59"/>
      <c r="AH168" s="29">
        <v>-3</v>
      </c>
      <c r="AI168" s="29">
        <v>-1</v>
      </c>
      <c r="AJ168" s="29">
        <v>-5</v>
      </c>
      <c r="AK168" s="29">
        <v>-10</v>
      </c>
      <c r="AL168" s="29">
        <v>4</v>
      </c>
      <c r="AM168" s="29">
        <v>-12</v>
      </c>
      <c r="AN168" s="29">
        <v>-5</v>
      </c>
      <c r="AO168" s="29">
        <v>-7</v>
      </c>
      <c r="AP168" s="29">
        <v>11</v>
      </c>
    </row>
    <row r="169" spans="3:46" ht="11.25" customHeight="1">
      <c r="C169" s="43" t="s">
        <v>138</v>
      </c>
      <c r="E169" s="59"/>
      <c r="F169" s="59"/>
      <c r="G169" s="59"/>
      <c r="H169" s="59"/>
      <c r="I169" s="59"/>
      <c r="J169" s="59"/>
      <c r="K169" s="59"/>
      <c r="L169" s="59"/>
      <c r="M169" s="59"/>
      <c r="N169" s="59"/>
      <c r="O169" s="59"/>
      <c r="P169" s="59"/>
      <c r="AH169" s="29">
        <v>18</v>
      </c>
      <c r="AI169" s="29">
        <v>15</v>
      </c>
      <c r="AJ169" s="29">
        <v>14</v>
      </c>
      <c r="AK169" s="29">
        <v>12</v>
      </c>
      <c r="AL169" s="29">
        <v>11</v>
      </c>
      <c r="AM169" s="29">
        <v>10</v>
      </c>
      <c r="AN169" s="29">
        <v>10</v>
      </c>
      <c r="AO169" s="29">
        <v>9</v>
      </c>
      <c r="AP169" s="29">
        <v>2</v>
      </c>
    </row>
    <row r="170" spans="3:46" ht="11.25" customHeight="1">
      <c r="C170" s="43" t="s">
        <v>141</v>
      </c>
      <c r="E170" s="59"/>
      <c r="F170" s="59"/>
      <c r="G170" s="59"/>
      <c r="H170" s="59"/>
      <c r="I170" s="59"/>
      <c r="J170" s="59"/>
      <c r="K170" s="59"/>
      <c r="L170" s="59"/>
      <c r="M170" s="59"/>
      <c r="N170" s="59"/>
      <c r="O170" s="59"/>
      <c r="P170" s="59"/>
      <c r="AH170" s="29">
        <v>-74</v>
      </c>
      <c r="AI170" s="29">
        <v>-67</v>
      </c>
      <c r="AJ170" s="29">
        <v>-69</v>
      </c>
      <c r="AK170" s="29">
        <v>-69</v>
      </c>
      <c r="AL170" s="29">
        <v>-65</v>
      </c>
      <c r="AM170" s="29">
        <v>-63</v>
      </c>
      <c r="AN170" s="29">
        <v>-58</v>
      </c>
      <c r="AO170" s="29">
        <v>-60</v>
      </c>
      <c r="AP170" s="29">
        <v>-45</v>
      </c>
      <c r="AQ170" s="28">
        <f>AQ160</f>
        <v>-40</v>
      </c>
      <c r="AR170" s="28">
        <f>AR160</f>
        <v>-40</v>
      </c>
      <c r="AS170" s="28">
        <f>AS160</f>
        <v>-40</v>
      </c>
      <c r="AT170" s="28">
        <f>AT160</f>
        <v>-40</v>
      </c>
    </row>
    <row r="171" spans="3:46" ht="11.25" customHeight="1">
      <c r="C171" s="43" t="s">
        <v>140</v>
      </c>
      <c r="E171" s="59"/>
      <c r="F171" s="59"/>
      <c r="G171" s="59"/>
      <c r="H171" s="59"/>
      <c r="I171" s="59"/>
      <c r="J171" s="59"/>
      <c r="K171" s="59"/>
      <c r="L171" s="59"/>
      <c r="M171" s="59"/>
      <c r="N171" s="59"/>
      <c r="O171" s="59"/>
      <c r="P171" s="59"/>
      <c r="AH171" s="29">
        <v>1</v>
      </c>
      <c r="AI171" s="29">
        <v>1</v>
      </c>
      <c r="AJ171" s="29">
        <v>1</v>
      </c>
      <c r="AK171" s="29">
        <v>1</v>
      </c>
      <c r="AL171" s="29">
        <v>0</v>
      </c>
      <c r="AM171" s="29">
        <v>0</v>
      </c>
      <c r="AN171" s="29">
        <v>1</v>
      </c>
      <c r="AO171" s="29">
        <v>1</v>
      </c>
      <c r="AP171" s="29">
        <v>0</v>
      </c>
    </row>
    <row r="172" spans="3:46" ht="11.25" customHeight="1">
      <c r="C172" s="43" t="s">
        <v>156</v>
      </c>
      <c r="E172" s="59"/>
      <c r="F172" s="59"/>
      <c r="G172" s="59"/>
      <c r="H172" s="59"/>
      <c r="I172" s="59"/>
      <c r="J172" s="59"/>
      <c r="K172" s="59"/>
      <c r="L172" s="59"/>
      <c r="M172" s="59"/>
      <c r="N172" s="59"/>
      <c r="O172" s="59"/>
      <c r="P172" s="59"/>
      <c r="AH172" s="29">
        <v>0</v>
      </c>
      <c r="AI172" s="29">
        <v>0</v>
      </c>
      <c r="AJ172" s="29">
        <v>0</v>
      </c>
      <c r="AK172" s="29">
        <v>0</v>
      </c>
      <c r="AL172" s="29">
        <v>0</v>
      </c>
      <c r="AM172" s="29">
        <v>0</v>
      </c>
      <c r="AN172" s="29">
        <v>0</v>
      </c>
      <c r="AO172" s="29">
        <v>0</v>
      </c>
      <c r="AP172" s="29">
        <v>0</v>
      </c>
    </row>
    <row r="173" spans="3:46" ht="11.25" customHeight="1">
      <c r="C173" s="43" t="s">
        <v>108</v>
      </c>
      <c r="E173" s="59"/>
      <c r="F173" s="59"/>
      <c r="G173" s="59"/>
      <c r="H173" s="59"/>
      <c r="I173" s="59"/>
      <c r="J173" s="59"/>
      <c r="K173" s="59"/>
      <c r="L173" s="59"/>
      <c r="M173" s="59"/>
      <c r="N173" s="59"/>
      <c r="O173" s="59"/>
      <c r="P173" s="59"/>
      <c r="AH173" s="29">
        <v>1</v>
      </c>
      <c r="AI173" s="29">
        <v>0</v>
      </c>
      <c r="AJ173" s="29">
        <v>0</v>
      </c>
      <c r="AK173" s="29">
        <v>0</v>
      </c>
      <c r="AL173" s="29">
        <v>0</v>
      </c>
      <c r="AM173" s="29">
        <v>0</v>
      </c>
      <c r="AN173" s="29">
        <v>0</v>
      </c>
      <c r="AO173" s="29">
        <v>0</v>
      </c>
      <c r="AP173" s="29">
        <v>0</v>
      </c>
    </row>
    <row r="174" spans="3:46" ht="11.25" customHeight="1">
      <c r="C174" s="43" t="s">
        <v>157</v>
      </c>
      <c r="E174" s="59"/>
      <c r="F174" s="59"/>
      <c r="G174" s="59"/>
      <c r="H174" s="59"/>
      <c r="I174" s="59"/>
      <c r="J174" s="59"/>
      <c r="K174" s="59"/>
      <c r="L174" s="59"/>
      <c r="M174" s="59"/>
      <c r="N174" s="59"/>
      <c r="O174" s="59"/>
      <c r="P174" s="59"/>
      <c r="AH174" s="29">
        <v>0</v>
      </c>
      <c r="AI174" s="29">
        <v>0</v>
      </c>
      <c r="AJ174" s="29">
        <v>0</v>
      </c>
      <c r="AK174" s="29">
        <v>0</v>
      </c>
      <c r="AL174" s="29">
        <v>0</v>
      </c>
      <c r="AM174" s="29">
        <v>0</v>
      </c>
      <c r="AN174" s="29">
        <v>0</v>
      </c>
      <c r="AO174" s="29">
        <v>0</v>
      </c>
      <c r="AP174" s="29">
        <v>0</v>
      </c>
    </row>
    <row r="175" spans="3:46" s="27" customFormat="1" ht="11.25" customHeight="1">
      <c r="C175" s="45" t="s">
        <v>148</v>
      </c>
      <c r="E175" s="59"/>
      <c r="F175" s="59"/>
      <c r="G175" s="59"/>
      <c r="H175" s="59"/>
      <c r="I175" s="59"/>
      <c r="J175" s="59"/>
      <c r="K175" s="59"/>
      <c r="L175" s="59"/>
      <c r="M175" s="59"/>
      <c r="N175" s="59"/>
      <c r="O175" s="59"/>
      <c r="P175" s="59"/>
      <c r="AH175" s="32">
        <f t="shared" ref="AH175:AS175" si="82">+SUM(AH164:AH174)</f>
        <v>176</v>
      </c>
      <c r="AI175" s="32">
        <f t="shared" si="82"/>
        <v>157</v>
      </c>
      <c r="AJ175" s="32">
        <f t="shared" si="82"/>
        <v>149</v>
      </c>
      <c r="AK175" s="32">
        <f t="shared" si="82"/>
        <v>148</v>
      </c>
      <c r="AL175" s="32">
        <f t="shared" si="82"/>
        <v>135</v>
      </c>
      <c r="AM175" s="32">
        <f t="shared" si="82"/>
        <v>139</v>
      </c>
      <c r="AN175" s="32">
        <f t="shared" si="82"/>
        <v>144</v>
      </c>
      <c r="AO175" s="32">
        <f t="shared" si="82"/>
        <v>134</v>
      </c>
      <c r="AP175" s="32">
        <f t="shared" ref="AP175" si="83">+SUM(AP164:AP174)</f>
        <v>106</v>
      </c>
      <c r="AQ175" s="32">
        <f t="shared" si="82"/>
        <v>109.70999999999998</v>
      </c>
      <c r="AR175" s="32">
        <f t="shared" si="82"/>
        <v>113.54984999999999</v>
      </c>
      <c r="AS175" s="32">
        <f t="shared" si="82"/>
        <v>117.52409474999999</v>
      </c>
      <c r="AT175" s="32">
        <f t="shared" ref="AT175" si="84">+SUM(AT164:AT174)</f>
        <v>121.63743806624998</v>
      </c>
    </row>
    <row r="176" spans="3:46" s="27" customFormat="1" ht="11.25" customHeight="1">
      <c r="C176" s="45" t="s">
        <v>149</v>
      </c>
      <c r="E176" s="59"/>
      <c r="F176" s="59"/>
      <c r="G176" s="59"/>
      <c r="H176" s="59"/>
      <c r="I176" s="59"/>
      <c r="J176" s="59"/>
      <c r="K176" s="59"/>
      <c r="L176" s="59"/>
      <c r="M176" s="59"/>
      <c r="N176" s="59"/>
      <c r="O176" s="59"/>
      <c r="P176" s="59"/>
      <c r="AG176" s="30"/>
      <c r="AH176" s="32">
        <f t="shared" ref="AH176:AS176" si="85">+AH175-AH161</f>
        <v>-838</v>
      </c>
      <c r="AI176" s="32">
        <f t="shared" si="85"/>
        <v>-696</v>
      </c>
      <c r="AJ176" s="32">
        <f t="shared" si="85"/>
        <v>-588</v>
      </c>
      <c r="AK176" s="32">
        <f t="shared" si="85"/>
        <v>-590</v>
      </c>
      <c r="AL176" s="32">
        <f t="shared" si="85"/>
        <v>-537</v>
      </c>
      <c r="AM176" s="32">
        <f t="shared" si="85"/>
        <v>-577</v>
      </c>
      <c r="AN176" s="32">
        <f t="shared" si="85"/>
        <v>-601</v>
      </c>
      <c r="AO176" s="32">
        <f t="shared" si="85"/>
        <v>-531</v>
      </c>
      <c r="AP176" s="32">
        <f t="shared" si="85"/>
        <v>-403</v>
      </c>
      <c r="AQ176" s="32">
        <f t="shared" si="85"/>
        <v>-381.25150000000002</v>
      </c>
      <c r="AR176" s="32">
        <f t="shared" si="85"/>
        <v>-358.94924524999999</v>
      </c>
      <c r="AS176" s="32">
        <f t="shared" si="85"/>
        <v>-336.07872923837499</v>
      </c>
      <c r="AT176" s="32">
        <f t="shared" ref="AT176" si="86">+AT175-AT161</f>
        <v>-312.62505228585178</v>
      </c>
    </row>
    <row r="177" spans="3:46" ht="11.25" customHeight="1">
      <c r="C177" s="44"/>
      <c r="E177" s="28"/>
      <c r="F177" s="28"/>
      <c r="G177" s="28"/>
      <c r="H177" s="28"/>
      <c r="I177" s="28"/>
      <c r="J177" s="28"/>
      <c r="K177" s="28"/>
      <c r="L177" s="28"/>
      <c r="M177" s="28"/>
      <c r="N177" s="28"/>
      <c r="O177" s="28"/>
      <c r="P177" s="28"/>
      <c r="AH177" s="28"/>
      <c r="AI177" s="28"/>
      <c r="AJ177" s="28"/>
      <c r="AK177" s="28"/>
      <c r="AL177" s="28"/>
    </row>
    <row r="178" spans="3:46" ht="11.25" customHeight="1">
      <c r="C178" s="25" t="s">
        <v>151</v>
      </c>
      <c r="E178" s="28"/>
      <c r="F178" s="28"/>
      <c r="G178" s="28"/>
      <c r="H178" s="28"/>
      <c r="I178" s="28"/>
      <c r="J178" s="28"/>
      <c r="K178" s="28"/>
      <c r="L178" s="28"/>
      <c r="M178" s="28"/>
      <c r="N178" s="28"/>
      <c r="O178" s="28"/>
      <c r="P178" s="28"/>
      <c r="AH178" s="28"/>
      <c r="AI178" s="28"/>
      <c r="AJ178" s="28"/>
      <c r="AK178" s="28"/>
      <c r="AL178" s="28"/>
    </row>
    <row r="179" spans="3:46" ht="11.25" customHeight="1">
      <c r="C179" s="43" t="s">
        <v>49</v>
      </c>
      <c r="E179" s="59"/>
      <c r="F179" s="59"/>
      <c r="G179" s="59"/>
      <c r="H179" s="59"/>
      <c r="I179" s="59"/>
      <c r="J179" s="59"/>
      <c r="K179" s="59"/>
      <c r="L179" s="59"/>
      <c r="M179" s="59"/>
      <c r="N179" s="59"/>
      <c r="O179" s="59"/>
      <c r="P179" s="59"/>
      <c r="AH179" s="29">
        <v>13</v>
      </c>
      <c r="AI179" s="29">
        <v>19</v>
      </c>
      <c r="AJ179" s="29">
        <v>30</v>
      </c>
      <c r="AK179" s="29">
        <v>38</v>
      </c>
      <c r="AL179" s="29">
        <v>41</v>
      </c>
      <c r="AM179" s="29">
        <v>50</v>
      </c>
      <c r="AN179" s="29">
        <v>57</v>
      </c>
      <c r="AO179" s="29">
        <v>62</v>
      </c>
      <c r="AP179" s="29">
        <v>53</v>
      </c>
    </row>
    <row r="180" spans="3:46" ht="11.25" customHeight="1">
      <c r="C180" s="43" t="s">
        <v>51</v>
      </c>
      <c r="E180" s="59"/>
      <c r="F180" s="59"/>
      <c r="G180" s="59"/>
      <c r="H180" s="59"/>
      <c r="I180" s="59"/>
      <c r="J180" s="59"/>
      <c r="K180" s="59"/>
      <c r="L180" s="59"/>
      <c r="M180" s="59"/>
      <c r="N180" s="59"/>
      <c r="O180" s="59"/>
      <c r="P180" s="59"/>
      <c r="AH180" s="29">
        <v>-41</v>
      </c>
      <c r="AI180" s="29">
        <v>-43</v>
      </c>
      <c r="AJ180" s="29">
        <v>-42</v>
      </c>
      <c r="AK180" s="29">
        <v>-44</v>
      </c>
      <c r="AL180" s="29">
        <v>-45</v>
      </c>
      <c r="AM180" s="29">
        <v>-47</v>
      </c>
      <c r="AN180" s="29">
        <v>-46</v>
      </c>
      <c r="AO180" s="29">
        <v>-38</v>
      </c>
      <c r="AP180" s="29">
        <v>-38</v>
      </c>
    </row>
    <row r="181" spans="3:46" ht="11.25" customHeight="1">
      <c r="C181" s="43" t="s">
        <v>56</v>
      </c>
      <c r="E181" s="59"/>
      <c r="F181" s="59"/>
      <c r="G181" s="59"/>
      <c r="H181" s="59"/>
      <c r="I181" s="59"/>
      <c r="J181" s="59"/>
      <c r="K181" s="59"/>
      <c r="L181" s="59"/>
      <c r="M181" s="59"/>
      <c r="N181" s="59"/>
      <c r="O181" s="59"/>
      <c r="P181" s="59"/>
      <c r="AH181" s="29">
        <v>-810</v>
      </c>
      <c r="AI181" s="29">
        <v>-672</v>
      </c>
      <c r="AJ181" s="29">
        <v>-576</v>
      </c>
      <c r="AK181" s="29">
        <v>-584</v>
      </c>
      <c r="AL181" s="29">
        <v>-533</v>
      </c>
      <c r="AM181" s="29">
        <v>-580</v>
      </c>
      <c r="AN181" s="29">
        <v>-612</v>
      </c>
      <c r="AO181" s="29">
        <v>-555</v>
      </c>
      <c r="AP181" s="29">
        <v>-418</v>
      </c>
    </row>
    <row r="182" spans="3:46" s="27" customFormat="1" ht="11.25" customHeight="1">
      <c r="C182" s="45" t="s">
        <v>150</v>
      </c>
      <c r="E182" s="59"/>
      <c r="F182" s="59"/>
      <c r="G182" s="59"/>
      <c r="H182" s="59"/>
      <c r="I182" s="59"/>
      <c r="J182" s="59"/>
      <c r="K182" s="59"/>
      <c r="L182" s="59"/>
      <c r="M182" s="59"/>
      <c r="N182" s="59"/>
      <c r="O182" s="59"/>
      <c r="P182" s="59"/>
      <c r="AH182" s="35">
        <f t="shared" ref="AH182:AM182" si="87">+SUM(AH179:AH181)</f>
        <v>-838</v>
      </c>
      <c r="AI182" s="35">
        <f t="shared" si="87"/>
        <v>-696</v>
      </c>
      <c r="AJ182" s="35">
        <f t="shared" si="87"/>
        <v>-588</v>
      </c>
      <c r="AK182" s="35">
        <f t="shared" si="87"/>
        <v>-590</v>
      </c>
      <c r="AL182" s="35">
        <f t="shared" si="87"/>
        <v>-537</v>
      </c>
      <c r="AM182" s="35">
        <f t="shared" si="87"/>
        <v>-577</v>
      </c>
      <c r="AN182" s="35">
        <f t="shared" ref="AN182" si="88">+SUM(AN179:AN181)</f>
        <v>-601</v>
      </c>
      <c r="AO182" s="35">
        <f t="shared" ref="AO182:AP182" si="89">+SUM(AO179:AO181)</f>
        <v>-531</v>
      </c>
      <c r="AP182" s="35">
        <f t="shared" si="89"/>
        <v>-403</v>
      </c>
    </row>
    <row r="183" spans="3:46" s="41" customFormat="1" ht="11.25" customHeight="1">
      <c r="C183" s="55" t="s">
        <v>68</v>
      </c>
      <c r="E183" s="42"/>
      <c r="F183" s="42"/>
      <c r="G183" s="42"/>
      <c r="H183" s="42"/>
      <c r="I183" s="42"/>
      <c r="J183" s="42"/>
      <c r="K183" s="42"/>
      <c r="L183" s="42"/>
      <c r="M183" s="42"/>
      <c r="N183" s="42"/>
      <c r="O183" s="42"/>
      <c r="P183" s="42"/>
      <c r="AH183" s="42">
        <f t="shared" ref="AH183:AM183" si="90">+AH182-AH176</f>
        <v>0</v>
      </c>
      <c r="AI183" s="42">
        <f t="shared" si="90"/>
        <v>0</v>
      </c>
      <c r="AJ183" s="42">
        <f t="shared" si="90"/>
        <v>0</v>
      </c>
      <c r="AK183" s="42">
        <f t="shared" si="90"/>
        <v>0</v>
      </c>
      <c r="AL183" s="42">
        <f t="shared" si="90"/>
        <v>0</v>
      </c>
      <c r="AM183" s="42">
        <f t="shared" si="90"/>
        <v>0</v>
      </c>
      <c r="AN183" s="42">
        <f t="shared" ref="AN183" si="91">+AN182-AN176</f>
        <v>0</v>
      </c>
      <c r="AO183" s="42">
        <f t="shared" ref="AO183:AP183" si="92">+AO182-AO176</f>
        <v>0</v>
      </c>
      <c r="AP183" s="42">
        <f t="shared" si="92"/>
        <v>0</v>
      </c>
    </row>
    <row r="184" spans="3:46" ht="11.25" customHeight="1">
      <c r="E184" s="33"/>
      <c r="F184" s="33"/>
      <c r="G184" s="33"/>
      <c r="H184" s="33"/>
      <c r="I184" s="33"/>
      <c r="J184" s="33"/>
      <c r="K184" s="33"/>
      <c r="L184" s="33"/>
      <c r="M184" s="33"/>
      <c r="N184" s="33"/>
      <c r="O184" s="33"/>
      <c r="P184" s="33"/>
    </row>
    <row r="185" spans="3:46" s="56" customFormat="1" ht="11.25" customHeight="1">
      <c r="C185" s="58" t="s">
        <v>183</v>
      </c>
      <c r="E185" s="28"/>
      <c r="F185" s="28"/>
      <c r="G185" s="28"/>
      <c r="H185" s="28"/>
      <c r="I185" s="28"/>
      <c r="J185" s="28"/>
      <c r="K185" s="28"/>
      <c r="L185" s="28"/>
      <c r="M185" s="28"/>
      <c r="N185" s="28"/>
      <c r="O185" s="28"/>
      <c r="P185" s="28"/>
      <c r="AH185" s="29"/>
      <c r="AI185" s="29"/>
      <c r="AJ185" s="29"/>
      <c r="AK185" s="29"/>
      <c r="AL185" s="29"/>
    </row>
    <row r="186" spans="3:46" s="56" customFormat="1" ht="11.25" customHeight="1">
      <c r="C186" s="64" t="s">
        <v>181</v>
      </c>
      <c r="E186" s="59"/>
      <c r="F186" s="59"/>
      <c r="G186" s="59"/>
      <c r="H186" s="59"/>
      <c r="I186" s="59"/>
      <c r="J186" s="59"/>
      <c r="K186" s="59"/>
      <c r="L186" s="59"/>
      <c r="M186" s="59"/>
      <c r="N186" s="59"/>
      <c r="O186" s="59"/>
      <c r="P186" s="59"/>
      <c r="AH186" s="65">
        <v>3.9100000000000003E-2</v>
      </c>
      <c r="AI186" s="65">
        <v>4.1700000000000001E-2</v>
      </c>
      <c r="AJ186" s="65">
        <v>3.9100000000000003E-2</v>
      </c>
      <c r="AK186" s="65">
        <v>3.5400000000000001E-2</v>
      </c>
      <c r="AL186" s="65">
        <v>4.2599999999999999E-2</v>
      </c>
      <c r="AM186" s="65">
        <v>3.2099999999999997E-2</v>
      </c>
      <c r="AN186" s="65">
        <v>2.3800000000000002E-2</v>
      </c>
      <c r="AO186" s="65">
        <v>2.8299999999999999E-2</v>
      </c>
      <c r="AP186" s="65">
        <v>5.5500000000000001E-2</v>
      </c>
    </row>
    <row r="187" spans="3:46" s="56" customFormat="1" ht="11.25" customHeight="1">
      <c r="C187" s="64" t="s">
        <v>182</v>
      </c>
      <c r="E187" s="59"/>
      <c r="F187" s="59"/>
      <c r="G187" s="59"/>
      <c r="H187" s="59"/>
      <c r="I187" s="59"/>
      <c r="J187" s="59"/>
      <c r="K187" s="59"/>
      <c r="L187" s="59"/>
      <c r="M187" s="59"/>
      <c r="N187" s="59"/>
      <c r="O187" s="59"/>
      <c r="P187" s="59"/>
      <c r="AH187" s="65">
        <v>3.5000000000000003E-2</v>
      </c>
      <c r="AI187" s="65">
        <v>3.5000000000000003E-2</v>
      </c>
      <c r="AJ187" s="65">
        <v>3.2500000000000001E-2</v>
      </c>
      <c r="AK187" s="65">
        <v>3.2500000000000001E-2</v>
      </c>
      <c r="AL187" s="65">
        <v>3.2500000000000001E-2</v>
      </c>
      <c r="AM187" s="65">
        <v>3.2500000000000001E-2</v>
      </c>
      <c r="AN187" s="757" t="s">
        <v>702</v>
      </c>
      <c r="AO187" s="757" t="s">
        <v>702</v>
      </c>
      <c r="AP187" s="757" t="s">
        <v>702</v>
      </c>
      <c r="AQ187" s="755" t="str">
        <f>+AP187</f>
        <v>NA</v>
      </c>
      <c r="AR187" s="755" t="str">
        <f>+AQ187</f>
        <v>NA</v>
      </c>
      <c r="AS187" s="755" t="str">
        <f>+AR187</f>
        <v>NA</v>
      </c>
      <c r="AT187" s="755" t="str">
        <f>+AS187</f>
        <v>NA</v>
      </c>
    </row>
    <row r="188" spans="3:46" s="56" customFormat="1" ht="11.25" customHeight="1">
      <c r="C188" s="58"/>
      <c r="E188" s="28"/>
      <c r="F188" s="28"/>
      <c r="G188" s="28"/>
      <c r="H188" s="28"/>
      <c r="I188" s="28"/>
      <c r="J188" s="28"/>
      <c r="K188" s="28"/>
      <c r="L188" s="28"/>
      <c r="M188" s="28"/>
      <c r="N188" s="28"/>
      <c r="O188" s="28"/>
      <c r="P188" s="28"/>
      <c r="AH188" s="29"/>
      <c r="AI188" s="29"/>
      <c r="AJ188" s="29"/>
      <c r="AK188" s="29"/>
      <c r="AL188" s="29"/>
    </row>
    <row r="189" spans="3:46" s="56" customFormat="1" ht="11.25" customHeight="1">
      <c r="C189" s="58" t="s">
        <v>184</v>
      </c>
      <c r="E189" s="28"/>
      <c r="F189" s="28"/>
      <c r="G189" s="28"/>
      <c r="H189" s="28"/>
      <c r="I189" s="28"/>
      <c r="J189" s="28"/>
      <c r="K189" s="28"/>
      <c r="L189" s="28"/>
      <c r="M189" s="28"/>
      <c r="N189" s="28"/>
      <c r="O189" s="28"/>
      <c r="P189" s="28"/>
      <c r="AH189" s="29"/>
      <c r="AI189" s="29"/>
      <c r="AJ189" s="29"/>
      <c r="AK189" s="29"/>
      <c r="AL189" s="29"/>
    </row>
    <row r="190" spans="3:46" s="56" customFormat="1" ht="11.25" customHeight="1">
      <c r="C190" s="64" t="s">
        <v>187</v>
      </c>
      <c r="E190" s="59"/>
      <c r="F190" s="59"/>
      <c r="G190" s="59"/>
      <c r="H190" s="59"/>
      <c r="I190" s="59"/>
      <c r="J190" s="59"/>
      <c r="K190" s="59"/>
      <c r="L190" s="59"/>
      <c r="M190" s="59"/>
      <c r="N190" s="59"/>
      <c r="O190" s="59"/>
      <c r="P190" s="59"/>
      <c r="AH190" s="65">
        <v>4.7500000000000001E-2</v>
      </c>
      <c r="AI190" s="65">
        <v>3.9100000000000003E-2</v>
      </c>
      <c r="AJ190" s="65">
        <v>4.1700000000000001E-2</v>
      </c>
      <c r="AK190" s="65">
        <v>3.9100000000000003E-2</v>
      </c>
      <c r="AL190" s="65">
        <v>3.5400000000000001E-2</v>
      </c>
      <c r="AM190" s="65">
        <v>4.2599999999999999E-2</v>
      </c>
      <c r="AN190" s="65">
        <v>3.2099999999999997E-2</v>
      </c>
      <c r="AO190" s="65">
        <v>2.3900000000000001E-2</v>
      </c>
      <c r="AP190" s="65">
        <v>2.8299999999999999E-2</v>
      </c>
    </row>
    <row r="191" spans="3:46" s="56" customFormat="1" ht="11.25" customHeight="1">
      <c r="C191" s="64" t="s">
        <v>185</v>
      </c>
      <c r="E191" s="59"/>
      <c r="F191" s="59"/>
      <c r="G191" s="59"/>
      <c r="H191" s="59"/>
      <c r="I191" s="59"/>
      <c r="J191" s="59"/>
      <c r="K191" s="59"/>
      <c r="L191" s="59"/>
      <c r="M191" s="59"/>
      <c r="N191" s="59"/>
      <c r="O191" s="59"/>
      <c r="P191" s="59"/>
      <c r="AH191" s="65">
        <v>4.7500000000000001E-2</v>
      </c>
      <c r="AI191" s="65">
        <v>3.9100000000000003E-2</v>
      </c>
      <c r="AJ191" s="65">
        <v>4.5699999999999998E-2</v>
      </c>
      <c r="AK191" s="65">
        <v>4.3099999999999999E-2</v>
      </c>
      <c r="AL191" s="65">
        <v>3.2800000000000003E-2</v>
      </c>
      <c r="AM191" s="65">
        <v>4.0500000000000001E-2</v>
      </c>
      <c r="AN191" s="65">
        <v>2.92E-2</v>
      </c>
      <c r="AO191" s="65">
        <v>1.9E-2</v>
      </c>
      <c r="AP191" s="65">
        <v>0</v>
      </c>
    </row>
    <row r="192" spans="3:46" s="56" customFormat="1" ht="11.25" customHeight="1">
      <c r="C192" s="64" t="s">
        <v>186</v>
      </c>
      <c r="E192" s="59"/>
      <c r="F192" s="59"/>
      <c r="G192" s="59"/>
      <c r="H192" s="59"/>
      <c r="I192" s="59"/>
      <c r="J192" s="59"/>
      <c r="K192" s="59"/>
      <c r="L192" s="59"/>
      <c r="M192" s="59"/>
      <c r="N192" s="59"/>
      <c r="O192" s="59"/>
      <c r="P192" s="59"/>
      <c r="AH192" s="65">
        <v>4.7500000000000001E-2</v>
      </c>
      <c r="AI192" s="65">
        <v>3.9100000000000003E-2</v>
      </c>
      <c r="AJ192" s="65">
        <v>3.4200000000000001E-2</v>
      </c>
      <c r="AK192" s="65">
        <v>3.2800000000000003E-2</v>
      </c>
      <c r="AL192" s="65">
        <v>3.1399999999999997E-2</v>
      </c>
      <c r="AM192" s="65">
        <v>3.9300000000000002E-2</v>
      </c>
      <c r="AN192" s="65">
        <v>2.8000000000000001E-2</v>
      </c>
      <c r="AO192" s="65">
        <v>1.7399999999999999E-2</v>
      </c>
      <c r="AP192" s="65">
        <v>2.35E-2</v>
      </c>
      <c r="AQ192" s="657">
        <f t="shared" ref="AQ192:AT194" si="93">+AP192</f>
        <v>2.35E-2</v>
      </c>
      <c r="AR192" s="657">
        <f t="shared" si="93"/>
        <v>2.35E-2</v>
      </c>
      <c r="AS192" s="657">
        <f t="shared" si="93"/>
        <v>2.35E-2</v>
      </c>
      <c r="AT192" s="657">
        <f t="shared" si="93"/>
        <v>2.35E-2</v>
      </c>
    </row>
    <row r="193" spans="2:46" s="56" customFormat="1" ht="11.25" customHeight="1">
      <c r="C193" s="64" t="s">
        <v>126</v>
      </c>
      <c r="E193" s="59"/>
      <c r="F193" s="59"/>
      <c r="G193" s="59"/>
      <c r="H193" s="59"/>
      <c r="I193" s="59"/>
      <c r="J193" s="59"/>
      <c r="K193" s="59"/>
      <c r="L193" s="59"/>
      <c r="M193" s="59"/>
      <c r="N193" s="59"/>
      <c r="O193" s="59"/>
      <c r="P193" s="59"/>
      <c r="AH193" s="65">
        <v>3.7499999999999999E-2</v>
      </c>
      <c r="AI193" s="65">
        <v>3.7499999999999999E-2</v>
      </c>
      <c r="AJ193" s="65">
        <v>3.7499999999999999E-2</v>
      </c>
      <c r="AK193" s="65">
        <v>3.7499999999999999E-2</v>
      </c>
      <c r="AL193" s="65">
        <v>3.7499999999999999E-2</v>
      </c>
      <c r="AM193" s="65">
        <v>3.7499999999999999E-2</v>
      </c>
      <c r="AN193" s="65">
        <v>3.7499999999999999E-2</v>
      </c>
      <c r="AO193" s="65">
        <v>3.7499999999999999E-2</v>
      </c>
      <c r="AP193" s="65">
        <v>3.5000000000000003E-2</v>
      </c>
      <c r="AQ193" s="657">
        <f t="shared" si="93"/>
        <v>3.5000000000000003E-2</v>
      </c>
      <c r="AR193" s="657">
        <f t="shared" si="93"/>
        <v>3.5000000000000003E-2</v>
      </c>
      <c r="AS193" s="657">
        <f t="shared" si="93"/>
        <v>3.5000000000000003E-2</v>
      </c>
      <c r="AT193" s="657">
        <f t="shared" si="93"/>
        <v>3.5000000000000003E-2</v>
      </c>
    </row>
    <row r="194" spans="2:46" s="56" customFormat="1" ht="11.25" customHeight="1">
      <c r="C194" s="64" t="s">
        <v>182</v>
      </c>
      <c r="E194" s="59"/>
      <c r="F194" s="59"/>
      <c r="G194" s="59"/>
      <c r="H194" s="59"/>
      <c r="I194" s="59"/>
      <c r="J194" s="59"/>
      <c r="K194" s="59"/>
      <c r="L194" s="59"/>
      <c r="M194" s="59"/>
      <c r="N194" s="59"/>
      <c r="O194" s="59"/>
      <c r="P194" s="59"/>
      <c r="AH194" s="65">
        <v>3.5000000000000003E-2</v>
      </c>
      <c r="AI194" s="65">
        <v>3.5000000000000003E-2</v>
      </c>
      <c r="AJ194" s="65">
        <v>3.5000000000000003E-2</v>
      </c>
      <c r="AK194" s="65">
        <v>3.2500000000000001E-2</v>
      </c>
      <c r="AL194" s="65">
        <v>3.2500000000000001E-2</v>
      </c>
      <c r="AM194" s="65">
        <v>3.2500000000000001E-2</v>
      </c>
      <c r="AN194" s="65">
        <v>3.2500000000000001E-2</v>
      </c>
      <c r="AO194" s="756" t="s">
        <v>702</v>
      </c>
      <c r="AP194" s="756" t="s">
        <v>702</v>
      </c>
      <c r="AQ194" s="755" t="str">
        <f t="shared" si="93"/>
        <v>NA</v>
      </c>
      <c r="AR194" s="755" t="str">
        <f t="shared" si="93"/>
        <v>NA</v>
      </c>
      <c r="AS194" s="755" t="str">
        <f t="shared" si="93"/>
        <v>NA</v>
      </c>
      <c r="AT194" s="755" t="str">
        <f t="shared" si="93"/>
        <v>NA</v>
      </c>
    </row>
    <row r="196" spans="2:46" ht="11.25" customHeight="1" thickBot="1">
      <c r="C196" s="27" t="s">
        <v>1078</v>
      </c>
      <c r="AH196" s="661">
        <f>+AH176+AH112+AH49</f>
        <v>-1394</v>
      </c>
      <c r="AI196" s="661">
        <f t="shared" ref="AI196:AQ196" si="94">+AI176+AI112+AI49</f>
        <v>-1184</v>
      </c>
      <c r="AJ196" s="661">
        <f t="shared" si="94"/>
        <v>-904</v>
      </c>
      <c r="AK196" s="661">
        <f t="shared" si="94"/>
        <v>-810</v>
      </c>
      <c r="AL196" s="661">
        <f t="shared" si="94"/>
        <v>-803</v>
      </c>
      <c r="AM196" s="661">
        <f t="shared" si="94"/>
        <v>-877</v>
      </c>
      <c r="AN196" s="661">
        <f t="shared" si="94"/>
        <v>-1004</v>
      </c>
      <c r="AO196" s="661">
        <f t="shared" si="94"/>
        <v>-570</v>
      </c>
      <c r="AP196" s="661">
        <f t="shared" ref="AP196" si="95">+AP176+AP112+AP49</f>
        <v>-482</v>
      </c>
      <c r="AQ196" s="661">
        <f t="shared" si="94"/>
        <v>-407.70390000000003</v>
      </c>
      <c r="AR196" s="661">
        <f t="shared" ref="AR196:AS196" si="96">+AR176+AR112+AR49</f>
        <v>-333.95392622999998</v>
      </c>
      <c r="AS196" s="661">
        <f t="shared" si="96"/>
        <v>-260.92137667466102</v>
      </c>
      <c r="AT196" s="661">
        <f t="shared" ref="AT196" si="97">+AT176+AT112+AT49</f>
        <v>-188.7928223735471</v>
      </c>
    </row>
    <row r="197" spans="2:46" ht="11.25" customHeight="1" thickTop="1">
      <c r="C197" s="27" t="s">
        <v>1074</v>
      </c>
      <c r="E197" s="49">
        <f t="shared" ref="E197:P197" si="98">+E12+E13+E75+E76+E139+E140+E144</f>
        <v>-23</v>
      </c>
      <c r="F197" s="49">
        <f t="shared" si="98"/>
        <v>-21</v>
      </c>
      <c r="G197" s="49">
        <f t="shared" si="98"/>
        <v>-23</v>
      </c>
      <c r="H197" s="49">
        <f t="shared" si="98"/>
        <v>-29</v>
      </c>
      <c r="I197" s="49">
        <f t="shared" si="98"/>
        <v>-27</v>
      </c>
      <c r="J197" s="49">
        <f t="shared" si="98"/>
        <v>-29</v>
      </c>
      <c r="K197" s="49">
        <f t="shared" si="98"/>
        <v>-27</v>
      </c>
      <c r="L197" s="49">
        <f t="shared" si="98"/>
        <v>-28</v>
      </c>
      <c r="M197" s="49">
        <f t="shared" si="98"/>
        <v>-30</v>
      </c>
      <c r="N197" s="49">
        <f t="shared" si="98"/>
        <v>-30</v>
      </c>
      <c r="O197" s="49">
        <f t="shared" si="98"/>
        <v>-30</v>
      </c>
      <c r="P197" s="49">
        <f t="shared" si="98"/>
        <v>-30</v>
      </c>
      <c r="Q197" s="49">
        <f t="shared" ref="Q197:X197" si="99">+Q12+Q13+Q75+Q76+Q139+Q140+Q144</f>
        <v>-21</v>
      </c>
      <c r="R197" s="49">
        <f t="shared" si="99"/>
        <v>-21</v>
      </c>
      <c r="S197" s="49">
        <f t="shared" si="99"/>
        <v>-20</v>
      </c>
      <c r="T197" s="49">
        <f t="shared" si="99"/>
        <v>7</v>
      </c>
      <c r="U197" s="49">
        <f t="shared" si="99"/>
        <v>-20</v>
      </c>
      <c r="V197" s="49">
        <f t="shared" si="99"/>
        <v>-21</v>
      </c>
      <c r="W197" s="49">
        <f t="shared" si="99"/>
        <v>-21</v>
      </c>
      <c r="X197" s="49">
        <f t="shared" si="99"/>
        <v>-59</v>
      </c>
      <c r="Y197" s="49">
        <f>+Y12+Y13+Y75+Y76+Y139+Y140+Y144</f>
        <v>-44</v>
      </c>
      <c r="Z197" s="49">
        <f>+Z12+Z13+Z75+Z76+Z139+Z140+Z144</f>
        <v>-27</v>
      </c>
      <c r="AA197" s="49">
        <f>+AA12+AA13+AA75+AA76+AA139+AA140+AA144</f>
        <v>-26</v>
      </c>
      <c r="AB197" s="49">
        <f>+AB12+AB13+AB75+AB76+AB139+AB140+AB144</f>
        <v>-48</v>
      </c>
      <c r="AC197" s="49">
        <f>+AC12+AC13+AC75+AC76+AC139+AC140+AC144</f>
        <v>-47</v>
      </c>
      <c r="AD197" s="49"/>
      <c r="AE197" s="49"/>
      <c r="AF197" s="49"/>
      <c r="AH197" s="49">
        <f t="shared" ref="AH197:AQ197" si="100">+AH12+AH13+AH75+AH76+AH139+AH140+AH144</f>
        <v>-36</v>
      </c>
      <c r="AI197" s="49">
        <f t="shared" si="100"/>
        <v>-63</v>
      </c>
      <c r="AJ197" s="49">
        <f t="shared" si="100"/>
        <v>-96</v>
      </c>
      <c r="AK197" s="49">
        <f t="shared" si="100"/>
        <v>-111</v>
      </c>
      <c r="AL197" s="49">
        <f t="shared" si="100"/>
        <v>-120</v>
      </c>
      <c r="AM197" s="49">
        <f t="shared" si="100"/>
        <v>-83</v>
      </c>
      <c r="AN197" s="49">
        <f t="shared" si="100"/>
        <v>-121</v>
      </c>
      <c r="AO197" s="49">
        <f t="shared" si="100"/>
        <v>-145</v>
      </c>
      <c r="AP197" s="49">
        <f t="shared" ref="AP197" si="101">+AP12+AP13+AP75+AP76+AP139+AP140+AP144</f>
        <v>-121</v>
      </c>
      <c r="AQ197" s="49">
        <f t="shared" si="100"/>
        <v>-79.298103600000005</v>
      </c>
      <c r="AR197" s="49">
        <f t="shared" ref="AR197:AS197" si="102">+AR12+AR13+AR75+AR76+AR139+AR140+AR144</f>
        <v>-78.243800501520013</v>
      </c>
      <c r="AS197" s="49">
        <f t="shared" si="102"/>
        <v>-76.998647382993894</v>
      </c>
      <c r="AT197" s="49">
        <f t="shared" ref="AT197" si="103">+AT12+AT13+AT75+AT76+AT139+AT140+AT144</f>
        <v>-75.545802761412972</v>
      </c>
    </row>
    <row r="198" spans="2:46" ht="11.25" customHeight="1">
      <c r="B198" s="27" t="s">
        <v>14</v>
      </c>
    </row>
  </sheetData>
  <pageMargins left="0.7" right="0.7" top="0.75" bottom="0.75" header="0.3" footer="0.3"/>
  <pageSetup scale="23"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A2BD-2FD0-4B4E-8DDA-765758FB290F}">
  <sheetPr codeName="Sheet2">
    <outlinePr summaryBelow="0" summaryRight="0"/>
    <pageSetUpPr fitToPage="1"/>
  </sheetPr>
  <dimension ref="A1:CB998"/>
  <sheetViews>
    <sheetView showGridLines="0" zoomScaleNormal="100" zoomScaleSheetLayoutView="100" workbookViewId="0">
      <pane xSplit="4" ySplit="7" topLeftCell="AD279" activePane="bottomRight" state="frozen"/>
      <selection activeCell="C8" sqref="C8"/>
      <selection pane="topRight" activeCell="C8" sqref="C8"/>
      <selection pane="bottomLeft" activeCell="C8" sqref="C8"/>
      <selection pane="bottomRight" activeCell="AH315" sqref="AH315"/>
    </sheetView>
  </sheetViews>
  <sheetFormatPr defaultColWidth="11.19921875" defaultRowHeight="11.25" customHeight="1" outlineLevelRow="2" outlineLevelCol="1"/>
  <cols>
    <col min="1" max="1" width="1.796875" style="24" customWidth="1"/>
    <col min="2" max="2" width="1.796875" style="27" customWidth="1"/>
    <col min="3" max="3" width="35.796875" style="24" customWidth="1" collapsed="1"/>
    <col min="4" max="4" width="9.796875" style="24" hidden="1" customWidth="1" outlineLevel="1"/>
    <col min="5" max="32" width="9.796875" style="24" customWidth="1"/>
    <col min="33" max="36" width="9.796875" style="24" customWidth="1" outlineLevel="1"/>
    <col min="37" max="37" width="9.796875" style="80" customWidth="1"/>
    <col min="38" max="46" width="9.796875" style="24" customWidth="1"/>
    <col min="47" max="50" width="9.796875" style="24" customWidth="1" outlineLevel="1"/>
    <col min="51" max="51" width="9.796875" style="1" customWidth="1"/>
    <col min="52" max="71" width="9.796875" style="24" customWidth="1"/>
    <col min="72" max="16384" width="11.19921875" style="24"/>
  </cols>
  <sheetData>
    <row r="1" spans="1:80" s="1" customFormat="1" ht="10.5">
      <c r="A1" s="1" t="s">
        <v>17</v>
      </c>
      <c r="AC1" s="12">
        <v>0</v>
      </c>
      <c r="AD1" s="1" t="s">
        <v>713</v>
      </c>
      <c r="AK1" s="752"/>
      <c r="AQ1" s="1" t="s">
        <v>1442</v>
      </c>
      <c r="AR1" s="1" t="s">
        <v>1443</v>
      </c>
      <c r="AU1" s="1" t="s">
        <v>1435</v>
      </c>
      <c r="BY1" s="830"/>
      <c r="BZ1" s="830"/>
      <c r="CA1" s="830"/>
    </row>
    <row r="2" spans="1:80" s="3" customFormat="1" ht="10.5">
      <c r="A2" s="2" t="s">
        <v>16</v>
      </c>
      <c r="B2" s="1"/>
      <c r="F2" s="4"/>
      <c r="G2" s="5"/>
      <c r="R2" s="2"/>
      <c r="S2" s="5"/>
      <c r="Z2" s="581"/>
      <c r="AA2" s="3" t="s">
        <v>712</v>
      </c>
      <c r="AB2" s="454">
        <v>0</v>
      </c>
      <c r="AC2" s="12">
        <v>1</v>
      </c>
      <c r="AD2" s="3" t="s">
        <v>714</v>
      </c>
      <c r="AK2" s="753" t="s">
        <v>1797</v>
      </c>
      <c r="AR2" s="3" t="s">
        <v>1444</v>
      </c>
      <c r="AU2" s="3" t="s">
        <v>1436</v>
      </c>
      <c r="AV2" s="3" t="s">
        <v>1437</v>
      </c>
      <c r="AW2" s="1027" t="s">
        <v>1438</v>
      </c>
      <c r="AY2" s="1"/>
      <c r="BY2" s="831"/>
      <c r="BZ2" s="831"/>
      <c r="CA2" s="831"/>
    </row>
    <row r="3" spans="1:80" s="3" customFormat="1" ht="2.2000000000000002" customHeight="1">
      <c r="A3" s="2"/>
      <c r="B3" s="1"/>
      <c r="R3" s="5"/>
      <c r="AK3" s="753"/>
      <c r="AR3" s="3" t="s">
        <v>1445</v>
      </c>
      <c r="AV3" s="3" t="s">
        <v>1439</v>
      </c>
      <c r="AW3" s="3" t="s">
        <v>1440</v>
      </c>
      <c r="AX3" s="3" t="s">
        <v>1441</v>
      </c>
      <c r="AY3" s="1"/>
      <c r="BY3" s="831"/>
      <c r="BZ3" s="831"/>
      <c r="CA3" s="831"/>
    </row>
    <row r="4" spans="1:80" s="3" customFormat="1" ht="10.5">
      <c r="A4" s="2"/>
      <c r="B4" s="1"/>
      <c r="D4" s="3" t="s">
        <v>1200</v>
      </c>
      <c r="E4" s="836">
        <f t="shared" ref="E4:AT4" si="0">E957</f>
        <v>0</v>
      </c>
      <c r="F4" s="836">
        <f t="shared" si="0"/>
        <v>0</v>
      </c>
      <c r="G4" s="836">
        <f t="shared" si="0"/>
        <v>0</v>
      </c>
      <c r="H4" s="836">
        <f t="shared" si="0"/>
        <v>0</v>
      </c>
      <c r="I4" s="836">
        <f t="shared" si="0"/>
        <v>0</v>
      </c>
      <c r="J4" s="836">
        <f t="shared" si="0"/>
        <v>0</v>
      </c>
      <c r="K4" s="836">
        <f t="shared" si="0"/>
        <v>0</v>
      </c>
      <c r="L4" s="836">
        <f t="shared" si="0"/>
        <v>0</v>
      </c>
      <c r="M4" s="836">
        <f t="shared" si="0"/>
        <v>0</v>
      </c>
      <c r="N4" s="836">
        <f t="shared" si="0"/>
        <v>0</v>
      </c>
      <c r="O4" s="836">
        <f t="shared" si="0"/>
        <v>0</v>
      </c>
      <c r="P4" s="836">
        <f t="shared" si="0"/>
        <v>0</v>
      </c>
      <c r="Q4" s="836">
        <f t="shared" si="0"/>
        <v>0</v>
      </c>
      <c r="R4" s="836">
        <f t="shared" si="0"/>
        <v>0</v>
      </c>
      <c r="S4" s="836">
        <f t="shared" si="0"/>
        <v>0</v>
      </c>
      <c r="T4" s="836">
        <f t="shared" si="0"/>
        <v>0</v>
      </c>
      <c r="U4" s="836">
        <f t="shared" si="0"/>
        <v>0</v>
      </c>
      <c r="V4" s="836">
        <f t="shared" si="0"/>
        <v>0</v>
      </c>
      <c r="W4" s="836">
        <f t="shared" si="0"/>
        <v>0</v>
      </c>
      <c r="X4" s="836">
        <f t="shared" si="0"/>
        <v>0</v>
      </c>
      <c r="Y4" s="836">
        <f t="shared" si="0"/>
        <v>0</v>
      </c>
      <c r="Z4" s="836">
        <f t="shared" si="0"/>
        <v>0</v>
      </c>
      <c r="AA4" s="836">
        <f t="shared" si="0"/>
        <v>0</v>
      </c>
      <c r="AB4" s="836">
        <f t="shared" si="0"/>
        <v>0</v>
      </c>
      <c r="AC4" s="836">
        <f t="shared" si="0"/>
        <v>0</v>
      </c>
      <c r="AD4" s="49">
        <f t="shared" si="0"/>
        <v>0</v>
      </c>
      <c r="AE4" s="5">
        <f t="shared" si="0"/>
        <v>0</v>
      </c>
      <c r="AF4" s="5">
        <f t="shared" si="0"/>
        <v>0</v>
      </c>
      <c r="AG4" s="829">
        <f>AG957</f>
        <v>0</v>
      </c>
      <c r="AH4" s="829">
        <f ca="1">AH957</f>
        <v>0</v>
      </c>
      <c r="AI4" s="829">
        <f ca="1">AI957</f>
        <v>0</v>
      </c>
      <c r="AJ4" s="829">
        <f ca="1">AJ957</f>
        <v>0</v>
      </c>
      <c r="AK4" s="829"/>
      <c r="AL4" s="829">
        <f t="shared" si="0"/>
        <v>0</v>
      </c>
      <c r="AM4" s="829">
        <f t="shared" si="0"/>
        <v>0</v>
      </c>
      <c r="AN4" s="829">
        <f t="shared" si="0"/>
        <v>0</v>
      </c>
      <c r="AO4" s="829">
        <f t="shared" si="0"/>
        <v>0</v>
      </c>
      <c r="AP4" s="829">
        <f t="shared" si="0"/>
        <v>0</v>
      </c>
      <c r="AQ4" s="829">
        <f t="shared" si="0"/>
        <v>0</v>
      </c>
      <c r="AR4" s="829">
        <f t="shared" si="0"/>
        <v>0</v>
      </c>
      <c r="AS4" s="829">
        <f t="shared" si="0"/>
        <v>0</v>
      </c>
      <c r="AT4" s="829">
        <f t="shared" si="0"/>
        <v>0</v>
      </c>
      <c r="AU4" s="829">
        <f ca="1">AU957</f>
        <v>0</v>
      </c>
      <c r="AV4" s="829">
        <f ca="1">AV957</f>
        <v>0</v>
      </c>
      <c r="AW4" s="829">
        <f ca="1">AW957</f>
        <v>0</v>
      </c>
      <c r="AX4" s="829">
        <f ca="1">AX957</f>
        <v>0</v>
      </c>
      <c r="AY4" s="1"/>
      <c r="BY4" s="831"/>
      <c r="BZ4" s="831"/>
      <c r="CA4" s="831"/>
    </row>
    <row r="5" spans="1:80" s="3" customFormat="1" ht="10.5">
      <c r="B5" s="1"/>
      <c r="D5" s="3" t="s">
        <v>1199</v>
      </c>
      <c r="E5" s="829">
        <f t="shared" ref="E5:AT5" si="1">E783</f>
        <v>0</v>
      </c>
      <c r="F5" s="829">
        <f t="shared" si="1"/>
        <v>0</v>
      </c>
      <c r="G5" s="829">
        <f t="shared" si="1"/>
        <v>0</v>
      </c>
      <c r="H5" s="829">
        <f t="shared" si="1"/>
        <v>0</v>
      </c>
      <c r="I5" s="829">
        <f t="shared" si="1"/>
        <v>0</v>
      </c>
      <c r="J5" s="829">
        <f t="shared" si="1"/>
        <v>0</v>
      </c>
      <c r="K5" s="829">
        <f t="shared" si="1"/>
        <v>0</v>
      </c>
      <c r="L5" s="829">
        <f t="shared" si="1"/>
        <v>0</v>
      </c>
      <c r="M5" s="829">
        <f t="shared" si="1"/>
        <v>0</v>
      </c>
      <c r="N5" s="829">
        <f t="shared" si="1"/>
        <v>0</v>
      </c>
      <c r="O5" s="829">
        <f t="shared" si="1"/>
        <v>0</v>
      </c>
      <c r="P5" s="829">
        <f t="shared" si="1"/>
        <v>0</v>
      </c>
      <c r="Q5" s="829">
        <f t="shared" si="1"/>
        <v>0</v>
      </c>
      <c r="R5" s="829">
        <f t="shared" si="1"/>
        <v>0</v>
      </c>
      <c r="S5" s="829">
        <f t="shared" si="1"/>
        <v>0</v>
      </c>
      <c r="T5" s="829">
        <f t="shared" si="1"/>
        <v>0</v>
      </c>
      <c r="U5" s="829">
        <f t="shared" si="1"/>
        <v>0</v>
      </c>
      <c r="V5" s="829">
        <f t="shared" si="1"/>
        <v>0</v>
      </c>
      <c r="W5" s="829">
        <f t="shared" si="1"/>
        <v>0</v>
      </c>
      <c r="X5" s="829">
        <f t="shared" si="1"/>
        <v>0</v>
      </c>
      <c r="Y5" s="829">
        <f t="shared" si="1"/>
        <v>0</v>
      </c>
      <c r="Z5" s="829">
        <f t="shared" si="1"/>
        <v>0</v>
      </c>
      <c r="AA5" s="829">
        <f t="shared" si="1"/>
        <v>0</v>
      </c>
      <c r="AB5" s="829">
        <f t="shared" si="1"/>
        <v>0</v>
      </c>
      <c r="AC5" s="829">
        <f t="shared" si="1"/>
        <v>0</v>
      </c>
      <c r="AD5" s="5">
        <f t="shared" si="1"/>
        <v>0</v>
      </c>
      <c r="AE5" s="5">
        <f t="shared" si="1"/>
        <v>0</v>
      </c>
      <c r="AF5" s="5">
        <f t="shared" si="1"/>
        <v>0</v>
      </c>
      <c r="AG5" s="829">
        <f>AG783</f>
        <v>0</v>
      </c>
      <c r="AH5" s="829">
        <f ca="1">AH783</f>
        <v>0</v>
      </c>
      <c r="AI5" s="829">
        <f ca="1">AI783</f>
        <v>0</v>
      </c>
      <c r="AJ5" s="829">
        <f ca="1">AJ783</f>
        <v>0</v>
      </c>
      <c r="AK5" s="829"/>
      <c r="AL5" s="829">
        <f t="shared" si="1"/>
        <v>0</v>
      </c>
      <c r="AM5" s="829">
        <f t="shared" si="1"/>
        <v>0</v>
      </c>
      <c r="AN5" s="829">
        <f t="shared" si="1"/>
        <v>0</v>
      </c>
      <c r="AO5" s="829">
        <f t="shared" si="1"/>
        <v>0</v>
      </c>
      <c r="AP5" s="829">
        <f t="shared" si="1"/>
        <v>0</v>
      </c>
      <c r="AQ5" s="829">
        <f t="shared" si="1"/>
        <v>0</v>
      </c>
      <c r="AR5" s="829">
        <f t="shared" si="1"/>
        <v>0</v>
      </c>
      <c r="AS5" s="829">
        <f t="shared" si="1"/>
        <v>0</v>
      </c>
      <c r="AT5" s="829">
        <f t="shared" si="1"/>
        <v>0</v>
      </c>
      <c r="AU5" s="829">
        <f ca="1">AU783</f>
        <v>0</v>
      </c>
      <c r="AV5" s="829">
        <f ca="1">AV783</f>
        <v>0</v>
      </c>
      <c r="AW5" s="829">
        <f ca="1">AW783</f>
        <v>0</v>
      </c>
      <c r="AX5" s="829">
        <f ca="1">AX783</f>
        <v>0</v>
      </c>
      <c r="AY5" s="1"/>
      <c r="BB5" s="6"/>
      <c r="BD5" s="6"/>
      <c r="BY5" s="831"/>
      <c r="BZ5" s="831"/>
      <c r="CA5" s="831"/>
    </row>
    <row r="6" spans="1:80" s="3" customFormat="1" ht="12.75" customHeight="1">
      <c r="B6" s="688"/>
      <c r="C6" s="414" t="s">
        <v>0</v>
      </c>
      <c r="D6" s="7"/>
      <c r="E6" s="8">
        <f>YEAR($H$7)</f>
        <v>2016</v>
      </c>
      <c r="F6" s="9">
        <f>YEAR(H7)</f>
        <v>2016</v>
      </c>
      <c r="G6" s="10">
        <f>YEAR(H7)</f>
        <v>2016</v>
      </c>
      <c r="H6" s="11">
        <f>YEAR(H7)</f>
        <v>2016</v>
      </c>
      <c r="I6" s="8">
        <f>YEAR(L7)</f>
        <v>2017</v>
      </c>
      <c r="J6" s="9">
        <f>YEAR(L7)</f>
        <v>2017</v>
      </c>
      <c r="K6" s="10">
        <f>YEAR(L7)</f>
        <v>2017</v>
      </c>
      <c r="L6" s="11">
        <f>YEAR(L7)</f>
        <v>2017</v>
      </c>
      <c r="M6" s="8">
        <f>YEAR(P7)</f>
        <v>2018</v>
      </c>
      <c r="N6" s="9">
        <f>YEAR(P7)</f>
        <v>2018</v>
      </c>
      <c r="O6" s="10">
        <f>YEAR(P7)</f>
        <v>2018</v>
      </c>
      <c r="P6" s="11">
        <f>YEAR(P7)</f>
        <v>2018</v>
      </c>
      <c r="Q6" s="8">
        <f>YEAR(T7)</f>
        <v>2019</v>
      </c>
      <c r="R6" s="9">
        <f>YEAR(T7)</f>
        <v>2019</v>
      </c>
      <c r="S6" s="10">
        <f>YEAR(T7)</f>
        <v>2019</v>
      </c>
      <c r="T6" s="11">
        <f>YEAR(T7)</f>
        <v>2019</v>
      </c>
      <c r="U6" s="8">
        <f t="shared" ref="U6:AJ6" si="2">YEAR(U7)</f>
        <v>2020</v>
      </c>
      <c r="V6" s="9">
        <f t="shared" si="2"/>
        <v>2020</v>
      </c>
      <c r="W6" s="10">
        <f t="shared" si="2"/>
        <v>2020</v>
      </c>
      <c r="X6" s="11">
        <f t="shared" si="2"/>
        <v>2020</v>
      </c>
      <c r="Y6" s="8">
        <f t="shared" si="2"/>
        <v>2021</v>
      </c>
      <c r="Z6" s="9">
        <f t="shared" si="2"/>
        <v>2021</v>
      </c>
      <c r="AA6" s="10">
        <f t="shared" si="2"/>
        <v>2021</v>
      </c>
      <c r="AB6" s="11">
        <f t="shared" si="2"/>
        <v>2021</v>
      </c>
      <c r="AC6" s="8">
        <f t="shared" si="2"/>
        <v>2022</v>
      </c>
      <c r="AD6" s="9">
        <f t="shared" si="2"/>
        <v>2022</v>
      </c>
      <c r="AE6" s="10">
        <f t="shared" si="2"/>
        <v>2022</v>
      </c>
      <c r="AF6" s="11">
        <f t="shared" si="2"/>
        <v>2022</v>
      </c>
      <c r="AG6" s="8">
        <f t="shared" si="2"/>
        <v>2023</v>
      </c>
      <c r="AH6" s="9">
        <f t="shared" si="2"/>
        <v>2023</v>
      </c>
      <c r="AI6" s="10">
        <f t="shared" si="2"/>
        <v>2023</v>
      </c>
      <c r="AJ6" s="11">
        <f t="shared" si="2"/>
        <v>2023</v>
      </c>
      <c r="AK6" s="754"/>
      <c r="AL6" s="13">
        <f t="shared" ref="AL6:AX6" si="3">YEAR(AL7)</f>
        <v>2014</v>
      </c>
      <c r="AM6" s="13">
        <f t="shared" si="3"/>
        <v>2015</v>
      </c>
      <c r="AN6" s="13">
        <f t="shared" si="3"/>
        <v>2016</v>
      </c>
      <c r="AO6" s="13">
        <f t="shared" si="3"/>
        <v>2017</v>
      </c>
      <c r="AP6" s="13">
        <f t="shared" si="3"/>
        <v>2018</v>
      </c>
      <c r="AQ6" s="13">
        <f t="shared" si="3"/>
        <v>2019</v>
      </c>
      <c r="AR6" s="13">
        <f t="shared" si="3"/>
        <v>2020</v>
      </c>
      <c r="AS6" s="13">
        <f t="shared" si="3"/>
        <v>2021</v>
      </c>
      <c r="AT6" s="828">
        <f t="shared" si="3"/>
        <v>2022</v>
      </c>
      <c r="AU6" s="710">
        <f t="shared" si="3"/>
        <v>2023</v>
      </c>
      <c r="AV6" s="710">
        <f t="shared" si="3"/>
        <v>2024</v>
      </c>
      <c r="AW6" s="710">
        <f t="shared" si="3"/>
        <v>2025</v>
      </c>
      <c r="AX6" s="710">
        <f t="shared" si="3"/>
        <v>2026</v>
      </c>
      <c r="AY6" s="1"/>
      <c r="AZ6" s="1543" t="s">
        <v>339</v>
      </c>
      <c r="BA6" s="1544"/>
      <c r="BB6" s="1544"/>
      <c r="BC6" s="1544"/>
      <c r="BD6" s="1544"/>
      <c r="BE6" s="1544"/>
      <c r="BF6" s="1544"/>
      <c r="BG6" s="1544"/>
      <c r="BH6" s="1544"/>
      <c r="BI6" s="1544"/>
      <c r="BJ6" s="1544"/>
      <c r="BK6" s="1544"/>
      <c r="BL6" s="1544"/>
      <c r="BM6" s="1544"/>
      <c r="BN6" s="1544"/>
      <c r="BO6" s="1544"/>
      <c r="BP6" s="744"/>
      <c r="BY6" s="831"/>
      <c r="BZ6" s="831"/>
      <c r="CA6" s="831"/>
    </row>
    <row r="7" spans="1:80" s="16" customFormat="1" ht="12.75" customHeight="1">
      <c r="B7" s="689"/>
      <c r="C7" s="17" t="s">
        <v>13</v>
      </c>
      <c r="D7" s="17"/>
      <c r="E7" s="17">
        <v>42460</v>
      </c>
      <c r="F7" s="17">
        <f t="shared" ref="F7:X7" si="4">+EOMONTH(E7,3)</f>
        <v>42551</v>
      </c>
      <c r="G7" s="17">
        <f t="shared" si="4"/>
        <v>42643</v>
      </c>
      <c r="H7" s="18">
        <f t="shared" si="4"/>
        <v>42735</v>
      </c>
      <c r="I7" s="17">
        <f t="shared" si="4"/>
        <v>42825</v>
      </c>
      <c r="J7" s="17">
        <f t="shared" si="4"/>
        <v>42916</v>
      </c>
      <c r="K7" s="17">
        <f t="shared" si="4"/>
        <v>43008</v>
      </c>
      <c r="L7" s="18">
        <f t="shared" si="4"/>
        <v>43100</v>
      </c>
      <c r="M7" s="17">
        <f t="shared" si="4"/>
        <v>43190</v>
      </c>
      <c r="N7" s="17">
        <f t="shared" si="4"/>
        <v>43281</v>
      </c>
      <c r="O7" s="17">
        <f t="shared" si="4"/>
        <v>43373</v>
      </c>
      <c r="P7" s="18">
        <f t="shared" si="4"/>
        <v>43465</v>
      </c>
      <c r="Q7" s="17">
        <f t="shared" si="4"/>
        <v>43555</v>
      </c>
      <c r="R7" s="17">
        <f t="shared" si="4"/>
        <v>43646</v>
      </c>
      <c r="S7" s="17">
        <f t="shared" si="4"/>
        <v>43738</v>
      </c>
      <c r="T7" s="17">
        <f t="shared" si="4"/>
        <v>43830</v>
      </c>
      <c r="U7" s="17">
        <f t="shared" si="4"/>
        <v>43921</v>
      </c>
      <c r="V7" s="17">
        <f t="shared" si="4"/>
        <v>44012</v>
      </c>
      <c r="W7" s="17">
        <f t="shared" si="4"/>
        <v>44104</v>
      </c>
      <c r="X7" s="17">
        <f t="shared" si="4"/>
        <v>44196</v>
      </c>
      <c r="Y7" s="17">
        <f t="shared" ref="Y7:AG7" si="5">+EOMONTH(X7,3)</f>
        <v>44286</v>
      </c>
      <c r="Z7" s="17">
        <f t="shared" si="5"/>
        <v>44377</v>
      </c>
      <c r="AA7" s="17">
        <f t="shared" si="5"/>
        <v>44469</v>
      </c>
      <c r="AB7" s="17">
        <f t="shared" si="5"/>
        <v>44561</v>
      </c>
      <c r="AC7" s="17">
        <f t="shared" si="5"/>
        <v>44651</v>
      </c>
      <c r="AD7" s="17">
        <f t="shared" si="5"/>
        <v>44742</v>
      </c>
      <c r="AE7" s="17">
        <f t="shared" si="5"/>
        <v>44834</v>
      </c>
      <c r="AF7" s="17">
        <f t="shared" si="5"/>
        <v>44926</v>
      </c>
      <c r="AG7" s="17">
        <f t="shared" si="5"/>
        <v>45016</v>
      </c>
      <c r="AH7" s="17">
        <f t="shared" ref="AH7" si="6">+EOMONTH(AG7,3)</f>
        <v>45107</v>
      </c>
      <c r="AI7" s="17">
        <f t="shared" ref="AI7" si="7">+EOMONTH(AH7,3)</f>
        <v>45199</v>
      </c>
      <c r="AJ7" s="17">
        <f t="shared" ref="AJ7" si="8">+EOMONTH(AI7,3)</f>
        <v>45291</v>
      </c>
      <c r="AK7" s="754"/>
      <c r="AL7" s="18">
        <v>42004</v>
      </c>
      <c r="AM7" s="18">
        <f t="shared" ref="AM7:AX7" si="9">EOMONTH(AL7,12)</f>
        <v>42369</v>
      </c>
      <c r="AN7" s="18">
        <f t="shared" si="9"/>
        <v>42735</v>
      </c>
      <c r="AO7" s="18">
        <f t="shared" si="9"/>
        <v>43100</v>
      </c>
      <c r="AP7" s="18">
        <f t="shared" si="9"/>
        <v>43465</v>
      </c>
      <c r="AQ7" s="18">
        <f t="shared" si="9"/>
        <v>43830</v>
      </c>
      <c r="AR7" s="18">
        <f t="shared" si="9"/>
        <v>44196</v>
      </c>
      <c r="AS7" s="18">
        <f t="shared" si="9"/>
        <v>44561</v>
      </c>
      <c r="AT7" s="18">
        <f t="shared" si="9"/>
        <v>44926</v>
      </c>
      <c r="AU7" s="18">
        <f t="shared" si="9"/>
        <v>45291</v>
      </c>
      <c r="AV7" s="18">
        <f t="shared" si="9"/>
        <v>45657</v>
      </c>
      <c r="AW7" s="18">
        <f t="shared" si="9"/>
        <v>46022</v>
      </c>
      <c r="AX7" s="1038">
        <f t="shared" si="9"/>
        <v>46387</v>
      </c>
      <c r="AY7" s="1"/>
      <c r="AZ7" s="1039">
        <v>42460</v>
      </c>
      <c r="BA7" s="17">
        <f t="shared" ref="BA7:BP7" si="10">+EOMONTH(AZ7,3)</f>
        <v>42551</v>
      </c>
      <c r="BB7" s="17">
        <f t="shared" si="10"/>
        <v>42643</v>
      </c>
      <c r="BC7" s="17">
        <f t="shared" si="10"/>
        <v>42735</v>
      </c>
      <c r="BD7" s="17">
        <f t="shared" si="10"/>
        <v>42825</v>
      </c>
      <c r="BE7" s="17">
        <f t="shared" si="10"/>
        <v>42916</v>
      </c>
      <c r="BF7" s="17">
        <f t="shared" si="10"/>
        <v>43008</v>
      </c>
      <c r="BG7" s="17">
        <f t="shared" si="10"/>
        <v>43100</v>
      </c>
      <c r="BH7" s="17">
        <f t="shared" si="10"/>
        <v>43190</v>
      </c>
      <c r="BI7" s="17">
        <f t="shared" si="10"/>
        <v>43281</v>
      </c>
      <c r="BJ7" s="17">
        <f t="shared" si="10"/>
        <v>43373</v>
      </c>
      <c r="BK7" s="17">
        <f t="shared" si="10"/>
        <v>43465</v>
      </c>
      <c r="BL7" s="17">
        <f t="shared" si="10"/>
        <v>43555</v>
      </c>
      <c r="BM7" s="17">
        <f t="shared" si="10"/>
        <v>43646</v>
      </c>
      <c r="BN7" s="17">
        <f t="shared" si="10"/>
        <v>43738</v>
      </c>
      <c r="BO7" s="17">
        <f t="shared" si="10"/>
        <v>43830</v>
      </c>
      <c r="BP7" s="17">
        <f t="shared" si="10"/>
        <v>43921</v>
      </c>
      <c r="BQ7" s="17">
        <f t="shared" ref="BQ7:BX7" si="11">+EOMONTH(BP7,3)</f>
        <v>44012</v>
      </c>
      <c r="BR7" s="17">
        <f t="shared" si="11"/>
        <v>44104</v>
      </c>
      <c r="BS7" s="17">
        <f t="shared" si="11"/>
        <v>44196</v>
      </c>
      <c r="BT7" s="17">
        <f t="shared" si="11"/>
        <v>44286</v>
      </c>
      <c r="BU7" s="17">
        <f t="shared" si="11"/>
        <v>44377</v>
      </c>
      <c r="BV7" s="17">
        <f t="shared" si="11"/>
        <v>44469</v>
      </c>
      <c r="BW7" s="17">
        <f t="shared" si="11"/>
        <v>44561</v>
      </c>
      <c r="BX7" s="17">
        <f t="shared" si="11"/>
        <v>44651</v>
      </c>
      <c r="BY7" s="832">
        <f>+EOMONTH(BX7,3)</f>
        <v>44742</v>
      </c>
      <c r="BZ7" s="832">
        <f>+EOMONTH(BY7,3)</f>
        <v>44834</v>
      </c>
      <c r="CA7" s="832">
        <f>+EOMONTH(BZ7,3)</f>
        <v>44926</v>
      </c>
      <c r="CB7" s="832">
        <f>+EOMONTH(CA7,3)</f>
        <v>45016</v>
      </c>
    </row>
    <row r="8" spans="1:80" s="5" customFormat="1" ht="10.5">
      <c r="A8" s="5" t="s">
        <v>394</v>
      </c>
      <c r="B8" s="49"/>
      <c r="AK8" s="23"/>
      <c r="AU8" s="95"/>
      <c r="AY8" s="1"/>
      <c r="BY8" s="829"/>
      <c r="BZ8" s="829"/>
      <c r="CA8" s="829"/>
    </row>
    <row r="9" spans="1:80" s="5" customFormat="1" ht="10.5">
      <c r="B9" s="687" t="s">
        <v>14</v>
      </c>
      <c r="C9" s="20" t="s">
        <v>15</v>
      </c>
      <c r="D9" s="20"/>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23"/>
      <c r="AL9" s="19"/>
      <c r="AM9" s="19"/>
      <c r="AN9" s="19"/>
      <c r="AO9" s="19"/>
      <c r="AP9" s="19"/>
      <c r="AQ9" s="19"/>
      <c r="AR9" s="19"/>
      <c r="AS9" s="19"/>
      <c r="AT9" s="19"/>
      <c r="AU9" s="19"/>
      <c r="AV9" s="19"/>
      <c r="AW9" s="19"/>
      <c r="AX9" s="19"/>
      <c r="AY9" s="1"/>
      <c r="AZ9" s="19"/>
      <c r="BA9" s="19"/>
      <c r="BB9" s="19"/>
      <c r="BC9" s="19"/>
      <c r="BD9" s="19"/>
      <c r="BE9" s="19"/>
      <c r="BF9" s="19"/>
      <c r="BG9" s="19"/>
      <c r="BH9" s="19"/>
      <c r="BI9" s="19"/>
      <c r="BJ9" s="19"/>
      <c r="BK9" s="19"/>
      <c r="BL9" s="19"/>
      <c r="BM9" s="19"/>
      <c r="BN9" s="19"/>
      <c r="BY9" s="829"/>
      <c r="BZ9" s="829"/>
      <c r="CA9" s="829"/>
    </row>
    <row r="10" spans="1:80" s="5" customFormat="1" ht="10.5">
      <c r="B10" s="49"/>
      <c r="C10" s="21"/>
      <c r="D10" s="21"/>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f>SUM(AC11:AE11)/SUM(Y11:AA11)-1</f>
        <v>5.4613209971729582E-2</v>
      </c>
      <c r="AF10" s="22"/>
      <c r="AG10" s="22"/>
      <c r="AH10" s="22"/>
      <c r="AI10" s="22"/>
      <c r="AJ10" s="22"/>
      <c r="AK10" s="23"/>
      <c r="AL10" s="1154"/>
      <c r="AM10" s="1154"/>
      <c r="AN10" s="1154"/>
      <c r="AO10" s="1154"/>
      <c r="AP10" s="1154"/>
      <c r="AQ10" s="1154"/>
      <c r="AR10" s="1154"/>
      <c r="AS10" s="1154"/>
      <c r="AT10" s="1154"/>
      <c r="AU10" s="1154"/>
      <c r="AV10" s="1154"/>
      <c r="AW10" s="1154"/>
      <c r="AX10" s="1154"/>
      <c r="AY10" s="1"/>
      <c r="BY10" s="829"/>
      <c r="BZ10" s="829"/>
      <c r="CA10" s="829"/>
    </row>
    <row r="11" spans="1:80" ht="11.25" customHeight="1">
      <c r="C11" s="43" t="s">
        <v>18</v>
      </c>
      <c r="E11" s="29">
        <v>2236</v>
      </c>
      <c r="F11" s="29">
        <v>2297</v>
      </c>
      <c r="G11" s="29">
        <v>2287</v>
      </c>
      <c r="H11" s="29">
        <v>2188</v>
      </c>
      <c r="I11" s="29">
        <v>2303</v>
      </c>
      <c r="J11" s="29">
        <v>2419</v>
      </c>
      <c r="K11" s="29">
        <v>2465</v>
      </c>
      <c r="L11" s="29">
        <v>2362</v>
      </c>
      <c r="M11" s="29">
        <v>2607</v>
      </c>
      <c r="N11" s="29">
        <v>2621</v>
      </c>
      <c r="O11" s="29">
        <v>2547</v>
      </c>
      <c r="P11" s="29">
        <v>2376</v>
      </c>
      <c r="Q11" s="29">
        <v>2380</v>
      </c>
      <c r="R11" s="29">
        <v>2363</v>
      </c>
      <c r="S11" s="29">
        <v>2325</v>
      </c>
      <c r="T11" s="29">
        <v>2205</v>
      </c>
      <c r="U11" s="29">
        <v>2241</v>
      </c>
      <c r="V11" s="29">
        <v>1924</v>
      </c>
      <c r="W11" s="29">
        <v>2122</v>
      </c>
      <c r="X11" s="29">
        <v>2186</v>
      </c>
      <c r="Y11" s="29">
        <v>2409</v>
      </c>
      <c r="Z11" s="29">
        <v>2653</v>
      </c>
      <c r="AA11" s="29">
        <v>2720</v>
      </c>
      <c r="AB11" s="29">
        <v>2694</v>
      </c>
      <c r="AC11" s="29">
        <v>2714</v>
      </c>
      <c r="AD11" s="29">
        <v>2784</v>
      </c>
      <c r="AE11" s="29">
        <v>2709</v>
      </c>
      <c r="AF11" s="29">
        <v>2373</v>
      </c>
      <c r="AG11" s="29">
        <v>2412</v>
      </c>
      <c r="AH11" s="33">
        <f>AH250+AH352+AH433+AH513+AH592</f>
        <v>2705.24</v>
      </c>
      <c r="AI11" s="33">
        <f>AI250+AI352+AI433+AI513+AI592</f>
        <v>2698.02</v>
      </c>
      <c r="AJ11" s="33">
        <f>AJ250+AJ352+AJ433+AJ513+AJ592</f>
        <v>2403.7800000000002</v>
      </c>
      <c r="AK11" s="79"/>
      <c r="AL11" s="29">
        <v>9527</v>
      </c>
      <c r="AM11" s="29">
        <v>9648</v>
      </c>
      <c r="AN11" s="33">
        <f>SUMIF($E$6:$AK$6,AN$6,$E11:$AK11)</f>
        <v>9008</v>
      </c>
      <c r="AO11" s="33">
        <f t="shared" ref="AO11:AT11" si="12">SUMIF($E$6:$AK$6,AO$6,$E11:$AK11)</f>
        <v>9549</v>
      </c>
      <c r="AP11" s="33">
        <f t="shared" si="12"/>
        <v>10151</v>
      </c>
      <c r="AQ11" s="33">
        <f t="shared" si="12"/>
        <v>9273</v>
      </c>
      <c r="AR11" s="33">
        <f t="shared" si="12"/>
        <v>8473</v>
      </c>
      <c r="AS11" s="33">
        <f t="shared" si="12"/>
        <v>10476</v>
      </c>
      <c r="AT11" s="33">
        <f t="shared" si="12"/>
        <v>10580</v>
      </c>
      <c r="AU11" s="33">
        <f>AU250+AU352+AU433+AU513+AU592</f>
        <v>10219.039999999997</v>
      </c>
      <c r="AV11" s="33">
        <f>AV250+AV352+AV433+AV513+AV592</f>
        <v>10590.996599999999</v>
      </c>
      <c r="AW11" s="33">
        <f>AW250+AW352+AW433+AW513+AW592</f>
        <v>10912.299747000001</v>
      </c>
      <c r="AX11" s="33">
        <f>AX250+AX352+AX433+AX513+AX592</f>
        <v>11189.795110854999</v>
      </c>
    </row>
    <row r="12" spans="1:80" ht="11.25" customHeight="1" outlineLevel="1">
      <c r="C12" s="107" t="s">
        <v>358</v>
      </c>
      <c r="E12" s="46"/>
      <c r="F12" s="46"/>
      <c r="G12" s="46"/>
      <c r="H12" s="46"/>
      <c r="I12" s="94">
        <f>IFERROR(I11/E11-1,"NA  ")</f>
        <v>2.9964221824686943E-2</v>
      </c>
      <c r="J12" s="94">
        <f t="shared" ref="J12:R12" si="13">IFERROR(J11/F11-1,"NA  ")</f>
        <v>5.3112755768393471E-2</v>
      </c>
      <c r="K12" s="94">
        <f t="shared" si="13"/>
        <v>7.7831219938784502E-2</v>
      </c>
      <c r="L12" s="94">
        <f t="shared" si="13"/>
        <v>7.9524680073126186E-2</v>
      </c>
      <c r="M12" s="94">
        <f t="shared" si="13"/>
        <v>0.13200173686495864</v>
      </c>
      <c r="N12" s="94">
        <f t="shared" si="13"/>
        <v>8.3505580818520109E-2</v>
      </c>
      <c r="O12" s="94">
        <f t="shared" si="13"/>
        <v>3.326572008113593E-2</v>
      </c>
      <c r="P12" s="94">
        <f t="shared" si="13"/>
        <v>5.92718035563089E-3</v>
      </c>
      <c r="Q12" s="94">
        <f t="shared" si="13"/>
        <v>-8.7073264288454189E-2</v>
      </c>
      <c r="R12" s="94">
        <f t="shared" si="13"/>
        <v>-9.8435711560473149E-2</v>
      </c>
      <c r="S12" s="94">
        <f>IFERROR(S11/O11-1,"NA  ")</f>
        <v>-8.7161366313309729E-2</v>
      </c>
      <c r="T12" s="94">
        <f>IFERROR(T11/P11-1,"NA  ")</f>
        <v>-7.1969696969697017E-2</v>
      </c>
      <c r="U12" s="94">
        <f t="shared" ref="U12:AC12" si="14">IFERROR(U11/Q11-1,"NA  ")</f>
        <v>-5.840336134453783E-2</v>
      </c>
      <c r="V12" s="94">
        <f t="shared" si="14"/>
        <v>-0.1857807871349979</v>
      </c>
      <c r="W12" s="94">
        <f t="shared" si="14"/>
        <v>-8.7311827956989219E-2</v>
      </c>
      <c r="X12" s="94">
        <f t="shared" si="14"/>
        <v>-8.6167800453514909E-3</v>
      </c>
      <c r="Y12" s="94">
        <f t="shared" si="14"/>
        <v>7.4966532797858143E-2</v>
      </c>
      <c r="Z12" s="94">
        <f t="shared" si="14"/>
        <v>0.37889812889812879</v>
      </c>
      <c r="AA12" s="94">
        <f t="shared" si="14"/>
        <v>0.28180961357210177</v>
      </c>
      <c r="AB12" s="94">
        <f t="shared" si="14"/>
        <v>0.23238792314730095</v>
      </c>
      <c r="AC12" s="94">
        <f t="shared" si="14"/>
        <v>0.1266085512660855</v>
      </c>
      <c r="AD12" s="94">
        <f t="shared" ref="AD12" si="15">IFERROR(AD11/Z11-1,"NA  ")</f>
        <v>4.9378062570674786E-2</v>
      </c>
      <c r="AE12" s="94">
        <f t="shared" ref="AE12" si="16">IFERROR(AE11/AA11-1,"NA  ")</f>
        <v>-4.0441176470588092E-3</v>
      </c>
      <c r="AF12" s="94">
        <f t="shared" ref="AF12:AG12" si="17">IFERROR(AF11/AB11-1,"NA  ")</f>
        <v>-0.11915367483296213</v>
      </c>
      <c r="AG12" s="94">
        <f t="shared" si="17"/>
        <v>-0.11127487103905676</v>
      </c>
      <c r="AH12" s="94">
        <f t="shared" ref="AH12:AJ12" si="18">IFERROR(AH11/AD11-1,"NA  ")</f>
        <v>-2.8290229885057583E-2</v>
      </c>
      <c r="AI12" s="94">
        <f t="shared" si="18"/>
        <v>-4.0531561461794041E-3</v>
      </c>
      <c r="AJ12" s="94">
        <f t="shared" si="18"/>
        <v>1.2970922882427294E-2</v>
      </c>
      <c r="AK12" s="79"/>
      <c r="AL12" s="96"/>
      <c r="AM12" s="95">
        <f t="shared" ref="AM12:AX12" si="19">IFERROR(AM11/AL11-1,"NA  ")</f>
        <v>1.270074525034115E-2</v>
      </c>
      <c r="AN12" s="95">
        <f t="shared" si="19"/>
        <v>-6.6334991708126068E-2</v>
      </c>
      <c r="AO12" s="95">
        <f t="shared" si="19"/>
        <v>6.0057726465364114E-2</v>
      </c>
      <c r="AP12" s="95">
        <f t="shared" si="19"/>
        <v>6.3043250602157208E-2</v>
      </c>
      <c r="AQ12" s="95">
        <f t="shared" si="19"/>
        <v>-8.6493941483597681E-2</v>
      </c>
      <c r="AR12" s="95">
        <f t="shared" si="19"/>
        <v>-8.6271972392968799E-2</v>
      </c>
      <c r="AS12" s="95">
        <f t="shared" si="19"/>
        <v>0.23639797002242413</v>
      </c>
      <c r="AT12" s="95">
        <f t="shared" si="19"/>
        <v>9.9274532264221893E-3</v>
      </c>
      <c r="AU12" s="95">
        <f t="shared" si="19"/>
        <v>-3.411720226843129E-2</v>
      </c>
      <c r="AV12" s="95">
        <f t="shared" si="19"/>
        <v>3.639838967261122E-2</v>
      </c>
      <c r="AW12" s="95">
        <f t="shared" si="19"/>
        <v>3.0337385529894512E-2</v>
      </c>
      <c r="AX12" s="95">
        <f t="shared" si="19"/>
        <v>2.5429595070579625E-2</v>
      </c>
    </row>
    <row r="13" spans="1:80" ht="5.2" customHeight="1" outlineLevel="1">
      <c r="C13" s="43"/>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79"/>
      <c r="AL13" s="29"/>
      <c r="AM13" s="29"/>
      <c r="AN13" s="33"/>
      <c r="AO13" s="33"/>
      <c r="AP13" s="33"/>
      <c r="AQ13" s="33"/>
      <c r="AR13" s="33"/>
    </row>
    <row r="14" spans="1:80" ht="11.25" customHeight="1">
      <c r="C14" s="43" t="s">
        <v>19</v>
      </c>
      <c r="E14" s="29">
        <v>1602</v>
      </c>
      <c r="F14" s="29">
        <v>1692</v>
      </c>
      <c r="G14" s="29">
        <v>1666</v>
      </c>
      <c r="H14" s="29">
        <v>1698</v>
      </c>
      <c r="I14" s="29">
        <v>1698</v>
      </c>
      <c r="J14" s="29">
        <v>1789</v>
      </c>
      <c r="K14" s="29">
        <v>1794</v>
      </c>
      <c r="L14" s="29">
        <v>1905</v>
      </c>
      <c r="M14" s="29">
        <v>2026</v>
      </c>
      <c r="N14" s="29">
        <v>1917</v>
      </c>
      <c r="O14" s="29">
        <v>1819</v>
      </c>
      <c r="P14" s="29">
        <v>1910</v>
      </c>
      <c r="Q14" s="29">
        <v>1806</v>
      </c>
      <c r="R14" s="29">
        <v>1774</v>
      </c>
      <c r="S14" s="29">
        <v>1751</v>
      </c>
      <c r="T14" s="29">
        <v>1708</v>
      </c>
      <c r="U14" s="29">
        <v>1664</v>
      </c>
      <c r="V14" s="29">
        <v>1553</v>
      </c>
      <c r="W14" s="29">
        <v>1621</v>
      </c>
      <c r="X14" s="29">
        <v>1660</v>
      </c>
      <c r="Y14" s="29">
        <v>1811</v>
      </c>
      <c r="Z14" s="29">
        <v>1972</v>
      </c>
      <c r="AA14" s="29">
        <v>2058</v>
      </c>
      <c r="AB14" s="29">
        <v>2135</v>
      </c>
      <c r="AC14" s="29">
        <v>2164</v>
      </c>
      <c r="AD14" s="29">
        <v>2114</v>
      </c>
      <c r="AE14" s="29">
        <v>2168</v>
      </c>
      <c r="AF14" s="29">
        <v>1997</v>
      </c>
      <c r="AG14" s="29">
        <v>1883</v>
      </c>
      <c r="AH14" s="33">
        <f t="shared" ref="AH14:AJ14" si="20">+AH132</f>
        <v>2123.6133999999997</v>
      </c>
      <c r="AI14" s="33">
        <f t="shared" si="20"/>
        <v>2117.9457000000002</v>
      </c>
      <c r="AJ14" s="33">
        <f t="shared" si="20"/>
        <v>1886.9673000000003</v>
      </c>
      <c r="AK14" s="79"/>
      <c r="AL14" s="29">
        <v>7306</v>
      </c>
      <c r="AM14" s="29">
        <v>7068</v>
      </c>
      <c r="AN14" s="33">
        <f>SUMIF($E$6:$AK$6,AN$6,$E14:$AK14)</f>
        <v>6658</v>
      </c>
      <c r="AO14" s="33">
        <f t="shared" ref="AO14:AU14" si="21">SUMIF($E$6:$AK$6,AO$6,$E14:$AK14)</f>
        <v>7186</v>
      </c>
      <c r="AP14" s="33">
        <f t="shared" si="21"/>
        <v>7672</v>
      </c>
      <c r="AQ14" s="33">
        <f t="shared" si="21"/>
        <v>7039</v>
      </c>
      <c r="AR14" s="33">
        <f t="shared" si="21"/>
        <v>6498</v>
      </c>
      <c r="AS14" s="33">
        <f t="shared" si="21"/>
        <v>7976</v>
      </c>
      <c r="AT14" s="33">
        <f t="shared" si="21"/>
        <v>8443</v>
      </c>
      <c r="AU14" s="33">
        <f t="shared" si="21"/>
        <v>8011.5264000000006</v>
      </c>
      <c r="AV14" s="33">
        <f>+AV132</f>
        <v>7837.3374839999988</v>
      </c>
      <c r="AW14" s="33">
        <f>+AW132</f>
        <v>8075.1018127800007</v>
      </c>
      <c r="AX14" s="33">
        <f>+AX132</f>
        <v>8280.4483820326986</v>
      </c>
    </row>
    <row r="15" spans="1:80" ht="11.25" customHeight="1" outlineLevel="1">
      <c r="C15" s="107" t="s">
        <v>358</v>
      </c>
      <c r="E15" s="46"/>
      <c r="F15" s="46"/>
      <c r="G15" s="46"/>
      <c r="H15" s="46"/>
      <c r="I15" s="94">
        <f t="shared" ref="I15:AC15" si="22">IFERROR(I14/E14-1,"NA  ")</f>
        <v>5.9925093632958726E-2</v>
      </c>
      <c r="J15" s="94">
        <f t="shared" si="22"/>
        <v>5.7328605200945626E-2</v>
      </c>
      <c r="K15" s="94">
        <f t="shared" si="22"/>
        <v>7.6830732292917148E-2</v>
      </c>
      <c r="L15" s="94">
        <f t="shared" si="22"/>
        <v>0.12190812720848054</v>
      </c>
      <c r="M15" s="94">
        <f t="shared" si="22"/>
        <v>0.193168433451119</v>
      </c>
      <c r="N15" s="94">
        <f t="shared" si="22"/>
        <v>7.1548351034097291E-2</v>
      </c>
      <c r="O15" s="94">
        <f t="shared" si="22"/>
        <v>1.3935340022296572E-2</v>
      </c>
      <c r="P15" s="94">
        <f t="shared" si="22"/>
        <v>2.624671916010568E-3</v>
      </c>
      <c r="Q15" s="94">
        <f t="shared" si="22"/>
        <v>-0.10858835143139189</v>
      </c>
      <c r="R15" s="94">
        <f t="shared" si="22"/>
        <v>-7.4595722483046467E-2</v>
      </c>
      <c r="S15" s="94">
        <f t="shared" si="22"/>
        <v>-3.7383177570093462E-2</v>
      </c>
      <c r="T15" s="94">
        <f t="shared" si="22"/>
        <v>-0.10575916230366489</v>
      </c>
      <c r="U15" s="94">
        <f t="shared" si="22"/>
        <v>-7.8626799557032112E-2</v>
      </c>
      <c r="V15" s="94">
        <f t="shared" si="22"/>
        <v>-0.12457722660653892</v>
      </c>
      <c r="W15" s="94">
        <f t="shared" si="22"/>
        <v>-7.4243289548829194E-2</v>
      </c>
      <c r="X15" s="94">
        <f t="shared" si="22"/>
        <v>-2.8103044496487151E-2</v>
      </c>
      <c r="Y15" s="94">
        <f t="shared" si="22"/>
        <v>8.8341346153846256E-2</v>
      </c>
      <c r="Z15" s="94">
        <f t="shared" si="22"/>
        <v>0.26980038634900194</v>
      </c>
      <c r="AA15" s="94">
        <f t="shared" si="22"/>
        <v>0.26958667489204191</v>
      </c>
      <c r="AB15" s="94">
        <f t="shared" si="22"/>
        <v>0.28614457831325302</v>
      </c>
      <c r="AC15" s="94">
        <f t="shared" si="22"/>
        <v>0.1949199337382661</v>
      </c>
      <c r="AD15" s="94">
        <f>IFERROR(AD14/Z14-1,"NA  ")</f>
        <v>7.2008113590263712E-2</v>
      </c>
      <c r="AE15" s="94">
        <f>IFERROR(AE14/AA14-1,"NA  ")</f>
        <v>5.344995140913511E-2</v>
      </c>
      <c r="AF15" s="94">
        <f>IFERROR(AF14/AB14-1,"NA  ")</f>
        <v>-6.463700234192038E-2</v>
      </c>
      <c r="AG15" s="94">
        <f>IFERROR(AG14/AC14-1,"NA  ")</f>
        <v>-0.12985212569316085</v>
      </c>
      <c r="AH15" s="95">
        <f t="shared" ref="AH15:AJ15" si="23">+IFERROR(AH14/AD14-1,"NA  ")</f>
        <v>4.5474929044464485E-3</v>
      </c>
      <c r="AI15" s="95">
        <f t="shared" si="23"/>
        <v>-2.3087776752767408E-2</v>
      </c>
      <c r="AJ15" s="95">
        <f t="shared" si="23"/>
        <v>-5.5098998497746465E-2</v>
      </c>
      <c r="AK15" s="79"/>
      <c r="AL15" s="96"/>
      <c r="AM15" s="95">
        <f t="shared" ref="AM15:AU15" si="24">IFERROR(AM14/AL14-1,"NA  ")</f>
        <v>-3.2575964960306569E-2</v>
      </c>
      <c r="AN15" s="95">
        <f t="shared" si="24"/>
        <v>-5.8007923033389974E-2</v>
      </c>
      <c r="AO15" s="95">
        <f t="shared" si="24"/>
        <v>7.9303094022228793E-2</v>
      </c>
      <c r="AP15" s="95">
        <f t="shared" si="24"/>
        <v>6.7631505705538553E-2</v>
      </c>
      <c r="AQ15" s="95">
        <f t="shared" si="24"/>
        <v>-8.2507820646506747E-2</v>
      </c>
      <c r="AR15" s="95">
        <f t="shared" si="24"/>
        <v>-7.6857508168774014E-2</v>
      </c>
      <c r="AS15" s="95">
        <f t="shared" si="24"/>
        <v>0.2274546014158203</v>
      </c>
      <c r="AT15" s="95">
        <f t="shared" si="24"/>
        <v>5.8550651955867616E-2</v>
      </c>
      <c r="AU15" s="95">
        <f t="shared" si="24"/>
        <v>-5.1104299419637456E-2</v>
      </c>
      <c r="AV15" s="95">
        <f>+IFERROR(AV14/AU14-1,"NA  ")</f>
        <v>-2.1742288211145655E-2</v>
      </c>
      <c r="AW15" s="95">
        <f>+IFERROR(AW14/AV14-1,"NA  ")</f>
        <v>3.0337385529894512E-2</v>
      </c>
      <c r="AX15" s="95">
        <f>+IFERROR(AX14/AW14-1,"NA  ")</f>
        <v>2.5429595070579403E-2</v>
      </c>
    </row>
    <row r="16" spans="1:80" ht="11.25" customHeight="1" outlineLevel="1">
      <c r="C16" s="107" t="s">
        <v>359</v>
      </c>
      <c r="E16" s="94">
        <f>IFERROR(E14/E11,"NA  ")</f>
        <v>0.71645796064400713</v>
      </c>
      <c r="F16" s="94">
        <f t="shared" ref="F16:R16" si="25">IFERROR(F14/F11,"NA  ")</f>
        <v>0.73661297344362209</v>
      </c>
      <c r="G16" s="94">
        <f t="shared" si="25"/>
        <v>0.72846523830345433</v>
      </c>
      <c r="H16" s="94">
        <f t="shared" si="25"/>
        <v>0.77605118829981723</v>
      </c>
      <c r="I16" s="94">
        <f t="shared" si="25"/>
        <v>0.73729917498914455</v>
      </c>
      <c r="J16" s="94">
        <f t="shared" si="25"/>
        <v>0.73956180239768499</v>
      </c>
      <c r="K16" s="94">
        <f t="shared" si="25"/>
        <v>0.72778904665314403</v>
      </c>
      <c r="L16" s="94">
        <f t="shared" si="25"/>
        <v>0.80651989839119387</v>
      </c>
      <c r="M16" s="94">
        <f t="shared" si="25"/>
        <v>0.77713847334100494</v>
      </c>
      <c r="N16" s="94">
        <f t="shared" si="25"/>
        <v>0.73140022892025947</v>
      </c>
      <c r="O16" s="94">
        <f t="shared" si="25"/>
        <v>0.71417353749509227</v>
      </c>
      <c r="P16" s="94">
        <f t="shared" si="25"/>
        <v>0.80387205387205385</v>
      </c>
      <c r="Q16" s="94">
        <f t="shared" si="25"/>
        <v>0.75882352941176467</v>
      </c>
      <c r="R16" s="94">
        <f t="shared" si="25"/>
        <v>0.7507405840033855</v>
      </c>
      <c r="S16" s="94">
        <f>IFERROR(S14/S11,"NA  ")</f>
        <v>0.75311827956989252</v>
      </c>
      <c r="T16" s="94">
        <f>IFERROR(T14/T11,"NA  ")</f>
        <v>0.77460317460317463</v>
      </c>
      <c r="U16" s="94">
        <f t="shared" ref="U16:AC16" si="26">IFERROR(U14/U11,"NA  ")</f>
        <v>0.74252565818830885</v>
      </c>
      <c r="V16" s="94">
        <f t="shared" si="26"/>
        <v>0.8071725571725572</v>
      </c>
      <c r="W16" s="94">
        <f t="shared" si="26"/>
        <v>0.76390197926484449</v>
      </c>
      <c r="X16" s="94">
        <f t="shared" si="26"/>
        <v>0.75937785910338518</v>
      </c>
      <c r="Y16" s="94">
        <f t="shared" si="26"/>
        <v>0.75176421751764222</v>
      </c>
      <c r="Z16" s="94">
        <f t="shared" si="26"/>
        <v>0.74330946098756123</v>
      </c>
      <c r="AA16" s="94">
        <f t="shared" si="26"/>
        <v>0.75661764705882351</v>
      </c>
      <c r="AB16" s="94">
        <f t="shared" si="26"/>
        <v>0.79250185597624345</v>
      </c>
      <c r="AC16" s="94">
        <f t="shared" si="26"/>
        <v>0.79734708916728081</v>
      </c>
      <c r="AD16" s="94">
        <f>IFERROR(AD14/AD11,"NA  ")</f>
        <v>0.75933908045977017</v>
      </c>
      <c r="AE16" s="94">
        <f>IFERROR(AE14/AE11,"NA  ")</f>
        <v>0.8002953119232189</v>
      </c>
      <c r="AF16" s="94">
        <f>IFERROR(AF14/AF11,"NA  ")</f>
        <v>0.84155077960387692</v>
      </c>
      <c r="AG16" s="94">
        <f>IFERROR(AG14/AG11,"NA  ")</f>
        <v>0.78067993366500832</v>
      </c>
      <c r="AH16" s="95">
        <f t="shared" ref="AH16:AJ16" si="27">+IFERROR(AH14/AH11,"NA  ")</f>
        <v>0.78499999999999992</v>
      </c>
      <c r="AI16" s="95">
        <f t="shared" si="27"/>
        <v>0.78500000000000003</v>
      </c>
      <c r="AJ16" s="95">
        <f t="shared" si="27"/>
        <v>0.78500000000000003</v>
      </c>
      <c r="AK16" s="79"/>
      <c r="AL16" s="94">
        <f t="shared" ref="AL16:AQ16" si="28">IFERROR(AL14/AL11,"NA  ")</f>
        <v>0.76687309751233335</v>
      </c>
      <c r="AM16" s="94">
        <f t="shared" si="28"/>
        <v>0.73258706467661694</v>
      </c>
      <c r="AN16" s="94">
        <f t="shared" si="28"/>
        <v>0.73912078152753113</v>
      </c>
      <c r="AO16" s="94">
        <f t="shared" si="28"/>
        <v>0.75253953293538589</v>
      </c>
      <c r="AP16" s="94">
        <f t="shared" si="28"/>
        <v>0.7557876071323022</v>
      </c>
      <c r="AQ16" s="94">
        <f t="shared" si="28"/>
        <v>0.7590855170926345</v>
      </c>
      <c r="AR16" s="94">
        <f>IFERROR(AR14/AR11,"NA  ")</f>
        <v>0.7669066446359023</v>
      </c>
      <c r="AS16" s="94">
        <f>IFERROR(AS14/AS11,"NA  ")</f>
        <v>0.76135929744177167</v>
      </c>
      <c r="AT16" s="94">
        <f>IFERROR(AT14/AT11,"NA  ")</f>
        <v>0.79801512287334597</v>
      </c>
      <c r="AU16" s="95">
        <f>IFERROR(AU14/AU11,"NA  ")</f>
        <v>0.78398033474768691</v>
      </c>
      <c r="AV16" s="95">
        <f>+IFERROR(AV14/AV11,"NA  ")</f>
        <v>0.74</v>
      </c>
      <c r="AW16" s="95">
        <f>+IFERROR(AW14/AW11,"NA  ")</f>
        <v>0.74</v>
      </c>
      <c r="AX16" s="95">
        <f>+IFERROR(AX14/AX11,"NA  ")</f>
        <v>0.74</v>
      </c>
    </row>
    <row r="17" spans="3:51" ht="5.2" customHeight="1" outlineLevel="1">
      <c r="C17" s="43"/>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79"/>
      <c r="AL17" s="29"/>
      <c r="AM17" s="29"/>
      <c r="AN17" s="33"/>
      <c r="AO17" s="33"/>
      <c r="AP17" s="33"/>
      <c r="AQ17" s="33"/>
      <c r="AR17" s="33"/>
      <c r="AS17" s="33"/>
      <c r="AT17" s="33"/>
    </row>
    <row r="18" spans="3:51" s="27" customFormat="1" ht="11.25" customHeight="1">
      <c r="C18" s="45" t="s">
        <v>20</v>
      </c>
      <c r="E18" s="32">
        <f t="shared" ref="E18:P18" si="29">+E11-E14</f>
        <v>634</v>
      </c>
      <c r="F18" s="32">
        <f t="shared" si="29"/>
        <v>605</v>
      </c>
      <c r="G18" s="32">
        <f t="shared" si="29"/>
        <v>621</v>
      </c>
      <c r="H18" s="32">
        <f t="shared" si="29"/>
        <v>490</v>
      </c>
      <c r="I18" s="32">
        <f t="shared" si="29"/>
        <v>605</v>
      </c>
      <c r="J18" s="32">
        <f t="shared" si="29"/>
        <v>630</v>
      </c>
      <c r="K18" s="32">
        <f t="shared" si="29"/>
        <v>671</v>
      </c>
      <c r="L18" s="32">
        <f t="shared" si="29"/>
        <v>457</v>
      </c>
      <c r="M18" s="32">
        <f t="shared" si="29"/>
        <v>581</v>
      </c>
      <c r="N18" s="32">
        <f t="shared" si="29"/>
        <v>704</v>
      </c>
      <c r="O18" s="32">
        <f t="shared" si="29"/>
        <v>728</v>
      </c>
      <c r="P18" s="32">
        <f t="shared" si="29"/>
        <v>466</v>
      </c>
      <c r="Q18" s="32">
        <f>+Q11-Q14</f>
        <v>574</v>
      </c>
      <c r="R18" s="32">
        <f>+R11-R14</f>
        <v>589</v>
      </c>
      <c r="S18" s="32">
        <f>+S11-S14</f>
        <v>574</v>
      </c>
      <c r="T18" s="32">
        <f>+T11-T14</f>
        <v>497</v>
      </c>
      <c r="U18" s="32">
        <f t="shared" ref="U18:AC18" si="30">+U11-U14</f>
        <v>577</v>
      </c>
      <c r="V18" s="32">
        <f t="shared" si="30"/>
        <v>371</v>
      </c>
      <c r="W18" s="32">
        <f t="shared" si="30"/>
        <v>501</v>
      </c>
      <c r="X18" s="32">
        <f t="shared" si="30"/>
        <v>526</v>
      </c>
      <c r="Y18" s="32">
        <f t="shared" si="30"/>
        <v>598</v>
      </c>
      <c r="Z18" s="32">
        <f t="shared" si="30"/>
        <v>681</v>
      </c>
      <c r="AA18" s="32">
        <f t="shared" si="30"/>
        <v>662</v>
      </c>
      <c r="AB18" s="32">
        <f t="shared" si="30"/>
        <v>559</v>
      </c>
      <c r="AC18" s="32">
        <f t="shared" si="30"/>
        <v>550</v>
      </c>
      <c r="AD18" s="32">
        <f>+AD11-AD14</f>
        <v>670</v>
      </c>
      <c r="AE18" s="32">
        <f>+AE11-AE14</f>
        <v>541</v>
      </c>
      <c r="AF18" s="32">
        <f>+AF11-AF14</f>
        <v>376</v>
      </c>
      <c r="AG18" s="32">
        <f>+AG11-AG14</f>
        <v>529</v>
      </c>
      <c r="AH18" s="32">
        <f t="shared" ref="AH18:AJ18" si="31">+AH11-AH14</f>
        <v>581.62660000000005</v>
      </c>
      <c r="AI18" s="32">
        <f t="shared" si="31"/>
        <v>580.07429999999977</v>
      </c>
      <c r="AJ18" s="32">
        <f t="shared" si="31"/>
        <v>516.81269999999995</v>
      </c>
      <c r="AK18" s="79"/>
      <c r="AL18" s="32">
        <f t="shared" ref="AL18:AQ18" si="32">+AL11-AL14</f>
        <v>2221</v>
      </c>
      <c r="AM18" s="32">
        <f t="shared" si="32"/>
        <v>2580</v>
      </c>
      <c r="AN18" s="32">
        <f t="shared" si="32"/>
        <v>2350</v>
      </c>
      <c r="AO18" s="32">
        <f t="shared" si="32"/>
        <v>2363</v>
      </c>
      <c r="AP18" s="32">
        <f t="shared" si="32"/>
        <v>2479</v>
      </c>
      <c r="AQ18" s="32">
        <f t="shared" si="32"/>
        <v>2234</v>
      </c>
      <c r="AR18" s="32">
        <f>+AR11-AR14</f>
        <v>1975</v>
      </c>
      <c r="AS18" s="32">
        <f>+AS11-AS14</f>
        <v>2500</v>
      </c>
      <c r="AT18" s="32">
        <f>+AT11-AT14</f>
        <v>2137</v>
      </c>
      <c r="AU18" s="32">
        <f>+AU11-AU14</f>
        <v>2207.5135999999966</v>
      </c>
      <c r="AV18" s="32">
        <f t="shared" ref="AV18:AW18" si="33">+AV11-AV14</f>
        <v>2753.6591159999998</v>
      </c>
      <c r="AW18" s="32">
        <f t="shared" si="33"/>
        <v>2837.1979342200002</v>
      </c>
      <c r="AX18" s="32">
        <f t="shared" ref="AX18" si="34">+AX11-AX14</f>
        <v>2909.3467288223001</v>
      </c>
      <c r="AY18" s="1"/>
    </row>
    <row r="19" spans="3:51" ht="11.25" customHeight="1" outlineLevel="1">
      <c r="C19" s="107" t="s">
        <v>358</v>
      </c>
      <c r="E19" s="46"/>
      <c r="F19" s="46"/>
      <c r="G19" s="46"/>
      <c r="H19" s="46"/>
      <c r="I19" s="94">
        <f t="shared" ref="I19:AC19" si="35">IFERROR(I18/E18-1,"NA  ")</f>
        <v>-4.5741324921135695E-2</v>
      </c>
      <c r="J19" s="94">
        <f t="shared" si="35"/>
        <v>4.1322314049586861E-2</v>
      </c>
      <c r="K19" s="94">
        <f t="shared" si="35"/>
        <v>8.0515297906602168E-2</v>
      </c>
      <c r="L19" s="94">
        <f t="shared" si="35"/>
        <v>-6.7346938775510234E-2</v>
      </c>
      <c r="M19" s="94">
        <f t="shared" si="35"/>
        <v>-3.9669421487603329E-2</v>
      </c>
      <c r="N19" s="94">
        <f t="shared" si="35"/>
        <v>0.11746031746031749</v>
      </c>
      <c r="O19" s="94">
        <f t="shared" si="35"/>
        <v>8.4947839046199736E-2</v>
      </c>
      <c r="P19" s="94">
        <f t="shared" si="35"/>
        <v>1.9693654266958349E-2</v>
      </c>
      <c r="Q19" s="94">
        <f t="shared" si="35"/>
        <v>-1.2048192771084376E-2</v>
      </c>
      <c r="R19" s="94">
        <f t="shared" si="35"/>
        <v>-0.16335227272727271</v>
      </c>
      <c r="S19" s="94">
        <f t="shared" si="35"/>
        <v>-0.21153846153846156</v>
      </c>
      <c r="T19" s="94">
        <f t="shared" si="35"/>
        <v>6.6523605150214493E-2</v>
      </c>
      <c r="U19" s="94">
        <f t="shared" si="35"/>
        <v>5.2264808362370019E-3</v>
      </c>
      <c r="V19" s="94">
        <f t="shared" si="35"/>
        <v>-0.37011884550084895</v>
      </c>
      <c r="W19" s="94">
        <f t="shared" si="35"/>
        <v>-0.12717770034843201</v>
      </c>
      <c r="X19" s="94">
        <f t="shared" si="35"/>
        <v>5.835010060362178E-2</v>
      </c>
      <c r="Y19" s="94">
        <f t="shared" si="35"/>
        <v>3.6395147313691423E-2</v>
      </c>
      <c r="Z19" s="94">
        <f t="shared" si="35"/>
        <v>0.83557951482479775</v>
      </c>
      <c r="AA19" s="94">
        <f t="shared" si="35"/>
        <v>0.32135728542914177</v>
      </c>
      <c r="AB19" s="94">
        <f t="shared" si="35"/>
        <v>6.2737642585551257E-2</v>
      </c>
      <c r="AC19" s="94">
        <f t="shared" si="35"/>
        <v>-8.026755852842804E-2</v>
      </c>
      <c r="AD19" s="94">
        <f>IFERROR(AD18/Z18-1,"NA  ")</f>
        <v>-1.6152716593245242E-2</v>
      </c>
      <c r="AE19" s="94">
        <f>IFERROR(AE18/AA18-1,"NA  ")</f>
        <v>-0.18277945619335345</v>
      </c>
      <c r="AF19" s="94">
        <f>IFERROR(AF18/AB18-1,"NA  ")</f>
        <v>-0.3273703041144902</v>
      </c>
      <c r="AG19" s="94">
        <f>IFERROR(AG18/AC18-1,"NA  ")</f>
        <v>-3.8181818181818206E-2</v>
      </c>
      <c r="AH19" s="94">
        <f t="shared" ref="AH19" si="36">IFERROR(AH18/AD18-1,"NA  ")</f>
        <v>-0.13190059701492529</v>
      </c>
      <c r="AI19" s="94">
        <f t="shared" ref="AI19" si="37">IFERROR(AI18/AE18-1,"NA  ")</f>
        <v>7.2226062846580064E-2</v>
      </c>
      <c r="AJ19" s="94">
        <f t="shared" ref="AJ19" si="38">IFERROR(AJ18/AF18-1,"NA  ")</f>
        <v>0.37450186170212763</v>
      </c>
      <c r="AK19" s="79"/>
      <c r="AL19" s="96"/>
      <c r="AM19" s="95">
        <f t="shared" ref="AM19:AX19" si="39">IFERROR(AM18/AL18-1,"NA  ")</f>
        <v>0.16163890139576775</v>
      </c>
      <c r="AN19" s="95">
        <f t="shared" si="39"/>
        <v>-8.9147286821705474E-2</v>
      </c>
      <c r="AO19" s="95">
        <f t="shared" si="39"/>
        <v>5.5319148936170404E-3</v>
      </c>
      <c r="AP19" s="95">
        <f t="shared" si="39"/>
        <v>4.9090139652983478E-2</v>
      </c>
      <c r="AQ19" s="95">
        <f t="shared" si="39"/>
        <v>-9.883017345703915E-2</v>
      </c>
      <c r="AR19" s="95">
        <f t="shared" si="39"/>
        <v>-0.11593554162936437</v>
      </c>
      <c r="AS19" s="95">
        <f t="shared" si="39"/>
        <v>0.26582278481012667</v>
      </c>
      <c r="AT19" s="95">
        <f t="shared" si="39"/>
        <v>-0.1452</v>
      </c>
      <c r="AU19" s="95">
        <f t="shared" si="39"/>
        <v>3.2996537201682941E-2</v>
      </c>
      <c r="AV19" s="95">
        <f t="shared" si="39"/>
        <v>0.24740301305505175</v>
      </c>
      <c r="AW19" s="95">
        <f t="shared" si="39"/>
        <v>3.0337385529894512E-2</v>
      </c>
      <c r="AX19" s="95">
        <f t="shared" si="39"/>
        <v>2.5429595070579625E-2</v>
      </c>
    </row>
    <row r="20" spans="3:51" ht="11.25" customHeight="1" outlineLevel="1">
      <c r="C20" s="107" t="s">
        <v>359</v>
      </c>
      <c r="E20" s="94">
        <f>IFERROR(E18/E11,"NA  ")</f>
        <v>0.28354203935599287</v>
      </c>
      <c r="F20" s="94">
        <f t="shared" ref="F20:R20" si="40">IFERROR(F18/F11,"NA  ")</f>
        <v>0.26338702655637786</v>
      </c>
      <c r="G20" s="94">
        <f t="shared" si="40"/>
        <v>0.27153476169654567</v>
      </c>
      <c r="H20" s="94">
        <f t="shared" si="40"/>
        <v>0.22394881170018283</v>
      </c>
      <c r="I20" s="94">
        <f t="shared" si="40"/>
        <v>0.2627008250108554</v>
      </c>
      <c r="J20" s="94">
        <f t="shared" si="40"/>
        <v>0.26043819760231501</v>
      </c>
      <c r="K20" s="94">
        <f t="shared" si="40"/>
        <v>0.27221095334685597</v>
      </c>
      <c r="L20" s="94">
        <f t="shared" si="40"/>
        <v>0.1934801016088061</v>
      </c>
      <c r="M20" s="94">
        <f t="shared" si="40"/>
        <v>0.222861526658995</v>
      </c>
      <c r="N20" s="94">
        <f t="shared" si="40"/>
        <v>0.26859977107974053</v>
      </c>
      <c r="O20" s="94">
        <f t="shared" si="40"/>
        <v>0.28582646250490773</v>
      </c>
      <c r="P20" s="94">
        <f t="shared" si="40"/>
        <v>0.19612794612794612</v>
      </c>
      <c r="Q20" s="94">
        <f t="shared" si="40"/>
        <v>0.2411764705882353</v>
      </c>
      <c r="R20" s="94">
        <f t="shared" si="40"/>
        <v>0.24925941599661447</v>
      </c>
      <c r="S20" s="94">
        <f>IFERROR(S18/S11,"NA  ")</f>
        <v>0.24688172043010753</v>
      </c>
      <c r="T20" s="94">
        <f>IFERROR(T18/T11,"NA  ")</f>
        <v>0.2253968253968254</v>
      </c>
      <c r="U20" s="94">
        <f t="shared" ref="U20:AC20" si="41">IFERROR(U18/U11,"NA  ")</f>
        <v>0.25747434181169121</v>
      </c>
      <c r="V20" s="94">
        <f t="shared" si="41"/>
        <v>0.19282744282744282</v>
      </c>
      <c r="W20" s="94">
        <f t="shared" si="41"/>
        <v>0.23609802073515551</v>
      </c>
      <c r="X20" s="94">
        <f t="shared" si="41"/>
        <v>0.24062214089661482</v>
      </c>
      <c r="Y20" s="94">
        <f t="shared" si="41"/>
        <v>0.24823578248235784</v>
      </c>
      <c r="Z20" s="94">
        <f t="shared" si="41"/>
        <v>0.25669053901243877</v>
      </c>
      <c r="AA20" s="94">
        <f t="shared" si="41"/>
        <v>0.24338235294117647</v>
      </c>
      <c r="AB20" s="94">
        <f t="shared" si="41"/>
        <v>0.20749814402375649</v>
      </c>
      <c r="AC20" s="94">
        <f t="shared" si="41"/>
        <v>0.20265291083271925</v>
      </c>
      <c r="AD20" s="94">
        <f>IFERROR(AD18/AD11,"NA  ")</f>
        <v>0.24066091954022989</v>
      </c>
      <c r="AE20" s="94">
        <f>IFERROR(AE18/AE11,"NA  ")</f>
        <v>0.1997046880767811</v>
      </c>
      <c r="AF20" s="94">
        <f>IFERROR(AF18/AF11,"NA  ")</f>
        <v>0.15844922039612305</v>
      </c>
      <c r="AG20" s="94">
        <f>IFERROR(AG18/AG11,"NA  ")</f>
        <v>0.21932006633499171</v>
      </c>
      <c r="AH20" s="94">
        <f t="shared" ref="AH20:AJ20" si="42">IFERROR(AH18/AH11,"NA  ")</f>
        <v>0.21500000000000002</v>
      </c>
      <c r="AI20" s="94">
        <f t="shared" si="42"/>
        <v>0.21499999999999991</v>
      </c>
      <c r="AJ20" s="94">
        <f t="shared" si="42"/>
        <v>0.21499999999999997</v>
      </c>
      <c r="AK20" s="79"/>
      <c r="AL20" s="94">
        <f t="shared" ref="AL20:AQ20" si="43">IFERROR(AL18/AL11,"NA  ")</f>
        <v>0.23312690248766663</v>
      </c>
      <c r="AM20" s="94">
        <f t="shared" si="43"/>
        <v>0.26741293532338306</v>
      </c>
      <c r="AN20" s="94">
        <f t="shared" si="43"/>
        <v>0.26087921847246892</v>
      </c>
      <c r="AO20" s="94">
        <f t="shared" si="43"/>
        <v>0.24746046706461411</v>
      </c>
      <c r="AP20" s="94">
        <f t="shared" si="43"/>
        <v>0.24421239286769778</v>
      </c>
      <c r="AQ20" s="94">
        <f t="shared" si="43"/>
        <v>0.24091448290736547</v>
      </c>
      <c r="AR20" s="94">
        <f t="shared" ref="AR20:AW20" si="44">IFERROR(AR18/AR11,"NA  ")</f>
        <v>0.23309335536409773</v>
      </c>
      <c r="AS20" s="94">
        <f t="shared" si="44"/>
        <v>0.23864070255822833</v>
      </c>
      <c r="AT20" s="94">
        <f t="shared" si="44"/>
        <v>0.20198487712665406</v>
      </c>
      <c r="AU20" s="94">
        <f t="shared" ref="AU20" si="45">IFERROR(AU18/AU11,"NA  ")</f>
        <v>0.21601966525231306</v>
      </c>
      <c r="AV20" s="94">
        <f t="shared" si="44"/>
        <v>0.26</v>
      </c>
      <c r="AW20" s="94">
        <f t="shared" si="44"/>
        <v>0.26</v>
      </c>
      <c r="AX20" s="94">
        <f t="shared" ref="AX20" si="46">IFERROR(AX18/AX11,"NA  ")</f>
        <v>0.26</v>
      </c>
    </row>
    <row r="21" spans="3:51" ht="5.2" customHeight="1" outlineLevel="1">
      <c r="C21" s="43"/>
      <c r="E21" s="28"/>
      <c r="F21" s="28"/>
      <c r="G21" s="28"/>
      <c r="H21" s="79"/>
      <c r="I21" s="28"/>
      <c r="J21" s="28"/>
      <c r="K21" s="28"/>
      <c r="L21" s="28"/>
      <c r="M21" s="28"/>
      <c r="N21" s="28"/>
      <c r="O21" s="28"/>
      <c r="P21" s="28"/>
      <c r="Q21" s="63"/>
      <c r="R21" s="28"/>
      <c r="S21" s="28"/>
      <c r="T21" s="28"/>
      <c r="U21" s="28"/>
      <c r="V21" s="28"/>
      <c r="W21" s="28"/>
      <c r="X21" s="28"/>
      <c r="Y21" s="28"/>
      <c r="Z21" s="28"/>
      <c r="AA21" s="28"/>
      <c r="AB21" s="28"/>
      <c r="AC21" s="28"/>
      <c r="AD21" s="28"/>
      <c r="AE21" s="28"/>
      <c r="AF21" s="28"/>
      <c r="AG21" s="28"/>
      <c r="AH21" s="28"/>
      <c r="AI21" s="28"/>
      <c r="AJ21" s="28"/>
      <c r="AK21" s="79"/>
      <c r="AL21" s="28"/>
      <c r="AM21" s="28"/>
      <c r="AN21" s="28"/>
      <c r="AO21" s="28"/>
      <c r="AP21" s="28"/>
    </row>
    <row r="22" spans="3:51" ht="11.25" customHeight="1">
      <c r="C22" s="43" t="s">
        <v>21</v>
      </c>
      <c r="E22" s="29">
        <v>183</v>
      </c>
      <c r="F22" s="29">
        <v>174</v>
      </c>
      <c r="G22" s="29">
        <v>181</v>
      </c>
      <c r="H22" s="29">
        <v>165</v>
      </c>
      <c r="I22" s="29">
        <v>179</v>
      </c>
      <c r="J22" s="29">
        <v>181</v>
      </c>
      <c r="K22" s="29">
        <v>180</v>
      </c>
      <c r="L22" s="29">
        <v>189</v>
      </c>
      <c r="M22" s="29">
        <v>190</v>
      </c>
      <c r="N22" s="29">
        <v>189</v>
      </c>
      <c r="O22" s="29">
        <v>175</v>
      </c>
      <c r="P22" s="29">
        <v>167</v>
      </c>
      <c r="Q22" s="29">
        <v>187</v>
      </c>
      <c r="R22" s="29">
        <v>165</v>
      </c>
      <c r="S22" s="29">
        <v>163</v>
      </c>
      <c r="T22" s="29">
        <v>176</v>
      </c>
      <c r="U22" s="29">
        <v>160</v>
      </c>
      <c r="V22" s="29">
        <v>155</v>
      </c>
      <c r="W22" s="29">
        <v>165</v>
      </c>
      <c r="X22" s="29">
        <v>174</v>
      </c>
      <c r="Y22" s="29">
        <v>184</v>
      </c>
      <c r="Z22" s="29">
        <v>202</v>
      </c>
      <c r="AA22" s="29">
        <v>201</v>
      </c>
      <c r="AB22" s="29">
        <v>208</v>
      </c>
      <c r="AC22" s="29">
        <v>196</v>
      </c>
      <c r="AD22" s="29">
        <v>185</v>
      </c>
      <c r="AE22" s="29">
        <v>173</v>
      </c>
      <c r="AF22" s="29">
        <v>172</v>
      </c>
      <c r="AG22" s="29">
        <v>191</v>
      </c>
      <c r="AH22" s="99" t="str">
        <f t="shared" ref="AH22:AJ22" si="47">+IF(Model_Switch=0,"",AH142)</f>
        <v/>
      </c>
      <c r="AI22" s="99" t="str">
        <f t="shared" si="47"/>
        <v/>
      </c>
      <c r="AJ22" s="99" t="str">
        <f t="shared" si="47"/>
        <v/>
      </c>
      <c r="AK22" s="79"/>
      <c r="AL22" s="29">
        <v>755</v>
      </c>
      <c r="AM22" s="29">
        <v>771</v>
      </c>
      <c r="AN22" s="33">
        <f>SUMIF($E$6:$AK$6,AN$6,$E22:$AK22)</f>
        <v>703</v>
      </c>
      <c r="AO22" s="33">
        <f t="shared" ref="AO22:AT22" si="48">SUMIF($E$6:$AK$6,AO$6,$E22:$AK22)</f>
        <v>729</v>
      </c>
      <c r="AP22" s="33">
        <f t="shared" si="48"/>
        <v>721</v>
      </c>
      <c r="AQ22" s="33">
        <f t="shared" si="48"/>
        <v>691</v>
      </c>
      <c r="AR22" s="33">
        <f t="shared" si="48"/>
        <v>654</v>
      </c>
      <c r="AS22" s="33">
        <f t="shared" si="48"/>
        <v>795</v>
      </c>
      <c r="AT22" s="33">
        <f t="shared" si="48"/>
        <v>726</v>
      </c>
      <c r="AU22" s="99" t="str">
        <f>+IF(Model_Switch=0,"",AU142)</f>
        <v/>
      </c>
      <c r="AV22" s="99" t="str">
        <f>+IF(Model_Switch=0,"",AV142)</f>
        <v/>
      </c>
      <c r="AW22" s="99" t="str">
        <f>+IF(Model_Switch=0,"",AW142)</f>
        <v/>
      </c>
      <c r="AX22" s="99" t="str">
        <f>+IF(Model_Switch=0,"",AX142)</f>
        <v/>
      </c>
    </row>
    <row r="23" spans="3:51" ht="11.25" customHeight="1" outlineLevel="1">
      <c r="C23" s="107" t="s">
        <v>358</v>
      </c>
      <c r="E23" s="46"/>
      <c r="F23" s="46"/>
      <c r="G23" s="46"/>
      <c r="H23" s="46"/>
      <c r="I23" s="94">
        <f t="shared" ref="I23:AC23" si="49">IFERROR(I22/E22-1,"NA  ")</f>
        <v>-2.1857923497267784E-2</v>
      </c>
      <c r="J23" s="94">
        <f t="shared" si="49"/>
        <v>4.022988505747116E-2</v>
      </c>
      <c r="K23" s="94">
        <f t="shared" si="49"/>
        <v>-5.5248618784530246E-3</v>
      </c>
      <c r="L23" s="94">
        <f t="shared" si="49"/>
        <v>0.1454545454545455</v>
      </c>
      <c r="M23" s="94">
        <f t="shared" si="49"/>
        <v>6.1452513966480549E-2</v>
      </c>
      <c r="N23" s="94">
        <f t="shared" si="49"/>
        <v>4.4198895027624419E-2</v>
      </c>
      <c r="O23" s="94">
        <f t="shared" si="49"/>
        <v>-2.777777777777779E-2</v>
      </c>
      <c r="P23" s="94">
        <f t="shared" si="49"/>
        <v>-0.1164021164021164</v>
      </c>
      <c r="Q23" s="94">
        <f t="shared" si="49"/>
        <v>-1.5789473684210575E-2</v>
      </c>
      <c r="R23" s="94">
        <f t="shared" si="49"/>
        <v>-0.12698412698412698</v>
      </c>
      <c r="S23" s="94">
        <f t="shared" si="49"/>
        <v>-6.8571428571428616E-2</v>
      </c>
      <c r="T23" s="94">
        <f t="shared" si="49"/>
        <v>5.3892215568862367E-2</v>
      </c>
      <c r="U23" s="94">
        <f t="shared" si="49"/>
        <v>-0.14438502673796794</v>
      </c>
      <c r="V23" s="94">
        <f t="shared" si="49"/>
        <v>-6.0606060606060552E-2</v>
      </c>
      <c r="W23" s="94">
        <f t="shared" si="49"/>
        <v>1.2269938650306678E-2</v>
      </c>
      <c r="X23" s="94">
        <f t="shared" si="49"/>
        <v>-1.1363636363636354E-2</v>
      </c>
      <c r="Y23" s="94">
        <f t="shared" si="49"/>
        <v>0.14999999999999991</v>
      </c>
      <c r="Z23" s="94">
        <f t="shared" si="49"/>
        <v>0.3032258064516129</v>
      </c>
      <c r="AA23" s="94">
        <f t="shared" si="49"/>
        <v>0.21818181818181825</v>
      </c>
      <c r="AB23" s="94">
        <f t="shared" si="49"/>
        <v>0.19540229885057481</v>
      </c>
      <c r="AC23" s="94">
        <f t="shared" si="49"/>
        <v>6.5217391304347894E-2</v>
      </c>
      <c r="AD23" s="94">
        <f>IFERROR(AD22/Z22-1,"NA  ")</f>
        <v>-8.4158415841584122E-2</v>
      </c>
      <c r="AE23" s="94">
        <f>IFERROR(AE22/AA22-1,"NA  ")</f>
        <v>-0.13930348258706471</v>
      </c>
      <c r="AF23" s="94">
        <f>IFERROR(AF22/AB22-1,"NA  ")</f>
        <v>-0.17307692307692313</v>
      </c>
      <c r="AG23" s="94">
        <f>IFERROR(AG22/AC22-1,"NA  ")</f>
        <v>-2.5510204081632626E-2</v>
      </c>
      <c r="AH23" s="95" t="str">
        <f t="shared" ref="AH23:AJ23" si="50">IF(Model_Switch=0,"",IFERROR(AH22/AD22-1,"NA  "))</f>
        <v/>
      </c>
      <c r="AI23" s="95" t="str">
        <f t="shared" si="50"/>
        <v/>
      </c>
      <c r="AJ23" s="95" t="str">
        <f t="shared" si="50"/>
        <v/>
      </c>
      <c r="AK23" s="79"/>
      <c r="AL23" s="96"/>
      <c r="AM23" s="95">
        <f t="shared" ref="AM23:AT23" si="51">IFERROR(AM22/AL22-1,"NA  ")</f>
        <v>2.1192052980132381E-2</v>
      </c>
      <c r="AN23" s="95">
        <f t="shared" si="51"/>
        <v>-8.8197146562905337E-2</v>
      </c>
      <c r="AO23" s="95">
        <f t="shared" si="51"/>
        <v>3.6984352773826501E-2</v>
      </c>
      <c r="AP23" s="95">
        <f t="shared" si="51"/>
        <v>-1.0973936899862813E-2</v>
      </c>
      <c r="AQ23" s="95">
        <f t="shared" si="51"/>
        <v>-4.1608876560332853E-2</v>
      </c>
      <c r="AR23" s="95">
        <f t="shared" si="51"/>
        <v>-5.3545586107091148E-2</v>
      </c>
      <c r="AS23" s="95">
        <f t="shared" si="51"/>
        <v>0.21559633027522929</v>
      </c>
      <c r="AT23" s="95">
        <f t="shared" si="51"/>
        <v>-8.679245283018866E-2</v>
      </c>
      <c r="AU23" s="95" t="str">
        <f>IF(Model_Switch=0,"",IFERROR(AU22/AT22-1,"NA  "))</f>
        <v/>
      </c>
      <c r="AV23" s="95" t="str">
        <f>IF(Model_Switch=0,"",IFERROR(AV22/AU22-1,"NA  "))</f>
        <v/>
      </c>
      <c r="AW23" s="95" t="str">
        <f>IF(Model_Switch=0,"",IFERROR(AW22/AV22-1,"NA  "))</f>
        <v/>
      </c>
      <c r="AX23" s="95" t="str">
        <f>IF(Model_Switch=0,"",IFERROR(AX22/AW22-1,"NA  "))</f>
        <v/>
      </c>
    </row>
    <row r="24" spans="3:51" ht="11.25" customHeight="1" outlineLevel="1">
      <c r="C24" s="107" t="s">
        <v>359</v>
      </c>
      <c r="E24" s="94">
        <f>IFERROR(E22/E11,"NA  ")</f>
        <v>8.1842576028622535E-2</v>
      </c>
      <c r="F24" s="94">
        <f t="shared" ref="F24:R24" si="52">IFERROR(F22/F11,"NA  ")</f>
        <v>7.575097953852851E-2</v>
      </c>
      <c r="G24" s="94">
        <f t="shared" si="52"/>
        <v>7.9142982072584175E-2</v>
      </c>
      <c r="H24" s="94">
        <f t="shared" si="52"/>
        <v>7.5411334552102374E-2</v>
      </c>
      <c r="I24" s="94">
        <f t="shared" si="52"/>
        <v>7.772470690403821E-2</v>
      </c>
      <c r="J24" s="94">
        <f t="shared" si="52"/>
        <v>7.4824307565109549E-2</v>
      </c>
      <c r="K24" s="94">
        <f t="shared" si="52"/>
        <v>7.3022312373225151E-2</v>
      </c>
      <c r="L24" s="94">
        <f t="shared" si="52"/>
        <v>8.0016934801016085E-2</v>
      </c>
      <c r="M24" s="94">
        <f t="shared" si="52"/>
        <v>7.2880705792098197E-2</v>
      </c>
      <c r="N24" s="94">
        <f t="shared" si="52"/>
        <v>7.2109881724532615E-2</v>
      </c>
      <c r="O24" s="94">
        <f t="shared" si="52"/>
        <v>6.8708284255987434E-2</v>
      </c>
      <c r="P24" s="94">
        <f t="shared" si="52"/>
        <v>7.0286195286195285E-2</v>
      </c>
      <c r="Q24" s="94">
        <f t="shared" si="52"/>
        <v>7.857142857142857E-2</v>
      </c>
      <c r="R24" s="94">
        <f t="shared" si="52"/>
        <v>6.9826491747778247E-2</v>
      </c>
      <c r="S24" s="94">
        <f>IFERROR(S22/S11,"NA  ")</f>
        <v>7.0107526881720436E-2</v>
      </c>
      <c r="T24" s="94">
        <f>IFERROR(T22/T11,"NA  ")</f>
        <v>7.9818594104308388E-2</v>
      </c>
      <c r="U24" s="94">
        <f t="shared" ref="U24:AC24" si="53">IFERROR(U22/U11,"NA  ")</f>
        <v>7.1396697902722003E-2</v>
      </c>
      <c r="V24" s="94">
        <f t="shared" si="53"/>
        <v>8.0561330561330566E-2</v>
      </c>
      <c r="W24" s="94">
        <f t="shared" si="53"/>
        <v>7.7756833176248819E-2</v>
      </c>
      <c r="X24" s="94">
        <f t="shared" si="53"/>
        <v>7.9597438243366875E-2</v>
      </c>
      <c r="Y24" s="94">
        <f t="shared" si="53"/>
        <v>7.6380240763802412E-2</v>
      </c>
      <c r="Z24" s="94">
        <f t="shared" si="53"/>
        <v>7.6140218620429703E-2</v>
      </c>
      <c r="AA24" s="94">
        <f t="shared" si="53"/>
        <v>7.3897058823529413E-2</v>
      </c>
      <c r="AB24" s="94">
        <f t="shared" si="53"/>
        <v>7.7208611729769852E-2</v>
      </c>
      <c r="AC24" s="94">
        <f t="shared" si="53"/>
        <v>7.2218128224023584E-2</v>
      </c>
      <c r="AD24" s="94">
        <f>IFERROR(AD22/AD11,"NA  ")</f>
        <v>6.6451149425287362E-2</v>
      </c>
      <c r="AE24" s="94">
        <f>IFERROR(AE22/AE11,"NA  ")</f>
        <v>6.3861203396087113E-2</v>
      </c>
      <c r="AF24" s="94">
        <f>IFERROR(AF22/AF11,"NA  ")</f>
        <v>7.248209018120523E-2</v>
      </c>
      <c r="AG24" s="94">
        <f>IFERROR(AG22/AG11,"NA  ")</f>
        <v>7.9187396351575456E-2</v>
      </c>
      <c r="AH24" s="95" t="str">
        <f t="shared" ref="AH24:AJ24" si="54">IF(Model_Switch=0,"",IFERROR(AH22/AH11,"NA  "))</f>
        <v/>
      </c>
      <c r="AI24" s="95" t="str">
        <f t="shared" si="54"/>
        <v/>
      </c>
      <c r="AJ24" s="95" t="str">
        <f t="shared" si="54"/>
        <v/>
      </c>
      <c r="AK24" s="79"/>
      <c r="AL24" s="94">
        <f t="shared" ref="AL24:AQ24" si="55">IFERROR(AL22/AL11,"NA  ")</f>
        <v>7.9248451768657496E-2</v>
      </c>
      <c r="AM24" s="94">
        <f t="shared" si="55"/>
        <v>7.9912935323383089E-2</v>
      </c>
      <c r="AN24" s="94">
        <f t="shared" si="55"/>
        <v>7.804174067495559E-2</v>
      </c>
      <c r="AO24" s="94">
        <f t="shared" si="55"/>
        <v>7.6343072573044304E-2</v>
      </c>
      <c r="AP24" s="94">
        <f t="shared" si="55"/>
        <v>7.1027484976849575E-2</v>
      </c>
      <c r="AQ24" s="94">
        <f t="shared" si="55"/>
        <v>7.4517416154426835E-2</v>
      </c>
      <c r="AR24" s="94">
        <f>IFERROR(AR22/AR11,"NA  ")</f>
        <v>7.7186356662339195E-2</v>
      </c>
      <c r="AS24" s="94">
        <f>IFERROR(AS22/AS11,"NA  ")</f>
        <v>7.5887743413516603E-2</v>
      </c>
      <c r="AT24" s="94">
        <f>IFERROR(AT22/AT11,"NA  ")</f>
        <v>6.8620037807183371E-2</v>
      </c>
      <c r="AU24" s="95" t="str">
        <f>IF(Model_Switch=0,"",IFERROR(AU22/AU11,"NA  "))</f>
        <v/>
      </c>
      <c r="AV24" s="95" t="str">
        <f>IF(Model_Switch=0,"",IFERROR(AV22/AV11,"NA  "))</f>
        <v/>
      </c>
      <c r="AW24" s="95" t="str">
        <f>IF(Model_Switch=0,"",IFERROR(AW22/AW11,"NA  "))</f>
        <v/>
      </c>
      <c r="AX24" s="95" t="str">
        <f>IF(Model_Switch=0,"",IFERROR(AX22/AX11,"NA  "))</f>
        <v/>
      </c>
    </row>
    <row r="25" spans="3:51" ht="5.2" customHeight="1" outlineLevel="1">
      <c r="C25" s="43"/>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79"/>
      <c r="AL25" s="29"/>
      <c r="AM25" s="29"/>
      <c r="AN25" s="33"/>
      <c r="AO25" s="33"/>
      <c r="AP25" s="33"/>
      <c r="AQ25" s="33"/>
      <c r="AR25" s="33"/>
      <c r="AS25" s="33"/>
      <c r="AT25" s="33"/>
    </row>
    <row r="26" spans="3:51" ht="11.25" customHeight="1">
      <c r="C26" s="43" t="s">
        <v>22</v>
      </c>
      <c r="E26" s="29">
        <v>54</v>
      </c>
      <c r="F26" s="29">
        <v>55</v>
      </c>
      <c r="G26" s="29">
        <v>54</v>
      </c>
      <c r="H26" s="29">
        <v>56</v>
      </c>
      <c r="I26" s="29">
        <v>57</v>
      </c>
      <c r="J26" s="29">
        <v>58</v>
      </c>
      <c r="K26" s="29">
        <v>59</v>
      </c>
      <c r="L26" s="29">
        <v>53</v>
      </c>
      <c r="M26" s="29">
        <v>56</v>
      </c>
      <c r="N26" s="29">
        <v>60</v>
      </c>
      <c r="O26" s="29">
        <v>60</v>
      </c>
      <c r="P26" s="29">
        <v>59</v>
      </c>
      <c r="Q26" s="29">
        <v>58</v>
      </c>
      <c r="R26" s="29">
        <v>57</v>
      </c>
      <c r="S26" s="29">
        <v>59</v>
      </c>
      <c r="T26" s="29">
        <v>60</v>
      </c>
      <c r="U26" s="29">
        <v>61</v>
      </c>
      <c r="V26" s="29">
        <v>52</v>
      </c>
      <c r="W26" s="29">
        <v>56</v>
      </c>
      <c r="X26" s="29">
        <v>57</v>
      </c>
      <c r="Y26" s="29">
        <v>58</v>
      </c>
      <c r="Z26" s="29">
        <v>63</v>
      </c>
      <c r="AA26" s="29">
        <v>66</v>
      </c>
      <c r="AB26" s="29">
        <v>67</v>
      </c>
      <c r="AC26" s="29">
        <v>65</v>
      </c>
      <c r="AD26" s="29">
        <v>67</v>
      </c>
      <c r="AE26" s="29">
        <v>68</v>
      </c>
      <c r="AF26" s="29">
        <v>64</v>
      </c>
      <c r="AG26" s="29">
        <v>62</v>
      </c>
      <c r="AH26" s="33" t="str">
        <f t="shared" ref="AH26:AJ26" si="56">IF(Model_Switch=0,"",AH149)</f>
        <v/>
      </c>
      <c r="AI26" s="33" t="str">
        <f t="shared" si="56"/>
        <v/>
      </c>
      <c r="AJ26" s="33" t="str">
        <f t="shared" si="56"/>
        <v/>
      </c>
      <c r="AK26" s="79"/>
      <c r="AL26" s="29">
        <v>227</v>
      </c>
      <c r="AM26" s="29">
        <v>242</v>
      </c>
      <c r="AN26" s="33">
        <f>SUMIF($E$6:$AK$6,AN$6,$E26:$AK26)</f>
        <v>219</v>
      </c>
      <c r="AO26" s="33">
        <f t="shared" ref="AO26:AT26" si="57">SUMIF($E$6:$AK$6,AO$6,$E26:$AK26)</f>
        <v>227</v>
      </c>
      <c r="AP26" s="33">
        <f t="shared" si="57"/>
        <v>235</v>
      </c>
      <c r="AQ26" s="33">
        <f t="shared" si="57"/>
        <v>234</v>
      </c>
      <c r="AR26" s="33">
        <f t="shared" si="57"/>
        <v>226</v>
      </c>
      <c r="AS26" s="33">
        <f t="shared" si="57"/>
        <v>254</v>
      </c>
      <c r="AT26" s="33">
        <f t="shared" si="57"/>
        <v>264</v>
      </c>
      <c r="AU26" s="33" t="str">
        <f>IF(Model_Switch=0,"",AU149)</f>
        <v/>
      </c>
      <c r="AV26" s="33" t="str">
        <f>IF(Model_Switch=0,"",AV149)</f>
        <v/>
      </c>
      <c r="AW26" s="33" t="str">
        <f>IF(Model_Switch=0,"",AW149)</f>
        <v/>
      </c>
      <c r="AX26" s="33" t="str">
        <f>IF(Model_Switch=0,"",AX149)</f>
        <v/>
      </c>
    </row>
    <row r="27" spans="3:51" ht="11.25" customHeight="1" outlineLevel="1">
      <c r="C27" s="107" t="s">
        <v>358</v>
      </c>
      <c r="E27" s="46"/>
      <c r="F27" s="46"/>
      <c r="G27" s="46"/>
      <c r="H27" s="46"/>
      <c r="I27" s="94">
        <f t="shared" ref="I27:AC27" si="58">IFERROR(I26/E26-1,"NA  ")</f>
        <v>5.555555555555558E-2</v>
      </c>
      <c r="J27" s="94">
        <f t="shared" si="58"/>
        <v>5.4545454545454453E-2</v>
      </c>
      <c r="K27" s="94">
        <f t="shared" si="58"/>
        <v>9.259259259259256E-2</v>
      </c>
      <c r="L27" s="94">
        <f t="shared" si="58"/>
        <v>-5.3571428571428603E-2</v>
      </c>
      <c r="M27" s="94">
        <f t="shared" si="58"/>
        <v>-1.7543859649122862E-2</v>
      </c>
      <c r="N27" s="94">
        <f t="shared" si="58"/>
        <v>3.4482758620689724E-2</v>
      </c>
      <c r="O27" s="94">
        <f t="shared" si="58"/>
        <v>1.6949152542372836E-2</v>
      </c>
      <c r="P27" s="94">
        <f t="shared" si="58"/>
        <v>0.1132075471698113</v>
      </c>
      <c r="Q27" s="94">
        <f t="shared" si="58"/>
        <v>3.5714285714285809E-2</v>
      </c>
      <c r="R27" s="94">
        <f t="shared" si="58"/>
        <v>-5.0000000000000044E-2</v>
      </c>
      <c r="S27" s="94">
        <f t="shared" si="58"/>
        <v>-1.6666666666666718E-2</v>
      </c>
      <c r="T27" s="94">
        <f t="shared" si="58"/>
        <v>1.6949152542372836E-2</v>
      </c>
      <c r="U27" s="94">
        <f t="shared" si="58"/>
        <v>5.1724137931034475E-2</v>
      </c>
      <c r="V27" s="94">
        <f t="shared" si="58"/>
        <v>-8.7719298245614086E-2</v>
      </c>
      <c r="W27" s="94">
        <f t="shared" si="58"/>
        <v>-5.084745762711862E-2</v>
      </c>
      <c r="X27" s="94">
        <f t="shared" si="58"/>
        <v>-5.0000000000000044E-2</v>
      </c>
      <c r="Y27" s="94">
        <f t="shared" si="58"/>
        <v>-4.9180327868852514E-2</v>
      </c>
      <c r="Z27" s="94">
        <f t="shared" si="58"/>
        <v>0.21153846153846145</v>
      </c>
      <c r="AA27" s="94">
        <f t="shared" si="58"/>
        <v>0.1785714285714286</v>
      </c>
      <c r="AB27" s="94">
        <f t="shared" si="58"/>
        <v>0.17543859649122817</v>
      </c>
      <c r="AC27" s="94">
        <f t="shared" si="58"/>
        <v>0.1206896551724137</v>
      </c>
      <c r="AD27" s="94">
        <f>IFERROR(AD26/Z26-1,"NA  ")</f>
        <v>6.3492063492063489E-2</v>
      </c>
      <c r="AE27" s="94">
        <f>IFERROR(AE26/AA26-1,"NA  ")</f>
        <v>3.0303030303030276E-2</v>
      </c>
      <c r="AF27" s="94">
        <f>IFERROR(AF26/AB26-1,"NA  ")</f>
        <v>-4.4776119402985093E-2</v>
      </c>
      <c r="AG27" s="94">
        <f>IFERROR(AG26/AC26-1,"NA  ")</f>
        <v>-4.6153846153846101E-2</v>
      </c>
      <c r="AH27" s="95" t="str">
        <f t="shared" ref="AH27:AJ27" si="59">IF(Model_Switch=0,"",IFERROR(AH26/AD26-1,"NA  "))</f>
        <v/>
      </c>
      <c r="AI27" s="95" t="str">
        <f t="shared" si="59"/>
        <v/>
      </c>
      <c r="AJ27" s="95" t="str">
        <f t="shared" si="59"/>
        <v/>
      </c>
      <c r="AK27" s="79"/>
      <c r="AL27" s="96"/>
      <c r="AM27" s="95">
        <f t="shared" ref="AM27:AT27" si="60">IFERROR(AM26/AL26-1,"NA  ")</f>
        <v>6.6079295154185091E-2</v>
      </c>
      <c r="AN27" s="95">
        <f t="shared" si="60"/>
        <v>-9.5041322314049603E-2</v>
      </c>
      <c r="AO27" s="95">
        <f t="shared" si="60"/>
        <v>3.6529680365296802E-2</v>
      </c>
      <c r="AP27" s="95">
        <f t="shared" si="60"/>
        <v>3.524229074889873E-2</v>
      </c>
      <c r="AQ27" s="95">
        <f t="shared" si="60"/>
        <v>-4.2553191489361764E-3</v>
      </c>
      <c r="AR27" s="95">
        <f t="shared" si="60"/>
        <v>-3.4188034188034178E-2</v>
      </c>
      <c r="AS27" s="95">
        <f t="shared" si="60"/>
        <v>0.12389380530973448</v>
      </c>
      <c r="AT27" s="95">
        <f t="shared" si="60"/>
        <v>3.937007874015741E-2</v>
      </c>
      <c r="AU27" s="95" t="str">
        <f>IF(Model_Switch=0,"",IFERROR(AU26/AT26-1,"NA  "))</f>
        <v/>
      </c>
      <c r="AV27" s="95" t="str">
        <f>IF(Model_Switch=0,"",IFERROR(AV26/AU26-1,"NA  "))</f>
        <v/>
      </c>
      <c r="AW27" s="95" t="str">
        <f>IF(Model_Switch=0,"",IFERROR(AW26/AV26-1,"NA  "))</f>
        <v/>
      </c>
      <c r="AX27" s="95" t="str">
        <f>IF(Model_Switch=0,"",IFERROR(AX26/AW26-1,"NA  "))</f>
        <v/>
      </c>
    </row>
    <row r="28" spans="3:51" ht="11.25" customHeight="1" outlineLevel="1">
      <c r="C28" s="107" t="s">
        <v>359</v>
      </c>
      <c r="E28" s="94">
        <f>IFERROR(E26/E11,"NA  ")</f>
        <v>2.4150268336314847E-2</v>
      </c>
      <c r="F28" s="94">
        <f t="shared" ref="F28:R28" si="61">IFERROR(F26/F11,"NA  ")</f>
        <v>2.3944275141488898E-2</v>
      </c>
      <c r="G28" s="94">
        <f t="shared" si="61"/>
        <v>2.3611718408395276E-2</v>
      </c>
      <c r="H28" s="94">
        <f t="shared" si="61"/>
        <v>2.5594149908592323E-2</v>
      </c>
      <c r="I28" s="94">
        <f t="shared" si="61"/>
        <v>2.4750325662179766E-2</v>
      </c>
      <c r="J28" s="94">
        <f t="shared" si="61"/>
        <v>2.3976849937990905E-2</v>
      </c>
      <c r="K28" s="94">
        <f t="shared" si="61"/>
        <v>2.3935091277890466E-2</v>
      </c>
      <c r="L28" s="94">
        <f t="shared" si="61"/>
        <v>2.2438611346316681E-2</v>
      </c>
      <c r="M28" s="94">
        <f t="shared" si="61"/>
        <v>2.1480629075565784E-2</v>
      </c>
      <c r="N28" s="94">
        <f t="shared" si="61"/>
        <v>2.2892025944296072E-2</v>
      </c>
      <c r="O28" s="94">
        <f t="shared" si="61"/>
        <v>2.3557126030624265E-2</v>
      </c>
      <c r="P28" s="94">
        <f t="shared" si="61"/>
        <v>2.4831649831649833E-2</v>
      </c>
      <c r="Q28" s="94">
        <f t="shared" si="61"/>
        <v>2.4369747899159664E-2</v>
      </c>
      <c r="R28" s="94">
        <f t="shared" si="61"/>
        <v>2.4121878967414304E-2</v>
      </c>
      <c r="S28" s="94">
        <f>IFERROR(S26/S11,"NA  ")</f>
        <v>2.5376344086021504E-2</v>
      </c>
      <c r="T28" s="94">
        <f>IFERROR(T26/T11,"NA  ")</f>
        <v>2.7210884353741496E-2</v>
      </c>
      <c r="U28" s="94">
        <f t="shared" ref="U28:AC28" si="62">IFERROR(U26/U11,"NA  ")</f>
        <v>2.7219991075412762E-2</v>
      </c>
      <c r="V28" s="94">
        <f t="shared" si="62"/>
        <v>2.7027027027027029E-2</v>
      </c>
      <c r="W28" s="94">
        <f t="shared" si="62"/>
        <v>2.6390197926484449E-2</v>
      </c>
      <c r="X28" s="94">
        <f t="shared" si="62"/>
        <v>2.6075022872827081E-2</v>
      </c>
      <c r="Y28" s="94">
        <f t="shared" si="62"/>
        <v>2.4076380240763803E-2</v>
      </c>
      <c r="Z28" s="94">
        <f t="shared" si="62"/>
        <v>2.3746701846965697E-2</v>
      </c>
      <c r="AA28" s="94">
        <f t="shared" si="62"/>
        <v>2.4264705882352942E-2</v>
      </c>
      <c r="AB28" s="94">
        <f t="shared" si="62"/>
        <v>2.4870081662954714E-2</v>
      </c>
      <c r="AC28" s="94">
        <f t="shared" si="62"/>
        <v>2.3949889462048637E-2</v>
      </c>
      <c r="AD28" s="94">
        <f>IFERROR(AD26/AD11,"NA  ")</f>
        <v>2.4066091954022987E-2</v>
      </c>
      <c r="AE28" s="94">
        <f>IFERROR(AE26/AE11,"NA  ")</f>
        <v>2.5101513473606497E-2</v>
      </c>
      <c r="AF28" s="94">
        <f>IFERROR(AF26/AF11,"NA  ")</f>
        <v>2.6970080067425201E-2</v>
      </c>
      <c r="AG28" s="94">
        <f>IFERROR(AG26/AG11,"NA  ")</f>
        <v>2.570480928689884E-2</v>
      </c>
      <c r="AH28" s="95" t="str">
        <f t="shared" ref="AH28:AJ28" si="63">IF(Model_Switch=0,"",IFERROR(AH26/AH11,"NA  "))</f>
        <v/>
      </c>
      <c r="AI28" s="95" t="str">
        <f t="shared" si="63"/>
        <v/>
      </c>
      <c r="AJ28" s="95" t="str">
        <f t="shared" si="63"/>
        <v/>
      </c>
      <c r="AK28" s="79"/>
      <c r="AL28" s="94">
        <f t="shared" ref="AL28:AQ28" si="64">IFERROR(AL26/AL11,"NA  ")</f>
        <v>2.3827017948987089E-2</v>
      </c>
      <c r="AM28" s="94">
        <f t="shared" si="64"/>
        <v>2.5082918739635158E-2</v>
      </c>
      <c r="AN28" s="94">
        <f t="shared" si="64"/>
        <v>2.4311722912966252E-2</v>
      </c>
      <c r="AO28" s="94">
        <f t="shared" si="64"/>
        <v>2.377212273536496E-2</v>
      </c>
      <c r="AP28" s="94">
        <f t="shared" si="64"/>
        <v>2.3150428529208945E-2</v>
      </c>
      <c r="AQ28" s="94">
        <f t="shared" si="64"/>
        <v>2.5234551924943383E-2</v>
      </c>
      <c r="AR28" s="94">
        <f>IFERROR(AR26/AR11,"NA  ")</f>
        <v>2.6672961170777765E-2</v>
      </c>
      <c r="AS28" s="94">
        <f>IFERROR(AS26/AS11,"NA  ")</f>
        <v>2.4245895379915998E-2</v>
      </c>
      <c r="AT28" s="94">
        <f>IFERROR(AT26/AT11,"NA  ")</f>
        <v>2.495274102079395E-2</v>
      </c>
      <c r="AU28" s="95" t="str">
        <f>IF(Model_Switch=0,"",IFERROR(AU26/AU11,"NA  "))</f>
        <v/>
      </c>
      <c r="AV28" s="95" t="str">
        <f>IF(Model_Switch=0,"",IFERROR(AV26/AV11,"NA  "))</f>
        <v/>
      </c>
      <c r="AW28" s="95" t="str">
        <f>IF(Model_Switch=0,"",IFERROR(AW26/AW11,"NA  "))</f>
        <v/>
      </c>
      <c r="AX28" s="95" t="str">
        <f>IF(Model_Switch=0,"",IFERROR(AX26/AX11,"NA  "))</f>
        <v/>
      </c>
    </row>
    <row r="29" spans="3:51" ht="5.2" customHeight="1" outlineLevel="1">
      <c r="C29" s="43"/>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79"/>
      <c r="AL29" s="29"/>
      <c r="AM29" s="29"/>
      <c r="AN29" s="33"/>
      <c r="AO29" s="33"/>
      <c r="AP29" s="33"/>
      <c r="AQ29" s="33"/>
      <c r="AR29" s="33"/>
      <c r="AS29" s="33"/>
      <c r="AT29" s="33"/>
    </row>
    <row r="30" spans="3:51" ht="11.25" customHeight="1">
      <c r="C30" s="43" t="s">
        <v>23</v>
      </c>
      <c r="E30" s="29">
        <v>-2</v>
      </c>
      <c r="F30" s="29">
        <v>0</v>
      </c>
      <c r="G30" s="29">
        <v>30</v>
      </c>
      <c r="H30" s="29">
        <v>17</v>
      </c>
      <c r="I30" s="29">
        <v>0</v>
      </c>
      <c r="J30" s="29">
        <v>0</v>
      </c>
      <c r="K30" s="29">
        <v>0</v>
      </c>
      <c r="L30" s="29">
        <v>8</v>
      </c>
      <c r="M30" s="29">
        <v>2</v>
      </c>
      <c r="N30" s="29">
        <v>4</v>
      </c>
      <c r="O30" s="29">
        <v>0</v>
      </c>
      <c r="P30" s="29">
        <v>39</v>
      </c>
      <c r="Q30" s="29">
        <v>32</v>
      </c>
      <c r="R30" s="29">
        <v>18</v>
      </c>
      <c r="S30" s="29">
        <v>2</v>
      </c>
      <c r="T30" s="29">
        <v>74</v>
      </c>
      <c r="U30" s="29">
        <v>14</v>
      </c>
      <c r="V30" s="29">
        <v>141</v>
      </c>
      <c r="W30" s="29">
        <v>60</v>
      </c>
      <c r="X30" s="29">
        <v>12</v>
      </c>
      <c r="Y30" s="29">
        <v>7</v>
      </c>
      <c r="Z30" s="29">
        <v>15</v>
      </c>
      <c r="AA30" s="29">
        <v>7</v>
      </c>
      <c r="AB30" s="29">
        <v>18</v>
      </c>
      <c r="AC30" s="29">
        <v>2</v>
      </c>
      <c r="AD30" s="29">
        <v>19</v>
      </c>
      <c r="AE30" s="29">
        <v>2</v>
      </c>
      <c r="AF30" s="29">
        <v>29</v>
      </c>
      <c r="AG30" s="29">
        <v>22</v>
      </c>
      <c r="AH30" s="660">
        <f t="shared" ref="AH30:AJ30" si="65">IF(Model_Switch=0,0,AG30)</f>
        <v>0</v>
      </c>
      <c r="AI30" s="660">
        <f t="shared" si="65"/>
        <v>0</v>
      </c>
      <c r="AJ30" s="660">
        <f t="shared" si="65"/>
        <v>0</v>
      </c>
      <c r="AK30" s="79"/>
      <c r="AL30" s="29">
        <v>77</v>
      </c>
      <c r="AM30" s="29">
        <v>183</v>
      </c>
      <c r="AN30" s="33">
        <f t="shared" ref="AN30:AU34" si="66">SUMIF($E$6:$AK$6,AN$6,$E30:$AK30)</f>
        <v>45</v>
      </c>
      <c r="AO30" s="33">
        <f t="shared" si="66"/>
        <v>8</v>
      </c>
      <c r="AP30" s="33">
        <f t="shared" si="66"/>
        <v>45</v>
      </c>
      <c r="AQ30" s="33">
        <f t="shared" si="66"/>
        <v>126</v>
      </c>
      <c r="AR30" s="33">
        <f t="shared" si="66"/>
        <v>227</v>
      </c>
      <c r="AS30" s="33">
        <f t="shared" si="66"/>
        <v>47</v>
      </c>
      <c r="AT30" s="33">
        <f t="shared" si="66"/>
        <v>52</v>
      </c>
      <c r="AU30" s="660">
        <f t="shared" si="66"/>
        <v>22</v>
      </c>
      <c r="AV30" s="660">
        <f t="shared" ref="AV30:AX33" si="67">IF(Model_Switch=0,0,AU30)</f>
        <v>0</v>
      </c>
      <c r="AW30" s="660">
        <f t="shared" si="67"/>
        <v>0</v>
      </c>
      <c r="AX30" s="660">
        <f t="shared" si="67"/>
        <v>0</v>
      </c>
    </row>
    <row r="31" spans="3:51" ht="11.25" customHeight="1">
      <c r="C31" s="43" t="s">
        <v>1127</v>
      </c>
      <c r="E31" s="29">
        <v>0</v>
      </c>
      <c r="F31" s="29">
        <v>0</v>
      </c>
      <c r="G31" s="29">
        <v>0</v>
      </c>
      <c r="H31" s="29">
        <v>0</v>
      </c>
      <c r="I31" s="29">
        <v>0</v>
      </c>
      <c r="J31" s="29">
        <v>0</v>
      </c>
      <c r="K31" s="29">
        <v>0</v>
      </c>
      <c r="L31" s="29">
        <v>0</v>
      </c>
      <c r="M31" s="29">
        <v>0</v>
      </c>
      <c r="N31" s="29">
        <v>0</v>
      </c>
      <c r="O31" s="29">
        <v>0</v>
      </c>
      <c r="P31" s="29">
        <v>0</v>
      </c>
      <c r="Q31" s="29">
        <v>0</v>
      </c>
      <c r="R31" s="29">
        <v>0</v>
      </c>
      <c r="S31" s="29">
        <v>0</v>
      </c>
      <c r="T31" s="29">
        <v>0</v>
      </c>
      <c r="U31" s="29">
        <v>0</v>
      </c>
      <c r="V31" s="29">
        <v>0</v>
      </c>
      <c r="W31" s="29">
        <v>0</v>
      </c>
      <c r="X31" s="29">
        <v>0</v>
      </c>
      <c r="Y31" s="29">
        <v>0</v>
      </c>
      <c r="Z31" s="29">
        <v>495</v>
      </c>
      <c r="AA31" s="29">
        <v>60</v>
      </c>
      <c r="AB31" s="29">
        <v>-3</v>
      </c>
      <c r="AC31" s="29">
        <v>-3</v>
      </c>
      <c r="AD31" s="751">
        <v>-7</v>
      </c>
      <c r="AE31" s="751">
        <v>3</v>
      </c>
      <c r="AF31" s="29">
        <v>50</v>
      </c>
      <c r="AG31" s="29">
        <v>0</v>
      </c>
      <c r="AH31" s="751">
        <v>0</v>
      </c>
      <c r="AI31" s="751">
        <v>0</v>
      </c>
      <c r="AJ31" s="751">
        <v>0</v>
      </c>
      <c r="AK31" s="79"/>
      <c r="AL31" s="29"/>
      <c r="AM31" s="29"/>
      <c r="AN31" s="33">
        <f t="shared" si="66"/>
        <v>0</v>
      </c>
      <c r="AO31" s="33">
        <f t="shared" si="66"/>
        <v>0</v>
      </c>
      <c r="AP31" s="33">
        <f t="shared" si="66"/>
        <v>0</v>
      </c>
      <c r="AQ31" s="33">
        <f t="shared" si="66"/>
        <v>0</v>
      </c>
      <c r="AR31" s="33">
        <f t="shared" si="66"/>
        <v>0</v>
      </c>
      <c r="AS31" s="33">
        <f t="shared" si="66"/>
        <v>552</v>
      </c>
      <c r="AT31" s="33">
        <f t="shared" si="66"/>
        <v>43</v>
      </c>
      <c r="AU31" s="660">
        <f t="shared" si="66"/>
        <v>0</v>
      </c>
      <c r="AV31" s="660"/>
      <c r="AW31" s="660"/>
      <c r="AX31" s="660"/>
    </row>
    <row r="32" spans="3:51" ht="11.25" customHeight="1">
      <c r="C32" s="43" t="s">
        <v>24</v>
      </c>
      <c r="E32" s="29">
        <v>0</v>
      </c>
      <c r="F32" s="29">
        <v>0</v>
      </c>
      <c r="G32" s="29">
        <v>0</v>
      </c>
      <c r="H32" s="29">
        <v>0</v>
      </c>
      <c r="I32" s="29">
        <v>-28</v>
      </c>
      <c r="J32" s="29">
        <v>-30</v>
      </c>
      <c r="K32" s="29">
        <v>-28</v>
      </c>
      <c r="L32" s="29">
        <v>-49</v>
      </c>
      <c r="M32" s="29">
        <v>-30</v>
      </c>
      <c r="N32" s="29">
        <v>-30</v>
      </c>
      <c r="O32" s="29">
        <v>-30</v>
      </c>
      <c r="P32" s="29">
        <v>69</v>
      </c>
      <c r="Q32" s="29">
        <v>-21</v>
      </c>
      <c r="R32" s="29">
        <v>-21</v>
      </c>
      <c r="S32" s="29">
        <v>-20</v>
      </c>
      <c r="T32" s="29">
        <v>122</v>
      </c>
      <c r="U32" s="29">
        <v>-30</v>
      </c>
      <c r="V32" s="29">
        <v>-30</v>
      </c>
      <c r="W32" s="29">
        <v>-30</v>
      </c>
      <c r="X32" s="29">
        <v>209</v>
      </c>
      <c r="Y32" s="29">
        <v>-36</v>
      </c>
      <c r="Z32" s="29">
        <v>-37</v>
      </c>
      <c r="AA32" s="29">
        <v>-36</v>
      </c>
      <c r="AB32" s="29">
        <v>-303</v>
      </c>
      <c r="AC32" s="29">
        <v>-31</v>
      </c>
      <c r="AD32" s="29">
        <v>-34</v>
      </c>
      <c r="AE32" s="29">
        <v>-30</v>
      </c>
      <c r="AF32" s="29">
        <v>-6</v>
      </c>
      <c r="AG32" s="29">
        <v>-3</v>
      </c>
      <c r="AH32" s="758">
        <f>IF(Model_Switch=0,0,Pension!AP197)</f>
        <v>0</v>
      </c>
      <c r="AI32" s="758">
        <f>IF(Model_Switch=0,0,Pension!AQ197)</f>
        <v>0</v>
      </c>
      <c r="AJ32" s="758">
        <f>IF(Model_Switch=0,0,Pension!AR197)</f>
        <v>0</v>
      </c>
      <c r="AK32" s="79"/>
      <c r="AL32" s="29">
        <v>0</v>
      </c>
      <c r="AM32" s="29">
        <v>0</v>
      </c>
      <c r="AN32" s="33">
        <f t="shared" si="66"/>
        <v>0</v>
      </c>
      <c r="AO32" s="33">
        <f t="shared" si="66"/>
        <v>-135</v>
      </c>
      <c r="AP32" s="33">
        <f t="shared" si="66"/>
        <v>-21</v>
      </c>
      <c r="AQ32" s="33">
        <f t="shared" si="66"/>
        <v>60</v>
      </c>
      <c r="AR32" s="33">
        <f t="shared" si="66"/>
        <v>119</v>
      </c>
      <c r="AS32" s="33">
        <f t="shared" si="66"/>
        <v>-412</v>
      </c>
      <c r="AT32" s="33">
        <f t="shared" si="66"/>
        <v>-101</v>
      </c>
      <c r="AU32" s="662">
        <f t="shared" si="66"/>
        <v>-3</v>
      </c>
      <c r="AV32" s="662">
        <f>IF(Model_Switch=0,0,Pension!AR197)</f>
        <v>0</v>
      </c>
      <c r="AW32" s="662">
        <f>IF(Model_Switch=0,0,Pension!AS197)</f>
        <v>0</v>
      </c>
      <c r="AX32" s="662">
        <f>IF(Model_Switch=0,0,Pension!AU197)</f>
        <v>0</v>
      </c>
    </row>
    <row r="33" spans="3:51" ht="11.25" customHeight="1">
      <c r="C33" s="43" t="s">
        <v>25</v>
      </c>
      <c r="E33" s="29">
        <v>0</v>
      </c>
      <c r="F33" s="29">
        <v>0</v>
      </c>
      <c r="G33" s="29">
        <v>0</v>
      </c>
      <c r="H33" s="29">
        <v>0</v>
      </c>
      <c r="I33" s="29">
        <v>-4</v>
      </c>
      <c r="J33" s="29">
        <v>1</v>
      </c>
      <c r="K33" s="29">
        <v>-4</v>
      </c>
      <c r="L33" s="29">
        <v>11</v>
      </c>
      <c r="M33" s="29">
        <v>-46</v>
      </c>
      <c r="N33" s="29">
        <v>-10</v>
      </c>
      <c r="O33" s="29">
        <v>6</v>
      </c>
      <c r="P33" s="29">
        <v>-3</v>
      </c>
      <c r="Q33" s="29">
        <v>-2</v>
      </c>
      <c r="R33" s="29">
        <v>-1</v>
      </c>
      <c r="S33" s="29">
        <v>3</v>
      </c>
      <c r="T33" s="29">
        <v>3</v>
      </c>
      <c r="U33" s="29">
        <v>4</v>
      </c>
      <c r="V33" s="29">
        <v>-1</v>
      </c>
      <c r="W33" s="29">
        <v>7</v>
      </c>
      <c r="X33" s="29">
        <v>-2</v>
      </c>
      <c r="Y33" s="29">
        <v>-4</v>
      </c>
      <c r="Z33" s="29">
        <v>-1</v>
      </c>
      <c r="AA33" s="29">
        <v>-6</v>
      </c>
      <c r="AB33" s="29">
        <v>-6</v>
      </c>
      <c r="AC33" s="29">
        <v>-12</v>
      </c>
      <c r="AD33" s="29">
        <v>14</v>
      </c>
      <c r="AE33" s="29">
        <v>1</v>
      </c>
      <c r="AF33" s="29">
        <v>-9</v>
      </c>
      <c r="AG33" s="29">
        <v>11</v>
      </c>
      <c r="AH33" s="660">
        <f t="shared" ref="AH33:AJ33" si="68">IF(Model_Switch=0,0,AG33)</f>
        <v>0</v>
      </c>
      <c r="AI33" s="660">
        <f t="shared" si="68"/>
        <v>0</v>
      </c>
      <c r="AJ33" s="660">
        <f t="shared" si="68"/>
        <v>0</v>
      </c>
      <c r="AK33" s="79"/>
      <c r="AL33" s="29">
        <v>0</v>
      </c>
      <c r="AM33" s="29">
        <v>0</v>
      </c>
      <c r="AN33" s="33">
        <f t="shared" si="66"/>
        <v>0</v>
      </c>
      <c r="AO33" s="33">
        <f t="shared" si="66"/>
        <v>4</v>
      </c>
      <c r="AP33" s="33">
        <f t="shared" si="66"/>
        <v>-53</v>
      </c>
      <c r="AQ33" s="33">
        <f t="shared" si="66"/>
        <v>3</v>
      </c>
      <c r="AR33" s="33">
        <f t="shared" si="66"/>
        <v>8</v>
      </c>
      <c r="AS33" s="33">
        <f t="shared" si="66"/>
        <v>-17</v>
      </c>
      <c r="AT33" s="33">
        <f t="shared" si="66"/>
        <v>-6</v>
      </c>
      <c r="AU33" s="660">
        <f t="shared" si="66"/>
        <v>11</v>
      </c>
      <c r="AV33" s="660">
        <f t="shared" si="67"/>
        <v>0</v>
      </c>
      <c r="AW33" s="660">
        <f t="shared" si="67"/>
        <v>0</v>
      </c>
      <c r="AX33" s="660">
        <f t="shared" si="67"/>
        <v>0</v>
      </c>
    </row>
    <row r="34" spans="3:51" s="27" customFormat="1" ht="11.25" customHeight="1">
      <c r="C34" s="45" t="s">
        <v>26</v>
      </c>
      <c r="E34" s="35">
        <f>E18-E22-E26-SUM(E30:E33)</f>
        <v>399</v>
      </c>
      <c r="F34" s="35">
        <f t="shared" ref="F34:AL34" si="69">F18-F22-F26-SUM(F30:F33)</f>
        <v>376</v>
      </c>
      <c r="G34" s="35">
        <f t="shared" si="69"/>
        <v>356</v>
      </c>
      <c r="H34" s="35">
        <f t="shared" si="69"/>
        <v>252</v>
      </c>
      <c r="I34" s="35">
        <f t="shared" si="69"/>
        <v>401</v>
      </c>
      <c r="J34" s="35">
        <f t="shared" si="69"/>
        <v>420</v>
      </c>
      <c r="K34" s="35">
        <f t="shared" si="69"/>
        <v>464</v>
      </c>
      <c r="L34" s="35">
        <f t="shared" si="69"/>
        <v>245</v>
      </c>
      <c r="M34" s="35">
        <f t="shared" si="69"/>
        <v>409</v>
      </c>
      <c r="N34" s="35">
        <f t="shared" si="69"/>
        <v>491</v>
      </c>
      <c r="O34" s="35">
        <f t="shared" si="69"/>
        <v>517</v>
      </c>
      <c r="P34" s="35">
        <f t="shared" si="69"/>
        <v>135</v>
      </c>
      <c r="Q34" s="35">
        <f t="shared" si="69"/>
        <v>320</v>
      </c>
      <c r="R34" s="35">
        <f t="shared" si="69"/>
        <v>371</v>
      </c>
      <c r="S34" s="35">
        <f t="shared" si="69"/>
        <v>367</v>
      </c>
      <c r="T34" s="35">
        <f t="shared" si="69"/>
        <v>62</v>
      </c>
      <c r="U34" s="35">
        <f t="shared" ref="U34:AC34" si="70">U18-U22-U26-SUM(U30:U33)</f>
        <v>368</v>
      </c>
      <c r="V34" s="35">
        <f t="shared" si="70"/>
        <v>54</v>
      </c>
      <c r="W34" s="35">
        <f t="shared" si="70"/>
        <v>243</v>
      </c>
      <c r="X34" s="35">
        <f t="shared" si="70"/>
        <v>76</v>
      </c>
      <c r="Y34" s="35">
        <f t="shared" si="70"/>
        <v>389</v>
      </c>
      <c r="Z34" s="35">
        <f t="shared" si="70"/>
        <v>-56</v>
      </c>
      <c r="AA34" s="35">
        <f t="shared" si="70"/>
        <v>370</v>
      </c>
      <c r="AB34" s="35">
        <f t="shared" si="70"/>
        <v>578</v>
      </c>
      <c r="AC34" s="35">
        <f t="shared" si="70"/>
        <v>333</v>
      </c>
      <c r="AD34" s="35">
        <f>AD18-AD22-AD26-SUM(AD30:AD33)</f>
        <v>426</v>
      </c>
      <c r="AE34" s="35">
        <f>AE18-AE22-AE26-SUM(AE30:AE33)</f>
        <v>324</v>
      </c>
      <c r="AF34" s="35">
        <f>AF18-AF22-AF26-SUM(AF30:AF33)</f>
        <v>76</v>
      </c>
      <c r="AG34" s="35">
        <f>AG18-AG22-AG26-SUM(AG30:AG33)</f>
        <v>246</v>
      </c>
      <c r="AH34" s="35">
        <f>+IF(Model_Switch=0,AH269+AH371+AH452+AH530+AH596,AH18-AH22-AH26-SUM(AH30:AH33))</f>
        <v>382.96299999999997</v>
      </c>
      <c r="AI34" s="35">
        <f>+IF(Model_Switch=0,AI269+AI371+AI452+AI530+AI596,AI18-AI22-AI26-SUM(AI30:AI33))</f>
        <v>408.39790000000005</v>
      </c>
      <c r="AJ34" s="35">
        <f>+IF(Model_Switch=0,AJ269+AJ371+AJ452+AJ530+AJ596,AJ18-AJ22-AJ26-SUM(AJ30:AJ33))</f>
        <v>341.23170000000005</v>
      </c>
      <c r="AK34" s="79"/>
      <c r="AL34" s="35">
        <f t="shared" si="69"/>
        <v>1162</v>
      </c>
      <c r="AM34" s="35">
        <f t="shared" ref="AM34:AT34" si="71">AM18-AM22-AM26-SUM(AM30:AM33)</f>
        <v>1384</v>
      </c>
      <c r="AN34" s="35">
        <f t="shared" si="71"/>
        <v>1383</v>
      </c>
      <c r="AO34" s="35">
        <f t="shared" si="71"/>
        <v>1530</v>
      </c>
      <c r="AP34" s="35">
        <f t="shared" si="71"/>
        <v>1552</v>
      </c>
      <c r="AQ34" s="35">
        <f t="shared" si="71"/>
        <v>1120</v>
      </c>
      <c r="AR34" s="35">
        <f t="shared" si="71"/>
        <v>741</v>
      </c>
      <c r="AS34" s="35">
        <f t="shared" si="71"/>
        <v>1281</v>
      </c>
      <c r="AT34" s="35">
        <f t="shared" si="71"/>
        <v>1159</v>
      </c>
      <c r="AU34" s="35">
        <f t="shared" si="66"/>
        <v>1378.5926000000002</v>
      </c>
      <c r="AV34" s="35">
        <f>+IF(Model_Switch=0,AV269+AV371+AV452+AV530+AV596,AV18-AV22-AV26-SUM(AV30:AV33))</f>
        <v>1516.7443589999998</v>
      </c>
      <c r="AW34" s="35">
        <f>+IF(Model_Switch=0,AW269+AW371+AW452+AW530+AW596,AW18-AW22-AW26-SUM(AW30:AW33))</f>
        <v>1598.1947735650001</v>
      </c>
      <c r="AX34" s="35">
        <f>+IF(Model_Switch=0,AX269+AX371+AX452+AX530+AX596,AX18-AX22-AX26-SUM(AX30:AX33))</f>
        <v>1691.2155851145749</v>
      </c>
      <c r="AY34" s="1"/>
    </row>
    <row r="35" spans="3:51" ht="11.25" customHeight="1" outlineLevel="1">
      <c r="C35" s="93" t="s">
        <v>358</v>
      </c>
      <c r="E35" s="46"/>
      <c r="F35" s="46"/>
      <c r="G35" s="46"/>
      <c r="H35" s="46"/>
      <c r="I35" s="94">
        <f t="shared" ref="I35:T35" si="72">IFERROR(I34/E34-1,"NA  ")</f>
        <v>5.0125313283209127E-3</v>
      </c>
      <c r="J35" s="94">
        <f t="shared" si="72"/>
        <v>0.11702127659574457</v>
      </c>
      <c r="K35" s="94">
        <f t="shared" si="72"/>
        <v>0.30337078651685401</v>
      </c>
      <c r="L35" s="94">
        <f t="shared" si="72"/>
        <v>-2.777777777777779E-2</v>
      </c>
      <c r="M35" s="94">
        <f t="shared" si="72"/>
        <v>1.9950124688279391E-2</v>
      </c>
      <c r="N35" s="94">
        <f t="shared" si="72"/>
        <v>0.16904761904761911</v>
      </c>
      <c r="O35" s="94">
        <f t="shared" si="72"/>
        <v>0.11422413793103448</v>
      </c>
      <c r="P35" s="94">
        <f t="shared" si="72"/>
        <v>-0.44897959183673475</v>
      </c>
      <c r="Q35" s="94">
        <f t="shared" si="72"/>
        <v>-0.21760391198044005</v>
      </c>
      <c r="R35" s="94">
        <f t="shared" si="72"/>
        <v>-0.24439918533604887</v>
      </c>
      <c r="S35" s="94">
        <f t="shared" si="72"/>
        <v>-0.29013539651837528</v>
      </c>
      <c r="T35" s="94">
        <f t="shared" si="72"/>
        <v>-0.54074074074074074</v>
      </c>
      <c r="U35" s="94">
        <f t="shared" ref="U35:AC35" si="73">IFERROR(U34/Q34-1,"NA  ")</f>
        <v>0.14999999999999991</v>
      </c>
      <c r="V35" s="94">
        <f t="shared" si="73"/>
        <v>-0.85444743935309975</v>
      </c>
      <c r="W35" s="94">
        <f t="shared" si="73"/>
        <v>-0.33787465940054495</v>
      </c>
      <c r="X35" s="94">
        <f t="shared" si="73"/>
        <v>0.22580645161290325</v>
      </c>
      <c r="Y35" s="94">
        <f t="shared" si="73"/>
        <v>5.7065217391304435E-2</v>
      </c>
      <c r="Z35" s="94">
        <f t="shared" si="73"/>
        <v>-2.0370370370370372</v>
      </c>
      <c r="AA35" s="94">
        <f t="shared" si="73"/>
        <v>0.52263374485596703</v>
      </c>
      <c r="AB35" s="94">
        <f t="shared" si="73"/>
        <v>6.6052631578947372</v>
      </c>
      <c r="AC35" s="94">
        <f t="shared" si="73"/>
        <v>-0.14395886889460152</v>
      </c>
      <c r="AD35" s="94">
        <f>IFERROR(AD34/Z34-1,"NA  ")</f>
        <v>-8.6071428571428577</v>
      </c>
      <c r="AE35" s="94">
        <f>IFERROR(AE34/AA34-1,"NA  ")</f>
        <v>-0.12432432432432428</v>
      </c>
      <c r="AF35" s="94">
        <f>IFERROR(AF34/AB34-1,"NA  ")</f>
        <v>-0.86851211072664358</v>
      </c>
      <c r="AG35" s="94">
        <f>IFERROR(AG34/AC34-1,"NA  ")</f>
        <v>-0.26126126126126126</v>
      </c>
      <c r="AH35" s="94">
        <f t="shared" ref="AH35:AJ35" si="74">IFERROR(AH34/AD34-1,"NA  ")</f>
        <v>-0.10102582159624418</v>
      </c>
      <c r="AI35" s="94">
        <f t="shared" si="74"/>
        <v>0.26048734567901244</v>
      </c>
      <c r="AJ35" s="94">
        <f t="shared" si="74"/>
        <v>3.4898907894736846</v>
      </c>
      <c r="AK35" s="79"/>
      <c r="AL35" s="96"/>
      <c r="AM35" s="95">
        <f t="shared" ref="AM35:AX35" si="75">IFERROR(AM34/AL34-1,"NA  ")</f>
        <v>0.1910499139414803</v>
      </c>
      <c r="AN35" s="95">
        <f t="shared" si="75"/>
        <v>-7.2254335260113489E-4</v>
      </c>
      <c r="AO35" s="95">
        <f t="shared" si="75"/>
        <v>0.10629067245119317</v>
      </c>
      <c r="AP35" s="95">
        <f t="shared" si="75"/>
        <v>1.437908496732021E-2</v>
      </c>
      <c r="AQ35" s="95">
        <f t="shared" si="75"/>
        <v>-0.27835051546391754</v>
      </c>
      <c r="AR35" s="95">
        <f t="shared" si="75"/>
        <v>-0.33839285714285716</v>
      </c>
      <c r="AS35" s="95">
        <f t="shared" si="75"/>
        <v>0.72874493927125505</v>
      </c>
      <c r="AT35" s="95">
        <f t="shared" si="75"/>
        <v>-9.5238095238095233E-2</v>
      </c>
      <c r="AU35" s="95">
        <f t="shared" si="75"/>
        <v>0.18946729939603113</v>
      </c>
      <c r="AV35" s="95">
        <f t="shared" si="75"/>
        <v>0.10021217218197709</v>
      </c>
      <c r="AW35" s="95">
        <f t="shared" si="75"/>
        <v>5.3700819180037218E-2</v>
      </c>
      <c r="AX35" s="95">
        <f t="shared" si="75"/>
        <v>5.8203676478104427E-2</v>
      </c>
    </row>
    <row r="36" spans="3:51" ht="11.25" customHeight="1" outlineLevel="1">
      <c r="C36" s="93" t="s">
        <v>360</v>
      </c>
      <c r="E36" s="94">
        <f>IFERROR(E34/E11,"NA  ")</f>
        <v>0.17844364937388194</v>
      </c>
      <c r="F36" s="94">
        <f t="shared" ref="F36:R36" si="76">IFERROR(F34/F11,"NA  ")</f>
        <v>0.16369177187636047</v>
      </c>
      <c r="G36" s="94">
        <f t="shared" si="76"/>
        <v>0.15566243987756886</v>
      </c>
      <c r="H36" s="94">
        <f t="shared" si="76"/>
        <v>0.11517367458866545</v>
      </c>
      <c r="I36" s="94">
        <f t="shared" si="76"/>
        <v>0.17412071211463309</v>
      </c>
      <c r="J36" s="94">
        <f t="shared" si="76"/>
        <v>0.17362546506821</v>
      </c>
      <c r="K36" s="94">
        <f t="shared" si="76"/>
        <v>0.18823529411764706</v>
      </c>
      <c r="L36" s="94">
        <f t="shared" si="76"/>
        <v>0.10372565622353937</v>
      </c>
      <c r="M36" s="94">
        <f t="shared" si="76"/>
        <v>0.15688530878404297</v>
      </c>
      <c r="N36" s="94">
        <f t="shared" si="76"/>
        <v>0.18733307897748952</v>
      </c>
      <c r="O36" s="94">
        <f t="shared" si="76"/>
        <v>0.20298390263054575</v>
      </c>
      <c r="P36" s="94">
        <f t="shared" si="76"/>
        <v>5.6818181818181816E-2</v>
      </c>
      <c r="Q36" s="94">
        <f t="shared" si="76"/>
        <v>0.13445378151260504</v>
      </c>
      <c r="R36" s="94">
        <f t="shared" si="76"/>
        <v>0.1570038087177317</v>
      </c>
      <c r="S36" s="94">
        <f>IFERROR(S34/S11,"NA  ")</f>
        <v>0.15784946236559139</v>
      </c>
      <c r="T36" s="94">
        <f>IFERROR(T34/T11,"NA  ")</f>
        <v>2.8117913832199547E-2</v>
      </c>
      <c r="U36" s="94">
        <f t="shared" ref="U36:AC36" si="77">IFERROR(U34/U11,"NA  ")</f>
        <v>0.1642124051762606</v>
      </c>
      <c r="V36" s="94">
        <f t="shared" si="77"/>
        <v>2.8066528066528068E-2</v>
      </c>
      <c r="W36" s="94">
        <f t="shared" si="77"/>
        <v>0.11451460885956645</v>
      </c>
      <c r="X36" s="94">
        <f t="shared" si="77"/>
        <v>3.4766697163769442E-2</v>
      </c>
      <c r="Y36" s="94">
        <f t="shared" si="77"/>
        <v>0.1614777916147779</v>
      </c>
      <c r="Z36" s="94">
        <f t="shared" si="77"/>
        <v>-2.1108179419525065E-2</v>
      </c>
      <c r="AA36" s="94">
        <f t="shared" si="77"/>
        <v>0.13602941176470587</v>
      </c>
      <c r="AB36" s="94">
        <f t="shared" si="77"/>
        <v>0.21455085374907201</v>
      </c>
      <c r="AC36" s="94">
        <f t="shared" si="77"/>
        <v>0.12269712601326456</v>
      </c>
      <c r="AD36" s="94">
        <f>IFERROR(AD34/AD11,"NA  ")</f>
        <v>0.15301724137931033</v>
      </c>
      <c r="AE36" s="94">
        <f>IFERROR(AE34/AE11,"NA  ")</f>
        <v>0.11960132890365449</v>
      </c>
      <c r="AF36" s="94">
        <f>IFERROR(AF34/AF11,"NA  ")</f>
        <v>3.2026970080067427E-2</v>
      </c>
      <c r="AG36" s="94">
        <f>IFERROR(AG34/AG11,"NA  ")</f>
        <v>0.10199004975124377</v>
      </c>
      <c r="AH36" s="94">
        <f t="shared" ref="AH36:AJ36" si="78">IFERROR(AH34/AH11,"NA  ")</f>
        <v>0.14156341027043812</v>
      </c>
      <c r="AI36" s="94">
        <f t="shared" si="78"/>
        <v>0.15136948577104695</v>
      </c>
      <c r="AJ36" s="94">
        <f t="shared" si="78"/>
        <v>0.1419562938372064</v>
      </c>
      <c r="AK36" s="79"/>
      <c r="AL36" s="94">
        <f t="shared" ref="AL36:AQ36" si="79">IFERROR(AL34/AL11,"NA  ")</f>
        <v>0.12196914033798678</v>
      </c>
      <c r="AM36" s="94">
        <f t="shared" si="79"/>
        <v>0.14344941956882257</v>
      </c>
      <c r="AN36" s="94">
        <f t="shared" si="79"/>
        <v>0.15353019538188278</v>
      </c>
      <c r="AO36" s="94">
        <f t="shared" si="79"/>
        <v>0.16022620169651272</v>
      </c>
      <c r="AP36" s="94">
        <f t="shared" si="79"/>
        <v>0.15289134075460545</v>
      </c>
      <c r="AQ36" s="94">
        <f t="shared" si="79"/>
        <v>0.12078076135015636</v>
      </c>
      <c r="AR36" s="94">
        <f t="shared" ref="AR36:AW36" si="80">IFERROR(AR34/AR11,"NA  ")</f>
        <v>8.74542664935678E-2</v>
      </c>
      <c r="AS36" s="94">
        <f t="shared" si="80"/>
        <v>0.12227949599083619</v>
      </c>
      <c r="AT36" s="94">
        <f t="shared" si="80"/>
        <v>0.10954631379962193</v>
      </c>
      <c r="AU36" s="94">
        <f t="shared" ref="AU36" si="81">IFERROR(AU34/AU11,"NA  ")</f>
        <v>0.13490431586528681</v>
      </c>
      <c r="AV36" s="94">
        <f t="shared" si="80"/>
        <v>0.14321073042361282</v>
      </c>
      <c r="AW36" s="94">
        <f t="shared" si="80"/>
        <v>0.14645810787999791</v>
      </c>
      <c r="AX36" s="94">
        <f t="shared" ref="AX36" si="82">IFERROR(AX34/AX11,"NA  ")</f>
        <v>0.15113910204432252</v>
      </c>
    </row>
    <row r="37" spans="3:51" s="27" customFormat="1" ht="5.2" customHeight="1" outlineLevel="1">
      <c r="C37" s="45"/>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79"/>
      <c r="AL37" s="30"/>
      <c r="AM37" s="30"/>
      <c r="AN37" s="30"/>
      <c r="AO37" s="30"/>
      <c r="AP37" s="30"/>
      <c r="AQ37" s="30"/>
      <c r="AR37" s="30"/>
      <c r="AY37" s="1"/>
    </row>
    <row r="38" spans="3:51" s="27" customFormat="1" ht="11.25" customHeight="1">
      <c r="C38" s="43" t="s">
        <v>25</v>
      </c>
      <c r="E38" s="29">
        <v>12</v>
      </c>
      <c r="F38" s="29">
        <v>-20</v>
      </c>
      <c r="G38" s="29">
        <v>3</v>
      </c>
      <c r="H38" s="29">
        <v>-1</v>
      </c>
      <c r="I38" s="29">
        <v>0</v>
      </c>
      <c r="J38" s="29">
        <v>0</v>
      </c>
      <c r="K38" s="29">
        <v>0</v>
      </c>
      <c r="L38" s="29">
        <v>0</v>
      </c>
      <c r="M38" s="29">
        <v>0</v>
      </c>
      <c r="N38" s="29">
        <v>0</v>
      </c>
      <c r="O38" s="29">
        <v>0</v>
      </c>
      <c r="P38" s="29">
        <v>0</v>
      </c>
      <c r="Q38" s="29">
        <v>0</v>
      </c>
      <c r="R38" s="29">
        <v>0</v>
      </c>
      <c r="S38" s="29">
        <v>0</v>
      </c>
      <c r="T38" s="29">
        <v>0</v>
      </c>
      <c r="U38" s="29">
        <v>0</v>
      </c>
      <c r="V38" s="29">
        <v>0</v>
      </c>
      <c r="W38" s="29">
        <v>0</v>
      </c>
      <c r="X38" s="29">
        <v>0</v>
      </c>
      <c r="Y38" s="29">
        <v>0</v>
      </c>
      <c r="Z38" s="29">
        <v>0</v>
      </c>
      <c r="AA38" s="29">
        <v>0</v>
      </c>
      <c r="AB38" s="29">
        <v>0</v>
      </c>
      <c r="AC38" s="29">
        <v>0</v>
      </c>
      <c r="AD38" s="133">
        <v>0</v>
      </c>
      <c r="AE38" s="133">
        <v>0</v>
      </c>
      <c r="AF38" s="29">
        <v>0</v>
      </c>
      <c r="AG38" s="29">
        <v>0</v>
      </c>
      <c r="AH38" s="133">
        <f t="shared" ref="AH38:AH39" si="83">AG38</f>
        <v>0</v>
      </c>
      <c r="AI38" s="133">
        <f t="shared" ref="AI38:AI39" si="84">AH38</f>
        <v>0</v>
      </c>
      <c r="AJ38" s="133">
        <f t="shared" ref="AJ38:AJ39" si="85">AI38</f>
        <v>0</v>
      </c>
      <c r="AK38" s="79"/>
      <c r="AL38" s="29">
        <v>-15</v>
      </c>
      <c r="AM38" s="29">
        <v>-8</v>
      </c>
      <c r="AN38" s="33">
        <f t="shared" ref="AN38:AU40" si="86">SUMIF($E$6:$AK$6,AN$6,$E38:$AK38)</f>
        <v>-6</v>
      </c>
      <c r="AO38" s="33">
        <f t="shared" si="86"/>
        <v>0</v>
      </c>
      <c r="AP38" s="33">
        <f t="shared" si="86"/>
        <v>0</v>
      </c>
      <c r="AQ38" s="33">
        <f t="shared" si="86"/>
        <v>0</v>
      </c>
      <c r="AR38" s="33">
        <f t="shared" si="86"/>
        <v>0</v>
      </c>
      <c r="AS38" s="33">
        <f t="shared" si="86"/>
        <v>0</v>
      </c>
      <c r="AT38" s="33">
        <f t="shared" si="86"/>
        <v>0</v>
      </c>
      <c r="AU38" s="33">
        <f t="shared" si="86"/>
        <v>0</v>
      </c>
      <c r="AV38" s="149">
        <f t="shared" ref="AV38:AX39" si="87">AU38</f>
        <v>0</v>
      </c>
      <c r="AW38" s="149">
        <f t="shared" si="87"/>
        <v>0</v>
      </c>
      <c r="AX38" s="149">
        <f t="shared" si="87"/>
        <v>0</v>
      </c>
      <c r="AY38" s="1"/>
    </row>
    <row r="39" spans="3:51" ht="11.25" customHeight="1">
      <c r="C39" s="43" t="s">
        <v>35</v>
      </c>
      <c r="E39" s="29">
        <v>0</v>
      </c>
      <c r="F39" s="29">
        <v>9</v>
      </c>
      <c r="G39" s="29">
        <v>0</v>
      </c>
      <c r="H39" s="29">
        <v>76</v>
      </c>
      <c r="I39" s="29">
        <v>0</v>
      </c>
      <c r="J39" s="29">
        <v>0</v>
      </c>
      <c r="K39" s="29">
        <v>0</v>
      </c>
      <c r="L39" s="29">
        <v>0</v>
      </c>
      <c r="M39" s="29">
        <v>0</v>
      </c>
      <c r="N39" s="29">
        <v>0</v>
      </c>
      <c r="O39" s="29">
        <v>0</v>
      </c>
      <c r="P39" s="29">
        <v>7</v>
      </c>
      <c r="Q39" s="29">
        <v>0</v>
      </c>
      <c r="R39" s="29">
        <v>0</v>
      </c>
      <c r="S39" s="29">
        <v>0</v>
      </c>
      <c r="T39" s="29">
        <v>0</v>
      </c>
      <c r="U39" s="29">
        <v>0</v>
      </c>
      <c r="V39" s="29">
        <v>0</v>
      </c>
      <c r="W39" s="29">
        <v>1</v>
      </c>
      <c r="X39" s="29">
        <v>0</v>
      </c>
      <c r="Y39" s="29">
        <v>0</v>
      </c>
      <c r="Z39" s="29">
        <v>0</v>
      </c>
      <c r="AA39" s="29">
        <v>0</v>
      </c>
      <c r="AB39" s="29">
        <v>1</v>
      </c>
      <c r="AC39" s="29">
        <v>0</v>
      </c>
      <c r="AD39" s="133">
        <v>0</v>
      </c>
      <c r="AE39" s="133">
        <v>0</v>
      </c>
      <c r="AF39" s="29">
        <v>0</v>
      </c>
      <c r="AG39" s="29">
        <v>0</v>
      </c>
      <c r="AH39" s="133">
        <f t="shared" si="83"/>
        <v>0</v>
      </c>
      <c r="AI39" s="133">
        <f t="shared" si="84"/>
        <v>0</v>
      </c>
      <c r="AJ39" s="133">
        <f t="shared" si="85"/>
        <v>0</v>
      </c>
      <c r="AK39" s="79"/>
      <c r="AL39" s="29"/>
      <c r="AM39" s="29">
        <v>0</v>
      </c>
      <c r="AN39" s="33">
        <f t="shared" si="86"/>
        <v>85</v>
      </c>
      <c r="AO39" s="33">
        <f t="shared" si="86"/>
        <v>0</v>
      </c>
      <c r="AP39" s="33">
        <f t="shared" si="86"/>
        <v>7</v>
      </c>
      <c r="AQ39" s="33">
        <f t="shared" si="86"/>
        <v>0</v>
      </c>
      <c r="AR39" s="33">
        <f t="shared" si="86"/>
        <v>1</v>
      </c>
      <c r="AS39" s="33">
        <f t="shared" si="86"/>
        <v>1</v>
      </c>
      <c r="AT39" s="33">
        <f t="shared" si="86"/>
        <v>0</v>
      </c>
      <c r="AU39" s="33">
        <f t="shared" si="86"/>
        <v>0</v>
      </c>
      <c r="AV39" s="149">
        <f t="shared" si="87"/>
        <v>0</v>
      </c>
      <c r="AW39" s="149">
        <f t="shared" si="87"/>
        <v>0</v>
      </c>
      <c r="AX39" s="149">
        <f t="shared" si="87"/>
        <v>0</v>
      </c>
    </row>
    <row r="40" spans="3:51" ht="11.25" customHeight="1">
      <c r="C40" s="43" t="s">
        <v>27</v>
      </c>
      <c r="E40" s="29">
        <v>64</v>
      </c>
      <c r="F40" s="29">
        <v>63</v>
      </c>
      <c r="G40" s="29">
        <v>64</v>
      </c>
      <c r="H40" s="29">
        <v>64</v>
      </c>
      <c r="I40" s="29">
        <v>60</v>
      </c>
      <c r="J40" s="29">
        <v>61</v>
      </c>
      <c r="K40" s="29">
        <v>61</v>
      </c>
      <c r="L40" s="29">
        <v>59</v>
      </c>
      <c r="M40" s="29">
        <v>59</v>
      </c>
      <c r="N40" s="29">
        <v>61</v>
      </c>
      <c r="O40" s="29">
        <v>58</v>
      </c>
      <c r="P40" s="29">
        <v>57</v>
      </c>
      <c r="Q40" s="29">
        <v>56</v>
      </c>
      <c r="R40" s="29">
        <v>55</v>
      </c>
      <c r="S40" s="29">
        <v>54</v>
      </c>
      <c r="T40" s="29">
        <v>53</v>
      </c>
      <c r="U40" s="29">
        <v>52</v>
      </c>
      <c r="V40" s="29">
        <v>55</v>
      </c>
      <c r="W40" s="29">
        <v>52</v>
      </c>
      <c r="X40" s="29">
        <v>51</v>
      </c>
      <c r="Y40" s="29">
        <v>50</v>
      </c>
      <c r="Z40" s="29">
        <v>51</v>
      </c>
      <c r="AA40" s="29">
        <v>49</v>
      </c>
      <c r="AB40" s="29">
        <v>48</v>
      </c>
      <c r="AC40" s="29">
        <v>46</v>
      </c>
      <c r="AD40" s="29">
        <v>45</v>
      </c>
      <c r="AE40" s="29">
        <v>43</v>
      </c>
      <c r="AF40" s="29">
        <v>48</v>
      </c>
      <c r="AG40" s="29">
        <v>52</v>
      </c>
      <c r="AH40" s="212">
        <f ca="1">Debt!AA90</f>
        <v>52.814812500000002</v>
      </c>
      <c r="AI40" s="212">
        <f ca="1">Debt!AB90</f>
        <v>51.284812500000001</v>
      </c>
      <c r="AJ40" s="212">
        <f ca="1">Debt!AC90</f>
        <v>51.284812500000001</v>
      </c>
      <c r="AK40" s="79"/>
      <c r="AL40" s="29">
        <v>187</v>
      </c>
      <c r="AM40" s="29">
        <v>263</v>
      </c>
      <c r="AN40" s="33">
        <f t="shared" si="86"/>
        <v>255</v>
      </c>
      <c r="AO40" s="33">
        <f t="shared" si="86"/>
        <v>241</v>
      </c>
      <c r="AP40" s="33">
        <f t="shared" si="86"/>
        <v>235</v>
      </c>
      <c r="AQ40" s="33">
        <f t="shared" si="86"/>
        <v>218</v>
      </c>
      <c r="AR40" s="33">
        <f t="shared" si="86"/>
        <v>210</v>
      </c>
      <c r="AS40" s="33">
        <f t="shared" si="86"/>
        <v>198</v>
      </c>
      <c r="AT40" s="33">
        <f t="shared" si="86"/>
        <v>182</v>
      </c>
      <c r="AU40" s="33">
        <f ca="1">SUMIF($E$6:$AK$6,AU$6,$E40:$AK40)</f>
        <v>207.38443749999999</v>
      </c>
      <c r="AV40" s="212">
        <f ca="1">Debt!AM90</f>
        <v>196.32237499999999</v>
      </c>
      <c r="AW40" s="212">
        <f ca="1">Debt!AN90</f>
        <v>174.31950000000001</v>
      </c>
      <c r="AX40" s="212">
        <f ca="1">Debt!AO90</f>
        <v>156.05224999999999</v>
      </c>
    </row>
    <row r="41" spans="3:51" ht="11.25" customHeight="1" outlineLevel="1">
      <c r="C41" s="107" t="s">
        <v>480</v>
      </c>
      <c r="E41" s="46"/>
      <c r="F41" s="46"/>
      <c r="G41" s="46"/>
      <c r="H41" s="46"/>
      <c r="I41" s="94">
        <f t="shared" ref="I41:AJ41" si="88">SUM(F40:I40)/AVERAGE(I766,E766)</f>
        <v>3.5957309648305992E-2</v>
      </c>
      <c r="J41" s="94">
        <f t="shared" si="88"/>
        <v>3.6390208257215929E-2</v>
      </c>
      <c r="K41" s="94">
        <f t="shared" si="88"/>
        <v>3.6986919260261618E-2</v>
      </c>
      <c r="L41" s="94">
        <f t="shared" si="88"/>
        <v>3.6698644738845744E-2</v>
      </c>
      <c r="M41" s="94">
        <f t="shared" si="88"/>
        <v>3.4825509685844878E-2</v>
      </c>
      <c r="N41" s="94">
        <f t="shared" si="88"/>
        <v>3.5356511490866237E-2</v>
      </c>
      <c r="O41" s="94">
        <f t="shared" si="88"/>
        <v>3.5585585585585583E-2</v>
      </c>
      <c r="P41" s="94">
        <f t="shared" si="88"/>
        <v>3.6984576644633303E-2</v>
      </c>
      <c r="Q41" s="94">
        <f t="shared" si="88"/>
        <v>3.4720143669560014E-2</v>
      </c>
      <c r="R41" s="94">
        <f t="shared" si="88"/>
        <v>3.4636015325670497E-2</v>
      </c>
      <c r="S41" s="94">
        <f t="shared" si="88"/>
        <v>3.4592910011686795E-2</v>
      </c>
      <c r="T41" s="94">
        <f t="shared" si="88"/>
        <v>3.6485355648535563E-2</v>
      </c>
      <c r="U41" s="94">
        <f t="shared" si="88"/>
        <v>3.354757799028061E-2</v>
      </c>
      <c r="V41" s="94">
        <f t="shared" si="88"/>
        <v>3.4272901985906469E-2</v>
      </c>
      <c r="W41" s="94">
        <f t="shared" si="88"/>
        <v>3.511677985754514E-2</v>
      </c>
      <c r="X41" s="94">
        <f t="shared" si="88"/>
        <v>3.6842105263157891E-2</v>
      </c>
      <c r="Y41" s="94">
        <f t="shared" si="88"/>
        <v>3.5200541546793029E-2</v>
      </c>
      <c r="Z41" s="94">
        <f t="shared" si="88"/>
        <v>3.4928516394144335E-2</v>
      </c>
      <c r="AA41" s="94">
        <f t="shared" si="88"/>
        <v>3.5409142957808511E-2</v>
      </c>
      <c r="AB41" s="94">
        <f t="shared" si="88"/>
        <v>3.6744919736475826E-2</v>
      </c>
      <c r="AC41" s="94">
        <f t="shared" si="88"/>
        <v>3.5638835308165702E-2</v>
      </c>
      <c r="AD41" s="94">
        <f t="shared" si="88"/>
        <v>3.5677009203909288E-2</v>
      </c>
      <c r="AE41" s="94">
        <f t="shared" si="88"/>
        <v>3.4492561356960105E-2</v>
      </c>
      <c r="AF41" s="94">
        <f t="shared" si="88"/>
        <v>3.5305528612997093E-2</v>
      </c>
      <c r="AG41" s="94">
        <f t="shared" si="88"/>
        <v>3.4141469172795785E-2</v>
      </c>
      <c r="AH41" s="94">
        <f t="shared" ca="1" si="88"/>
        <v>3.9860521628498728E-2</v>
      </c>
      <c r="AI41" s="94">
        <f t="shared" ca="1" si="88"/>
        <v>4.1236412768966564E-2</v>
      </c>
      <c r="AJ41" s="94">
        <f t="shared" ca="1" si="88"/>
        <v>4.1539196294441659E-2</v>
      </c>
      <c r="AK41" s="79"/>
      <c r="AL41" s="29"/>
      <c r="AM41" s="94">
        <f t="shared" ref="AM41:AX41" si="89">AM40/AVERAGE(AM766,AL766)</f>
        <v>3.6133818781342308E-2</v>
      </c>
      <c r="AN41" s="94">
        <f t="shared" si="89"/>
        <v>3.7494486104984563E-2</v>
      </c>
      <c r="AO41" s="94">
        <f t="shared" si="89"/>
        <v>3.6698644738845744E-2</v>
      </c>
      <c r="AP41" s="94">
        <f t="shared" si="89"/>
        <v>3.6984576644633303E-2</v>
      </c>
      <c r="AQ41" s="94">
        <f t="shared" si="89"/>
        <v>3.6485355648535563E-2</v>
      </c>
      <c r="AR41" s="94">
        <f t="shared" si="89"/>
        <v>3.6842105263157891E-2</v>
      </c>
      <c r="AS41" s="94">
        <f t="shared" si="89"/>
        <v>3.6744919736475826E-2</v>
      </c>
      <c r="AT41" s="94">
        <f t="shared" si="89"/>
        <v>3.5305528612997093E-2</v>
      </c>
      <c r="AU41" s="94">
        <f t="shared" ca="1" si="89"/>
        <v>4.1539196294441659E-2</v>
      </c>
      <c r="AV41" s="94">
        <f t="shared" ca="1" si="89"/>
        <v>4.1651081998514902E-2</v>
      </c>
      <c r="AW41" s="94">
        <f t="shared" ca="1" si="89"/>
        <v>4.1054992934526614E-2</v>
      </c>
      <c r="AX41" s="94">
        <f t="shared" ca="1" si="89"/>
        <v>4.30132993384785E-2</v>
      </c>
    </row>
    <row r="42" spans="3:51" ht="5.2" customHeight="1" outlineLevel="1">
      <c r="C42" s="43"/>
      <c r="E42" s="29"/>
      <c r="F42" s="29"/>
      <c r="G42" s="29"/>
      <c r="H42" s="29"/>
      <c r="I42" s="29"/>
      <c r="J42" s="29"/>
      <c r="K42" s="29"/>
      <c r="L42" s="29"/>
      <c r="M42" s="29"/>
      <c r="N42" s="29"/>
      <c r="O42" s="29"/>
      <c r="P42" s="29"/>
      <c r="Q42" s="29"/>
      <c r="R42" s="29"/>
      <c r="S42" s="212"/>
      <c r="T42" s="212"/>
      <c r="U42" s="212"/>
      <c r="V42" s="212"/>
      <c r="W42" s="212"/>
      <c r="X42" s="212"/>
      <c r="Y42" s="212"/>
      <c r="Z42" s="212"/>
      <c r="AA42" s="212"/>
      <c r="AB42" s="212"/>
      <c r="AC42" s="212"/>
      <c r="AD42" s="212"/>
      <c r="AE42" s="212"/>
      <c r="AF42" s="212"/>
      <c r="AG42" s="212"/>
      <c r="AH42" s="212"/>
      <c r="AI42" s="212"/>
      <c r="AJ42" s="212"/>
      <c r="AK42" s="79"/>
      <c r="AL42" s="29"/>
      <c r="AM42" s="29"/>
      <c r="AN42" s="33"/>
      <c r="AO42" s="33"/>
      <c r="AP42" s="33"/>
      <c r="AQ42" s="33"/>
      <c r="AR42" s="33"/>
      <c r="AS42" s="212"/>
      <c r="AT42" s="212"/>
      <c r="AU42" s="212"/>
      <c r="AV42" s="212"/>
      <c r="AW42" s="212"/>
      <c r="AX42" s="212"/>
    </row>
    <row r="43" spans="3:51" ht="11.25" customHeight="1">
      <c r="C43" s="45" t="s">
        <v>337</v>
      </c>
      <c r="E43" s="32">
        <f t="shared" ref="E43:R43" si="90">E34-SUM(E38:E40)</f>
        <v>323</v>
      </c>
      <c r="F43" s="32">
        <f t="shared" si="90"/>
        <v>324</v>
      </c>
      <c r="G43" s="32">
        <f t="shared" si="90"/>
        <v>289</v>
      </c>
      <c r="H43" s="32">
        <f t="shared" si="90"/>
        <v>113</v>
      </c>
      <c r="I43" s="32">
        <f t="shared" si="90"/>
        <v>341</v>
      </c>
      <c r="J43" s="32">
        <f t="shared" si="90"/>
        <v>359</v>
      </c>
      <c r="K43" s="32">
        <f t="shared" si="90"/>
        <v>403</v>
      </c>
      <c r="L43" s="32">
        <f t="shared" si="90"/>
        <v>186</v>
      </c>
      <c r="M43" s="32">
        <f t="shared" si="90"/>
        <v>350</v>
      </c>
      <c r="N43" s="32">
        <f t="shared" si="90"/>
        <v>430</v>
      </c>
      <c r="O43" s="32">
        <f t="shared" si="90"/>
        <v>459</v>
      </c>
      <c r="P43" s="32">
        <f t="shared" si="90"/>
        <v>71</v>
      </c>
      <c r="Q43" s="32">
        <f t="shared" si="90"/>
        <v>264</v>
      </c>
      <c r="R43" s="32">
        <f t="shared" si="90"/>
        <v>316</v>
      </c>
      <c r="S43" s="32">
        <f>S34-SUM(S38:S40)</f>
        <v>313</v>
      </c>
      <c r="T43" s="32">
        <f>T34-SUM(T38:T40)</f>
        <v>9</v>
      </c>
      <c r="U43" s="32">
        <f t="shared" ref="U43:AC43" si="91">U34-SUM(U38:U40)</f>
        <v>316</v>
      </c>
      <c r="V43" s="32">
        <f t="shared" si="91"/>
        <v>-1</v>
      </c>
      <c r="W43" s="32">
        <f t="shared" si="91"/>
        <v>190</v>
      </c>
      <c r="X43" s="32">
        <f t="shared" si="91"/>
        <v>25</v>
      </c>
      <c r="Y43" s="32">
        <f t="shared" si="91"/>
        <v>339</v>
      </c>
      <c r="Z43" s="32">
        <f t="shared" si="91"/>
        <v>-107</v>
      </c>
      <c r="AA43" s="32">
        <f t="shared" si="91"/>
        <v>321</v>
      </c>
      <c r="AB43" s="32">
        <f t="shared" si="91"/>
        <v>529</v>
      </c>
      <c r="AC43" s="32">
        <f t="shared" si="91"/>
        <v>287</v>
      </c>
      <c r="AD43" s="32">
        <f t="shared" ref="AD43:AF43" si="92">AD34-SUM(AD38:AD40)</f>
        <v>381</v>
      </c>
      <c r="AE43" s="32">
        <f t="shared" si="92"/>
        <v>281</v>
      </c>
      <c r="AF43" s="32">
        <f t="shared" si="92"/>
        <v>28</v>
      </c>
      <c r="AG43" s="32">
        <f t="shared" ref="AG43" si="93">AG34-SUM(AG38:AG40)</f>
        <v>194</v>
      </c>
      <c r="AH43" s="32">
        <f ca="1">AH34-SUM(AH38:AH40)</f>
        <v>330.14818749999995</v>
      </c>
      <c r="AI43" s="32">
        <f ca="1">AI34-SUM(AI38:AI40)</f>
        <v>357.11308750000006</v>
      </c>
      <c r="AJ43" s="32">
        <f ca="1">AJ34-SUM(AJ38:AJ40)</f>
        <v>289.94688750000006</v>
      </c>
      <c r="AK43" s="79"/>
      <c r="AL43" s="32">
        <f t="shared" ref="AL43:AT43" si="94">AL34-SUM(AL38:AL40)</f>
        <v>990</v>
      </c>
      <c r="AM43" s="32">
        <f t="shared" si="94"/>
        <v>1129</v>
      </c>
      <c r="AN43" s="32">
        <f t="shared" si="94"/>
        <v>1049</v>
      </c>
      <c r="AO43" s="32">
        <f t="shared" si="94"/>
        <v>1289</v>
      </c>
      <c r="AP43" s="32">
        <f t="shared" si="94"/>
        <v>1310</v>
      </c>
      <c r="AQ43" s="32">
        <f t="shared" si="94"/>
        <v>902</v>
      </c>
      <c r="AR43" s="32">
        <f t="shared" si="94"/>
        <v>530</v>
      </c>
      <c r="AS43" s="32">
        <f t="shared" si="94"/>
        <v>1082</v>
      </c>
      <c r="AT43" s="32">
        <f t="shared" si="94"/>
        <v>977</v>
      </c>
      <c r="AU43" s="32">
        <f ca="1">AU34-SUM(AU38:AU40)</f>
        <v>1171.2081625000001</v>
      </c>
      <c r="AV43" s="32">
        <f ca="1">AV34-SUM(AV38:AV40)</f>
        <v>1320.4219839999998</v>
      </c>
      <c r="AW43" s="32">
        <f ca="1">AW34-SUM(AW38:AW40)</f>
        <v>1423.875273565</v>
      </c>
      <c r="AX43" s="32">
        <f ca="1">AX34-SUM(AX38:AX40)</f>
        <v>1535.1633351145749</v>
      </c>
    </row>
    <row r="44" spans="3:51" ht="11.25" customHeight="1" outlineLevel="1">
      <c r="C44" s="93" t="s">
        <v>358</v>
      </c>
      <c r="E44" s="46"/>
      <c r="F44" s="46"/>
      <c r="G44" s="46"/>
      <c r="H44" s="46"/>
      <c r="I44" s="94">
        <f t="shared" ref="I44:T44" si="95">IFERROR(I43/E43-1,"NA  ")</f>
        <v>5.5727554179566541E-2</v>
      </c>
      <c r="J44" s="94">
        <f t="shared" si="95"/>
        <v>0.10802469135802473</v>
      </c>
      <c r="K44" s="94">
        <f t="shared" si="95"/>
        <v>0.39446366782006925</v>
      </c>
      <c r="L44" s="94">
        <f t="shared" si="95"/>
        <v>0.64601769911504414</v>
      </c>
      <c r="M44" s="94">
        <f t="shared" si="95"/>
        <v>2.6392961876832821E-2</v>
      </c>
      <c r="N44" s="94">
        <f t="shared" si="95"/>
        <v>0.19777158774373249</v>
      </c>
      <c r="O44" s="94">
        <f t="shared" si="95"/>
        <v>0.13895781637717119</v>
      </c>
      <c r="P44" s="94">
        <f t="shared" si="95"/>
        <v>-0.61827956989247312</v>
      </c>
      <c r="Q44" s="94">
        <f t="shared" si="95"/>
        <v>-0.24571428571428566</v>
      </c>
      <c r="R44" s="94">
        <f t="shared" si="95"/>
        <v>-0.26511627906976742</v>
      </c>
      <c r="S44" s="94">
        <f t="shared" si="95"/>
        <v>-0.31808278867102402</v>
      </c>
      <c r="T44" s="94">
        <f t="shared" si="95"/>
        <v>-0.87323943661971826</v>
      </c>
      <c r="U44" s="94">
        <f t="shared" ref="U44:AC44" si="96">IFERROR(U43/Q43-1,"NA  ")</f>
        <v>0.19696969696969702</v>
      </c>
      <c r="V44" s="94">
        <f t="shared" si="96"/>
        <v>-1.0031645569620253</v>
      </c>
      <c r="W44" s="94">
        <f t="shared" si="96"/>
        <v>-0.39297124600638977</v>
      </c>
      <c r="X44" s="94">
        <f t="shared" si="96"/>
        <v>1.7777777777777777</v>
      </c>
      <c r="Y44" s="94">
        <f t="shared" si="96"/>
        <v>7.2784810126582222E-2</v>
      </c>
      <c r="Z44" s="94">
        <f t="shared" si="96"/>
        <v>106</v>
      </c>
      <c r="AA44" s="94">
        <f t="shared" si="96"/>
        <v>0.68947368421052624</v>
      </c>
      <c r="AB44" s="94">
        <f t="shared" si="96"/>
        <v>20.16</v>
      </c>
      <c r="AC44" s="94">
        <f t="shared" si="96"/>
        <v>-0.15339233038348088</v>
      </c>
      <c r="AD44" s="94">
        <f t="shared" ref="AD44:AG44" si="97">IFERROR(AD43/Z43-1,"NA  ")</f>
        <v>-4.5607476635514015</v>
      </c>
      <c r="AE44" s="94">
        <f t="shared" si="97"/>
        <v>-0.12461059190031154</v>
      </c>
      <c r="AF44" s="94">
        <f t="shared" si="97"/>
        <v>-0.947069943289225</v>
      </c>
      <c r="AG44" s="94">
        <f t="shared" si="97"/>
        <v>-0.3240418118466899</v>
      </c>
      <c r="AH44" s="94">
        <f ca="1">IFERROR(AH43/AD43-1,"NA  ")</f>
        <v>-0.13346932414698176</v>
      </c>
      <c r="AI44" s="94">
        <f ca="1">IFERROR(AI43/AE43-1,"NA  ")</f>
        <v>0.27086508007117449</v>
      </c>
      <c r="AJ44" s="94">
        <f ca="1">IFERROR(AJ43/AF43-1,"NA  ")</f>
        <v>9.3552459821428595</v>
      </c>
      <c r="AK44" s="79"/>
      <c r="AL44" s="96"/>
      <c r="AM44" s="95">
        <f t="shared" ref="AM44:AT44" si="98">IFERROR(AM43/AL43-1,"NA  ")</f>
        <v>0.14040404040404031</v>
      </c>
      <c r="AN44" s="95">
        <f t="shared" si="98"/>
        <v>-7.0859167404783041E-2</v>
      </c>
      <c r="AO44" s="95">
        <f t="shared" si="98"/>
        <v>0.22878932316491896</v>
      </c>
      <c r="AP44" s="95">
        <f t="shared" si="98"/>
        <v>1.6291698991466319E-2</v>
      </c>
      <c r="AQ44" s="95">
        <f t="shared" si="98"/>
        <v>-0.31145038167938932</v>
      </c>
      <c r="AR44" s="95">
        <f t="shared" si="98"/>
        <v>-0.41241685144124174</v>
      </c>
      <c r="AS44" s="95">
        <f t="shared" si="98"/>
        <v>1.0415094339622644</v>
      </c>
      <c r="AT44" s="95">
        <f t="shared" si="98"/>
        <v>-9.7042513863216273E-2</v>
      </c>
      <c r="AU44" s="95">
        <f ca="1">IFERROR(AU43/AT43-1,"NA  ")</f>
        <v>0.19878010491299913</v>
      </c>
      <c r="AV44" s="95">
        <f ca="1">IFERROR(AV43/AU43-1,"NA  ")</f>
        <v>0.12740162362042939</v>
      </c>
      <c r="AW44" s="95">
        <f ca="1">IFERROR(AW43/AV43-1,"NA  ")</f>
        <v>7.8348657337259375E-2</v>
      </c>
      <c r="AX44" s="95">
        <f ca="1">IFERROR(AX43/AW43-1,"NA  ")</f>
        <v>7.8158574431129502E-2</v>
      </c>
    </row>
    <row r="45" spans="3:51" ht="5.2" customHeight="1" outlineLevel="1">
      <c r="C45" s="43"/>
      <c r="AK45" s="79"/>
    </row>
    <row r="46" spans="3:51" ht="11.25" customHeight="1">
      <c r="C46" s="43" t="s">
        <v>28</v>
      </c>
      <c r="E46" s="29">
        <v>72</v>
      </c>
      <c r="F46" s="29">
        <v>67</v>
      </c>
      <c r="G46" s="29">
        <v>56</v>
      </c>
      <c r="H46" s="29">
        <v>-5</v>
      </c>
      <c r="I46" s="29">
        <v>62</v>
      </c>
      <c r="J46" s="29">
        <v>65</v>
      </c>
      <c r="K46" s="29">
        <v>79</v>
      </c>
      <c r="L46" s="29">
        <v>-305</v>
      </c>
      <c r="M46" s="29">
        <v>60</v>
      </c>
      <c r="N46" s="29">
        <v>84</v>
      </c>
      <c r="O46" s="29">
        <v>46</v>
      </c>
      <c r="P46" s="29">
        <v>36</v>
      </c>
      <c r="Q46" s="29">
        <v>55</v>
      </c>
      <c r="R46" s="29">
        <v>57</v>
      </c>
      <c r="S46" s="29">
        <v>46</v>
      </c>
      <c r="T46" s="29">
        <v>-18</v>
      </c>
      <c r="U46" s="29">
        <v>56</v>
      </c>
      <c r="V46" s="29">
        <v>-31</v>
      </c>
      <c r="W46" s="29">
        <v>25</v>
      </c>
      <c r="X46" s="29">
        <v>-9</v>
      </c>
      <c r="Y46" s="29">
        <v>62</v>
      </c>
      <c r="Z46" s="29">
        <v>37</v>
      </c>
      <c r="AA46" s="29">
        <v>-33</v>
      </c>
      <c r="AB46" s="29">
        <v>149</v>
      </c>
      <c r="AC46" s="29">
        <v>51</v>
      </c>
      <c r="AD46" s="29">
        <v>124</v>
      </c>
      <c r="AE46" s="29">
        <v>-20</v>
      </c>
      <c r="AF46" s="29">
        <v>26</v>
      </c>
      <c r="AG46" s="29">
        <v>60</v>
      </c>
      <c r="AH46" s="33">
        <f ca="1">AH47*AH43</f>
        <v>52.823709999999991</v>
      </c>
      <c r="AI46" s="33">
        <f ca="1">AI47*AI43</f>
        <v>57.138094000000009</v>
      </c>
      <c r="AJ46" s="33">
        <f ca="1">AJ47*AJ43</f>
        <v>46.39150200000001</v>
      </c>
      <c r="AK46" s="79"/>
      <c r="AL46" s="29">
        <v>235</v>
      </c>
      <c r="AM46" s="29">
        <v>275</v>
      </c>
      <c r="AN46" s="33">
        <f t="shared" ref="AN46:AT46" si="99">SUMIF($E$6:$AK$6,AN$6,$E46:$AK46)</f>
        <v>190</v>
      </c>
      <c r="AO46" s="33">
        <f t="shared" si="99"/>
        <v>-99</v>
      </c>
      <c r="AP46" s="33">
        <f t="shared" si="99"/>
        <v>226</v>
      </c>
      <c r="AQ46" s="33">
        <f t="shared" si="99"/>
        <v>140</v>
      </c>
      <c r="AR46" s="33">
        <f t="shared" si="99"/>
        <v>41</v>
      </c>
      <c r="AS46" s="33">
        <f t="shared" si="99"/>
        <v>215</v>
      </c>
      <c r="AT46" s="33">
        <f t="shared" si="99"/>
        <v>181</v>
      </c>
      <c r="AU46" s="33">
        <f ca="1">SUMIF($E$6:$AK$6,AU$6,$E46:$AK46)</f>
        <v>216.353306</v>
      </c>
      <c r="AV46" s="33">
        <f ca="1">AV47*AV43</f>
        <v>224.47173727999999</v>
      </c>
      <c r="AW46" s="33">
        <f ca="1">AW47*AW43</f>
        <v>242.05879650605002</v>
      </c>
      <c r="AX46" s="33">
        <f ca="1">AX47*AX43</f>
        <v>260.97776696947773</v>
      </c>
    </row>
    <row r="47" spans="3:51" ht="11.25" customHeight="1" outlineLevel="1">
      <c r="C47" s="107" t="s">
        <v>347</v>
      </c>
      <c r="E47" s="88">
        <f t="shared" ref="E47:R47" si="100">E46/E43</f>
        <v>0.22291021671826625</v>
      </c>
      <c r="F47" s="88">
        <f t="shared" si="100"/>
        <v>0.20679012345679013</v>
      </c>
      <c r="G47" s="88">
        <f t="shared" si="100"/>
        <v>0.19377162629757785</v>
      </c>
      <c r="H47" s="88">
        <f t="shared" si="100"/>
        <v>-4.4247787610619468E-2</v>
      </c>
      <c r="I47" s="88">
        <f t="shared" si="100"/>
        <v>0.18181818181818182</v>
      </c>
      <c r="J47" s="88">
        <f t="shared" si="100"/>
        <v>0.18105849582172701</v>
      </c>
      <c r="K47" s="88">
        <f t="shared" si="100"/>
        <v>0.19602977667493796</v>
      </c>
      <c r="L47" s="88">
        <f t="shared" si="100"/>
        <v>-1.6397849462365592</v>
      </c>
      <c r="M47" s="88">
        <f t="shared" si="100"/>
        <v>0.17142857142857143</v>
      </c>
      <c r="N47" s="88">
        <f t="shared" si="100"/>
        <v>0.19534883720930232</v>
      </c>
      <c r="O47" s="88">
        <f t="shared" si="100"/>
        <v>0.10021786492374728</v>
      </c>
      <c r="P47" s="88">
        <f t="shared" si="100"/>
        <v>0.50704225352112675</v>
      </c>
      <c r="Q47" s="88">
        <f t="shared" si="100"/>
        <v>0.20833333333333334</v>
      </c>
      <c r="R47" s="88">
        <f t="shared" si="100"/>
        <v>0.18037974683544303</v>
      </c>
      <c r="S47" s="88">
        <f>S46/S43</f>
        <v>0.14696485623003194</v>
      </c>
      <c r="T47" s="88">
        <f>T46/T43</f>
        <v>-2</v>
      </c>
      <c r="U47" s="88">
        <f t="shared" ref="U47:AC47" si="101">U46/U43</f>
        <v>0.17721518987341772</v>
      </c>
      <c r="V47" s="88">
        <f t="shared" si="101"/>
        <v>31</v>
      </c>
      <c r="W47" s="88">
        <f t="shared" si="101"/>
        <v>0.13157894736842105</v>
      </c>
      <c r="X47" s="88">
        <f t="shared" si="101"/>
        <v>-0.36</v>
      </c>
      <c r="Y47" s="88">
        <f t="shared" si="101"/>
        <v>0.18289085545722714</v>
      </c>
      <c r="Z47" s="88">
        <f t="shared" si="101"/>
        <v>-0.34579439252336447</v>
      </c>
      <c r="AA47" s="88">
        <f t="shared" si="101"/>
        <v>-0.10280373831775701</v>
      </c>
      <c r="AB47" s="88">
        <f t="shared" si="101"/>
        <v>0.28166351606805295</v>
      </c>
      <c r="AC47" s="88">
        <f t="shared" si="101"/>
        <v>0.17770034843205576</v>
      </c>
      <c r="AD47" s="88">
        <f>AD46/AD43</f>
        <v>0.32545931758530183</v>
      </c>
      <c r="AE47" s="88">
        <f>AE46/AE43</f>
        <v>-7.1174377224199295E-2</v>
      </c>
      <c r="AF47" s="88">
        <f>AF46/AF43</f>
        <v>0.9285714285714286</v>
      </c>
      <c r="AG47" s="88">
        <f>AG46/AG43</f>
        <v>0.30927835051546393</v>
      </c>
      <c r="AH47" s="147">
        <f>+Assumptions!AH123</f>
        <v>0.16</v>
      </c>
      <c r="AI47" s="147">
        <f>+Assumptions!AI123</f>
        <v>0.16</v>
      </c>
      <c r="AJ47" s="147">
        <f>+Assumptions!AJ123</f>
        <v>0.16</v>
      </c>
      <c r="AK47" s="79"/>
      <c r="AL47" s="88">
        <f t="shared" ref="AL47:AT47" si="102">AL46/AL43</f>
        <v>0.23737373737373738</v>
      </c>
      <c r="AM47" s="88">
        <f t="shared" si="102"/>
        <v>0.24357838795394154</v>
      </c>
      <c r="AN47" s="88">
        <f t="shared" si="102"/>
        <v>0.18112488083889419</v>
      </c>
      <c r="AO47" s="88">
        <f t="shared" si="102"/>
        <v>-7.6803723816912334E-2</v>
      </c>
      <c r="AP47" s="88">
        <f t="shared" si="102"/>
        <v>0.17251908396946564</v>
      </c>
      <c r="AQ47" s="88">
        <f t="shared" si="102"/>
        <v>0.15521064301552107</v>
      </c>
      <c r="AR47" s="88">
        <f t="shared" si="102"/>
        <v>7.7358490566037733E-2</v>
      </c>
      <c r="AS47" s="88">
        <f t="shared" si="102"/>
        <v>0.19870609981515711</v>
      </c>
      <c r="AT47" s="88">
        <f t="shared" si="102"/>
        <v>0.18526100307062435</v>
      </c>
      <c r="AU47" s="88">
        <f ca="1">AU46/AU43</f>
        <v>0.18472660362798657</v>
      </c>
      <c r="AV47" s="147">
        <f>+Assumptions!AV123</f>
        <v>0.17</v>
      </c>
      <c r="AW47" s="147">
        <f>+Assumptions!AW123</f>
        <v>0.17</v>
      </c>
      <c r="AX47" s="147">
        <f>+Assumptions!AX123</f>
        <v>0.17</v>
      </c>
    </row>
    <row r="48" spans="3:51" ht="5.2" customHeight="1" outlineLevel="1">
      <c r="C48" s="107"/>
      <c r="E48" s="88"/>
      <c r="F48" s="88"/>
      <c r="G48" s="88"/>
      <c r="H48" s="88"/>
      <c r="I48" s="88"/>
      <c r="J48" s="88"/>
      <c r="K48" s="88"/>
      <c r="L48" s="88"/>
      <c r="M48" s="88"/>
      <c r="N48" s="88"/>
      <c r="O48" s="88"/>
      <c r="P48" s="88"/>
      <c r="Q48" s="88"/>
      <c r="R48" s="88"/>
      <c r="S48" s="88"/>
      <c r="T48" s="438"/>
      <c r="U48" s="438"/>
      <c r="V48" s="438"/>
      <c r="W48" s="438"/>
      <c r="X48" s="438"/>
      <c r="Y48" s="438"/>
      <c r="Z48" s="438"/>
      <c r="AA48" s="438"/>
      <c r="AB48" s="438"/>
      <c r="AC48" s="438"/>
      <c r="AD48" s="438"/>
      <c r="AE48" s="438"/>
      <c r="AF48" s="438"/>
      <c r="AG48" s="438"/>
      <c r="AH48" s="438"/>
      <c r="AI48" s="438"/>
      <c r="AJ48" s="438"/>
      <c r="AK48" s="79"/>
      <c r="AL48" s="88"/>
      <c r="AM48" s="88"/>
      <c r="AN48" s="88"/>
      <c r="AO48" s="88"/>
      <c r="AP48" s="88"/>
      <c r="AQ48" s="88"/>
      <c r="AR48" s="88"/>
      <c r="AS48" s="438"/>
      <c r="AT48" s="438"/>
      <c r="AU48" s="438"/>
      <c r="AV48" s="438"/>
      <c r="AW48" s="438"/>
      <c r="AX48" s="438"/>
    </row>
    <row r="49" spans="3:51" ht="11.25" customHeight="1">
      <c r="C49" s="43" t="s">
        <v>36</v>
      </c>
      <c r="E49" s="29">
        <v>0</v>
      </c>
      <c r="F49" s="29">
        <v>0</v>
      </c>
      <c r="G49" s="29">
        <v>0</v>
      </c>
      <c r="H49" s="29">
        <v>0</v>
      </c>
      <c r="I49" s="29">
        <v>0</v>
      </c>
      <c r="J49" s="29">
        <v>0</v>
      </c>
      <c r="K49" s="29">
        <v>0</v>
      </c>
      <c r="L49" s="29">
        <v>0</v>
      </c>
      <c r="M49" s="29">
        <v>0</v>
      </c>
      <c r="N49" s="29">
        <v>0</v>
      </c>
      <c r="O49" s="29">
        <v>0</v>
      </c>
      <c r="P49" s="29">
        <v>0</v>
      </c>
      <c r="Q49" s="29">
        <v>0</v>
      </c>
      <c r="R49" s="29">
        <v>0</v>
      </c>
      <c r="S49" s="29">
        <v>0</v>
      </c>
      <c r="T49" s="29">
        <v>0</v>
      </c>
      <c r="U49" s="29">
        <v>0</v>
      </c>
      <c r="V49" s="29">
        <v>0</v>
      </c>
      <c r="W49" s="29">
        <v>0</v>
      </c>
      <c r="X49" s="29">
        <v>0</v>
      </c>
      <c r="Y49" s="29">
        <v>0</v>
      </c>
      <c r="Z49" s="29">
        <v>0</v>
      </c>
      <c r="AA49" s="29">
        <v>0</v>
      </c>
      <c r="AB49" s="29">
        <v>0</v>
      </c>
      <c r="AC49" s="29">
        <v>0</v>
      </c>
      <c r="AD49" s="133">
        <v>0</v>
      </c>
      <c r="AE49" s="133">
        <v>0</v>
      </c>
      <c r="AF49" s="29">
        <v>0</v>
      </c>
      <c r="AG49" s="29">
        <v>0</v>
      </c>
      <c r="AH49" s="133">
        <f t="shared" ref="AH49:AJ49" si="103">AG49</f>
        <v>0</v>
      </c>
      <c r="AI49" s="133">
        <f t="shared" si="103"/>
        <v>0</v>
      </c>
      <c r="AJ49" s="133">
        <f t="shared" si="103"/>
        <v>0</v>
      </c>
      <c r="AK49" s="79"/>
      <c r="AL49" s="29">
        <v>2</v>
      </c>
      <c r="AM49" s="29">
        <v>0</v>
      </c>
      <c r="AN49" s="33">
        <f t="shared" ref="AN49:AU49" si="104">SUMIF($E$6:$AK$6,AN$6,$E49:$AK49)</f>
        <v>0</v>
      </c>
      <c r="AO49" s="33">
        <f t="shared" si="104"/>
        <v>0</v>
      </c>
      <c r="AP49" s="33">
        <f t="shared" si="104"/>
        <v>0</v>
      </c>
      <c r="AQ49" s="33">
        <f t="shared" si="104"/>
        <v>0</v>
      </c>
      <c r="AR49" s="33">
        <f t="shared" si="104"/>
        <v>0</v>
      </c>
      <c r="AS49" s="33">
        <f t="shared" si="104"/>
        <v>0</v>
      </c>
      <c r="AT49" s="33">
        <f t="shared" si="104"/>
        <v>0</v>
      </c>
      <c r="AU49" s="33">
        <f t="shared" si="104"/>
        <v>0</v>
      </c>
      <c r="AV49" s="133">
        <f>AU49</f>
        <v>0</v>
      </c>
      <c r="AW49" s="133">
        <f>AV49</f>
        <v>0</v>
      </c>
      <c r="AX49" s="133">
        <f>AW49</f>
        <v>0</v>
      </c>
    </row>
    <row r="50" spans="3:51" s="27" customFormat="1" ht="11.25" customHeight="1">
      <c r="C50" s="45" t="s">
        <v>29</v>
      </c>
      <c r="E50" s="35">
        <f t="shared" ref="E50:R50" si="105">E43-E46+E49</f>
        <v>251</v>
      </c>
      <c r="F50" s="35">
        <f t="shared" si="105"/>
        <v>257</v>
      </c>
      <c r="G50" s="35">
        <f t="shared" si="105"/>
        <v>233</v>
      </c>
      <c r="H50" s="35">
        <f t="shared" si="105"/>
        <v>118</v>
      </c>
      <c r="I50" s="35">
        <f t="shared" si="105"/>
        <v>279</v>
      </c>
      <c r="J50" s="35">
        <f t="shared" si="105"/>
        <v>294</v>
      </c>
      <c r="K50" s="35">
        <f t="shared" si="105"/>
        <v>324</v>
      </c>
      <c r="L50" s="35">
        <f t="shared" si="105"/>
        <v>491</v>
      </c>
      <c r="M50" s="35">
        <f t="shared" si="105"/>
        <v>290</v>
      </c>
      <c r="N50" s="35">
        <f t="shared" si="105"/>
        <v>346</v>
      </c>
      <c r="O50" s="35">
        <f t="shared" si="105"/>
        <v>413</v>
      </c>
      <c r="P50" s="35">
        <f t="shared" si="105"/>
        <v>35</v>
      </c>
      <c r="Q50" s="35">
        <f t="shared" si="105"/>
        <v>209</v>
      </c>
      <c r="R50" s="35">
        <f t="shared" si="105"/>
        <v>259</v>
      </c>
      <c r="S50" s="35">
        <f>S43-S46+S49</f>
        <v>267</v>
      </c>
      <c r="T50" s="35">
        <f t="shared" ref="T50:AC50" si="106">T43-T46+T49</f>
        <v>27</v>
      </c>
      <c r="U50" s="35">
        <f t="shared" si="106"/>
        <v>260</v>
      </c>
      <c r="V50" s="35">
        <f t="shared" si="106"/>
        <v>30</v>
      </c>
      <c r="W50" s="35">
        <f t="shared" si="106"/>
        <v>165</v>
      </c>
      <c r="X50" s="35">
        <f t="shared" si="106"/>
        <v>34</v>
      </c>
      <c r="Y50" s="35">
        <f t="shared" si="106"/>
        <v>277</v>
      </c>
      <c r="Z50" s="35">
        <f t="shared" si="106"/>
        <v>-144</v>
      </c>
      <c r="AA50" s="35">
        <f t="shared" si="106"/>
        <v>354</v>
      </c>
      <c r="AB50" s="35">
        <f t="shared" si="106"/>
        <v>380</v>
      </c>
      <c r="AC50" s="35">
        <f t="shared" si="106"/>
        <v>236</v>
      </c>
      <c r="AD50" s="35">
        <f t="shared" ref="AD50:AF50" si="107">AD43-AD46+AD49</f>
        <v>257</v>
      </c>
      <c r="AE50" s="35">
        <f t="shared" si="107"/>
        <v>301</v>
      </c>
      <c r="AF50" s="35">
        <f t="shared" si="107"/>
        <v>2</v>
      </c>
      <c r="AG50" s="35">
        <f t="shared" ref="AG50" si="108">AG43-AG46+AG49</f>
        <v>134</v>
      </c>
      <c r="AH50" s="35">
        <f ca="1">AH43-AH46+AH49</f>
        <v>277.32447749999994</v>
      </c>
      <c r="AI50" s="35">
        <f ca="1">AI43-AI46+AI49</f>
        <v>299.97499350000004</v>
      </c>
      <c r="AJ50" s="35">
        <f ca="1">AJ43-AJ46+AJ49</f>
        <v>243.55538550000006</v>
      </c>
      <c r="AK50" s="79"/>
      <c r="AL50" s="35">
        <f t="shared" ref="AL50:AT50" si="109">AL43-AL46+AL49</f>
        <v>757</v>
      </c>
      <c r="AM50" s="35">
        <f t="shared" si="109"/>
        <v>854</v>
      </c>
      <c r="AN50" s="35">
        <f t="shared" si="109"/>
        <v>859</v>
      </c>
      <c r="AO50" s="35">
        <f t="shared" si="109"/>
        <v>1388</v>
      </c>
      <c r="AP50" s="35">
        <f t="shared" si="109"/>
        <v>1084</v>
      </c>
      <c r="AQ50" s="35">
        <f t="shared" si="109"/>
        <v>762</v>
      </c>
      <c r="AR50" s="35">
        <f t="shared" si="109"/>
        <v>489</v>
      </c>
      <c r="AS50" s="35">
        <f t="shared" si="109"/>
        <v>867</v>
      </c>
      <c r="AT50" s="35">
        <f t="shared" si="109"/>
        <v>796</v>
      </c>
      <c r="AU50" s="35">
        <f ca="1">AU43-AU46+AU49</f>
        <v>954.8548565000001</v>
      </c>
      <c r="AV50" s="35">
        <f ca="1">AV43-AV46+AV49</f>
        <v>1095.9502467199998</v>
      </c>
      <c r="AW50" s="35">
        <f ca="1">AW43-AW46+AW49</f>
        <v>1181.8164770589501</v>
      </c>
      <c r="AX50" s="35">
        <f ca="1">AX43-AX46+AX49</f>
        <v>1274.1855681450972</v>
      </c>
      <c r="AY50" s="1"/>
    </row>
    <row r="51" spans="3:51" ht="11.25" customHeight="1" outlineLevel="1">
      <c r="C51" s="107" t="s">
        <v>358</v>
      </c>
      <c r="E51" s="46"/>
      <c r="F51" s="46"/>
      <c r="G51" s="46"/>
      <c r="H51" s="46"/>
      <c r="I51" s="94">
        <f t="shared" ref="I51:AC51" si="110">IFERROR(I50/E50-1,"NA  ")</f>
        <v>0.11155378486055767</v>
      </c>
      <c r="J51" s="94">
        <f t="shared" si="110"/>
        <v>0.14396887159533067</v>
      </c>
      <c r="K51" s="94">
        <f t="shared" si="110"/>
        <v>0.39055793991416299</v>
      </c>
      <c r="L51" s="94">
        <f t="shared" si="110"/>
        <v>3.1610169491525424</v>
      </c>
      <c r="M51" s="94">
        <f t="shared" si="110"/>
        <v>3.9426523297491078E-2</v>
      </c>
      <c r="N51" s="94">
        <f t="shared" si="110"/>
        <v>0.1768707482993197</v>
      </c>
      <c r="O51" s="94">
        <f t="shared" si="110"/>
        <v>0.27469135802469147</v>
      </c>
      <c r="P51" s="94">
        <f t="shared" si="110"/>
        <v>-0.92871690427698572</v>
      </c>
      <c r="Q51" s="94">
        <f t="shared" si="110"/>
        <v>-0.27931034482758621</v>
      </c>
      <c r="R51" s="94">
        <f t="shared" si="110"/>
        <v>-0.25144508670520227</v>
      </c>
      <c r="S51" s="94">
        <f t="shared" si="110"/>
        <v>-0.35351089588377727</v>
      </c>
      <c r="T51" s="94">
        <f t="shared" si="110"/>
        <v>-0.22857142857142854</v>
      </c>
      <c r="U51" s="94">
        <f t="shared" si="110"/>
        <v>0.24401913875598091</v>
      </c>
      <c r="V51" s="94">
        <f t="shared" si="110"/>
        <v>-0.88416988416988418</v>
      </c>
      <c r="W51" s="94">
        <f t="shared" si="110"/>
        <v>-0.3820224719101124</v>
      </c>
      <c r="X51" s="94">
        <f t="shared" si="110"/>
        <v>0.2592592592592593</v>
      </c>
      <c r="Y51" s="94">
        <f t="shared" si="110"/>
        <v>6.5384615384615374E-2</v>
      </c>
      <c r="Z51" s="94">
        <f t="shared" si="110"/>
        <v>-5.8</v>
      </c>
      <c r="AA51" s="94">
        <f t="shared" si="110"/>
        <v>1.1454545454545455</v>
      </c>
      <c r="AB51" s="94">
        <f t="shared" si="110"/>
        <v>10.176470588235293</v>
      </c>
      <c r="AC51" s="94">
        <f t="shared" si="110"/>
        <v>-0.14801444043321299</v>
      </c>
      <c r="AD51" s="94">
        <f t="shared" ref="AD51:AG51" si="111">IFERROR(AD50/Z50-1,"NA  ")</f>
        <v>-2.7847222222222223</v>
      </c>
      <c r="AE51" s="94">
        <f t="shared" si="111"/>
        <v>-0.14971751412429379</v>
      </c>
      <c r="AF51" s="94">
        <f t="shared" si="111"/>
        <v>-0.99473684210526314</v>
      </c>
      <c r="AG51" s="94">
        <f t="shared" si="111"/>
        <v>-0.43220338983050843</v>
      </c>
      <c r="AH51" s="94">
        <f ca="1">IFERROR(AH50/AD50-1,"NA  ")</f>
        <v>7.9083570038910311E-2</v>
      </c>
      <c r="AI51" s="94">
        <f ca="1">IFERROR(AI50/AE50-1,"NA  ")</f>
        <v>-3.4053372093022505E-3</v>
      </c>
      <c r="AJ51" s="94">
        <f ca="1">IFERROR(AJ50/AF50-1,"NA  ")</f>
        <v>120.77769275000003</v>
      </c>
      <c r="AK51" s="79"/>
      <c r="AL51" s="96"/>
      <c r="AM51" s="95">
        <f t="shared" ref="AM51:AT51" si="112">IFERROR(AM50/AL50-1,"NA  ")</f>
        <v>0.12813738441215317</v>
      </c>
      <c r="AN51" s="95">
        <f t="shared" si="112"/>
        <v>5.8548009367680454E-3</v>
      </c>
      <c r="AO51" s="95">
        <f t="shared" si="112"/>
        <v>0.61583236321303847</v>
      </c>
      <c r="AP51" s="95">
        <f t="shared" si="112"/>
        <v>-0.21902017291066278</v>
      </c>
      <c r="AQ51" s="95">
        <f t="shared" si="112"/>
        <v>-0.29704797047970477</v>
      </c>
      <c r="AR51" s="95">
        <f t="shared" si="112"/>
        <v>-0.3582677165354331</v>
      </c>
      <c r="AS51" s="95">
        <f t="shared" si="112"/>
        <v>0.77300613496932513</v>
      </c>
      <c r="AT51" s="95">
        <f t="shared" si="112"/>
        <v>-8.1891580161476352E-2</v>
      </c>
      <c r="AU51" s="95">
        <f ca="1">IFERROR(AU50/AT50-1,"NA  ")</f>
        <v>0.19956640263819114</v>
      </c>
      <c r="AV51" s="95">
        <f ca="1">IFERROR(AV50/AU50-1,"NA  ")</f>
        <v>0.14776632203262996</v>
      </c>
      <c r="AW51" s="95">
        <f ca="1">IFERROR(AW50/AV50-1,"NA  ")</f>
        <v>7.8348657337259597E-2</v>
      </c>
      <c r="AX51" s="95">
        <f ca="1">IFERROR(AX50/AW50-1,"NA  ")</f>
        <v>7.8158574431129502E-2</v>
      </c>
    </row>
    <row r="52" spans="3:51" ht="11.25" customHeight="1" outlineLevel="1">
      <c r="C52" s="107" t="s">
        <v>360</v>
      </c>
      <c r="E52" s="94">
        <f t="shared" ref="E52:R52" si="113">IFERROR(E50/E11,"NA  ")</f>
        <v>0.11225402504472272</v>
      </c>
      <c r="F52" s="94">
        <f t="shared" si="113"/>
        <v>0.11188506747932085</v>
      </c>
      <c r="G52" s="94">
        <f t="shared" si="113"/>
        <v>0.10188019239177962</v>
      </c>
      <c r="H52" s="94">
        <f t="shared" si="113"/>
        <v>5.3930530164533821E-2</v>
      </c>
      <c r="I52" s="94">
        <f t="shared" si="113"/>
        <v>0.12114633087277464</v>
      </c>
      <c r="J52" s="94">
        <f t="shared" si="113"/>
        <v>0.121537825547747</v>
      </c>
      <c r="K52" s="94">
        <f t="shared" si="113"/>
        <v>0.13144016227180527</v>
      </c>
      <c r="L52" s="94">
        <f t="shared" si="113"/>
        <v>0.20787468247248095</v>
      </c>
      <c r="M52" s="94">
        <f t="shared" si="113"/>
        <v>0.11123897199846566</v>
      </c>
      <c r="N52" s="94">
        <f t="shared" si="113"/>
        <v>0.13201068294544066</v>
      </c>
      <c r="O52" s="94">
        <f t="shared" si="113"/>
        <v>0.16215155084413035</v>
      </c>
      <c r="P52" s="94">
        <f t="shared" si="113"/>
        <v>1.4730639730639731E-2</v>
      </c>
      <c r="Q52" s="94">
        <f t="shared" si="113"/>
        <v>8.7815126050420161E-2</v>
      </c>
      <c r="R52" s="94">
        <f t="shared" si="113"/>
        <v>0.10960643250105798</v>
      </c>
      <c r="S52" s="94">
        <f>IFERROR(S50/S11,"NA  ")</f>
        <v>0.11483870967741935</v>
      </c>
      <c r="T52" s="94">
        <f t="shared" ref="T52:AC52" si="114">IFERROR(T50/T11,"NA  ")</f>
        <v>1.2244897959183673E-2</v>
      </c>
      <c r="U52" s="94">
        <f t="shared" si="114"/>
        <v>0.11601963409192324</v>
      </c>
      <c r="V52" s="94">
        <f t="shared" si="114"/>
        <v>1.5592515592515593E-2</v>
      </c>
      <c r="W52" s="94">
        <f t="shared" si="114"/>
        <v>7.7756833176248819E-2</v>
      </c>
      <c r="X52" s="94">
        <f t="shared" si="114"/>
        <v>1.555352241537054E-2</v>
      </c>
      <c r="Y52" s="94">
        <f t="shared" si="114"/>
        <v>0.11498547114985472</v>
      </c>
      <c r="Z52" s="94">
        <f t="shared" si="114"/>
        <v>-5.427817565020731E-2</v>
      </c>
      <c r="AA52" s="94">
        <f t="shared" si="114"/>
        <v>0.13014705882352942</v>
      </c>
      <c r="AB52" s="94">
        <f t="shared" si="114"/>
        <v>0.14105419450631032</v>
      </c>
      <c r="AC52" s="94">
        <f t="shared" si="114"/>
        <v>8.6956521739130432E-2</v>
      </c>
      <c r="AD52" s="94">
        <f t="shared" ref="AD52:AF52" si="115">IFERROR(AD50/AD11,"NA  ")</f>
        <v>9.2313218390804599E-2</v>
      </c>
      <c r="AE52" s="94">
        <f t="shared" si="115"/>
        <v>0.1111111111111111</v>
      </c>
      <c r="AF52" s="94">
        <f t="shared" si="115"/>
        <v>8.4281500210703754E-4</v>
      </c>
      <c r="AG52" s="94">
        <f t="shared" ref="AG52" si="116">IFERROR(AG50/AG11,"NA  ")</f>
        <v>5.5555555555555552E-2</v>
      </c>
      <c r="AH52" s="94">
        <f ca="1">IFERROR(AH50/AH11,"NA  ")</f>
        <v>0.10251381670387838</v>
      </c>
      <c r="AI52" s="94">
        <f ca="1">IFERROR(AI50/AI11,"NA  ")</f>
        <v>0.11118338392599018</v>
      </c>
      <c r="AJ52" s="94">
        <f ca="1">IFERROR(AJ50/AJ11,"NA  ")</f>
        <v>0.10132182874472707</v>
      </c>
      <c r="AK52" s="79"/>
      <c r="AL52" s="94">
        <f t="shared" ref="AL52:AT52" si="117">IFERROR(AL50/AL11,"NA  ")</f>
        <v>7.9458381442216855E-2</v>
      </c>
      <c r="AM52" s="94">
        <f t="shared" si="117"/>
        <v>8.8515754560530679E-2</v>
      </c>
      <c r="AN52" s="94">
        <f t="shared" si="117"/>
        <v>9.5359680284191825E-2</v>
      </c>
      <c r="AO52" s="94">
        <f t="shared" si="117"/>
        <v>0.14535553461095402</v>
      </c>
      <c r="AP52" s="94">
        <f t="shared" si="117"/>
        <v>0.1067875086198404</v>
      </c>
      <c r="AQ52" s="94">
        <f t="shared" si="117"/>
        <v>8.2174053704302821E-2</v>
      </c>
      <c r="AR52" s="94">
        <f t="shared" si="117"/>
        <v>5.7712734568629763E-2</v>
      </c>
      <c r="AS52" s="94">
        <f t="shared" si="117"/>
        <v>8.2760595647193583E-2</v>
      </c>
      <c r="AT52" s="94">
        <f t="shared" si="117"/>
        <v>7.5236294896030245E-2</v>
      </c>
      <c r="AU52" s="94">
        <f ca="1">IFERROR(AU50/AU11,"NA  ")</f>
        <v>9.3438802128184284E-2</v>
      </c>
      <c r="AV52" s="94">
        <f ca="1">IFERROR(AV50/AV11,"NA  ")</f>
        <v>0.10347942579077024</v>
      </c>
      <c r="AW52" s="94">
        <f ca="1">IFERROR(AW50/AW11,"NA  ")</f>
        <v>0.10830132093684963</v>
      </c>
      <c r="AX52" s="94">
        <f ca="1">IFERROR(AX50/AX11,"NA  ")</f>
        <v>0.11387032162090574</v>
      </c>
    </row>
    <row r="53" spans="3:51" s="27" customFormat="1" ht="5.2" customHeight="1" outlineLevel="1">
      <c r="C53" s="45"/>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79"/>
      <c r="AL53" s="30"/>
      <c r="AM53" s="30"/>
      <c r="AN53" s="30"/>
      <c r="AO53" s="30"/>
      <c r="AP53" s="30"/>
      <c r="AQ53" s="30"/>
      <c r="AR53" s="30"/>
      <c r="AY53" s="1"/>
    </row>
    <row r="54" spans="3:51" ht="11.25" customHeight="1">
      <c r="C54" s="43" t="s">
        <v>30</v>
      </c>
      <c r="E54" s="29">
        <v>0</v>
      </c>
      <c r="F54" s="29">
        <v>2</v>
      </c>
      <c r="G54" s="29">
        <v>1</v>
      </c>
      <c r="H54" s="29">
        <v>2</v>
      </c>
      <c r="I54" s="29">
        <v>1</v>
      </c>
      <c r="J54" s="29">
        <v>2</v>
      </c>
      <c r="K54" s="29">
        <v>1</v>
      </c>
      <c r="L54" s="29">
        <v>0</v>
      </c>
      <c r="M54" s="29">
        <v>0</v>
      </c>
      <c r="N54" s="29">
        <v>2</v>
      </c>
      <c r="O54" s="29">
        <v>1</v>
      </c>
      <c r="P54" s="29">
        <v>1</v>
      </c>
      <c r="Q54" s="29">
        <v>0</v>
      </c>
      <c r="R54" s="29">
        <v>1</v>
      </c>
      <c r="S54" s="29">
        <v>1</v>
      </c>
      <c r="T54" s="29">
        <v>1</v>
      </c>
      <c r="U54" s="29">
        <v>2</v>
      </c>
      <c r="V54" s="29">
        <v>3</v>
      </c>
      <c r="W54" s="29">
        <v>4</v>
      </c>
      <c r="X54" s="29">
        <v>2</v>
      </c>
      <c r="Y54" s="29">
        <v>3</v>
      </c>
      <c r="Z54" s="29">
        <v>2</v>
      </c>
      <c r="AA54" s="29">
        <v>3</v>
      </c>
      <c r="AB54" s="29">
        <v>2</v>
      </c>
      <c r="AC54" s="29">
        <v>1</v>
      </c>
      <c r="AD54" s="29">
        <v>1</v>
      </c>
      <c r="AE54" s="29">
        <v>0</v>
      </c>
      <c r="AF54" s="29">
        <v>1</v>
      </c>
      <c r="AG54" s="29">
        <v>0</v>
      </c>
      <c r="AH54" s="29">
        <v>0</v>
      </c>
      <c r="AI54" s="29">
        <v>0</v>
      </c>
      <c r="AJ54" s="29">
        <v>0</v>
      </c>
      <c r="AK54" s="79"/>
      <c r="AL54" s="29">
        <v>6</v>
      </c>
      <c r="AM54" s="29">
        <v>6</v>
      </c>
      <c r="AN54" s="33">
        <f t="shared" ref="AN54:AU54" si="118">SUMIF($E$6:$AK$6,AN$6,$E54:$AK54)</f>
        <v>5</v>
      </c>
      <c r="AO54" s="33">
        <f t="shared" si="118"/>
        <v>4</v>
      </c>
      <c r="AP54" s="33">
        <f t="shared" si="118"/>
        <v>4</v>
      </c>
      <c r="AQ54" s="33">
        <f t="shared" si="118"/>
        <v>3</v>
      </c>
      <c r="AR54" s="33">
        <f t="shared" si="118"/>
        <v>11</v>
      </c>
      <c r="AS54" s="33">
        <f t="shared" si="118"/>
        <v>10</v>
      </c>
      <c r="AT54" s="33">
        <f t="shared" si="118"/>
        <v>3</v>
      </c>
      <c r="AU54" s="33">
        <f t="shared" si="118"/>
        <v>0</v>
      </c>
    </row>
    <row r="55" spans="3:51" s="27" customFormat="1" ht="11.25" customHeight="1">
      <c r="C55" s="45" t="s">
        <v>31</v>
      </c>
      <c r="E55" s="35">
        <f t="shared" ref="E55:R55" si="119">+E50-E54</f>
        <v>251</v>
      </c>
      <c r="F55" s="35">
        <f t="shared" si="119"/>
        <v>255</v>
      </c>
      <c r="G55" s="35">
        <f t="shared" si="119"/>
        <v>232</v>
      </c>
      <c r="H55" s="35">
        <f t="shared" si="119"/>
        <v>116</v>
      </c>
      <c r="I55" s="35">
        <f t="shared" si="119"/>
        <v>278</v>
      </c>
      <c r="J55" s="35">
        <f t="shared" si="119"/>
        <v>292</v>
      </c>
      <c r="K55" s="35">
        <f t="shared" si="119"/>
        <v>323</v>
      </c>
      <c r="L55" s="35">
        <f t="shared" si="119"/>
        <v>491</v>
      </c>
      <c r="M55" s="35">
        <f t="shared" si="119"/>
        <v>290</v>
      </c>
      <c r="N55" s="35">
        <f t="shared" si="119"/>
        <v>344</v>
      </c>
      <c r="O55" s="35">
        <f t="shared" si="119"/>
        <v>412</v>
      </c>
      <c r="P55" s="35">
        <f t="shared" si="119"/>
        <v>34</v>
      </c>
      <c r="Q55" s="35">
        <f t="shared" si="119"/>
        <v>209</v>
      </c>
      <c r="R55" s="35">
        <f t="shared" si="119"/>
        <v>258</v>
      </c>
      <c r="S55" s="35">
        <f>+S50-S54</f>
        <v>266</v>
      </c>
      <c r="T55" s="35">
        <f>+T50-T54</f>
        <v>26</v>
      </c>
      <c r="U55" s="35">
        <f t="shared" ref="U55:AC55" si="120">+U50-U54</f>
        <v>258</v>
      </c>
      <c r="V55" s="35">
        <f t="shared" si="120"/>
        <v>27</v>
      </c>
      <c r="W55" s="35">
        <f t="shared" si="120"/>
        <v>161</v>
      </c>
      <c r="X55" s="35">
        <f t="shared" si="120"/>
        <v>32</v>
      </c>
      <c r="Y55" s="35">
        <f t="shared" si="120"/>
        <v>274</v>
      </c>
      <c r="Z55" s="35">
        <f t="shared" si="120"/>
        <v>-146</v>
      </c>
      <c r="AA55" s="35">
        <f t="shared" si="120"/>
        <v>351</v>
      </c>
      <c r="AB55" s="35">
        <f t="shared" si="120"/>
        <v>378</v>
      </c>
      <c r="AC55" s="35">
        <f t="shared" si="120"/>
        <v>235</v>
      </c>
      <c r="AD55" s="35">
        <f t="shared" ref="AD55:AF55" si="121">+AD50-AD54</f>
        <v>256</v>
      </c>
      <c r="AE55" s="35">
        <f t="shared" si="121"/>
        <v>301</v>
      </c>
      <c r="AF55" s="35">
        <f t="shared" si="121"/>
        <v>1</v>
      </c>
      <c r="AG55" s="35">
        <f t="shared" ref="AG55" si="122">+AG50-AG54</f>
        <v>134</v>
      </c>
      <c r="AH55" s="35">
        <f ca="1">+AH50-AH54</f>
        <v>277.32447749999994</v>
      </c>
      <c r="AI55" s="35">
        <f ca="1">+AI50-AI54</f>
        <v>299.97499350000004</v>
      </c>
      <c r="AJ55" s="35">
        <f ca="1">+AJ50-AJ54</f>
        <v>243.55538550000006</v>
      </c>
      <c r="AK55" s="79"/>
      <c r="AL55" s="35">
        <f t="shared" ref="AL55:AT55" si="123">+AL50-AL54</f>
        <v>751</v>
      </c>
      <c r="AM55" s="35">
        <f t="shared" si="123"/>
        <v>848</v>
      </c>
      <c r="AN55" s="35">
        <f t="shared" si="123"/>
        <v>854</v>
      </c>
      <c r="AO55" s="35">
        <f t="shared" si="123"/>
        <v>1384</v>
      </c>
      <c r="AP55" s="35">
        <f t="shared" si="123"/>
        <v>1080</v>
      </c>
      <c r="AQ55" s="35">
        <f t="shared" si="123"/>
        <v>759</v>
      </c>
      <c r="AR55" s="35">
        <f t="shared" si="123"/>
        <v>478</v>
      </c>
      <c r="AS55" s="35">
        <f t="shared" si="123"/>
        <v>857</v>
      </c>
      <c r="AT55" s="35">
        <f t="shared" si="123"/>
        <v>793</v>
      </c>
      <c r="AU55" s="35">
        <f ca="1">+AU50-AU54</f>
        <v>954.8548565000001</v>
      </c>
      <c r="AV55" s="35">
        <f ca="1">+AV50-AV54</f>
        <v>1095.9502467199998</v>
      </c>
      <c r="AW55" s="35">
        <f ca="1">+AW50-AW54</f>
        <v>1181.8164770589501</v>
      </c>
      <c r="AX55" s="35">
        <f ca="1">+AX50-AX54</f>
        <v>1274.1855681450972</v>
      </c>
      <c r="AY55" s="1"/>
    </row>
    <row r="56" spans="3:51" s="27" customFormat="1" ht="5.2" customHeight="1">
      <c r="C56" s="45"/>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79"/>
      <c r="AL56" s="30"/>
      <c r="AM56" s="30"/>
      <c r="AN56" s="30"/>
      <c r="AO56" s="30"/>
      <c r="AP56" s="30"/>
      <c r="AQ56" s="30"/>
      <c r="AR56" s="30"/>
      <c r="AY56" s="1"/>
    </row>
    <row r="57" spans="3:51" ht="11.25" customHeight="1">
      <c r="C57" s="43"/>
      <c r="E57" s="28"/>
      <c r="F57" s="28"/>
      <c r="G57" s="28"/>
      <c r="H57" s="79"/>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79"/>
      <c r="AL57" s="28"/>
      <c r="AM57" s="28"/>
      <c r="AN57" s="28"/>
      <c r="AO57" s="28"/>
      <c r="AP57" s="28"/>
    </row>
    <row r="58" spans="3:51" ht="11.25" customHeight="1">
      <c r="C58" s="43" t="s">
        <v>32</v>
      </c>
      <c r="E58" s="29">
        <v>147.80000000000001</v>
      </c>
      <c r="F58" s="29">
        <v>147.80000000000001</v>
      </c>
      <c r="G58" s="29">
        <v>147.19999999999999</v>
      </c>
      <c r="H58" s="29">
        <v>146.5</v>
      </c>
      <c r="I58" s="29">
        <v>146.19999999999999</v>
      </c>
      <c r="J58" s="29">
        <v>145.30000000000001</v>
      </c>
      <c r="K58" s="29">
        <v>144.30000000000001</v>
      </c>
      <c r="L58" s="29">
        <v>143.30000000000001</v>
      </c>
      <c r="M58" s="29">
        <v>142.80000000000001</v>
      </c>
      <c r="N58" s="29">
        <v>141.9</v>
      </c>
      <c r="O58" s="29">
        <v>140.6</v>
      </c>
      <c r="P58" s="29">
        <v>139.80000000000001</v>
      </c>
      <c r="Q58" s="29">
        <v>139</v>
      </c>
      <c r="R58" s="29">
        <v>137.80000000000001</v>
      </c>
      <c r="S58" s="29">
        <v>136.80000000000001</v>
      </c>
      <c r="T58" s="29">
        <v>135.9</v>
      </c>
      <c r="U58" s="29">
        <v>136</v>
      </c>
      <c r="V58" s="29">
        <v>135.30000000000001</v>
      </c>
      <c r="W58" s="29">
        <v>135.30000000000001</v>
      </c>
      <c r="X58" s="29">
        <v>135.5</v>
      </c>
      <c r="Y58" s="29">
        <v>136.1</v>
      </c>
      <c r="Z58" s="29">
        <v>135.9</v>
      </c>
      <c r="AA58" s="29">
        <v>135.30000000000001</v>
      </c>
      <c r="AB58" s="29">
        <v>134.9</v>
      </c>
      <c r="AC58" s="29">
        <v>129</v>
      </c>
      <c r="AD58" s="29">
        <v>124.8</v>
      </c>
      <c r="AE58" s="29">
        <v>121</v>
      </c>
      <c r="AF58" s="29">
        <v>123.5</v>
      </c>
      <c r="AG58" s="29">
        <v>119.2</v>
      </c>
      <c r="AH58" s="33">
        <f t="shared" ref="AH58:AJ58" si="124">AH975</f>
        <v>119.2</v>
      </c>
      <c r="AI58" s="33">
        <f t="shared" si="124"/>
        <v>119.2</v>
      </c>
      <c r="AJ58" s="33">
        <f t="shared" si="124"/>
        <v>119.2</v>
      </c>
      <c r="AK58" s="79"/>
      <c r="AL58" s="29">
        <v>149.5</v>
      </c>
      <c r="AM58" s="29">
        <v>148.6</v>
      </c>
      <c r="AN58" s="29">
        <v>147.30000000000001</v>
      </c>
      <c r="AO58" s="29">
        <v>144.80000000000001</v>
      </c>
      <c r="AP58" s="29">
        <v>141.19999999999999</v>
      </c>
      <c r="AQ58" s="33">
        <f>+AVERAGE(Q58:T58)</f>
        <v>137.375</v>
      </c>
      <c r="AR58" s="33">
        <f>+AVERAGE(U58:X58)</f>
        <v>135.52500000000001</v>
      </c>
      <c r="AS58" s="33">
        <f>AVERAGE(Y58:AB58)</f>
        <v>135.55000000000001</v>
      </c>
      <c r="AT58" s="33">
        <f>AVERAGE(AC58:AF58)</f>
        <v>124.575</v>
      </c>
      <c r="AU58" s="33">
        <f>AVERAGE(AG58:AJ58)</f>
        <v>119.2</v>
      </c>
      <c r="AV58" s="33">
        <f>AV975</f>
        <v>119.2</v>
      </c>
      <c r="AW58" s="33">
        <f>AW975</f>
        <v>119.2</v>
      </c>
      <c r="AX58" s="33">
        <f>AX975</f>
        <v>119.2</v>
      </c>
    </row>
    <row r="59" spans="3:51" ht="11.25" customHeight="1">
      <c r="C59" s="43" t="s">
        <v>34</v>
      </c>
      <c r="E59" s="29">
        <v>1</v>
      </c>
      <c r="F59" s="29">
        <v>1.1000000000000001</v>
      </c>
      <c r="G59" s="29">
        <v>1</v>
      </c>
      <c r="H59" s="33">
        <f>+H60-H58</f>
        <v>1</v>
      </c>
      <c r="I59" s="29">
        <v>1</v>
      </c>
      <c r="J59" s="29">
        <v>1.1000000000000001</v>
      </c>
      <c r="K59" s="29">
        <v>1.2</v>
      </c>
      <c r="L59" s="33">
        <f>+L60-L58</f>
        <v>1.5</v>
      </c>
      <c r="M59" s="29">
        <v>2</v>
      </c>
      <c r="N59" s="29">
        <v>2.1</v>
      </c>
      <c r="O59" s="29">
        <v>1.8</v>
      </c>
      <c r="P59" s="33">
        <f>+P60-P58</f>
        <v>1.2999999999999829</v>
      </c>
      <c r="Q59" s="29">
        <v>1.1000000000000001</v>
      </c>
      <c r="R59" s="29">
        <v>1.3</v>
      </c>
      <c r="S59" s="29">
        <v>1</v>
      </c>
      <c r="T59" s="33">
        <f>+T60-T58</f>
        <v>1.1999999999999886</v>
      </c>
      <c r="U59" s="29">
        <v>0.5</v>
      </c>
      <c r="V59" s="29">
        <v>0.8</v>
      </c>
      <c r="W59" s="29">
        <v>1</v>
      </c>
      <c r="X59" s="29">
        <v>1</v>
      </c>
      <c r="Y59" s="29">
        <v>1.5</v>
      </c>
      <c r="Z59" s="29">
        <v>0</v>
      </c>
      <c r="AA59" s="29">
        <v>1.7</v>
      </c>
      <c r="AB59" s="29">
        <v>2.2000000000000002</v>
      </c>
      <c r="AC59" s="29">
        <v>1.7</v>
      </c>
      <c r="AD59" s="29">
        <v>1.6</v>
      </c>
      <c r="AE59" s="29">
        <v>1.3</v>
      </c>
      <c r="AF59" s="29">
        <v>1.4</v>
      </c>
      <c r="AG59" s="29">
        <v>1.1200000000000001</v>
      </c>
      <c r="AH59" s="33">
        <f>+AG59</f>
        <v>1.1200000000000001</v>
      </c>
      <c r="AI59" s="33">
        <f t="shared" ref="AI59:AJ59" si="125">+AH59</f>
        <v>1.1200000000000001</v>
      </c>
      <c r="AJ59" s="33">
        <f t="shared" si="125"/>
        <v>1.1200000000000001</v>
      </c>
      <c r="AK59" s="79"/>
      <c r="AL59" s="29">
        <v>1.6</v>
      </c>
      <c r="AM59" s="29">
        <v>1.2</v>
      </c>
      <c r="AN59" s="29">
        <v>1.1000000000000001</v>
      </c>
      <c r="AO59" s="29">
        <v>1.3</v>
      </c>
      <c r="AP59" s="29">
        <v>1.7</v>
      </c>
      <c r="AQ59" s="33">
        <f>+T59</f>
        <v>1.1999999999999886</v>
      </c>
      <c r="AR59" s="33">
        <f t="shared" ref="AR59:AX59" si="126">+AQ59</f>
        <v>1.1999999999999886</v>
      </c>
      <c r="AS59" s="33">
        <f t="shared" si="126"/>
        <v>1.1999999999999886</v>
      </c>
      <c r="AT59" s="33">
        <f t="shared" si="126"/>
        <v>1.1999999999999886</v>
      </c>
      <c r="AU59" s="33">
        <f t="shared" si="126"/>
        <v>1.1999999999999886</v>
      </c>
      <c r="AV59" s="33">
        <f t="shared" si="126"/>
        <v>1.1999999999999886</v>
      </c>
      <c r="AW59" s="33">
        <f t="shared" si="126"/>
        <v>1.1999999999999886</v>
      </c>
      <c r="AX59" s="33">
        <f t="shared" si="126"/>
        <v>1.1999999999999886</v>
      </c>
    </row>
    <row r="60" spans="3:51" ht="11.25" customHeight="1">
      <c r="C60" s="45" t="s">
        <v>33</v>
      </c>
      <c r="E60" s="32">
        <f t="shared" ref="E60:N60" si="127">+E59+E58</f>
        <v>148.80000000000001</v>
      </c>
      <c r="F60" s="32">
        <f t="shared" si="127"/>
        <v>148.9</v>
      </c>
      <c r="G60" s="32">
        <f t="shared" si="127"/>
        <v>148.19999999999999</v>
      </c>
      <c r="H60" s="78">
        <v>147.5</v>
      </c>
      <c r="I60" s="32">
        <f t="shared" si="127"/>
        <v>147.19999999999999</v>
      </c>
      <c r="J60" s="32">
        <f t="shared" si="127"/>
        <v>146.4</v>
      </c>
      <c r="K60" s="32">
        <f t="shared" si="127"/>
        <v>145.5</v>
      </c>
      <c r="L60" s="78">
        <v>144.80000000000001</v>
      </c>
      <c r="M60" s="32">
        <f t="shared" si="127"/>
        <v>144.80000000000001</v>
      </c>
      <c r="N60" s="32">
        <f t="shared" si="127"/>
        <v>144</v>
      </c>
      <c r="O60" s="32">
        <f>+O59+O58</f>
        <v>142.4</v>
      </c>
      <c r="P60" s="78">
        <v>141.1</v>
      </c>
      <c r="Q60" s="32">
        <f>+Q59+Q58</f>
        <v>140.1</v>
      </c>
      <c r="R60" s="32">
        <f>+R59+R58</f>
        <v>139.10000000000002</v>
      </c>
      <c r="S60" s="32">
        <f>+SUM(S58:S59)</f>
        <v>137.80000000000001</v>
      </c>
      <c r="T60" s="78">
        <v>137.1</v>
      </c>
      <c r="U60" s="32">
        <f t="shared" ref="U60:AC60" si="128">+SUM(U58:U59)</f>
        <v>136.5</v>
      </c>
      <c r="V60" s="32">
        <f t="shared" si="128"/>
        <v>136.10000000000002</v>
      </c>
      <c r="W60" s="32">
        <f t="shared" si="128"/>
        <v>136.30000000000001</v>
      </c>
      <c r="X60" s="32">
        <f t="shared" si="128"/>
        <v>136.5</v>
      </c>
      <c r="Y60" s="32">
        <f t="shared" si="128"/>
        <v>137.6</v>
      </c>
      <c r="Z60" s="32">
        <f t="shared" si="128"/>
        <v>135.9</v>
      </c>
      <c r="AA60" s="32">
        <f t="shared" si="128"/>
        <v>137</v>
      </c>
      <c r="AB60" s="32">
        <f t="shared" si="128"/>
        <v>137.1</v>
      </c>
      <c r="AC60" s="32">
        <f t="shared" si="128"/>
        <v>130.69999999999999</v>
      </c>
      <c r="AD60" s="32">
        <f>+SUM(AD58:AD59)</f>
        <v>126.39999999999999</v>
      </c>
      <c r="AE60" s="32">
        <f>+SUM(AE58:AE59)</f>
        <v>122.3</v>
      </c>
      <c r="AF60" s="32">
        <f>+SUM(AF58:AF59)</f>
        <v>124.9</v>
      </c>
      <c r="AG60" s="32">
        <f>+SUM(AG58:AG59)</f>
        <v>120.32000000000001</v>
      </c>
      <c r="AH60" s="32">
        <f t="shared" ref="AH60:AJ60" si="129">+SUM(AH58:AH59)</f>
        <v>120.32000000000001</v>
      </c>
      <c r="AI60" s="32">
        <f t="shared" si="129"/>
        <v>120.32000000000001</v>
      </c>
      <c r="AJ60" s="32">
        <f t="shared" si="129"/>
        <v>120.32000000000001</v>
      </c>
      <c r="AK60" s="79"/>
      <c r="AL60" s="32">
        <f>+AL59+AL58</f>
        <v>151.1</v>
      </c>
      <c r="AM60" s="32">
        <f>+AM59+AM58</f>
        <v>149.79999999999998</v>
      </c>
      <c r="AN60" s="32">
        <f>+AN59+AN58</f>
        <v>148.4</v>
      </c>
      <c r="AO60" s="32">
        <f>+AO59+AO58</f>
        <v>146.10000000000002</v>
      </c>
      <c r="AP60" s="32">
        <f>+AP59+AP58</f>
        <v>142.89999999999998</v>
      </c>
      <c r="AQ60" s="32">
        <f t="shared" ref="AQ60:AW60" si="130">+SUM(AQ58:AQ59)</f>
        <v>138.57499999999999</v>
      </c>
      <c r="AR60" s="32">
        <f t="shared" si="130"/>
        <v>136.72499999999999</v>
      </c>
      <c r="AS60" s="32">
        <f t="shared" si="130"/>
        <v>136.75</v>
      </c>
      <c r="AT60" s="32">
        <f t="shared" si="130"/>
        <v>125.77499999999999</v>
      </c>
      <c r="AU60" s="32">
        <f t="shared" ref="AU60" si="131">+SUM(AU58:AU59)</f>
        <v>120.39999999999999</v>
      </c>
      <c r="AV60" s="32">
        <f t="shared" si="130"/>
        <v>120.39999999999999</v>
      </c>
      <c r="AW60" s="32">
        <f t="shared" si="130"/>
        <v>120.39999999999999</v>
      </c>
      <c r="AX60" s="32">
        <f t="shared" ref="AX60" si="132">+SUM(AX58:AX59)</f>
        <v>120.39999999999999</v>
      </c>
    </row>
    <row r="61" spans="3:51" ht="11.25" customHeight="1">
      <c r="C61" s="43"/>
      <c r="H61" s="80"/>
      <c r="M61" s="437"/>
      <c r="N61" s="437"/>
      <c r="O61" s="437"/>
      <c r="P61" s="437"/>
      <c r="Q61" s="437"/>
      <c r="R61" s="437"/>
      <c r="S61" s="437"/>
      <c r="AK61" s="79"/>
    </row>
    <row r="62" spans="3:51" ht="11.25" customHeight="1">
      <c r="C62" s="45" t="s">
        <v>334</v>
      </c>
      <c r="E62" s="79"/>
      <c r="F62" s="79"/>
      <c r="G62" s="79"/>
      <c r="H62" s="79"/>
      <c r="I62" s="79"/>
      <c r="J62" s="79"/>
      <c r="K62" s="79"/>
      <c r="L62" s="79"/>
      <c r="M62" s="79"/>
      <c r="N62" s="79"/>
      <c r="O62" s="79"/>
      <c r="P62" s="79"/>
      <c r="Q62" s="520"/>
      <c r="R62" s="423"/>
      <c r="S62" s="423"/>
      <c r="T62" s="79"/>
      <c r="U62" s="79"/>
      <c r="V62" s="79"/>
      <c r="W62" s="79"/>
      <c r="X62" s="79"/>
      <c r="Y62" s="520"/>
      <c r="Z62" s="520"/>
      <c r="AA62" s="520"/>
      <c r="AB62" s="520"/>
      <c r="AC62" s="520"/>
      <c r="AD62" s="520"/>
      <c r="AE62" s="520"/>
      <c r="AF62" s="520"/>
      <c r="AG62" s="520"/>
      <c r="AH62" s="520"/>
      <c r="AI62" s="520"/>
      <c r="AJ62" s="520"/>
      <c r="AK62" s="79"/>
      <c r="AM62" s="63"/>
      <c r="AN62" s="63"/>
      <c r="AO62" s="63"/>
      <c r="AP62" s="63"/>
      <c r="AQ62" s="63"/>
      <c r="AR62" s="63"/>
      <c r="AS62" s="63"/>
      <c r="AT62" s="63"/>
      <c r="AU62" s="63"/>
    </row>
    <row r="63" spans="3:51" ht="11.25" customHeight="1">
      <c r="C63" s="45" t="s">
        <v>335</v>
      </c>
      <c r="E63" s="420">
        <f t="shared" ref="E63:S63" si="133">+IFERROR(E55/E58,"NA ")</f>
        <v>1.6982408660351827</v>
      </c>
      <c r="F63" s="420">
        <f t="shared" si="133"/>
        <v>1.7253044654939105</v>
      </c>
      <c r="G63" s="420">
        <f t="shared" si="133"/>
        <v>1.5760869565217392</v>
      </c>
      <c r="H63" s="108">
        <f t="shared" si="133"/>
        <v>0.79180887372013653</v>
      </c>
      <c r="I63" s="420">
        <f t="shared" si="133"/>
        <v>1.9015047879616964</v>
      </c>
      <c r="J63" s="420">
        <f t="shared" si="133"/>
        <v>2.0096352374397797</v>
      </c>
      <c r="K63" s="420">
        <f t="shared" si="133"/>
        <v>2.2383922383922381</v>
      </c>
      <c r="L63" s="420">
        <f t="shared" si="133"/>
        <v>3.4263782274947658</v>
      </c>
      <c r="M63" s="420">
        <f t="shared" si="133"/>
        <v>2.0308123249299719</v>
      </c>
      <c r="N63" s="420">
        <f t="shared" si="133"/>
        <v>2.4242424242424243</v>
      </c>
      <c r="O63" s="420">
        <f t="shared" si="133"/>
        <v>2.930298719772404</v>
      </c>
      <c r="P63" s="420">
        <f t="shared" si="133"/>
        <v>0.24320457796852646</v>
      </c>
      <c r="Q63" s="420">
        <f t="shared" si="133"/>
        <v>1.5035971223021583</v>
      </c>
      <c r="R63" s="420">
        <f t="shared" si="133"/>
        <v>1.8722786647314948</v>
      </c>
      <c r="S63" s="420">
        <f t="shared" si="133"/>
        <v>1.9444444444444442</v>
      </c>
      <c r="T63" s="420">
        <f>+IFERROR(T55/T58,"NA ")</f>
        <v>0.19131714495952906</v>
      </c>
      <c r="U63" s="420">
        <f t="shared" ref="U63:AC63" si="134">+IFERROR(U55/U58,"NA ")</f>
        <v>1.8970588235294117</v>
      </c>
      <c r="V63" s="420">
        <f t="shared" si="134"/>
        <v>0.19955654101995562</v>
      </c>
      <c r="W63" s="420">
        <f t="shared" si="134"/>
        <v>1.1899482631189948</v>
      </c>
      <c r="X63" s="420">
        <f t="shared" si="134"/>
        <v>0.23616236162361623</v>
      </c>
      <c r="Y63" s="420">
        <f t="shared" si="134"/>
        <v>2.0132255694342396</v>
      </c>
      <c r="Z63" s="420">
        <f t="shared" si="134"/>
        <v>-1.0743193524650478</v>
      </c>
      <c r="AA63" s="420">
        <f t="shared" si="134"/>
        <v>2.5942350332594235</v>
      </c>
      <c r="AB63" s="420">
        <f t="shared" si="134"/>
        <v>2.8020756115641214</v>
      </c>
      <c r="AC63" s="420">
        <f t="shared" si="134"/>
        <v>1.8217054263565891</v>
      </c>
      <c r="AD63" s="420">
        <f t="shared" ref="AD63:AF63" si="135">+IFERROR(AD55/AD58,"NA ")</f>
        <v>2.0512820512820515</v>
      </c>
      <c r="AE63" s="420">
        <f t="shared" si="135"/>
        <v>2.4876033057851239</v>
      </c>
      <c r="AF63" s="420">
        <f t="shared" si="135"/>
        <v>8.0971659919028341E-3</v>
      </c>
      <c r="AG63" s="420">
        <f t="shared" ref="AG63" si="136">+IFERROR(AG55/AG58,"NA ")</f>
        <v>1.1241610738255032</v>
      </c>
      <c r="AH63" s="420">
        <f ca="1">+IFERROR(AH55/AH58,"NA ")</f>
        <v>2.3265476300335566</v>
      </c>
      <c r="AI63" s="420">
        <f ca="1">+IFERROR(AI55/AI58,"NA ")</f>
        <v>2.5165687374161076</v>
      </c>
      <c r="AJ63" s="420">
        <f ca="1">+IFERROR(AJ55/AJ58,"NA ")</f>
        <v>2.0432498783557049</v>
      </c>
      <c r="AK63" s="79"/>
      <c r="AL63" s="420">
        <f t="shared" ref="AL63:AT63" si="137">+IFERROR(AL55/AL58,"NA ")</f>
        <v>5.023411371237458</v>
      </c>
      <c r="AM63" s="420">
        <f t="shared" si="137"/>
        <v>5.7065948855989239</v>
      </c>
      <c r="AN63" s="420">
        <f t="shared" si="137"/>
        <v>5.7976917854718257</v>
      </c>
      <c r="AO63" s="420">
        <f t="shared" si="137"/>
        <v>9.5580110497237563</v>
      </c>
      <c r="AP63" s="420">
        <f t="shared" si="137"/>
        <v>7.6487252124645897</v>
      </c>
      <c r="AQ63" s="420">
        <f t="shared" si="137"/>
        <v>5.5250227479526846</v>
      </c>
      <c r="AR63" s="420">
        <f t="shared" si="137"/>
        <v>3.5270245342187785</v>
      </c>
      <c r="AS63" s="420">
        <f t="shared" si="137"/>
        <v>6.3223902618959791</v>
      </c>
      <c r="AT63" s="420">
        <f t="shared" si="137"/>
        <v>6.3656431868352401</v>
      </c>
      <c r="AU63" s="420">
        <f ca="1">+IFERROR(AU55/AU58,"NA ")</f>
        <v>8.0105273196308726</v>
      </c>
      <c r="AV63" s="420">
        <f ca="1">+IFERROR(AV55/AV58,"NA ")</f>
        <v>9.1942134791946284</v>
      </c>
      <c r="AW63" s="420">
        <f ca="1">+IFERROR(AW55/AW58,"NA ")</f>
        <v>9.9145677605616616</v>
      </c>
      <c r="AX63" s="420">
        <f ca="1">+IFERROR(AX55/AX58,"NA ")</f>
        <v>10.689476242827997</v>
      </c>
    </row>
    <row r="64" spans="3:51" ht="11.25" customHeight="1">
      <c r="C64" s="45" t="s">
        <v>336</v>
      </c>
      <c r="E64" s="420">
        <f t="shared" ref="E64:R64" si="138">+IFERROR(E55/E60,"NA ")</f>
        <v>1.6868279569892473</v>
      </c>
      <c r="F64" s="420">
        <f t="shared" si="138"/>
        <v>1.7125587642713229</v>
      </c>
      <c r="G64" s="420">
        <f t="shared" si="138"/>
        <v>1.5654520917678814</v>
      </c>
      <c r="H64" s="108">
        <f t="shared" si="138"/>
        <v>0.78644067796610173</v>
      </c>
      <c r="I64" s="420">
        <f t="shared" si="138"/>
        <v>1.8885869565217392</v>
      </c>
      <c r="J64" s="420">
        <f t="shared" si="138"/>
        <v>1.9945355191256831</v>
      </c>
      <c r="K64" s="420">
        <f t="shared" si="138"/>
        <v>2.2199312714776633</v>
      </c>
      <c r="L64" s="420">
        <f t="shared" si="138"/>
        <v>3.3908839779005522</v>
      </c>
      <c r="M64" s="420">
        <f t="shared" si="138"/>
        <v>2.0027624309392262</v>
      </c>
      <c r="N64" s="420">
        <f t="shared" si="138"/>
        <v>2.3888888888888888</v>
      </c>
      <c r="O64" s="420">
        <f t="shared" si="138"/>
        <v>2.893258426966292</v>
      </c>
      <c r="P64" s="420">
        <f t="shared" si="138"/>
        <v>0.24096385542168675</v>
      </c>
      <c r="Q64" s="420">
        <f t="shared" si="138"/>
        <v>1.4917915774446824</v>
      </c>
      <c r="R64" s="420">
        <f t="shared" si="138"/>
        <v>1.8547807332854058</v>
      </c>
      <c r="S64" s="420">
        <f>+IFERROR(S55/S60,"NA ")</f>
        <v>1.9303338171262698</v>
      </c>
      <c r="T64" s="420">
        <f>+IFERROR(T55/T60,"NA ")</f>
        <v>0.18964259664478483</v>
      </c>
      <c r="U64" s="420">
        <f t="shared" ref="U64:AC64" si="139">+IFERROR(U55/U60,"NA ")</f>
        <v>1.8901098901098901</v>
      </c>
      <c r="V64" s="420">
        <f t="shared" si="139"/>
        <v>0.19838354151359291</v>
      </c>
      <c r="W64" s="420">
        <f t="shared" si="139"/>
        <v>1.181217901687454</v>
      </c>
      <c r="X64" s="420">
        <f t="shared" si="139"/>
        <v>0.23443223443223443</v>
      </c>
      <c r="Y64" s="420">
        <f t="shared" si="139"/>
        <v>1.9912790697674418</v>
      </c>
      <c r="Z64" s="420">
        <f t="shared" si="139"/>
        <v>-1.0743193524650478</v>
      </c>
      <c r="AA64" s="420">
        <f t="shared" si="139"/>
        <v>2.562043795620438</v>
      </c>
      <c r="AB64" s="420">
        <f t="shared" si="139"/>
        <v>2.7571115973741795</v>
      </c>
      <c r="AC64" s="420">
        <f t="shared" si="139"/>
        <v>1.7980107115531754</v>
      </c>
      <c r="AD64" s="420">
        <f t="shared" ref="AD64:AF64" si="140">+IFERROR(AD55/AD60,"NA ")</f>
        <v>2.0253164556962027</v>
      </c>
      <c r="AE64" s="420">
        <f t="shared" si="140"/>
        <v>2.4611610793131642</v>
      </c>
      <c r="AF64" s="420">
        <f t="shared" si="140"/>
        <v>8.0064051240992789E-3</v>
      </c>
      <c r="AG64" s="420">
        <f>+IFERROR(AG55/AG60,"NA ")</f>
        <v>1.1136968085106382</v>
      </c>
      <c r="AH64" s="420">
        <f ca="1">+IFERROR(AH55/AH60,"NA ")</f>
        <v>2.3048909366688823</v>
      </c>
      <c r="AI64" s="420">
        <f ca="1">+IFERROR(AI55/AI60,"NA ")</f>
        <v>2.4931432305518619</v>
      </c>
      <c r="AJ64" s="420">
        <f ca="1">+IFERROR(AJ55/AJ60,"NA ")</f>
        <v>2.02423026512633</v>
      </c>
      <c r="AK64" s="79"/>
      <c r="AL64" s="420">
        <f t="shared" ref="AL64:AT64" si="141">+IFERROR(AL55/AL60,"NA ")</f>
        <v>4.9702183984116477</v>
      </c>
      <c r="AM64" s="420">
        <f t="shared" si="141"/>
        <v>5.6608811748998669</v>
      </c>
      <c r="AN64" s="420">
        <f t="shared" si="141"/>
        <v>5.7547169811320753</v>
      </c>
      <c r="AO64" s="420">
        <f t="shared" si="141"/>
        <v>9.4729637234770685</v>
      </c>
      <c r="AP64" s="420">
        <f t="shared" si="141"/>
        <v>7.5577326801959428</v>
      </c>
      <c r="AQ64" s="420">
        <f t="shared" si="141"/>
        <v>5.4771784232365146</v>
      </c>
      <c r="AR64" s="420">
        <f t="shared" si="141"/>
        <v>3.496068751142805</v>
      </c>
      <c r="AS64" s="420">
        <f t="shared" si="141"/>
        <v>6.2669104204753197</v>
      </c>
      <c r="AT64" s="420">
        <f t="shared" si="141"/>
        <v>6.304909560723515</v>
      </c>
      <c r="AU64" s="420">
        <f ca="1">+IFERROR(AU55/AU60,"NA ")</f>
        <v>7.9306881769103006</v>
      </c>
      <c r="AV64" s="420">
        <f ca="1">+IFERROR(AV55/AV60,"NA ")</f>
        <v>9.1025767999999996</v>
      </c>
      <c r="AW64" s="420">
        <f ca="1">+IFERROR(AW55/AW60,"NA ")</f>
        <v>9.8157514705892872</v>
      </c>
      <c r="AX64" s="420">
        <f ca="1">+IFERROR(AX55/AX60,"NA ")</f>
        <v>10.582936612500809</v>
      </c>
    </row>
    <row r="65" spans="2:79" ht="5.2" customHeight="1">
      <c r="C65" s="43"/>
      <c r="E65" s="34"/>
      <c r="F65" s="34"/>
      <c r="G65" s="34"/>
      <c r="H65" s="81"/>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79"/>
      <c r="AL65" s="34"/>
      <c r="AM65" s="34"/>
      <c r="AN65" s="34"/>
      <c r="AO65" s="34"/>
      <c r="AP65" s="34"/>
    </row>
    <row r="66" spans="2:79" ht="11.25" customHeight="1">
      <c r="C66" s="43" t="s">
        <v>102</v>
      </c>
      <c r="E66" s="40">
        <v>0.46</v>
      </c>
      <c r="F66" s="40">
        <v>0.46</v>
      </c>
      <c r="G66" s="40">
        <v>0.46</v>
      </c>
      <c r="H66" s="81">
        <f>+AN66-SUM(E66:G66)</f>
        <v>0.50999999999999979</v>
      </c>
      <c r="I66" s="40">
        <v>0.51</v>
      </c>
      <c r="J66" s="40">
        <v>0.51</v>
      </c>
      <c r="K66" s="40">
        <v>0.51</v>
      </c>
      <c r="L66" s="34">
        <f>+AO66-SUM(I66:K66)</f>
        <v>0.55999999999999983</v>
      </c>
      <c r="M66" s="40">
        <v>0.56000000000000005</v>
      </c>
      <c r="N66" s="40">
        <v>0.56000000000000005</v>
      </c>
      <c r="O66" s="40">
        <v>0.56000000000000005</v>
      </c>
      <c r="P66" s="34">
        <f>+AP66-SUM(M66:O66)</f>
        <v>0.61999999999999966</v>
      </c>
      <c r="Q66" s="40">
        <v>0.62</v>
      </c>
      <c r="R66" s="40">
        <v>0.62</v>
      </c>
      <c r="S66" s="40">
        <v>0.62</v>
      </c>
      <c r="T66" s="40">
        <v>0.66</v>
      </c>
      <c r="U66" s="40">
        <v>0.66176470588235292</v>
      </c>
      <c r="V66" s="40">
        <v>0.65779748706577967</v>
      </c>
      <c r="W66" s="40">
        <v>0.66518847006651882</v>
      </c>
      <c r="X66" s="40">
        <v>0.65682656826568264</v>
      </c>
      <c r="Y66" s="40">
        <v>0.69066862601028656</v>
      </c>
      <c r="Z66" s="40">
        <v>0.69168506254598972</v>
      </c>
      <c r="AA66" s="40">
        <v>0.69475240206947519</v>
      </c>
      <c r="AB66" s="40">
        <v>0.68939955522609342</v>
      </c>
      <c r="AC66" s="40">
        <v>0.75968992248062017</v>
      </c>
      <c r="AD66" s="40">
        <v>0.76</v>
      </c>
      <c r="AE66" s="40">
        <v>0.76</v>
      </c>
      <c r="AF66" s="40">
        <v>0.76</v>
      </c>
      <c r="AG66" s="40">
        <v>0.76</v>
      </c>
      <c r="AH66" s="81">
        <f t="shared" ref="AH66:AJ66" si="142">AH969</f>
        <v>0.85</v>
      </c>
      <c r="AI66" s="81">
        <f t="shared" si="142"/>
        <v>0.85</v>
      </c>
      <c r="AJ66" s="81">
        <f t="shared" si="142"/>
        <v>0.85</v>
      </c>
      <c r="AK66" s="79"/>
      <c r="AL66" s="40">
        <v>1.45</v>
      </c>
      <c r="AM66" s="40">
        <v>1.66</v>
      </c>
      <c r="AN66" s="40">
        <v>1.89</v>
      </c>
      <c r="AO66" s="40">
        <v>2.09</v>
      </c>
      <c r="AP66" s="40">
        <v>2.2999999999999998</v>
      </c>
      <c r="AQ66" s="81">
        <f>SUMIF($E$6:$X$6,AQ$6,$E66:$X66)</f>
        <v>2.52</v>
      </c>
      <c r="AR66" s="81">
        <f>SUMIF($E$6:$X$6,AR$6,$E66:$X66)</f>
        <v>2.6415772312803338</v>
      </c>
      <c r="AS66" s="81">
        <f t="shared" ref="AS66:AX66" si="143">AS969</f>
        <v>2.7392929645973703</v>
      </c>
      <c r="AT66" s="81">
        <f t="shared" si="143"/>
        <v>3.0223098431092392</v>
      </c>
      <c r="AU66" s="81">
        <f t="shared" si="143"/>
        <v>3.3312500000000003</v>
      </c>
      <c r="AV66" s="81">
        <f t="shared" si="143"/>
        <v>3.75</v>
      </c>
      <c r="AW66" s="81">
        <f t="shared" si="143"/>
        <v>4</v>
      </c>
      <c r="AX66" s="81">
        <f t="shared" si="143"/>
        <v>4.5</v>
      </c>
    </row>
    <row r="67" spans="2:79" ht="5.2" customHeight="1">
      <c r="C67" s="43"/>
      <c r="E67" s="40"/>
      <c r="F67" s="40"/>
      <c r="G67" s="40"/>
      <c r="H67" s="444"/>
      <c r="I67" s="40"/>
      <c r="J67" s="40"/>
      <c r="K67" s="40"/>
      <c r="L67" s="34"/>
      <c r="M67" s="40"/>
      <c r="N67" s="40"/>
      <c r="O67" s="40"/>
      <c r="P67" s="444"/>
      <c r="Q67" s="40"/>
      <c r="R67" s="40"/>
      <c r="S67" s="81"/>
      <c r="T67" s="81"/>
      <c r="U67" s="81"/>
      <c r="V67" s="81"/>
      <c r="W67" s="81"/>
      <c r="X67" s="81"/>
      <c r="Y67" s="81"/>
      <c r="Z67" s="81"/>
      <c r="AA67" s="81"/>
      <c r="AB67" s="81"/>
      <c r="AC67" s="81"/>
      <c r="AD67" s="81"/>
      <c r="AE67" s="81"/>
      <c r="AF67" s="81"/>
      <c r="AG67" s="81"/>
      <c r="AH67" s="81"/>
      <c r="AI67" s="81"/>
      <c r="AJ67" s="81"/>
      <c r="AK67" s="79"/>
      <c r="AL67" s="40"/>
      <c r="AM67" s="40"/>
      <c r="AN67" s="40"/>
      <c r="AO67" s="40"/>
      <c r="AP67" s="40"/>
      <c r="AQ67" s="81"/>
      <c r="AR67" s="81"/>
      <c r="AS67" s="81"/>
      <c r="AT67" s="81"/>
      <c r="AU67" s="81"/>
      <c r="AV67" s="81"/>
      <c r="AW67" s="81"/>
      <c r="AX67" s="81"/>
    </row>
    <row r="68" spans="2:79" ht="11.25" customHeight="1">
      <c r="C68" s="43" t="s">
        <v>703</v>
      </c>
      <c r="E68" s="81">
        <f ca="1">IFERROR(IF(BB_Switch=1,_xll.BDH("EMN US EQUITY","PX_LAST",Financials!E7,Financials!E7,"eqy fund crncy","USD","days=A","FILL=P"),E68),"NA  ")</f>
        <v>72.23</v>
      </c>
      <c r="F68" s="81">
        <f ca="1">IFERROR(IF(BB_Switch=1,_xll.BDH("EMN US EQUITY","PX_LAST",Financials!F7,Financials!F7,"eqy fund crncy","USD","days=A","FILL=P"),F68),"NA  ")</f>
        <v>67.900000000000006</v>
      </c>
      <c r="G68" s="81">
        <f ca="1">IFERROR(IF(BB_Switch=1,_xll.BDH("EMN US EQUITY","PX_LAST",Financials!G7,Financials!G7,"eqy fund crncy","USD","days=A","FILL=P"),G68),"NA  ")</f>
        <v>67.680000000000007</v>
      </c>
      <c r="H68" s="81">
        <f ca="1">IFERROR(IF(BB_Switch=1,_xll.BDH("EMN US EQUITY","PX_LAST",Financials!H7,Financials!H7,"eqy fund crncy","USD","days=A","FILL=P"),H68),"NA  ")</f>
        <v>75.209999999999994</v>
      </c>
      <c r="I68" s="81">
        <f ca="1">IFERROR(IF(BB_Switch=1,_xll.BDH("EMN US EQUITY","PX_LAST",Financials!I7,Financials!I7,"eqy fund crncy","USD","days=A","FILL=P"),I68),"NA  ")</f>
        <v>80.8</v>
      </c>
      <c r="J68" s="81">
        <f ca="1">IFERROR(IF(BB_Switch=1,_xll.BDH("EMN US EQUITY","PX_LAST",Financials!J7,Financials!J7,"eqy fund crncy","USD","days=A","FILL=P"),J68),"NA  ")</f>
        <v>83.99</v>
      </c>
      <c r="K68" s="81">
        <f ca="1">IFERROR(IF(BB_Switch=1,_xll.BDH("EMN US EQUITY","PX_LAST",Financials!K7,Financials!K7,"eqy fund crncy","USD","days=A","FILL=P"),K68),"NA  ")</f>
        <v>90.49</v>
      </c>
      <c r="L68" s="81">
        <f ca="1">IFERROR(IF(BB_Switch=1,_xll.BDH("EMN US EQUITY","PX_LAST",Financials!L7,Financials!L7,"eqy fund crncy","USD","days=A","FILL=P"),L68),"NA  ")</f>
        <v>92.64</v>
      </c>
      <c r="M68" s="81">
        <f ca="1">IFERROR(IF(BB_Switch=1,_xll.BDH("EMN US EQUITY","PX_LAST",Financials!M7,Financials!M7,"eqy fund crncy","USD","days=A","FILL=P"),M68),"NA  ")</f>
        <v>105.58</v>
      </c>
      <c r="N68" s="81">
        <f ca="1">IFERROR(IF(BB_Switch=1,_xll.BDH("EMN US EQUITY","PX_LAST",Financials!N7,Financials!N7,"eqy fund crncy","USD","days=A","FILL=P"),N68),"NA  ")</f>
        <v>99.96</v>
      </c>
      <c r="O68" s="81">
        <f ca="1">IFERROR(IF(BB_Switch=1,_xll.BDH("EMN US EQUITY","PX_LAST",Financials!O7,Financials!O7,"eqy fund crncy","USD","days=A","FILL=P"),O68),"NA  ")</f>
        <v>95.72</v>
      </c>
      <c r="P68" s="81">
        <f ca="1">IFERROR(IF(BB_Switch=1,_xll.BDH("EMN US EQUITY","PX_LAST",Financials!P7,Financials!P7,"eqy fund crncy","USD","days=A","FILL=P"),P68),"NA  ")</f>
        <v>73.11</v>
      </c>
      <c r="Q68" s="81">
        <f ca="1">IFERROR(IF(BB_Switch=1,_xll.BDH("EMN US EQUITY","PX_LAST",Financials!Q7,Financials!Q7,"eqy fund crncy","USD","days=A","FILL=P"),Q68),"NA  ")</f>
        <v>75.88</v>
      </c>
      <c r="R68" s="81">
        <f ca="1">IFERROR(IF(BB_Switch=1,_xll.BDH("EMN US EQUITY","PX_LAST",Financials!R7,Financials!R7,"eqy fund crncy","USD","days=A","FILL=P"),R68),"NA  ")</f>
        <v>77.83</v>
      </c>
      <c r="S68" s="81">
        <f ca="1">IFERROR(IF(BB_Switch=1,_xll.BDH("EMN US EQUITY","PX_LAST",Financials!S7,Financials!S7,"eqy fund crncy","USD","days=A","FILL=P"),S68),"NA  ")</f>
        <v>73.83</v>
      </c>
      <c r="T68" s="81">
        <f ca="1">IFERROR(IF(BB_Switch=1,_xll.BDH("EMN US EQUITY","PX_LAST",Financials!T7,Financials!T7,"eqy fund crncy","USD","days=A","FILL=P"),T68),"NA  ")</f>
        <v>79.260000000000005</v>
      </c>
      <c r="U68" s="827">
        <f ca="1">IFERROR(IF(BB_Switch=1,_xll.BDH("EMN US EQUITY","PX_LAST",Financials!U7,Financials!U7,"eqy fund crncy","USD","days=A","FILL=P"),U68),"NA  ")</f>
        <v>79.260000000000005</v>
      </c>
      <c r="V68" s="827">
        <f ca="1">IFERROR(IF(BB_Switch=1,_xll.BDH("EMN US EQUITY","PX_LAST",Financials!V7,Financials!V7,"eqy fund crncy","USD","days=A","FILL=P"),V68),"NA  ")</f>
        <v>79.260000000000005</v>
      </c>
      <c r="W68" s="827">
        <f ca="1">IFERROR(IF(BB_Switch=1,_xll.BDH("EMN US EQUITY","PX_LAST",Financials!W7,Financials!W7,"eqy fund crncy","USD","days=A","FILL=P"),W68),"NA  ")</f>
        <v>79.260000000000005</v>
      </c>
      <c r="X68" s="827">
        <f ca="1">IFERROR(IF(BB_Switch=1,_xll.BDH("EMN US EQUITY","PX_LAST",Financials!X7,Financials!X7,"eqy fund crncy","USD","days=A","FILL=P"),X68),"NA  ")</f>
        <v>79.260000000000005</v>
      </c>
      <c r="Y68" s="827">
        <f ca="1">IFERROR(IF(BB_Switch=1,_xll.BDH("EMN US EQUITY","PX_LAST",Financials!Y7,Financials!Y7,"eqy fund crncy","USD","days=A","FILL=P"),Y68),"NA  ")</f>
        <v>79.260000000000005</v>
      </c>
      <c r="Z68" s="827">
        <f ca="1">IFERROR(IF(BB_Switch=1,_xll.BDH("EMN US EQUITY","PX_LAST",Financials!Z7,Financials!Z7,"eqy fund crncy","USD","days=A","FILL=P"),Z68),"NA  ")</f>
        <v>79.260000000000005</v>
      </c>
      <c r="AA68" s="827">
        <f ca="1">IFERROR(IF(BB_Switch=1,_xll.BDH("EMN US EQUITY","PX_LAST",Financials!AA7,Financials!AA7,"eqy fund crncy","USD","days=A","FILL=P"),AA68),"NA  ")</f>
        <v>79.260000000000005</v>
      </c>
      <c r="AB68" s="827">
        <f ca="1">IFERROR(IF(BB_Switch=1,_xll.BDH("EMN US EQUITY","PX_LAST",Financials!AB7,Financials!AB7,"eqy fund crncy","USD","days=A","FILL=P"),AB68),"NA  ")</f>
        <v>79.260000000000005</v>
      </c>
      <c r="AC68" s="827">
        <f ca="1">IFERROR(IF(BB_Switch=1,_xll.BDH("EMN US EQUITY","PX_LAST",Financials!AC7,Financials!AC7,"eqy fund crncy","USD","days=A","FILL=P"),AC68),"NA  ")</f>
        <v>79.260000000000005</v>
      </c>
      <c r="AD68" s="827">
        <f ca="1">AC68</f>
        <v>79.260000000000005</v>
      </c>
      <c r="AE68" s="827">
        <f ca="1">AD68</f>
        <v>79.260000000000005</v>
      </c>
      <c r="AF68" s="827">
        <f ca="1">AE68</f>
        <v>79.260000000000005</v>
      </c>
      <c r="AG68" s="827">
        <f ca="1">AF68</f>
        <v>79.260000000000005</v>
      </c>
      <c r="AH68" s="445"/>
      <c r="AI68" s="445"/>
      <c r="AJ68" s="445"/>
      <c r="AK68" s="79"/>
      <c r="AL68" s="81">
        <f ca="1">IFERROR(IF(BB_Switch=1,_xll.BDH("EMN US EQUITY","PX_LAST",Financials!AL7,Financials!AL7,"eqy fund crncy","USD","days=A","FILL=P"),AL68),"NA  ")</f>
        <v>75.86</v>
      </c>
      <c r="AM68" s="81">
        <f ca="1">IFERROR(IF(BB_Switch=1,_xll.BDH("EMN US EQUITY","PX_LAST",Financials!AM7,Financials!AM7,"eqy fund crncy","USD","days=A","FILL=P"),AM68),"NA  ")</f>
        <v>67.510000000000005</v>
      </c>
      <c r="AN68" s="81">
        <f ca="1">IFERROR(IF(BB_Switch=1,_xll.BDH("EMN US EQUITY","PX_LAST",Financials!AN7,Financials!AN7,"eqy fund crncy","USD","days=A","FILL=P"),AN68),"NA  ")</f>
        <v>75.209999999999994</v>
      </c>
      <c r="AO68" s="81">
        <f ca="1">IFERROR(IF(BB_Switch=1,_xll.BDH("EMN US EQUITY","PX_LAST",Financials!AO7,Financials!AO7,"eqy fund crncy","USD","days=A","FILL=P"),AO68),"NA  ")</f>
        <v>92.64</v>
      </c>
      <c r="AP68" s="81">
        <f ca="1">IFERROR(IF(BB_Switch=1,_xll.BDH("EMN US EQUITY","PX_LAST",Financials!AP7,Financials!AP7,"eqy fund crncy","USD","days=A","FILL=P"),AP68),"NA  ")</f>
        <v>73.11</v>
      </c>
      <c r="AQ68" s="445"/>
      <c r="AR68" s="445"/>
      <c r="AS68" s="445"/>
      <c r="AT68" s="445"/>
      <c r="AU68" s="445"/>
      <c r="AV68" s="445"/>
      <c r="AW68" s="445"/>
      <c r="AX68" s="445"/>
    </row>
    <row r="69" spans="2:79" ht="11.25" customHeight="1">
      <c r="C69" s="43" t="s">
        <v>704</v>
      </c>
      <c r="E69" s="446"/>
      <c r="F69" s="446"/>
      <c r="G69" s="446"/>
      <c r="H69" s="444">
        <f t="shared" ref="H69:AG69" ca="1" si="144">SUM(E66:H66)/H68</f>
        <v>2.5129637016354209E-2</v>
      </c>
      <c r="I69" s="444">
        <f t="shared" ca="1" si="144"/>
        <v>2.4009900990099007E-2</v>
      </c>
      <c r="J69" s="444">
        <f t="shared" ca="1" si="144"/>
        <v>2.3693296821050123E-2</v>
      </c>
      <c r="K69" s="444">
        <f t="shared" ca="1" si="144"/>
        <v>2.2543927505801746E-2</v>
      </c>
      <c r="L69" s="444">
        <f t="shared" ca="1" si="144"/>
        <v>2.2560449050086355E-2</v>
      </c>
      <c r="M69" s="444">
        <f t="shared" ca="1" si="144"/>
        <v>2.0268990339079369E-2</v>
      </c>
      <c r="N69" s="444">
        <f t="shared" ca="1" si="144"/>
        <v>2.1908763505402162E-2</v>
      </c>
      <c r="O69" s="444">
        <f t="shared" ca="1" si="144"/>
        <v>2.3401587964897622E-2</v>
      </c>
      <c r="P69" s="444">
        <f t="shared" ca="1" si="144"/>
        <v>3.1459444672411435E-2</v>
      </c>
      <c r="Q69" s="444">
        <f t="shared" ca="1" si="144"/>
        <v>3.1101739588824461E-2</v>
      </c>
      <c r="R69" s="444">
        <f t="shared" ca="1" si="144"/>
        <v>3.1093408711293846E-2</v>
      </c>
      <c r="S69" s="444">
        <f t="shared" ca="1" si="144"/>
        <v>3.3590681294866587E-2</v>
      </c>
      <c r="T69" s="444">
        <f t="shared" ca="1" si="144"/>
        <v>3.1794095382286142E-2</v>
      </c>
      <c r="U69" s="444">
        <f t="shared" ca="1" si="144"/>
        <v>3.2321028335634022E-2</v>
      </c>
      <c r="V69" s="444">
        <f t="shared" ca="1" si="144"/>
        <v>3.2797908061419793E-2</v>
      </c>
      <c r="W69" s="444">
        <f t="shared" ca="1" si="144"/>
        <v>3.3368037635814425E-2</v>
      </c>
      <c r="X69" s="444">
        <f t="shared" ca="1" si="144"/>
        <v>3.3327999385318365E-2</v>
      </c>
      <c r="Y69" s="444">
        <f t="shared" ca="1" si="144"/>
        <v>3.3692671604949126E-2</v>
      </c>
      <c r="Z69" s="444">
        <f t="shared" ca="1" si="144"/>
        <v>3.4120221131573016E-2</v>
      </c>
      <c r="AA69" s="444">
        <f t="shared" ca="1" si="144"/>
        <v>3.4493220526008506E-2</v>
      </c>
      <c r="AB69" s="444">
        <f t="shared" ca="1" si="144"/>
        <v>3.4904184277716938E-2</v>
      </c>
      <c r="AC69" s="444">
        <f t="shared" ca="1" si="144"/>
        <v>3.5775005580648229E-2</v>
      </c>
      <c r="AD69" s="444">
        <f t="shared" ca="1" si="144"/>
        <v>3.6636914960587796E-2</v>
      </c>
      <c r="AE69" s="444">
        <f t="shared" ca="1" si="144"/>
        <v>3.7460124624106909E-2</v>
      </c>
      <c r="AF69" s="444">
        <f t="shared" ca="1" si="144"/>
        <v>3.8350869574572545E-2</v>
      </c>
      <c r="AG69" s="444">
        <f t="shared" ca="1" si="144"/>
        <v>3.835478173101186E-2</v>
      </c>
      <c r="AH69" s="446"/>
      <c r="AI69" s="446"/>
      <c r="AJ69" s="446"/>
      <c r="AK69" s="79"/>
      <c r="AL69" s="444">
        <f ca="1">AL66/AL68</f>
        <v>1.9114157658845242E-2</v>
      </c>
      <c r="AM69" s="444">
        <f ca="1">AM66/AM68</f>
        <v>2.4588949785217001E-2</v>
      </c>
      <c r="AN69" s="444">
        <f ca="1">AN66/AN68</f>
        <v>2.5129637016354209E-2</v>
      </c>
      <c r="AO69" s="444">
        <f ca="1">AO66/AO68</f>
        <v>2.2560449050086355E-2</v>
      </c>
      <c r="AP69" s="444">
        <f ca="1">AP66/AP68</f>
        <v>3.1459444672411435E-2</v>
      </c>
      <c r="AQ69" s="446"/>
      <c r="AR69" s="446"/>
      <c r="AS69" s="446"/>
      <c r="AT69" s="446"/>
      <c r="AU69" s="446"/>
      <c r="AV69" s="446"/>
      <c r="AW69" s="446"/>
      <c r="AX69" s="446"/>
    </row>
    <row r="70" spans="2:79" ht="11.25" customHeight="1">
      <c r="C70" s="43"/>
      <c r="E70" s="40"/>
      <c r="F70" s="40"/>
      <c r="G70" s="40"/>
      <c r="H70" s="81"/>
      <c r="I70" s="40"/>
      <c r="J70" s="40"/>
      <c r="K70" s="40"/>
      <c r="L70" s="34"/>
      <c r="M70" s="40"/>
      <c r="N70" s="40"/>
      <c r="O70" s="40"/>
      <c r="P70" s="34"/>
      <c r="Q70" s="40"/>
      <c r="R70" s="81"/>
      <c r="S70" s="81"/>
      <c r="T70" s="81"/>
      <c r="U70" s="81"/>
      <c r="V70" s="81"/>
      <c r="W70" s="81"/>
      <c r="X70" s="81"/>
      <c r="Y70" s="81"/>
      <c r="Z70" s="81"/>
      <c r="AA70" s="81"/>
      <c r="AB70" s="81"/>
      <c r="AC70" s="81"/>
      <c r="AD70" s="81"/>
      <c r="AE70" s="81"/>
      <c r="AF70" s="81"/>
      <c r="AG70" s="81"/>
      <c r="AH70" s="81"/>
      <c r="AI70" s="81"/>
      <c r="AJ70" s="81"/>
      <c r="AK70" s="79"/>
      <c r="AL70" s="40"/>
      <c r="AM70" s="40"/>
      <c r="AN70" s="40"/>
      <c r="AO70" s="40"/>
      <c r="AP70" s="40"/>
      <c r="AQ70" s="81"/>
      <c r="AR70" s="81"/>
      <c r="AS70" s="81"/>
      <c r="AT70" s="81"/>
      <c r="AU70" s="81"/>
      <c r="AV70" s="81"/>
      <c r="AW70" s="81"/>
      <c r="AX70" s="81"/>
    </row>
    <row r="71" spans="2:79" s="5" customFormat="1" ht="10.5">
      <c r="B71" s="687" t="s">
        <v>14</v>
      </c>
      <c r="C71" s="20" t="s">
        <v>375</v>
      </c>
      <c r="D71" s="20"/>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79"/>
      <c r="AL71" s="19"/>
      <c r="AM71" s="19"/>
      <c r="AN71" s="19"/>
      <c r="AO71" s="19"/>
      <c r="AP71" s="19"/>
      <c r="AQ71" s="19"/>
      <c r="AR71" s="19"/>
      <c r="AS71" s="19"/>
      <c r="AT71" s="19"/>
      <c r="AU71" s="19"/>
      <c r="AV71" s="19"/>
      <c r="AW71" s="19"/>
      <c r="AX71" s="19"/>
      <c r="AY71" s="1"/>
      <c r="AZ71" s="19"/>
      <c r="BA71" s="19"/>
      <c r="BB71" s="19"/>
      <c r="BC71" s="19"/>
      <c r="BD71" s="19"/>
      <c r="BE71" s="19"/>
      <c r="BF71" s="19"/>
      <c r="BG71" s="19"/>
      <c r="BH71" s="19"/>
      <c r="BI71" s="19"/>
      <c r="BJ71" s="19"/>
      <c r="BK71" s="19"/>
      <c r="BL71" s="19"/>
      <c r="BM71" s="19"/>
      <c r="BN71" s="19"/>
      <c r="BY71" s="829"/>
      <c r="BZ71" s="829"/>
      <c r="CA71" s="829"/>
    </row>
    <row r="72" spans="2:79" ht="11.25" customHeight="1">
      <c r="E72" s="40"/>
      <c r="F72" s="40"/>
      <c r="G72" s="40"/>
      <c r="H72" s="81"/>
      <c r="I72" s="40"/>
      <c r="J72" s="40"/>
      <c r="K72" s="40"/>
      <c r="L72" s="34"/>
      <c r="M72" s="40"/>
      <c r="N72" s="40"/>
      <c r="O72" s="40"/>
      <c r="P72" s="521"/>
      <c r="Q72" s="521"/>
      <c r="R72" s="521"/>
      <c r="S72" s="40"/>
      <c r="T72" s="40"/>
      <c r="U72" s="40"/>
      <c r="V72" s="40"/>
      <c r="W72" s="40"/>
      <c r="X72" s="40"/>
      <c r="Y72" s="40"/>
      <c r="Z72" s="40"/>
      <c r="AA72" s="40"/>
      <c r="AB72" s="40"/>
      <c r="AC72" s="40"/>
      <c r="AD72" s="40"/>
      <c r="AE72" s="40"/>
      <c r="AF72" s="40"/>
      <c r="AG72" s="40"/>
      <c r="AH72" s="40"/>
      <c r="AI72" s="40"/>
      <c r="AJ72" s="40"/>
      <c r="AK72" s="79"/>
      <c r="AL72" s="40"/>
      <c r="AM72" s="40"/>
      <c r="AN72" s="40"/>
      <c r="AO72" s="40"/>
      <c r="AP72" s="40"/>
      <c r="AQ72" s="81"/>
      <c r="AR72" s="81"/>
    </row>
    <row r="73" spans="2:79" ht="11.25" customHeight="1">
      <c r="C73" s="43" t="s">
        <v>18</v>
      </c>
      <c r="E73" s="99">
        <f t="shared" ref="E73:L73" si="145">E11</f>
        <v>2236</v>
      </c>
      <c r="F73" s="99">
        <f t="shared" si="145"/>
        <v>2297</v>
      </c>
      <c r="G73" s="99">
        <f t="shared" si="145"/>
        <v>2287</v>
      </c>
      <c r="H73" s="99">
        <f t="shared" si="145"/>
        <v>2188</v>
      </c>
      <c r="I73" s="99">
        <f t="shared" si="145"/>
        <v>2303</v>
      </c>
      <c r="J73" s="99">
        <f t="shared" si="145"/>
        <v>2419</v>
      </c>
      <c r="K73" s="99">
        <f t="shared" si="145"/>
        <v>2465</v>
      </c>
      <c r="L73" s="99">
        <f t="shared" si="145"/>
        <v>2362</v>
      </c>
      <c r="M73" s="99">
        <f t="shared" ref="M73:AC73" si="146">M11</f>
        <v>2607</v>
      </c>
      <c r="N73" s="99">
        <f t="shared" si="146"/>
        <v>2621</v>
      </c>
      <c r="O73" s="99">
        <f t="shared" si="146"/>
        <v>2547</v>
      </c>
      <c r="P73" s="99">
        <f t="shared" si="146"/>
        <v>2376</v>
      </c>
      <c r="Q73" s="99">
        <f t="shared" si="146"/>
        <v>2380</v>
      </c>
      <c r="R73" s="99">
        <f t="shared" si="146"/>
        <v>2363</v>
      </c>
      <c r="S73" s="99">
        <f t="shared" si="146"/>
        <v>2325</v>
      </c>
      <c r="T73" s="99">
        <f t="shared" si="146"/>
        <v>2205</v>
      </c>
      <c r="U73" s="99">
        <f t="shared" si="146"/>
        <v>2241</v>
      </c>
      <c r="V73" s="99">
        <f t="shared" si="146"/>
        <v>1924</v>
      </c>
      <c r="W73" s="99">
        <f t="shared" si="146"/>
        <v>2122</v>
      </c>
      <c r="X73" s="99">
        <f t="shared" si="146"/>
        <v>2186</v>
      </c>
      <c r="Y73" s="99">
        <f t="shared" si="146"/>
        <v>2409</v>
      </c>
      <c r="Z73" s="99">
        <f t="shared" si="146"/>
        <v>2653</v>
      </c>
      <c r="AA73" s="99">
        <f t="shared" si="146"/>
        <v>2720</v>
      </c>
      <c r="AB73" s="99">
        <f t="shared" si="146"/>
        <v>2694</v>
      </c>
      <c r="AC73" s="99">
        <f t="shared" si="146"/>
        <v>2714</v>
      </c>
      <c r="AD73" s="99">
        <f>AD11</f>
        <v>2784</v>
      </c>
      <c r="AE73" s="99">
        <f>AE11</f>
        <v>2709</v>
      </c>
      <c r="AF73" s="99">
        <f>AF11</f>
        <v>2373</v>
      </c>
      <c r="AG73" s="99">
        <f>AG11</f>
        <v>2412</v>
      </c>
      <c r="AH73" s="99">
        <f t="shared" ref="AH73:AJ73" si="147">AH11</f>
        <v>2705.24</v>
      </c>
      <c r="AI73" s="99">
        <f t="shared" si="147"/>
        <v>2698.02</v>
      </c>
      <c r="AJ73" s="99">
        <f t="shared" si="147"/>
        <v>2403.7800000000002</v>
      </c>
      <c r="AK73" s="79"/>
      <c r="AL73" s="99">
        <f>AL11</f>
        <v>9527</v>
      </c>
      <c r="AM73" s="99">
        <f>AM11</f>
        <v>9648</v>
      </c>
      <c r="AN73" s="33">
        <f t="shared" ref="AN73:AU73" si="148">SUMIF($E$6:$AK$6,AN$6,$E73:$AK73)</f>
        <v>9008</v>
      </c>
      <c r="AO73" s="33">
        <f t="shared" si="148"/>
        <v>9549</v>
      </c>
      <c r="AP73" s="33">
        <f t="shared" si="148"/>
        <v>10151</v>
      </c>
      <c r="AQ73" s="33">
        <f t="shared" si="148"/>
        <v>9273</v>
      </c>
      <c r="AR73" s="33">
        <f t="shared" si="148"/>
        <v>8473</v>
      </c>
      <c r="AS73" s="33">
        <f t="shared" si="148"/>
        <v>10476</v>
      </c>
      <c r="AT73" s="33">
        <f t="shared" si="148"/>
        <v>10580</v>
      </c>
      <c r="AU73" s="33">
        <f t="shared" si="148"/>
        <v>10219.040000000001</v>
      </c>
      <c r="AV73" s="99">
        <f>AV11</f>
        <v>10590.996599999999</v>
      </c>
      <c r="AW73" s="99">
        <f>AW11</f>
        <v>10912.299747000001</v>
      </c>
      <c r="AX73" s="99">
        <f>AX11</f>
        <v>11189.795110854999</v>
      </c>
    </row>
    <row r="74" spans="2:79" ht="11.25" customHeight="1" outlineLevel="1">
      <c r="C74" s="107" t="s">
        <v>358</v>
      </c>
      <c r="E74" s="46"/>
      <c r="F74" s="46"/>
      <c r="G74" s="46"/>
      <c r="H74" s="46"/>
      <c r="I74" s="94">
        <f t="shared" ref="I74:AG74" si="149">IFERROR(I73/E73-1,"NA  ")</f>
        <v>2.9964221824686943E-2</v>
      </c>
      <c r="J74" s="94">
        <f t="shared" si="149"/>
        <v>5.3112755768393471E-2</v>
      </c>
      <c r="K74" s="94">
        <f t="shared" si="149"/>
        <v>7.7831219938784502E-2</v>
      </c>
      <c r="L74" s="94">
        <f t="shared" si="149"/>
        <v>7.9524680073126186E-2</v>
      </c>
      <c r="M74" s="94">
        <f t="shared" si="149"/>
        <v>0.13200173686495864</v>
      </c>
      <c r="N74" s="94">
        <f t="shared" si="149"/>
        <v>8.3505580818520109E-2</v>
      </c>
      <c r="O74" s="94">
        <f t="shared" si="149"/>
        <v>3.326572008113593E-2</v>
      </c>
      <c r="P74" s="94">
        <f t="shared" si="149"/>
        <v>5.92718035563089E-3</v>
      </c>
      <c r="Q74" s="94">
        <f t="shared" si="149"/>
        <v>-8.7073264288454189E-2</v>
      </c>
      <c r="R74" s="94">
        <f t="shared" si="149"/>
        <v>-9.8435711560473149E-2</v>
      </c>
      <c r="S74" s="94">
        <f t="shared" si="149"/>
        <v>-8.7161366313309729E-2</v>
      </c>
      <c r="T74" s="94">
        <f t="shared" si="149"/>
        <v>-7.1969696969697017E-2</v>
      </c>
      <c r="U74" s="94">
        <f t="shared" si="149"/>
        <v>-5.840336134453783E-2</v>
      </c>
      <c r="V74" s="94">
        <f t="shared" si="149"/>
        <v>-0.1857807871349979</v>
      </c>
      <c r="W74" s="94">
        <f t="shared" si="149"/>
        <v>-8.7311827956989219E-2</v>
      </c>
      <c r="X74" s="94">
        <f t="shared" si="149"/>
        <v>-8.6167800453514909E-3</v>
      </c>
      <c r="Y74" s="94">
        <f t="shared" si="149"/>
        <v>7.4966532797858143E-2</v>
      </c>
      <c r="Z74" s="94">
        <f t="shared" si="149"/>
        <v>0.37889812889812879</v>
      </c>
      <c r="AA74" s="94">
        <f t="shared" si="149"/>
        <v>0.28180961357210177</v>
      </c>
      <c r="AB74" s="94">
        <f t="shared" si="149"/>
        <v>0.23238792314730095</v>
      </c>
      <c r="AC74" s="94">
        <f t="shared" si="149"/>
        <v>0.1266085512660855</v>
      </c>
      <c r="AD74" s="94">
        <f t="shared" si="149"/>
        <v>4.9378062570674786E-2</v>
      </c>
      <c r="AE74" s="94">
        <f t="shared" si="149"/>
        <v>-4.0441176470588092E-3</v>
      </c>
      <c r="AF74" s="94">
        <f t="shared" si="149"/>
        <v>-0.11915367483296213</v>
      </c>
      <c r="AG74" s="94">
        <f t="shared" si="149"/>
        <v>-0.11127487103905676</v>
      </c>
      <c r="AH74" s="94">
        <f t="shared" ref="AH74" si="150">IFERROR(AH73/AD73-1,"NA  ")</f>
        <v>-2.8290229885057583E-2</v>
      </c>
      <c r="AI74" s="94">
        <f t="shared" ref="AI74" si="151">IFERROR(AI73/AE73-1,"NA  ")</f>
        <v>-4.0531561461794041E-3</v>
      </c>
      <c r="AJ74" s="94">
        <f t="shared" ref="AJ74" si="152">IFERROR(AJ73/AF73-1,"NA  ")</f>
        <v>1.2970922882427294E-2</v>
      </c>
      <c r="AK74" s="79"/>
      <c r="AL74" s="96"/>
      <c r="AM74" s="95">
        <f t="shared" ref="AM74:AX74" si="153">IFERROR(AM73/AL73-1,"NA  ")</f>
        <v>1.270074525034115E-2</v>
      </c>
      <c r="AN74" s="95">
        <f t="shared" si="153"/>
        <v>-6.6334991708126068E-2</v>
      </c>
      <c r="AO74" s="95">
        <f t="shared" si="153"/>
        <v>6.0057726465364114E-2</v>
      </c>
      <c r="AP74" s="95">
        <f t="shared" si="153"/>
        <v>6.3043250602157208E-2</v>
      </c>
      <c r="AQ74" s="95">
        <f t="shared" si="153"/>
        <v>-8.6493941483597681E-2</v>
      </c>
      <c r="AR74" s="95">
        <f t="shared" si="153"/>
        <v>-8.6271972392968799E-2</v>
      </c>
      <c r="AS74" s="95">
        <f t="shared" si="153"/>
        <v>0.23639797002242413</v>
      </c>
      <c r="AT74" s="95">
        <f t="shared" si="153"/>
        <v>9.9274532264221893E-3</v>
      </c>
      <c r="AU74" s="95">
        <f t="shared" si="153"/>
        <v>-3.4117202268430957E-2</v>
      </c>
      <c r="AV74" s="95">
        <f t="shared" si="153"/>
        <v>3.6398389672610998E-2</v>
      </c>
      <c r="AW74" s="95">
        <f t="shared" si="153"/>
        <v>3.0337385529894512E-2</v>
      </c>
      <c r="AX74" s="95">
        <f t="shared" si="153"/>
        <v>2.5429595070579625E-2</v>
      </c>
    </row>
    <row r="75" spans="2:79" ht="5.2" customHeight="1" outlineLevel="1">
      <c r="C75" s="43"/>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79"/>
      <c r="AL75" s="99"/>
      <c r="AM75" s="99"/>
      <c r="AN75" s="33"/>
      <c r="AO75" s="33"/>
      <c r="AP75" s="33"/>
      <c r="AQ75" s="33"/>
      <c r="AR75" s="33"/>
    </row>
    <row r="76" spans="2:79" ht="11.25" customHeight="1">
      <c r="C76" s="43" t="s">
        <v>380</v>
      </c>
      <c r="E76" s="99">
        <f>E138</f>
        <v>1602</v>
      </c>
      <c r="F76" s="99">
        <f t="shared" ref="F76:L76" si="154">F138</f>
        <v>1692</v>
      </c>
      <c r="G76" s="99">
        <f t="shared" si="154"/>
        <v>1648</v>
      </c>
      <c r="H76" s="99">
        <f t="shared" si="154"/>
        <v>1638</v>
      </c>
      <c r="I76" s="99">
        <f t="shared" si="154"/>
        <v>1698</v>
      </c>
      <c r="J76" s="99">
        <f t="shared" si="154"/>
        <v>1789</v>
      </c>
      <c r="K76" s="99">
        <f t="shared" si="154"/>
        <v>1794</v>
      </c>
      <c r="L76" s="99">
        <f t="shared" si="154"/>
        <v>1793</v>
      </c>
      <c r="M76" s="99">
        <f t="shared" ref="M76:AC76" si="155">M138</f>
        <v>1939</v>
      </c>
      <c r="N76" s="99">
        <f t="shared" si="155"/>
        <v>1958</v>
      </c>
      <c r="O76" s="99">
        <f t="shared" si="155"/>
        <v>1886</v>
      </c>
      <c r="P76" s="99">
        <f t="shared" si="155"/>
        <v>1907</v>
      </c>
      <c r="Q76" s="99">
        <f t="shared" si="155"/>
        <v>1806</v>
      </c>
      <c r="R76" s="99">
        <f t="shared" si="155"/>
        <v>1774</v>
      </c>
      <c r="S76" s="99">
        <f t="shared" si="155"/>
        <v>1751</v>
      </c>
      <c r="T76" s="99">
        <f t="shared" si="155"/>
        <v>1708</v>
      </c>
      <c r="U76" s="99">
        <f t="shared" si="155"/>
        <v>1664</v>
      </c>
      <c r="V76" s="99">
        <f t="shared" si="155"/>
        <v>1553</v>
      </c>
      <c r="W76" s="99">
        <f t="shared" si="155"/>
        <v>1614</v>
      </c>
      <c r="X76" s="99">
        <f t="shared" si="155"/>
        <v>1659</v>
      </c>
      <c r="Y76" s="99">
        <f t="shared" si="155"/>
        <v>1807</v>
      </c>
      <c r="Z76" s="99">
        <f t="shared" si="155"/>
        <v>1972</v>
      </c>
      <c r="AA76" s="99">
        <f t="shared" si="155"/>
        <v>2058</v>
      </c>
      <c r="AB76" s="99">
        <f t="shared" si="155"/>
        <v>2135</v>
      </c>
      <c r="AC76" s="99">
        <f t="shared" si="155"/>
        <v>2139</v>
      </c>
      <c r="AD76" s="99">
        <f>AD138</f>
        <v>2097</v>
      </c>
      <c r="AE76" s="99">
        <f>AE138</f>
        <v>2168</v>
      </c>
      <c r="AF76" s="99">
        <f>AF138</f>
        <v>2000</v>
      </c>
      <c r="AG76" s="99">
        <f>AG138</f>
        <v>1868</v>
      </c>
      <c r="AH76" s="99">
        <f t="shared" ref="AH76:AJ76" si="156">AH138</f>
        <v>2123.6133999999997</v>
      </c>
      <c r="AI76" s="99">
        <f t="shared" si="156"/>
        <v>2117.9457000000002</v>
      </c>
      <c r="AJ76" s="99">
        <f t="shared" si="156"/>
        <v>1886.9673000000003</v>
      </c>
      <c r="AK76" s="79"/>
      <c r="AL76" s="99">
        <f>AL138</f>
        <v>7042</v>
      </c>
      <c r="AM76" s="99">
        <f>AM138</f>
        <v>6977</v>
      </c>
      <c r="AN76" s="33">
        <f t="shared" ref="AN76:AU76" si="157">SUMIF($E$6:$AK$6,AN$6,$E76:$AK76)</f>
        <v>6580</v>
      </c>
      <c r="AO76" s="33">
        <f t="shared" si="157"/>
        <v>7074</v>
      </c>
      <c r="AP76" s="33">
        <f t="shared" si="157"/>
        <v>7690</v>
      </c>
      <c r="AQ76" s="33">
        <f t="shared" si="157"/>
        <v>7039</v>
      </c>
      <c r="AR76" s="33">
        <f t="shared" si="157"/>
        <v>6490</v>
      </c>
      <c r="AS76" s="33">
        <f t="shared" si="157"/>
        <v>7972</v>
      </c>
      <c r="AT76" s="33">
        <f t="shared" si="157"/>
        <v>8404</v>
      </c>
      <c r="AU76" s="33">
        <f t="shared" si="157"/>
        <v>7996.5264000000006</v>
      </c>
      <c r="AV76" s="99">
        <f>AV138</f>
        <v>7837.3374839999988</v>
      </c>
      <c r="AW76" s="99">
        <f>AW138</f>
        <v>8075.1018127800007</v>
      </c>
      <c r="AX76" s="99">
        <f>AX138</f>
        <v>8280.4483820326986</v>
      </c>
    </row>
    <row r="77" spans="2:79" ht="11.25" customHeight="1" outlineLevel="1">
      <c r="C77" s="107" t="s">
        <v>358</v>
      </c>
      <c r="E77" s="46"/>
      <c r="F77" s="46"/>
      <c r="G77" s="46"/>
      <c r="H77" s="46"/>
      <c r="I77" s="94">
        <f t="shared" ref="I77:AG77" si="158">IFERROR(I76/E76-1,"NA  ")</f>
        <v>5.9925093632958726E-2</v>
      </c>
      <c r="J77" s="94">
        <f t="shared" si="158"/>
        <v>5.7328605200945626E-2</v>
      </c>
      <c r="K77" s="94">
        <f t="shared" si="158"/>
        <v>8.8592233009708643E-2</v>
      </c>
      <c r="L77" s="94">
        <f t="shared" si="158"/>
        <v>9.4627594627594735E-2</v>
      </c>
      <c r="M77" s="94">
        <f t="shared" si="158"/>
        <v>0.14193168433451109</v>
      </c>
      <c r="N77" s="94">
        <f t="shared" si="158"/>
        <v>9.4466182224706596E-2</v>
      </c>
      <c r="O77" s="94">
        <f t="shared" si="158"/>
        <v>5.1282051282051322E-2</v>
      </c>
      <c r="P77" s="94">
        <f t="shared" si="158"/>
        <v>6.3580591187953228E-2</v>
      </c>
      <c r="Q77" s="94">
        <f t="shared" si="158"/>
        <v>-6.8592057761732828E-2</v>
      </c>
      <c r="R77" s="94">
        <f t="shared" si="158"/>
        <v>-9.3973442288049047E-2</v>
      </c>
      <c r="S77" s="94">
        <f t="shared" si="158"/>
        <v>-7.15800636267232E-2</v>
      </c>
      <c r="T77" s="94">
        <f t="shared" si="158"/>
        <v>-0.10435238594651286</v>
      </c>
      <c r="U77" s="94">
        <f t="shared" si="158"/>
        <v>-7.8626799557032112E-2</v>
      </c>
      <c r="V77" s="94">
        <f t="shared" si="158"/>
        <v>-0.12457722660653892</v>
      </c>
      <c r="W77" s="94">
        <f t="shared" si="158"/>
        <v>-7.824100513992005E-2</v>
      </c>
      <c r="X77" s="94">
        <f t="shared" si="158"/>
        <v>-2.8688524590163911E-2</v>
      </c>
      <c r="Y77" s="94">
        <f t="shared" si="158"/>
        <v>8.59375E-2</v>
      </c>
      <c r="Z77" s="94">
        <f t="shared" si="158"/>
        <v>0.26980038634900194</v>
      </c>
      <c r="AA77" s="94">
        <f t="shared" si="158"/>
        <v>0.27509293680297398</v>
      </c>
      <c r="AB77" s="94">
        <f t="shared" si="158"/>
        <v>0.28691983122362874</v>
      </c>
      <c r="AC77" s="94">
        <f t="shared" si="158"/>
        <v>0.18372993912562263</v>
      </c>
      <c r="AD77" s="94">
        <f t="shared" si="158"/>
        <v>6.3387423935091336E-2</v>
      </c>
      <c r="AE77" s="94">
        <f t="shared" si="158"/>
        <v>5.344995140913511E-2</v>
      </c>
      <c r="AF77" s="94">
        <f t="shared" si="158"/>
        <v>-6.3231850117095978E-2</v>
      </c>
      <c r="AG77" s="94">
        <f t="shared" si="158"/>
        <v>-0.12669471715755021</v>
      </c>
      <c r="AH77" s="94">
        <f t="shared" ref="AH77" si="159">IFERROR(AH76/AD76-1,"NA  ")</f>
        <v>1.2691177873151993E-2</v>
      </c>
      <c r="AI77" s="94">
        <f t="shared" ref="AI77" si="160">IFERROR(AI76/AE76-1,"NA  ")</f>
        <v>-2.3087776752767408E-2</v>
      </c>
      <c r="AJ77" s="94">
        <f t="shared" ref="AJ77" si="161">IFERROR(AJ76/AF76-1,"NA  ")</f>
        <v>-5.6516349999999882E-2</v>
      </c>
      <c r="AK77" s="79"/>
      <c r="AL77" s="96"/>
      <c r="AM77" s="95">
        <f t="shared" ref="AM77:AX77" si="162">IFERROR(AM76/AL76-1,"NA  ")</f>
        <v>-9.230332291962462E-3</v>
      </c>
      <c r="AN77" s="95">
        <f t="shared" si="162"/>
        <v>-5.6901246954278339E-2</v>
      </c>
      <c r="AO77" s="95">
        <f t="shared" si="162"/>
        <v>7.5075987841945357E-2</v>
      </c>
      <c r="AP77" s="95">
        <f t="shared" si="162"/>
        <v>8.7079445858071702E-2</v>
      </c>
      <c r="AQ77" s="95">
        <f t="shared" si="162"/>
        <v>-8.465539661898569E-2</v>
      </c>
      <c r="AR77" s="95">
        <f t="shared" si="162"/>
        <v>-7.7994033243358407E-2</v>
      </c>
      <c r="AS77" s="95">
        <f t="shared" si="162"/>
        <v>0.22835130970724182</v>
      </c>
      <c r="AT77" s="95">
        <f t="shared" si="162"/>
        <v>5.4189663823381862E-2</v>
      </c>
      <c r="AU77" s="95">
        <f t="shared" si="162"/>
        <v>-4.8485673488814718E-2</v>
      </c>
      <c r="AV77" s="95">
        <f t="shared" si="162"/>
        <v>-1.9907258231524394E-2</v>
      </c>
      <c r="AW77" s="95">
        <f t="shared" si="162"/>
        <v>3.0337385529894512E-2</v>
      </c>
      <c r="AX77" s="95">
        <f t="shared" si="162"/>
        <v>2.5429595070579403E-2</v>
      </c>
    </row>
    <row r="78" spans="2:79" ht="11.25" customHeight="1" outlineLevel="1">
      <c r="C78" s="107" t="s">
        <v>359</v>
      </c>
      <c r="E78" s="94">
        <f>IFERROR(E76/E73,"NA  ")</f>
        <v>0.71645796064400713</v>
      </c>
      <c r="F78" s="94">
        <f t="shared" ref="F78:L78" si="163">IFERROR(F76/F73,"NA  ")</f>
        <v>0.73661297344362209</v>
      </c>
      <c r="G78" s="94">
        <f t="shared" si="163"/>
        <v>0.72059466550065587</v>
      </c>
      <c r="H78" s="94">
        <f t="shared" si="163"/>
        <v>0.74862888482632539</v>
      </c>
      <c r="I78" s="94">
        <f t="shared" si="163"/>
        <v>0.73729917498914455</v>
      </c>
      <c r="J78" s="94">
        <f t="shared" si="163"/>
        <v>0.73956180239768499</v>
      </c>
      <c r="K78" s="94">
        <f t="shared" si="163"/>
        <v>0.72778904665314403</v>
      </c>
      <c r="L78" s="94">
        <f t="shared" si="163"/>
        <v>0.7591024555461473</v>
      </c>
      <c r="M78" s="94">
        <f t="shared" ref="M78:AC78" si="164">IFERROR(M76/M73,"NA  ")</f>
        <v>0.74376678174146527</v>
      </c>
      <c r="N78" s="94">
        <f t="shared" si="164"/>
        <v>0.74704311331552842</v>
      </c>
      <c r="O78" s="94">
        <f t="shared" si="164"/>
        <v>0.74047899489595603</v>
      </c>
      <c r="P78" s="94">
        <f t="shared" si="164"/>
        <v>0.80260942760942766</v>
      </c>
      <c r="Q78" s="94">
        <f t="shared" si="164"/>
        <v>0.75882352941176467</v>
      </c>
      <c r="R78" s="94">
        <f t="shared" si="164"/>
        <v>0.7507405840033855</v>
      </c>
      <c r="S78" s="94">
        <f t="shared" si="164"/>
        <v>0.75311827956989252</v>
      </c>
      <c r="T78" s="94">
        <f t="shared" si="164"/>
        <v>0.77460317460317463</v>
      </c>
      <c r="U78" s="94">
        <f t="shared" si="164"/>
        <v>0.74252565818830885</v>
      </c>
      <c r="V78" s="94">
        <f t="shared" si="164"/>
        <v>0.8071725571725572</v>
      </c>
      <c r="W78" s="94">
        <f t="shared" si="164"/>
        <v>0.76060320452403396</v>
      </c>
      <c r="X78" s="94">
        <f t="shared" si="164"/>
        <v>0.75892040256175664</v>
      </c>
      <c r="Y78" s="94">
        <f t="shared" si="164"/>
        <v>0.75010377750103774</v>
      </c>
      <c r="Z78" s="94">
        <f t="shared" si="164"/>
        <v>0.74330946098756123</v>
      </c>
      <c r="AA78" s="94">
        <f t="shared" si="164"/>
        <v>0.75661764705882351</v>
      </c>
      <c r="AB78" s="94">
        <f t="shared" si="164"/>
        <v>0.79250185597624345</v>
      </c>
      <c r="AC78" s="94">
        <f t="shared" si="164"/>
        <v>0.78813559322033899</v>
      </c>
      <c r="AD78" s="94">
        <f>IFERROR(AD76/AD73,"NA  ")</f>
        <v>0.75323275862068961</v>
      </c>
      <c r="AE78" s="94">
        <f>IFERROR(AE76/AE73,"NA  ")</f>
        <v>0.8002953119232189</v>
      </c>
      <c r="AF78" s="94">
        <f>IFERROR(AF76/AF73,"NA  ")</f>
        <v>0.84281500210703753</v>
      </c>
      <c r="AG78" s="94">
        <f>IFERROR(AG76/AG73,"NA  ")</f>
        <v>0.7744610281923715</v>
      </c>
      <c r="AH78" s="94">
        <f t="shared" ref="AH78:AJ78" si="165">IFERROR(AH76/AH73,"NA  ")</f>
        <v>0.78499999999999992</v>
      </c>
      <c r="AI78" s="94">
        <f t="shared" si="165"/>
        <v>0.78500000000000003</v>
      </c>
      <c r="AJ78" s="94">
        <f t="shared" si="165"/>
        <v>0.78500000000000003</v>
      </c>
      <c r="AK78" s="79"/>
      <c r="AL78" s="94">
        <f t="shared" ref="AL78:AQ78" si="166">IFERROR(AL76/AL73,"NA  ")</f>
        <v>0.73916238060249817</v>
      </c>
      <c r="AM78" s="94">
        <f t="shared" si="166"/>
        <v>0.72315505804311775</v>
      </c>
      <c r="AN78" s="94">
        <f t="shared" si="166"/>
        <v>0.73046181172291291</v>
      </c>
      <c r="AO78" s="94">
        <f t="shared" si="166"/>
        <v>0.74081055607917057</v>
      </c>
      <c r="AP78" s="94">
        <f t="shared" si="166"/>
        <v>0.75756083144517783</v>
      </c>
      <c r="AQ78" s="94">
        <f t="shared" si="166"/>
        <v>0.7590855170926345</v>
      </c>
      <c r="AR78" s="94">
        <f t="shared" ref="AR78:AW78" si="167">IFERROR(AR76/AR73,"NA  ")</f>
        <v>0.76596246901923759</v>
      </c>
      <c r="AS78" s="94">
        <f t="shared" si="167"/>
        <v>0.76097747231767854</v>
      </c>
      <c r="AT78" s="94">
        <f t="shared" si="167"/>
        <v>0.79432892249527409</v>
      </c>
      <c r="AU78" s="94">
        <f t="shared" ref="AU78" si="168">IFERROR(AU76/AU73,"NA  ")</f>
        <v>0.78251248649579608</v>
      </c>
      <c r="AV78" s="94">
        <f t="shared" si="167"/>
        <v>0.74</v>
      </c>
      <c r="AW78" s="94">
        <f t="shared" si="167"/>
        <v>0.74</v>
      </c>
      <c r="AX78" s="94">
        <f t="shared" ref="AX78" si="169">IFERROR(AX76/AX73,"NA  ")</f>
        <v>0.74</v>
      </c>
    </row>
    <row r="79" spans="2:79" ht="5.2" customHeight="1" outlineLevel="1">
      <c r="C79" s="43"/>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81"/>
      <c r="AE79" s="81"/>
      <c r="AF79" s="81"/>
      <c r="AG79" s="81"/>
      <c r="AH79" s="81"/>
      <c r="AI79" s="81"/>
      <c r="AJ79" s="81"/>
      <c r="AK79" s="79"/>
      <c r="AL79" s="99"/>
      <c r="AM79" s="99"/>
      <c r="AN79" s="33"/>
      <c r="AO79" s="33"/>
      <c r="AP79" s="33"/>
      <c r="AQ79" s="33"/>
      <c r="AR79" s="33"/>
    </row>
    <row r="80" spans="2:79" ht="11.25" customHeight="1">
      <c r="C80" s="45" t="s">
        <v>386</v>
      </c>
      <c r="E80" s="100">
        <f>E73-E76</f>
        <v>634</v>
      </c>
      <c r="F80" s="100">
        <f t="shared" ref="F80:L80" si="170">F73-F76</f>
        <v>605</v>
      </c>
      <c r="G80" s="100">
        <f t="shared" si="170"/>
        <v>639</v>
      </c>
      <c r="H80" s="100">
        <f t="shared" si="170"/>
        <v>550</v>
      </c>
      <c r="I80" s="100">
        <f t="shared" si="170"/>
        <v>605</v>
      </c>
      <c r="J80" s="100">
        <f t="shared" si="170"/>
        <v>630</v>
      </c>
      <c r="K80" s="100">
        <f t="shared" si="170"/>
        <v>671</v>
      </c>
      <c r="L80" s="100">
        <f t="shared" si="170"/>
        <v>569</v>
      </c>
      <c r="M80" s="100">
        <f t="shared" ref="M80:AC80" si="171">M73-M76</f>
        <v>668</v>
      </c>
      <c r="N80" s="100">
        <f t="shared" si="171"/>
        <v>663</v>
      </c>
      <c r="O80" s="100">
        <f t="shared" si="171"/>
        <v>661</v>
      </c>
      <c r="P80" s="100">
        <f t="shared" si="171"/>
        <v>469</v>
      </c>
      <c r="Q80" s="100">
        <f t="shared" si="171"/>
        <v>574</v>
      </c>
      <c r="R80" s="100">
        <f t="shared" si="171"/>
        <v>589</v>
      </c>
      <c r="S80" s="100">
        <f t="shared" si="171"/>
        <v>574</v>
      </c>
      <c r="T80" s="100">
        <f t="shared" si="171"/>
        <v>497</v>
      </c>
      <c r="U80" s="100">
        <f t="shared" si="171"/>
        <v>577</v>
      </c>
      <c r="V80" s="100">
        <f t="shared" si="171"/>
        <v>371</v>
      </c>
      <c r="W80" s="100">
        <f t="shared" si="171"/>
        <v>508</v>
      </c>
      <c r="X80" s="100">
        <f t="shared" si="171"/>
        <v>527</v>
      </c>
      <c r="Y80" s="100">
        <f t="shared" si="171"/>
        <v>602</v>
      </c>
      <c r="Z80" s="100">
        <f t="shared" si="171"/>
        <v>681</v>
      </c>
      <c r="AA80" s="100">
        <f t="shared" si="171"/>
        <v>662</v>
      </c>
      <c r="AB80" s="100">
        <f t="shared" si="171"/>
        <v>559</v>
      </c>
      <c r="AC80" s="100">
        <f t="shared" si="171"/>
        <v>575</v>
      </c>
      <c r="AD80" s="100">
        <f>AD73-AD76</f>
        <v>687</v>
      </c>
      <c r="AE80" s="100">
        <f>AE73-AE76</f>
        <v>541</v>
      </c>
      <c r="AF80" s="100">
        <f>AF73-AF76</f>
        <v>373</v>
      </c>
      <c r="AG80" s="100">
        <f>AG73-AG76</f>
        <v>544</v>
      </c>
      <c r="AH80" s="100">
        <f t="shared" ref="AH80:AJ80" si="172">AH73-AH76</f>
        <v>581.62660000000005</v>
      </c>
      <c r="AI80" s="100">
        <f t="shared" si="172"/>
        <v>580.07429999999977</v>
      </c>
      <c r="AJ80" s="100">
        <f t="shared" si="172"/>
        <v>516.81269999999995</v>
      </c>
      <c r="AK80" s="79"/>
      <c r="AL80" s="100">
        <f>AL73-AL76</f>
        <v>2485</v>
      </c>
      <c r="AM80" s="100">
        <f>AM73-AM76</f>
        <v>2671</v>
      </c>
      <c r="AN80" s="100">
        <f t="shared" ref="AN80:AT80" si="173">AN73-AN76</f>
        <v>2428</v>
      </c>
      <c r="AO80" s="100">
        <f t="shared" si="173"/>
        <v>2475</v>
      </c>
      <c r="AP80" s="100">
        <f t="shared" si="173"/>
        <v>2461</v>
      </c>
      <c r="AQ80" s="100">
        <f t="shared" si="173"/>
        <v>2234</v>
      </c>
      <c r="AR80" s="100">
        <f t="shared" si="173"/>
        <v>1983</v>
      </c>
      <c r="AS80" s="100">
        <f t="shared" si="173"/>
        <v>2504</v>
      </c>
      <c r="AT80" s="100">
        <f t="shared" si="173"/>
        <v>2176</v>
      </c>
      <c r="AU80" s="100">
        <f t="shared" ref="AU80" si="174">AU73-AU76</f>
        <v>2222.5136000000002</v>
      </c>
      <c r="AV80" s="100">
        <f t="shared" ref="AV80:AW80" si="175">AV73-AV76</f>
        <v>2753.6591159999998</v>
      </c>
      <c r="AW80" s="100">
        <f t="shared" si="175"/>
        <v>2837.1979342200002</v>
      </c>
      <c r="AX80" s="100">
        <f t="shared" ref="AX80" si="176">AX73-AX76</f>
        <v>2909.3467288223001</v>
      </c>
    </row>
    <row r="81" spans="3:50" ht="11.25" customHeight="1" outlineLevel="1">
      <c r="C81" s="93" t="s">
        <v>358</v>
      </c>
      <c r="E81" s="124"/>
      <c r="F81" s="124"/>
      <c r="G81" s="124"/>
      <c r="H81" s="124"/>
      <c r="I81" s="94">
        <f t="shared" ref="I81:AG81" si="177">IFERROR(I80/E80-1,"NA  ")</f>
        <v>-4.5741324921135695E-2</v>
      </c>
      <c r="J81" s="94">
        <f t="shared" si="177"/>
        <v>4.1322314049586861E-2</v>
      </c>
      <c r="K81" s="94">
        <f t="shared" si="177"/>
        <v>5.007824726134591E-2</v>
      </c>
      <c r="L81" s="94">
        <f t="shared" si="177"/>
        <v>3.4545454545454435E-2</v>
      </c>
      <c r="M81" s="94">
        <f t="shared" si="177"/>
        <v>0.10413223140495864</v>
      </c>
      <c r="N81" s="94">
        <f t="shared" si="177"/>
        <v>5.2380952380952417E-2</v>
      </c>
      <c r="O81" s="94">
        <f t="shared" si="177"/>
        <v>-1.4903129657228065E-2</v>
      </c>
      <c r="P81" s="94">
        <f t="shared" si="177"/>
        <v>-0.17574692442882245</v>
      </c>
      <c r="Q81" s="94">
        <f t="shared" si="177"/>
        <v>-0.14071856287425155</v>
      </c>
      <c r="R81" s="94">
        <f t="shared" si="177"/>
        <v>-0.11161387631975872</v>
      </c>
      <c r="S81" s="94">
        <f t="shared" si="177"/>
        <v>-0.1316187594553706</v>
      </c>
      <c r="T81" s="94">
        <f t="shared" si="177"/>
        <v>5.9701492537313383E-2</v>
      </c>
      <c r="U81" s="94">
        <f t="shared" si="177"/>
        <v>5.2264808362370019E-3</v>
      </c>
      <c r="V81" s="94">
        <f t="shared" si="177"/>
        <v>-0.37011884550084895</v>
      </c>
      <c r="W81" s="94">
        <f t="shared" si="177"/>
        <v>-0.1149825783972126</v>
      </c>
      <c r="X81" s="94">
        <f t="shared" si="177"/>
        <v>6.0362173038229328E-2</v>
      </c>
      <c r="Y81" s="94">
        <f t="shared" si="177"/>
        <v>4.3327556325823302E-2</v>
      </c>
      <c r="Z81" s="94">
        <f t="shared" si="177"/>
        <v>0.83557951482479775</v>
      </c>
      <c r="AA81" s="94">
        <f t="shared" si="177"/>
        <v>0.3031496062992125</v>
      </c>
      <c r="AB81" s="94">
        <f t="shared" si="177"/>
        <v>6.0721062618595889E-2</v>
      </c>
      <c r="AC81" s="94">
        <f t="shared" si="177"/>
        <v>-4.4850498338870448E-2</v>
      </c>
      <c r="AD81" s="94">
        <f t="shared" si="177"/>
        <v>8.8105726872247381E-3</v>
      </c>
      <c r="AE81" s="94">
        <f t="shared" si="177"/>
        <v>-0.18277945619335345</v>
      </c>
      <c r="AF81" s="94">
        <f t="shared" si="177"/>
        <v>-0.33273703041144898</v>
      </c>
      <c r="AG81" s="94">
        <f t="shared" si="177"/>
        <v>-5.3913043478260869E-2</v>
      </c>
      <c r="AH81" s="94">
        <f t="shared" ref="AH81" si="178">IFERROR(AH80/AD80-1,"NA  ")</f>
        <v>-0.15338195050946135</v>
      </c>
      <c r="AI81" s="94">
        <f t="shared" ref="AI81" si="179">IFERROR(AI80/AE80-1,"NA  ")</f>
        <v>7.2226062846580064E-2</v>
      </c>
      <c r="AJ81" s="94">
        <f t="shared" ref="AJ81" si="180">IFERROR(AJ80/AF80-1,"NA  ")</f>
        <v>0.38555683646112593</v>
      </c>
      <c r="AK81" s="79"/>
      <c r="AL81" s="124"/>
      <c r="AM81" s="94">
        <f t="shared" ref="AM81:AX81" si="181">IFERROR(AM80/AL80-1,"NA  ")</f>
        <v>7.4849094567404517E-2</v>
      </c>
      <c r="AN81" s="94">
        <f t="shared" si="181"/>
        <v>-9.0977162111568699E-2</v>
      </c>
      <c r="AO81" s="94">
        <f t="shared" si="181"/>
        <v>1.9357495881383802E-2</v>
      </c>
      <c r="AP81" s="94">
        <f t="shared" si="181"/>
        <v>-5.656565656565693E-3</v>
      </c>
      <c r="AQ81" s="94">
        <f t="shared" si="181"/>
        <v>-9.2238927265339332E-2</v>
      </c>
      <c r="AR81" s="94">
        <f t="shared" si="181"/>
        <v>-0.11235452103849597</v>
      </c>
      <c r="AS81" s="94">
        <f t="shared" si="181"/>
        <v>0.2627332324760463</v>
      </c>
      <c r="AT81" s="94">
        <f t="shared" si="181"/>
        <v>-0.13099041533546329</v>
      </c>
      <c r="AU81" s="94">
        <f t="shared" si="181"/>
        <v>2.1375735294117737E-2</v>
      </c>
      <c r="AV81" s="94">
        <f t="shared" si="181"/>
        <v>0.23898414659869771</v>
      </c>
      <c r="AW81" s="94">
        <f t="shared" si="181"/>
        <v>3.0337385529894512E-2</v>
      </c>
      <c r="AX81" s="94">
        <f t="shared" si="181"/>
        <v>2.5429595070579625E-2</v>
      </c>
    </row>
    <row r="82" spans="3:50" ht="11.25" customHeight="1" outlineLevel="1">
      <c r="C82" s="93" t="s">
        <v>360</v>
      </c>
      <c r="E82" s="94">
        <f>E80/E73</f>
        <v>0.28354203935599287</v>
      </c>
      <c r="F82" s="94">
        <f t="shared" ref="F82:L82" si="182">F80/F73</f>
        <v>0.26338702655637786</v>
      </c>
      <c r="G82" s="94">
        <f t="shared" si="182"/>
        <v>0.27940533449934413</v>
      </c>
      <c r="H82" s="94">
        <f t="shared" si="182"/>
        <v>0.25137111517367461</v>
      </c>
      <c r="I82" s="94">
        <f t="shared" si="182"/>
        <v>0.2627008250108554</v>
      </c>
      <c r="J82" s="94">
        <f t="shared" si="182"/>
        <v>0.26043819760231501</v>
      </c>
      <c r="K82" s="94">
        <f t="shared" si="182"/>
        <v>0.27221095334685597</v>
      </c>
      <c r="L82" s="94">
        <f t="shared" si="182"/>
        <v>0.24089754445385267</v>
      </c>
      <c r="M82" s="94">
        <f t="shared" ref="M82:AC82" si="183">M80/M73</f>
        <v>0.25623321825853473</v>
      </c>
      <c r="N82" s="94">
        <f t="shared" si="183"/>
        <v>0.25295688668447158</v>
      </c>
      <c r="O82" s="94">
        <f t="shared" si="183"/>
        <v>0.25952100510404397</v>
      </c>
      <c r="P82" s="94">
        <f t="shared" si="183"/>
        <v>0.19739057239057239</v>
      </c>
      <c r="Q82" s="94">
        <f t="shared" si="183"/>
        <v>0.2411764705882353</v>
      </c>
      <c r="R82" s="94">
        <f t="shared" si="183"/>
        <v>0.24925941599661447</v>
      </c>
      <c r="S82" s="94">
        <f t="shared" si="183"/>
        <v>0.24688172043010753</v>
      </c>
      <c r="T82" s="94">
        <f t="shared" si="183"/>
        <v>0.2253968253968254</v>
      </c>
      <c r="U82" s="94">
        <f t="shared" si="183"/>
        <v>0.25747434181169121</v>
      </c>
      <c r="V82" s="94">
        <f t="shared" si="183"/>
        <v>0.19282744282744282</v>
      </c>
      <c r="W82" s="94">
        <f t="shared" si="183"/>
        <v>0.23939679547596607</v>
      </c>
      <c r="X82" s="94">
        <f t="shared" si="183"/>
        <v>0.24107959743824336</v>
      </c>
      <c r="Y82" s="94">
        <f t="shared" si="183"/>
        <v>0.24989622249896223</v>
      </c>
      <c r="Z82" s="94">
        <f t="shared" si="183"/>
        <v>0.25669053901243877</v>
      </c>
      <c r="AA82" s="94">
        <f t="shared" si="183"/>
        <v>0.24338235294117647</v>
      </c>
      <c r="AB82" s="94">
        <f t="shared" si="183"/>
        <v>0.20749814402375649</v>
      </c>
      <c r="AC82" s="94">
        <f t="shared" si="183"/>
        <v>0.21186440677966101</v>
      </c>
      <c r="AD82" s="94">
        <f>AD80/AD73</f>
        <v>0.24676724137931033</v>
      </c>
      <c r="AE82" s="94">
        <f>AE80/AE73</f>
        <v>0.1997046880767811</v>
      </c>
      <c r="AF82" s="94">
        <f>AF80/AF73</f>
        <v>0.1571849978929625</v>
      </c>
      <c r="AG82" s="94">
        <f>AG80/AG73</f>
        <v>0.22553897180762852</v>
      </c>
      <c r="AH82" s="94">
        <f t="shared" ref="AH82:AJ82" si="184">AH80/AH73</f>
        <v>0.21500000000000002</v>
      </c>
      <c r="AI82" s="94">
        <f t="shared" si="184"/>
        <v>0.21499999999999991</v>
      </c>
      <c r="AJ82" s="94">
        <f t="shared" si="184"/>
        <v>0.21499999999999997</v>
      </c>
      <c r="AK82" s="79"/>
      <c r="AL82" s="94">
        <f t="shared" ref="AL82:AT82" si="185">AL80/AL73</f>
        <v>0.26083761939750183</v>
      </c>
      <c r="AM82" s="94">
        <f t="shared" si="185"/>
        <v>0.27684494195688225</v>
      </c>
      <c r="AN82" s="94">
        <f t="shared" si="185"/>
        <v>0.26953818827708703</v>
      </c>
      <c r="AO82" s="94">
        <f t="shared" si="185"/>
        <v>0.25918944392082943</v>
      </c>
      <c r="AP82" s="94">
        <f t="shared" si="185"/>
        <v>0.2424391685548222</v>
      </c>
      <c r="AQ82" s="94">
        <f t="shared" si="185"/>
        <v>0.24091448290736547</v>
      </c>
      <c r="AR82" s="94">
        <f t="shared" si="185"/>
        <v>0.23403753098076241</v>
      </c>
      <c r="AS82" s="94">
        <f t="shared" si="185"/>
        <v>0.23902252768232149</v>
      </c>
      <c r="AT82" s="94">
        <f t="shared" si="185"/>
        <v>0.20567107750472591</v>
      </c>
      <c r="AU82" s="94">
        <f t="shared" ref="AU82" si="186">AU80/AU73</f>
        <v>0.21748751350420392</v>
      </c>
      <c r="AV82" s="94">
        <f t="shared" ref="AV82:AW82" si="187">AV80/AV73</f>
        <v>0.26</v>
      </c>
      <c r="AW82" s="94">
        <f t="shared" si="187"/>
        <v>0.26</v>
      </c>
      <c r="AX82" s="94">
        <f t="shared" ref="AX82" si="188">AX80/AX73</f>
        <v>0.26</v>
      </c>
    </row>
    <row r="83" spans="3:50" ht="11.25" customHeight="1" outlineLevel="1">
      <c r="C83" s="93" t="s">
        <v>396</v>
      </c>
      <c r="E83" s="47"/>
      <c r="F83" s="47"/>
      <c r="G83" s="47"/>
      <c r="H83" s="47"/>
      <c r="I83" s="436">
        <f t="shared" ref="I83:AG83" si="189">IFERROR((I82-E82)*10000,"NA  ")</f>
        <v>-208.4121434513747</v>
      </c>
      <c r="J83" s="436">
        <f t="shared" si="189"/>
        <v>-29.488289540628433</v>
      </c>
      <c r="K83" s="436">
        <f t="shared" si="189"/>
        <v>-71.94381152488161</v>
      </c>
      <c r="L83" s="436">
        <f t="shared" si="189"/>
        <v>-104.7357071982194</v>
      </c>
      <c r="M83" s="436">
        <f t="shared" si="189"/>
        <v>-64.676067523206655</v>
      </c>
      <c r="N83" s="436">
        <f t="shared" si="189"/>
        <v>-74.813109178434317</v>
      </c>
      <c r="O83" s="436">
        <f t="shared" si="189"/>
        <v>-126.89948242812</v>
      </c>
      <c r="P83" s="436">
        <f t="shared" si="189"/>
        <v>-435.06972063280273</v>
      </c>
      <c r="Q83" s="436">
        <f t="shared" si="189"/>
        <v>-150.56747670299436</v>
      </c>
      <c r="R83" s="436">
        <f t="shared" si="189"/>
        <v>-36.974706878571126</v>
      </c>
      <c r="S83" s="436">
        <f t="shared" si="189"/>
        <v>-126.39284673936434</v>
      </c>
      <c r="T83" s="436">
        <f t="shared" si="189"/>
        <v>280.06253006253007</v>
      </c>
      <c r="U83" s="436">
        <f t="shared" si="189"/>
        <v>162.97871223455911</v>
      </c>
      <c r="V83" s="436">
        <f t="shared" si="189"/>
        <v>-564.31973169171647</v>
      </c>
      <c r="W83" s="436">
        <f t="shared" si="189"/>
        <v>-74.849249541414636</v>
      </c>
      <c r="X83" s="436">
        <f t="shared" si="189"/>
        <v>156.82772041417965</v>
      </c>
      <c r="Y83" s="436">
        <f t="shared" si="189"/>
        <v>-75.781193127289754</v>
      </c>
      <c r="Z83" s="436">
        <f t="shared" si="189"/>
        <v>638.63096184995948</v>
      </c>
      <c r="AA83" s="436">
        <f t="shared" si="189"/>
        <v>39.855574652103989</v>
      </c>
      <c r="AB83" s="436">
        <f t="shared" si="189"/>
        <v>-335.81453414486873</v>
      </c>
      <c r="AC83" s="436">
        <f t="shared" si="189"/>
        <v>-380.31815719301227</v>
      </c>
      <c r="AD83" s="436">
        <f t="shared" si="189"/>
        <v>-99.232976331284362</v>
      </c>
      <c r="AE83" s="436">
        <f t="shared" si="189"/>
        <v>-436.77664864395365</v>
      </c>
      <c r="AF83" s="436">
        <f t="shared" si="189"/>
        <v>-503.1314613079399</v>
      </c>
      <c r="AG83" s="436">
        <f t="shared" si="189"/>
        <v>136.74565027967517</v>
      </c>
      <c r="AH83" s="436">
        <f t="shared" ref="AH83" si="190">IFERROR((AH82-AD82)*10000,"NA  ")</f>
        <v>-317.67241379310309</v>
      </c>
      <c r="AI83" s="436">
        <f t="shared" ref="AI83" si="191">IFERROR((AI82-AE82)*10000,"NA  ")</f>
        <v>152.95311923218813</v>
      </c>
      <c r="AJ83" s="436">
        <f t="shared" ref="AJ83" si="192">IFERROR((AJ82-AF82)*10000,"NA  ")</f>
        <v>578.15002107037469</v>
      </c>
      <c r="AK83" s="79"/>
      <c r="AL83" s="443"/>
      <c r="AM83" s="436">
        <f t="shared" ref="AM83:AX83" si="193">IFERROR((AM82-AL82)*10000,"NA  ")</f>
        <v>160.07322559380421</v>
      </c>
      <c r="AN83" s="436">
        <f t="shared" si="193"/>
        <v>-73.067536797952187</v>
      </c>
      <c r="AO83" s="436">
        <f t="shared" si="193"/>
        <v>-103.487443562576</v>
      </c>
      <c r="AP83" s="436">
        <f t="shared" si="193"/>
        <v>-167.50275366007233</v>
      </c>
      <c r="AQ83" s="436">
        <f t="shared" si="193"/>
        <v>-15.246856474567249</v>
      </c>
      <c r="AR83" s="436">
        <f t="shared" si="193"/>
        <v>-68.769519266030642</v>
      </c>
      <c r="AS83" s="436">
        <f t="shared" si="193"/>
        <v>49.849967015590799</v>
      </c>
      <c r="AT83" s="436">
        <f t="shared" si="193"/>
        <v>-333.51450177595581</v>
      </c>
      <c r="AU83" s="436">
        <f t="shared" si="193"/>
        <v>118.16435999478014</v>
      </c>
      <c r="AV83" s="436">
        <f t="shared" si="193"/>
        <v>425.12486495796088</v>
      </c>
      <c r="AW83" s="436">
        <f t="shared" si="193"/>
        <v>0</v>
      </c>
      <c r="AX83" s="436">
        <f t="shared" si="193"/>
        <v>0</v>
      </c>
    </row>
    <row r="84" spans="3:50" ht="5.2" customHeight="1" outlineLevel="1">
      <c r="C84" s="43"/>
      <c r="E84" s="40"/>
      <c r="F84" s="40"/>
      <c r="G84" s="40"/>
      <c r="H84" s="81"/>
      <c r="I84" s="40"/>
      <c r="J84" s="40"/>
      <c r="K84" s="40"/>
      <c r="L84" s="34"/>
      <c r="M84" s="34"/>
      <c r="N84" s="34"/>
      <c r="O84" s="34"/>
      <c r="P84" s="34"/>
      <c r="Q84" s="34"/>
      <c r="R84" s="34"/>
      <c r="S84" s="34"/>
      <c r="T84" s="34"/>
      <c r="U84" s="34"/>
      <c r="V84" s="34"/>
      <c r="W84" s="34"/>
      <c r="X84" s="34"/>
      <c r="Y84" s="34"/>
      <c r="Z84" s="34"/>
      <c r="AA84" s="34"/>
      <c r="AB84" s="34"/>
      <c r="AC84" s="34"/>
      <c r="AD84" s="40"/>
      <c r="AE84" s="40"/>
      <c r="AF84" s="40"/>
      <c r="AG84" s="40"/>
      <c r="AH84" s="40"/>
      <c r="AI84" s="40"/>
      <c r="AJ84" s="40"/>
      <c r="AK84" s="79"/>
      <c r="AL84" s="40"/>
      <c r="AM84" s="40"/>
      <c r="AN84" s="40"/>
      <c r="AO84" s="40"/>
      <c r="AP84" s="40"/>
      <c r="AQ84" s="81"/>
      <c r="AR84" s="81"/>
    </row>
    <row r="85" spans="3:50" ht="11.25" customHeight="1">
      <c r="C85" s="43" t="str">
        <f>C145</f>
        <v>Non GAAP Selling, general and administrative expenses</v>
      </c>
      <c r="E85" s="54">
        <f>E145</f>
        <v>174</v>
      </c>
      <c r="F85" s="54">
        <f t="shared" ref="F85:L85" si="194">F145</f>
        <v>174</v>
      </c>
      <c r="G85" s="54">
        <f t="shared" si="194"/>
        <v>169</v>
      </c>
      <c r="H85" s="54">
        <f t="shared" si="194"/>
        <v>163</v>
      </c>
      <c r="I85" s="54">
        <f t="shared" si="194"/>
        <v>179</v>
      </c>
      <c r="J85" s="54">
        <f t="shared" si="194"/>
        <v>181</v>
      </c>
      <c r="K85" s="54">
        <f t="shared" si="194"/>
        <v>180</v>
      </c>
      <c r="L85" s="54">
        <f t="shared" si="194"/>
        <v>189</v>
      </c>
      <c r="M85" s="54">
        <f t="shared" ref="M85:AC85" si="195">M145</f>
        <v>187</v>
      </c>
      <c r="N85" s="54">
        <f t="shared" si="195"/>
        <v>186</v>
      </c>
      <c r="O85" s="54">
        <f t="shared" si="195"/>
        <v>174</v>
      </c>
      <c r="P85" s="54">
        <f t="shared" si="195"/>
        <v>167</v>
      </c>
      <c r="Q85" s="54">
        <f t="shared" si="195"/>
        <v>187</v>
      </c>
      <c r="R85" s="54">
        <f t="shared" si="195"/>
        <v>165</v>
      </c>
      <c r="S85" s="54">
        <f t="shared" si="195"/>
        <v>163</v>
      </c>
      <c r="T85" s="54">
        <f t="shared" si="195"/>
        <v>176</v>
      </c>
      <c r="U85" s="54">
        <f t="shared" si="195"/>
        <v>160</v>
      </c>
      <c r="V85" s="54">
        <f t="shared" si="195"/>
        <v>155</v>
      </c>
      <c r="W85" s="54">
        <f t="shared" si="195"/>
        <v>165</v>
      </c>
      <c r="X85" s="54">
        <f t="shared" si="195"/>
        <v>174</v>
      </c>
      <c r="Y85" s="54">
        <f t="shared" si="195"/>
        <v>184</v>
      </c>
      <c r="Z85" s="54">
        <f t="shared" si="195"/>
        <v>202</v>
      </c>
      <c r="AA85" s="54">
        <f t="shared" si="195"/>
        <v>193</v>
      </c>
      <c r="AB85" s="54">
        <f t="shared" si="195"/>
        <v>198</v>
      </c>
      <c r="AC85" s="54">
        <f t="shared" si="195"/>
        <v>187</v>
      </c>
      <c r="AD85" s="54">
        <f>AD145</f>
        <v>183</v>
      </c>
      <c r="AE85" s="54">
        <f>AE145</f>
        <v>169</v>
      </c>
      <c r="AF85" s="54">
        <f>AF145</f>
        <v>169</v>
      </c>
      <c r="AG85" s="54">
        <f>AG145</f>
        <v>191</v>
      </c>
      <c r="AH85" s="54">
        <f t="shared" ref="AH85:AJ85" si="196">AH145</f>
        <v>208.30347999999998</v>
      </c>
      <c r="AI85" s="54">
        <f t="shared" si="196"/>
        <v>207.74753999999999</v>
      </c>
      <c r="AJ85" s="54">
        <f t="shared" si="196"/>
        <v>185.09106</v>
      </c>
      <c r="AK85" s="79"/>
      <c r="AL85" s="54">
        <f>AL145</f>
        <v>652</v>
      </c>
      <c r="AM85" s="54">
        <f>AM145</f>
        <v>725</v>
      </c>
      <c r="AN85" s="33">
        <f t="shared" ref="AN85:AU85" si="197">SUMIF($E$6:$AK$6,AN$6,$E85:$AK85)</f>
        <v>680</v>
      </c>
      <c r="AO85" s="33">
        <f t="shared" si="197"/>
        <v>729</v>
      </c>
      <c r="AP85" s="33">
        <f t="shared" si="197"/>
        <v>714</v>
      </c>
      <c r="AQ85" s="33">
        <f t="shared" si="197"/>
        <v>691</v>
      </c>
      <c r="AR85" s="33">
        <f t="shared" si="197"/>
        <v>654</v>
      </c>
      <c r="AS85" s="33">
        <f t="shared" si="197"/>
        <v>777</v>
      </c>
      <c r="AT85" s="33">
        <f t="shared" si="197"/>
        <v>708</v>
      </c>
      <c r="AU85" s="33">
        <f t="shared" si="197"/>
        <v>792.14207999999996</v>
      </c>
      <c r="AV85" s="54">
        <f>AV145</f>
        <v>762.55175519999989</v>
      </c>
      <c r="AW85" s="54">
        <f>AW145</f>
        <v>785.68558178399996</v>
      </c>
      <c r="AX85" s="54">
        <f>AX145</f>
        <v>805.6652479815599</v>
      </c>
    </row>
    <row r="86" spans="3:50" ht="11.25" customHeight="1" outlineLevel="1">
      <c r="C86" s="107" t="s">
        <v>358</v>
      </c>
      <c r="E86" s="46"/>
      <c r="F86" s="46"/>
      <c r="G86" s="46"/>
      <c r="H86" s="46"/>
      <c r="I86" s="94">
        <f t="shared" ref="I86:AG86" si="198">IFERROR(I85/E85-1,"NA  ")</f>
        <v>2.8735632183908066E-2</v>
      </c>
      <c r="J86" s="94">
        <f t="shared" si="198"/>
        <v>4.022988505747116E-2</v>
      </c>
      <c r="K86" s="94">
        <f t="shared" si="198"/>
        <v>6.5088757396449815E-2</v>
      </c>
      <c r="L86" s="94">
        <f t="shared" si="198"/>
        <v>0.1595092024539877</v>
      </c>
      <c r="M86" s="94">
        <f t="shared" si="198"/>
        <v>4.4692737430167551E-2</v>
      </c>
      <c r="N86" s="94">
        <f t="shared" si="198"/>
        <v>2.7624309392265234E-2</v>
      </c>
      <c r="O86" s="94">
        <f t="shared" si="198"/>
        <v>-3.3333333333333326E-2</v>
      </c>
      <c r="P86" s="94">
        <f t="shared" si="198"/>
        <v>-0.1164021164021164</v>
      </c>
      <c r="Q86" s="94">
        <f t="shared" si="198"/>
        <v>0</v>
      </c>
      <c r="R86" s="94">
        <f t="shared" si="198"/>
        <v>-0.11290322580645162</v>
      </c>
      <c r="S86" s="94">
        <f t="shared" si="198"/>
        <v>-6.3218390804597679E-2</v>
      </c>
      <c r="T86" s="94">
        <f t="shared" si="198"/>
        <v>5.3892215568862367E-2</v>
      </c>
      <c r="U86" s="94">
        <f t="shared" si="198"/>
        <v>-0.14438502673796794</v>
      </c>
      <c r="V86" s="94">
        <f t="shared" si="198"/>
        <v>-6.0606060606060552E-2</v>
      </c>
      <c r="W86" s="94">
        <f t="shared" si="198"/>
        <v>1.2269938650306678E-2</v>
      </c>
      <c r="X86" s="94">
        <f t="shared" si="198"/>
        <v>-1.1363636363636354E-2</v>
      </c>
      <c r="Y86" s="94">
        <f t="shared" si="198"/>
        <v>0.14999999999999991</v>
      </c>
      <c r="Z86" s="94">
        <f t="shared" si="198"/>
        <v>0.3032258064516129</v>
      </c>
      <c r="AA86" s="94">
        <f t="shared" si="198"/>
        <v>0.16969696969696968</v>
      </c>
      <c r="AB86" s="94">
        <f t="shared" si="198"/>
        <v>0.13793103448275867</v>
      </c>
      <c r="AC86" s="94">
        <f t="shared" si="198"/>
        <v>1.6304347826086918E-2</v>
      </c>
      <c r="AD86" s="94">
        <f t="shared" si="198"/>
        <v>-9.4059405940594032E-2</v>
      </c>
      <c r="AE86" s="94">
        <f t="shared" si="198"/>
        <v>-0.12435233160621761</v>
      </c>
      <c r="AF86" s="94">
        <f t="shared" si="198"/>
        <v>-0.14646464646464652</v>
      </c>
      <c r="AG86" s="94">
        <f t="shared" si="198"/>
        <v>2.1390374331550888E-2</v>
      </c>
      <c r="AH86" s="94">
        <f t="shared" ref="AH86" si="199">IFERROR(AH85/AD85-1,"NA  ")</f>
        <v>0.13827038251366108</v>
      </c>
      <c r="AI86" s="94">
        <f t="shared" ref="AI86" si="200">IFERROR(AI85/AE85-1,"NA  ")</f>
        <v>0.22927538461538455</v>
      </c>
      <c r="AJ86" s="94">
        <f t="shared" ref="AJ86" si="201">IFERROR(AJ85/AF85-1,"NA  ")</f>
        <v>9.521337278106512E-2</v>
      </c>
      <c r="AK86" s="79"/>
      <c r="AL86" s="96"/>
      <c r="AM86" s="95">
        <f t="shared" ref="AM86:AX86" si="202">IFERROR(AM85/AL85-1,"NA  ")</f>
        <v>0.11196319018404899</v>
      </c>
      <c r="AN86" s="95">
        <f t="shared" si="202"/>
        <v>-6.2068965517241392E-2</v>
      </c>
      <c r="AO86" s="95">
        <f t="shared" si="202"/>
        <v>7.2058823529411731E-2</v>
      </c>
      <c r="AP86" s="95">
        <f t="shared" si="202"/>
        <v>-2.0576131687242816E-2</v>
      </c>
      <c r="AQ86" s="95">
        <f t="shared" si="202"/>
        <v>-3.2212885154061621E-2</v>
      </c>
      <c r="AR86" s="95">
        <f t="shared" si="202"/>
        <v>-5.3545586107091148E-2</v>
      </c>
      <c r="AS86" s="95">
        <f t="shared" si="202"/>
        <v>0.18807339449541294</v>
      </c>
      <c r="AT86" s="95">
        <f t="shared" si="202"/>
        <v>-8.8803088803088848E-2</v>
      </c>
      <c r="AU86" s="95">
        <f t="shared" si="202"/>
        <v>0.11884474576271176</v>
      </c>
      <c r="AV86" s="95">
        <f t="shared" si="202"/>
        <v>-3.7354819983809073E-2</v>
      </c>
      <c r="AW86" s="95">
        <f t="shared" si="202"/>
        <v>3.0337385529894512E-2</v>
      </c>
      <c r="AX86" s="95">
        <f t="shared" si="202"/>
        <v>2.5429595070579625E-2</v>
      </c>
    </row>
    <row r="87" spans="3:50" ht="11.25" customHeight="1" outlineLevel="1">
      <c r="C87" s="107" t="s">
        <v>359</v>
      </c>
      <c r="E87" s="94">
        <f>IFERROR(E85/E73,"NA  ")</f>
        <v>7.7817531305903395E-2</v>
      </c>
      <c r="F87" s="94">
        <f t="shared" ref="F87:L87" si="203">IFERROR(F85/F73,"NA  ")</f>
        <v>7.575097953852851E-2</v>
      </c>
      <c r="G87" s="94">
        <f t="shared" si="203"/>
        <v>7.3895933537385217E-2</v>
      </c>
      <c r="H87" s="94">
        <f t="shared" si="203"/>
        <v>7.4497257769652644E-2</v>
      </c>
      <c r="I87" s="94">
        <f t="shared" si="203"/>
        <v>7.772470690403821E-2</v>
      </c>
      <c r="J87" s="94">
        <f t="shared" si="203"/>
        <v>7.4824307565109549E-2</v>
      </c>
      <c r="K87" s="94">
        <f t="shared" si="203"/>
        <v>7.3022312373225151E-2</v>
      </c>
      <c r="L87" s="94">
        <f t="shared" si="203"/>
        <v>8.0016934801016085E-2</v>
      </c>
      <c r="M87" s="94">
        <f t="shared" ref="M87:AC87" si="204">IFERROR(M85/M73,"NA  ")</f>
        <v>7.1729957805907171E-2</v>
      </c>
      <c r="N87" s="94">
        <f t="shared" si="204"/>
        <v>7.0965280427317812E-2</v>
      </c>
      <c r="O87" s="94">
        <f t="shared" si="204"/>
        <v>6.8315665488810365E-2</v>
      </c>
      <c r="P87" s="94">
        <f t="shared" si="204"/>
        <v>7.0286195286195285E-2</v>
      </c>
      <c r="Q87" s="94">
        <f t="shared" si="204"/>
        <v>7.857142857142857E-2</v>
      </c>
      <c r="R87" s="94">
        <f t="shared" si="204"/>
        <v>6.9826491747778247E-2</v>
      </c>
      <c r="S87" s="94">
        <f t="shared" si="204"/>
        <v>7.0107526881720436E-2</v>
      </c>
      <c r="T87" s="94">
        <f t="shared" si="204"/>
        <v>7.9818594104308388E-2</v>
      </c>
      <c r="U87" s="94">
        <f t="shared" si="204"/>
        <v>7.1396697902722003E-2</v>
      </c>
      <c r="V87" s="94">
        <f t="shared" si="204"/>
        <v>8.0561330561330566E-2</v>
      </c>
      <c r="W87" s="94">
        <f t="shared" si="204"/>
        <v>7.7756833176248819E-2</v>
      </c>
      <c r="X87" s="94">
        <f t="shared" si="204"/>
        <v>7.9597438243366875E-2</v>
      </c>
      <c r="Y87" s="94">
        <f t="shared" si="204"/>
        <v>7.6380240763802412E-2</v>
      </c>
      <c r="Z87" s="94">
        <f t="shared" si="204"/>
        <v>7.6140218620429703E-2</v>
      </c>
      <c r="AA87" s="94">
        <f t="shared" si="204"/>
        <v>7.0955882352941174E-2</v>
      </c>
      <c r="AB87" s="94">
        <f t="shared" si="204"/>
        <v>7.3496659242761692E-2</v>
      </c>
      <c r="AC87" s="94">
        <f t="shared" si="204"/>
        <v>6.890198968312454E-2</v>
      </c>
      <c r="AD87" s="94">
        <f>IFERROR(AD85/AD73,"NA  ")</f>
        <v>6.5732758620689655E-2</v>
      </c>
      <c r="AE87" s="94">
        <f>IFERROR(AE85/AE73,"NA  ")</f>
        <v>6.2384643779992616E-2</v>
      </c>
      <c r="AF87" s="94">
        <f>IFERROR(AF85/AF73,"NA  ")</f>
        <v>7.1217867678044666E-2</v>
      </c>
      <c r="AG87" s="94">
        <f>IFERROR(AG85/AG73,"NA  ")</f>
        <v>7.9187396351575456E-2</v>
      </c>
      <c r="AH87" s="94">
        <f t="shared" ref="AH87:AJ87" si="205">IFERROR(AH85/AH73,"NA  ")</f>
        <v>7.6999999999999999E-2</v>
      </c>
      <c r="AI87" s="94">
        <f t="shared" si="205"/>
        <v>7.6999999999999999E-2</v>
      </c>
      <c r="AJ87" s="94">
        <f t="shared" si="205"/>
        <v>7.6999999999999999E-2</v>
      </c>
      <c r="AK87" s="79"/>
      <c r="AL87" s="94">
        <f t="shared" ref="AL87:AQ87" si="206">IFERROR(AL85/AL73,"NA  ")</f>
        <v>6.8437073580350588E-2</v>
      </c>
      <c r="AM87" s="94">
        <f t="shared" si="206"/>
        <v>7.5145107794361524E-2</v>
      </c>
      <c r="AN87" s="94">
        <f t="shared" si="206"/>
        <v>7.548845470692718E-2</v>
      </c>
      <c r="AO87" s="94">
        <f t="shared" si="206"/>
        <v>7.6343072573044304E-2</v>
      </c>
      <c r="AP87" s="94">
        <f t="shared" si="206"/>
        <v>7.0337897744064626E-2</v>
      </c>
      <c r="AQ87" s="94">
        <f t="shared" si="206"/>
        <v>7.4517416154426835E-2</v>
      </c>
      <c r="AR87" s="94">
        <f t="shared" ref="AR87:AW87" si="207">IFERROR(AR85/AR73,"NA  ")</f>
        <v>7.7186356662339195E-2</v>
      </c>
      <c r="AS87" s="94">
        <f t="shared" si="207"/>
        <v>7.4169530355097366E-2</v>
      </c>
      <c r="AT87" s="94">
        <f t="shared" si="207"/>
        <v>6.691871455576559E-2</v>
      </c>
      <c r="AU87" s="94">
        <f t="shared" ref="AU87" si="208">IFERROR(AU85/AU73,"NA  ")</f>
        <v>7.7516291158464978E-2</v>
      </c>
      <c r="AV87" s="94">
        <f t="shared" si="207"/>
        <v>7.1999999999999995E-2</v>
      </c>
      <c r="AW87" s="94">
        <f t="shared" si="207"/>
        <v>7.1999999999999995E-2</v>
      </c>
      <c r="AX87" s="94">
        <f t="shared" ref="AX87" si="209">IFERROR(AX85/AX73,"NA  ")</f>
        <v>7.1999999999999995E-2</v>
      </c>
    </row>
    <row r="88" spans="3:50" ht="5.2" customHeight="1" outlineLevel="1">
      <c r="C88" s="43"/>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40"/>
      <c r="AE88" s="40"/>
      <c r="AF88" s="40"/>
      <c r="AG88" s="40"/>
      <c r="AH88" s="40"/>
      <c r="AI88" s="40"/>
      <c r="AJ88" s="40"/>
      <c r="AK88" s="79"/>
      <c r="AL88" s="40"/>
      <c r="AM88" s="40"/>
      <c r="AN88" s="40"/>
      <c r="AO88" s="40"/>
      <c r="AP88" s="40"/>
      <c r="AQ88" s="81"/>
      <c r="AR88" s="81"/>
    </row>
    <row r="89" spans="3:50" ht="11.25" customHeight="1">
      <c r="C89" s="43" t="str">
        <f>C152</f>
        <v>Non GAAP Research and development expenses</v>
      </c>
      <c r="E89" s="54">
        <f>E152</f>
        <v>54</v>
      </c>
      <c r="F89" s="54">
        <f t="shared" ref="F89:L89" si="210">F152</f>
        <v>55</v>
      </c>
      <c r="G89" s="54">
        <f t="shared" si="210"/>
        <v>54</v>
      </c>
      <c r="H89" s="54">
        <f t="shared" si="210"/>
        <v>51</v>
      </c>
      <c r="I89" s="54">
        <f t="shared" si="210"/>
        <v>57</v>
      </c>
      <c r="J89" s="54">
        <f t="shared" si="210"/>
        <v>58</v>
      </c>
      <c r="K89" s="54">
        <f t="shared" si="210"/>
        <v>59</v>
      </c>
      <c r="L89" s="54">
        <f t="shared" si="210"/>
        <v>53</v>
      </c>
      <c r="M89" s="54">
        <f t="shared" ref="M89:AC89" si="211">M152</f>
        <v>56</v>
      </c>
      <c r="N89" s="54">
        <f t="shared" si="211"/>
        <v>60</v>
      </c>
      <c r="O89" s="54">
        <f t="shared" si="211"/>
        <v>60</v>
      </c>
      <c r="P89" s="54">
        <f t="shared" si="211"/>
        <v>59</v>
      </c>
      <c r="Q89" s="54">
        <f t="shared" si="211"/>
        <v>58</v>
      </c>
      <c r="R89" s="54">
        <f t="shared" si="211"/>
        <v>57</v>
      </c>
      <c r="S89" s="54">
        <f t="shared" si="211"/>
        <v>59</v>
      </c>
      <c r="T89" s="54">
        <f t="shared" si="211"/>
        <v>60</v>
      </c>
      <c r="U89" s="54">
        <f t="shared" si="211"/>
        <v>61</v>
      </c>
      <c r="V89" s="54">
        <f t="shared" si="211"/>
        <v>52</v>
      </c>
      <c r="W89" s="54">
        <f t="shared" si="211"/>
        <v>56</v>
      </c>
      <c r="X89" s="54">
        <f t="shared" si="211"/>
        <v>57</v>
      </c>
      <c r="Y89" s="54">
        <f t="shared" si="211"/>
        <v>58</v>
      </c>
      <c r="Z89" s="54">
        <f t="shared" si="211"/>
        <v>63</v>
      </c>
      <c r="AA89" s="54">
        <f t="shared" si="211"/>
        <v>66</v>
      </c>
      <c r="AB89" s="54">
        <f t="shared" si="211"/>
        <v>67</v>
      </c>
      <c r="AC89" s="54">
        <f t="shared" si="211"/>
        <v>65</v>
      </c>
      <c r="AD89" s="54">
        <f>AD152</f>
        <v>67</v>
      </c>
      <c r="AE89" s="54">
        <f>AE152</f>
        <v>68</v>
      </c>
      <c r="AF89" s="54">
        <f>AF152</f>
        <v>64</v>
      </c>
      <c r="AG89" s="54">
        <f>AG152</f>
        <v>62</v>
      </c>
      <c r="AH89" s="54">
        <f t="shared" ref="AH89:AJ89" si="212">AH152</f>
        <v>64.925759999999997</v>
      </c>
      <c r="AI89" s="54">
        <f t="shared" si="212"/>
        <v>64.752480000000006</v>
      </c>
      <c r="AJ89" s="54">
        <f t="shared" si="212"/>
        <v>57.690720000000006</v>
      </c>
      <c r="AK89" s="79"/>
      <c r="AL89" s="54">
        <f>AL152</f>
        <v>220</v>
      </c>
      <c r="AM89" s="54">
        <f>AM152</f>
        <v>229</v>
      </c>
      <c r="AN89" s="33">
        <f t="shared" ref="AN89:AU89" si="213">SUMIF($E$6:$AK$6,AN$6,$E89:$AK89)</f>
        <v>214</v>
      </c>
      <c r="AO89" s="33">
        <f t="shared" si="213"/>
        <v>227</v>
      </c>
      <c r="AP89" s="33">
        <f t="shared" si="213"/>
        <v>235</v>
      </c>
      <c r="AQ89" s="33">
        <f t="shared" si="213"/>
        <v>234</v>
      </c>
      <c r="AR89" s="33">
        <f t="shared" si="213"/>
        <v>226</v>
      </c>
      <c r="AS89" s="33">
        <f t="shared" si="213"/>
        <v>254</v>
      </c>
      <c r="AT89" s="33">
        <f t="shared" si="213"/>
        <v>264</v>
      </c>
      <c r="AU89" s="33">
        <f t="shared" si="213"/>
        <v>249.36896000000002</v>
      </c>
      <c r="AV89" s="54">
        <f>AV152</f>
        <v>264.77491499999996</v>
      </c>
      <c r="AW89" s="54">
        <f>AW152</f>
        <v>272.80749367500005</v>
      </c>
      <c r="AX89" s="54">
        <f>AX152</f>
        <v>279.744877771375</v>
      </c>
    </row>
    <row r="90" spans="3:50" ht="11.25" customHeight="1" outlineLevel="1">
      <c r="C90" s="107" t="s">
        <v>358</v>
      </c>
      <c r="E90" s="46"/>
      <c r="F90" s="46"/>
      <c r="G90" s="46"/>
      <c r="H90" s="46"/>
      <c r="I90" s="94">
        <f t="shared" ref="I90:AG90" si="214">IFERROR(I89/E89-1,"NA  ")</f>
        <v>5.555555555555558E-2</v>
      </c>
      <c r="J90" s="94">
        <f t="shared" si="214"/>
        <v>5.4545454545454453E-2</v>
      </c>
      <c r="K90" s="94">
        <f t="shared" si="214"/>
        <v>9.259259259259256E-2</v>
      </c>
      <c r="L90" s="94">
        <f t="shared" si="214"/>
        <v>3.9215686274509887E-2</v>
      </c>
      <c r="M90" s="94">
        <f t="shared" si="214"/>
        <v>-1.7543859649122862E-2</v>
      </c>
      <c r="N90" s="94">
        <f t="shared" si="214"/>
        <v>3.4482758620689724E-2</v>
      </c>
      <c r="O90" s="94">
        <f t="shared" si="214"/>
        <v>1.6949152542372836E-2</v>
      </c>
      <c r="P90" s="94">
        <f t="shared" si="214"/>
        <v>0.1132075471698113</v>
      </c>
      <c r="Q90" s="94">
        <f t="shared" si="214"/>
        <v>3.5714285714285809E-2</v>
      </c>
      <c r="R90" s="94">
        <f t="shared" si="214"/>
        <v>-5.0000000000000044E-2</v>
      </c>
      <c r="S90" s="94">
        <f t="shared" si="214"/>
        <v>-1.6666666666666718E-2</v>
      </c>
      <c r="T90" s="94">
        <f t="shared" si="214"/>
        <v>1.6949152542372836E-2</v>
      </c>
      <c r="U90" s="94">
        <f t="shared" si="214"/>
        <v>5.1724137931034475E-2</v>
      </c>
      <c r="V90" s="94">
        <f t="shared" si="214"/>
        <v>-8.7719298245614086E-2</v>
      </c>
      <c r="W90" s="94">
        <f t="shared" si="214"/>
        <v>-5.084745762711862E-2</v>
      </c>
      <c r="X90" s="94">
        <f t="shared" si="214"/>
        <v>-5.0000000000000044E-2</v>
      </c>
      <c r="Y90" s="94">
        <f t="shared" si="214"/>
        <v>-4.9180327868852514E-2</v>
      </c>
      <c r="Z90" s="94">
        <f t="shared" si="214"/>
        <v>0.21153846153846145</v>
      </c>
      <c r="AA90" s="94">
        <f t="shared" si="214"/>
        <v>0.1785714285714286</v>
      </c>
      <c r="AB90" s="94">
        <f t="shared" si="214"/>
        <v>0.17543859649122817</v>
      </c>
      <c r="AC90" s="94">
        <f t="shared" si="214"/>
        <v>0.1206896551724137</v>
      </c>
      <c r="AD90" s="94">
        <f t="shared" si="214"/>
        <v>6.3492063492063489E-2</v>
      </c>
      <c r="AE90" s="94">
        <f t="shared" si="214"/>
        <v>3.0303030303030276E-2</v>
      </c>
      <c r="AF90" s="94">
        <f t="shared" si="214"/>
        <v>-4.4776119402985093E-2</v>
      </c>
      <c r="AG90" s="94">
        <f t="shared" si="214"/>
        <v>-4.6153846153846101E-2</v>
      </c>
      <c r="AH90" s="94">
        <f t="shared" ref="AH90" si="215">IFERROR(AH89/AD89-1,"NA  ")</f>
        <v>-3.0958805970149328E-2</v>
      </c>
      <c r="AI90" s="94">
        <f t="shared" ref="AI90" si="216">IFERROR(AI89/AE89-1,"NA  ")</f>
        <v>-4.775764705882346E-2</v>
      </c>
      <c r="AJ90" s="94">
        <f t="shared" ref="AJ90" si="217">IFERROR(AJ89/AF89-1,"NA  ")</f>
        <v>-9.8582499999999906E-2</v>
      </c>
      <c r="AK90" s="79"/>
      <c r="AL90" s="96"/>
      <c r="AM90" s="95">
        <f t="shared" ref="AM90:AX90" si="218">IFERROR(AM89/AL89-1,"NA  ")</f>
        <v>4.0909090909091006E-2</v>
      </c>
      <c r="AN90" s="95">
        <f t="shared" si="218"/>
        <v>-6.5502183406113579E-2</v>
      </c>
      <c r="AO90" s="95">
        <f t="shared" si="218"/>
        <v>6.0747663551401931E-2</v>
      </c>
      <c r="AP90" s="95">
        <f t="shared" si="218"/>
        <v>3.524229074889873E-2</v>
      </c>
      <c r="AQ90" s="95">
        <f t="shared" si="218"/>
        <v>-4.2553191489361764E-3</v>
      </c>
      <c r="AR90" s="95">
        <f t="shared" si="218"/>
        <v>-3.4188034188034178E-2</v>
      </c>
      <c r="AS90" s="95">
        <f t="shared" si="218"/>
        <v>0.12389380530973448</v>
      </c>
      <c r="AT90" s="95">
        <f t="shared" si="218"/>
        <v>3.937007874015741E-2</v>
      </c>
      <c r="AU90" s="95">
        <f t="shared" si="218"/>
        <v>-5.5420606060605948E-2</v>
      </c>
      <c r="AV90" s="95">
        <f t="shared" si="218"/>
        <v>6.1779762004059879E-2</v>
      </c>
      <c r="AW90" s="95">
        <f t="shared" si="218"/>
        <v>3.0337385529894734E-2</v>
      </c>
      <c r="AX90" s="95">
        <f t="shared" si="218"/>
        <v>2.5429595070579625E-2</v>
      </c>
    </row>
    <row r="91" spans="3:50" ht="11.25" customHeight="1" outlineLevel="1">
      <c r="C91" s="107" t="s">
        <v>359</v>
      </c>
      <c r="E91" s="94">
        <f>IFERROR(E89/E73,"NA  ")</f>
        <v>2.4150268336314847E-2</v>
      </c>
      <c r="F91" s="94">
        <f t="shared" ref="F91:L91" si="219">IFERROR(F89/F73,"NA  ")</f>
        <v>2.3944275141488898E-2</v>
      </c>
      <c r="G91" s="94">
        <f t="shared" si="219"/>
        <v>2.3611718408395276E-2</v>
      </c>
      <c r="H91" s="94">
        <f t="shared" si="219"/>
        <v>2.3308957952468009E-2</v>
      </c>
      <c r="I91" s="94">
        <f t="shared" si="219"/>
        <v>2.4750325662179766E-2</v>
      </c>
      <c r="J91" s="94">
        <f t="shared" si="219"/>
        <v>2.3976849937990905E-2</v>
      </c>
      <c r="K91" s="94">
        <f t="shared" si="219"/>
        <v>2.3935091277890466E-2</v>
      </c>
      <c r="L91" s="94">
        <f t="shared" si="219"/>
        <v>2.2438611346316681E-2</v>
      </c>
      <c r="M91" s="94">
        <f t="shared" ref="M91:AC91" si="220">IFERROR(M89/M73,"NA  ")</f>
        <v>2.1480629075565784E-2</v>
      </c>
      <c r="N91" s="94">
        <f t="shared" si="220"/>
        <v>2.2892025944296072E-2</v>
      </c>
      <c r="O91" s="94">
        <f t="shared" si="220"/>
        <v>2.3557126030624265E-2</v>
      </c>
      <c r="P91" s="94">
        <f t="shared" si="220"/>
        <v>2.4831649831649833E-2</v>
      </c>
      <c r="Q91" s="94">
        <f t="shared" si="220"/>
        <v>2.4369747899159664E-2</v>
      </c>
      <c r="R91" s="94">
        <f t="shared" si="220"/>
        <v>2.4121878967414304E-2</v>
      </c>
      <c r="S91" s="94">
        <f t="shared" si="220"/>
        <v>2.5376344086021504E-2</v>
      </c>
      <c r="T91" s="94">
        <f t="shared" si="220"/>
        <v>2.7210884353741496E-2</v>
      </c>
      <c r="U91" s="94">
        <f t="shared" si="220"/>
        <v>2.7219991075412762E-2</v>
      </c>
      <c r="V91" s="94">
        <f t="shared" si="220"/>
        <v>2.7027027027027029E-2</v>
      </c>
      <c r="W91" s="94">
        <f t="shared" si="220"/>
        <v>2.6390197926484449E-2</v>
      </c>
      <c r="X91" s="94">
        <f t="shared" si="220"/>
        <v>2.6075022872827081E-2</v>
      </c>
      <c r="Y91" s="94">
        <f t="shared" si="220"/>
        <v>2.4076380240763803E-2</v>
      </c>
      <c r="Z91" s="94">
        <f t="shared" si="220"/>
        <v>2.3746701846965697E-2</v>
      </c>
      <c r="AA91" s="94">
        <f t="shared" si="220"/>
        <v>2.4264705882352942E-2</v>
      </c>
      <c r="AB91" s="94">
        <f t="shared" si="220"/>
        <v>2.4870081662954714E-2</v>
      </c>
      <c r="AC91" s="94">
        <f t="shared" si="220"/>
        <v>2.3949889462048637E-2</v>
      </c>
      <c r="AD91" s="94">
        <f>IFERROR(AD89/AD73,"NA  ")</f>
        <v>2.4066091954022987E-2</v>
      </c>
      <c r="AE91" s="94">
        <f>IFERROR(AE89/AE73,"NA  ")</f>
        <v>2.5101513473606497E-2</v>
      </c>
      <c r="AF91" s="94">
        <f>IFERROR(AF89/AF73,"NA  ")</f>
        <v>2.6970080067425201E-2</v>
      </c>
      <c r="AG91" s="94">
        <f>IFERROR(AG89/AG73,"NA  ")</f>
        <v>2.570480928689884E-2</v>
      </c>
      <c r="AH91" s="94">
        <f t="shared" ref="AH91:AJ91" si="221">IFERROR(AH89/AH73,"NA  ")</f>
        <v>2.4E-2</v>
      </c>
      <c r="AI91" s="94">
        <f t="shared" si="221"/>
        <v>2.4E-2</v>
      </c>
      <c r="AJ91" s="94">
        <f t="shared" si="221"/>
        <v>2.4E-2</v>
      </c>
      <c r="AK91" s="79"/>
      <c r="AL91" s="94">
        <f t="shared" ref="AL91:AQ91" si="222">IFERROR(AL89/AL73,"NA  ")</f>
        <v>2.3092264091529337E-2</v>
      </c>
      <c r="AM91" s="94">
        <f t="shared" si="222"/>
        <v>2.3735489220563847E-2</v>
      </c>
      <c r="AN91" s="94">
        <f t="shared" si="222"/>
        <v>2.3756660746003553E-2</v>
      </c>
      <c r="AO91" s="94">
        <f t="shared" si="222"/>
        <v>2.377212273536496E-2</v>
      </c>
      <c r="AP91" s="94">
        <f t="shared" si="222"/>
        <v>2.3150428529208945E-2</v>
      </c>
      <c r="AQ91" s="94">
        <f t="shared" si="222"/>
        <v>2.5234551924943383E-2</v>
      </c>
      <c r="AR91" s="95">
        <f t="shared" ref="AR91:AW91" si="223">IFERROR(AR89/AR73,"NA  ")</f>
        <v>2.6672961170777765E-2</v>
      </c>
      <c r="AS91" s="95">
        <f t="shared" si="223"/>
        <v>2.4245895379915998E-2</v>
      </c>
      <c r="AT91" s="95">
        <f t="shared" si="223"/>
        <v>2.495274102079395E-2</v>
      </c>
      <c r="AU91" s="95">
        <f t="shared" ref="AU91" si="224">IFERROR(AU89/AU73,"NA  ")</f>
        <v>2.4402386134118274E-2</v>
      </c>
      <c r="AV91" s="95">
        <f t="shared" si="223"/>
        <v>2.5000000000000001E-2</v>
      </c>
      <c r="AW91" s="95">
        <f t="shared" si="223"/>
        <v>2.5000000000000001E-2</v>
      </c>
      <c r="AX91" s="95">
        <f t="shared" ref="AX91" si="225">IFERROR(AX89/AX73,"NA  ")</f>
        <v>2.5000000000000001E-2</v>
      </c>
    </row>
    <row r="92" spans="3:50" ht="5.2" customHeight="1" outlineLevel="1">
      <c r="C92" s="43"/>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40"/>
      <c r="AE92" s="40"/>
      <c r="AF92" s="40"/>
      <c r="AG92" s="40"/>
      <c r="AH92" s="40"/>
      <c r="AI92" s="40"/>
      <c r="AJ92" s="40"/>
      <c r="AK92" s="79"/>
      <c r="AL92" s="40"/>
      <c r="AM92" s="40"/>
      <c r="AN92" s="40"/>
      <c r="AO92" s="40"/>
      <c r="AP92" s="40"/>
      <c r="AQ92" s="81"/>
      <c r="AR92" s="81"/>
    </row>
    <row r="93" spans="3:50" ht="11.25" customHeight="1">
      <c r="C93" s="43" t="str">
        <f>C166</f>
        <v>Non GAAP Other (income) charges, net</v>
      </c>
      <c r="E93" s="106">
        <v>0</v>
      </c>
      <c r="F93" s="106">
        <v>0</v>
      </c>
      <c r="G93" s="106">
        <v>0</v>
      </c>
      <c r="H93" s="106">
        <v>0</v>
      </c>
      <c r="I93" s="99">
        <f>I166</f>
        <v>-4</v>
      </c>
      <c r="J93" s="99">
        <f>J166</f>
        <v>1</v>
      </c>
      <c r="K93" s="99">
        <f>K166</f>
        <v>-1</v>
      </c>
      <c r="L93" s="99">
        <f>L166</f>
        <v>2</v>
      </c>
      <c r="M93" s="99">
        <f t="shared" ref="M93:AC93" si="226">M166</f>
        <v>-4</v>
      </c>
      <c r="N93" s="99">
        <f t="shared" si="226"/>
        <v>0</v>
      </c>
      <c r="O93" s="99">
        <f t="shared" si="226"/>
        <v>6</v>
      </c>
      <c r="P93" s="99">
        <f t="shared" si="226"/>
        <v>-3</v>
      </c>
      <c r="Q93" s="99">
        <f t="shared" si="226"/>
        <v>-2</v>
      </c>
      <c r="R93" s="99">
        <f t="shared" si="226"/>
        <v>-1</v>
      </c>
      <c r="S93" s="99">
        <f t="shared" si="226"/>
        <v>3</v>
      </c>
      <c r="T93" s="99">
        <f t="shared" si="226"/>
        <v>3</v>
      </c>
      <c r="U93" s="99">
        <f t="shared" si="226"/>
        <v>4</v>
      </c>
      <c r="V93" s="99">
        <f t="shared" si="226"/>
        <v>-1</v>
      </c>
      <c r="W93" s="99">
        <f t="shared" si="226"/>
        <v>7</v>
      </c>
      <c r="X93" s="99">
        <f t="shared" si="226"/>
        <v>-2</v>
      </c>
      <c r="Y93" s="99">
        <f t="shared" si="226"/>
        <v>-4</v>
      </c>
      <c r="Z93" s="99">
        <f t="shared" si="226"/>
        <v>-1</v>
      </c>
      <c r="AA93" s="99">
        <f t="shared" si="226"/>
        <v>-6</v>
      </c>
      <c r="AB93" s="99">
        <f t="shared" si="226"/>
        <v>-6</v>
      </c>
      <c r="AC93" s="99">
        <f t="shared" si="226"/>
        <v>-12</v>
      </c>
      <c r="AD93" s="99">
        <f>AD166</f>
        <v>-1</v>
      </c>
      <c r="AE93" s="99">
        <f>AE166</f>
        <v>1</v>
      </c>
      <c r="AF93" s="99">
        <f>AF166</f>
        <v>-3</v>
      </c>
      <c r="AG93" s="99">
        <f>AG166</f>
        <v>11</v>
      </c>
      <c r="AH93" s="99">
        <f t="shared" ref="AH93:AJ93" si="227">AH166</f>
        <v>0</v>
      </c>
      <c r="AI93" s="99">
        <f t="shared" si="227"/>
        <v>0</v>
      </c>
      <c r="AJ93" s="99">
        <f t="shared" si="227"/>
        <v>0</v>
      </c>
      <c r="AK93" s="79"/>
      <c r="AL93" s="99">
        <f>AL166</f>
        <v>-15</v>
      </c>
      <c r="AM93" s="99">
        <f>AM166</f>
        <v>-8</v>
      </c>
      <c r="AN93" s="33">
        <f t="shared" ref="AN93:AU93" si="228">SUMIF($E$6:$AK$6,AN$6,$E93:$AK93)</f>
        <v>0</v>
      </c>
      <c r="AO93" s="33">
        <f t="shared" si="228"/>
        <v>-2</v>
      </c>
      <c r="AP93" s="33">
        <f t="shared" si="228"/>
        <v>-1</v>
      </c>
      <c r="AQ93" s="33">
        <f t="shared" si="228"/>
        <v>3</v>
      </c>
      <c r="AR93" s="33">
        <f t="shared" si="228"/>
        <v>8</v>
      </c>
      <c r="AS93" s="33">
        <f t="shared" si="228"/>
        <v>-17</v>
      </c>
      <c r="AT93" s="33">
        <f t="shared" si="228"/>
        <v>-15</v>
      </c>
      <c r="AU93" s="33">
        <f t="shared" si="228"/>
        <v>11</v>
      </c>
      <c r="AV93" s="99">
        <f>AV166</f>
        <v>0</v>
      </c>
      <c r="AW93" s="99">
        <f>AW166</f>
        <v>0</v>
      </c>
      <c r="AX93" s="99">
        <f>AX166</f>
        <v>0</v>
      </c>
    </row>
    <row r="94" spans="3:50" ht="5.2" customHeight="1">
      <c r="C94" s="43"/>
      <c r="E94" s="28"/>
      <c r="F94" s="28"/>
      <c r="G94" s="28"/>
      <c r="H94" s="28"/>
      <c r="I94" s="99"/>
      <c r="J94" s="99"/>
      <c r="K94" s="99"/>
      <c r="L94" s="99"/>
      <c r="M94" s="99"/>
      <c r="N94" s="99"/>
      <c r="O94" s="99"/>
      <c r="P94" s="99"/>
      <c r="Q94" s="99"/>
      <c r="R94" s="99"/>
      <c r="S94" s="99"/>
      <c r="T94" s="99"/>
      <c r="U94" s="99"/>
      <c r="V94" s="99"/>
      <c r="W94" s="99"/>
      <c r="X94" s="99"/>
      <c r="Y94" s="99"/>
      <c r="Z94" s="99"/>
      <c r="AA94" s="99"/>
      <c r="AB94" s="99"/>
      <c r="AC94" s="99"/>
      <c r="AD94" s="40"/>
      <c r="AE94" s="40"/>
      <c r="AF94" s="40"/>
      <c r="AG94" s="40"/>
      <c r="AH94" s="40"/>
      <c r="AI94" s="40"/>
      <c r="AJ94" s="40"/>
      <c r="AK94" s="79"/>
      <c r="AL94" s="40"/>
      <c r="AM94" s="40"/>
      <c r="AN94" s="40"/>
      <c r="AO94" s="40"/>
      <c r="AP94" s="40"/>
      <c r="AQ94" s="81"/>
      <c r="AR94" s="81"/>
    </row>
    <row r="95" spans="3:50" ht="11.25" customHeight="1">
      <c r="C95" s="43" t="str">
        <f>C160</f>
        <v>Non GAAP Other components of post-employment (benefit) cost, net</v>
      </c>
      <c r="E95" s="99">
        <f>E160</f>
        <v>0</v>
      </c>
      <c r="F95" s="99">
        <f t="shared" ref="F95:L95" si="229">F160</f>
        <v>0</v>
      </c>
      <c r="G95" s="99">
        <f t="shared" si="229"/>
        <v>0</v>
      </c>
      <c r="H95" s="99">
        <f t="shared" si="229"/>
        <v>0</v>
      </c>
      <c r="I95" s="99">
        <f t="shared" si="229"/>
        <v>-28</v>
      </c>
      <c r="J95" s="99">
        <f t="shared" si="229"/>
        <v>-30</v>
      </c>
      <c r="K95" s="99">
        <f t="shared" si="229"/>
        <v>-28</v>
      </c>
      <c r="L95" s="99">
        <f t="shared" si="229"/>
        <v>-28</v>
      </c>
      <c r="M95" s="99">
        <f t="shared" ref="M95:AC95" si="230">M160</f>
        <v>-30</v>
      </c>
      <c r="N95" s="99">
        <f t="shared" si="230"/>
        <v>-30</v>
      </c>
      <c r="O95" s="99">
        <f t="shared" si="230"/>
        <v>-30</v>
      </c>
      <c r="P95" s="99">
        <f t="shared" si="230"/>
        <v>-30</v>
      </c>
      <c r="Q95" s="99">
        <f t="shared" si="230"/>
        <v>-21</v>
      </c>
      <c r="R95" s="99">
        <f t="shared" si="230"/>
        <v>-21</v>
      </c>
      <c r="S95" s="99">
        <f t="shared" si="230"/>
        <v>-20</v>
      </c>
      <c r="T95" s="99">
        <f t="shared" si="230"/>
        <v>-21</v>
      </c>
      <c r="U95" s="99">
        <f t="shared" si="230"/>
        <v>-30</v>
      </c>
      <c r="V95" s="99">
        <f t="shared" si="230"/>
        <v>-30</v>
      </c>
      <c r="W95" s="99">
        <f t="shared" si="230"/>
        <v>-30</v>
      </c>
      <c r="X95" s="99">
        <f t="shared" si="230"/>
        <v>-31</v>
      </c>
      <c r="Y95" s="99">
        <f t="shared" si="230"/>
        <v>-36</v>
      </c>
      <c r="Z95" s="99">
        <f t="shared" si="230"/>
        <v>-37</v>
      </c>
      <c r="AA95" s="99">
        <f t="shared" si="230"/>
        <v>-36</v>
      </c>
      <c r="AB95" s="99">
        <f t="shared" si="230"/>
        <v>-36</v>
      </c>
      <c r="AC95" s="99">
        <f t="shared" si="230"/>
        <v>-31</v>
      </c>
      <c r="AD95" s="99">
        <f>AD160</f>
        <v>-31</v>
      </c>
      <c r="AE95" s="99">
        <f>AE160</f>
        <v>-30</v>
      </c>
      <c r="AF95" s="99">
        <f>AF160</f>
        <v>-28</v>
      </c>
      <c r="AG95" s="99">
        <f>AG160</f>
        <v>-3</v>
      </c>
      <c r="AH95" s="99">
        <f t="shared" ref="AH95:AJ95" si="231">AH160</f>
        <v>0</v>
      </c>
      <c r="AI95" s="99">
        <f t="shared" si="231"/>
        <v>0</v>
      </c>
      <c r="AJ95" s="99">
        <f t="shared" si="231"/>
        <v>0</v>
      </c>
      <c r="AK95" s="79"/>
      <c r="AL95" s="99">
        <f>AL160</f>
        <v>0</v>
      </c>
      <c r="AM95" s="99">
        <f>AM160</f>
        <v>0</v>
      </c>
      <c r="AN95" s="33">
        <f t="shared" ref="AN95:AU95" si="232">SUMIF($E$6:$AK$6,AN$6,$E95:$AK95)</f>
        <v>0</v>
      </c>
      <c r="AO95" s="33">
        <f t="shared" si="232"/>
        <v>-114</v>
      </c>
      <c r="AP95" s="33">
        <f t="shared" si="232"/>
        <v>-120</v>
      </c>
      <c r="AQ95" s="33">
        <f t="shared" si="232"/>
        <v>-83</v>
      </c>
      <c r="AR95" s="33">
        <f t="shared" si="232"/>
        <v>-121</v>
      </c>
      <c r="AS95" s="33">
        <f t="shared" si="232"/>
        <v>-145</v>
      </c>
      <c r="AT95" s="33">
        <f t="shared" si="232"/>
        <v>-120</v>
      </c>
      <c r="AU95" s="33">
        <f t="shared" si="232"/>
        <v>-3</v>
      </c>
      <c r="AV95" s="99">
        <f>AV160</f>
        <v>0</v>
      </c>
      <c r="AW95" s="99">
        <f>AW160</f>
        <v>0</v>
      </c>
      <c r="AX95" s="99">
        <f>AX160</f>
        <v>0</v>
      </c>
    </row>
    <row r="96" spans="3:50" ht="11.25" customHeight="1">
      <c r="C96" s="45" t="s">
        <v>385</v>
      </c>
      <c r="E96" s="100">
        <f t="shared" ref="E96:L96" si="233">E80-E85-E89-E93-E95</f>
        <v>406</v>
      </c>
      <c r="F96" s="100">
        <f t="shared" si="233"/>
        <v>376</v>
      </c>
      <c r="G96" s="100">
        <f t="shared" si="233"/>
        <v>416</v>
      </c>
      <c r="H96" s="100">
        <f t="shared" si="233"/>
        <v>336</v>
      </c>
      <c r="I96" s="100">
        <f t="shared" si="233"/>
        <v>401</v>
      </c>
      <c r="J96" s="100">
        <f t="shared" si="233"/>
        <v>420</v>
      </c>
      <c r="K96" s="100">
        <f t="shared" si="233"/>
        <v>461</v>
      </c>
      <c r="L96" s="100">
        <f t="shared" si="233"/>
        <v>353</v>
      </c>
      <c r="M96" s="100">
        <f t="shared" ref="M96:AF96" si="234">M80-M85-M89-M93-M95</f>
        <v>459</v>
      </c>
      <c r="N96" s="100">
        <f t="shared" si="234"/>
        <v>447</v>
      </c>
      <c r="O96" s="100">
        <f t="shared" si="234"/>
        <v>451</v>
      </c>
      <c r="P96" s="100">
        <f t="shared" si="234"/>
        <v>276</v>
      </c>
      <c r="Q96" s="100">
        <f t="shared" si="234"/>
        <v>352</v>
      </c>
      <c r="R96" s="100">
        <f t="shared" si="234"/>
        <v>389</v>
      </c>
      <c r="S96" s="100">
        <f t="shared" si="234"/>
        <v>369</v>
      </c>
      <c r="T96" s="100">
        <f t="shared" si="234"/>
        <v>279</v>
      </c>
      <c r="U96" s="100">
        <f t="shared" si="234"/>
        <v>382</v>
      </c>
      <c r="V96" s="100">
        <f t="shared" si="234"/>
        <v>195</v>
      </c>
      <c r="W96" s="100">
        <f t="shared" si="234"/>
        <v>310</v>
      </c>
      <c r="X96" s="100">
        <f t="shared" si="234"/>
        <v>329</v>
      </c>
      <c r="Y96" s="100">
        <f t="shared" si="234"/>
        <v>400</v>
      </c>
      <c r="Z96" s="100">
        <f t="shared" si="234"/>
        <v>454</v>
      </c>
      <c r="AA96" s="100">
        <f t="shared" si="234"/>
        <v>445</v>
      </c>
      <c r="AB96" s="100">
        <f t="shared" si="234"/>
        <v>336</v>
      </c>
      <c r="AC96" s="100">
        <f t="shared" si="234"/>
        <v>366</v>
      </c>
      <c r="AD96" s="100">
        <f t="shared" si="234"/>
        <v>469</v>
      </c>
      <c r="AE96" s="100">
        <f t="shared" si="234"/>
        <v>333</v>
      </c>
      <c r="AF96" s="100">
        <f t="shared" si="234"/>
        <v>171</v>
      </c>
      <c r="AG96" s="100">
        <f t="shared" ref="AG96" si="235">AG80-AG85-AG89-AG93-AG95</f>
        <v>283</v>
      </c>
      <c r="AH96" s="100">
        <f>IF(Model_Switch=0,AH278+AH380+AH461+AH539+AH609,AH80-AH85-AH89-AH93-AH95)</f>
        <v>382.96299999999997</v>
      </c>
      <c r="AI96" s="100">
        <f>IF(Model_Switch=0,AI278+AI380+AI461+AI539+AI609,AI80-AI85-AI89-AI93-AI95)</f>
        <v>408.39790000000005</v>
      </c>
      <c r="AJ96" s="100">
        <f>IF(Model_Switch=0,AJ278+AJ380+AJ461+AJ539+AJ609,AJ80-AJ85-AJ89-AJ93-AJ95)</f>
        <v>341.23170000000005</v>
      </c>
      <c r="AK96" s="79"/>
      <c r="AL96" s="100">
        <f>AL80-AL85-AL89-AL93-AL95</f>
        <v>1628</v>
      </c>
      <c r="AM96" s="100">
        <f>AM80-AM85-AM89-AM93-AM95</f>
        <v>1725</v>
      </c>
      <c r="AN96" s="100">
        <f>AN80-AN85-AN89-AN93-AN95</f>
        <v>1534</v>
      </c>
      <c r="AO96" s="100">
        <f>AO80-AO85-AO89-AO93-AO95</f>
        <v>1635</v>
      </c>
      <c r="AP96" s="100">
        <f>AP80-AP85-AP89-AP93-AP95</f>
        <v>1633</v>
      </c>
      <c r="AQ96" s="100">
        <f t="shared" ref="AQ96:AT96" si="236">AQ80-AQ85-AQ89-AQ93-AQ95</f>
        <v>1389</v>
      </c>
      <c r="AR96" s="100">
        <f t="shared" si="236"/>
        <v>1216</v>
      </c>
      <c r="AS96" s="100">
        <f t="shared" si="236"/>
        <v>1635</v>
      </c>
      <c r="AT96" s="100">
        <f t="shared" si="236"/>
        <v>1339</v>
      </c>
      <c r="AU96" s="100">
        <f>IF(Model_Switch=0,AU278+AU380+AU461+AU539+AU609,AU80-AU85-AU89-AU93-AU95)</f>
        <v>1415.5926000000002</v>
      </c>
      <c r="AV96" s="100">
        <f>IF(Model_Switch=0,AV278+AV380+AV461+AV539+AV609,AV80-AV85-AV89-AV93-AV95)</f>
        <v>1516.7443589999998</v>
      </c>
      <c r="AW96" s="100">
        <f>IF(Model_Switch=0,AW278+AW380+AW461+AW539+AW609,AW80-AW85-AW89-AW93-AW95)</f>
        <v>1598.1947735650001</v>
      </c>
      <c r="AX96" s="100">
        <f>IF(Model_Switch=0,AX278+AX380+AX461+AX539+AX609,AX80-AX85-AX89-AX93-AX95)</f>
        <v>1691.2155851145749</v>
      </c>
    </row>
    <row r="97" spans="3:50" ht="11.25" customHeight="1" outlineLevel="1">
      <c r="C97" s="93" t="s">
        <v>358</v>
      </c>
      <c r="D97" s="560"/>
      <c r="E97" s="46"/>
      <c r="F97" s="46"/>
      <c r="G97" s="46"/>
      <c r="H97" s="46"/>
      <c r="I97" s="94">
        <f t="shared" ref="I97:AG97" si="237">IFERROR(I96/E96-1,"NA  ")</f>
        <v>-1.2315270935960632E-2</v>
      </c>
      <c r="J97" s="94">
        <f t="shared" si="237"/>
        <v>0.11702127659574457</v>
      </c>
      <c r="K97" s="94">
        <f t="shared" si="237"/>
        <v>0.10817307692307687</v>
      </c>
      <c r="L97" s="94">
        <f t="shared" si="237"/>
        <v>5.0595238095238138E-2</v>
      </c>
      <c r="M97" s="94">
        <f t="shared" si="237"/>
        <v>0.14463840399002503</v>
      </c>
      <c r="N97" s="94">
        <f t="shared" si="237"/>
        <v>6.4285714285714279E-2</v>
      </c>
      <c r="O97" s="94">
        <f t="shared" si="237"/>
        <v>-2.1691973969631184E-2</v>
      </c>
      <c r="P97" s="94">
        <f t="shared" si="237"/>
        <v>-0.21813031161473084</v>
      </c>
      <c r="Q97" s="94">
        <f t="shared" si="237"/>
        <v>-0.23311546840958608</v>
      </c>
      <c r="R97" s="94">
        <f t="shared" si="237"/>
        <v>-0.12975391498881428</v>
      </c>
      <c r="S97" s="94">
        <f t="shared" si="237"/>
        <v>-0.18181818181818177</v>
      </c>
      <c r="T97" s="94">
        <f t="shared" si="237"/>
        <v>1.0869565217391353E-2</v>
      </c>
      <c r="U97" s="94">
        <f t="shared" si="237"/>
        <v>8.5227272727272707E-2</v>
      </c>
      <c r="V97" s="94">
        <f t="shared" si="237"/>
        <v>-0.49871465295629824</v>
      </c>
      <c r="W97" s="94">
        <f t="shared" si="237"/>
        <v>-0.15989159891598914</v>
      </c>
      <c r="X97" s="94">
        <f t="shared" si="237"/>
        <v>0.17921146953405009</v>
      </c>
      <c r="Y97" s="94">
        <f t="shared" si="237"/>
        <v>4.7120418848167533E-2</v>
      </c>
      <c r="Z97" s="94">
        <f t="shared" si="237"/>
        <v>1.3282051282051284</v>
      </c>
      <c r="AA97" s="94">
        <f t="shared" si="237"/>
        <v>0.43548387096774199</v>
      </c>
      <c r="AB97" s="94">
        <f t="shared" si="237"/>
        <v>2.1276595744680771E-2</v>
      </c>
      <c r="AC97" s="94">
        <f t="shared" si="237"/>
        <v>-8.4999999999999964E-2</v>
      </c>
      <c r="AD97" s="94">
        <f t="shared" si="237"/>
        <v>3.3039647577092435E-2</v>
      </c>
      <c r="AE97" s="94">
        <f t="shared" si="237"/>
        <v>-0.25168539325842698</v>
      </c>
      <c r="AF97" s="94">
        <f t="shared" si="237"/>
        <v>-0.4910714285714286</v>
      </c>
      <c r="AG97" s="94">
        <f t="shared" si="237"/>
        <v>-0.22677595628415304</v>
      </c>
      <c r="AH97" s="94">
        <f t="shared" ref="AH97" si="238">IFERROR(AH96/AD96-1,"NA  ")</f>
        <v>-0.18344776119402995</v>
      </c>
      <c r="AI97" s="94">
        <f t="shared" ref="AI97" si="239">IFERROR(AI96/AE96-1,"NA  ")</f>
        <v>0.22642012012012036</v>
      </c>
      <c r="AJ97" s="94">
        <f t="shared" ref="AJ97" si="240">IFERROR(AJ96/AF96-1,"NA  ")</f>
        <v>0.99550701754385984</v>
      </c>
      <c r="AK97" s="79"/>
      <c r="AL97" s="96"/>
      <c r="AM97" s="95">
        <f t="shared" ref="AM97:AX97" si="241">IFERROR(AM96/AL96-1,"NA  ")</f>
        <v>5.9582309582309589E-2</v>
      </c>
      <c r="AN97" s="95">
        <f t="shared" si="241"/>
        <v>-0.11072463768115937</v>
      </c>
      <c r="AO97" s="95">
        <f t="shared" si="241"/>
        <v>6.5840938722294684E-2</v>
      </c>
      <c r="AP97" s="95">
        <f t="shared" si="241"/>
        <v>-1.2232415902140303E-3</v>
      </c>
      <c r="AQ97" s="95">
        <f t="shared" si="241"/>
        <v>-0.14941824862216779</v>
      </c>
      <c r="AR97" s="95">
        <f t="shared" si="241"/>
        <v>-0.12455003599712022</v>
      </c>
      <c r="AS97" s="95">
        <f t="shared" si="241"/>
        <v>0.34457236842105265</v>
      </c>
      <c r="AT97" s="95">
        <f t="shared" si="241"/>
        <v>-0.18103975535168193</v>
      </c>
      <c r="AU97" s="95">
        <f t="shared" si="241"/>
        <v>5.7201344286781364E-2</v>
      </c>
      <c r="AV97" s="95">
        <f t="shared" si="241"/>
        <v>7.1455416621985401E-2</v>
      </c>
      <c r="AW97" s="95">
        <f t="shared" si="241"/>
        <v>5.3700819180037218E-2</v>
      </c>
      <c r="AX97" s="95">
        <f t="shared" si="241"/>
        <v>5.8203676478104427E-2</v>
      </c>
    </row>
    <row r="98" spans="3:50" ht="11.25" customHeight="1" outlineLevel="1">
      <c r="C98" s="93" t="s">
        <v>360</v>
      </c>
      <c r="D98" s="559"/>
      <c r="E98" s="94">
        <f>IFERROR(E96/E73,"NA  ")</f>
        <v>0.18157423971377459</v>
      </c>
      <c r="F98" s="94">
        <f t="shared" ref="F98:L98" si="242">IFERROR(F96/F73,"NA  ")</f>
        <v>0.16369177187636047</v>
      </c>
      <c r="G98" s="94">
        <f t="shared" si="242"/>
        <v>0.18189768255356362</v>
      </c>
      <c r="H98" s="94">
        <f t="shared" si="242"/>
        <v>0.15356489945155394</v>
      </c>
      <c r="I98" s="94">
        <f t="shared" si="242"/>
        <v>0.17412071211463309</v>
      </c>
      <c r="J98" s="94">
        <f t="shared" si="242"/>
        <v>0.17362546506821</v>
      </c>
      <c r="K98" s="94">
        <f t="shared" si="242"/>
        <v>0.18701825557809332</v>
      </c>
      <c r="L98" s="94">
        <f t="shared" si="242"/>
        <v>0.14944961896697714</v>
      </c>
      <c r="M98" s="94">
        <f t="shared" ref="M98:AC98" si="243">IFERROR(M96/M73,"NA  ")</f>
        <v>0.1760644418872267</v>
      </c>
      <c r="N98" s="94">
        <f t="shared" si="243"/>
        <v>0.17054559328500574</v>
      </c>
      <c r="O98" s="94">
        <f t="shared" si="243"/>
        <v>0.17707106399685904</v>
      </c>
      <c r="P98" s="94">
        <f t="shared" si="243"/>
        <v>0.11616161616161616</v>
      </c>
      <c r="Q98" s="94">
        <f t="shared" si="243"/>
        <v>0.14789915966386555</v>
      </c>
      <c r="R98" s="94">
        <f t="shared" si="243"/>
        <v>0.1646212441811257</v>
      </c>
      <c r="S98" s="94">
        <f t="shared" si="243"/>
        <v>0.15870967741935485</v>
      </c>
      <c r="T98" s="94">
        <f t="shared" si="243"/>
        <v>0.12653061224489795</v>
      </c>
      <c r="U98" s="94">
        <f t="shared" si="243"/>
        <v>0.17045961624274877</v>
      </c>
      <c r="V98" s="94">
        <f t="shared" si="243"/>
        <v>0.10135135135135136</v>
      </c>
      <c r="W98" s="94">
        <f t="shared" si="243"/>
        <v>0.1460885956644675</v>
      </c>
      <c r="X98" s="94">
        <f t="shared" si="243"/>
        <v>0.15050320219579141</v>
      </c>
      <c r="Y98" s="94">
        <f t="shared" si="243"/>
        <v>0.16604400166044</v>
      </c>
      <c r="Z98" s="94">
        <f t="shared" si="243"/>
        <v>0.17112702600829249</v>
      </c>
      <c r="AA98" s="94">
        <f t="shared" si="243"/>
        <v>0.16360294117647059</v>
      </c>
      <c r="AB98" s="94">
        <f t="shared" si="243"/>
        <v>0.12472160356347439</v>
      </c>
      <c r="AC98" s="94">
        <f t="shared" si="243"/>
        <v>0.13485630066322771</v>
      </c>
      <c r="AD98" s="94">
        <f>IFERROR(AD96/AD73,"NA  ")</f>
        <v>0.16846264367816091</v>
      </c>
      <c r="AE98" s="94">
        <f>IFERROR(AE96/AE73,"NA  ")</f>
        <v>0.12292358803986711</v>
      </c>
      <c r="AF98" s="94">
        <f>IFERROR(AF96/AF73,"NA  ")</f>
        <v>7.2060682680151714E-2</v>
      </c>
      <c r="AG98" s="94">
        <f>IFERROR(AG96/AG73,"NA  ")</f>
        <v>0.11733001658374792</v>
      </c>
      <c r="AH98" s="94">
        <f t="shared" ref="AH98:AJ98" si="244">IFERROR(AH96/AH73,"NA  ")</f>
        <v>0.14156341027043812</v>
      </c>
      <c r="AI98" s="94">
        <f t="shared" si="244"/>
        <v>0.15136948577104695</v>
      </c>
      <c r="AJ98" s="94">
        <f t="shared" si="244"/>
        <v>0.1419562938372064</v>
      </c>
      <c r="AK98" s="79"/>
      <c r="AL98" s="94">
        <f t="shared" ref="AL98:AQ98" si="245">IFERROR(AL96/AL73,"NA  ")</f>
        <v>0.17088275427731711</v>
      </c>
      <c r="AM98" s="94">
        <f t="shared" si="245"/>
        <v>0.17879353233830847</v>
      </c>
      <c r="AN98" s="94">
        <f t="shared" si="245"/>
        <v>0.17029307282415632</v>
      </c>
      <c r="AO98" s="94">
        <f t="shared" si="245"/>
        <v>0.17122211749921457</v>
      </c>
      <c r="AP98" s="94">
        <f t="shared" si="245"/>
        <v>0.16087085016254557</v>
      </c>
      <c r="AQ98" s="94">
        <f t="shared" si="245"/>
        <v>0.14978971206729214</v>
      </c>
      <c r="AR98" s="95">
        <f t="shared" ref="AR98:AW98" si="246">IFERROR(AR96/AR73,"NA  ")</f>
        <v>0.14351469373303435</v>
      </c>
      <c r="AS98" s="95">
        <f t="shared" si="246"/>
        <v>0.15607101947308133</v>
      </c>
      <c r="AT98" s="95">
        <f t="shared" si="246"/>
        <v>0.12655954631379962</v>
      </c>
      <c r="AU98" s="95">
        <f t="shared" ref="AU98" si="247">IFERROR(AU96/AU73,"NA  ")</f>
        <v>0.13852500821995023</v>
      </c>
      <c r="AV98" s="95">
        <f t="shared" si="246"/>
        <v>0.14321073042361282</v>
      </c>
      <c r="AW98" s="95">
        <f t="shared" si="246"/>
        <v>0.14645810787999791</v>
      </c>
      <c r="AX98" s="95">
        <f t="shared" ref="AX98" si="248">IFERROR(AX96/AX73,"NA  ")</f>
        <v>0.15113910204432252</v>
      </c>
    </row>
    <row r="99" spans="3:50" ht="12.75" customHeight="1" outlineLevel="1">
      <c r="C99" s="4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40"/>
      <c r="AE99" s="40"/>
      <c r="AF99" s="40"/>
      <c r="AG99" s="40"/>
      <c r="AH99" s="40"/>
      <c r="AI99" s="40"/>
      <c r="AJ99" s="40"/>
      <c r="AK99" s="79"/>
      <c r="AL99" s="1117">
        <f t="shared" ref="AL99:AS99" si="249">+AL96-AL34</f>
        <v>466</v>
      </c>
      <c r="AM99" s="1117">
        <f t="shared" si="249"/>
        <v>341</v>
      </c>
      <c r="AN99" s="1117">
        <f t="shared" si="249"/>
        <v>151</v>
      </c>
      <c r="AO99" s="1117">
        <f t="shared" si="249"/>
        <v>105</v>
      </c>
      <c r="AP99" s="1117">
        <f t="shared" si="249"/>
        <v>81</v>
      </c>
      <c r="AQ99" s="1117">
        <f t="shared" si="249"/>
        <v>269</v>
      </c>
      <c r="AR99" s="1117">
        <f t="shared" si="249"/>
        <v>475</v>
      </c>
      <c r="AS99" s="1117">
        <f t="shared" si="249"/>
        <v>354</v>
      </c>
      <c r="AT99" s="1117">
        <f>+AT96-AT34</f>
        <v>180</v>
      </c>
    </row>
    <row r="100" spans="3:50" ht="11.25" customHeight="1" outlineLevel="1">
      <c r="C100" s="113" t="s">
        <v>68</v>
      </c>
      <c r="E100" s="42">
        <f t="shared" ref="E100:AJ100" si="250">E96-E187</f>
        <v>0</v>
      </c>
      <c r="F100" s="42">
        <f t="shared" si="250"/>
        <v>0</v>
      </c>
      <c r="G100" s="42">
        <f t="shared" si="250"/>
        <v>0</v>
      </c>
      <c r="H100" s="42">
        <f t="shared" si="250"/>
        <v>0</v>
      </c>
      <c r="I100" s="42">
        <f t="shared" si="250"/>
        <v>0</v>
      </c>
      <c r="J100" s="42">
        <f t="shared" si="250"/>
        <v>0</v>
      </c>
      <c r="K100" s="42">
        <f t="shared" si="250"/>
        <v>0</v>
      </c>
      <c r="L100" s="42">
        <f t="shared" si="250"/>
        <v>0</v>
      </c>
      <c r="M100" s="42">
        <f t="shared" si="250"/>
        <v>0</v>
      </c>
      <c r="N100" s="42">
        <f t="shared" si="250"/>
        <v>0</v>
      </c>
      <c r="O100" s="42">
        <f t="shared" si="250"/>
        <v>0</v>
      </c>
      <c r="P100" s="42">
        <f t="shared" si="250"/>
        <v>0</v>
      </c>
      <c r="Q100" s="42">
        <f t="shared" si="250"/>
        <v>0</v>
      </c>
      <c r="R100" s="42">
        <f t="shared" si="250"/>
        <v>0</v>
      </c>
      <c r="S100" s="42">
        <f t="shared" si="250"/>
        <v>0</v>
      </c>
      <c r="T100" s="42">
        <f t="shared" si="250"/>
        <v>0</v>
      </c>
      <c r="U100" s="42">
        <f t="shared" si="250"/>
        <v>0</v>
      </c>
      <c r="V100" s="42">
        <f t="shared" si="250"/>
        <v>0</v>
      </c>
      <c r="W100" s="42">
        <f t="shared" si="250"/>
        <v>0</v>
      </c>
      <c r="X100" s="42">
        <f t="shared" si="250"/>
        <v>0</v>
      </c>
      <c r="Y100" s="42">
        <f t="shared" si="250"/>
        <v>0</v>
      </c>
      <c r="Z100" s="42">
        <f t="shared" si="250"/>
        <v>0</v>
      </c>
      <c r="AA100" s="42">
        <f t="shared" si="250"/>
        <v>0</v>
      </c>
      <c r="AB100" s="42">
        <f t="shared" si="250"/>
        <v>0</v>
      </c>
      <c r="AC100" s="42">
        <f t="shared" si="250"/>
        <v>0</v>
      </c>
      <c r="AD100" s="42">
        <f t="shared" si="250"/>
        <v>0</v>
      </c>
      <c r="AE100" s="42">
        <f t="shared" si="250"/>
        <v>0</v>
      </c>
      <c r="AF100" s="42">
        <f t="shared" si="250"/>
        <v>0</v>
      </c>
      <c r="AG100" s="42">
        <f t="shared" si="250"/>
        <v>0</v>
      </c>
      <c r="AH100" s="42">
        <f t="shared" si="250"/>
        <v>0</v>
      </c>
      <c r="AI100" s="42">
        <f t="shared" si="250"/>
        <v>0</v>
      </c>
      <c r="AJ100" s="42">
        <f t="shared" si="250"/>
        <v>0</v>
      </c>
      <c r="AK100" s="79"/>
      <c r="AL100" s="42">
        <f t="shared" ref="AL100:AX100" si="251">AL96-AL187</f>
        <v>15</v>
      </c>
      <c r="AM100" s="42">
        <f t="shared" si="251"/>
        <v>33</v>
      </c>
      <c r="AN100" s="42">
        <f t="shared" si="251"/>
        <v>0</v>
      </c>
      <c r="AO100" s="42">
        <f t="shared" si="251"/>
        <v>0</v>
      </c>
      <c r="AP100" s="42">
        <f t="shared" si="251"/>
        <v>0</v>
      </c>
      <c r="AQ100" s="42">
        <f t="shared" si="251"/>
        <v>0</v>
      </c>
      <c r="AR100" s="42">
        <f t="shared" si="251"/>
        <v>0</v>
      </c>
      <c r="AS100" s="42">
        <f t="shared" si="251"/>
        <v>0</v>
      </c>
      <c r="AT100" s="42">
        <f t="shared" si="251"/>
        <v>0</v>
      </c>
      <c r="AU100" s="42">
        <f t="shared" si="251"/>
        <v>0</v>
      </c>
      <c r="AV100" s="664">
        <f t="shared" si="251"/>
        <v>0</v>
      </c>
      <c r="AW100" s="664">
        <f t="shared" si="251"/>
        <v>0</v>
      </c>
      <c r="AX100" s="664">
        <f t="shared" si="251"/>
        <v>0</v>
      </c>
    </row>
    <row r="101" spans="3:50" ht="5.2" customHeight="1" outlineLevel="1">
      <c r="C101" s="43"/>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40"/>
      <c r="AE101" s="40"/>
      <c r="AF101" s="40"/>
      <c r="AG101" s="40"/>
      <c r="AH101" s="40"/>
      <c r="AI101" s="40"/>
      <c r="AJ101" s="40"/>
      <c r="AK101" s="79"/>
      <c r="AL101" s="40"/>
      <c r="AM101" s="40"/>
      <c r="AN101" s="40"/>
      <c r="AO101" s="40"/>
      <c r="AP101" s="40"/>
      <c r="AQ101" s="81"/>
      <c r="AR101" s="81"/>
    </row>
    <row r="102" spans="3:50" ht="11.25" customHeight="1">
      <c r="C102" s="43" t="s">
        <v>390</v>
      </c>
      <c r="E102" s="99">
        <f t="shared" ref="E102:L102" si="252">E40</f>
        <v>64</v>
      </c>
      <c r="F102" s="99">
        <f t="shared" si="252"/>
        <v>63</v>
      </c>
      <c r="G102" s="99">
        <f t="shared" si="252"/>
        <v>64</v>
      </c>
      <c r="H102" s="99">
        <f t="shared" si="252"/>
        <v>64</v>
      </c>
      <c r="I102" s="99">
        <f t="shared" si="252"/>
        <v>60</v>
      </c>
      <c r="J102" s="99">
        <f t="shared" si="252"/>
        <v>61</v>
      </c>
      <c r="K102" s="99">
        <f t="shared" si="252"/>
        <v>61</v>
      </c>
      <c r="L102" s="99">
        <f t="shared" si="252"/>
        <v>59</v>
      </c>
      <c r="M102" s="99">
        <f t="shared" ref="M102:AC102" si="253">M40</f>
        <v>59</v>
      </c>
      <c r="N102" s="99">
        <f t="shared" si="253"/>
        <v>61</v>
      </c>
      <c r="O102" s="99">
        <f t="shared" si="253"/>
        <v>58</v>
      </c>
      <c r="P102" s="99">
        <f t="shared" si="253"/>
        <v>57</v>
      </c>
      <c r="Q102" s="99">
        <f t="shared" si="253"/>
        <v>56</v>
      </c>
      <c r="R102" s="99">
        <f t="shared" si="253"/>
        <v>55</v>
      </c>
      <c r="S102" s="99">
        <f t="shared" si="253"/>
        <v>54</v>
      </c>
      <c r="T102" s="99">
        <f t="shared" si="253"/>
        <v>53</v>
      </c>
      <c r="U102" s="99">
        <f t="shared" si="253"/>
        <v>52</v>
      </c>
      <c r="V102" s="99">
        <f t="shared" si="253"/>
        <v>55</v>
      </c>
      <c r="W102" s="99">
        <f t="shared" si="253"/>
        <v>52</v>
      </c>
      <c r="X102" s="99">
        <f t="shared" si="253"/>
        <v>51</v>
      </c>
      <c r="Y102" s="99">
        <f t="shared" si="253"/>
        <v>50</v>
      </c>
      <c r="Z102" s="99">
        <f t="shared" si="253"/>
        <v>51</v>
      </c>
      <c r="AA102" s="99">
        <f t="shared" si="253"/>
        <v>49</v>
      </c>
      <c r="AB102" s="99">
        <f t="shared" si="253"/>
        <v>48</v>
      </c>
      <c r="AC102" s="99">
        <f t="shared" si="253"/>
        <v>46</v>
      </c>
      <c r="AD102" s="99">
        <f t="shared" ref="AD102:AF102" si="254">AD40</f>
        <v>45</v>
      </c>
      <c r="AE102" s="99">
        <f t="shared" si="254"/>
        <v>43</v>
      </c>
      <c r="AF102" s="99">
        <f t="shared" si="254"/>
        <v>48</v>
      </c>
      <c r="AG102" s="99">
        <f t="shared" ref="AG102" si="255">AG40</f>
        <v>52</v>
      </c>
      <c r="AH102" s="99">
        <f ca="1">AH40</f>
        <v>52.814812500000002</v>
      </c>
      <c r="AI102" s="99">
        <f ca="1">AI40</f>
        <v>51.284812500000001</v>
      </c>
      <c r="AJ102" s="99">
        <f ca="1">AJ40</f>
        <v>51.284812500000001</v>
      </c>
      <c r="AK102" s="79"/>
      <c r="AL102" s="99">
        <f>AL40</f>
        <v>187</v>
      </c>
      <c r="AM102" s="99">
        <f>AM40</f>
        <v>263</v>
      </c>
      <c r="AN102" s="33">
        <f t="shared" ref="AN102:AT102" si="256">SUMIF($E$6:$AK$6,AN$6,$E102:$AK102)</f>
        <v>255</v>
      </c>
      <c r="AO102" s="33">
        <f t="shared" si="256"/>
        <v>241</v>
      </c>
      <c r="AP102" s="33">
        <f t="shared" si="256"/>
        <v>235</v>
      </c>
      <c r="AQ102" s="33">
        <f t="shared" si="256"/>
        <v>218</v>
      </c>
      <c r="AR102" s="33">
        <f t="shared" si="256"/>
        <v>210</v>
      </c>
      <c r="AS102" s="33">
        <f t="shared" si="256"/>
        <v>198</v>
      </c>
      <c r="AT102" s="33">
        <f t="shared" si="256"/>
        <v>182</v>
      </c>
      <c r="AU102" s="33">
        <f ca="1">SUMIF($E$6:$AK$6,AU$6,$E102:$AK102)</f>
        <v>207.38443749999999</v>
      </c>
      <c r="AV102" s="99">
        <f ca="1">AV40</f>
        <v>196.32237499999999</v>
      </c>
      <c r="AW102" s="99">
        <f ca="1">AW40</f>
        <v>174.31950000000001</v>
      </c>
      <c r="AX102" s="99">
        <f ca="1">AX40</f>
        <v>156.05224999999999</v>
      </c>
    </row>
    <row r="103" spans="3:50" ht="11.25" customHeight="1">
      <c r="C103" s="45" t="s">
        <v>387</v>
      </c>
      <c r="E103" s="100">
        <f t="shared" ref="E103:L103" si="257">E96-E102</f>
        <v>342</v>
      </c>
      <c r="F103" s="100">
        <f t="shared" si="257"/>
        <v>313</v>
      </c>
      <c r="G103" s="100">
        <f t="shared" si="257"/>
        <v>352</v>
      </c>
      <c r="H103" s="100">
        <f t="shared" si="257"/>
        <v>272</v>
      </c>
      <c r="I103" s="100">
        <f t="shared" si="257"/>
        <v>341</v>
      </c>
      <c r="J103" s="100">
        <f t="shared" si="257"/>
        <v>359</v>
      </c>
      <c r="K103" s="100">
        <f t="shared" si="257"/>
        <v>400</v>
      </c>
      <c r="L103" s="100">
        <f t="shared" si="257"/>
        <v>294</v>
      </c>
      <c r="M103" s="100">
        <f t="shared" ref="M103:AC103" si="258">M96-M102</f>
        <v>400</v>
      </c>
      <c r="N103" s="100">
        <f t="shared" si="258"/>
        <v>386</v>
      </c>
      <c r="O103" s="100">
        <f t="shared" si="258"/>
        <v>393</v>
      </c>
      <c r="P103" s="100">
        <f t="shared" si="258"/>
        <v>219</v>
      </c>
      <c r="Q103" s="100">
        <f t="shared" si="258"/>
        <v>296</v>
      </c>
      <c r="R103" s="100">
        <f t="shared" si="258"/>
        <v>334</v>
      </c>
      <c r="S103" s="100">
        <f t="shared" si="258"/>
        <v>315</v>
      </c>
      <c r="T103" s="100">
        <f t="shared" si="258"/>
        <v>226</v>
      </c>
      <c r="U103" s="100">
        <f t="shared" si="258"/>
        <v>330</v>
      </c>
      <c r="V103" s="100">
        <f t="shared" si="258"/>
        <v>140</v>
      </c>
      <c r="W103" s="100">
        <f t="shared" si="258"/>
        <v>258</v>
      </c>
      <c r="X103" s="100">
        <f t="shared" si="258"/>
        <v>278</v>
      </c>
      <c r="Y103" s="100">
        <f t="shared" si="258"/>
        <v>350</v>
      </c>
      <c r="Z103" s="100">
        <f t="shared" si="258"/>
        <v>403</v>
      </c>
      <c r="AA103" s="100">
        <f t="shared" si="258"/>
        <v>396</v>
      </c>
      <c r="AB103" s="100">
        <f t="shared" si="258"/>
        <v>288</v>
      </c>
      <c r="AC103" s="100">
        <f t="shared" si="258"/>
        <v>320</v>
      </c>
      <c r="AD103" s="100">
        <f t="shared" ref="AD103:AF103" si="259">AD96-AD102</f>
        <v>424</v>
      </c>
      <c r="AE103" s="100">
        <f t="shared" si="259"/>
        <v>290</v>
      </c>
      <c r="AF103" s="100">
        <f t="shared" si="259"/>
        <v>123</v>
      </c>
      <c r="AG103" s="100">
        <f t="shared" ref="AG103" si="260">AG96-AG102</f>
        <v>231</v>
      </c>
      <c r="AH103" s="100">
        <f ca="1">AH96-AH102</f>
        <v>330.14818749999995</v>
      </c>
      <c r="AI103" s="100">
        <f ca="1">AI96-AI102</f>
        <v>357.11308750000006</v>
      </c>
      <c r="AJ103" s="100">
        <f ca="1">AJ96-AJ102</f>
        <v>289.94688750000006</v>
      </c>
      <c r="AK103" s="79"/>
      <c r="AL103" s="100">
        <f t="shared" ref="AL103:AR103" si="261">AL96-AL102</f>
        <v>1441</v>
      </c>
      <c r="AM103" s="100">
        <f t="shared" si="261"/>
        <v>1462</v>
      </c>
      <c r="AN103" s="100">
        <f t="shared" si="261"/>
        <v>1279</v>
      </c>
      <c r="AO103" s="100">
        <f t="shared" si="261"/>
        <v>1394</v>
      </c>
      <c r="AP103" s="100">
        <f t="shared" si="261"/>
        <v>1398</v>
      </c>
      <c r="AQ103" s="100">
        <f t="shared" si="261"/>
        <v>1171</v>
      </c>
      <c r="AR103" s="100">
        <f t="shared" si="261"/>
        <v>1006</v>
      </c>
      <c r="AS103" s="100">
        <f t="shared" ref="AS103:AT103" si="262">AS96-AS102</f>
        <v>1437</v>
      </c>
      <c r="AT103" s="100">
        <f t="shared" si="262"/>
        <v>1157</v>
      </c>
      <c r="AU103" s="100">
        <f ca="1">AU96-AU102</f>
        <v>1208.2081625000001</v>
      </c>
      <c r="AV103" s="100">
        <f ca="1">AV96-AV102</f>
        <v>1320.4219839999998</v>
      </c>
      <c r="AW103" s="100">
        <f ca="1">AW96-AW102</f>
        <v>1423.875273565</v>
      </c>
      <c r="AX103" s="100">
        <f ca="1">AX96-AX102</f>
        <v>1535.1633351145749</v>
      </c>
    </row>
    <row r="104" spans="3:50" ht="5.2" customHeight="1">
      <c r="C104" s="43"/>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40"/>
      <c r="AE104" s="40"/>
      <c r="AF104" s="40"/>
      <c r="AG104" s="40"/>
      <c r="AH104" s="40"/>
      <c r="AI104" s="40"/>
      <c r="AJ104" s="40"/>
      <c r="AK104" s="79"/>
      <c r="AL104" s="40"/>
      <c r="AM104" s="40"/>
      <c r="AN104" s="40"/>
      <c r="AO104" s="40"/>
      <c r="AP104" s="40"/>
      <c r="AQ104" s="81"/>
      <c r="AR104" s="81"/>
    </row>
    <row r="105" spans="3:50" ht="11.25" customHeight="1" outlineLevel="1">
      <c r="C105" s="113" t="s">
        <v>68</v>
      </c>
      <c r="E105" s="104">
        <f t="shared" ref="E105:AJ105" si="263">ROUND(E103-E209,1)</f>
        <v>7</v>
      </c>
      <c r="F105" s="104">
        <f t="shared" si="263"/>
        <v>-3</v>
      </c>
      <c r="G105" s="104">
        <f t="shared" si="263"/>
        <v>3</v>
      </c>
      <c r="H105" s="104">
        <f t="shared" si="263"/>
        <v>-1</v>
      </c>
      <c r="I105" s="104">
        <f t="shared" si="263"/>
        <v>0</v>
      </c>
      <c r="J105" s="104">
        <f t="shared" si="263"/>
        <v>0</v>
      </c>
      <c r="K105" s="104">
        <f t="shared" si="263"/>
        <v>0</v>
      </c>
      <c r="L105" s="104">
        <f t="shared" si="263"/>
        <v>0</v>
      </c>
      <c r="M105" s="104">
        <f t="shared" si="263"/>
        <v>0</v>
      </c>
      <c r="N105" s="104">
        <f t="shared" si="263"/>
        <v>0</v>
      </c>
      <c r="O105" s="104">
        <f t="shared" si="263"/>
        <v>0</v>
      </c>
      <c r="P105" s="104">
        <f t="shared" si="263"/>
        <v>0</v>
      </c>
      <c r="Q105" s="104">
        <f t="shared" si="263"/>
        <v>0</v>
      </c>
      <c r="R105" s="104">
        <f t="shared" si="263"/>
        <v>0</v>
      </c>
      <c r="S105" s="104">
        <f t="shared" si="263"/>
        <v>0</v>
      </c>
      <c r="T105" s="104">
        <f t="shared" si="263"/>
        <v>0</v>
      </c>
      <c r="U105" s="104">
        <f t="shared" si="263"/>
        <v>0</v>
      </c>
      <c r="V105" s="104">
        <f t="shared" si="263"/>
        <v>0</v>
      </c>
      <c r="W105" s="104">
        <f t="shared" si="263"/>
        <v>0</v>
      </c>
      <c r="X105" s="104">
        <f t="shared" si="263"/>
        <v>0</v>
      </c>
      <c r="Y105" s="104">
        <f t="shared" si="263"/>
        <v>0</v>
      </c>
      <c r="Z105" s="104">
        <f t="shared" si="263"/>
        <v>0</v>
      </c>
      <c r="AA105" s="104">
        <f t="shared" si="263"/>
        <v>0</v>
      </c>
      <c r="AB105" s="104">
        <f t="shared" si="263"/>
        <v>0</v>
      </c>
      <c r="AC105" s="104">
        <f t="shared" si="263"/>
        <v>0</v>
      </c>
      <c r="AD105" s="104">
        <f t="shared" si="263"/>
        <v>0</v>
      </c>
      <c r="AE105" s="104">
        <f t="shared" si="263"/>
        <v>0</v>
      </c>
      <c r="AF105" s="104">
        <f t="shared" si="263"/>
        <v>0</v>
      </c>
      <c r="AG105" s="104">
        <f t="shared" si="263"/>
        <v>0</v>
      </c>
      <c r="AH105" s="104">
        <f t="shared" ca="1" si="263"/>
        <v>0</v>
      </c>
      <c r="AI105" s="104">
        <f t="shared" ca="1" si="263"/>
        <v>0</v>
      </c>
      <c r="AJ105" s="104">
        <f t="shared" ca="1" si="263"/>
        <v>0</v>
      </c>
      <c r="AK105" s="79"/>
      <c r="AL105" s="104">
        <f t="shared" ref="AL105:AX105" si="264">ROUND(AL103-AL209,1)</f>
        <v>24</v>
      </c>
      <c r="AM105" s="104">
        <f t="shared" si="264"/>
        <v>25</v>
      </c>
      <c r="AN105" s="104">
        <f t="shared" si="264"/>
        <v>6</v>
      </c>
      <c r="AO105" s="104">
        <f t="shared" si="264"/>
        <v>0</v>
      </c>
      <c r="AP105" s="104">
        <f t="shared" si="264"/>
        <v>0</v>
      </c>
      <c r="AQ105" s="104">
        <f t="shared" si="264"/>
        <v>0</v>
      </c>
      <c r="AR105" s="104">
        <f t="shared" si="264"/>
        <v>0</v>
      </c>
      <c r="AS105" s="104">
        <f t="shared" si="264"/>
        <v>0</v>
      </c>
      <c r="AT105" s="104">
        <f t="shared" si="264"/>
        <v>0</v>
      </c>
      <c r="AU105" s="104">
        <f t="shared" ca="1" si="264"/>
        <v>0</v>
      </c>
      <c r="AV105" s="104">
        <f t="shared" ca="1" si="264"/>
        <v>0</v>
      </c>
      <c r="AW105" s="104">
        <f t="shared" ca="1" si="264"/>
        <v>0</v>
      </c>
      <c r="AX105" s="104">
        <f t="shared" ca="1" si="264"/>
        <v>0</v>
      </c>
    </row>
    <row r="106" spans="3:50" ht="5.2" customHeight="1" outlineLevel="1">
      <c r="C106" s="43"/>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40"/>
      <c r="AE106" s="40"/>
      <c r="AF106" s="40"/>
      <c r="AG106" s="40"/>
      <c r="AH106" s="40"/>
      <c r="AI106" s="40"/>
      <c r="AJ106" s="40"/>
      <c r="AK106" s="79"/>
      <c r="AL106" s="40"/>
      <c r="AM106" s="40"/>
      <c r="AN106" s="40"/>
      <c r="AO106" s="40"/>
      <c r="AP106" s="40"/>
      <c r="AQ106" s="81"/>
      <c r="AR106" s="81"/>
    </row>
    <row r="107" spans="3:50" ht="11.25" customHeight="1">
      <c r="C107" s="43" t="s">
        <v>388</v>
      </c>
      <c r="E107" s="99">
        <f t="shared" ref="E107:L107" si="265">E218</f>
        <v>80</v>
      </c>
      <c r="F107" s="99">
        <f t="shared" si="265"/>
        <v>64</v>
      </c>
      <c r="G107" s="99">
        <f t="shared" si="265"/>
        <v>73</v>
      </c>
      <c r="H107" s="99">
        <f t="shared" si="265"/>
        <v>48</v>
      </c>
      <c r="I107" s="99">
        <f t="shared" si="265"/>
        <v>71</v>
      </c>
      <c r="J107" s="99">
        <f t="shared" si="265"/>
        <v>68</v>
      </c>
      <c r="K107" s="99">
        <f t="shared" si="265"/>
        <v>80</v>
      </c>
      <c r="L107" s="99">
        <f t="shared" si="265"/>
        <v>59</v>
      </c>
      <c r="M107" s="99">
        <f t="shared" ref="M107:AC107" si="266">M218</f>
        <v>76</v>
      </c>
      <c r="N107" s="99">
        <f t="shared" si="266"/>
        <v>65</v>
      </c>
      <c r="O107" s="99">
        <f t="shared" si="266"/>
        <v>59</v>
      </c>
      <c r="P107" s="99">
        <f t="shared" si="266"/>
        <v>22</v>
      </c>
      <c r="Q107" s="99">
        <f t="shared" si="266"/>
        <v>48</v>
      </c>
      <c r="R107" s="99">
        <f t="shared" si="266"/>
        <v>56</v>
      </c>
      <c r="S107" s="99">
        <f t="shared" si="266"/>
        <v>47</v>
      </c>
      <c r="T107" s="99">
        <f t="shared" si="266"/>
        <v>29</v>
      </c>
      <c r="U107" s="99">
        <f t="shared" si="266"/>
        <v>51</v>
      </c>
      <c r="V107" s="99">
        <f t="shared" si="266"/>
        <v>21</v>
      </c>
      <c r="W107" s="99">
        <f t="shared" si="266"/>
        <v>40</v>
      </c>
      <c r="X107" s="99">
        <f t="shared" si="266"/>
        <v>44</v>
      </c>
      <c r="Y107" s="99">
        <f t="shared" si="266"/>
        <v>54</v>
      </c>
      <c r="Z107" s="99">
        <f t="shared" si="266"/>
        <v>62</v>
      </c>
      <c r="AA107" s="99">
        <f t="shared" si="266"/>
        <v>55</v>
      </c>
      <c r="AB107" s="99">
        <f t="shared" si="266"/>
        <v>43</v>
      </c>
      <c r="AC107" s="99">
        <f t="shared" si="266"/>
        <v>50</v>
      </c>
      <c r="AD107" s="99">
        <f t="shared" ref="AD107:AF107" si="267">AD218</f>
        <v>65</v>
      </c>
      <c r="AE107" s="99">
        <f t="shared" si="267"/>
        <v>40</v>
      </c>
      <c r="AF107" s="99">
        <f t="shared" si="267"/>
        <v>15</v>
      </c>
      <c r="AG107" s="99">
        <f t="shared" ref="AG107" si="268">AG218</f>
        <v>36</v>
      </c>
      <c r="AH107" s="99">
        <f ca="1">AH218</f>
        <v>52.823709999999991</v>
      </c>
      <c r="AI107" s="99">
        <f ca="1">AI218</f>
        <v>57.138094000000009</v>
      </c>
      <c r="AJ107" s="99">
        <f ca="1">AJ218</f>
        <v>46.39150200000001</v>
      </c>
      <c r="AK107" s="79"/>
      <c r="AL107" s="99">
        <f>AL218</f>
        <v>235</v>
      </c>
      <c r="AM107" s="99">
        <f>AM218</f>
        <v>365</v>
      </c>
      <c r="AN107" s="33">
        <f t="shared" ref="AN107:AT107" si="269">SUMIF($E$6:$AK$6,AN$6,$E107:$AK107)</f>
        <v>265</v>
      </c>
      <c r="AO107" s="33">
        <f t="shared" si="269"/>
        <v>278</v>
      </c>
      <c r="AP107" s="33">
        <f t="shared" si="269"/>
        <v>222</v>
      </c>
      <c r="AQ107" s="33">
        <f t="shared" si="269"/>
        <v>180</v>
      </c>
      <c r="AR107" s="33">
        <f t="shared" si="269"/>
        <v>156</v>
      </c>
      <c r="AS107" s="33">
        <f t="shared" si="269"/>
        <v>214</v>
      </c>
      <c r="AT107" s="33">
        <f t="shared" si="269"/>
        <v>170</v>
      </c>
      <c r="AU107" s="33">
        <f ca="1">SUMIF($E$6:$AK$6,AU$6,$E107:$AK107)</f>
        <v>192.353306</v>
      </c>
      <c r="AV107" s="99">
        <f ca="1">AV218</f>
        <v>224.47173727999999</v>
      </c>
      <c r="AW107" s="99">
        <f ca="1">AW218</f>
        <v>242.05879650605002</v>
      </c>
      <c r="AX107" s="99">
        <f ca="1">AX218</f>
        <v>260.97776696947773</v>
      </c>
    </row>
    <row r="108" spans="3:50" ht="11.25" customHeight="1" outlineLevel="1">
      <c r="C108" s="107" t="s">
        <v>689</v>
      </c>
      <c r="E108" s="95">
        <f t="shared" ref="E108:L108" si="270">+E107/E103</f>
        <v>0.23391812865497075</v>
      </c>
      <c r="F108" s="95">
        <f t="shared" si="270"/>
        <v>0.20447284345047922</v>
      </c>
      <c r="G108" s="95">
        <f t="shared" si="270"/>
        <v>0.20738636363636365</v>
      </c>
      <c r="H108" s="95">
        <f t="shared" si="270"/>
        <v>0.17647058823529413</v>
      </c>
      <c r="I108" s="95">
        <f t="shared" si="270"/>
        <v>0.20821114369501467</v>
      </c>
      <c r="J108" s="95">
        <f t="shared" si="270"/>
        <v>0.1894150417827298</v>
      </c>
      <c r="K108" s="95">
        <f t="shared" si="270"/>
        <v>0.2</v>
      </c>
      <c r="L108" s="95">
        <f t="shared" si="270"/>
        <v>0.20068027210884354</v>
      </c>
      <c r="M108" s="95">
        <f t="shared" ref="M108:AC108" si="271">+M107/M103</f>
        <v>0.19</v>
      </c>
      <c r="N108" s="95">
        <f t="shared" si="271"/>
        <v>0.16839378238341968</v>
      </c>
      <c r="O108" s="95">
        <f t="shared" si="271"/>
        <v>0.15012722646310434</v>
      </c>
      <c r="P108" s="95">
        <f t="shared" si="271"/>
        <v>0.1004566210045662</v>
      </c>
      <c r="Q108" s="95">
        <f t="shared" si="271"/>
        <v>0.16216216216216217</v>
      </c>
      <c r="R108" s="95">
        <f t="shared" si="271"/>
        <v>0.16766467065868262</v>
      </c>
      <c r="S108" s="95">
        <f t="shared" si="271"/>
        <v>0.1492063492063492</v>
      </c>
      <c r="T108" s="95">
        <f t="shared" si="271"/>
        <v>0.12831858407079647</v>
      </c>
      <c r="U108" s="95">
        <f t="shared" si="271"/>
        <v>0.15454545454545454</v>
      </c>
      <c r="V108" s="95">
        <f t="shared" si="271"/>
        <v>0.15</v>
      </c>
      <c r="W108" s="95">
        <f t="shared" si="271"/>
        <v>0.15503875968992248</v>
      </c>
      <c r="X108" s="95">
        <f t="shared" si="271"/>
        <v>0.15827338129496402</v>
      </c>
      <c r="Y108" s="95">
        <f t="shared" si="271"/>
        <v>0.15428571428571428</v>
      </c>
      <c r="Z108" s="95">
        <f t="shared" si="271"/>
        <v>0.15384615384615385</v>
      </c>
      <c r="AA108" s="95">
        <f t="shared" si="271"/>
        <v>0.1388888888888889</v>
      </c>
      <c r="AB108" s="95">
        <f t="shared" si="271"/>
        <v>0.14930555555555555</v>
      </c>
      <c r="AC108" s="95">
        <f t="shared" si="271"/>
        <v>0.15625</v>
      </c>
      <c r="AD108" s="95">
        <f t="shared" ref="AD108:AF108" si="272">+AD107/AD103</f>
        <v>0.15330188679245282</v>
      </c>
      <c r="AE108" s="95">
        <f t="shared" si="272"/>
        <v>0.13793103448275862</v>
      </c>
      <c r="AF108" s="95">
        <f t="shared" si="272"/>
        <v>0.12195121951219512</v>
      </c>
      <c r="AG108" s="95">
        <f t="shared" ref="AG108" si="273">+AG107/AG103</f>
        <v>0.15584415584415584</v>
      </c>
      <c r="AH108" s="95">
        <f ca="1">+AH107/AH103</f>
        <v>0.16</v>
      </c>
      <c r="AI108" s="95">
        <f ca="1">+AI107/AI103</f>
        <v>0.16</v>
      </c>
      <c r="AJ108" s="95">
        <f ca="1">+AJ107/AJ103</f>
        <v>0.16</v>
      </c>
      <c r="AK108" s="79"/>
      <c r="AL108" s="95">
        <f t="shared" ref="AL108:AT108" si="274">+AL107/AL103</f>
        <v>0.16308119361554477</v>
      </c>
      <c r="AM108" s="95">
        <f t="shared" si="274"/>
        <v>0.2496580027359781</v>
      </c>
      <c r="AN108" s="95">
        <f t="shared" si="274"/>
        <v>0.2071931196247068</v>
      </c>
      <c r="AO108" s="95">
        <f t="shared" si="274"/>
        <v>0.19942611190817791</v>
      </c>
      <c r="AP108" s="95">
        <f t="shared" si="274"/>
        <v>0.15879828326180256</v>
      </c>
      <c r="AQ108" s="95">
        <f t="shared" si="274"/>
        <v>0.15371477369769429</v>
      </c>
      <c r="AR108" s="95">
        <f t="shared" si="274"/>
        <v>0.15506958250497019</v>
      </c>
      <c r="AS108" s="95">
        <f t="shared" si="274"/>
        <v>0.14892136395267919</v>
      </c>
      <c r="AT108" s="95">
        <f t="shared" si="274"/>
        <v>0.14693171996542784</v>
      </c>
      <c r="AU108" s="95">
        <f ca="1">+AU107/AU103</f>
        <v>0.15920543493265796</v>
      </c>
      <c r="AV108" s="95">
        <f ca="1">+AV107/AV103</f>
        <v>0.17</v>
      </c>
      <c r="AW108" s="95">
        <f ca="1">+AW107/AW103</f>
        <v>0.17</v>
      </c>
      <c r="AX108" s="95">
        <f ca="1">+AX107/AX103</f>
        <v>0.16999999999999998</v>
      </c>
    </row>
    <row r="109" spans="3:50" ht="5.2" customHeight="1" outlineLevel="1">
      <c r="C109" s="43"/>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79"/>
      <c r="AL109" s="99"/>
      <c r="AM109" s="99"/>
      <c r="AN109" s="33"/>
      <c r="AO109" s="33"/>
      <c r="AP109" s="33"/>
      <c r="AQ109" s="33"/>
      <c r="AR109" s="33"/>
      <c r="AS109" s="99"/>
      <c r="AT109" s="99"/>
      <c r="AU109" s="99"/>
      <c r="AV109" s="99"/>
      <c r="AW109" s="99"/>
      <c r="AX109" s="99"/>
    </row>
    <row r="110" spans="3:50" ht="11.25" customHeight="1">
      <c r="C110" s="45" t="s">
        <v>389</v>
      </c>
      <c r="E110" s="100">
        <f t="shared" ref="E110:L110" si="275">E103-E107</f>
        <v>262</v>
      </c>
      <c r="F110" s="100">
        <f t="shared" si="275"/>
        <v>249</v>
      </c>
      <c r="G110" s="100">
        <f t="shared" si="275"/>
        <v>279</v>
      </c>
      <c r="H110" s="100">
        <f t="shared" si="275"/>
        <v>224</v>
      </c>
      <c r="I110" s="100">
        <f t="shared" si="275"/>
        <v>270</v>
      </c>
      <c r="J110" s="100">
        <f t="shared" si="275"/>
        <v>291</v>
      </c>
      <c r="K110" s="100">
        <f t="shared" si="275"/>
        <v>320</v>
      </c>
      <c r="L110" s="100">
        <f t="shared" si="275"/>
        <v>235</v>
      </c>
      <c r="M110" s="100">
        <f t="shared" ref="M110:AC110" si="276">M103-M107</f>
        <v>324</v>
      </c>
      <c r="N110" s="100">
        <f t="shared" si="276"/>
        <v>321</v>
      </c>
      <c r="O110" s="100">
        <f t="shared" si="276"/>
        <v>334</v>
      </c>
      <c r="P110" s="100">
        <f t="shared" si="276"/>
        <v>197</v>
      </c>
      <c r="Q110" s="100">
        <f t="shared" si="276"/>
        <v>248</v>
      </c>
      <c r="R110" s="100">
        <f t="shared" si="276"/>
        <v>278</v>
      </c>
      <c r="S110" s="100">
        <f t="shared" si="276"/>
        <v>268</v>
      </c>
      <c r="T110" s="100">
        <f t="shared" si="276"/>
        <v>197</v>
      </c>
      <c r="U110" s="100">
        <f t="shared" si="276"/>
        <v>279</v>
      </c>
      <c r="V110" s="100">
        <f t="shared" si="276"/>
        <v>119</v>
      </c>
      <c r="W110" s="100">
        <f t="shared" si="276"/>
        <v>218</v>
      </c>
      <c r="X110" s="100">
        <f t="shared" si="276"/>
        <v>234</v>
      </c>
      <c r="Y110" s="100">
        <f t="shared" si="276"/>
        <v>296</v>
      </c>
      <c r="Z110" s="100">
        <f t="shared" si="276"/>
        <v>341</v>
      </c>
      <c r="AA110" s="100">
        <f t="shared" si="276"/>
        <v>341</v>
      </c>
      <c r="AB110" s="100">
        <f t="shared" si="276"/>
        <v>245</v>
      </c>
      <c r="AC110" s="100">
        <f t="shared" si="276"/>
        <v>270</v>
      </c>
      <c r="AD110" s="100">
        <f t="shared" ref="AD110:AF110" si="277">AD103-AD107</f>
        <v>359</v>
      </c>
      <c r="AE110" s="100">
        <f t="shared" si="277"/>
        <v>250</v>
      </c>
      <c r="AF110" s="100">
        <f t="shared" si="277"/>
        <v>108</v>
      </c>
      <c r="AG110" s="100">
        <f t="shared" ref="AG110" si="278">AG103-AG107</f>
        <v>195</v>
      </c>
      <c r="AH110" s="100">
        <f ca="1">AH103-AH107</f>
        <v>277.32447749999994</v>
      </c>
      <c r="AI110" s="100">
        <f ca="1">AI103-AI107</f>
        <v>299.97499350000004</v>
      </c>
      <c r="AJ110" s="100">
        <f ca="1">AJ103-AJ107</f>
        <v>243.55538550000006</v>
      </c>
      <c r="AK110" s="79"/>
      <c r="AL110" s="100">
        <f t="shared" ref="AL110:AT110" si="279">AL103-AL107</f>
        <v>1206</v>
      </c>
      <c r="AM110" s="100">
        <f t="shared" si="279"/>
        <v>1097</v>
      </c>
      <c r="AN110" s="100">
        <f t="shared" si="279"/>
        <v>1014</v>
      </c>
      <c r="AO110" s="100">
        <f t="shared" si="279"/>
        <v>1116</v>
      </c>
      <c r="AP110" s="100">
        <f t="shared" si="279"/>
        <v>1176</v>
      </c>
      <c r="AQ110" s="100">
        <f t="shared" si="279"/>
        <v>991</v>
      </c>
      <c r="AR110" s="100">
        <f t="shared" si="279"/>
        <v>850</v>
      </c>
      <c r="AS110" s="100">
        <f t="shared" si="279"/>
        <v>1223</v>
      </c>
      <c r="AT110" s="100">
        <f t="shared" si="279"/>
        <v>987</v>
      </c>
      <c r="AU110" s="100">
        <f ca="1">AU103-AU107</f>
        <v>1015.8548565000001</v>
      </c>
      <c r="AV110" s="100">
        <f ca="1">AV103-AV107</f>
        <v>1095.9502467199998</v>
      </c>
      <c r="AW110" s="100">
        <f ca="1">AW103-AW107</f>
        <v>1181.8164770589501</v>
      </c>
      <c r="AX110" s="100">
        <f ca="1">AX103-AX107</f>
        <v>1274.1855681450972</v>
      </c>
    </row>
    <row r="111" spans="3:50" ht="11.25" customHeight="1" outlineLevel="1">
      <c r="C111" s="93" t="s">
        <v>358</v>
      </c>
      <c r="E111" s="46"/>
      <c r="F111" s="46"/>
      <c r="G111" s="46"/>
      <c r="H111" s="46"/>
      <c r="I111" s="94">
        <f t="shared" ref="I111:AG111" si="280">IFERROR(I110/E110-1,"NA  ")</f>
        <v>3.0534351145038219E-2</v>
      </c>
      <c r="J111" s="94">
        <f t="shared" si="280"/>
        <v>0.16867469879518082</v>
      </c>
      <c r="K111" s="94">
        <f t="shared" si="280"/>
        <v>0.14695340501792109</v>
      </c>
      <c r="L111" s="94">
        <f t="shared" si="280"/>
        <v>4.9107142857142794E-2</v>
      </c>
      <c r="M111" s="94">
        <f t="shared" si="280"/>
        <v>0.19999999999999996</v>
      </c>
      <c r="N111" s="94">
        <f t="shared" si="280"/>
        <v>0.10309278350515472</v>
      </c>
      <c r="O111" s="94">
        <f t="shared" si="280"/>
        <v>4.3749999999999956E-2</v>
      </c>
      <c r="P111" s="94">
        <f t="shared" si="280"/>
        <v>-0.16170212765957448</v>
      </c>
      <c r="Q111" s="94">
        <f t="shared" si="280"/>
        <v>-0.23456790123456794</v>
      </c>
      <c r="R111" s="94">
        <f t="shared" si="280"/>
        <v>-0.13395638629283491</v>
      </c>
      <c r="S111" s="94">
        <f t="shared" si="280"/>
        <v>-0.19760479041916168</v>
      </c>
      <c r="T111" s="94">
        <f t="shared" si="280"/>
        <v>0</v>
      </c>
      <c r="U111" s="94">
        <f t="shared" si="280"/>
        <v>0.125</v>
      </c>
      <c r="V111" s="94">
        <f t="shared" si="280"/>
        <v>-0.57194244604316546</v>
      </c>
      <c r="W111" s="94">
        <f t="shared" si="280"/>
        <v>-0.18656716417910446</v>
      </c>
      <c r="X111" s="94">
        <f t="shared" si="280"/>
        <v>0.18781725888324874</v>
      </c>
      <c r="Y111" s="94">
        <f t="shared" si="280"/>
        <v>6.0931899641577081E-2</v>
      </c>
      <c r="Z111" s="94">
        <f t="shared" si="280"/>
        <v>1.865546218487395</v>
      </c>
      <c r="AA111" s="94">
        <f t="shared" si="280"/>
        <v>0.56422018348623859</v>
      </c>
      <c r="AB111" s="94">
        <f t="shared" si="280"/>
        <v>4.7008547008547064E-2</v>
      </c>
      <c r="AC111" s="94">
        <f t="shared" si="280"/>
        <v>-8.7837837837837829E-2</v>
      </c>
      <c r="AD111" s="94">
        <f t="shared" si="280"/>
        <v>5.2785923753665642E-2</v>
      </c>
      <c r="AE111" s="94">
        <f t="shared" si="280"/>
        <v>-0.26686217008797652</v>
      </c>
      <c r="AF111" s="94">
        <f t="shared" si="280"/>
        <v>-0.5591836734693878</v>
      </c>
      <c r="AG111" s="94">
        <f t="shared" si="280"/>
        <v>-0.27777777777777779</v>
      </c>
      <c r="AH111" s="94">
        <f ca="1">IFERROR(AH110/AD110-1,"NA  ")</f>
        <v>-0.22750841922005582</v>
      </c>
      <c r="AI111" s="94">
        <f ca="1">IFERROR(AI110/AE110-1,"NA  ")</f>
        <v>0.19989997400000026</v>
      </c>
      <c r="AJ111" s="94">
        <f ca="1">IFERROR(AJ110/AF110-1,"NA  ")</f>
        <v>1.2551424583333337</v>
      </c>
      <c r="AK111" s="79"/>
      <c r="AL111" s="96"/>
      <c r="AM111" s="95">
        <f t="shared" ref="AM111:AT111" si="281">IFERROR(AM110/AL110-1,"NA  ")</f>
        <v>-9.0381426202321702E-2</v>
      </c>
      <c r="AN111" s="95">
        <f t="shared" si="281"/>
        <v>-7.5660893345487645E-2</v>
      </c>
      <c r="AO111" s="95">
        <f t="shared" si="281"/>
        <v>0.10059171597633143</v>
      </c>
      <c r="AP111" s="95">
        <f t="shared" si="281"/>
        <v>5.3763440860215006E-2</v>
      </c>
      <c r="AQ111" s="95">
        <f t="shared" si="281"/>
        <v>-0.15731292517006801</v>
      </c>
      <c r="AR111" s="95">
        <f t="shared" si="281"/>
        <v>-0.14228052472250252</v>
      </c>
      <c r="AS111" s="95">
        <f t="shared" si="281"/>
        <v>0.43882352941176461</v>
      </c>
      <c r="AT111" s="95">
        <f t="shared" si="281"/>
        <v>-0.19296811120196233</v>
      </c>
      <c r="AU111" s="95">
        <f ca="1">IFERROR(AU110/AT110-1,"NA  ")</f>
        <v>2.9234910334346553E-2</v>
      </c>
      <c r="AV111" s="95">
        <f ca="1">IFERROR(AV110/AU110-1,"NA  ")</f>
        <v>7.8845309157607568E-2</v>
      </c>
      <c r="AW111" s="95">
        <f ca="1">IFERROR(AW110/AV110-1,"NA  ")</f>
        <v>7.8348657337259597E-2</v>
      </c>
      <c r="AX111" s="95">
        <f ca="1">IFERROR(AX110/AW110-1,"NA  ")</f>
        <v>7.8158574431129502E-2</v>
      </c>
    </row>
    <row r="112" spans="3:50" ht="11.25" customHeight="1" outlineLevel="1">
      <c r="C112" s="93" t="s">
        <v>360</v>
      </c>
      <c r="E112" s="94">
        <f t="shared" ref="E112:L112" si="282">IFERROR(E110/E73,"NA  ")</f>
        <v>0.11717352415026834</v>
      </c>
      <c r="F112" s="94">
        <f t="shared" si="282"/>
        <v>0.10840226382237701</v>
      </c>
      <c r="G112" s="94">
        <f t="shared" si="282"/>
        <v>0.1219938784433756</v>
      </c>
      <c r="H112" s="94">
        <f t="shared" si="282"/>
        <v>0.10237659963436929</v>
      </c>
      <c r="I112" s="94">
        <f t="shared" si="282"/>
        <v>0.11723838471558837</v>
      </c>
      <c r="J112" s="94">
        <f t="shared" si="282"/>
        <v>0.12029764365440264</v>
      </c>
      <c r="K112" s="94">
        <f t="shared" si="282"/>
        <v>0.12981744421906694</v>
      </c>
      <c r="L112" s="94">
        <f t="shared" si="282"/>
        <v>9.9491955969517362E-2</v>
      </c>
      <c r="M112" s="94">
        <f t="shared" ref="M112:AC112" si="283">IFERROR(M110/M73,"NA  ")</f>
        <v>0.12428078250863062</v>
      </c>
      <c r="N112" s="94">
        <f t="shared" si="283"/>
        <v>0.12247233880198398</v>
      </c>
      <c r="O112" s="94">
        <f t="shared" si="283"/>
        <v>0.13113466823714173</v>
      </c>
      <c r="P112" s="94">
        <f t="shared" si="283"/>
        <v>8.291245791245791E-2</v>
      </c>
      <c r="Q112" s="94">
        <f t="shared" si="283"/>
        <v>0.10420168067226891</v>
      </c>
      <c r="R112" s="94">
        <f t="shared" si="283"/>
        <v>0.11764705882352941</v>
      </c>
      <c r="S112" s="94">
        <f t="shared" si="283"/>
        <v>0.11526881720430107</v>
      </c>
      <c r="T112" s="94">
        <f t="shared" si="283"/>
        <v>8.934240362811792E-2</v>
      </c>
      <c r="U112" s="94">
        <f t="shared" si="283"/>
        <v>0.12449799196787148</v>
      </c>
      <c r="V112" s="94">
        <f t="shared" si="283"/>
        <v>6.1850311850311854E-2</v>
      </c>
      <c r="W112" s="94">
        <f t="shared" si="283"/>
        <v>0.10273327049952875</v>
      </c>
      <c r="X112" s="94">
        <f t="shared" si="283"/>
        <v>0.10704483074107959</v>
      </c>
      <c r="Y112" s="94">
        <f t="shared" si="283"/>
        <v>0.12287256122872561</v>
      </c>
      <c r="Z112" s="94">
        <f t="shared" si="283"/>
        <v>0.12853373539389371</v>
      </c>
      <c r="AA112" s="94">
        <f t="shared" si="283"/>
        <v>0.12536764705882353</v>
      </c>
      <c r="AB112" s="94">
        <f t="shared" si="283"/>
        <v>9.0942835931700078E-2</v>
      </c>
      <c r="AC112" s="94">
        <f t="shared" si="283"/>
        <v>9.9484156226971265E-2</v>
      </c>
      <c r="AD112" s="94">
        <f t="shared" ref="AD112:AF112" si="284">IFERROR(AD110/AD73,"NA  ")</f>
        <v>0.12895114942528735</v>
      </c>
      <c r="AE112" s="94">
        <f t="shared" si="284"/>
        <v>9.2284976005906239E-2</v>
      </c>
      <c r="AF112" s="94">
        <f t="shared" si="284"/>
        <v>4.5512010113780026E-2</v>
      </c>
      <c r="AG112" s="94">
        <f t="shared" ref="AG112" si="285">IFERROR(AG110/AG73,"NA  ")</f>
        <v>8.0845771144278614E-2</v>
      </c>
      <c r="AH112" s="94">
        <f ca="1">IFERROR(AH110/AH73,"NA  ")</f>
        <v>0.10251381670387838</v>
      </c>
      <c r="AI112" s="94">
        <f ca="1">IFERROR(AI110/AI73,"NA  ")</f>
        <v>0.11118338392599018</v>
      </c>
      <c r="AJ112" s="94">
        <f ca="1">IFERROR(AJ110/AJ73,"NA  ")</f>
        <v>0.10132182874472707</v>
      </c>
      <c r="AK112" s="79"/>
      <c r="AL112" s="94">
        <f t="shared" ref="AL112:AT112" si="286">IFERROR(AL110/AL73,"NA  ")</f>
        <v>0.12658759315629264</v>
      </c>
      <c r="AM112" s="94">
        <f t="shared" si="286"/>
        <v>0.11370232172470979</v>
      </c>
      <c r="AN112" s="94">
        <f t="shared" si="286"/>
        <v>0.11256660746003552</v>
      </c>
      <c r="AO112" s="94">
        <f t="shared" si="286"/>
        <v>0.11687087653157399</v>
      </c>
      <c r="AP112" s="94">
        <f t="shared" si="286"/>
        <v>0.11585065510787114</v>
      </c>
      <c r="AQ112" s="94">
        <f t="shared" si="286"/>
        <v>0.10686940580179015</v>
      </c>
      <c r="AR112" s="95">
        <f t="shared" si="286"/>
        <v>0.10031865927062433</v>
      </c>
      <c r="AS112" s="95">
        <f t="shared" si="286"/>
        <v>0.1167430316914853</v>
      </c>
      <c r="AT112" s="95">
        <f t="shared" si="286"/>
        <v>9.3289224952741015E-2</v>
      </c>
      <c r="AU112" s="95">
        <f ca="1">IFERROR(AU110/AU73,"NA  ")</f>
        <v>9.9408051685872648E-2</v>
      </c>
      <c r="AV112" s="95">
        <f ca="1">IFERROR(AV110/AV73,"NA  ")</f>
        <v>0.10347942579077024</v>
      </c>
      <c r="AW112" s="95">
        <f ca="1">IFERROR(AW110/AW73,"NA  ")</f>
        <v>0.10830132093684963</v>
      </c>
      <c r="AX112" s="95">
        <f ca="1">IFERROR(AX110/AX73,"NA  ")</f>
        <v>0.11387032162090574</v>
      </c>
    </row>
    <row r="113" spans="2:79" ht="5.2" customHeight="1" outlineLevel="1">
      <c r="E113" s="40"/>
      <c r="F113" s="40"/>
      <c r="G113" s="40"/>
      <c r="H113" s="81"/>
      <c r="I113" s="40"/>
      <c r="J113" s="40"/>
      <c r="K113" s="40"/>
      <c r="L113" s="34"/>
      <c r="M113" s="34"/>
      <c r="N113" s="34"/>
      <c r="O113" s="34"/>
      <c r="P113" s="34"/>
      <c r="Q113" s="34"/>
      <c r="R113" s="34"/>
      <c r="S113" s="34"/>
      <c r="T113" s="34"/>
      <c r="U113" s="34"/>
      <c r="V113" s="34"/>
      <c r="W113" s="34"/>
      <c r="X113" s="34"/>
      <c r="Y113" s="34"/>
      <c r="Z113" s="34"/>
      <c r="AA113" s="34"/>
      <c r="AB113" s="34"/>
      <c r="AC113" s="34"/>
      <c r="AD113" s="40"/>
      <c r="AE113" s="40"/>
      <c r="AF113" s="40"/>
      <c r="AG113" s="40"/>
      <c r="AH113" s="40"/>
      <c r="AI113" s="40"/>
      <c r="AJ113" s="40"/>
      <c r="AK113" s="79"/>
      <c r="AL113" s="40"/>
      <c r="AM113" s="40"/>
      <c r="AN113" s="40"/>
      <c r="AO113" s="40"/>
      <c r="AP113" s="40"/>
      <c r="AQ113" s="81"/>
      <c r="AR113" s="81"/>
    </row>
    <row r="114" spans="2:79" ht="11.25" customHeight="1" outlineLevel="1">
      <c r="C114" s="113" t="s">
        <v>68</v>
      </c>
      <c r="E114" s="42">
        <f t="shared" ref="E114:AJ114" si="287">ROUND(E110-E237,1)</f>
        <v>11</v>
      </c>
      <c r="F114" s="42">
        <f t="shared" si="287"/>
        <v>-6</v>
      </c>
      <c r="G114" s="42">
        <f t="shared" si="287"/>
        <v>4</v>
      </c>
      <c r="H114" s="42">
        <f t="shared" si="287"/>
        <v>1</v>
      </c>
      <c r="I114" s="42">
        <f t="shared" si="287"/>
        <v>1</v>
      </c>
      <c r="J114" s="42">
        <f t="shared" si="287"/>
        <v>2</v>
      </c>
      <c r="K114" s="42">
        <f t="shared" si="287"/>
        <v>1</v>
      </c>
      <c r="L114" s="42">
        <f t="shared" si="287"/>
        <v>0</v>
      </c>
      <c r="M114" s="42">
        <f t="shared" si="287"/>
        <v>0</v>
      </c>
      <c r="N114" s="42">
        <f t="shared" si="287"/>
        <v>2</v>
      </c>
      <c r="O114" s="42">
        <f t="shared" si="287"/>
        <v>1</v>
      </c>
      <c r="P114" s="42">
        <f t="shared" si="287"/>
        <v>1</v>
      </c>
      <c r="Q114" s="42">
        <f t="shared" si="287"/>
        <v>0</v>
      </c>
      <c r="R114" s="42">
        <f t="shared" si="287"/>
        <v>1</v>
      </c>
      <c r="S114" s="42">
        <f t="shared" si="287"/>
        <v>1</v>
      </c>
      <c r="T114" s="42">
        <f t="shared" si="287"/>
        <v>1</v>
      </c>
      <c r="U114" s="42">
        <f t="shared" si="287"/>
        <v>2</v>
      </c>
      <c r="V114" s="42">
        <f t="shared" si="287"/>
        <v>3</v>
      </c>
      <c r="W114" s="42">
        <f t="shared" si="287"/>
        <v>6</v>
      </c>
      <c r="X114" s="42">
        <f t="shared" si="287"/>
        <v>0</v>
      </c>
      <c r="Y114" s="42">
        <f t="shared" si="287"/>
        <v>3</v>
      </c>
      <c r="Z114" s="42">
        <f t="shared" si="287"/>
        <v>2</v>
      </c>
      <c r="AA114" s="42">
        <f t="shared" si="287"/>
        <v>3</v>
      </c>
      <c r="AB114" s="42">
        <f t="shared" si="287"/>
        <v>2</v>
      </c>
      <c r="AC114" s="42">
        <f t="shared" si="287"/>
        <v>1</v>
      </c>
      <c r="AD114" s="42">
        <f t="shared" si="287"/>
        <v>1</v>
      </c>
      <c r="AE114" s="42">
        <f t="shared" si="287"/>
        <v>0</v>
      </c>
      <c r="AF114" s="42">
        <f t="shared" si="287"/>
        <v>1</v>
      </c>
      <c r="AG114" s="42">
        <f t="shared" si="287"/>
        <v>0</v>
      </c>
      <c r="AH114" s="42">
        <f t="shared" ca="1" si="287"/>
        <v>0</v>
      </c>
      <c r="AI114" s="42">
        <f t="shared" ca="1" si="287"/>
        <v>0</v>
      </c>
      <c r="AJ114" s="42">
        <f t="shared" ca="1" si="287"/>
        <v>0</v>
      </c>
      <c r="AK114" s="79"/>
      <c r="AL114" s="42">
        <f t="shared" ref="AL114:AX114" si="288">ROUND(AL110-AL237,1)</f>
        <v>136</v>
      </c>
      <c r="AM114" s="42">
        <f t="shared" si="288"/>
        <v>6</v>
      </c>
      <c r="AN114" s="42">
        <f t="shared" si="288"/>
        <v>10</v>
      </c>
      <c r="AO114" s="42">
        <f t="shared" si="288"/>
        <v>4</v>
      </c>
      <c r="AP114" s="42">
        <f t="shared" si="288"/>
        <v>4</v>
      </c>
      <c r="AQ114" s="42">
        <f t="shared" si="288"/>
        <v>3</v>
      </c>
      <c r="AR114" s="42">
        <f t="shared" si="288"/>
        <v>11</v>
      </c>
      <c r="AS114" s="42">
        <f t="shared" si="288"/>
        <v>10</v>
      </c>
      <c r="AT114" s="42">
        <f t="shared" si="288"/>
        <v>3</v>
      </c>
      <c r="AU114" s="42">
        <f t="shared" ca="1" si="288"/>
        <v>20</v>
      </c>
      <c r="AV114" s="42">
        <f t="shared" ca="1" si="288"/>
        <v>0</v>
      </c>
      <c r="AW114" s="42">
        <f t="shared" ca="1" si="288"/>
        <v>0</v>
      </c>
      <c r="AX114" s="42">
        <f t="shared" ca="1" si="288"/>
        <v>0</v>
      </c>
    </row>
    <row r="115" spans="2:79" ht="5.2" customHeight="1" outlineLevel="1">
      <c r="E115" s="40"/>
      <c r="F115" s="40"/>
      <c r="G115" s="40"/>
      <c r="H115" s="81"/>
      <c r="I115" s="40"/>
      <c r="J115" s="40"/>
      <c r="K115" s="40"/>
      <c r="L115" s="34"/>
      <c r="M115" s="34"/>
      <c r="N115" s="34"/>
      <c r="O115" s="34"/>
      <c r="P115" s="34"/>
      <c r="Q115" s="34"/>
      <c r="R115" s="34"/>
      <c r="S115" s="34"/>
      <c r="T115" s="34"/>
      <c r="U115" s="34"/>
      <c r="V115" s="34"/>
      <c r="W115" s="34"/>
      <c r="X115" s="34"/>
      <c r="Y115" s="34"/>
      <c r="Z115" s="34"/>
      <c r="AA115" s="34"/>
      <c r="AB115" s="34"/>
      <c r="AC115" s="34"/>
      <c r="AD115" s="40"/>
      <c r="AE115" s="40"/>
      <c r="AF115" s="40"/>
      <c r="AG115" s="40"/>
      <c r="AH115" s="40"/>
      <c r="AI115" s="40"/>
      <c r="AJ115" s="40"/>
      <c r="AK115" s="79"/>
      <c r="AL115" s="40"/>
      <c r="AM115" s="40"/>
      <c r="AN115" s="40"/>
      <c r="AO115" s="40"/>
      <c r="AP115" s="40"/>
      <c r="AQ115" s="81"/>
      <c r="AR115" s="81"/>
    </row>
    <row r="116" spans="2:79" ht="11.25" customHeight="1">
      <c r="C116" s="45" t="s">
        <v>346</v>
      </c>
      <c r="E116" s="108">
        <f t="shared" ref="E116:L116" si="289">E245</f>
        <v>1.71</v>
      </c>
      <c r="F116" s="108">
        <f t="shared" si="289"/>
        <v>1.68</v>
      </c>
      <c r="G116" s="108">
        <f t="shared" si="289"/>
        <v>1.86</v>
      </c>
      <c r="H116" s="108">
        <f t="shared" si="289"/>
        <v>0.78644067796610173</v>
      </c>
      <c r="I116" s="108">
        <f t="shared" si="289"/>
        <v>1.8285869565217392</v>
      </c>
      <c r="J116" s="108">
        <f t="shared" si="289"/>
        <v>1.974535519125683</v>
      </c>
      <c r="K116" s="108">
        <f t="shared" si="289"/>
        <v>2.1899312714776635</v>
      </c>
      <c r="L116" s="108">
        <f t="shared" si="289"/>
        <v>1.6408839779005522</v>
      </c>
      <c r="M116" s="108">
        <f t="shared" ref="M116:AC116" si="290">M245</f>
        <v>2.2327624309392262</v>
      </c>
      <c r="N116" s="108">
        <f t="shared" si="290"/>
        <v>2.2188888888888889</v>
      </c>
      <c r="O116" s="108">
        <f t="shared" si="290"/>
        <v>2.3432584269662922</v>
      </c>
      <c r="P116" s="108">
        <f t="shared" si="290"/>
        <v>1.370963855421687</v>
      </c>
      <c r="Q116" s="108">
        <f t="shared" si="290"/>
        <v>1.7717915774446824</v>
      </c>
      <c r="R116" s="108">
        <f t="shared" si="290"/>
        <v>1.9947807332854057</v>
      </c>
      <c r="S116" s="108">
        <f t="shared" si="290"/>
        <v>1.9403338171262698</v>
      </c>
      <c r="T116" s="108">
        <f t="shared" si="290"/>
        <v>1.4196425966447848</v>
      </c>
      <c r="U116" s="108">
        <f t="shared" si="290"/>
        <v>1.8901098901098901</v>
      </c>
      <c r="V116" s="108">
        <f t="shared" si="290"/>
        <v>0.19838354151359291</v>
      </c>
      <c r="W116" s="108">
        <f t="shared" si="290"/>
        <v>1.181217901687454</v>
      </c>
      <c r="X116" s="108">
        <f t="shared" si="290"/>
        <v>0.23443223443223443</v>
      </c>
      <c r="Y116" s="108">
        <f t="shared" si="290"/>
        <v>1.9912790697674418</v>
      </c>
      <c r="Z116" s="108">
        <f t="shared" si="290"/>
        <v>-1.0743193524650478</v>
      </c>
      <c r="AA116" s="108">
        <f t="shared" si="290"/>
        <v>2.562043795620438</v>
      </c>
      <c r="AB116" s="108">
        <f t="shared" si="290"/>
        <v>2.7571115973741795</v>
      </c>
      <c r="AC116" s="108">
        <f t="shared" si="290"/>
        <v>1.7980107115531754</v>
      </c>
      <c r="AD116" s="108">
        <f t="shared" ref="AD116:AF116" si="291">AD245</f>
        <v>2.0253164556962027</v>
      </c>
      <c r="AE116" s="108">
        <f t="shared" si="291"/>
        <v>2.4611610793131642</v>
      </c>
      <c r="AF116" s="108">
        <f t="shared" si="291"/>
        <v>8.0064051240992789E-3</v>
      </c>
      <c r="AG116" s="108">
        <f t="shared" ref="AG116" si="292">AG245</f>
        <v>1.1136968085106382</v>
      </c>
      <c r="AH116" s="108">
        <f ca="1">AH245</f>
        <v>2.3048909366688823</v>
      </c>
      <c r="AI116" s="108">
        <f ca="1">AI245</f>
        <v>2.4931432305518619</v>
      </c>
      <c r="AJ116" s="108">
        <f ca="1">AJ245</f>
        <v>2.02423026512633</v>
      </c>
      <c r="AK116" s="79"/>
      <c r="AL116" s="108">
        <f t="shared" ref="AL116:AT116" si="293">AL245</f>
        <v>7.0902183984116478</v>
      </c>
      <c r="AM116" s="108">
        <f t="shared" si="293"/>
        <v>7.280881174899867</v>
      </c>
      <c r="AN116" s="108">
        <f t="shared" si="293"/>
        <v>6.7647169811320751</v>
      </c>
      <c r="AO116" s="108">
        <f t="shared" si="293"/>
        <v>7.6129637234770682</v>
      </c>
      <c r="AP116" s="108">
        <f t="shared" si="293"/>
        <v>8.1977326801959425</v>
      </c>
      <c r="AQ116" s="108">
        <f t="shared" si="293"/>
        <v>7.1371784232365147</v>
      </c>
      <c r="AR116" s="108">
        <f t="shared" si="293"/>
        <v>3.496068751142805</v>
      </c>
      <c r="AS116" s="108">
        <f t="shared" si="293"/>
        <v>6.2669104204753197</v>
      </c>
      <c r="AT116" s="108">
        <f t="shared" si="293"/>
        <v>6.304909560723515</v>
      </c>
      <c r="AU116" s="108">
        <f ca="1">AU245</f>
        <v>7.9306881769103006</v>
      </c>
      <c r="AV116" s="108">
        <f ca="1">AV245</f>
        <v>9.1025767999999996</v>
      </c>
      <c r="AW116" s="108">
        <f ca="1">AW245</f>
        <v>9.8157514705892872</v>
      </c>
      <c r="AX116" s="108">
        <f ca="1">AX245</f>
        <v>10.582936612500809</v>
      </c>
    </row>
    <row r="117" spans="2:79" s="3" customFormat="1" ht="11.25" customHeight="1" outlineLevel="1">
      <c r="B117" s="1"/>
      <c r="C117" s="213" t="s">
        <v>358</v>
      </c>
      <c r="E117" s="408"/>
      <c r="F117" s="408"/>
      <c r="G117" s="408"/>
      <c r="H117" s="409"/>
      <c r="I117" s="120">
        <f t="shared" ref="I117:AG117" si="294">+IFERROR(IF(OR(I116&lt;0,E116&lt;0),"NM ",I116/E116-1), "NA ")</f>
        <v>6.934909738113415E-2</v>
      </c>
      <c r="J117" s="120">
        <f t="shared" si="294"/>
        <v>0.17531876138433522</v>
      </c>
      <c r="K117" s="120">
        <f t="shared" si="294"/>
        <v>0.17738240402024918</v>
      </c>
      <c r="L117" s="120">
        <f t="shared" si="294"/>
        <v>1.0864688512097538</v>
      </c>
      <c r="M117" s="120">
        <f t="shared" si="294"/>
        <v>0.22103158560547342</v>
      </c>
      <c r="N117" s="120">
        <f t="shared" si="294"/>
        <v>0.12375232929281754</v>
      </c>
      <c r="O117" s="120">
        <f t="shared" si="294"/>
        <v>7.0014597026677672E-2</v>
      </c>
      <c r="P117" s="120">
        <f t="shared" si="294"/>
        <v>-0.16449677497870241</v>
      </c>
      <c r="Q117" s="120">
        <f t="shared" si="294"/>
        <v>-0.20645763611341017</v>
      </c>
      <c r="R117" s="120">
        <f t="shared" si="294"/>
        <v>-0.10100017027698294</v>
      </c>
      <c r="S117" s="120">
        <f t="shared" si="294"/>
        <v>-0.17195056473633175</v>
      </c>
      <c r="T117" s="120">
        <f t="shared" si="294"/>
        <v>3.5506947196740635E-2</v>
      </c>
      <c r="U117" s="120">
        <f t="shared" si="294"/>
        <v>6.6778911341168534E-2</v>
      </c>
      <c r="V117" s="120">
        <f t="shared" si="294"/>
        <v>-0.90054869780757552</v>
      </c>
      <c r="W117" s="120">
        <f t="shared" si="294"/>
        <v>-0.39122954449307279</v>
      </c>
      <c r="X117" s="120">
        <f t="shared" si="294"/>
        <v>-0.83486531399783526</v>
      </c>
      <c r="Y117" s="120">
        <f t="shared" si="294"/>
        <v>5.3525554353704763E-2</v>
      </c>
      <c r="Z117" s="120" t="str">
        <f t="shared" si="294"/>
        <v xml:space="preserve">NM </v>
      </c>
      <c r="AA117" s="120">
        <f t="shared" si="294"/>
        <v>1.1689849027519612</v>
      </c>
      <c r="AB117" s="120">
        <f t="shared" si="294"/>
        <v>10.760804157549234</v>
      </c>
      <c r="AC117" s="120">
        <f t="shared" si="294"/>
        <v>-9.7057394490084214E-2</v>
      </c>
      <c r="AD117" s="120" t="str">
        <f t="shared" si="294"/>
        <v xml:space="preserve">NM </v>
      </c>
      <c r="AE117" s="120">
        <f t="shared" si="294"/>
        <v>-3.9375875025915996E-2</v>
      </c>
      <c r="AF117" s="120">
        <f t="shared" si="294"/>
        <v>-0.99709608957006879</v>
      </c>
      <c r="AG117" s="120">
        <f t="shared" si="294"/>
        <v>-0.38059500905387067</v>
      </c>
      <c r="AH117" s="120">
        <f ca="1">+IFERROR(IF(OR(AH116&lt;0,AD116&lt;0),"NM ",AH116/AD116-1), "NA ")</f>
        <v>0.13803989998026056</v>
      </c>
      <c r="AI117" s="120">
        <f ca="1">+IFERROR(IF(OR(AI116&lt;0,AE116&lt;0),"NM ",AI116/AE116-1), "NA ")</f>
        <v>1.2994741184361169E-2</v>
      </c>
      <c r="AJ117" s="120">
        <f ca="1">+IFERROR(IF(OR(AJ116&lt;0,AF116&lt;0),"NM ",AJ116/AF116-1), "NA ")</f>
        <v>251.82636011427863</v>
      </c>
      <c r="AK117" s="79"/>
      <c r="AL117" s="409"/>
      <c r="AM117" s="120">
        <f t="shared" ref="AM117:AT117" si="295">+IFERROR(IF(OR(AM116&lt;0,AL116&lt;0),"NM ",AM116/AL116-1), "NA ")</f>
        <v>2.6890959597370312E-2</v>
      </c>
      <c r="AN117" s="120">
        <f t="shared" si="295"/>
        <v>-7.0893094031972081E-2</v>
      </c>
      <c r="AO117" s="120">
        <f t="shared" si="295"/>
        <v>0.12539279096389322</v>
      </c>
      <c r="AP117" s="120">
        <f t="shared" si="295"/>
        <v>7.6812261027272122E-2</v>
      </c>
      <c r="AQ117" s="120">
        <f t="shared" si="295"/>
        <v>-0.12937165657054317</v>
      </c>
      <c r="AR117" s="118">
        <f t="shared" si="295"/>
        <v>-0.51016094262675948</v>
      </c>
      <c r="AS117" s="118">
        <f t="shared" si="295"/>
        <v>0.7925592620072972</v>
      </c>
      <c r="AT117" s="120">
        <f t="shared" si="295"/>
        <v>6.0634567432213959E-3</v>
      </c>
      <c r="AU117" s="120">
        <f ca="1">+IFERROR(IF(OR(AU116&lt;0,AT116&lt;0),"NM ",AU116/AT116-1), "NA ")</f>
        <v>0.25785914937060905</v>
      </c>
      <c r="AV117" s="120">
        <f ca="1">+IFERROR(IF(OR(AV116&lt;0,AU116&lt;0),"NM ",AV116/AU116-1), "NA ")</f>
        <v>0.14776632203262996</v>
      </c>
      <c r="AW117" s="120">
        <f ca="1">+IFERROR(IF(OR(AW116&lt;0,AV116&lt;0),"NM ",AW116/AV116-1), "NA ")</f>
        <v>7.8348657337259375E-2</v>
      </c>
      <c r="AX117" s="120">
        <f ca="1">+IFERROR(IF(OR(AX116&lt;0,AW116&lt;0),"NM ",AX116/AW116-1), "NA ")</f>
        <v>7.8158574431129502E-2</v>
      </c>
      <c r="AY117" s="1"/>
      <c r="BY117" s="831"/>
      <c r="BZ117" s="831"/>
      <c r="CA117" s="831"/>
    </row>
    <row r="118" spans="2:79" ht="5.2" customHeight="1" outlineLevel="1">
      <c r="C118" s="45"/>
      <c r="E118" s="108"/>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0"/>
      <c r="AE118" s="40"/>
      <c r="AF118" s="40"/>
      <c r="AG118" s="40"/>
      <c r="AH118" s="40"/>
      <c r="AI118" s="40"/>
      <c r="AJ118" s="40"/>
      <c r="AK118" s="79"/>
      <c r="AL118" s="108"/>
      <c r="AM118" s="108"/>
      <c r="AN118" s="108"/>
      <c r="AO118" s="108"/>
      <c r="AP118" s="108"/>
      <c r="AQ118" s="108"/>
      <c r="AR118" s="108"/>
    </row>
    <row r="119" spans="2:79" s="27" customFormat="1" ht="11.25" customHeight="1">
      <c r="C119" s="45" t="s">
        <v>617</v>
      </c>
      <c r="E119" s="30">
        <f t="shared" ref="E119:AJ119" si="296">E187+E917</f>
        <v>553</v>
      </c>
      <c r="F119" s="30">
        <f t="shared" si="296"/>
        <v>520</v>
      </c>
      <c r="G119" s="30">
        <f t="shared" si="296"/>
        <v>561</v>
      </c>
      <c r="H119" s="30">
        <f t="shared" si="296"/>
        <v>480</v>
      </c>
      <c r="I119" s="30">
        <f t="shared" si="296"/>
        <v>546</v>
      </c>
      <c r="J119" s="30">
        <f t="shared" si="296"/>
        <v>567</v>
      </c>
      <c r="K119" s="30">
        <f t="shared" si="296"/>
        <v>609</v>
      </c>
      <c r="L119" s="30">
        <f t="shared" si="296"/>
        <v>500</v>
      </c>
      <c r="M119" s="30">
        <f t="shared" si="296"/>
        <v>611</v>
      </c>
      <c r="N119" s="30">
        <f t="shared" si="296"/>
        <v>595</v>
      </c>
      <c r="O119" s="30">
        <f t="shared" si="296"/>
        <v>602</v>
      </c>
      <c r="P119" s="30">
        <f t="shared" si="296"/>
        <v>429</v>
      </c>
      <c r="Q119" s="30">
        <f t="shared" si="296"/>
        <v>507</v>
      </c>
      <c r="R119" s="30">
        <f t="shared" si="296"/>
        <v>545</v>
      </c>
      <c r="S119" s="30">
        <f t="shared" si="296"/>
        <v>520</v>
      </c>
      <c r="T119" s="30">
        <f t="shared" si="296"/>
        <v>428</v>
      </c>
      <c r="U119" s="30">
        <f t="shared" si="296"/>
        <v>521</v>
      </c>
      <c r="V119" s="30">
        <f t="shared" si="296"/>
        <v>336</v>
      </c>
      <c r="W119" s="30">
        <f t="shared" si="296"/>
        <v>459</v>
      </c>
      <c r="X119" s="30">
        <f t="shared" si="296"/>
        <v>474</v>
      </c>
      <c r="Y119" s="30">
        <f t="shared" si="296"/>
        <v>549</v>
      </c>
      <c r="Z119" s="30">
        <f t="shared" si="296"/>
        <v>594</v>
      </c>
      <c r="AA119" s="30">
        <f t="shared" si="296"/>
        <v>572</v>
      </c>
      <c r="AB119" s="30">
        <f t="shared" si="296"/>
        <v>458</v>
      </c>
      <c r="AC119" s="30">
        <f t="shared" si="296"/>
        <v>487</v>
      </c>
      <c r="AD119" s="30">
        <f t="shared" si="296"/>
        <v>591</v>
      </c>
      <c r="AE119" s="30">
        <f t="shared" si="296"/>
        <v>450</v>
      </c>
      <c r="AF119" s="30">
        <f t="shared" si="296"/>
        <v>288</v>
      </c>
      <c r="AG119" s="30">
        <f t="shared" ref="AG119" si="297">AG187+AG917</f>
        <v>424</v>
      </c>
      <c r="AH119" s="30">
        <f t="shared" si="296"/>
        <v>509.09648445472396</v>
      </c>
      <c r="AI119" s="30">
        <f t="shared" si="296"/>
        <v>536.14336454316981</v>
      </c>
      <c r="AJ119" s="30">
        <f t="shared" si="296"/>
        <v>470.58914463161557</v>
      </c>
      <c r="AK119" s="79"/>
      <c r="AL119" s="30">
        <f t="shared" ref="AL119:AX119" si="298">AL187+AL917</f>
        <v>2063</v>
      </c>
      <c r="AM119" s="30">
        <f t="shared" si="298"/>
        <v>2263</v>
      </c>
      <c r="AN119" s="30">
        <f t="shared" si="298"/>
        <v>2114</v>
      </c>
      <c r="AO119" s="30">
        <f t="shared" si="298"/>
        <v>2222</v>
      </c>
      <c r="AP119" s="30">
        <f t="shared" si="298"/>
        <v>2237</v>
      </c>
      <c r="AQ119" s="30">
        <f t="shared" si="298"/>
        <v>2000</v>
      </c>
      <c r="AR119" s="30">
        <f t="shared" si="298"/>
        <v>1790</v>
      </c>
      <c r="AS119" s="30">
        <f t="shared" si="298"/>
        <v>2173</v>
      </c>
      <c r="AT119" s="30">
        <f t="shared" si="298"/>
        <v>1816</v>
      </c>
      <c r="AU119" s="30">
        <f t="shared" si="298"/>
        <v>1939.8289936295096</v>
      </c>
      <c r="AV119" s="30">
        <f t="shared" si="298"/>
        <v>2037.3603589999998</v>
      </c>
      <c r="AW119" s="30">
        <f t="shared" si="298"/>
        <v>2129.0107735649999</v>
      </c>
      <c r="AX119" s="30">
        <f t="shared" si="298"/>
        <v>2241.231585114575</v>
      </c>
      <c r="AY119" s="1"/>
      <c r="BD119" s="43"/>
    </row>
    <row r="120" spans="2:79" s="3" customFormat="1" ht="11.25" customHeight="1" outlineLevel="1">
      <c r="B120" s="1"/>
      <c r="C120" s="213" t="s">
        <v>358</v>
      </c>
      <c r="E120" s="408"/>
      <c r="F120" s="408"/>
      <c r="G120" s="408"/>
      <c r="H120" s="409"/>
      <c r="I120" s="120">
        <f t="shared" ref="I120:AG120" si="299">+IFERROR(IF(OR(I119&lt;0,E119&lt;0),"NM ",I119/E119-1), "NA ")</f>
        <v>-1.2658227848101222E-2</v>
      </c>
      <c r="J120" s="120">
        <f t="shared" si="299"/>
        <v>9.0384615384615286E-2</v>
      </c>
      <c r="K120" s="120">
        <f t="shared" si="299"/>
        <v>8.5561497326203106E-2</v>
      </c>
      <c r="L120" s="120">
        <f t="shared" si="299"/>
        <v>4.1666666666666741E-2</v>
      </c>
      <c r="M120" s="120">
        <f t="shared" si="299"/>
        <v>0.11904761904761907</v>
      </c>
      <c r="N120" s="120">
        <f t="shared" si="299"/>
        <v>4.9382716049382713E-2</v>
      </c>
      <c r="O120" s="120">
        <f t="shared" si="299"/>
        <v>-1.1494252873563204E-2</v>
      </c>
      <c r="P120" s="120">
        <f t="shared" si="299"/>
        <v>-0.14200000000000002</v>
      </c>
      <c r="Q120" s="120">
        <f t="shared" si="299"/>
        <v>-0.17021276595744683</v>
      </c>
      <c r="R120" s="120">
        <f t="shared" si="299"/>
        <v>-8.4033613445378186E-2</v>
      </c>
      <c r="S120" s="120">
        <f t="shared" si="299"/>
        <v>-0.13621262458471761</v>
      </c>
      <c r="T120" s="120">
        <f t="shared" si="299"/>
        <v>-2.3310023310023631E-3</v>
      </c>
      <c r="U120" s="120">
        <f t="shared" si="299"/>
        <v>2.7613412228796763E-2</v>
      </c>
      <c r="V120" s="120">
        <f t="shared" si="299"/>
        <v>-0.38348623853211006</v>
      </c>
      <c r="W120" s="120">
        <f t="shared" si="299"/>
        <v>-0.11730769230769234</v>
      </c>
      <c r="X120" s="120">
        <f t="shared" si="299"/>
        <v>0.10747663551401865</v>
      </c>
      <c r="Y120" s="120">
        <f t="shared" si="299"/>
        <v>5.3742802303262893E-2</v>
      </c>
      <c r="Z120" s="120">
        <f t="shared" si="299"/>
        <v>0.76785714285714279</v>
      </c>
      <c r="AA120" s="120">
        <f t="shared" si="299"/>
        <v>0.24618736383442275</v>
      </c>
      <c r="AB120" s="120">
        <f t="shared" si="299"/>
        <v>-3.3755274261603407E-2</v>
      </c>
      <c r="AC120" s="120">
        <f t="shared" si="299"/>
        <v>-0.1129326047358834</v>
      </c>
      <c r="AD120" s="120">
        <f t="shared" si="299"/>
        <v>-5.050505050505083E-3</v>
      </c>
      <c r="AE120" s="120">
        <f t="shared" si="299"/>
        <v>-0.21328671328671334</v>
      </c>
      <c r="AF120" s="120">
        <f t="shared" si="299"/>
        <v>-0.37117903930131002</v>
      </c>
      <c r="AG120" s="120">
        <f t="shared" si="299"/>
        <v>-0.12936344969199176</v>
      </c>
      <c r="AH120" s="120">
        <f t="shared" ref="AH120" si="300">+IFERROR(IF(OR(AH119&lt;0,AD119&lt;0),"NM ",AH119/AD119-1), "NA ")</f>
        <v>-0.13858462867220989</v>
      </c>
      <c r="AI120" s="120">
        <f t="shared" ref="AI120" si="301">+IFERROR(IF(OR(AI119&lt;0,AE119&lt;0),"NM ",AI119/AE119-1), "NA ")</f>
        <v>0.19142969898482187</v>
      </c>
      <c r="AJ120" s="120">
        <f t="shared" ref="AJ120" si="302">+IFERROR(IF(OR(AJ119&lt;0,AF119&lt;0),"NM ",AJ119/AF119-1), "NA ")</f>
        <v>0.63399008552644287</v>
      </c>
      <c r="AK120" s="79"/>
      <c r="AL120" s="409"/>
      <c r="AM120" s="120">
        <f t="shared" ref="AM120:AX120" si="303">+IFERROR(IF(OR(AM119&lt;0,AL119&lt;0),"NM ",AM119/AL119-1), "NA ")</f>
        <v>9.6946194861851742E-2</v>
      </c>
      <c r="AN120" s="120">
        <f t="shared" si="303"/>
        <v>-6.5841802916482561E-2</v>
      </c>
      <c r="AO120" s="120">
        <f t="shared" si="303"/>
        <v>5.1087984862819402E-2</v>
      </c>
      <c r="AP120" s="120">
        <f t="shared" si="303"/>
        <v>6.7506750675068172E-3</v>
      </c>
      <c r="AQ120" s="120">
        <f t="shared" si="303"/>
        <v>-0.10594546267322302</v>
      </c>
      <c r="AR120" s="120">
        <f t="shared" si="303"/>
        <v>-0.10499999999999998</v>
      </c>
      <c r="AS120" s="120">
        <f t="shared" si="303"/>
        <v>0.21396648044692745</v>
      </c>
      <c r="AT120" s="120">
        <f t="shared" si="303"/>
        <v>-0.16428900138057989</v>
      </c>
      <c r="AU120" s="120">
        <f t="shared" si="303"/>
        <v>6.8187771822417087E-2</v>
      </c>
      <c r="AV120" s="120">
        <f t="shared" si="303"/>
        <v>5.0278331590458691E-2</v>
      </c>
      <c r="AW120" s="120">
        <f t="shared" si="303"/>
        <v>4.4984881619069661E-2</v>
      </c>
      <c r="AX120" s="120">
        <f t="shared" si="303"/>
        <v>5.2710307032248105E-2</v>
      </c>
      <c r="AY120" s="1"/>
      <c r="BY120" s="831"/>
      <c r="BZ120" s="831"/>
      <c r="CA120" s="831"/>
    </row>
    <row r="121" spans="2:79" s="3" customFormat="1" ht="11.25" customHeight="1" outlineLevel="1">
      <c r="B121" s="1"/>
      <c r="C121" s="410" t="s">
        <v>360</v>
      </c>
      <c r="E121" s="406">
        <f t="shared" ref="E121:L121" si="304">E119/E73</f>
        <v>0.24731663685152058</v>
      </c>
      <c r="F121" s="406">
        <f t="shared" si="304"/>
        <v>0.22638223770134958</v>
      </c>
      <c r="G121" s="406">
        <f t="shared" si="304"/>
        <v>0.24529951902055094</v>
      </c>
      <c r="H121" s="406">
        <f t="shared" si="304"/>
        <v>0.21937842778793418</v>
      </c>
      <c r="I121" s="406">
        <f t="shared" si="304"/>
        <v>0.23708206686930092</v>
      </c>
      <c r="J121" s="406">
        <f t="shared" si="304"/>
        <v>0.2343943778420835</v>
      </c>
      <c r="K121" s="406">
        <f t="shared" si="304"/>
        <v>0.24705882352941178</v>
      </c>
      <c r="L121" s="406">
        <f t="shared" si="304"/>
        <v>0.21168501270110077</v>
      </c>
      <c r="M121" s="406">
        <f t="shared" ref="M121:AC121" si="305">M119/M73</f>
        <v>0.23436900652090525</v>
      </c>
      <c r="N121" s="406">
        <f t="shared" si="305"/>
        <v>0.22701259061426937</v>
      </c>
      <c r="O121" s="406">
        <f t="shared" si="305"/>
        <v>0.23635649784059679</v>
      </c>
      <c r="P121" s="406">
        <f t="shared" si="305"/>
        <v>0.18055555555555555</v>
      </c>
      <c r="Q121" s="406">
        <f t="shared" si="305"/>
        <v>0.21302521008403361</v>
      </c>
      <c r="R121" s="406">
        <f t="shared" si="305"/>
        <v>0.23063901819720695</v>
      </c>
      <c r="S121" s="406">
        <f t="shared" si="305"/>
        <v>0.22365591397849463</v>
      </c>
      <c r="T121" s="406">
        <f t="shared" si="305"/>
        <v>0.19410430839002268</v>
      </c>
      <c r="U121" s="406">
        <f t="shared" si="305"/>
        <v>0.23248549754573852</v>
      </c>
      <c r="V121" s="406">
        <f t="shared" si="305"/>
        <v>0.17463617463617465</v>
      </c>
      <c r="W121" s="406">
        <f t="shared" si="305"/>
        <v>0.21630537229029217</v>
      </c>
      <c r="X121" s="406">
        <f t="shared" si="305"/>
        <v>0.21683440073193047</v>
      </c>
      <c r="Y121" s="406">
        <f t="shared" si="305"/>
        <v>0.22789539227895392</v>
      </c>
      <c r="Z121" s="406">
        <f t="shared" si="305"/>
        <v>0.22389747455710515</v>
      </c>
      <c r="AA121" s="406">
        <f t="shared" si="305"/>
        <v>0.21029411764705883</v>
      </c>
      <c r="AB121" s="406">
        <f t="shared" si="305"/>
        <v>0.170007423904974</v>
      </c>
      <c r="AC121" s="406">
        <f t="shared" si="305"/>
        <v>0.17943994104642594</v>
      </c>
      <c r="AD121" s="406">
        <f>AD119/AD73</f>
        <v>0.21228448275862069</v>
      </c>
      <c r="AE121" s="406">
        <f>AE119/AE73</f>
        <v>0.16611295681063123</v>
      </c>
      <c r="AF121" s="406">
        <f>AF119/AF73</f>
        <v>0.1213653603034134</v>
      </c>
      <c r="AG121" s="406">
        <f>AG119/AG73</f>
        <v>0.175787728026534</v>
      </c>
      <c r="AH121" s="406">
        <f t="shared" ref="AH121:AJ121" si="306">AH119/AH73</f>
        <v>0.18818902738933477</v>
      </c>
      <c r="AI121" s="406">
        <f t="shared" si="306"/>
        <v>0.19871734254867265</v>
      </c>
      <c r="AJ121" s="406">
        <f t="shared" si="306"/>
        <v>0.19577047177013518</v>
      </c>
      <c r="AK121" s="79"/>
      <c r="AL121" s="406">
        <f t="shared" ref="AL121:AT121" si="307">IFERROR(AL119/AL73,"NA  ")</f>
        <v>0.21654245827647739</v>
      </c>
      <c r="AM121" s="406">
        <f t="shared" si="307"/>
        <v>0.2345563847429519</v>
      </c>
      <c r="AN121" s="406">
        <f t="shared" si="307"/>
        <v>0.23468028419182949</v>
      </c>
      <c r="AO121" s="406">
        <f t="shared" si="307"/>
        <v>0.23269452298670018</v>
      </c>
      <c r="AP121" s="406">
        <f t="shared" si="307"/>
        <v>0.22037237710570387</v>
      </c>
      <c r="AQ121" s="406">
        <f t="shared" si="307"/>
        <v>0.21567993098242208</v>
      </c>
      <c r="AR121" s="412">
        <f t="shared" si="307"/>
        <v>0.21125929422872655</v>
      </c>
      <c r="AS121" s="412">
        <f t="shared" si="307"/>
        <v>0.20742649866361207</v>
      </c>
      <c r="AT121" s="412">
        <f t="shared" si="307"/>
        <v>0.1716446124763705</v>
      </c>
      <c r="AU121" s="412">
        <f t="shared" ref="AU121" si="308">IFERROR(AU119/AU73,"NA  ")</f>
        <v>0.18982497315105035</v>
      </c>
      <c r="AV121" s="412">
        <f t="shared" ref="AV121:AW121" si="309">IFERROR(AV119/AV73,"NA  ")</f>
        <v>0.19236719979685388</v>
      </c>
      <c r="AW121" s="412">
        <f t="shared" si="309"/>
        <v>0.19510193294958797</v>
      </c>
      <c r="AX121" s="412">
        <f t="shared" ref="AX121" si="310">IFERROR(AX119/AX73,"NA  ")</f>
        <v>0.20029245959476064</v>
      </c>
      <c r="AY121" s="1"/>
      <c r="BY121" s="831"/>
      <c r="BZ121" s="831"/>
      <c r="CA121" s="831"/>
    </row>
    <row r="122" spans="2:79" s="3" customFormat="1" ht="11.25" customHeight="1" outlineLevel="1">
      <c r="B122" s="1"/>
      <c r="C122" s="410" t="s">
        <v>639</v>
      </c>
      <c r="E122" s="408"/>
      <c r="F122" s="408"/>
      <c r="G122" s="408"/>
      <c r="H122" s="409"/>
      <c r="I122" s="411">
        <f t="shared" ref="I122:AG122" si="311">+IFERROR(IF(OR(I121&lt;0,E121&lt;0),"NM ",(I121-E121)*10000), "NA ")</f>
        <v>-102.34569982219665</v>
      </c>
      <c r="J122" s="411">
        <f t="shared" si="311"/>
        <v>80.121401407339249</v>
      </c>
      <c r="K122" s="411">
        <f t="shared" si="311"/>
        <v>17.593045088608317</v>
      </c>
      <c r="L122" s="411">
        <f t="shared" si="311"/>
        <v>-76.9341508683341</v>
      </c>
      <c r="M122" s="411">
        <f t="shared" si="311"/>
        <v>-27.130603483956627</v>
      </c>
      <c r="N122" s="411">
        <f t="shared" si="311"/>
        <v>-73.817872278141294</v>
      </c>
      <c r="O122" s="411">
        <f t="shared" si="311"/>
        <v>-107.0232568881499</v>
      </c>
      <c r="P122" s="411">
        <f t="shared" si="311"/>
        <v>-311.29457145545211</v>
      </c>
      <c r="Q122" s="411">
        <f t="shared" si="311"/>
        <v>-213.43796436871648</v>
      </c>
      <c r="R122" s="411">
        <f t="shared" si="311"/>
        <v>36.264275829375748</v>
      </c>
      <c r="S122" s="411">
        <f t="shared" si="311"/>
        <v>-127.00583862102155</v>
      </c>
      <c r="T122" s="411">
        <f t="shared" si="311"/>
        <v>135.48752834467132</v>
      </c>
      <c r="U122" s="411">
        <f t="shared" si="311"/>
        <v>194.60287461704917</v>
      </c>
      <c r="V122" s="411">
        <f t="shared" si="311"/>
        <v>-560.02843561032296</v>
      </c>
      <c r="W122" s="411">
        <f t="shared" si="311"/>
        <v>-73.505416882024548</v>
      </c>
      <c r="X122" s="411">
        <f t="shared" si="311"/>
        <v>227.30092341907786</v>
      </c>
      <c r="Y122" s="411">
        <f t="shared" si="311"/>
        <v>-45.901052667846052</v>
      </c>
      <c r="Z122" s="411">
        <f t="shared" si="311"/>
        <v>492.61299920930509</v>
      </c>
      <c r="AA122" s="411">
        <f t="shared" si="311"/>
        <v>-60.112546432333488</v>
      </c>
      <c r="AB122" s="411">
        <f t="shared" si="311"/>
        <v>-468.26976826956468</v>
      </c>
      <c r="AC122" s="411">
        <f t="shared" si="311"/>
        <v>-484.5545123252798</v>
      </c>
      <c r="AD122" s="411">
        <f t="shared" si="311"/>
        <v>-116.12991798484462</v>
      </c>
      <c r="AE122" s="411">
        <f t="shared" si="311"/>
        <v>-441.81160836427591</v>
      </c>
      <c r="AF122" s="411">
        <f t="shared" si="311"/>
        <v>-486.42063601560608</v>
      </c>
      <c r="AG122" s="411">
        <f t="shared" si="311"/>
        <v>-36.522130198919371</v>
      </c>
      <c r="AH122" s="411">
        <f t="shared" ref="AH122" si="312">+IFERROR(IF(OR(AH121&lt;0,AD121&lt;0),"NM ",(AH121-AD121)*10000), "NA ")</f>
        <v>-240.95455369285924</v>
      </c>
      <c r="AI122" s="411">
        <f t="shared" ref="AI122" si="313">+IFERROR(IF(OR(AI121&lt;0,AE121&lt;0),"NM ",(AI121-AE121)*10000), "NA ")</f>
        <v>326.04385738041418</v>
      </c>
      <c r="AJ122" s="411">
        <f t="shared" ref="AJ122" si="314">+IFERROR(IF(OR(AJ121&lt;0,AF121&lt;0),"NM ",(AJ121-AF121)*10000), "NA ")</f>
        <v>744.0511146672178</v>
      </c>
      <c r="AK122" s="79"/>
      <c r="AL122" s="408"/>
      <c r="AM122" s="411">
        <f t="shared" ref="AM122:AR122" si="315">+IFERROR(IF(OR(AM121&lt;0,AL121&lt;0),"NM ",(AM121-AL121)*10000), "NA ")</f>
        <v>180.13926466474513</v>
      </c>
      <c r="AN122" s="411">
        <f t="shared" si="315"/>
        <v>1.2389944887758464</v>
      </c>
      <c r="AO122" s="411">
        <f t="shared" si="315"/>
        <v>-19.857612051293049</v>
      </c>
      <c r="AP122" s="411">
        <f t="shared" si="315"/>
        <v>-123.2214588099631</v>
      </c>
      <c r="AQ122" s="411">
        <f t="shared" si="315"/>
        <v>-46.924461232817904</v>
      </c>
      <c r="AR122" s="411">
        <f t="shared" si="315"/>
        <v>-44.206367536955284</v>
      </c>
      <c r="AS122" s="411">
        <f t="shared" ref="AS122:AX122" si="316">+IFERROR(IF(OR(AS121&lt;0,AR121&lt;0),"NM ",(AS121-AR121)*10000), "NA ")</f>
        <v>-38.327955651144826</v>
      </c>
      <c r="AT122" s="411">
        <f t="shared" si="316"/>
        <v>-357.81886187241571</v>
      </c>
      <c r="AU122" s="411">
        <f t="shared" si="316"/>
        <v>181.80360674679847</v>
      </c>
      <c r="AV122" s="411">
        <f t="shared" si="316"/>
        <v>25.422266458035303</v>
      </c>
      <c r="AW122" s="411">
        <f t="shared" si="316"/>
        <v>27.347331527340923</v>
      </c>
      <c r="AX122" s="411">
        <f t="shared" si="316"/>
        <v>51.905266451726661</v>
      </c>
      <c r="AY122" s="1"/>
      <c r="BY122" s="831"/>
      <c r="BZ122" s="831"/>
      <c r="CA122" s="831"/>
    </row>
    <row r="123" spans="2:79" ht="5.2" customHeight="1" outlineLevel="1">
      <c r="C123" s="45"/>
      <c r="E123" s="108"/>
      <c r="F123" s="108"/>
      <c r="G123" s="108"/>
      <c r="H123" s="105"/>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40"/>
      <c r="AE123" s="40"/>
      <c r="AF123" s="40"/>
      <c r="AG123" s="40"/>
      <c r="AH123" s="40"/>
      <c r="AI123" s="40"/>
      <c r="AJ123" s="40"/>
      <c r="AK123" s="79"/>
      <c r="AL123" s="108"/>
      <c r="AM123" s="108"/>
      <c r="AN123" s="108"/>
      <c r="AO123" s="108"/>
      <c r="AP123" s="108"/>
      <c r="AQ123" s="435"/>
      <c r="AR123" s="108"/>
    </row>
    <row r="124" spans="2:79" ht="11.25" customHeight="1">
      <c r="C124" s="45" t="s">
        <v>391</v>
      </c>
      <c r="E124" s="31">
        <f t="shared" ref="E124:AF124" si="317">E932+E934+E935</f>
        <v>-59</v>
      </c>
      <c r="F124" s="31">
        <f t="shared" si="317"/>
        <v>370</v>
      </c>
      <c r="G124" s="31">
        <f t="shared" si="317"/>
        <v>309</v>
      </c>
      <c r="H124" s="31">
        <f t="shared" si="317"/>
        <v>139</v>
      </c>
      <c r="I124" s="31">
        <f t="shared" si="317"/>
        <v>-81</v>
      </c>
      <c r="J124" s="31">
        <f t="shared" si="317"/>
        <v>285</v>
      </c>
      <c r="K124" s="31">
        <f t="shared" si="317"/>
        <v>369</v>
      </c>
      <c r="L124" s="31">
        <f t="shared" si="317"/>
        <v>435</v>
      </c>
      <c r="M124" s="31">
        <f t="shared" si="317"/>
        <v>-113</v>
      </c>
      <c r="N124" s="31">
        <f t="shared" si="317"/>
        <v>342</v>
      </c>
      <c r="O124" s="31">
        <f t="shared" si="317"/>
        <v>258</v>
      </c>
      <c r="P124" s="31">
        <f t="shared" si="317"/>
        <v>593</v>
      </c>
      <c r="Q124" s="31">
        <f t="shared" si="317"/>
        <v>-111</v>
      </c>
      <c r="R124" s="31">
        <f t="shared" si="317"/>
        <v>330</v>
      </c>
      <c r="S124" s="31">
        <f t="shared" si="317"/>
        <v>306</v>
      </c>
      <c r="T124" s="31">
        <f t="shared" si="317"/>
        <v>554</v>
      </c>
      <c r="U124" s="31">
        <f t="shared" si="317"/>
        <v>70</v>
      </c>
      <c r="V124" s="31">
        <f t="shared" si="317"/>
        <v>337</v>
      </c>
      <c r="W124" s="31">
        <f t="shared" si="317"/>
        <v>364</v>
      </c>
      <c r="X124" s="31">
        <f t="shared" si="317"/>
        <v>288</v>
      </c>
      <c r="Y124" s="31">
        <f t="shared" si="317"/>
        <v>119</v>
      </c>
      <c r="Z124" s="31">
        <f t="shared" si="317"/>
        <v>313</v>
      </c>
      <c r="AA124" s="31">
        <f t="shared" si="317"/>
        <v>424</v>
      </c>
      <c r="AB124" s="31">
        <f t="shared" si="317"/>
        <v>185</v>
      </c>
      <c r="AC124" s="31">
        <f t="shared" si="317"/>
        <v>-98</v>
      </c>
      <c r="AD124" s="31">
        <f t="shared" si="317"/>
        <v>106</v>
      </c>
      <c r="AE124" s="31">
        <f t="shared" si="317"/>
        <v>92</v>
      </c>
      <c r="AF124" s="31">
        <f t="shared" si="317"/>
        <v>251</v>
      </c>
      <c r="AG124" s="31">
        <f t="shared" ref="AG124" si="318">AG932+AG934+AG935</f>
        <v>-160</v>
      </c>
      <c r="AH124" s="31">
        <f ca="1">AH932+AH934+AH935</f>
        <v>511.09773181773767</v>
      </c>
      <c r="AI124" s="31">
        <f ca="1">AI932+AI934+AI935</f>
        <v>206.56913256371757</v>
      </c>
      <c r="AJ124" s="31">
        <f ca="1">AJ932+AJ934+AJ935</f>
        <v>144.12274629599938</v>
      </c>
      <c r="AK124" s="79"/>
      <c r="AL124" s="31">
        <f>AL932+AL934+AL935</f>
        <v>840</v>
      </c>
      <c r="AM124" s="31">
        <f>AM932+AM934+AM935</f>
        <v>972</v>
      </c>
      <c r="AN124" s="33">
        <f t="shared" ref="AN124:AT124" si="319">SUMIF($E$6:$AK$6,AN$6,$E124:$AK124)</f>
        <v>759</v>
      </c>
      <c r="AO124" s="33">
        <f t="shared" si="319"/>
        <v>1008</v>
      </c>
      <c r="AP124" s="33">
        <f t="shared" si="319"/>
        <v>1080</v>
      </c>
      <c r="AQ124" s="33">
        <f t="shared" si="319"/>
        <v>1079</v>
      </c>
      <c r="AR124" s="33">
        <f t="shared" si="319"/>
        <v>1059</v>
      </c>
      <c r="AS124" s="33">
        <f t="shared" si="319"/>
        <v>1041</v>
      </c>
      <c r="AT124" s="33">
        <f t="shared" si="319"/>
        <v>351</v>
      </c>
      <c r="AU124" s="33">
        <f ca="1">SUMIF($E$6:$AK$6,AU$6,$E124:$AK124)</f>
        <v>701.78961067745468</v>
      </c>
      <c r="AV124" s="31">
        <f ca="1">AV932+AV934+AV935</f>
        <v>803.12688585150659</v>
      </c>
      <c r="AW124" s="31">
        <f ca="1">AW932+AW934+AW935</f>
        <v>837.70310427997697</v>
      </c>
      <c r="AX124" s="31">
        <f ca="1">AX932+AX934+AX935</f>
        <v>1163.2725227583019</v>
      </c>
      <c r="AZ124" s="33"/>
      <c r="BA124" s="33"/>
      <c r="BB124" s="33"/>
      <c r="BC124" s="33"/>
      <c r="BD124" s="33"/>
      <c r="BE124" s="33"/>
      <c r="BF124" s="33"/>
      <c r="BG124" s="33"/>
      <c r="BH124" s="33"/>
      <c r="BI124" s="33"/>
      <c r="BJ124" s="33"/>
      <c r="BK124" s="33"/>
    </row>
    <row r="125" spans="2:79" s="3" customFormat="1" ht="11.25" customHeight="1" outlineLevel="1">
      <c r="B125" s="1"/>
      <c r="C125" s="122" t="s">
        <v>358</v>
      </c>
      <c r="E125" s="117"/>
      <c r="F125" s="117"/>
      <c r="G125" s="117"/>
      <c r="H125" s="117"/>
      <c r="I125" s="118" t="str">
        <f t="shared" ref="I125:AG125" si="320">+IFERROR(IF(OR(I124&lt;0,E124&lt;0),"NM ",I124/E124-1), "NA ")</f>
        <v xml:space="preserve">NM </v>
      </c>
      <c r="J125" s="120">
        <f t="shared" si="320"/>
        <v>-0.22972972972972971</v>
      </c>
      <c r="K125" s="120">
        <f t="shared" si="320"/>
        <v>0.19417475728155331</v>
      </c>
      <c r="L125" s="120">
        <f t="shared" si="320"/>
        <v>2.1294964028776979</v>
      </c>
      <c r="M125" s="120" t="str">
        <f t="shared" si="320"/>
        <v xml:space="preserve">NM </v>
      </c>
      <c r="N125" s="120">
        <f t="shared" si="320"/>
        <v>0.19999999999999996</v>
      </c>
      <c r="O125" s="120">
        <f t="shared" si="320"/>
        <v>-0.30081300813008127</v>
      </c>
      <c r="P125" s="120">
        <f t="shared" si="320"/>
        <v>0.36321839080459761</v>
      </c>
      <c r="Q125" s="120" t="str">
        <f t="shared" si="320"/>
        <v xml:space="preserve">NM </v>
      </c>
      <c r="R125" s="120">
        <f t="shared" si="320"/>
        <v>-3.5087719298245612E-2</v>
      </c>
      <c r="S125" s="120">
        <f t="shared" si="320"/>
        <v>0.18604651162790709</v>
      </c>
      <c r="T125" s="120">
        <f t="shared" si="320"/>
        <v>-6.5767284991568253E-2</v>
      </c>
      <c r="U125" s="120" t="str">
        <f t="shared" si="320"/>
        <v xml:space="preserve">NM </v>
      </c>
      <c r="V125" s="120">
        <f t="shared" si="320"/>
        <v>2.1212121212121238E-2</v>
      </c>
      <c r="W125" s="120">
        <f t="shared" si="320"/>
        <v>0.18954248366013071</v>
      </c>
      <c r="X125" s="120">
        <f t="shared" si="320"/>
        <v>-0.48014440433213001</v>
      </c>
      <c r="Y125" s="120">
        <f t="shared" si="320"/>
        <v>0.7</v>
      </c>
      <c r="Z125" s="120">
        <f t="shared" si="320"/>
        <v>-7.1216617210682509E-2</v>
      </c>
      <c r="AA125" s="120">
        <f t="shared" si="320"/>
        <v>0.16483516483516492</v>
      </c>
      <c r="AB125" s="120">
        <f t="shared" si="320"/>
        <v>-0.35763888888888884</v>
      </c>
      <c r="AC125" s="120" t="str">
        <f t="shared" si="320"/>
        <v xml:space="preserve">NM </v>
      </c>
      <c r="AD125" s="120">
        <f t="shared" si="320"/>
        <v>-0.66134185303514381</v>
      </c>
      <c r="AE125" s="120">
        <f t="shared" si="320"/>
        <v>-0.78301886792452824</v>
      </c>
      <c r="AF125" s="120">
        <f t="shared" si="320"/>
        <v>0.35675675675675667</v>
      </c>
      <c r="AG125" s="120" t="str">
        <f t="shared" si="320"/>
        <v xml:space="preserve">NM </v>
      </c>
      <c r="AH125" s="120">
        <f ca="1">+IFERROR(IF(OR(AH124&lt;0,AD124&lt;0),"NM ",AH124/AD124-1), "NA ")</f>
        <v>3.8216767152616757</v>
      </c>
      <c r="AI125" s="120">
        <f ca="1">+IFERROR(IF(OR(AI124&lt;0,AE124&lt;0),"NM ",AI124/AE124-1), "NA ")</f>
        <v>1.2453166583012778</v>
      </c>
      <c r="AJ125" s="120">
        <f ca="1">+IFERROR(IF(OR(AJ124&lt;0,AF124&lt;0),"NM ",AJ124/AF124-1), "NA ")</f>
        <v>-0.42580579164940491</v>
      </c>
      <c r="AK125" s="79"/>
      <c r="AL125" s="117"/>
      <c r="AM125" s="120">
        <f t="shared" ref="AM125:AT125" si="321">+IFERROR(IF(OR(AM124&lt;0,AL124&lt;0),"NM ",AM124/AL124-1), "NA ")</f>
        <v>0.15714285714285725</v>
      </c>
      <c r="AN125" s="120">
        <f t="shared" si="321"/>
        <v>-0.21913580246913578</v>
      </c>
      <c r="AO125" s="120">
        <f t="shared" si="321"/>
        <v>0.32806324110671947</v>
      </c>
      <c r="AP125" s="120">
        <f t="shared" si="321"/>
        <v>7.1428571428571397E-2</v>
      </c>
      <c r="AQ125" s="120">
        <f t="shared" si="321"/>
        <v>-9.2592592592588563E-4</v>
      </c>
      <c r="AR125" s="120">
        <f t="shared" si="321"/>
        <v>-1.853568118628357E-2</v>
      </c>
      <c r="AS125" s="120">
        <f t="shared" si="321"/>
        <v>-1.6997167138810165E-2</v>
      </c>
      <c r="AT125" s="120">
        <f t="shared" si="321"/>
        <v>-0.66282420749279547</v>
      </c>
      <c r="AU125" s="120">
        <f ca="1">+IFERROR(IF(OR(AU124&lt;0,AT124&lt;0),"NM ",AU124/AT124-1), "NA ")</f>
        <v>0.99940060022066857</v>
      </c>
      <c r="AV125" s="120">
        <f ca="1">+IFERROR(IF(OR(AV124&lt;0,AU124&lt;0),"NM ",AV124/AU124-1), "NA ")</f>
        <v>0.14439836901579173</v>
      </c>
      <c r="AW125" s="120">
        <f ca="1">+IFERROR(IF(OR(AW124&lt;0,AV124&lt;0),"NM ",AW124/AV124-1), "NA ")</f>
        <v>4.3051999674760477E-2</v>
      </c>
      <c r="AX125" s="120">
        <f ca="1">+IFERROR(IF(OR(AX124&lt;0,AW124&lt;0),"NM ",AX124/AW124-1), "NA ")</f>
        <v>0.38864535276869772</v>
      </c>
      <c r="AY125" s="1"/>
      <c r="AZ125" s="49"/>
      <c r="BA125" s="49"/>
      <c r="BB125" s="49"/>
      <c r="BC125" s="49"/>
      <c r="BD125" s="49"/>
      <c r="BE125" s="49"/>
      <c r="BF125" s="49"/>
      <c r="BG125" s="49"/>
      <c r="BH125" s="49"/>
      <c r="BI125" s="49"/>
      <c r="BJ125" s="49"/>
      <c r="BK125" s="49"/>
      <c r="BY125" s="831"/>
      <c r="BZ125" s="831"/>
      <c r="CA125" s="831"/>
    </row>
    <row r="126" spans="2:79" s="2" customFormat="1" ht="11.25" customHeight="1" outlineLevel="1">
      <c r="B126" s="690"/>
      <c r="C126" s="122" t="s">
        <v>640</v>
      </c>
      <c r="E126" s="119"/>
      <c r="F126" s="119"/>
      <c r="G126" s="119"/>
      <c r="H126" s="119"/>
      <c r="I126" s="120">
        <f>IFERROR(I124/I119,"NA  ")</f>
        <v>-0.14835164835164835</v>
      </c>
      <c r="J126" s="120">
        <f>IFERROR(J124/J119,"NA  ")</f>
        <v>0.50264550264550267</v>
      </c>
      <c r="K126" s="120">
        <f>IFERROR(K124/K119,"NA  ")</f>
        <v>0.60591133004926112</v>
      </c>
      <c r="L126" s="120">
        <f>IFERROR(L124/L119,"NA  ")</f>
        <v>0.87</v>
      </c>
      <c r="M126" s="120">
        <f t="shared" ref="M126:AC126" si="322">IFERROR(M124/M119,"NA  ")</f>
        <v>-0.18494271685761046</v>
      </c>
      <c r="N126" s="120">
        <f t="shared" si="322"/>
        <v>0.57478991596638651</v>
      </c>
      <c r="O126" s="120">
        <f t="shared" si="322"/>
        <v>0.42857142857142855</v>
      </c>
      <c r="P126" s="120">
        <f t="shared" si="322"/>
        <v>1.3822843822843822</v>
      </c>
      <c r="Q126" s="120">
        <f t="shared" si="322"/>
        <v>-0.21893491124260356</v>
      </c>
      <c r="R126" s="120">
        <f t="shared" si="322"/>
        <v>0.60550458715596334</v>
      </c>
      <c r="S126" s="120">
        <f t="shared" si="322"/>
        <v>0.58846153846153848</v>
      </c>
      <c r="T126" s="120">
        <f t="shared" si="322"/>
        <v>1.294392523364486</v>
      </c>
      <c r="U126" s="120">
        <f t="shared" si="322"/>
        <v>0.1343570057581574</v>
      </c>
      <c r="V126" s="120">
        <f t="shared" si="322"/>
        <v>1.0029761904761905</v>
      </c>
      <c r="W126" s="120">
        <f t="shared" si="322"/>
        <v>0.79302832244008714</v>
      </c>
      <c r="X126" s="120">
        <f t="shared" si="322"/>
        <v>0.60759493670886078</v>
      </c>
      <c r="Y126" s="120">
        <f t="shared" si="322"/>
        <v>0.21675774134790529</v>
      </c>
      <c r="Z126" s="120">
        <f t="shared" si="322"/>
        <v>0.52693602693602692</v>
      </c>
      <c r="AA126" s="120">
        <f t="shared" si="322"/>
        <v>0.74125874125874125</v>
      </c>
      <c r="AB126" s="120">
        <f t="shared" si="322"/>
        <v>0.40393013100436681</v>
      </c>
      <c r="AC126" s="120">
        <f t="shared" si="322"/>
        <v>-0.20123203285420946</v>
      </c>
      <c r="AD126" s="120">
        <f t="shared" ref="AD126:AF126" si="323">IFERROR(AD124/AD119,"NA  ")</f>
        <v>0.17935702199661591</v>
      </c>
      <c r="AE126" s="120">
        <f t="shared" si="323"/>
        <v>0.20444444444444446</v>
      </c>
      <c r="AF126" s="120">
        <f t="shared" si="323"/>
        <v>0.87152777777777779</v>
      </c>
      <c r="AG126" s="120">
        <f t="shared" ref="AG126" si="324">IFERROR(AG124/AG119,"NA  ")</f>
        <v>-0.37735849056603776</v>
      </c>
      <c r="AH126" s="120">
        <f ca="1">IFERROR(AH124/AH119,"NA  ")</f>
        <v>1.0039309785553856</v>
      </c>
      <c r="AI126" s="120">
        <f ca="1">IFERROR(AI124/AI119,"NA  ")</f>
        <v>0.3852871194997039</v>
      </c>
      <c r="AJ126" s="120">
        <f ca="1">IFERROR(AJ124/AJ119,"NA  ")</f>
        <v>0.30626024407941005</v>
      </c>
      <c r="AK126" s="79"/>
      <c r="AL126" s="119"/>
      <c r="AM126" s="120">
        <f t="shared" ref="AM126:AT126" si="325">IFERROR(AM124/AM119,"NA  ")</f>
        <v>0.42951833848873178</v>
      </c>
      <c r="AN126" s="120">
        <f t="shared" si="325"/>
        <v>0.35903500473036898</v>
      </c>
      <c r="AO126" s="120">
        <f t="shared" si="325"/>
        <v>0.45364536453645365</v>
      </c>
      <c r="AP126" s="120">
        <f t="shared" si="325"/>
        <v>0.48278945015645952</v>
      </c>
      <c r="AQ126" s="120">
        <f t="shared" si="325"/>
        <v>0.53949999999999998</v>
      </c>
      <c r="AR126" s="120">
        <f t="shared" si="325"/>
        <v>0.59162011173184359</v>
      </c>
      <c r="AS126" s="120">
        <f t="shared" si="325"/>
        <v>0.47906120570639671</v>
      </c>
      <c r="AT126" s="120">
        <f t="shared" si="325"/>
        <v>0.19328193832599119</v>
      </c>
      <c r="AU126" s="120">
        <f ca="1">IFERROR(AU124/AU119,"NA  ")</f>
        <v>0.3617791119640778</v>
      </c>
      <c r="AV126" s="120">
        <f ca="1">IFERROR(AV124/AV119,"NA  ")</f>
        <v>0.39419972137168036</v>
      </c>
      <c r="AW126" s="120">
        <f ca="1">IFERROR(AW124/AW119,"NA  ")</f>
        <v>0.39347058017806757</v>
      </c>
      <c r="AX126" s="120">
        <f ca="1">IFERROR(AX124/AX119,"NA  ")</f>
        <v>0.51903271865536993</v>
      </c>
      <c r="AY126" s="1"/>
      <c r="AZ126" s="121"/>
      <c r="BA126" s="121"/>
      <c r="BB126" s="121"/>
      <c r="BC126" s="121"/>
      <c r="BD126" s="121"/>
      <c r="BE126" s="121"/>
      <c r="BF126" s="121"/>
      <c r="BG126" s="121"/>
      <c r="BH126" s="121"/>
      <c r="BI126" s="121"/>
      <c r="BJ126" s="121"/>
      <c r="BK126" s="121"/>
      <c r="BY126" s="833"/>
      <c r="BZ126" s="833"/>
      <c r="CA126" s="833"/>
    </row>
    <row r="127" spans="2:79" ht="5.2" customHeight="1" outlineLevel="1">
      <c r="C127" s="36"/>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K127" s="79"/>
      <c r="AL127" s="31"/>
      <c r="AM127" s="31"/>
      <c r="AN127" s="31"/>
      <c r="AO127" s="31"/>
      <c r="AP127" s="31"/>
      <c r="AZ127" s="33"/>
      <c r="BA127" s="33"/>
      <c r="BB127" s="33"/>
      <c r="BC127" s="33"/>
      <c r="BD127" s="33"/>
      <c r="BE127" s="33"/>
      <c r="BF127" s="33"/>
      <c r="BG127" s="33"/>
      <c r="BH127" s="33"/>
      <c r="BI127" s="33"/>
      <c r="BJ127" s="33"/>
      <c r="BK127" s="33"/>
    </row>
    <row r="128" spans="2:79" ht="10.5" customHeight="1">
      <c r="C128" s="45" t="s">
        <v>485</v>
      </c>
      <c r="E128" s="736">
        <f t="shared" ref="E128:L128" si="326">E124/E60</f>
        <v>-0.396505376344086</v>
      </c>
      <c r="F128" s="736">
        <f t="shared" si="326"/>
        <v>2.4848891873740766</v>
      </c>
      <c r="G128" s="736">
        <f t="shared" si="326"/>
        <v>2.0850202429149798</v>
      </c>
      <c r="H128" s="736">
        <f t="shared" si="326"/>
        <v>0.94237288135593222</v>
      </c>
      <c r="I128" s="736">
        <f t="shared" si="326"/>
        <v>-0.55027173913043481</v>
      </c>
      <c r="J128" s="736">
        <f t="shared" si="326"/>
        <v>1.9467213114754098</v>
      </c>
      <c r="K128" s="736">
        <f t="shared" si="326"/>
        <v>2.536082474226804</v>
      </c>
      <c r="L128" s="736">
        <f t="shared" si="326"/>
        <v>3.0041436464088394</v>
      </c>
      <c r="M128" s="736">
        <f t="shared" ref="M128:AC128" si="327">M124/M60</f>
        <v>-0.78038674033149169</v>
      </c>
      <c r="N128" s="736">
        <f t="shared" si="327"/>
        <v>2.375</v>
      </c>
      <c r="O128" s="736">
        <f t="shared" si="327"/>
        <v>1.8117977528089886</v>
      </c>
      <c r="P128" s="736">
        <f t="shared" si="327"/>
        <v>4.2026931254429485</v>
      </c>
      <c r="Q128" s="736">
        <f t="shared" si="327"/>
        <v>-0.79229122055674517</v>
      </c>
      <c r="R128" s="736">
        <f t="shared" si="327"/>
        <v>2.3723939611790077</v>
      </c>
      <c r="S128" s="736">
        <f t="shared" si="327"/>
        <v>2.2206095791001448</v>
      </c>
      <c r="T128" s="736">
        <f t="shared" si="327"/>
        <v>4.0408460977388767</v>
      </c>
      <c r="U128" s="736">
        <f t="shared" si="327"/>
        <v>0.51282051282051277</v>
      </c>
      <c r="V128" s="736">
        <f t="shared" si="327"/>
        <v>2.4761204996326227</v>
      </c>
      <c r="W128" s="736">
        <f t="shared" si="327"/>
        <v>2.6705796038151135</v>
      </c>
      <c r="X128" s="736">
        <f t="shared" si="327"/>
        <v>2.1098901098901099</v>
      </c>
      <c r="Y128" s="736">
        <f t="shared" si="327"/>
        <v>0.86482558139534882</v>
      </c>
      <c r="Z128" s="736">
        <f t="shared" si="327"/>
        <v>2.3031640912435614</v>
      </c>
      <c r="AA128" s="736">
        <f t="shared" si="327"/>
        <v>3.0948905109489053</v>
      </c>
      <c r="AB128" s="736">
        <f t="shared" si="327"/>
        <v>1.349380014587892</v>
      </c>
      <c r="AC128" s="736">
        <f t="shared" si="327"/>
        <v>-0.7498087222647285</v>
      </c>
      <c r="AD128" s="736">
        <f t="shared" ref="AD128:AF128" si="328">AD124/AD60</f>
        <v>0.83860759493670889</v>
      </c>
      <c r="AE128" s="736">
        <f t="shared" si="328"/>
        <v>0.75224856909239579</v>
      </c>
      <c r="AF128" s="736">
        <f t="shared" si="328"/>
        <v>2.0096076861489189</v>
      </c>
      <c r="AG128" s="736">
        <f>AG124/AG60</f>
        <v>-1.3297872340425532</v>
      </c>
      <c r="AH128" s="736">
        <f ca="1">AH124/AH60</f>
        <v>4.2478202444958244</v>
      </c>
      <c r="AI128" s="736">
        <f ca="1">AI124/AI60</f>
        <v>1.7168312214404717</v>
      </c>
      <c r="AJ128" s="736">
        <f ca="1">AJ124/AJ60</f>
        <v>1.1978286759973351</v>
      </c>
      <c r="AK128" s="79"/>
      <c r="AL128" s="736">
        <f t="shared" ref="AL128:AT128" si="329">AL124/AL60</f>
        <v>5.5592322964923895</v>
      </c>
      <c r="AM128" s="736">
        <f t="shared" si="329"/>
        <v>6.4886515353805079</v>
      </c>
      <c r="AN128" s="736">
        <f t="shared" si="329"/>
        <v>5.1145552560646896</v>
      </c>
      <c r="AO128" s="736">
        <f t="shared" si="329"/>
        <v>6.8993839835728945</v>
      </c>
      <c r="AP128" s="736">
        <f t="shared" si="329"/>
        <v>7.5577326801959428</v>
      </c>
      <c r="AQ128" s="736">
        <f t="shared" si="329"/>
        <v>7.7863972578026344</v>
      </c>
      <c r="AR128" s="736">
        <f t="shared" si="329"/>
        <v>7.7454744925946244</v>
      </c>
      <c r="AS128" s="736">
        <f t="shared" si="329"/>
        <v>7.6124314442413166</v>
      </c>
      <c r="AT128" s="736">
        <f t="shared" si="329"/>
        <v>2.7906976744186047</v>
      </c>
      <c r="AU128" s="736">
        <f ca="1">AU124/AU60</f>
        <v>5.8288173644306873</v>
      </c>
      <c r="AV128" s="736">
        <f ca="1">AV124/AV60</f>
        <v>6.6704890851454044</v>
      </c>
      <c r="AW128" s="736">
        <f ca="1">AW124/AW60</f>
        <v>6.9576669790695762</v>
      </c>
      <c r="AX128" s="736">
        <f ca="1">AX124/AX60</f>
        <v>9.6617319165971924</v>
      </c>
      <c r="AZ128" s="33"/>
      <c r="BA128" s="33"/>
      <c r="BB128" s="33"/>
      <c r="BC128" s="33"/>
      <c r="BD128" s="33"/>
      <c r="BE128" s="33"/>
      <c r="BF128" s="33"/>
      <c r="BG128" s="33"/>
      <c r="BH128" s="33"/>
      <c r="BI128" s="33"/>
      <c r="BJ128" s="33"/>
      <c r="BK128" s="33"/>
    </row>
    <row r="129" spans="2:79" ht="10.5" customHeight="1">
      <c r="C129" s="45"/>
      <c r="E129" s="31"/>
      <c r="F129" s="31"/>
      <c r="G129" s="31"/>
      <c r="H129" s="31"/>
      <c r="I129" s="31"/>
      <c r="J129" s="31"/>
      <c r="K129" s="31"/>
      <c r="L129" s="31"/>
      <c r="M129" s="31"/>
      <c r="N129" s="31"/>
      <c r="O129" s="31"/>
      <c r="P129" s="31"/>
      <c r="Q129" s="31"/>
      <c r="R129" s="126"/>
      <c r="S129" s="63"/>
      <c r="AK129" s="79"/>
      <c r="AL129" s="28">
        <f t="shared" ref="AL129:AT129" si="330">-SUM(AL944:AL945)</f>
        <v>620</v>
      </c>
      <c r="AM129" s="28">
        <f t="shared" si="330"/>
        <v>341</v>
      </c>
      <c r="AN129" s="28">
        <f t="shared" si="330"/>
        <v>417</v>
      </c>
      <c r="AO129" s="28">
        <f t="shared" si="330"/>
        <v>646</v>
      </c>
      <c r="AP129" s="28">
        <f t="shared" si="330"/>
        <v>718</v>
      </c>
      <c r="AQ129" s="28">
        <f t="shared" si="330"/>
        <v>668</v>
      </c>
      <c r="AR129" s="28">
        <f t="shared" si="330"/>
        <v>418</v>
      </c>
      <c r="AS129" s="28">
        <f t="shared" si="330"/>
        <v>1375</v>
      </c>
      <c r="AT129" s="28">
        <f t="shared" si="330"/>
        <v>1383</v>
      </c>
      <c r="AZ129" s="33"/>
      <c r="BA129" s="33"/>
      <c r="BB129" s="33"/>
      <c r="BC129" s="33"/>
      <c r="BD129" s="33"/>
      <c r="BE129" s="33"/>
      <c r="BF129" s="33"/>
      <c r="BG129" s="33"/>
      <c r="BH129" s="33"/>
      <c r="BI129" s="33"/>
      <c r="BJ129" s="33"/>
      <c r="BK129" s="33"/>
    </row>
    <row r="130" spans="2:79" s="5" customFormat="1" ht="10.5">
      <c r="B130" s="687" t="s">
        <v>14</v>
      </c>
      <c r="C130" s="20" t="s">
        <v>374</v>
      </c>
      <c r="D130" s="20"/>
      <c r="E130" s="19"/>
      <c r="F130" s="19"/>
      <c r="G130" s="19"/>
      <c r="H130" s="19"/>
      <c r="I130" s="19"/>
      <c r="J130" s="19"/>
      <c r="K130" s="19"/>
      <c r="L130" s="19"/>
      <c r="M130" s="19"/>
      <c r="N130" s="19"/>
      <c r="O130" s="19"/>
      <c r="P130" s="19"/>
      <c r="Q130" s="19"/>
      <c r="R130" s="19"/>
      <c r="S130" s="706"/>
      <c r="T130" s="19"/>
      <c r="U130" s="19"/>
      <c r="V130" s="19"/>
      <c r="W130" s="19"/>
      <c r="X130" s="19"/>
      <c r="Y130" s="19"/>
      <c r="Z130" s="19"/>
      <c r="AA130" s="19"/>
      <c r="AB130" s="19"/>
      <c r="AC130" s="19"/>
      <c r="AD130" s="19"/>
      <c r="AE130" s="19"/>
      <c r="AF130" s="19"/>
      <c r="AG130" s="19"/>
      <c r="AH130" s="19"/>
      <c r="AI130" s="19"/>
      <c r="AJ130" s="19"/>
      <c r="AK130" s="79"/>
      <c r="AL130" s="706"/>
      <c r="AM130" s="706"/>
      <c r="AN130" s="706"/>
      <c r="AO130" s="706"/>
      <c r="AP130" s="706"/>
      <c r="AQ130" s="706"/>
      <c r="AR130" s="706"/>
      <c r="AS130" s="706"/>
      <c r="AT130" s="706"/>
      <c r="AU130" s="716"/>
      <c r="AV130" s="716"/>
      <c r="AW130" s="716"/>
      <c r="AX130" s="716"/>
      <c r="AY130" s="1"/>
      <c r="AZ130" s="19"/>
      <c r="BA130" s="19"/>
      <c r="BB130" s="19"/>
      <c r="BC130" s="19"/>
      <c r="BD130" s="19"/>
      <c r="BE130" s="19"/>
      <c r="BF130" s="19"/>
      <c r="BG130" s="19"/>
      <c r="BH130" s="19"/>
      <c r="BI130" s="19"/>
      <c r="BJ130" s="19"/>
      <c r="BK130" s="19"/>
      <c r="BL130" s="19"/>
      <c r="BM130" s="19"/>
      <c r="BN130" s="19"/>
      <c r="BY130" s="829"/>
      <c r="BZ130" s="829"/>
      <c r="CA130" s="829"/>
    </row>
    <row r="131" spans="2:79" s="5" customFormat="1" ht="10.5">
      <c r="B131" s="49"/>
      <c r="C131" s="21"/>
      <c r="D131" s="21"/>
      <c r="AK131" s="79"/>
      <c r="AY131" s="1"/>
      <c r="BY131" s="829"/>
      <c r="BZ131" s="829"/>
      <c r="CA131" s="829"/>
    </row>
    <row r="132" spans="2:79" s="5" customFormat="1" ht="10.5">
      <c r="B132" s="49"/>
      <c r="C132" s="101" t="s">
        <v>376</v>
      </c>
      <c r="D132" s="21"/>
      <c r="E132" s="49">
        <f t="shared" ref="E132:S132" si="331">E14</f>
        <v>1602</v>
      </c>
      <c r="F132" s="49">
        <f t="shared" si="331"/>
        <v>1692</v>
      </c>
      <c r="G132" s="49">
        <f t="shared" si="331"/>
        <v>1666</v>
      </c>
      <c r="H132" s="49">
        <f t="shared" si="331"/>
        <v>1698</v>
      </c>
      <c r="I132" s="49">
        <f t="shared" si="331"/>
        <v>1698</v>
      </c>
      <c r="J132" s="49">
        <f t="shared" si="331"/>
        <v>1789</v>
      </c>
      <c r="K132" s="49">
        <f t="shared" si="331"/>
        <v>1794</v>
      </c>
      <c r="L132" s="49">
        <f t="shared" si="331"/>
        <v>1905</v>
      </c>
      <c r="M132" s="49">
        <f t="shared" si="331"/>
        <v>2026</v>
      </c>
      <c r="N132" s="49">
        <f t="shared" si="331"/>
        <v>1917</v>
      </c>
      <c r="O132" s="49">
        <f t="shared" si="331"/>
        <v>1819</v>
      </c>
      <c r="P132" s="49">
        <f t="shared" si="331"/>
        <v>1910</v>
      </c>
      <c r="Q132" s="49">
        <f t="shared" si="331"/>
        <v>1806</v>
      </c>
      <c r="R132" s="49">
        <f t="shared" si="331"/>
        <v>1774</v>
      </c>
      <c r="S132" s="49">
        <f t="shared" si="331"/>
        <v>1751</v>
      </c>
      <c r="T132" s="49">
        <f t="shared" ref="T132:AC132" si="332">T14</f>
        <v>1708</v>
      </c>
      <c r="U132" s="49">
        <f t="shared" si="332"/>
        <v>1664</v>
      </c>
      <c r="V132" s="49">
        <f t="shared" si="332"/>
        <v>1553</v>
      </c>
      <c r="W132" s="49">
        <f t="shared" si="332"/>
        <v>1621</v>
      </c>
      <c r="X132" s="49">
        <f t="shared" si="332"/>
        <v>1660</v>
      </c>
      <c r="Y132" s="49">
        <f t="shared" si="332"/>
        <v>1811</v>
      </c>
      <c r="Z132" s="49">
        <f t="shared" si="332"/>
        <v>1972</v>
      </c>
      <c r="AA132" s="49">
        <f t="shared" si="332"/>
        <v>2058</v>
      </c>
      <c r="AB132" s="49">
        <f t="shared" si="332"/>
        <v>2135</v>
      </c>
      <c r="AC132" s="49">
        <f t="shared" si="332"/>
        <v>2164</v>
      </c>
      <c r="AD132" s="49">
        <f t="shared" ref="AD132:AF132" si="333">AD14</f>
        <v>2114</v>
      </c>
      <c r="AE132" s="49">
        <f t="shared" si="333"/>
        <v>2168</v>
      </c>
      <c r="AF132" s="49">
        <f t="shared" si="333"/>
        <v>1997</v>
      </c>
      <c r="AG132" s="49">
        <f t="shared" ref="AG132" si="334">AG14</f>
        <v>1883</v>
      </c>
      <c r="AH132" s="49">
        <f t="shared" ref="AH132:AJ132" si="335">AH138-SUM(AH135:AH137)</f>
        <v>2123.6133999999997</v>
      </c>
      <c r="AI132" s="49">
        <f t="shared" si="335"/>
        <v>2117.9457000000002</v>
      </c>
      <c r="AJ132" s="49">
        <f t="shared" si="335"/>
        <v>1886.9673000000003</v>
      </c>
      <c r="AK132" s="79"/>
      <c r="AL132" s="49">
        <f>AL14</f>
        <v>7306</v>
      </c>
      <c r="AM132" s="49">
        <f>AM14</f>
        <v>7068</v>
      </c>
      <c r="AN132" s="33">
        <f t="shared" ref="AN132:AU132" si="336">SUMIF($E$6:$AK$6,AN$6,$E132:$AK132)</f>
        <v>6658</v>
      </c>
      <c r="AO132" s="33">
        <f t="shared" si="336"/>
        <v>7186</v>
      </c>
      <c r="AP132" s="33">
        <f t="shared" si="336"/>
        <v>7672</v>
      </c>
      <c r="AQ132" s="33">
        <f t="shared" si="336"/>
        <v>7039</v>
      </c>
      <c r="AR132" s="33">
        <f t="shared" si="336"/>
        <v>6498</v>
      </c>
      <c r="AS132" s="33">
        <f t="shared" si="336"/>
        <v>7976</v>
      </c>
      <c r="AT132" s="33">
        <f t="shared" si="336"/>
        <v>8443</v>
      </c>
      <c r="AU132" s="33">
        <f t="shared" si="336"/>
        <v>8011.5264000000006</v>
      </c>
      <c r="AV132" s="49">
        <f t="shared" ref="AV132:AX132" si="337">AV138-SUM(AV135:AV137)</f>
        <v>7837.3374839999988</v>
      </c>
      <c r="AW132" s="49">
        <f t="shared" si="337"/>
        <v>8075.1018127800007</v>
      </c>
      <c r="AX132" s="49">
        <f t="shared" si="337"/>
        <v>8280.4483820326986</v>
      </c>
      <c r="AY132" s="1"/>
      <c r="BY132" s="829"/>
      <c r="BZ132" s="829"/>
      <c r="CA132" s="829"/>
    </row>
    <row r="133" spans="2:79" s="5" customFormat="1" ht="5.2" customHeight="1">
      <c r="B133" s="49"/>
      <c r="C133" s="109"/>
      <c r="D133" s="21"/>
      <c r="AK133" s="79"/>
      <c r="AY133" s="1"/>
      <c r="BY133" s="829"/>
      <c r="BZ133" s="829"/>
      <c r="CA133" s="829"/>
    </row>
    <row r="134" spans="2:79" s="5" customFormat="1" ht="10.5">
      <c r="B134" s="49"/>
      <c r="C134" s="51" t="s">
        <v>97</v>
      </c>
      <c r="D134" s="21"/>
      <c r="I134" s="52"/>
      <c r="J134" s="52"/>
      <c r="K134" s="52"/>
      <c r="L134" s="52"/>
      <c r="AK134" s="79"/>
      <c r="AY134" s="1"/>
      <c r="BY134" s="829"/>
      <c r="BZ134" s="829"/>
      <c r="CA134" s="829"/>
    </row>
    <row r="135" spans="2:79" s="5" customFormat="1" ht="10.5">
      <c r="B135" s="49"/>
      <c r="C135" s="51" t="s">
        <v>1130</v>
      </c>
      <c r="D135" s="21"/>
      <c r="E135" s="5">
        <v>0</v>
      </c>
      <c r="F135" s="5">
        <v>0</v>
      </c>
      <c r="G135" s="5">
        <v>0</v>
      </c>
      <c r="H135" s="5">
        <v>0</v>
      </c>
      <c r="I135" s="52">
        <v>0</v>
      </c>
      <c r="J135" s="52">
        <v>0</v>
      </c>
      <c r="K135" s="52">
        <v>0</v>
      </c>
      <c r="L135" s="52">
        <v>0</v>
      </c>
      <c r="M135" s="5">
        <v>0</v>
      </c>
      <c r="N135" s="5">
        <v>0</v>
      </c>
      <c r="O135" s="5">
        <v>0</v>
      </c>
      <c r="P135" s="5">
        <v>0</v>
      </c>
      <c r="Q135" s="5">
        <v>0</v>
      </c>
      <c r="R135" s="5">
        <v>0</v>
      </c>
      <c r="S135" s="5">
        <v>0</v>
      </c>
      <c r="T135" s="5">
        <v>0</v>
      </c>
      <c r="U135" s="5">
        <v>0</v>
      </c>
      <c r="V135" s="5">
        <v>0</v>
      </c>
      <c r="W135" s="52">
        <v>-7</v>
      </c>
      <c r="X135" s="52">
        <v>-1</v>
      </c>
      <c r="Y135" s="52">
        <v>-4</v>
      </c>
      <c r="Z135" s="5">
        <v>0</v>
      </c>
      <c r="AA135" s="5">
        <v>0</v>
      </c>
      <c r="AB135" s="5">
        <v>0</v>
      </c>
      <c r="AC135" s="5">
        <v>0</v>
      </c>
      <c r="AD135" s="5">
        <v>0</v>
      </c>
      <c r="AE135" s="5">
        <v>0</v>
      </c>
      <c r="AF135" s="5">
        <v>0</v>
      </c>
      <c r="AG135" s="52">
        <v>-23</v>
      </c>
      <c r="AH135" s="5">
        <v>0</v>
      </c>
      <c r="AI135" s="5">
        <v>0</v>
      </c>
      <c r="AJ135" s="5">
        <v>0</v>
      </c>
      <c r="AK135" s="79"/>
      <c r="AL135" s="5">
        <v>0</v>
      </c>
      <c r="AM135" s="5">
        <v>0</v>
      </c>
      <c r="AN135" s="33">
        <f t="shared" ref="AN135:AU135" si="338">SUMIF($E$6:$AK$6,AN$6,$E135:$AK135)</f>
        <v>0</v>
      </c>
      <c r="AO135" s="33">
        <f t="shared" si="338"/>
        <v>0</v>
      </c>
      <c r="AP135" s="33">
        <f t="shared" si="338"/>
        <v>0</v>
      </c>
      <c r="AQ135" s="33">
        <f t="shared" si="338"/>
        <v>0</v>
      </c>
      <c r="AR135" s="33">
        <f t="shared" si="338"/>
        <v>-8</v>
      </c>
      <c r="AS135" s="33">
        <f t="shared" si="338"/>
        <v>-4</v>
      </c>
      <c r="AT135" s="33">
        <f t="shared" si="338"/>
        <v>0</v>
      </c>
      <c r="AU135" s="33">
        <f t="shared" si="338"/>
        <v>-23</v>
      </c>
      <c r="AV135" s="52">
        <v>0</v>
      </c>
      <c r="AW135" s="52">
        <v>0</v>
      </c>
      <c r="AX135" s="52">
        <v>0</v>
      </c>
      <c r="AY135" s="1"/>
      <c r="BY135" s="829"/>
      <c r="BZ135" s="829"/>
      <c r="CA135" s="829"/>
    </row>
    <row r="136" spans="2:79" s="5" customFormat="1" ht="10.5">
      <c r="B136" s="49"/>
      <c r="C136" s="51" t="s">
        <v>1131</v>
      </c>
      <c r="D136" s="21"/>
      <c r="E136" s="5">
        <v>0</v>
      </c>
      <c r="F136" s="5">
        <v>0</v>
      </c>
      <c r="G136" s="5">
        <v>0</v>
      </c>
      <c r="H136" s="5">
        <v>0</v>
      </c>
      <c r="I136" s="52">
        <v>0</v>
      </c>
      <c r="J136" s="52">
        <v>0</v>
      </c>
      <c r="K136" s="52">
        <v>0</v>
      </c>
      <c r="L136" s="52">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2">
        <v>-25</v>
      </c>
      <c r="AD136" s="52">
        <v>-17</v>
      </c>
      <c r="AE136" s="52">
        <v>0</v>
      </c>
      <c r="AF136" s="52">
        <v>3</v>
      </c>
      <c r="AG136" s="52">
        <v>8</v>
      </c>
      <c r="AH136" s="5">
        <v>0</v>
      </c>
      <c r="AI136" s="5">
        <v>0</v>
      </c>
      <c r="AJ136" s="5">
        <v>0</v>
      </c>
      <c r="AK136" s="79"/>
      <c r="AL136" s="5">
        <v>0</v>
      </c>
      <c r="AM136" s="5">
        <v>0</v>
      </c>
      <c r="AN136" s="33">
        <f t="shared" ref="AN136:AU137" si="339">SUMIF($E$6:$AF$6,AN$6,$E136:$AF136)</f>
        <v>0</v>
      </c>
      <c r="AO136" s="33">
        <f t="shared" si="339"/>
        <v>0</v>
      </c>
      <c r="AP136" s="33">
        <f t="shared" si="339"/>
        <v>0</v>
      </c>
      <c r="AQ136" s="33">
        <f t="shared" si="339"/>
        <v>0</v>
      </c>
      <c r="AR136" s="33">
        <f t="shared" si="339"/>
        <v>0</v>
      </c>
      <c r="AS136" s="33">
        <f t="shared" si="339"/>
        <v>0</v>
      </c>
      <c r="AT136" s="33">
        <f t="shared" si="339"/>
        <v>-39</v>
      </c>
      <c r="AU136" s="33">
        <f t="shared" si="339"/>
        <v>0</v>
      </c>
      <c r="AV136" s="52">
        <v>0</v>
      </c>
      <c r="AW136" s="52">
        <v>0</v>
      </c>
      <c r="AX136" s="52">
        <v>0</v>
      </c>
      <c r="AY136" s="1"/>
      <c r="BY136" s="829"/>
      <c r="BZ136" s="829"/>
      <c r="CA136" s="829"/>
    </row>
    <row r="137" spans="2:79" s="5" customFormat="1" ht="10.5">
      <c r="B137" s="49"/>
      <c r="C137" s="51" t="s">
        <v>378</v>
      </c>
      <c r="D137" s="21"/>
      <c r="E137" s="52">
        <v>0</v>
      </c>
      <c r="F137" s="52">
        <v>0</v>
      </c>
      <c r="G137" s="52">
        <v>-18</v>
      </c>
      <c r="H137" s="52">
        <v>-60</v>
      </c>
      <c r="I137" s="52">
        <v>0</v>
      </c>
      <c r="J137" s="52">
        <v>0</v>
      </c>
      <c r="K137" s="52">
        <v>0</v>
      </c>
      <c r="L137" s="52">
        <v>-112</v>
      </c>
      <c r="M137" s="52">
        <v>-87</v>
      </c>
      <c r="N137" s="52">
        <v>41</v>
      </c>
      <c r="O137" s="52">
        <v>67</v>
      </c>
      <c r="P137" s="52">
        <v>-3</v>
      </c>
      <c r="Q137" s="52">
        <v>0</v>
      </c>
      <c r="R137" s="52">
        <v>0</v>
      </c>
      <c r="S137" s="52">
        <v>0</v>
      </c>
      <c r="T137" s="52">
        <v>0</v>
      </c>
      <c r="U137" s="52">
        <v>0</v>
      </c>
      <c r="V137" s="52">
        <v>0</v>
      </c>
      <c r="W137" s="52">
        <v>0</v>
      </c>
      <c r="X137" s="52">
        <v>0</v>
      </c>
      <c r="Y137" s="52">
        <v>0</v>
      </c>
      <c r="Z137" s="52">
        <v>0</v>
      </c>
      <c r="AA137" s="52">
        <v>0</v>
      </c>
      <c r="AB137" s="52">
        <v>0</v>
      </c>
      <c r="AC137" s="52">
        <v>0</v>
      </c>
      <c r="AD137" s="52">
        <v>0</v>
      </c>
      <c r="AE137" s="52">
        <v>0</v>
      </c>
      <c r="AF137" s="52">
        <v>0</v>
      </c>
      <c r="AG137" s="52">
        <v>0</v>
      </c>
      <c r="AH137" s="5">
        <v>0</v>
      </c>
      <c r="AI137" s="5">
        <v>0</v>
      </c>
      <c r="AJ137" s="5">
        <v>0</v>
      </c>
      <c r="AK137" s="79"/>
      <c r="AL137" s="52">
        <v>-264</v>
      </c>
      <c r="AM137" s="52">
        <v>-91</v>
      </c>
      <c r="AN137" s="33">
        <f t="shared" si="339"/>
        <v>-78</v>
      </c>
      <c r="AO137" s="33">
        <f t="shared" si="339"/>
        <v>-112</v>
      </c>
      <c r="AP137" s="33">
        <f t="shared" si="339"/>
        <v>18</v>
      </c>
      <c r="AQ137" s="33">
        <f t="shared" si="339"/>
        <v>0</v>
      </c>
      <c r="AR137" s="33">
        <f t="shared" si="339"/>
        <v>0</v>
      </c>
      <c r="AS137" s="33">
        <f t="shared" si="339"/>
        <v>0</v>
      </c>
      <c r="AT137" s="33">
        <f t="shared" si="339"/>
        <v>0</v>
      </c>
      <c r="AU137" s="33">
        <f t="shared" si="339"/>
        <v>0</v>
      </c>
      <c r="AV137" s="5">
        <v>0</v>
      </c>
      <c r="AW137" s="5">
        <v>0</v>
      </c>
      <c r="AX137" s="5">
        <v>0</v>
      </c>
      <c r="AY137" s="1"/>
      <c r="BY137" s="829"/>
      <c r="BZ137" s="829"/>
      <c r="CA137" s="829"/>
    </row>
    <row r="138" spans="2:79" s="5" customFormat="1" ht="10.5">
      <c r="B138" s="49"/>
      <c r="C138" s="110" t="s">
        <v>380</v>
      </c>
      <c r="D138" s="21"/>
      <c r="E138" s="102">
        <f>E132+SUM(E135:E137)</f>
        <v>1602</v>
      </c>
      <c r="F138" s="102">
        <f t="shared" ref="F138:AC138" si="340">F132+SUM(F135:F137)</f>
        <v>1692</v>
      </c>
      <c r="G138" s="102">
        <f t="shared" si="340"/>
        <v>1648</v>
      </c>
      <c r="H138" s="102">
        <f t="shared" si="340"/>
        <v>1638</v>
      </c>
      <c r="I138" s="102">
        <f t="shared" si="340"/>
        <v>1698</v>
      </c>
      <c r="J138" s="102">
        <f t="shared" si="340"/>
        <v>1789</v>
      </c>
      <c r="K138" s="102">
        <f t="shared" si="340"/>
        <v>1794</v>
      </c>
      <c r="L138" s="102">
        <f t="shared" si="340"/>
        <v>1793</v>
      </c>
      <c r="M138" s="102">
        <f t="shared" si="340"/>
        <v>1939</v>
      </c>
      <c r="N138" s="102">
        <f t="shared" si="340"/>
        <v>1958</v>
      </c>
      <c r="O138" s="102">
        <f t="shared" si="340"/>
        <v>1886</v>
      </c>
      <c r="P138" s="102">
        <f t="shared" si="340"/>
        <v>1907</v>
      </c>
      <c r="Q138" s="102">
        <f t="shared" si="340"/>
        <v>1806</v>
      </c>
      <c r="R138" s="102">
        <f t="shared" si="340"/>
        <v>1774</v>
      </c>
      <c r="S138" s="102">
        <f t="shared" si="340"/>
        <v>1751</v>
      </c>
      <c r="T138" s="102">
        <f t="shared" si="340"/>
        <v>1708</v>
      </c>
      <c r="U138" s="102">
        <f t="shared" si="340"/>
        <v>1664</v>
      </c>
      <c r="V138" s="102">
        <f t="shared" si="340"/>
        <v>1553</v>
      </c>
      <c r="W138" s="102">
        <f t="shared" si="340"/>
        <v>1614</v>
      </c>
      <c r="X138" s="102">
        <f t="shared" si="340"/>
        <v>1659</v>
      </c>
      <c r="Y138" s="102">
        <f t="shared" si="340"/>
        <v>1807</v>
      </c>
      <c r="Z138" s="102">
        <f t="shared" si="340"/>
        <v>1972</v>
      </c>
      <c r="AA138" s="102">
        <f t="shared" si="340"/>
        <v>2058</v>
      </c>
      <c r="AB138" s="102">
        <f t="shared" si="340"/>
        <v>2135</v>
      </c>
      <c r="AC138" s="102">
        <f t="shared" si="340"/>
        <v>2139</v>
      </c>
      <c r="AD138" s="102">
        <f t="shared" ref="AD138:AF138" si="341">AD132+SUM(AD135:AD137)</f>
        <v>2097</v>
      </c>
      <c r="AE138" s="102">
        <f t="shared" si="341"/>
        <v>2168</v>
      </c>
      <c r="AF138" s="102">
        <f t="shared" si="341"/>
        <v>2000</v>
      </c>
      <c r="AG138" s="102">
        <f t="shared" ref="AG138" si="342">AG132+SUM(AG135:AG137)</f>
        <v>1868</v>
      </c>
      <c r="AH138" s="102">
        <f t="shared" ref="AH138:AJ138" si="343">AH140*AH11</f>
        <v>2123.6133999999997</v>
      </c>
      <c r="AI138" s="102">
        <f t="shared" si="343"/>
        <v>2117.9457000000002</v>
      </c>
      <c r="AJ138" s="102">
        <f t="shared" si="343"/>
        <v>1886.9673000000003</v>
      </c>
      <c r="AK138" s="79"/>
      <c r="AL138" s="102">
        <f>AL132+AL137</f>
        <v>7042</v>
      </c>
      <c r="AM138" s="102">
        <f>AM132+AM137</f>
        <v>6977</v>
      </c>
      <c r="AN138" s="102">
        <f t="shared" ref="AN138:AT138" si="344">AN132+SUM(AN135:AN137)</f>
        <v>6580</v>
      </c>
      <c r="AO138" s="102">
        <f t="shared" si="344"/>
        <v>7074</v>
      </c>
      <c r="AP138" s="102">
        <f t="shared" si="344"/>
        <v>7690</v>
      </c>
      <c r="AQ138" s="102">
        <f t="shared" si="344"/>
        <v>7039</v>
      </c>
      <c r="AR138" s="102">
        <f t="shared" si="344"/>
        <v>6490</v>
      </c>
      <c r="AS138" s="102">
        <f t="shared" si="344"/>
        <v>7972</v>
      </c>
      <c r="AT138" s="102">
        <f t="shared" si="344"/>
        <v>8404</v>
      </c>
      <c r="AU138" s="102">
        <f t="shared" ref="AU138" si="345">AU132+SUM(AU135:AU137)</f>
        <v>7988.5264000000006</v>
      </c>
      <c r="AV138" s="102">
        <f>AV140*AV11</f>
        <v>7837.3374839999988</v>
      </c>
      <c r="AW138" s="102">
        <f>AW140*AW11</f>
        <v>8075.1018127800007</v>
      </c>
      <c r="AX138" s="102">
        <f>AX140*AX11</f>
        <v>8280.4483820326986</v>
      </c>
      <c r="AY138" s="1"/>
      <c r="BY138" s="829"/>
      <c r="BZ138" s="829"/>
      <c r="CA138" s="829"/>
    </row>
    <row r="139" spans="2:79" ht="11.25" customHeight="1" outlineLevel="1">
      <c r="C139" s="93" t="s">
        <v>358</v>
      </c>
      <c r="E139" s="46"/>
      <c r="F139" s="46"/>
      <c r="G139" s="46"/>
      <c r="H139" s="46"/>
      <c r="I139" s="94">
        <f t="shared" ref="I139:AC139" si="346">IFERROR(I138/E138-1,"NA  ")</f>
        <v>5.9925093632958726E-2</v>
      </c>
      <c r="J139" s="94">
        <f t="shared" si="346"/>
        <v>5.7328605200945626E-2</v>
      </c>
      <c r="K139" s="94">
        <f t="shared" si="346"/>
        <v>8.8592233009708643E-2</v>
      </c>
      <c r="L139" s="94">
        <f t="shared" si="346"/>
        <v>9.4627594627594735E-2</v>
      </c>
      <c r="M139" s="94">
        <f t="shared" si="346"/>
        <v>0.14193168433451109</v>
      </c>
      <c r="N139" s="94">
        <f t="shared" si="346"/>
        <v>9.4466182224706596E-2</v>
      </c>
      <c r="O139" s="94">
        <f t="shared" si="346"/>
        <v>5.1282051282051322E-2</v>
      </c>
      <c r="P139" s="94">
        <f t="shared" si="346"/>
        <v>6.3580591187953228E-2</v>
      </c>
      <c r="Q139" s="94">
        <f t="shared" si="346"/>
        <v>-6.8592057761732828E-2</v>
      </c>
      <c r="R139" s="94">
        <f t="shared" si="346"/>
        <v>-9.3973442288049047E-2</v>
      </c>
      <c r="S139" s="94">
        <f t="shared" si="346"/>
        <v>-7.15800636267232E-2</v>
      </c>
      <c r="T139" s="94">
        <f t="shared" si="346"/>
        <v>-0.10435238594651286</v>
      </c>
      <c r="U139" s="94">
        <f t="shared" si="346"/>
        <v>-7.8626799557032112E-2</v>
      </c>
      <c r="V139" s="94">
        <f t="shared" si="346"/>
        <v>-0.12457722660653892</v>
      </c>
      <c r="W139" s="94">
        <f t="shared" si="346"/>
        <v>-7.824100513992005E-2</v>
      </c>
      <c r="X139" s="94">
        <f t="shared" si="346"/>
        <v>-2.8688524590163911E-2</v>
      </c>
      <c r="Y139" s="94">
        <f t="shared" si="346"/>
        <v>8.59375E-2</v>
      </c>
      <c r="Z139" s="94">
        <f t="shared" si="346"/>
        <v>0.26980038634900194</v>
      </c>
      <c r="AA139" s="94">
        <f t="shared" si="346"/>
        <v>0.27509293680297398</v>
      </c>
      <c r="AB139" s="94">
        <f t="shared" si="346"/>
        <v>0.28691983122362874</v>
      </c>
      <c r="AC139" s="94">
        <f t="shared" si="346"/>
        <v>0.18372993912562263</v>
      </c>
      <c r="AD139" s="94">
        <f t="shared" ref="AD139" si="347">IFERROR(AD138/Z138-1,"NA  ")</f>
        <v>6.3387423935091336E-2</v>
      </c>
      <c r="AE139" s="94">
        <f t="shared" ref="AE139" si="348">IFERROR(AE138/AA138-1,"NA  ")</f>
        <v>5.344995140913511E-2</v>
      </c>
      <c r="AF139" s="94">
        <f t="shared" ref="AF139:AG139" si="349">IFERROR(AF138/AB138-1,"NA  ")</f>
        <v>-6.3231850117095978E-2</v>
      </c>
      <c r="AG139" s="94">
        <f t="shared" si="349"/>
        <v>-0.12669471715755021</v>
      </c>
      <c r="AH139" s="94">
        <f t="shared" ref="AH139" si="350">IFERROR(AH138/AD138-1,"NA  ")</f>
        <v>1.2691177873151993E-2</v>
      </c>
      <c r="AI139" s="94">
        <f t="shared" ref="AI139" si="351">IFERROR(AI138/AE138-1,"NA  ")</f>
        <v>-2.3087776752767408E-2</v>
      </c>
      <c r="AJ139" s="94">
        <f t="shared" ref="AJ139" si="352">IFERROR(AJ138/AF138-1,"NA  ")</f>
        <v>-5.6516349999999882E-2</v>
      </c>
      <c r="AK139" s="79"/>
      <c r="AL139" s="96"/>
      <c r="AM139" s="95">
        <f t="shared" ref="AM139:AX139" si="353">IFERROR(AM138/AL138-1,"NA  ")</f>
        <v>-9.230332291962462E-3</v>
      </c>
      <c r="AN139" s="95">
        <f t="shared" si="353"/>
        <v>-5.6901246954278339E-2</v>
      </c>
      <c r="AO139" s="95">
        <f t="shared" si="353"/>
        <v>7.5075987841945357E-2</v>
      </c>
      <c r="AP139" s="95">
        <f t="shared" si="353"/>
        <v>8.7079445858071702E-2</v>
      </c>
      <c r="AQ139" s="95">
        <f t="shared" si="353"/>
        <v>-8.465539661898569E-2</v>
      </c>
      <c r="AR139" s="95">
        <f t="shared" si="353"/>
        <v>-7.7994033243358407E-2</v>
      </c>
      <c r="AS139" s="95">
        <f t="shared" si="353"/>
        <v>0.22835130970724182</v>
      </c>
      <c r="AT139" s="95">
        <f t="shared" si="353"/>
        <v>5.4189663823381862E-2</v>
      </c>
      <c r="AU139" s="95">
        <f t="shared" si="353"/>
        <v>-4.9437601142313103E-2</v>
      </c>
      <c r="AV139" s="95">
        <f t="shared" si="353"/>
        <v>-1.8925757821868339E-2</v>
      </c>
      <c r="AW139" s="95">
        <f t="shared" si="353"/>
        <v>3.0337385529894512E-2</v>
      </c>
      <c r="AX139" s="95">
        <f t="shared" si="353"/>
        <v>2.5429595070579403E-2</v>
      </c>
    </row>
    <row r="140" spans="2:79" s="5" customFormat="1" ht="10.5" outlineLevel="1">
      <c r="B140" s="49"/>
      <c r="C140" s="122" t="s">
        <v>638</v>
      </c>
      <c r="D140" s="21"/>
      <c r="E140" s="406">
        <f t="shared" ref="E140:S140" si="354">IFERROR(E138/E11,"NA  ")</f>
        <v>0.71645796064400713</v>
      </c>
      <c r="F140" s="406">
        <f t="shared" si="354"/>
        <v>0.73661297344362209</v>
      </c>
      <c r="G140" s="406">
        <f t="shared" si="354"/>
        <v>0.72059466550065587</v>
      </c>
      <c r="H140" s="406">
        <f t="shared" si="354"/>
        <v>0.74862888482632539</v>
      </c>
      <c r="I140" s="406">
        <f t="shared" si="354"/>
        <v>0.73729917498914455</v>
      </c>
      <c r="J140" s="406">
        <f t="shared" si="354"/>
        <v>0.73956180239768499</v>
      </c>
      <c r="K140" s="406">
        <f t="shared" si="354"/>
        <v>0.72778904665314403</v>
      </c>
      <c r="L140" s="406">
        <f t="shared" si="354"/>
        <v>0.7591024555461473</v>
      </c>
      <c r="M140" s="406">
        <f t="shared" si="354"/>
        <v>0.74376678174146527</v>
      </c>
      <c r="N140" s="406">
        <f t="shared" si="354"/>
        <v>0.74704311331552842</v>
      </c>
      <c r="O140" s="406">
        <f t="shared" si="354"/>
        <v>0.74047899489595603</v>
      </c>
      <c r="P140" s="406">
        <f t="shared" si="354"/>
        <v>0.80260942760942766</v>
      </c>
      <c r="Q140" s="406">
        <f t="shared" si="354"/>
        <v>0.75882352941176467</v>
      </c>
      <c r="R140" s="406">
        <f t="shared" si="354"/>
        <v>0.7507405840033855</v>
      </c>
      <c r="S140" s="406">
        <f t="shared" si="354"/>
        <v>0.75311827956989252</v>
      </c>
      <c r="T140" s="406">
        <f t="shared" ref="T140:AC140" si="355">IFERROR(T138/T11,"NA  ")</f>
        <v>0.77460317460317463</v>
      </c>
      <c r="U140" s="406">
        <f t="shared" si="355"/>
        <v>0.74252565818830885</v>
      </c>
      <c r="V140" s="406">
        <f t="shared" si="355"/>
        <v>0.8071725571725572</v>
      </c>
      <c r="W140" s="406">
        <f t="shared" si="355"/>
        <v>0.76060320452403396</v>
      </c>
      <c r="X140" s="406">
        <f t="shared" si="355"/>
        <v>0.75892040256175664</v>
      </c>
      <c r="Y140" s="406">
        <f t="shared" si="355"/>
        <v>0.75010377750103774</v>
      </c>
      <c r="Z140" s="406">
        <f t="shared" si="355"/>
        <v>0.74330946098756123</v>
      </c>
      <c r="AA140" s="406">
        <f t="shared" si="355"/>
        <v>0.75661764705882351</v>
      </c>
      <c r="AB140" s="406">
        <f t="shared" si="355"/>
        <v>0.79250185597624345</v>
      </c>
      <c r="AC140" s="406">
        <f t="shared" si="355"/>
        <v>0.78813559322033899</v>
      </c>
      <c r="AD140" s="406">
        <f t="shared" ref="AD140:AF140" si="356">IFERROR(AD138/AD11,"NA  ")</f>
        <v>0.75323275862068961</v>
      </c>
      <c r="AE140" s="406">
        <f t="shared" si="356"/>
        <v>0.8002953119232189</v>
      </c>
      <c r="AF140" s="406">
        <f t="shared" si="356"/>
        <v>0.84281500210703753</v>
      </c>
      <c r="AG140" s="406">
        <f t="shared" ref="AG140" si="357">IFERROR(AG138/AG11,"NA  ")</f>
        <v>0.7744610281923715</v>
      </c>
      <c r="AH140" s="407">
        <f>Assumptions!AH130</f>
        <v>0.78500000000000003</v>
      </c>
      <c r="AI140" s="407">
        <f>Assumptions!AI130</f>
        <v>0.78500000000000003</v>
      </c>
      <c r="AJ140" s="407">
        <f>Assumptions!AJ130</f>
        <v>0.78500000000000003</v>
      </c>
      <c r="AK140" s="79"/>
      <c r="AL140" s="406">
        <f t="shared" ref="AL140:AR140" si="358">IFERROR(AL138/AL11,"NA  ")</f>
        <v>0.73916238060249817</v>
      </c>
      <c r="AM140" s="406">
        <f t="shared" si="358"/>
        <v>0.72315505804311775</v>
      </c>
      <c r="AN140" s="406">
        <f t="shared" si="358"/>
        <v>0.73046181172291291</v>
      </c>
      <c r="AO140" s="406">
        <f t="shared" si="358"/>
        <v>0.74081055607917057</v>
      </c>
      <c r="AP140" s="406">
        <f t="shared" si="358"/>
        <v>0.75756083144517783</v>
      </c>
      <c r="AQ140" s="406">
        <f t="shared" si="358"/>
        <v>0.7590855170926345</v>
      </c>
      <c r="AR140" s="406">
        <f t="shared" si="358"/>
        <v>0.76596246901923759</v>
      </c>
      <c r="AS140" s="406">
        <f>IFERROR(AS138/AS11,"NA  ")</f>
        <v>0.76097747231767854</v>
      </c>
      <c r="AT140" s="406">
        <f>IFERROR(AT138/AT11,"NA  ")</f>
        <v>0.79432892249527409</v>
      </c>
      <c r="AU140" s="406">
        <f>IFERROR(AU138/AU11,"NA  ")</f>
        <v>0.78172963409478802</v>
      </c>
      <c r="AV140" s="407">
        <f>Assumptions!AV130</f>
        <v>0.74</v>
      </c>
      <c r="AW140" s="407">
        <f>Assumptions!AW130</f>
        <v>0.74</v>
      </c>
      <c r="AX140" s="407">
        <f>Assumptions!AX130</f>
        <v>0.74</v>
      </c>
      <c r="AY140" s="1"/>
      <c r="BY140" s="829"/>
      <c r="BZ140" s="829"/>
      <c r="CA140" s="829"/>
    </row>
    <row r="141" spans="2:79" s="5" customFormat="1" ht="5.2" customHeight="1" outlineLevel="1">
      <c r="B141" s="49"/>
      <c r="C141" s="51"/>
      <c r="D141" s="21"/>
      <c r="AK141" s="79"/>
      <c r="AY141" s="1"/>
      <c r="BY141" s="829"/>
      <c r="BZ141" s="829"/>
      <c r="CA141" s="829"/>
    </row>
    <row r="142" spans="2:79" s="5" customFormat="1" ht="10.5">
      <c r="B142" s="49"/>
      <c r="C142" s="43" t="s">
        <v>21</v>
      </c>
      <c r="D142" s="21"/>
      <c r="E142" s="5">
        <f t="shared" ref="E142:S142" si="359">E22</f>
        <v>183</v>
      </c>
      <c r="F142" s="5">
        <f t="shared" si="359"/>
        <v>174</v>
      </c>
      <c r="G142" s="5">
        <f t="shared" si="359"/>
        <v>181</v>
      </c>
      <c r="H142" s="5">
        <f t="shared" si="359"/>
        <v>165</v>
      </c>
      <c r="I142" s="5">
        <f t="shared" si="359"/>
        <v>179</v>
      </c>
      <c r="J142" s="5">
        <f t="shared" si="359"/>
        <v>181</v>
      </c>
      <c r="K142" s="5">
        <f t="shared" si="359"/>
        <v>180</v>
      </c>
      <c r="L142" s="5">
        <f t="shared" si="359"/>
        <v>189</v>
      </c>
      <c r="M142" s="5">
        <f t="shared" si="359"/>
        <v>190</v>
      </c>
      <c r="N142" s="5">
        <f t="shared" si="359"/>
        <v>189</v>
      </c>
      <c r="O142" s="5">
        <f t="shared" si="359"/>
        <v>175</v>
      </c>
      <c r="P142" s="5">
        <f t="shared" si="359"/>
        <v>167</v>
      </c>
      <c r="Q142" s="5">
        <f t="shared" si="359"/>
        <v>187</v>
      </c>
      <c r="R142" s="5">
        <f t="shared" si="359"/>
        <v>165</v>
      </c>
      <c r="S142" s="5">
        <f t="shared" si="359"/>
        <v>163</v>
      </c>
      <c r="T142" s="5">
        <f t="shared" ref="T142:AC142" si="360">T22</f>
        <v>176</v>
      </c>
      <c r="U142" s="5">
        <f t="shared" si="360"/>
        <v>160</v>
      </c>
      <c r="V142" s="5">
        <f t="shared" si="360"/>
        <v>155</v>
      </c>
      <c r="W142" s="5">
        <f t="shared" si="360"/>
        <v>165</v>
      </c>
      <c r="X142" s="5">
        <f t="shared" si="360"/>
        <v>174</v>
      </c>
      <c r="Y142" s="5">
        <f t="shared" si="360"/>
        <v>184</v>
      </c>
      <c r="Z142" s="5">
        <f t="shared" si="360"/>
        <v>202</v>
      </c>
      <c r="AA142" s="5">
        <f t="shared" si="360"/>
        <v>201</v>
      </c>
      <c r="AB142" s="5">
        <f t="shared" si="360"/>
        <v>208</v>
      </c>
      <c r="AC142" s="5">
        <f t="shared" si="360"/>
        <v>196</v>
      </c>
      <c r="AD142" s="5">
        <f t="shared" ref="AD142:AF142" si="361">AD22</f>
        <v>185</v>
      </c>
      <c r="AE142" s="5">
        <f t="shared" si="361"/>
        <v>173</v>
      </c>
      <c r="AF142" s="5">
        <f t="shared" si="361"/>
        <v>172</v>
      </c>
      <c r="AG142" s="5">
        <f t="shared" ref="AG142" si="362">AG22</f>
        <v>191</v>
      </c>
      <c r="AH142" s="5">
        <f t="shared" ref="AH142:AJ142" si="363">AH145-AH144</f>
        <v>208.30347999999998</v>
      </c>
      <c r="AI142" s="5">
        <f t="shared" si="363"/>
        <v>207.74753999999999</v>
      </c>
      <c r="AJ142" s="5">
        <f t="shared" si="363"/>
        <v>185.09106</v>
      </c>
      <c r="AK142" s="79"/>
      <c r="AL142" s="5">
        <f>AL22</f>
        <v>755</v>
      </c>
      <c r="AM142" s="5">
        <f>AM22</f>
        <v>771</v>
      </c>
      <c r="AN142" s="33">
        <f t="shared" ref="AN142:AU142" si="364">SUMIF($E$6:$AK$6,AN$6,$E142:$AK142)</f>
        <v>703</v>
      </c>
      <c r="AO142" s="33">
        <f t="shared" si="364"/>
        <v>729</v>
      </c>
      <c r="AP142" s="33">
        <f t="shared" si="364"/>
        <v>721</v>
      </c>
      <c r="AQ142" s="33">
        <f t="shared" si="364"/>
        <v>691</v>
      </c>
      <c r="AR142" s="33">
        <f t="shared" si="364"/>
        <v>654</v>
      </c>
      <c r="AS142" s="33">
        <f t="shared" si="364"/>
        <v>795</v>
      </c>
      <c r="AT142" s="33">
        <f t="shared" si="364"/>
        <v>726</v>
      </c>
      <c r="AU142" s="33">
        <f t="shared" si="364"/>
        <v>792.14207999999996</v>
      </c>
      <c r="AV142" s="5">
        <f>AV145-AV144</f>
        <v>762.55175519999989</v>
      </c>
      <c r="AW142" s="5">
        <f>AW145-AW144</f>
        <v>785.68558178399996</v>
      </c>
      <c r="AX142" s="5">
        <f>AX145-AX144</f>
        <v>805.6652479815599</v>
      </c>
      <c r="AY142" s="1"/>
      <c r="BY142" s="829"/>
      <c r="BZ142" s="829"/>
      <c r="CA142" s="829"/>
    </row>
    <row r="143" spans="2:79" s="5" customFormat="1" ht="5.2" customHeight="1">
      <c r="B143" s="49"/>
      <c r="C143" s="36"/>
      <c r="D143" s="21"/>
      <c r="AK143" s="79"/>
      <c r="AY143" s="1"/>
      <c r="BY143" s="829"/>
      <c r="BZ143" s="829"/>
      <c r="CA143" s="829"/>
    </row>
    <row r="144" spans="2:79" s="5" customFormat="1" ht="10.5">
      <c r="B144" s="49"/>
      <c r="C144" s="51" t="s">
        <v>97</v>
      </c>
      <c r="D144" s="21"/>
      <c r="E144" s="52">
        <v>-9</v>
      </c>
      <c r="F144" s="52">
        <v>0</v>
      </c>
      <c r="G144" s="52">
        <v>-12</v>
      </c>
      <c r="H144" s="52">
        <v>-2</v>
      </c>
      <c r="I144" s="52">
        <v>0</v>
      </c>
      <c r="J144" s="52">
        <v>0</v>
      </c>
      <c r="K144" s="52">
        <v>0</v>
      </c>
      <c r="L144" s="52">
        <v>0</v>
      </c>
      <c r="M144" s="52">
        <v>-3</v>
      </c>
      <c r="N144" s="52">
        <v>-3</v>
      </c>
      <c r="O144" s="52">
        <v>-1</v>
      </c>
      <c r="P144" s="52">
        <v>0</v>
      </c>
      <c r="Q144" s="52">
        <v>0</v>
      </c>
      <c r="R144" s="52">
        <v>0</v>
      </c>
      <c r="S144" s="52">
        <v>0</v>
      </c>
      <c r="T144" s="52">
        <v>0</v>
      </c>
      <c r="U144" s="52">
        <v>0</v>
      </c>
      <c r="V144" s="52">
        <v>0</v>
      </c>
      <c r="W144" s="52">
        <v>0</v>
      </c>
      <c r="X144" s="52">
        <v>0</v>
      </c>
      <c r="Y144" s="52">
        <v>0</v>
      </c>
      <c r="Z144" s="52">
        <v>0</v>
      </c>
      <c r="AA144" s="52">
        <v>-8</v>
      </c>
      <c r="AB144" s="52">
        <v>-10</v>
      </c>
      <c r="AC144" s="52">
        <v>-9</v>
      </c>
      <c r="AD144" s="52">
        <v>-2</v>
      </c>
      <c r="AE144" s="52">
        <v>-4</v>
      </c>
      <c r="AF144" s="52">
        <v>-3</v>
      </c>
      <c r="AG144" s="52">
        <v>0</v>
      </c>
      <c r="AH144" s="5">
        <v>0</v>
      </c>
      <c r="AI144" s="5">
        <v>0</v>
      </c>
      <c r="AJ144" s="5">
        <v>0</v>
      </c>
      <c r="AK144" s="79"/>
      <c r="AL144" s="52">
        <v>-103</v>
      </c>
      <c r="AM144" s="52">
        <v>-46</v>
      </c>
      <c r="AN144" s="33">
        <f t="shared" ref="AN144:AU144" si="365">SUMIF($E$6:$AK$6,AN$6,$E144:$AK144)</f>
        <v>-23</v>
      </c>
      <c r="AO144" s="33">
        <f t="shared" si="365"/>
        <v>0</v>
      </c>
      <c r="AP144" s="33">
        <f t="shared" si="365"/>
        <v>-7</v>
      </c>
      <c r="AQ144" s="33">
        <f t="shared" si="365"/>
        <v>0</v>
      </c>
      <c r="AR144" s="33">
        <f t="shared" si="365"/>
        <v>0</v>
      </c>
      <c r="AS144" s="33">
        <f t="shared" si="365"/>
        <v>-18</v>
      </c>
      <c r="AT144" s="33">
        <f t="shared" si="365"/>
        <v>-18</v>
      </c>
      <c r="AU144" s="33">
        <f t="shared" si="365"/>
        <v>0</v>
      </c>
      <c r="AY144" s="1"/>
      <c r="BY144" s="829"/>
      <c r="BZ144" s="829"/>
      <c r="CA144" s="829"/>
    </row>
    <row r="145" spans="2:79" s="5" customFormat="1" ht="10.5">
      <c r="B145" s="49"/>
      <c r="C145" s="45" t="s">
        <v>381</v>
      </c>
      <c r="D145" s="21"/>
      <c r="E145" s="103">
        <f>E142+E144</f>
        <v>174</v>
      </c>
      <c r="F145" s="103">
        <f t="shared" ref="F145:R145" si="366">F142+F144</f>
        <v>174</v>
      </c>
      <c r="G145" s="103">
        <f t="shared" si="366"/>
        <v>169</v>
      </c>
      <c r="H145" s="103">
        <f t="shared" si="366"/>
        <v>163</v>
      </c>
      <c r="I145" s="103">
        <f t="shared" si="366"/>
        <v>179</v>
      </c>
      <c r="J145" s="103">
        <f t="shared" si="366"/>
        <v>181</v>
      </c>
      <c r="K145" s="103">
        <f t="shared" si="366"/>
        <v>180</v>
      </c>
      <c r="L145" s="103">
        <f t="shared" si="366"/>
        <v>189</v>
      </c>
      <c r="M145" s="103">
        <f t="shared" si="366"/>
        <v>187</v>
      </c>
      <c r="N145" s="103">
        <f t="shared" si="366"/>
        <v>186</v>
      </c>
      <c r="O145" s="103">
        <f t="shared" si="366"/>
        <v>174</v>
      </c>
      <c r="P145" s="103">
        <f t="shared" si="366"/>
        <v>167</v>
      </c>
      <c r="Q145" s="103">
        <f t="shared" si="366"/>
        <v>187</v>
      </c>
      <c r="R145" s="103">
        <f t="shared" si="366"/>
        <v>165</v>
      </c>
      <c r="S145" s="103">
        <f>S142+S144</f>
        <v>163</v>
      </c>
      <c r="T145" s="103">
        <f t="shared" ref="T145:AC145" si="367">T142+T144</f>
        <v>176</v>
      </c>
      <c r="U145" s="103">
        <f>U142+U144</f>
        <v>160</v>
      </c>
      <c r="V145" s="103">
        <f t="shared" si="367"/>
        <v>155</v>
      </c>
      <c r="W145" s="103">
        <f t="shared" si="367"/>
        <v>165</v>
      </c>
      <c r="X145" s="103">
        <f t="shared" si="367"/>
        <v>174</v>
      </c>
      <c r="Y145" s="103">
        <f t="shared" si="367"/>
        <v>184</v>
      </c>
      <c r="Z145" s="103">
        <f t="shared" si="367"/>
        <v>202</v>
      </c>
      <c r="AA145" s="103">
        <f t="shared" si="367"/>
        <v>193</v>
      </c>
      <c r="AB145" s="103">
        <f t="shared" si="367"/>
        <v>198</v>
      </c>
      <c r="AC145" s="103">
        <f t="shared" si="367"/>
        <v>187</v>
      </c>
      <c r="AD145" s="103">
        <f t="shared" ref="AD145:AF145" si="368">AD142+AD144</f>
        <v>183</v>
      </c>
      <c r="AE145" s="103">
        <f t="shared" si="368"/>
        <v>169</v>
      </c>
      <c r="AF145" s="103">
        <f t="shared" si="368"/>
        <v>169</v>
      </c>
      <c r="AG145" s="103">
        <f t="shared" ref="AG145" si="369">AG142+AG144</f>
        <v>191</v>
      </c>
      <c r="AH145" s="103">
        <f t="shared" ref="AH145:AJ145" si="370">AH147*AH11</f>
        <v>208.30347999999998</v>
      </c>
      <c r="AI145" s="103">
        <f t="shared" si="370"/>
        <v>207.74753999999999</v>
      </c>
      <c r="AJ145" s="103">
        <f t="shared" si="370"/>
        <v>185.09106</v>
      </c>
      <c r="AK145" s="79"/>
      <c r="AL145" s="103">
        <f t="shared" ref="AL145:AT145" si="371">AL142+AL144</f>
        <v>652</v>
      </c>
      <c r="AM145" s="103">
        <f t="shared" si="371"/>
        <v>725</v>
      </c>
      <c r="AN145" s="103">
        <f t="shared" si="371"/>
        <v>680</v>
      </c>
      <c r="AO145" s="103">
        <f t="shared" si="371"/>
        <v>729</v>
      </c>
      <c r="AP145" s="103">
        <f t="shared" si="371"/>
        <v>714</v>
      </c>
      <c r="AQ145" s="103">
        <f t="shared" si="371"/>
        <v>691</v>
      </c>
      <c r="AR145" s="103">
        <f t="shared" si="371"/>
        <v>654</v>
      </c>
      <c r="AS145" s="103">
        <f t="shared" si="371"/>
        <v>777</v>
      </c>
      <c r="AT145" s="103">
        <f t="shared" si="371"/>
        <v>708</v>
      </c>
      <c r="AU145" s="103">
        <f t="shared" ref="AU145" si="372">AU142+AU144</f>
        <v>792.14207999999996</v>
      </c>
      <c r="AV145" s="103">
        <f>AV147*AV11</f>
        <v>762.55175519999989</v>
      </c>
      <c r="AW145" s="103">
        <f>AW147*AW11</f>
        <v>785.68558178399996</v>
      </c>
      <c r="AX145" s="103">
        <f>AX147*AX11</f>
        <v>805.6652479815599</v>
      </c>
      <c r="AY145" s="1"/>
      <c r="BY145" s="829"/>
      <c r="BZ145" s="829"/>
      <c r="CA145" s="829"/>
    </row>
    <row r="146" spans="2:79" ht="11.25" customHeight="1" outlineLevel="1">
      <c r="C146" s="93" t="s">
        <v>358</v>
      </c>
      <c r="E146" s="46"/>
      <c r="F146" s="46"/>
      <c r="G146" s="46"/>
      <c r="H146" s="46"/>
      <c r="I146" s="94">
        <f t="shared" ref="I146:AC146" si="373">IFERROR(I145/E145-1,"NA  ")</f>
        <v>2.8735632183908066E-2</v>
      </c>
      <c r="J146" s="94">
        <f t="shared" si="373"/>
        <v>4.022988505747116E-2</v>
      </c>
      <c r="K146" s="94">
        <f t="shared" si="373"/>
        <v>6.5088757396449815E-2</v>
      </c>
      <c r="L146" s="94">
        <f t="shared" si="373"/>
        <v>0.1595092024539877</v>
      </c>
      <c r="M146" s="94">
        <f t="shared" si="373"/>
        <v>4.4692737430167551E-2</v>
      </c>
      <c r="N146" s="94">
        <f t="shared" si="373"/>
        <v>2.7624309392265234E-2</v>
      </c>
      <c r="O146" s="94">
        <f t="shared" si="373"/>
        <v>-3.3333333333333326E-2</v>
      </c>
      <c r="P146" s="94">
        <f t="shared" si="373"/>
        <v>-0.1164021164021164</v>
      </c>
      <c r="Q146" s="94">
        <f t="shared" si="373"/>
        <v>0</v>
      </c>
      <c r="R146" s="94">
        <f t="shared" si="373"/>
        <v>-0.11290322580645162</v>
      </c>
      <c r="S146" s="94">
        <f t="shared" si="373"/>
        <v>-6.3218390804597679E-2</v>
      </c>
      <c r="T146" s="94">
        <f t="shared" si="373"/>
        <v>5.3892215568862367E-2</v>
      </c>
      <c r="U146" s="94">
        <f t="shared" si="373"/>
        <v>-0.14438502673796794</v>
      </c>
      <c r="V146" s="94">
        <f t="shared" si="373"/>
        <v>-6.0606060606060552E-2</v>
      </c>
      <c r="W146" s="94">
        <f t="shared" si="373"/>
        <v>1.2269938650306678E-2</v>
      </c>
      <c r="X146" s="94">
        <f t="shared" si="373"/>
        <v>-1.1363636363636354E-2</v>
      </c>
      <c r="Y146" s="94">
        <f t="shared" si="373"/>
        <v>0.14999999999999991</v>
      </c>
      <c r="Z146" s="94">
        <f t="shared" si="373"/>
        <v>0.3032258064516129</v>
      </c>
      <c r="AA146" s="94">
        <f t="shared" si="373"/>
        <v>0.16969696969696968</v>
      </c>
      <c r="AB146" s="94">
        <f t="shared" si="373"/>
        <v>0.13793103448275867</v>
      </c>
      <c r="AC146" s="94">
        <f t="shared" si="373"/>
        <v>1.6304347826086918E-2</v>
      </c>
      <c r="AD146" s="94">
        <f t="shared" ref="AD146" si="374">IFERROR(AD145/Z145-1,"NA  ")</f>
        <v>-9.4059405940594032E-2</v>
      </c>
      <c r="AE146" s="94">
        <f t="shared" ref="AE146" si="375">IFERROR(AE145/AA145-1,"NA  ")</f>
        <v>-0.12435233160621761</v>
      </c>
      <c r="AF146" s="94">
        <f t="shared" ref="AF146:AG146" si="376">IFERROR(AF145/AB145-1,"NA  ")</f>
        <v>-0.14646464646464652</v>
      </c>
      <c r="AG146" s="94">
        <f t="shared" si="376"/>
        <v>2.1390374331550888E-2</v>
      </c>
      <c r="AH146" s="94">
        <f t="shared" ref="AH146" si="377">IFERROR(AH145/AD145-1,"NA  ")</f>
        <v>0.13827038251366108</v>
      </c>
      <c r="AI146" s="94">
        <f t="shared" ref="AI146" si="378">IFERROR(AI145/AE145-1,"NA  ")</f>
        <v>0.22927538461538455</v>
      </c>
      <c r="AJ146" s="94">
        <f t="shared" ref="AJ146" si="379">IFERROR(AJ145/AF145-1,"NA  ")</f>
        <v>9.521337278106512E-2</v>
      </c>
      <c r="AK146" s="79"/>
      <c r="AL146" s="96"/>
      <c r="AM146" s="95">
        <f t="shared" ref="AM146:AX146" si="380">IFERROR(AM145/AL145-1,"NA  ")</f>
        <v>0.11196319018404899</v>
      </c>
      <c r="AN146" s="95">
        <f t="shared" si="380"/>
        <v>-6.2068965517241392E-2</v>
      </c>
      <c r="AO146" s="95">
        <f t="shared" si="380"/>
        <v>7.2058823529411731E-2</v>
      </c>
      <c r="AP146" s="95">
        <f t="shared" si="380"/>
        <v>-2.0576131687242816E-2</v>
      </c>
      <c r="AQ146" s="95">
        <f t="shared" si="380"/>
        <v>-3.2212885154061621E-2</v>
      </c>
      <c r="AR146" s="95">
        <f t="shared" si="380"/>
        <v>-5.3545586107091148E-2</v>
      </c>
      <c r="AS146" s="95">
        <f t="shared" si="380"/>
        <v>0.18807339449541294</v>
      </c>
      <c r="AT146" s="95">
        <f t="shared" si="380"/>
        <v>-8.8803088803088848E-2</v>
      </c>
      <c r="AU146" s="95">
        <f t="shared" si="380"/>
        <v>0.11884474576271176</v>
      </c>
      <c r="AV146" s="95">
        <f t="shared" si="380"/>
        <v>-3.7354819983809073E-2</v>
      </c>
      <c r="AW146" s="95">
        <f t="shared" si="380"/>
        <v>3.0337385529894512E-2</v>
      </c>
      <c r="AX146" s="95">
        <f t="shared" si="380"/>
        <v>2.5429595070579625E-2</v>
      </c>
    </row>
    <row r="147" spans="2:79" s="5" customFormat="1" ht="10.5" outlineLevel="1">
      <c r="B147" s="49"/>
      <c r="C147" s="122" t="s">
        <v>638</v>
      </c>
      <c r="D147" s="21"/>
      <c r="E147" s="406">
        <f t="shared" ref="E147:S147" si="381">IFERROR(E145/E11,"NA  ")</f>
        <v>7.7817531305903395E-2</v>
      </c>
      <c r="F147" s="406">
        <f t="shared" si="381"/>
        <v>7.575097953852851E-2</v>
      </c>
      <c r="G147" s="406">
        <f t="shared" si="381"/>
        <v>7.3895933537385217E-2</v>
      </c>
      <c r="H147" s="406">
        <f t="shared" si="381"/>
        <v>7.4497257769652644E-2</v>
      </c>
      <c r="I147" s="406">
        <f t="shared" si="381"/>
        <v>7.772470690403821E-2</v>
      </c>
      <c r="J147" s="406">
        <f t="shared" si="381"/>
        <v>7.4824307565109549E-2</v>
      </c>
      <c r="K147" s="406">
        <f t="shared" si="381"/>
        <v>7.3022312373225151E-2</v>
      </c>
      <c r="L147" s="406">
        <f t="shared" si="381"/>
        <v>8.0016934801016085E-2</v>
      </c>
      <c r="M147" s="406">
        <f t="shared" si="381"/>
        <v>7.1729957805907171E-2</v>
      </c>
      <c r="N147" s="406">
        <f t="shared" si="381"/>
        <v>7.0965280427317812E-2</v>
      </c>
      <c r="O147" s="406">
        <f t="shared" si="381"/>
        <v>6.8315665488810365E-2</v>
      </c>
      <c r="P147" s="406">
        <f t="shared" si="381"/>
        <v>7.0286195286195285E-2</v>
      </c>
      <c r="Q147" s="406">
        <f t="shared" si="381"/>
        <v>7.857142857142857E-2</v>
      </c>
      <c r="R147" s="406">
        <f t="shared" si="381"/>
        <v>6.9826491747778247E-2</v>
      </c>
      <c r="S147" s="406">
        <f t="shared" si="381"/>
        <v>7.0107526881720436E-2</v>
      </c>
      <c r="T147" s="406">
        <f t="shared" ref="T147:AC147" si="382">IFERROR(T145/T11,"NA  ")</f>
        <v>7.9818594104308388E-2</v>
      </c>
      <c r="U147" s="406">
        <f>IFERROR(U145/U11,"NA  ")</f>
        <v>7.1396697902722003E-2</v>
      </c>
      <c r="V147" s="406">
        <f t="shared" si="382"/>
        <v>8.0561330561330566E-2</v>
      </c>
      <c r="W147" s="406">
        <f t="shared" si="382"/>
        <v>7.7756833176248819E-2</v>
      </c>
      <c r="X147" s="406">
        <f t="shared" si="382"/>
        <v>7.9597438243366875E-2</v>
      </c>
      <c r="Y147" s="406">
        <f t="shared" si="382"/>
        <v>7.6380240763802412E-2</v>
      </c>
      <c r="Z147" s="406">
        <f t="shared" si="382"/>
        <v>7.6140218620429703E-2</v>
      </c>
      <c r="AA147" s="406">
        <f t="shared" si="382"/>
        <v>7.0955882352941174E-2</v>
      </c>
      <c r="AB147" s="406">
        <f t="shared" si="382"/>
        <v>7.3496659242761692E-2</v>
      </c>
      <c r="AC147" s="406">
        <f t="shared" si="382"/>
        <v>6.890198968312454E-2</v>
      </c>
      <c r="AD147" s="406">
        <f t="shared" ref="AD147:AF147" si="383">IFERROR(AD145/AD11,"NA  ")</f>
        <v>6.5732758620689655E-2</v>
      </c>
      <c r="AE147" s="406">
        <f t="shared" si="383"/>
        <v>6.2384643779992616E-2</v>
      </c>
      <c r="AF147" s="406">
        <f t="shared" si="383"/>
        <v>7.1217867678044666E-2</v>
      </c>
      <c r="AG147" s="406">
        <f t="shared" ref="AG147" si="384">IFERROR(AG145/AG11,"NA  ")</f>
        <v>7.9187396351575456E-2</v>
      </c>
      <c r="AH147" s="407">
        <f>Assumptions!AH135</f>
        <v>7.6999999999999999E-2</v>
      </c>
      <c r="AI147" s="407">
        <f>Assumptions!AI135</f>
        <v>7.6999999999999999E-2</v>
      </c>
      <c r="AJ147" s="407">
        <f>Assumptions!AJ135</f>
        <v>7.6999999999999999E-2</v>
      </c>
      <c r="AK147" s="79"/>
      <c r="AL147" s="406">
        <f t="shared" ref="AL147:AR147" si="385">IFERROR(AL145/AL11,"NA  ")</f>
        <v>6.8437073580350588E-2</v>
      </c>
      <c r="AM147" s="406">
        <f t="shared" si="385"/>
        <v>7.5145107794361524E-2</v>
      </c>
      <c r="AN147" s="406">
        <f t="shared" si="385"/>
        <v>7.548845470692718E-2</v>
      </c>
      <c r="AO147" s="406">
        <f t="shared" si="385"/>
        <v>7.6343072573044304E-2</v>
      </c>
      <c r="AP147" s="406">
        <f t="shared" si="385"/>
        <v>7.0337897744064626E-2</v>
      </c>
      <c r="AQ147" s="406">
        <f t="shared" si="385"/>
        <v>7.4517416154426835E-2</v>
      </c>
      <c r="AR147" s="406">
        <f t="shared" si="385"/>
        <v>7.7186356662339195E-2</v>
      </c>
      <c r="AS147" s="406">
        <f>IFERROR(AS145/AS11,"NA  ")</f>
        <v>7.4169530355097366E-2</v>
      </c>
      <c r="AT147" s="406">
        <f>IFERROR(AT145/AT11,"NA  ")</f>
        <v>6.691871455576559E-2</v>
      </c>
      <c r="AU147" s="406">
        <f>IFERROR(AU145/AU11,"NA  ")</f>
        <v>7.7516291158465006E-2</v>
      </c>
      <c r="AV147" s="407">
        <f>Assumptions!AV135</f>
        <v>7.1999999999999995E-2</v>
      </c>
      <c r="AW147" s="407">
        <f>Assumptions!AW135</f>
        <v>7.1999999999999995E-2</v>
      </c>
      <c r="AX147" s="407">
        <f>Assumptions!AX135</f>
        <v>7.1999999999999995E-2</v>
      </c>
      <c r="AY147" s="1"/>
      <c r="BY147" s="829"/>
      <c r="BZ147" s="829"/>
      <c r="CA147" s="829"/>
    </row>
    <row r="148" spans="2:79" s="5" customFormat="1" ht="5.2" customHeight="1" outlineLevel="1">
      <c r="B148" s="49"/>
      <c r="C148" s="36"/>
      <c r="D148" s="21"/>
      <c r="AK148" s="79"/>
      <c r="AY148" s="1"/>
      <c r="BY148" s="829"/>
      <c r="BZ148" s="829"/>
      <c r="CA148" s="829"/>
    </row>
    <row r="149" spans="2:79" s="5" customFormat="1" ht="10.5">
      <c r="B149" s="49"/>
      <c r="C149" s="43" t="s">
        <v>22</v>
      </c>
      <c r="D149" s="21"/>
      <c r="E149" s="5">
        <f t="shared" ref="E149:S149" si="386">E26</f>
        <v>54</v>
      </c>
      <c r="F149" s="5">
        <f t="shared" si="386"/>
        <v>55</v>
      </c>
      <c r="G149" s="5">
        <f t="shared" si="386"/>
        <v>54</v>
      </c>
      <c r="H149" s="5">
        <f t="shared" si="386"/>
        <v>56</v>
      </c>
      <c r="I149" s="5">
        <f t="shared" si="386"/>
        <v>57</v>
      </c>
      <c r="J149" s="5">
        <f t="shared" si="386"/>
        <v>58</v>
      </c>
      <c r="K149" s="5">
        <f t="shared" si="386"/>
        <v>59</v>
      </c>
      <c r="L149" s="5">
        <f t="shared" si="386"/>
        <v>53</v>
      </c>
      <c r="M149" s="5">
        <f t="shared" si="386"/>
        <v>56</v>
      </c>
      <c r="N149" s="5">
        <f t="shared" si="386"/>
        <v>60</v>
      </c>
      <c r="O149" s="5">
        <f t="shared" si="386"/>
        <v>60</v>
      </c>
      <c r="P149" s="5">
        <f t="shared" si="386"/>
        <v>59</v>
      </c>
      <c r="Q149" s="5">
        <f t="shared" si="386"/>
        <v>58</v>
      </c>
      <c r="R149" s="5">
        <f t="shared" si="386"/>
        <v>57</v>
      </c>
      <c r="S149" s="5">
        <f t="shared" si="386"/>
        <v>59</v>
      </c>
      <c r="T149" s="5">
        <f t="shared" ref="T149:AC149" si="387">T26</f>
        <v>60</v>
      </c>
      <c r="U149" s="5">
        <f>U26</f>
        <v>61</v>
      </c>
      <c r="V149" s="5">
        <f t="shared" si="387"/>
        <v>52</v>
      </c>
      <c r="W149" s="5">
        <f t="shared" si="387"/>
        <v>56</v>
      </c>
      <c r="X149" s="5">
        <f t="shared" si="387"/>
        <v>57</v>
      </c>
      <c r="Y149" s="5">
        <f t="shared" si="387"/>
        <v>58</v>
      </c>
      <c r="Z149" s="5">
        <f t="shared" si="387"/>
        <v>63</v>
      </c>
      <c r="AA149" s="5">
        <f t="shared" si="387"/>
        <v>66</v>
      </c>
      <c r="AB149" s="5">
        <f t="shared" si="387"/>
        <v>67</v>
      </c>
      <c r="AC149" s="5">
        <f t="shared" si="387"/>
        <v>65</v>
      </c>
      <c r="AD149" s="5">
        <f t="shared" ref="AD149:AF149" si="388">AD26</f>
        <v>67</v>
      </c>
      <c r="AE149" s="5">
        <f t="shared" si="388"/>
        <v>68</v>
      </c>
      <c r="AF149" s="5">
        <f t="shared" si="388"/>
        <v>64</v>
      </c>
      <c r="AG149" s="5">
        <f t="shared" ref="AG149" si="389">AG26</f>
        <v>62</v>
      </c>
      <c r="AH149" s="5">
        <f t="shared" ref="AH149:AJ149" si="390">AH152-AH151</f>
        <v>64.925759999999997</v>
      </c>
      <c r="AI149" s="5">
        <f t="shared" si="390"/>
        <v>64.752480000000006</v>
      </c>
      <c r="AJ149" s="5">
        <f t="shared" si="390"/>
        <v>57.690720000000006</v>
      </c>
      <c r="AK149" s="79"/>
      <c r="AL149" s="5">
        <f>AL26</f>
        <v>227</v>
      </c>
      <c r="AM149" s="5">
        <f>AM26</f>
        <v>242</v>
      </c>
      <c r="AN149" s="33">
        <f t="shared" ref="AN149:AU149" si="391">SUMIF($E$6:$AK$6,AN$6,$E149:$AK149)</f>
        <v>219</v>
      </c>
      <c r="AO149" s="33">
        <f t="shared" si="391"/>
        <v>227</v>
      </c>
      <c r="AP149" s="33">
        <f t="shared" si="391"/>
        <v>235</v>
      </c>
      <c r="AQ149" s="33">
        <f t="shared" si="391"/>
        <v>234</v>
      </c>
      <c r="AR149" s="33">
        <f t="shared" si="391"/>
        <v>226</v>
      </c>
      <c r="AS149" s="33">
        <f t="shared" si="391"/>
        <v>254</v>
      </c>
      <c r="AT149" s="33">
        <f t="shared" si="391"/>
        <v>264</v>
      </c>
      <c r="AU149" s="33">
        <f t="shared" si="391"/>
        <v>249.36896000000002</v>
      </c>
      <c r="AV149" s="5">
        <f>AV152-AV151</f>
        <v>264.77491499999996</v>
      </c>
      <c r="AW149" s="5">
        <f>AW152-AW151</f>
        <v>272.80749367500005</v>
      </c>
      <c r="AX149" s="5">
        <f>AX152-AX151</f>
        <v>279.744877771375</v>
      </c>
      <c r="AY149" s="1"/>
      <c r="BY149" s="829"/>
      <c r="BZ149" s="829"/>
      <c r="CA149" s="829"/>
    </row>
    <row r="150" spans="2:79" s="5" customFormat="1" ht="5.2" customHeight="1">
      <c r="B150" s="49"/>
      <c r="C150" s="109"/>
      <c r="D150" s="21"/>
      <c r="AK150" s="79"/>
      <c r="AY150" s="1"/>
      <c r="BY150" s="829"/>
      <c r="BZ150" s="829"/>
      <c r="CA150" s="829"/>
    </row>
    <row r="151" spans="2:79" s="5" customFormat="1" ht="10.5">
      <c r="B151" s="49"/>
      <c r="C151" s="51" t="s">
        <v>97</v>
      </c>
      <c r="D151" s="21"/>
      <c r="E151" s="52">
        <v>0</v>
      </c>
      <c r="F151" s="52">
        <v>0</v>
      </c>
      <c r="G151" s="52">
        <v>0</v>
      </c>
      <c r="H151" s="52">
        <v>-5</v>
      </c>
      <c r="I151" s="52">
        <v>0</v>
      </c>
      <c r="J151" s="52">
        <v>0</v>
      </c>
      <c r="K151" s="52">
        <v>0</v>
      </c>
      <c r="L151" s="52">
        <v>0</v>
      </c>
      <c r="M151" s="52">
        <v>0</v>
      </c>
      <c r="N151" s="52">
        <v>0</v>
      </c>
      <c r="O151" s="52">
        <v>0</v>
      </c>
      <c r="P151" s="52">
        <v>0</v>
      </c>
      <c r="Q151" s="52">
        <v>0</v>
      </c>
      <c r="R151" s="52">
        <v>0</v>
      </c>
      <c r="S151" s="52">
        <v>0</v>
      </c>
      <c r="T151" s="52">
        <v>0</v>
      </c>
      <c r="U151" s="52">
        <v>0</v>
      </c>
      <c r="V151" s="52">
        <v>0</v>
      </c>
      <c r="W151" s="52">
        <v>0</v>
      </c>
      <c r="X151" s="52">
        <v>0</v>
      </c>
      <c r="Y151" s="52">
        <v>0</v>
      </c>
      <c r="Z151" s="52">
        <v>0</v>
      </c>
      <c r="AA151" s="52">
        <v>0</v>
      </c>
      <c r="AB151" s="52">
        <v>0</v>
      </c>
      <c r="AC151" s="52">
        <v>0</v>
      </c>
      <c r="AD151" s="52">
        <v>0</v>
      </c>
      <c r="AE151" s="52">
        <v>0</v>
      </c>
      <c r="AF151" s="52">
        <v>0</v>
      </c>
      <c r="AG151" s="52">
        <v>0</v>
      </c>
      <c r="AH151" s="5">
        <v>0</v>
      </c>
      <c r="AI151" s="5">
        <v>0</v>
      </c>
      <c r="AJ151" s="5">
        <v>0</v>
      </c>
      <c r="AK151" s="79"/>
      <c r="AL151" s="52">
        <v>-7</v>
      </c>
      <c r="AM151" s="52">
        <v>-13</v>
      </c>
      <c r="AN151" s="33">
        <f t="shared" ref="AN151:AU151" si="392">SUMIF($E$6:$AK$6,AN$6,$E151:$AK151)</f>
        <v>-5</v>
      </c>
      <c r="AO151" s="33">
        <f t="shared" si="392"/>
        <v>0</v>
      </c>
      <c r="AP151" s="33">
        <f t="shared" si="392"/>
        <v>0</v>
      </c>
      <c r="AQ151" s="33">
        <f t="shared" si="392"/>
        <v>0</v>
      </c>
      <c r="AR151" s="33">
        <f t="shared" si="392"/>
        <v>0</v>
      </c>
      <c r="AS151" s="33">
        <f t="shared" si="392"/>
        <v>0</v>
      </c>
      <c r="AT151" s="33">
        <f t="shared" si="392"/>
        <v>0</v>
      </c>
      <c r="AU151" s="33">
        <f t="shared" si="392"/>
        <v>0</v>
      </c>
      <c r="AV151" s="5">
        <v>0</v>
      </c>
      <c r="AW151" s="5">
        <v>0</v>
      </c>
      <c r="AX151" s="5">
        <v>0</v>
      </c>
      <c r="AY151" s="1"/>
      <c r="BY151" s="829"/>
      <c r="BZ151" s="829"/>
      <c r="CA151" s="829"/>
    </row>
    <row r="152" spans="2:79" s="5" customFormat="1" ht="10.5">
      <c r="B152" s="49"/>
      <c r="C152" s="45" t="s">
        <v>382</v>
      </c>
      <c r="D152" s="21"/>
      <c r="E152" s="103">
        <f>E149+E151</f>
        <v>54</v>
      </c>
      <c r="F152" s="103">
        <f t="shared" ref="F152:R152" si="393">F149+F151</f>
        <v>55</v>
      </c>
      <c r="G152" s="103">
        <f t="shared" si="393"/>
        <v>54</v>
      </c>
      <c r="H152" s="103">
        <f t="shared" si="393"/>
        <v>51</v>
      </c>
      <c r="I152" s="103">
        <f t="shared" si="393"/>
        <v>57</v>
      </c>
      <c r="J152" s="103">
        <f t="shared" si="393"/>
        <v>58</v>
      </c>
      <c r="K152" s="103">
        <f t="shared" si="393"/>
        <v>59</v>
      </c>
      <c r="L152" s="103">
        <f t="shared" si="393"/>
        <v>53</v>
      </c>
      <c r="M152" s="103">
        <f t="shared" si="393"/>
        <v>56</v>
      </c>
      <c r="N152" s="103">
        <f t="shared" si="393"/>
        <v>60</v>
      </c>
      <c r="O152" s="103">
        <f t="shared" si="393"/>
        <v>60</v>
      </c>
      <c r="P152" s="103">
        <f t="shared" si="393"/>
        <v>59</v>
      </c>
      <c r="Q152" s="103">
        <f t="shared" si="393"/>
        <v>58</v>
      </c>
      <c r="R152" s="103">
        <f t="shared" si="393"/>
        <v>57</v>
      </c>
      <c r="S152" s="103">
        <f>S149+S151</f>
        <v>59</v>
      </c>
      <c r="T152" s="103">
        <f t="shared" ref="T152:AC152" si="394">T149+T151</f>
        <v>60</v>
      </c>
      <c r="U152" s="103">
        <f>U149+U151</f>
        <v>61</v>
      </c>
      <c r="V152" s="103">
        <f t="shared" si="394"/>
        <v>52</v>
      </c>
      <c r="W152" s="103">
        <f t="shared" si="394"/>
        <v>56</v>
      </c>
      <c r="X152" s="103">
        <f t="shared" si="394"/>
        <v>57</v>
      </c>
      <c r="Y152" s="103">
        <f t="shared" si="394"/>
        <v>58</v>
      </c>
      <c r="Z152" s="103">
        <f t="shared" si="394"/>
        <v>63</v>
      </c>
      <c r="AA152" s="103">
        <f t="shared" si="394"/>
        <v>66</v>
      </c>
      <c r="AB152" s="103">
        <f t="shared" si="394"/>
        <v>67</v>
      </c>
      <c r="AC152" s="103">
        <f t="shared" si="394"/>
        <v>65</v>
      </c>
      <c r="AD152" s="103">
        <f t="shared" ref="AD152:AF152" si="395">AD149+AD151</f>
        <v>67</v>
      </c>
      <c r="AE152" s="103">
        <f t="shared" si="395"/>
        <v>68</v>
      </c>
      <c r="AF152" s="103">
        <f t="shared" si="395"/>
        <v>64</v>
      </c>
      <c r="AG152" s="103">
        <f t="shared" ref="AG152" si="396">AG149+AG151</f>
        <v>62</v>
      </c>
      <c r="AH152" s="103">
        <f t="shared" ref="AH152:AJ152" si="397">AH154*AH11</f>
        <v>64.925759999999997</v>
      </c>
      <c r="AI152" s="103">
        <f t="shared" si="397"/>
        <v>64.752480000000006</v>
      </c>
      <c r="AJ152" s="103">
        <f t="shared" si="397"/>
        <v>57.690720000000006</v>
      </c>
      <c r="AK152" s="79"/>
      <c r="AL152" s="103">
        <f t="shared" ref="AL152:AT152" si="398">AL149+AL151</f>
        <v>220</v>
      </c>
      <c r="AM152" s="103">
        <f t="shared" si="398"/>
        <v>229</v>
      </c>
      <c r="AN152" s="103">
        <f t="shared" si="398"/>
        <v>214</v>
      </c>
      <c r="AO152" s="103">
        <f t="shared" si="398"/>
        <v>227</v>
      </c>
      <c r="AP152" s="103">
        <f t="shared" si="398"/>
        <v>235</v>
      </c>
      <c r="AQ152" s="103">
        <f t="shared" si="398"/>
        <v>234</v>
      </c>
      <c r="AR152" s="103">
        <f t="shared" si="398"/>
        <v>226</v>
      </c>
      <c r="AS152" s="103">
        <f t="shared" si="398"/>
        <v>254</v>
      </c>
      <c r="AT152" s="103">
        <f t="shared" si="398"/>
        <v>264</v>
      </c>
      <c r="AU152" s="103">
        <f t="shared" ref="AU152" si="399">AU149+AU151</f>
        <v>249.36896000000002</v>
      </c>
      <c r="AV152" s="103">
        <f>AV154*AV11</f>
        <v>264.77491499999996</v>
      </c>
      <c r="AW152" s="103">
        <f>AW154*AW11</f>
        <v>272.80749367500005</v>
      </c>
      <c r="AX152" s="103">
        <f>AX154*AX11</f>
        <v>279.744877771375</v>
      </c>
      <c r="AY152" s="1"/>
      <c r="BY152" s="829"/>
      <c r="BZ152" s="829"/>
      <c r="CA152" s="829"/>
    </row>
    <row r="153" spans="2:79" ht="11.25" customHeight="1" outlineLevel="1">
      <c r="C153" s="93" t="s">
        <v>358</v>
      </c>
      <c r="E153" s="46"/>
      <c r="F153" s="46"/>
      <c r="G153" s="46"/>
      <c r="H153" s="46"/>
      <c r="I153" s="94">
        <f t="shared" ref="I153:AC153" si="400">IFERROR(I152/E152-1,"NA  ")</f>
        <v>5.555555555555558E-2</v>
      </c>
      <c r="J153" s="94">
        <f t="shared" si="400"/>
        <v>5.4545454545454453E-2</v>
      </c>
      <c r="K153" s="94">
        <f t="shared" si="400"/>
        <v>9.259259259259256E-2</v>
      </c>
      <c r="L153" s="94">
        <f t="shared" si="400"/>
        <v>3.9215686274509887E-2</v>
      </c>
      <c r="M153" s="94">
        <f t="shared" si="400"/>
        <v>-1.7543859649122862E-2</v>
      </c>
      <c r="N153" s="94">
        <f t="shared" si="400"/>
        <v>3.4482758620689724E-2</v>
      </c>
      <c r="O153" s="94">
        <f t="shared" si="400"/>
        <v>1.6949152542372836E-2</v>
      </c>
      <c r="P153" s="94">
        <f t="shared" si="400"/>
        <v>0.1132075471698113</v>
      </c>
      <c r="Q153" s="94">
        <f t="shared" si="400"/>
        <v>3.5714285714285809E-2</v>
      </c>
      <c r="R153" s="94">
        <f t="shared" si="400"/>
        <v>-5.0000000000000044E-2</v>
      </c>
      <c r="S153" s="94">
        <f t="shared" si="400"/>
        <v>-1.6666666666666718E-2</v>
      </c>
      <c r="T153" s="94">
        <f t="shared" si="400"/>
        <v>1.6949152542372836E-2</v>
      </c>
      <c r="U153" s="94">
        <f t="shared" si="400"/>
        <v>5.1724137931034475E-2</v>
      </c>
      <c r="V153" s="94">
        <f t="shared" si="400"/>
        <v>-8.7719298245614086E-2</v>
      </c>
      <c r="W153" s="94">
        <f t="shared" si="400"/>
        <v>-5.084745762711862E-2</v>
      </c>
      <c r="X153" s="94">
        <f t="shared" si="400"/>
        <v>-5.0000000000000044E-2</v>
      </c>
      <c r="Y153" s="94">
        <f t="shared" si="400"/>
        <v>-4.9180327868852514E-2</v>
      </c>
      <c r="Z153" s="94">
        <f t="shared" si="400"/>
        <v>0.21153846153846145</v>
      </c>
      <c r="AA153" s="94">
        <f t="shared" si="400"/>
        <v>0.1785714285714286</v>
      </c>
      <c r="AB153" s="94">
        <f t="shared" si="400"/>
        <v>0.17543859649122817</v>
      </c>
      <c r="AC153" s="94">
        <f t="shared" si="400"/>
        <v>0.1206896551724137</v>
      </c>
      <c r="AD153" s="94">
        <f t="shared" ref="AD153" si="401">IFERROR(AD152/Z152-1,"NA  ")</f>
        <v>6.3492063492063489E-2</v>
      </c>
      <c r="AE153" s="94">
        <f t="shared" ref="AE153" si="402">IFERROR(AE152/AA152-1,"NA  ")</f>
        <v>3.0303030303030276E-2</v>
      </c>
      <c r="AF153" s="94">
        <f t="shared" ref="AF153:AG153" si="403">IFERROR(AF152/AB152-1,"NA  ")</f>
        <v>-4.4776119402985093E-2</v>
      </c>
      <c r="AG153" s="94">
        <f t="shared" si="403"/>
        <v>-4.6153846153846101E-2</v>
      </c>
      <c r="AH153" s="94">
        <f t="shared" ref="AH153" si="404">IFERROR(AH152/AD152-1,"NA  ")</f>
        <v>-3.0958805970149328E-2</v>
      </c>
      <c r="AI153" s="94">
        <f t="shared" ref="AI153" si="405">IFERROR(AI152/AE152-1,"NA  ")</f>
        <v>-4.775764705882346E-2</v>
      </c>
      <c r="AJ153" s="94">
        <f t="shared" ref="AJ153" si="406">IFERROR(AJ152/AF152-1,"NA  ")</f>
        <v>-9.8582499999999906E-2</v>
      </c>
      <c r="AK153" s="79"/>
      <c r="AL153" s="96"/>
      <c r="AM153" s="95">
        <f t="shared" ref="AM153:AX153" si="407">IFERROR(AM152/AL152-1,"NA  ")</f>
        <v>4.0909090909091006E-2</v>
      </c>
      <c r="AN153" s="95">
        <f t="shared" si="407"/>
        <v>-6.5502183406113579E-2</v>
      </c>
      <c r="AO153" s="95">
        <f t="shared" si="407"/>
        <v>6.0747663551401931E-2</v>
      </c>
      <c r="AP153" s="95">
        <f t="shared" si="407"/>
        <v>3.524229074889873E-2</v>
      </c>
      <c r="AQ153" s="95">
        <f t="shared" si="407"/>
        <v>-4.2553191489361764E-3</v>
      </c>
      <c r="AR153" s="95">
        <f t="shared" si="407"/>
        <v>-3.4188034188034178E-2</v>
      </c>
      <c r="AS153" s="95">
        <f t="shared" si="407"/>
        <v>0.12389380530973448</v>
      </c>
      <c r="AT153" s="95">
        <f t="shared" si="407"/>
        <v>3.937007874015741E-2</v>
      </c>
      <c r="AU153" s="95">
        <f t="shared" si="407"/>
        <v>-5.5420606060605948E-2</v>
      </c>
      <c r="AV153" s="95">
        <f t="shared" si="407"/>
        <v>6.1779762004059879E-2</v>
      </c>
      <c r="AW153" s="95">
        <f t="shared" si="407"/>
        <v>3.0337385529894734E-2</v>
      </c>
      <c r="AX153" s="95">
        <f t="shared" si="407"/>
        <v>2.5429595070579625E-2</v>
      </c>
    </row>
    <row r="154" spans="2:79" s="5" customFormat="1" ht="10.5" outlineLevel="1">
      <c r="B154" s="49"/>
      <c r="C154" s="122" t="s">
        <v>638</v>
      </c>
      <c r="D154" s="21"/>
      <c r="E154" s="406">
        <f t="shared" ref="E154:S154" si="408">IFERROR(E152/E11,"NA  ")</f>
        <v>2.4150268336314847E-2</v>
      </c>
      <c r="F154" s="406">
        <f t="shared" si="408"/>
        <v>2.3944275141488898E-2</v>
      </c>
      <c r="G154" s="406">
        <f t="shared" si="408"/>
        <v>2.3611718408395276E-2</v>
      </c>
      <c r="H154" s="406">
        <f t="shared" si="408"/>
        <v>2.3308957952468009E-2</v>
      </c>
      <c r="I154" s="406">
        <f t="shared" si="408"/>
        <v>2.4750325662179766E-2</v>
      </c>
      <c r="J154" s="406">
        <f t="shared" si="408"/>
        <v>2.3976849937990905E-2</v>
      </c>
      <c r="K154" s="406">
        <f t="shared" si="408"/>
        <v>2.3935091277890466E-2</v>
      </c>
      <c r="L154" s="406">
        <f t="shared" si="408"/>
        <v>2.2438611346316681E-2</v>
      </c>
      <c r="M154" s="406">
        <f t="shared" si="408"/>
        <v>2.1480629075565784E-2</v>
      </c>
      <c r="N154" s="406">
        <f t="shared" si="408"/>
        <v>2.2892025944296072E-2</v>
      </c>
      <c r="O154" s="406">
        <f t="shared" si="408"/>
        <v>2.3557126030624265E-2</v>
      </c>
      <c r="P154" s="406">
        <f t="shared" si="408"/>
        <v>2.4831649831649833E-2</v>
      </c>
      <c r="Q154" s="406">
        <f t="shared" si="408"/>
        <v>2.4369747899159664E-2</v>
      </c>
      <c r="R154" s="406">
        <f t="shared" si="408"/>
        <v>2.4121878967414304E-2</v>
      </c>
      <c r="S154" s="406">
        <f t="shared" si="408"/>
        <v>2.5376344086021504E-2</v>
      </c>
      <c r="T154" s="406">
        <f t="shared" ref="T154:AC154" si="409">IFERROR(T152/T11,"NA  ")</f>
        <v>2.7210884353741496E-2</v>
      </c>
      <c r="U154" s="406">
        <f>IFERROR(U152/U11,"NA  ")</f>
        <v>2.7219991075412762E-2</v>
      </c>
      <c r="V154" s="406">
        <f t="shared" si="409"/>
        <v>2.7027027027027029E-2</v>
      </c>
      <c r="W154" s="406">
        <f t="shared" si="409"/>
        <v>2.6390197926484449E-2</v>
      </c>
      <c r="X154" s="406">
        <f t="shared" si="409"/>
        <v>2.6075022872827081E-2</v>
      </c>
      <c r="Y154" s="406">
        <f t="shared" si="409"/>
        <v>2.4076380240763803E-2</v>
      </c>
      <c r="Z154" s="406">
        <f t="shared" si="409"/>
        <v>2.3746701846965697E-2</v>
      </c>
      <c r="AA154" s="406">
        <f t="shared" si="409"/>
        <v>2.4264705882352942E-2</v>
      </c>
      <c r="AB154" s="406">
        <f t="shared" si="409"/>
        <v>2.4870081662954714E-2</v>
      </c>
      <c r="AC154" s="406">
        <f t="shared" si="409"/>
        <v>2.3949889462048637E-2</v>
      </c>
      <c r="AD154" s="406">
        <f t="shared" ref="AD154:AF154" si="410">IFERROR(AD152/AD11,"NA  ")</f>
        <v>2.4066091954022987E-2</v>
      </c>
      <c r="AE154" s="406">
        <f t="shared" si="410"/>
        <v>2.5101513473606497E-2</v>
      </c>
      <c r="AF154" s="406">
        <f t="shared" si="410"/>
        <v>2.6970080067425201E-2</v>
      </c>
      <c r="AG154" s="406">
        <f t="shared" ref="AG154" si="411">IFERROR(AG152/AG11,"NA  ")</f>
        <v>2.570480928689884E-2</v>
      </c>
      <c r="AH154" s="407">
        <f>Assumptions!AH140</f>
        <v>2.4E-2</v>
      </c>
      <c r="AI154" s="407">
        <f>Assumptions!AI140</f>
        <v>2.4E-2</v>
      </c>
      <c r="AJ154" s="407">
        <f>Assumptions!AJ140</f>
        <v>2.4E-2</v>
      </c>
      <c r="AK154" s="79"/>
      <c r="AL154" s="406">
        <f t="shared" ref="AL154:AR154" si="412">IFERROR(AL152/AL11,"NA  ")</f>
        <v>2.3092264091529337E-2</v>
      </c>
      <c r="AM154" s="406">
        <f t="shared" si="412"/>
        <v>2.3735489220563847E-2</v>
      </c>
      <c r="AN154" s="406">
        <f t="shared" si="412"/>
        <v>2.3756660746003553E-2</v>
      </c>
      <c r="AO154" s="406">
        <f t="shared" si="412"/>
        <v>2.377212273536496E-2</v>
      </c>
      <c r="AP154" s="406">
        <f t="shared" si="412"/>
        <v>2.3150428529208945E-2</v>
      </c>
      <c r="AQ154" s="406">
        <f t="shared" si="412"/>
        <v>2.5234551924943383E-2</v>
      </c>
      <c r="AR154" s="406">
        <f t="shared" si="412"/>
        <v>2.6672961170777765E-2</v>
      </c>
      <c r="AS154" s="406">
        <f>IFERROR(AS152/AS11,"NA  ")</f>
        <v>2.4245895379915998E-2</v>
      </c>
      <c r="AT154" s="406">
        <f>IFERROR(AT152/AT11,"NA  ")</f>
        <v>2.495274102079395E-2</v>
      </c>
      <c r="AU154" s="406">
        <f>IFERROR(AU152/AU11,"NA  ")</f>
        <v>2.4402386134118281E-2</v>
      </c>
      <c r="AV154" s="407">
        <f>Assumptions!AV140</f>
        <v>2.5000000000000001E-2</v>
      </c>
      <c r="AW154" s="407">
        <f>Assumptions!AW140</f>
        <v>2.5000000000000001E-2</v>
      </c>
      <c r="AX154" s="407">
        <f>Assumptions!AX140</f>
        <v>2.5000000000000001E-2</v>
      </c>
      <c r="AY154" s="1"/>
      <c r="BY154" s="829"/>
      <c r="BZ154" s="829"/>
      <c r="CA154" s="829"/>
    </row>
    <row r="155" spans="2:79" s="5" customFormat="1" ht="5.2" customHeight="1" outlineLevel="1">
      <c r="B155" s="49"/>
      <c r="C155" s="51"/>
      <c r="D155" s="21"/>
      <c r="AK155" s="79"/>
      <c r="AY155" s="1"/>
      <c r="BY155" s="829"/>
      <c r="BZ155" s="829"/>
      <c r="CA155" s="829"/>
    </row>
    <row r="156" spans="2:79" s="5" customFormat="1" ht="10.5">
      <c r="B156" s="49"/>
      <c r="C156" s="36" t="s">
        <v>24</v>
      </c>
      <c r="D156" s="21"/>
      <c r="E156" s="5">
        <f t="shared" ref="E156:S156" si="413">E32</f>
        <v>0</v>
      </c>
      <c r="F156" s="5">
        <f t="shared" si="413"/>
        <v>0</v>
      </c>
      <c r="G156" s="5">
        <f t="shared" si="413"/>
        <v>0</v>
      </c>
      <c r="H156" s="5">
        <f t="shared" si="413"/>
        <v>0</v>
      </c>
      <c r="I156" s="5">
        <f t="shared" si="413"/>
        <v>-28</v>
      </c>
      <c r="J156" s="5">
        <f t="shared" si="413"/>
        <v>-30</v>
      </c>
      <c r="K156" s="5">
        <f t="shared" si="413"/>
        <v>-28</v>
      </c>
      <c r="L156" s="5">
        <f t="shared" si="413"/>
        <v>-49</v>
      </c>
      <c r="M156" s="5">
        <f t="shared" si="413"/>
        <v>-30</v>
      </c>
      <c r="N156" s="5">
        <f t="shared" si="413"/>
        <v>-30</v>
      </c>
      <c r="O156" s="5">
        <f t="shared" si="413"/>
        <v>-30</v>
      </c>
      <c r="P156" s="5">
        <f t="shared" si="413"/>
        <v>69</v>
      </c>
      <c r="Q156" s="5">
        <f t="shared" si="413"/>
        <v>-21</v>
      </c>
      <c r="R156" s="5">
        <f t="shared" si="413"/>
        <v>-21</v>
      </c>
      <c r="S156" s="5">
        <f t="shared" si="413"/>
        <v>-20</v>
      </c>
      <c r="T156" s="5">
        <f t="shared" ref="T156:AC156" si="414">T32</f>
        <v>122</v>
      </c>
      <c r="U156" s="5">
        <f>U32</f>
        <v>-30</v>
      </c>
      <c r="V156" s="5">
        <f t="shared" si="414"/>
        <v>-30</v>
      </c>
      <c r="W156" s="5">
        <f t="shared" si="414"/>
        <v>-30</v>
      </c>
      <c r="X156" s="5">
        <f t="shared" si="414"/>
        <v>209</v>
      </c>
      <c r="Y156" s="5">
        <f t="shared" si="414"/>
        <v>-36</v>
      </c>
      <c r="Z156" s="5">
        <f t="shared" si="414"/>
        <v>-37</v>
      </c>
      <c r="AA156" s="5">
        <f t="shared" si="414"/>
        <v>-36</v>
      </c>
      <c r="AB156" s="5">
        <f t="shared" si="414"/>
        <v>-303</v>
      </c>
      <c r="AC156" s="5">
        <f t="shared" si="414"/>
        <v>-31</v>
      </c>
      <c r="AD156" s="5">
        <f t="shared" ref="AD156:AF156" si="415">AD32</f>
        <v>-34</v>
      </c>
      <c r="AE156" s="5">
        <f t="shared" si="415"/>
        <v>-30</v>
      </c>
      <c r="AF156" s="5">
        <f t="shared" si="415"/>
        <v>-6</v>
      </c>
      <c r="AG156" s="5">
        <f t="shared" ref="AG156" si="416">AG32</f>
        <v>-3</v>
      </c>
      <c r="AH156" s="5">
        <f t="shared" ref="AH156:AJ156" si="417">AH32</f>
        <v>0</v>
      </c>
      <c r="AI156" s="5">
        <f t="shared" si="417"/>
        <v>0</v>
      </c>
      <c r="AJ156" s="5">
        <f t="shared" si="417"/>
        <v>0</v>
      </c>
      <c r="AK156" s="79"/>
      <c r="AL156" s="5">
        <f>AL32</f>
        <v>0</v>
      </c>
      <c r="AM156" s="5">
        <f>AM32</f>
        <v>0</v>
      </c>
      <c r="AN156" s="33">
        <f t="shared" ref="AN156:AU156" si="418">SUMIF($E$6:$AK$6,AN$6,$E156:$AK156)</f>
        <v>0</v>
      </c>
      <c r="AO156" s="33">
        <f t="shared" si="418"/>
        <v>-135</v>
      </c>
      <c r="AP156" s="33">
        <f t="shared" si="418"/>
        <v>-21</v>
      </c>
      <c r="AQ156" s="33">
        <f t="shared" si="418"/>
        <v>60</v>
      </c>
      <c r="AR156" s="33">
        <f t="shared" si="418"/>
        <v>119</v>
      </c>
      <c r="AS156" s="33">
        <f t="shared" si="418"/>
        <v>-412</v>
      </c>
      <c r="AT156" s="33">
        <f t="shared" si="418"/>
        <v>-101</v>
      </c>
      <c r="AU156" s="33">
        <f t="shared" si="418"/>
        <v>-3</v>
      </c>
      <c r="AV156" s="5">
        <f>AV32</f>
        <v>0</v>
      </c>
      <c r="AW156" s="5">
        <f>AW32</f>
        <v>0</v>
      </c>
      <c r="AX156" s="5">
        <f>AX32</f>
        <v>0</v>
      </c>
      <c r="AY156" s="1"/>
      <c r="BY156" s="829"/>
      <c r="BZ156" s="829"/>
      <c r="CA156" s="829"/>
    </row>
    <row r="157" spans="2:79" s="5" customFormat="1" ht="5.2" customHeight="1">
      <c r="B157" s="49"/>
      <c r="C157" s="25"/>
      <c r="D157" s="21"/>
      <c r="AK157" s="79"/>
      <c r="AY157" s="1"/>
      <c r="BY157" s="829"/>
      <c r="BZ157" s="829"/>
      <c r="CA157" s="829"/>
    </row>
    <row r="158" spans="2:79" s="5" customFormat="1" ht="10.5">
      <c r="B158" s="49"/>
      <c r="C158" s="51" t="s">
        <v>97</v>
      </c>
      <c r="D158" s="21"/>
      <c r="AK158" s="79"/>
      <c r="AY158" s="1"/>
      <c r="BY158" s="829"/>
      <c r="BZ158" s="829"/>
      <c r="CA158" s="829"/>
    </row>
    <row r="159" spans="2:79" s="5" customFormat="1" ht="10.5">
      <c r="B159" s="49"/>
      <c r="C159" s="43" t="s">
        <v>379</v>
      </c>
      <c r="D159" s="21"/>
      <c r="E159" s="52">
        <v>0</v>
      </c>
      <c r="F159" s="52">
        <v>0</v>
      </c>
      <c r="G159" s="52">
        <v>0</v>
      </c>
      <c r="H159" s="52">
        <v>0</v>
      </c>
      <c r="I159" s="52">
        <v>0</v>
      </c>
      <c r="J159" s="52">
        <v>0</v>
      </c>
      <c r="K159" s="52">
        <v>0</v>
      </c>
      <c r="L159" s="52">
        <v>21</v>
      </c>
      <c r="M159" s="52">
        <v>0</v>
      </c>
      <c r="N159" s="52">
        <v>0</v>
      </c>
      <c r="O159" s="52">
        <v>0</v>
      </c>
      <c r="P159" s="52">
        <v>-99</v>
      </c>
      <c r="Q159" s="52">
        <v>0</v>
      </c>
      <c r="R159" s="52">
        <v>0</v>
      </c>
      <c r="S159" s="52">
        <v>0</v>
      </c>
      <c r="T159" s="52">
        <v>-143</v>
      </c>
      <c r="U159" s="52">
        <v>0</v>
      </c>
      <c r="V159" s="52">
        <v>0</v>
      </c>
      <c r="W159" s="52">
        <v>0</v>
      </c>
      <c r="X159" s="52">
        <v>-240</v>
      </c>
      <c r="Y159" s="52">
        <v>0</v>
      </c>
      <c r="Z159" s="52">
        <v>0</v>
      </c>
      <c r="AA159" s="52">
        <v>0</v>
      </c>
      <c r="AB159" s="52">
        <v>267</v>
      </c>
      <c r="AC159" s="52">
        <v>0</v>
      </c>
      <c r="AD159" s="52">
        <v>3</v>
      </c>
      <c r="AE159" s="52">
        <v>0</v>
      </c>
      <c r="AF159" s="52">
        <v>-22</v>
      </c>
      <c r="AG159" s="52">
        <v>0</v>
      </c>
      <c r="AH159" s="5">
        <v>0</v>
      </c>
      <c r="AI159" s="5">
        <v>0</v>
      </c>
      <c r="AJ159" s="5">
        <v>0</v>
      </c>
      <c r="AK159" s="79"/>
      <c r="AL159" s="52">
        <v>0</v>
      </c>
      <c r="AM159" s="52">
        <v>0</v>
      </c>
      <c r="AN159" s="33">
        <f t="shared" ref="AN159:AU159" si="419">SUMIF($E$6:$AK$6,AN$6,$E159:$AK159)</f>
        <v>0</v>
      </c>
      <c r="AO159" s="33">
        <f t="shared" si="419"/>
        <v>21</v>
      </c>
      <c r="AP159" s="33">
        <f t="shared" si="419"/>
        <v>-99</v>
      </c>
      <c r="AQ159" s="33">
        <f t="shared" si="419"/>
        <v>-143</v>
      </c>
      <c r="AR159" s="33">
        <f t="shared" si="419"/>
        <v>-240</v>
      </c>
      <c r="AS159" s="33">
        <f t="shared" si="419"/>
        <v>267</v>
      </c>
      <c r="AT159" s="33">
        <f t="shared" si="419"/>
        <v>-19</v>
      </c>
      <c r="AU159" s="33">
        <f t="shared" si="419"/>
        <v>0</v>
      </c>
      <c r="AY159" s="1"/>
      <c r="BY159" s="829"/>
      <c r="BZ159" s="829"/>
      <c r="CA159" s="829"/>
    </row>
    <row r="160" spans="2:79" s="5" customFormat="1" ht="10.5">
      <c r="B160" s="49"/>
      <c r="C160" s="45" t="s">
        <v>383</v>
      </c>
      <c r="D160" s="21"/>
      <c r="E160" s="102">
        <f>E156+E159</f>
        <v>0</v>
      </c>
      <c r="F160" s="102">
        <f t="shared" ref="F160:S160" si="420">F156+F159</f>
        <v>0</v>
      </c>
      <c r="G160" s="102">
        <f t="shared" si="420"/>
        <v>0</v>
      </c>
      <c r="H160" s="102">
        <f t="shared" si="420"/>
        <v>0</v>
      </c>
      <c r="I160" s="102">
        <f t="shared" si="420"/>
        <v>-28</v>
      </c>
      <c r="J160" s="102">
        <f t="shared" si="420"/>
        <v>-30</v>
      </c>
      <c r="K160" s="102">
        <f t="shared" si="420"/>
        <v>-28</v>
      </c>
      <c r="L160" s="102">
        <f t="shared" si="420"/>
        <v>-28</v>
      </c>
      <c r="M160" s="102">
        <f t="shared" si="420"/>
        <v>-30</v>
      </c>
      <c r="N160" s="102">
        <f t="shared" si="420"/>
        <v>-30</v>
      </c>
      <c r="O160" s="102">
        <f t="shared" si="420"/>
        <v>-30</v>
      </c>
      <c r="P160" s="102">
        <f t="shared" si="420"/>
        <v>-30</v>
      </c>
      <c r="Q160" s="102">
        <f t="shared" si="420"/>
        <v>-21</v>
      </c>
      <c r="R160" s="102">
        <f t="shared" si="420"/>
        <v>-21</v>
      </c>
      <c r="S160" s="102">
        <f t="shared" si="420"/>
        <v>-20</v>
      </c>
      <c r="T160" s="102">
        <f t="shared" ref="T160:AC160" si="421">T156+T159</f>
        <v>-21</v>
      </c>
      <c r="U160" s="102">
        <f>U156+U159</f>
        <v>-30</v>
      </c>
      <c r="V160" s="102">
        <f t="shared" si="421"/>
        <v>-30</v>
      </c>
      <c r="W160" s="102">
        <f t="shared" si="421"/>
        <v>-30</v>
      </c>
      <c r="X160" s="102">
        <f t="shared" si="421"/>
        <v>-31</v>
      </c>
      <c r="Y160" s="102">
        <f t="shared" si="421"/>
        <v>-36</v>
      </c>
      <c r="Z160" s="102">
        <f t="shared" si="421"/>
        <v>-37</v>
      </c>
      <c r="AA160" s="102">
        <f t="shared" si="421"/>
        <v>-36</v>
      </c>
      <c r="AB160" s="102">
        <f t="shared" si="421"/>
        <v>-36</v>
      </c>
      <c r="AC160" s="102">
        <f t="shared" si="421"/>
        <v>-31</v>
      </c>
      <c r="AD160" s="102">
        <f t="shared" ref="AD160:AF160" si="422">AD156+AD159</f>
        <v>-31</v>
      </c>
      <c r="AE160" s="102">
        <f t="shared" si="422"/>
        <v>-30</v>
      </c>
      <c r="AF160" s="102">
        <f t="shared" si="422"/>
        <v>-28</v>
      </c>
      <c r="AG160" s="102">
        <f t="shared" ref="AG160" si="423">AG156+AG159</f>
        <v>-3</v>
      </c>
      <c r="AH160" s="102">
        <f t="shared" ref="AH160:AJ160" si="424">AH156+AH159</f>
        <v>0</v>
      </c>
      <c r="AI160" s="102">
        <f t="shared" si="424"/>
        <v>0</v>
      </c>
      <c r="AJ160" s="102">
        <f t="shared" si="424"/>
        <v>0</v>
      </c>
      <c r="AK160" s="79"/>
      <c r="AL160" s="102">
        <f t="shared" ref="AL160:AW160" si="425">AL156+AL159</f>
        <v>0</v>
      </c>
      <c r="AM160" s="102">
        <f t="shared" si="425"/>
        <v>0</v>
      </c>
      <c r="AN160" s="102">
        <f t="shared" si="425"/>
        <v>0</v>
      </c>
      <c r="AO160" s="102">
        <f t="shared" si="425"/>
        <v>-114</v>
      </c>
      <c r="AP160" s="102">
        <f t="shared" si="425"/>
        <v>-120</v>
      </c>
      <c r="AQ160" s="102">
        <f t="shared" si="425"/>
        <v>-83</v>
      </c>
      <c r="AR160" s="102">
        <f t="shared" si="425"/>
        <v>-121</v>
      </c>
      <c r="AS160" s="102">
        <f t="shared" si="425"/>
        <v>-145</v>
      </c>
      <c r="AT160" s="102">
        <f t="shared" si="425"/>
        <v>-120</v>
      </c>
      <c r="AU160" s="102">
        <f t="shared" ref="AU160" si="426">AU156+AU159</f>
        <v>-3</v>
      </c>
      <c r="AV160" s="102">
        <f t="shared" si="425"/>
        <v>0</v>
      </c>
      <c r="AW160" s="102">
        <f t="shared" si="425"/>
        <v>0</v>
      </c>
      <c r="AX160" s="102">
        <f t="shared" ref="AX160" si="427">AX156+AX159</f>
        <v>0</v>
      </c>
      <c r="AY160" s="1"/>
      <c r="BY160" s="829"/>
      <c r="BZ160" s="829"/>
      <c r="CA160" s="829"/>
    </row>
    <row r="161" spans="2:79" s="5" customFormat="1" ht="10.5">
      <c r="B161" s="49"/>
      <c r="C161" s="109"/>
      <c r="D161" s="21"/>
      <c r="AK161" s="79"/>
      <c r="AY161" s="1"/>
      <c r="BY161" s="829"/>
      <c r="BZ161" s="829"/>
      <c r="CA161" s="829"/>
    </row>
    <row r="162" spans="2:79" s="5" customFormat="1" ht="10.5">
      <c r="B162" s="49"/>
      <c r="C162" s="36" t="s">
        <v>25</v>
      </c>
      <c r="D162" s="21"/>
      <c r="E162" s="128">
        <f>E38</f>
        <v>12</v>
      </c>
      <c r="F162" s="128">
        <f>F38</f>
        <v>-20</v>
      </c>
      <c r="G162" s="128">
        <f>G38</f>
        <v>3</v>
      </c>
      <c r="H162" s="128">
        <f>H38</f>
        <v>-1</v>
      </c>
      <c r="I162" s="5">
        <f t="shared" ref="I162:S162" si="428">I33</f>
        <v>-4</v>
      </c>
      <c r="J162" s="5">
        <f t="shared" si="428"/>
        <v>1</v>
      </c>
      <c r="K162" s="5">
        <f t="shared" si="428"/>
        <v>-4</v>
      </c>
      <c r="L162" s="5">
        <f t="shared" si="428"/>
        <v>11</v>
      </c>
      <c r="M162" s="5">
        <f t="shared" si="428"/>
        <v>-46</v>
      </c>
      <c r="N162" s="5">
        <f t="shared" si="428"/>
        <v>-10</v>
      </c>
      <c r="O162" s="5">
        <f t="shared" si="428"/>
        <v>6</v>
      </c>
      <c r="P162" s="5">
        <f t="shared" si="428"/>
        <v>-3</v>
      </c>
      <c r="Q162" s="5">
        <f t="shared" si="428"/>
        <v>-2</v>
      </c>
      <c r="R162" s="5">
        <f t="shared" si="428"/>
        <v>-1</v>
      </c>
      <c r="S162" s="5">
        <f t="shared" si="428"/>
        <v>3</v>
      </c>
      <c r="T162" s="5">
        <f t="shared" ref="T162:AC162" si="429">T33</f>
        <v>3</v>
      </c>
      <c r="U162" s="5">
        <f t="shared" si="429"/>
        <v>4</v>
      </c>
      <c r="V162" s="5">
        <f t="shared" si="429"/>
        <v>-1</v>
      </c>
      <c r="W162" s="5">
        <f t="shared" si="429"/>
        <v>7</v>
      </c>
      <c r="X162" s="5">
        <f t="shared" si="429"/>
        <v>-2</v>
      </c>
      <c r="Y162" s="5">
        <f t="shared" si="429"/>
        <v>-4</v>
      </c>
      <c r="Z162" s="5">
        <f t="shared" si="429"/>
        <v>-1</v>
      </c>
      <c r="AA162" s="5">
        <f t="shared" si="429"/>
        <v>-6</v>
      </c>
      <c r="AB162" s="5">
        <f t="shared" si="429"/>
        <v>-6</v>
      </c>
      <c r="AC162" s="5">
        <f t="shared" si="429"/>
        <v>-12</v>
      </c>
      <c r="AD162" s="5">
        <f t="shared" ref="AD162:AF162" si="430">AD33</f>
        <v>14</v>
      </c>
      <c r="AE162" s="5">
        <f t="shared" si="430"/>
        <v>1</v>
      </c>
      <c r="AF162" s="5">
        <f t="shared" si="430"/>
        <v>-9</v>
      </c>
      <c r="AG162" s="5">
        <f t="shared" ref="AG162" si="431">AG33</f>
        <v>11</v>
      </c>
      <c r="AH162" s="5">
        <f t="shared" ref="AH162:AJ162" si="432">AH33</f>
        <v>0</v>
      </c>
      <c r="AI162" s="5">
        <f t="shared" si="432"/>
        <v>0</v>
      </c>
      <c r="AJ162" s="5">
        <f t="shared" si="432"/>
        <v>0</v>
      </c>
      <c r="AK162" s="79"/>
      <c r="AL162" s="5">
        <f>AL38</f>
        <v>-15</v>
      </c>
      <c r="AM162" s="5">
        <f>AM38</f>
        <v>-8</v>
      </c>
      <c r="AN162" s="33">
        <f t="shared" ref="AN162:AU162" si="433">SUMIF($E$6:$AK$6,AN$6,$E162:$AK162)</f>
        <v>-6</v>
      </c>
      <c r="AO162" s="33">
        <f t="shared" si="433"/>
        <v>4</v>
      </c>
      <c r="AP162" s="33">
        <f t="shared" si="433"/>
        <v>-53</v>
      </c>
      <c r="AQ162" s="33">
        <f t="shared" si="433"/>
        <v>3</v>
      </c>
      <c r="AR162" s="33">
        <f t="shared" si="433"/>
        <v>8</v>
      </c>
      <c r="AS162" s="33">
        <f t="shared" si="433"/>
        <v>-17</v>
      </c>
      <c r="AT162" s="33">
        <f t="shared" si="433"/>
        <v>-6</v>
      </c>
      <c r="AU162" s="33">
        <f t="shared" si="433"/>
        <v>11</v>
      </c>
      <c r="AV162" s="5">
        <f>AV33</f>
        <v>0</v>
      </c>
      <c r="AW162" s="5">
        <f>AW33</f>
        <v>0</v>
      </c>
      <c r="AX162" s="5">
        <f>AX33</f>
        <v>0</v>
      </c>
      <c r="AY162" s="1"/>
      <c r="BY162" s="829"/>
      <c r="BZ162" s="829"/>
      <c r="CA162" s="829"/>
    </row>
    <row r="163" spans="2:79" s="5" customFormat="1" ht="5.2" customHeight="1">
      <c r="B163" s="49"/>
      <c r="C163" s="109"/>
      <c r="D163" s="21"/>
      <c r="AK163" s="79"/>
      <c r="AY163" s="1"/>
      <c r="BY163" s="829"/>
      <c r="BZ163" s="829"/>
      <c r="CA163" s="829"/>
    </row>
    <row r="164" spans="2:79" s="5" customFormat="1" ht="10.5">
      <c r="B164" s="49"/>
      <c r="C164" s="51" t="s">
        <v>97</v>
      </c>
      <c r="D164" s="21"/>
      <c r="AK164" s="79"/>
      <c r="AY164" s="1"/>
      <c r="BY164" s="829"/>
      <c r="BZ164" s="829"/>
      <c r="CA164" s="829"/>
    </row>
    <row r="165" spans="2:79" s="5" customFormat="1" ht="10.5">
      <c r="B165" s="49"/>
      <c r="C165" s="51" t="s">
        <v>377</v>
      </c>
      <c r="D165" s="21"/>
      <c r="E165" s="52">
        <v>0</v>
      </c>
      <c r="F165" s="52">
        <v>0</v>
      </c>
      <c r="G165" s="52">
        <v>0</v>
      </c>
      <c r="H165" s="52">
        <v>0</v>
      </c>
      <c r="I165" s="52">
        <v>0</v>
      </c>
      <c r="J165" s="52">
        <v>0</v>
      </c>
      <c r="K165" s="52">
        <v>3</v>
      </c>
      <c r="L165" s="52">
        <v>-9</v>
      </c>
      <c r="M165" s="52">
        <v>42</v>
      </c>
      <c r="N165" s="52">
        <v>10</v>
      </c>
      <c r="O165" s="52">
        <v>0</v>
      </c>
      <c r="P165" s="52">
        <v>0</v>
      </c>
      <c r="Q165" s="52">
        <v>0</v>
      </c>
      <c r="R165" s="52">
        <v>0</v>
      </c>
      <c r="S165" s="52">
        <v>0</v>
      </c>
      <c r="T165" s="52">
        <v>0</v>
      </c>
      <c r="U165" s="52">
        <v>0</v>
      </c>
      <c r="V165" s="52">
        <v>0</v>
      </c>
      <c r="W165" s="52">
        <v>0</v>
      </c>
      <c r="X165" s="52">
        <v>0</v>
      </c>
      <c r="Y165" s="52">
        <v>0</v>
      </c>
      <c r="Z165" s="52">
        <v>0</v>
      </c>
      <c r="AA165" s="52">
        <v>0</v>
      </c>
      <c r="AB165" s="52">
        <v>0</v>
      </c>
      <c r="AC165" s="52">
        <v>0</v>
      </c>
      <c r="AD165" s="52">
        <v>-15</v>
      </c>
      <c r="AE165" s="52">
        <v>0</v>
      </c>
      <c r="AF165" s="52">
        <v>6</v>
      </c>
      <c r="AG165" s="52">
        <v>0</v>
      </c>
      <c r="AH165" s="5">
        <v>0</v>
      </c>
      <c r="AI165" s="5">
        <v>0</v>
      </c>
      <c r="AJ165" s="5">
        <v>0</v>
      </c>
      <c r="AK165" s="79"/>
      <c r="AL165" s="52">
        <v>0</v>
      </c>
      <c r="AM165" s="52">
        <v>0</v>
      </c>
      <c r="AN165" s="33">
        <f t="shared" ref="AN165:AU165" si="434">SUMIF($E$6:$AK$6,AN$6,$E165:$AK165)</f>
        <v>0</v>
      </c>
      <c r="AO165" s="33">
        <f t="shared" si="434"/>
        <v>-6</v>
      </c>
      <c r="AP165" s="33">
        <f t="shared" si="434"/>
        <v>52</v>
      </c>
      <c r="AQ165" s="33">
        <f t="shared" si="434"/>
        <v>0</v>
      </c>
      <c r="AR165" s="33">
        <f t="shared" si="434"/>
        <v>0</v>
      </c>
      <c r="AS165" s="33">
        <f t="shared" si="434"/>
        <v>0</v>
      </c>
      <c r="AT165" s="33">
        <f t="shared" si="434"/>
        <v>-9</v>
      </c>
      <c r="AU165" s="33">
        <f t="shared" si="434"/>
        <v>0</v>
      </c>
      <c r="AV165" s="5">
        <v>0</v>
      </c>
      <c r="AW165" s="5">
        <v>0</v>
      </c>
      <c r="AX165" s="5">
        <v>0</v>
      </c>
      <c r="AY165" s="1"/>
      <c r="BY165" s="829"/>
      <c r="BZ165" s="829"/>
      <c r="CA165" s="829"/>
    </row>
    <row r="166" spans="2:79" s="5" customFormat="1" ht="10.5">
      <c r="B166" s="49"/>
      <c r="C166" s="45" t="s">
        <v>384</v>
      </c>
      <c r="D166" s="21"/>
      <c r="E166" s="102">
        <f>E162+E165</f>
        <v>12</v>
      </c>
      <c r="F166" s="102">
        <f t="shared" ref="F166:S166" si="435">F162+F165</f>
        <v>-20</v>
      </c>
      <c r="G166" s="102">
        <f t="shared" si="435"/>
        <v>3</v>
      </c>
      <c r="H166" s="102">
        <f t="shared" si="435"/>
        <v>-1</v>
      </c>
      <c r="I166" s="102">
        <f t="shared" si="435"/>
        <v>-4</v>
      </c>
      <c r="J166" s="102">
        <f t="shared" si="435"/>
        <v>1</v>
      </c>
      <c r="K166" s="102">
        <f t="shared" si="435"/>
        <v>-1</v>
      </c>
      <c r="L166" s="102">
        <f t="shared" si="435"/>
        <v>2</v>
      </c>
      <c r="M166" s="102">
        <f t="shared" si="435"/>
        <v>-4</v>
      </c>
      <c r="N166" s="102">
        <f t="shared" si="435"/>
        <v>0</v>
      </c>
      <c r="O166" s="102">
        <f t="shared" si="435"/>
        <v>6</v>
      </c>
      <c r="P166" s="102">
        <f t="shared" si="435"/>
        <v>-3</v>
      </c>
      <c r="Q166" s="102">
        <f t="shared" si="435"/>
        <v>-2</v>
      </c>
      <c r="R166" s="102">
        <f t="shared" si="435"/>
        <v>-1</v>
      </c>
      <c r="S166" s="102">
        <f t="shared" si="435"/>
        <v>3</v>
      </c>
      <c r="T166" s="102">
        <f t="shared" ref="T166:AC166" si="436">T162+T165</f>
        <v>3</v>
      </c>
      <c r="U166" s="102">
        <f t="shared" si="436"/>
        <v>4</v>
      </c>
      <c r="V166" s="102">
        <f t="shared" si="436"/>
        <v>-1</v>
      </c>
      <c r="W166" s="102">
        <f t="shared" si="436"/>
        <v>7</v>
      </c>
      <c r="X166" s="102">
        <f t="shared" si="436"/>
        <v>-2</v>
      </c>
      <c r="Y166" s="102">
        <f t="shared" si="436"/>
        <v>-4</v>
      </c>
      <c r="Z166" s="102">
        <f t="shared" si="436"/>
        <v>-1</v>
      </c>
      <c r="AA166" s="102">
        <f t="shared" si="436"/>
        <v>-6</v>
      </c>
      <c r="AB166" s="102">
        <f t="shared" si="436"/>
        <v>-6</v>
      </c>
      <c r="AC166" s="102">
        <f t="shared" si="436"/>
        <v>-12</v>
      </c>
      <c r="AD166" s="102">
        <f t="shared" ref="AD166:AF166" si="437">AD162+AD165</f>
        <v>-1</v>
      </c>
      <c r="AE166" s="102">
        <f t="shared" si="437"/>
        <v>1</v>
      </c>
      <c r="AF166" s="102">
        <f t="shared" si="437"/>
        <v>-3</v>
      </c>
      <c r="AG166" s="102">
        <f t="shared" ref="AG166" si="438">AG162+AG165</f>
        <v>11</v>
      </c>
      <c r="AH166" s="102">
        <f t="shared" ref="AH166:AJ166" si="439">AH162+AH165</f>
        <v>0</v>
      </c>
      <c r="AI166" s="102">
        <f t="shared" si="439"/>
        <v>0</v>
      </c>
      <c r="AJ166" s="102">
        <f t="shared" si="439"/>
        <v>0</v>
      </c>
      <c r="AK166" s="79"/>
      <c r="AL166" s="102">
        <f t="shared" ref="AL166:AW166" si="440">AL162+AL165</f>
        <v>-15</v>
      </c>
      <c r="AM166" s="102">
        <f t="shared" si="440"/>
        <v>-8</v>
      </c>
      <c r="AN166" s="102">
        <f t="shared" si="440"/>
        <v>-6</v>
      </c>
      <c r="AO166" s="102">
        <f t="shared" si="440"/>
        <v>-2</v>
      </c>
      <c r="AP166" s="102">
        <f t="shared" si="440"/>
        <v>-1</v>
      </c>
      <c r="AQ166" s="102">
        <f t="shared" si="440"/>
        <v>3</v>
      </c>
      <c r="AR166" s="102">
        <f t="shared" si="440"/>
        <v>8</v>
      </c>
      <c r="AS166" s="102">
        <f t="shared" si="440"/>
        <v>-17</v>
      </c>
      <c r="AT166" s="102">
        <f t="shared" si="440"/>
        <v>-15</v>
      </c>
      <c r="AU166" s="102">
        <f t="shared" ref="AU166" si="441">AU162+AU165</f>
        <v>11</v>
      </c>
      <c r="AV166" s="102">
        <f t="shared" si="440"/>
        <v>0</v>
      </c>
      <c r="AW166" s="102">
        <f t="shared" si="440"/>
        <v>0</v>
      </c>
      <c r="AX166" s="102">
        <f t="shared" ref="AX166" si="442">AX162+AX165</f>
        <v>0</v>
      </c>
      <c r="AY166" s="1"/>
      <c r="BY166" s="829"/>
      <c r="BZ166" s="829"/>
      <c r="CA166" s="829"/>
    </row>
    <row r="167" spans="2:79" s="5" customFormat="1" ht="10.5">
      <c r="B167" s="49"/>
      <c r="C167" s="36"/>
      <c r="D167" s="21"/>
      <c r="AK167" s="79"/>
      <c r="AY167" s="1"/>
      <c r="BY167" s="829"/>
      <c r="BZ167" s="829"/>
      <c r="CA167" s="829"/>
    </row>
    <row r="168" spans="2:79" s="5" customFormat="1" ht="10.5">
      <c r="B168" s="49"/>
      <c r="C168" s="51" t="s">
        <v>23</v>
      </c>
      <c r="D168" s="21"/>
      <c r="E168" s="5">
        <f t="shared" ref="E168:S168" si="443">E30</f>
        <v>-2</v>
      </c>
      <c r="F168" s="5">
        <f t="shared" si="443"/>
        <v>0</v>
      </c>
      <c r="G168" s="5">
        <f t="shared" si="443"/>
        <v>30</v>
      </c>
      <c r="H168" s="5">
        <f t="shared" si="443"/>
        <v>17</v>
      </c>
      <c r="I168" s="5">
        <f t="shared" si="443"/>
        <v>0</v>
      </c>
      <c r="J168" s="5">
        <f t="shared" si="443"/>
        <v>0</v>
      </c>
      <c r="K168" s="5">
        <f t="shared" si="443"/>
        <v>0</v>
      </c>
      <c r="L168" s="5">
        <f t="shared" si="443"/>
        <v>8</v>
      </c>
      <c r="M168" s="5">
        <f t="shared" si="443"/>
        <v>2</v>
      </c>
      <c r="N168" s="5">
        <f t="shared" si="443"/>
        <v>4</v>
      </c>
      <c r="O168" s="5">
        <f t="shared" si="443"/>
        <v>0</v>
      </c>
      <c r="P168" s="5">
        <f t="shared" si="443"/>
        <v>39</v>
      </c>
      <c r="Q168" s="5">
        <f t="shared" si="443"/>
        <v>32</v>
      </c>
      <c r="R168" s="5">
        <f t="shared" si="443"/>
        <v>18</v>
      </c>
      <c r="S168" s="5">
        <f t="shared" si="443"/>
        <v>2</v>
      </c>
      <c r="T168" s="5">
        <f t="shared" ref="T168:AC168" si="444">T30</f>
        <v>74</v>
      </c>
      <c r="U168" s="5">
        <f t="shared" si="444"/>
        <v>14</v>
      </c>
      <c r="V168" s="5">
        <f t="shared" si="444"/>
        <v>141</v>
      </c>
      <c r="W168" s="5">
        <f t="shared" si="444"/>
        <v>60</v>
      </c>
      <c r="X168" s="5">
        <f t="shared" si="444"/>
        <v>12</v>
      </c>
      <c r="Y168" s="5">
        <f t="shared" si="444"/>
        <v>7</v>
      </c>
      <c r="Z168" s="5">
        <f t="shared" si="444"/>
        <v>15</v>
      </c>
      <c r="AA168" s="5">
        <f t="shared" si="444"/>
        <v>7</v>
      </c>
      <c r="AB168" s="5">
        <f t="shared" si="444"/>
        <v>18</v>
      </c>
      <c r="AC168" s="5">
        <f t="shared" si="444"/>
        <v>2</v>
      </c>
      <c r="AD168" s="5">
        <f t="shared" ref="AD168:AF168" si="445">AD30</f>
        <v>19</v>
      </c>
      <c r="AE168" s="5">
        <f t="shared" si="445"/>
        <v>2</v>
      </c>
      <c r="AF168" s="5">
        <f t="shared" si="445"/>
        <v>29</v>
      </c>
      <c r="AG168" s="5">
        <f t="shared" ref="AG168" si="446">AG30</f>
        <v>22</v>
      </c>
      <c r="AH168" s="5">
        <f t="shared" ref="AH168:AJ168" si="447">AH30</f>
        <v>0</v>
      </c>
      <c r="AI168" s="5">
        <f t="shared" si="447"/>
        <v>0</v>
      </c>
      <c r="AJ168" s="5">
        <f t="shared" si="447"/>
        <v>0</v>
      </c>
      <c r="AK168" s="79"/>
      <c r="AL168" s="5">
        <f>AL30</f>
        <v>77</v>
      </c>
      <c r="AM168" s="5">
        <f>AM30</f>
        <v>183</v>
      </c>
      <c r="AN168" s="33">
        <f t="shared" ref="AN168:AU168" si="448">SUMIF($E$6:$AK$6,AN$6,$E168:$AK168)</f>
        <v>45</v>
      </c>
      <c r="AO168" s="33">
        <f t="shared" si="448"/>
        <v>8</v>
      </c>
      <c r="AP168" s="33">
        <f t="shared" si="448"/>
        <v>45</v>
      </c>
      <c r="AQ168" s="33">
        <f t="shared" si="448"/>
        <v>126</v>
      </c>
      <c r="AR168" s="33">
        <f t="shared" si="448"/>
        <v>227</v>
      </c>
      <c r="AS168" s="33">
        <f t="shared" si="448"/>
        <v>47</v>
      </c>
      <c r="AT168" s="33">
        <f t="shared" si="448"/>
        <v>52</v>
      </c>
      <c r="AU168" s="33">
        <f t="shared" si="448"/>
        <v>22</v>
      </c>
      <c r="AV168" s="5">
        <f>AV30</f>
        <v>0</v>
      </c>
      <c r="AW168" s="5">
        <f>AW30</f>
        <v>0</v>
      </c>
      <c r="AX168" s="5">
        <f>AX30</f>
        <v>0</v>
      </c>
      <c r="AY168" s="1"/>
      <c r="BY168" s="829"/>
      <c r="BZ168" s="829"/>
      <c r="CA168" s="829"/>
    </row>
    <row r="169" spans="2:79" s="5" customFormat="1" ht="10.5">
      <c r="B169" s="49"/>
      <c r="C169" s="51"/>
      <c r="D169" s="21"/>
      <c r="AK169" s="79"/>
      <c r="AY169" s="1"/>
      <c r="BY169" s="829"/>
      <c r="BZ169" s="829"/>
      <c r="CA169" s="829"/>
    </row>
    <row r="170" spans="2:79" s="5" customFormat="1" ht="10.5">
      <c r="B170" s="49"/>
      <c r="C170" s="51" t="s">
        <v>110</v>
      </c>
      <c r="D170" s="21"/>
      <c r="E170" s="5">
        <f t="shared" ref="E170:X170" si="449">E34</f>
        <v>399</v>
      </c>
      <c r="F170" s="5">
        <f t="shared" si="449"/>
        <v>376</v>
      </c>
      <c r="G170" s="5">
        <f t="shared" si="449"/>
        <v>356</v>
      </c>
      <c r="H170" s="5">
        <f t="shared" si="449"/>
        <v>252</v>
      </c>
      <c r="I170" s="5">
        <f t="shared" si="449"/>
        <v>401</v>
      </c>
      <c r="J170" s="5">
        <f t="shared" si="449"/>
        <v>420</v>
      </c>
      <c r="K170" s="5">
        <f t="shared" si="449"/>
        <v>464</v>
      </c>
      <c r="L170" s="5">
        <f t="shared" si="449"/>
        <v>245</v>
      </c>
      <c r="M170" s="5">
        <f t="shared" si="449"/>
        <v>409</v>
      </c>
      <c r="N170" s="5">
        <f t="shared" si="449"/>
        <v>491</v>
      </c>
      <c r="O170" s="5">
        <f t="shared" si="449"/>
        <v>517</v>
      </c>
      <c r="P170" s="5">
        <f t="shared" si="449"/>
        <v>135</v>
      </c>
      <c r="Q170" s="5">
        <f t="shared" si="449"/>
        <v>320</v>
      </c>
      <c r="R170" s="5">
        <f t="shared" si="449"/>
        <v>371</v>
      </c>
      <c r="S170" s="5">
        <f t="shared" si="449"/>
        <v>367</v>
      </c>
      <c r="T170" s="5">
        <f>T34</f>
        <v>62</v>
      </c>
      <c r="U170" s="5">
        <f t="shared" si="449"/>
        <v>368</v>
      </c>
      <c r="V170" s="5">
        <f t="shared" si="449"/>
        <v>54</v>
      </c>
      <c r="W170" s="5">
        <f t="shared" si="449"/>
        <v>243</v>
      </c>
      <c r="X170" s="5">
        <f t="shared" si="449"/>
        <v>76</v>
      </c>
      <c r="Y170" s="5">
        <f t="shared" ref="Y170:AB170" si="450">Y34</f>
        <v>389</v>
      </c>
      <c r="Z170" s="5">
        <f t="shared" si="450"/>
        <v>-56</v>
      </c>
      <c r="AA170" s="5">
        <f t="shared" si="450"/>
        <v>370</v>
      </c>
      <c r="AB170" s="5">
        <f t="shared" si="450"/>
        <v>578</v>
      </c>
      <c r="AC170" s="5">
        <f>AC34</f>
        <v>333</v>
      </c>
      <c r="AD170" s="5">
        <f t="shared" ref="AD170:AF170" si="451">AD34</f>
        <v>426</v>
      </c>
      <c r="AE170" s="5">
        <f t="shared" si="451"/>
        <v>324</v>
      </c>
      <c r="AF170" s="5">
        <f t="shared" si="451"/>
        <v>76</v>
      </c>
      <c r="AG170" s="5">
        <f t="shared" ref="AG170" si="452">AG34</f>
        <v>246</v>
      </c>
      <c r="AH170" s="5">
        <f t="shared" ref="AH170:AJ170" si="453">AH34</f>
        <v>382.96299999999997</v>
      </c>
      <c r="AI170" s="5">
        <f t="shared" si="453"/>
        <v>408.39790000000005</v>
      </c>
      <c r="AJ170" s="5">
        <f t="shared" si="453"/>
        <v>341.23170000000005</v>
      </c>
      <c r="AK170" s="79"/>
      <c r="AL170" s="5">
        <f>AL34</f>
        <v>1162</v>
      </c>
      <c r="AM170" s="5">
        <f>AM34</f>
        <v>1384</v>
      </c>
      <c r="AN170" s="33">
        <f t="shared" ref="AN170:AU170" si="454">SUMIF($E$6:$AK$6,AN$6,$E170:$AK170)</f>
        <v>1383</v>
      </c>
      <c r="AO170" s="33">
        <f t="shared" si="454"/>
        <v>1530</v>
      </c>
      <c r="AP170" s="33">
        <f t="shared" si="454"/>
        <v>1552</v>
      </c>
      <c r="AQ170" s="33">
        <f t="shared" si="454"/>
        <v>1120</v>
      </c>
      <c r="AR170" s="33">
        <f t="shared" si="454"/>
        <v>741</v>
      </c>
      <c r="AS170" s="33">
        <f t="shared" si="454"/>
        <v>1281</v>
      </c>
      <c r="AT170" s="33">
        <f t="shared" si="454"/>
        <v>1159</v>
      </c>
      <c r="AU170" s="33">
        <f t="shared" si="454"/>
        <v>1378.5926000000002</v>
      </c>
      <c r="AV170" s="5">
        <f>AV34</f>
        <v>1516.7443589999998</v>
      </c>
      <c r="AW170" s="5">
        <f>AW34</f>
        <v>1598.1947735650001</v>
      </c>
      <c r="AX170" s="5">
        <f>AX34</f>
        <v>1691.2155851145749</v>
      </c>
      <c r="AY170" s="1"/>
      <c r="BY170" s="829"/>
      <c r="BZ170" s="829"/>
      <c r="CA170" s="829"/>
    </row>
    <row r="171" spans="2:79" s="27" customFormat="1" ht="5.2" customHeight="1">
      <c r="C171" s="36"/>
      <c r="E171" s="30"/>
      <c r="F171" s="30"/>
      <c r="G171" s="30"/>
      <c r="H171" s="30"/>
      <c r="I171" s="30"/>
      <c r="J171" s="30"/>
      <c r="K171" s="30"/>
      <c r="L171" s="30"/>
      <c r="M171" s="30"/>
      <c r="N171" s="30"/>
      <c r="O171" s="30"/>
      <c r="P171" s="30"/>
      <c r="Q171" s="30"/>
      <c r="R171" s="30"/>
      <c r="AK171" s="79"/>
      <c r="AL171" s="30"/>
      <c r="AM171" s="30"/>
      <c r="AN171" s="33"/>
      <c r="AO171" s="33"/>
      <c r="AP171" s="33"/>
      <c r="AQ171" s="33"/>
      <c r="AR171" s="33"/>
      <c r="AS171" s="33"/>
      <c r="AT171" s="33"/>
      <c r="AU171" s="33"/>
      <c r="AY171" s="1"/>
    </row>
    <row r="172" spans="2:79" s="27" customFormat="1" ht="11.25" customHeight="1">
      <c r="C172" s="43" t="s">
        <v>97</v>
      </c>
      <c r="E172" s="30"/>
      <c r="F172" s="30"/>
      <c r="G172" s="30"/>
      <c r="H172" s="30"/>
      <c r="I172" s="30"/>
      <c r="J172" s="30"/>
      <c r="K172" s="30"/>
      <c r="L172" s="30"/>
      <c r="M172" s="30"/>
      <c r="N172" s="30"/>
      <c r="O172" s="30"/>
      <c r="P172" s="30"/>
      <c r="Q172" s="30"/>
      <c r="R172" s="30"/>
      <c r="AK172" s="79"/>
      <c r="AL172" s="30"/>
      <c r="AM172" s="30"/>
      <c r="AN172" s="33">
        <f t="shared" ref="AN172:AU186" si="455">SUMIF($E$6:$AK$6,AN$6,$E172:$AK172)</f>
        <v>0</v>
      </c>
      <c r="AO172" s="33">
        <f t="shared" si="455"/>
        <v>0</v>
      </c>
      <c r="AP172" s="33">
        <f t="shared" si="455"/>
        <v>0</v>
      </c>
      <c r="AQ172" s="33">
        <f t="shared" si="455"/>
        <v>0</v>
      </c>
      <c r="AR172" s="33">
        <f t="shared" si="455"/>
        <v>0</v>
      </c>
      <c r="AS172" s="33">
        <f t="shared" si="455"/>
        <v>0</v>
      </c>
      <c r="AT172" s="33">
        <f t="shared" si="455"/>
        <v>0</v>
      </c>
      <c r="AU172" s="33">
        <f t="shared" si="455"/>
        <v>0</v>
      </c>
      <c r="AY172" s="1"/>
    </row>
    <row r="173" spans="2:79" s="27" customFormat="1" ht="11.25" customHeight="1">
      <c r="C173" s="43" t="s">
        <v>353</v>
      </c>
      <c r="E173" s="30">
        <f t="shared" ref="E173:AJ173" si="456">E274+E376+E457+E607+E607</f>
        <v>0</v>
      </c>
      <c r="F173" s="30">
        <f t="shared" si="456"/>
        <v>0</v>
      </c>
      <c r="G173" s="30">
        <f t="shared" si="456"/>
        <v>0</v>
      </c>
      <c r="H173" s="30">
        <f t="shared" si="456"/>
        <v>0</v>
      </c>
      <c r="I173" s="30">
        <f t="shared" si="456"/>
        <v>0</v>
      </c>
      <c r="J173" s="30">
        <f t="shared" si="456"/>
        <v>0</v>
      </c>
      <c r="K173" s="30">
        <f t="shared" si="456"/>
        <v>0</v>
      </c>
      <c r="L173" s="30">
        <f t="shared" si="456"/>
        <v>0</v>
      </c>
      <c r="M173" s="30">
        <f t="shared" si="456"/>
        <v>0</v>
      </c>
      <c r="N173" s="30">
        <f t="shared" si="456"/>
        <v>0</v>
      </c>
      <c r="O173" s="30">
        <f t="shared" si="456"/>
        <v>0</v>
      </c>
      <c r="P173" s="30">
        <f t="shared" si="456"/>
        <v>0</v>
      </c>
      <c r="Q173" s="30">
        <f t="shared" si="456"/>
        <v>0</v>
      </c>
      <c r="R173" s="30">
        <f t="shared" si="456"/>
        <v>0</v>
      </c>
      <c r="S173" s="30">
        <f t="shared" si="456"/>
        <v>0</v>
      </c>
      <c r="T173" s="30">
        <f t="shared" si="456"/>
        <v>0</v>
      </c>
      <c r="U173" s="30">
        <f t="shared" si="456"/>
        <v>0</v>
      </c>
      <c r="V173" s="30">
        <f t="shared" si="456"/>
        <v>0</v>
      </c>
      <c r="W173" s="30">
        <f t="shared" si="456"/>
        <v>0</v>
      </c>
      <c r="X173" s="30">
        <f t="shared" si="456"/>
        <v>0</v>
      </c>
      <c r="Y173" s="30">
        <f t="shared" si="456"/>
        <v>0</v>
      </c>
      <c r="Z173" s="30">
        <f t="shared" si="456"/>
        <v>0</v>
      </c>
      <c r="AA173" s="30">
        <f t="shared" si="456"/>
        <v>0</v>
      </c>
      <c r="AB173" s="30">
        <f t="shared" si="456"/>
        <v>0</v>
      </c>
      <c r="AC173" s="30">
        <f t="shared" si="456"/>
        <v>0</v>
      </c>
      <c r="AD173" s="30">
        <f t="shared" si="456"/>
        <v>0</v>
      </c>
      <c r="AE173" s="30">
        <f t="shared" si="456"/>
        <v>0</v>
      </c>
      <c r="AF173" s="30">
        <f t="shared" si="456"/>
        <v>0</v>
      </c>
      <c r="AG173" s="30">
        <f t="shared" ref="AG173" si="457">AG274+AG376+AG457+AG607+AG607</f>
        <v>0</v>
      </c>
      <c r="AH173" s="30">
        <f t="shared" si="456"/>
        <v>0</v>
      </c>
      <c r="AI173" s="30">
        <f t="shared" si="456"/>
        <v>0</v>
      </c>
      <c r="AJ173" s="30">
        <f t="shared" si="456"/>
        <v>0</v>
      </c>
      <c r="AK173" s="79"/>
      <c r="AL173" s="30">
        <f>AL274+AL376+AL457+AL607+AL607</f>
        <v>24</v>
      </c>
      <c r="AM173" s="30">
        <f>AM274+AM376+AM457+AM607+AM607</f>
        <v>0</v>
      </c>
      <c r="AN173" s="33">
        <f t="shared" si="455"/>
        <v>0</v>
      </c>
      <c r="AO173" s="33">
        <f t="shared" si="455"/>
        <v>0</v>
      </c>
      <c r="AP173" s="33">
        <f t="shared" si="455"/>
        <v>0</v>
      </c>
      <c r="AQ173" s="33">
        <f t="shared" si="455"/>
        <v>0</v>
      </c>
      <c r="AR173" s="33">
        <f t="shared" si="455"/>
        <v>0</v>
      </c>
      <c r="AS173" s="33">
        <f t="shared" si="455"/>
        <v>0</v>
      </c>
      <c r="AT173" s="33">
        <f t="shared" si="455"/>
        <v>0</v>
      </c>
      <c r="AU173" s="33">
        <f t="shared" si="455"/>
        <v>0</v>
      </c>
      <c r="AV173" s="30">
        <f>AV274+AV376+AV457+AV607+AV607</f>
        <v>0</v>
      </c>
      <c r="AW173" s="30">
        <f>AW274+AW376+AW457+AW607+AW607</f>
        <v>0</v>
      </c>
      <c r="AX173" s="30">
        <f>AX274+AX376+AX457+AX607+AX607</f>
        <v>0</v>
      </c>
      <c r="AY173" s="1"/>
    </row>
    <row r="174" spans="2:79" s="27" customFormat="1" ht="11.25" customHeight="1">
      <c r="C174" s="43" t="s">
        <v>23</v>
      </c>
      <c r="E174" s="28">
        <f t="shared" ref="E174:AJ174" si="458">E275+E377+E458+E535+E604</f>
        <v>-2</v>
      </c>
      <c r="F174" s="28">
        <f t="shared" si="458"/>
        <v>0</v>
      </c>
      <c r="G174" s="28">
        <f t="shared" si="458"/>
        <v>30</v>
      </c>
      <c r="H174" s="28">
        <f t="shared" si="458"/>
        <v>17</v>
      </c>
      <c r="I174" s="28">
        <f t="shared" si="458"/>
        <v>0</v>
      </c>
      <c r="J174" s="28">
        <f t="shared" si="458"/>
        <v>0</v>
      </c>
      <c r="K174" s="28">
        <f t="shared" si="458"/>
        <v>0</v>
      </c>
      <c r="L174" s="28">
        <f t="shared" si="458"/>
        <v>8</v>
      </c>
      <c r="M174" s="28">
        <f t="shared" si="458"/>
        <v>2</v>
      </c>
      <c r="N174" s="28">
        <f t="shared" si="458"/>
        <v>4</v>
      </c>
      <c r="O174" s="28">
        <f t="shared" si="458"/>
        <v>0</v>
      </c>
      <c r="P174" s="28">
        <f t="shared" si="458"/>
        <v>39</v>
      </c>
      <c r="Q174" s="28">
        <f t="shared" si="458"/>
        <v>32</v>
      </c>
      <c r="R174" s="28">
        <f t="shared" si="458"/>
        <v>18</v>
      </c>
      <c r="S174" s="28">
        <f t="shared" si="458"/>
        <v>2</v>
      </c>
      <c r="T174" s="28">
        <f t="shared" si="458"/>
        <v>74</v>
      </c>
      <c r="U174" s="28">
        <f t="shared" si="458"/>
        <v>14</v>
      </c>
      <c r="V174" s="28">
        <f t="shared" si="458"/>
        <v>141</v>
      </c>
      <c r="W174" s="28">
        <f t="shared" si="458"/>
        <v>67</v>
      </c>
      <c r="X174" s="28">
        <f t="shared" si="458"/>
        <v>13</v>
      </c>
      <c r="Y174" s="28">
        <f t="shared" si="458"/>
        <v>9</v>
      </c>
      <c r="Z174" s="28">
        <f t="shared" si="458"/>
        <v>15</v>
      </c>
      <c r="AA174" s="28">
        <f t="shared" si="458"/>
        <v>7</v>
      </c>
      <c r="AB174" s="28">
        <f t="shared" si="458"/>
        <v>18</v>
      </c>
      <c r="AC174" s="28">
        <f t="shared" si="458"/>
        <v>27</v>
      </c>
      <c r="AD174" s="28">
        <f t="shared" si="458"/>
        <v>36</v>
      </c>
      <c r="AE174" s="28">
        <f t="shared" si="458"/>
        <v>2</v>
      </c>
      <c r="AF174" s="28">
        <f t="shared" si="458"/>
        <v>17</v>
      </c>
      <c r="AG174" s="28">
        <f>AG275+AG377+AG458+AG535+AG604</f>
        <v>22</v>
      </c>
      <c r="AH174" s="28">
        <f t="shared" si="458"/>
        <v>0</v>
      </c>
      <c r="AI174" s="28">
        <f t="shared" si="458"/>
        <v>0</v>
      </c>
      <c r="AJ174" s="28">
        <f t="shared" si="458"/>
        <v>0</v>
      </c>
      <c r="AK174" s="79"/>
      <c r="AL174" s="28">
        <f>AL275+AL377+AL458+AL535+AL604</f>
        <v>77</v>
      </c>
      <c r="AM174" s="28">
        <f>AM275+AM377+AM458+AM535+AM604</f>
        <v>165</v>
      </c>
      <c r="AN174" s="33">
        <f t="shared" si="455"/>
        <v>45</v>
      </c>
      <c r="AO174" s="33">
        <f t="shared" si="455"/>
        <v>8</v>
      </c>
      <c r="AP174" s="33">
        <f t="shared" si="455"/>
        <v>45</v>
      </c>
      <c r="AQ174" s="33">
        <f t="shared" si="455"/>
        <v>126</v>
      </c>
      <c r="AR174" s="33">
        <f t="shared" si="455"/>
        <v>235</v>
      </c>
      <c r="AS174" s="33">
        <f t="shared" si="455"/>
        <v>49</v>
      </c>
      <c r="AT174" s="33">
        <f t="shared" si="455"/>
        <v>82</v>
      </c>
      <c r="AU174" s="33">
        <f t="shared" si="455"/>
        <v>22</v>
      </c>
      <c r="AV174" s="28">
        <f>AV275+AV377+AV458+AV535+AV604</f>
        <v>0</v>
      </c>
      <c r="AW174" s="28">
        <f>AW275+AW377+AW458+AW535+AW604</f>
        <v>0</v>
      </c>
      <c r="AX174" s="28">
        <f>AX275+AX377+AX458+AX535+AX604</f>
        <v>0</v>
      </c>
      <c r="AY174" s="1"/>
    </row>
    <row r="175" spans="2:79" s="27" customFormat="1" ht="11.25" customHeight="1">
      <c r="C175" s="43" t="s">
        <v>71</v>
      </c>
      <c r="E175" s="28">
        <f t="shared" ref="E175:AJ175" si="459">E276+E378+E459+E536</f>
        <v>0</v>
      </c>
      <c r="F175" s="28">
        <f t="shared" si="459"/>
        <v>0</v>
      </c>
      <c r="G175" s="28">
        <f t="shared" si="459"/>
        <v>0</v>
      </c>
      <c r="H175" s="28">
        <f t="shared" si="459"/>
        <v>0</v>
      </c>
      <c r="I175" s="28">
        <f t="shared" si="459"/>
        <v>0</v>
      </c>
      <c r="J175" s="28">
        <f t="shared" si="459"/>
        <v>0</v>
      </c>
      <c r="K175" s="28">
        <f t="shared" si="459"/>
        <v>-3</v>
      </c>
      <c r="L175" s="28">
        <f t="shared" si="459"/>
        <v>0</v>
      </c>
      <c r="M175" s="28">
        <f t="shared" si="459"/>
        <v>0</v>
      </c>
      <c r="N175" s="28">
        <f t="shared" si="459"/>
        <v>0</v>
      </c>
      <c r="O175" s="28">
        <f t="shared" si="459"/>
        <v>0</v>
      </c>
      <c r="P175" s="28">
        <f t="shared" si="459"/>
        <v>0</v>
      </c>
      <c r="Q175" s="28">
        <f t="shared" si="459"/>
        <v>0</v>
      </c>
      <c r="R175" s="28">
        <f t="shared" si="459"/>
        <v>0</v>
      </c>
      <c r="S175" s="28">
        <f t="shared" si="459"/>
        <v>0</v>
      </c>
      <c r="T175" s="28">
        <f t="shared" si="459"/>
        <v>0</v>
      </c>
      <c r="U175" s="28">
        <f t="shared" si="459"/>
        <v>0</v>
      </c>
      <c r="V175" s="28">
        <f t="shared" si="459"/>
        <v>0</v>
      </c>
      <c r="W175" s="28">
        <f t="shared" si="459"/>
        <v>0</v>
      </c>
      <c r="X175" s="28">
        <f t="shared" si="459"/>
        <v>0</v>
      </c>
      <c r="Y175" s="28">
        <f t="shared" si="459"/>
        <v>0</v>
      </c>
      <c r="Z175" s="28">
        <f t="shared" si="459"/>
        <v>0</v>
      </c>
      <c r="AA175" s="28">
        <f t="shared" si="459"/>
        <v>0</v>
      </c>
      <c r="AB175" s="28">
        <f t="shared" si="459"/>
        <v>0</v>
      </c>
      <c r="AC175" s="28">
        <f t="shared" si="459"/>
        <v>0</v>
      </c>
      <c r="AD175" s="28">
        <f t="shared" si="459"/>
        <v>0</v>
      </c>
      <c r="AE175" s="28">
        <f t="shared" si="459"/>
        <v>0</v>
      </c>
      <c r="AF175" s="28">
        <f t="shared" si="459"/>
        <v>9</v>
      </c>
      <c r="AG175" s="28">
        <f t="shared" ref="AG175" si="460">AG276+AG378+AG459+AG536</f>
        <v>0</v>
      </c>
      <c r="AH175" s="28">
        <f t="shared" si="459"/>
        <v>0</v>
      </c>
      <c r="AI175" s="28">
        <f t="shared" si="459"/>
        <v>0</v>
      </c>
      <c r="AJ175" s="28">
        <f t="shared" si="459"/>
        <v>0</v>
      </c>
      <c r="AK175" s="79"/>
      <c r="AL175" s="28">
        <f>AL276+AL378+AL459+AL536</f>
        <v>0</v>
      </c>
      <c r="AM175" s="28">
        <f>AM276+AM378+AM459+AM536</f>
        <v>0</v>
      </c>
      <c r="AN175" s="33">
        <f t="shared" si="455"/>
        <v>0</v>
      </c>
      <c r="AO175" s="33">
        <f t="shared" si="455"/>
        <v>-3</v>
      </c>
      <c r="AP175" s="33">
        <f t="shared" si="455"/>
        <v>0</v>
      </c>
      <c r="AQ175" s="33">
        <f t="shared" si="455"/>
        <v>0</v>
      </c>
      <c r="AR175" s="33">
        <f t="shared" si="455"/>
        <v>0</v>
      </c>
      <c r="AS175" s="33">
        <f t="shared" si="455"/>
        <v>0</v>
      </c>
      <c r="AT175" s="33">
        <f t="shared" si="455"/>
        <v>9</v>
      </c>
      <c r="AU175" s="33">
        <f t="shared" si="455"/>
        <v>0</v>
      </c>
      <c r="AV175" s="28">
        <f>AV276+AV378+AV459+AV536</f>
        <v>0</v>
      </c>
      <c r="AW175" s="28">
        <f>AW276+AW378+AW459+AW536</f>
        <v>0</v>
      </c>
      <c r="AX175" s="28">
        <f>AX276+AX378+AX459+AX536</f>
        <v>0</v>
      </c>
      <c r="AY175" s="1"/>
    </row>
    <row r="176" spans="2:79" s="27" customFormat="1" ht="11.25" customHeight="1">
      <c r="C176" s="43" t="s">
        <v>1126</v>
      </c>
      <c r="E176" s="28">
        <f>E605</f>
        <v>0</v>
      </c>
      <c r="F176" s="28">
        <f t="shared" ref="F176:AC176" si="461">F605</f>
        <v>0</v>
      </c>
      <c r="G176" s="28">
        <f t="shared" si="461"/>
        <v>0</v>
      </c>
      <c r="H176" s="28">
        <f t="shared" si="461"/>
        <v>0</v>
      </c>
      <c r="I176" s="28">
        <f t="shared" si="461"/>
        <v>0</v>
      </c>
      <c r="J176" s="28">
        <f t="shared" si="461"/>
        <v>0</v>
      </c>
      <c r="K176" s="28">
        <f t="shared" si="461"/>
        <v>0</v>
      </c>
      <c r="L176" s="28">
        <f t="shared" si="461"/>
        <v>0</v>
      </c>
      <c r="M176" s="28">
        <f t="shared" si="461"/>
        <v>0</v>
      </c>
      <c r="N176" s="28">
        <f t="shared" si="461"/>
        <v>0</v>
      </c>
      <c r="O176" s="28">
        <f t="shared" si="461"/>
        <v>0</v>
      </c>
      <c r="P176" s="28">
        <f t="shared" si="461"/>
        <v>0</v>
      </c>
      <c r="Q176" s="28">
        <f t="shared" si="461"/>
        <v>0</v>
      </c>
      <c r="R176" s="28">
        <f t="shared" si="461"/>
        <v>0</v>
      </c>
      <c r="S176" s="28">
        <f t="shared" si="461"/>
        <v>0</v>
      </c>
      <c r="T176" s="28">
        <f t="shared" si="461"/>
        <v>0</v>
      </c>
      <c r="U176" s="28">
        <f t="shared" si="461"/>
        <v>0</v>
      </c>
      <c r="V176" s="28">
        <f t="shared" si="461"/>
        <v>0</v>
      </c>
      <c r="W176" s="28">
        <f t="shared" si="461"/>
        <v>0</v>
      </c>
      <c r="X176" s="28">
        <f t="shared" si="461"/>
        <v>0</v>
      </c>
      <c r="Y176" s="28">
        <f t="shared" si="461"/>
        <v>2</v>
      </c>
      <c r="Z176" s="28">
        <f t="shared" si="461"/>
        <v>495</v>
      </c>
      <c r="AA176" s="28">
        <f t="shared" si="461"/>
        <v>68</v>
      </c>
      <c r="AB176" s="28">
        <f t="shared" si="461"/>
        <v>7</v>
      </c>
      <c r="AC176" s="28">
        <f t="shared" si="461"/>
        <v>6</v>
      </c>
      <c r="AD176" s="28">
        <f t="shared" ref="AD176:AF176" si="462">AD605</f>
        <v>-5</v>
      </c>
      <c r="AE176" s="28">
        <f t="shared" si="462"/>
        <v>7</v>
      </c>
      <c r="AF176" s="28">
        <f t="shared" si="462"/>
        <v>47</v>
      </c>
      <c r="AG176" s="28">
        <f t="shared" ref="AG176" si="463">AG605</f>
        <v>0</v>
      </c>
      <c r="AH176" s="28"/>
      <c r="AI176" s="28"/>
      <c r="AJ176" s="28"/>
      <c r="AK176" s="79"/>
      <c r="AL176" s="28"/>
      <c r="AM176" s="28"/>
      <c r="AN176" s="33">
        <f t="shared" si="455"/>
        <v>0</v>
      </c>
      <c r="AO176" s="33">
        <f t="shared" si="455"/>
        <v>0</v>
      </c>
      <c r="AP176" s="33">
        <f t="shared" si="455"/>
        <v>0</v>
      </c>
      <c r="AQ176" s="33">
        <f t="shared" si="455"/>
        <v>0</v>
      </c>
      <c r="AR176" s="33">
        <f t="shared" si="455"/>
        <v>0</v>
      </c>
      <c r="AS176" s="33">
        <f t="shared" si="455"/>
        <v>572</v>
      </c>
      <c r="AT176" s="33">
        <f t="shared" si="455"/>
        <v>55</v>
      </c>
      <c r="AU176" s="33">
        <f t="shared" si="455"/>
        <v>0</v>
      </c>
      <c r="AV176" s="28"/>
      <c r="AW176" s="28"/>
      <c r="AX176" s="28"/>
      <c r="AY176" s="1"/>
    </row>
    <row r="177" spans="2:79" s="27" customFormat="1" ht="11.25" customHeight="1">
      <c r="C177" s="43" t="s">
        <v>111</v>
      </c>
      <c r="E177" s="28">
        <f t="shared" ref="E177:AJ177" si="464">E277+E379+E460+E538</f>
        <v>0</v>
      </c>
      <c r="F177" s="28">
        <f t="shared" si="464"/>
        <v>0</v>
      </c>
      <c r="G177" s="28">
        <f t="shared" si="464"/>
        <v>0</v>
      </c>
      <c r="H177" s="28">
        <f t="shared" si="464"/>
        <v>0</v>
      </c>
      <c r="I177" s="28">
        <f t="shared" si="464"/>
        <v>0</v>
      </c>
      <c r="J177" s="28">
        <f t="shared" si="464"/>
        <v>0</v>
      </c>
      <c r="K177" s="28">
        <f t="shared" si="464"/>
        <v>0</v>
      </c>
      <c r="L177" s="28">
        <f t="shared" si="464"/>
        <v>112</v>
      </c>
      <c r="M177" s="28">
        <f t="shared" si="464"/>
        <v>37</v>
      </c>
      <c r="N177" s="28">
        <f t="shared" si="464"/>
        <v>-56</v>
      </c>
      <c r="O177" s="28">
        <f t="shared" si="464"/>
        <v>-67</v>
      </c>
      <c r="P177" s="28">
        <f t="shared" si="464"/>
        <v>3</v>
      </c>
      <c r="Q177" s="28">
        <f t="shared" si="464"/>
        <v>0</v>
      </c>
      <c r="R177" s="28">
        <f t="shared" si="464"/>
        <v>0</v>
      </c>
      <c r="S177" s="28">
        <f t="shared" si="464"/>
        <v>0</v>
      </c>
      <c r="T177" s="28">
        <f t="shared" si="464"/>
        <v>0</v>
      </c>
      <c r="U177" s="28">
        <f t="shared" si="464"/>
        <v>0</v>
      </c>
      <c r="V177" s="28">
        <f t="shared" si="464"/>
        <v>0</v>
      </c>
      <c r="W177" s="28">
        <f t="shared" si="464"/>
        <v>0</v>
      </c>
      <c r="X177" s="28">
        <f t="shared" si="464"/>
        <v>0</v>
      </c>
      <c r="Y177" s="28">
        <f t="shared" si="464"/>
        <v>0</v>
      </c>
      <c r="Z177" s="28">
        <f t="shared" si="464"/>
        <v>0</v>
      </c>
      <c r="AA177" s="28">
        <f t="shared" si="464"/>
        <v>0</v>
      </c>
      <c r="AB177" s="28">
        <f t="shared" si="464"/>
        <v>0</v>
      </c>
      <c r="AC177" s="28">
        <f t="shared" si="464"/>
        <v>0</v>
      </c>
      <c r="AD177" s="28">
        <f t="shared" si="464"/>
        <v>0</v>
      </c>
      <c r="AE177" s="28">
        <f t="shared" si="464"/>
        <v>0</v>
      </c>
      <c r="AF177" s="28">
        <f t="shared" si="464"/>
        <v>0</v>
      </c>
      <c r="AG177" s="28">
        <f t="shared" ref="AG177" si="465">AG277+AG379+AG460+AG538</f>
        <v>0</v>
      </c>
      <c r="AH177" s="28">
        <f t="shared" si="464"/>
        <v>0</v>
      </c>
      <c r="AI177" s="28">
        <f t="shared" si="464"/>
        <v>0</v>
      </c>
      <c r="AJ177" s="28">
        <f t="shared" si="464"/>
        <v>0</v>
      </c>
      <c r="AK177" s="79"/>
      <c r="AL177" s="28">
        <f>AL277+AL379+AL460+AL538</f>
        <v>0</v>
      </c>
      <c r="AM177" s="28">
        <f>AM277+AM379+AM460+AM538</f>
        <v>0</v>
      </c>
      <c r="AN177" s="33">
        <f t="shared" si="455"/>
        <v>0</v>
      </c>
      <c r="AO177" s="33">
        <f t="shared" si="455"/>
        <v>112</v>
      </c>
      <c r="AP177" s="33">
        <f t="shared" si="455"/>
        <v>-83</v>
      </c>
      <c r="AQ177" s="33">
        <f t="shared" si="455"/>
        <v>0</v>
      </c>
      <c r="AR177" s="33">
        <f t="shared" si="455"/>
        <v>0</v>
      </c>
      <c r="AS177" s="33">
        <f t="shared" si="455"/>
        <v>0</v>
      </c>
      <c r="AT177" s="33">
        <f t="shared" si="455"/>
        <v>0</v>
      </c>
      <c r="AU177" s="33">
        <f t="shared" si="455"/>
        <v>0</v>
      </c>
      <c r="AV177" s="28">
        <f>AV277+AV379+AV460+AV538</f>
        <v>0</v>
      </c>
      <c r="AW177" s="28">
        <f>AW277+AW379+AW460+AW538</f>
        <v>0</v>
      </c>
      <c r="AX177" s="28">
        <f>AX277+AX379+AX460+AX538</f>
        <v>0</v>
      </c>
      <c r="AY177" s="1"/>
      <c r="BD177" s="43"/>
    </row>
    <row r="178" spans="2:79" s="27" customFormat="1" ht="11.25" customHeight="1">
      <c r="C178" s="43" t="s">
        <v>366</v>
      </c>
      <c r="E178" s="28">
        <f t="shared" ref="E178:R180" si="466">E599</f>
        <v>0</v>
      </c>
      <c r="F178" s="28">
        <f t="shared" si="466"/>
        <v>0</v>
      </c>
      <c r="G178" s="28">
        <f t="shared" si="466"/>
        <v>30</v>
      </c>
      <c r="H178" s="28">
        <f t="shared" si="466"/>
        <v>67</v>
      </c>
      <c r="I178" s="28">
        <f t="shared" si="466"/>
        <v>0</v>
      </c>
      <c r="J178" s="28">
        <f t="shared" si="466"/>
        <v>0</v>
      </c>
      <c r="K178" s="28">
        <f t="shared" si="466"/>
        <v>0</v>
      </c>
      <c r="L178" s="28">
        <f t="shared" si="466"/>
        <v>-21</v>
      </c>
      <c r="M178" s="28">
        <f t="shared" si="466"/>
        <v>0</v>
      </c>
      <c r="N178" s="28">
        <f t="shared" si="466"/>
        <v>0</v>
      </c>
      <c r="O178" s="28">
        <f t="shared" si="466"/>
        <v>0</v>
      </c>
      <c r="P178" s="28">
        <f t="shared" si="466"/>
        <v>99</v>
      </c>
      <c r="Q178" s="28">
        <f t="shared" si="466"/>
        <v>0</v>
      </c>
      <c r="R178" s="28">
        <f t="shared" si="466"/>
        <v>0</v>
      </c>
      <c r="S178" s="28">
        <f t="shared" ref="S178:X180" si="467">S599</f>
        <v>0</v>
      </c>
      <c r="T178" s="28">
        <f>T599</f>
        <v>143</v>
      </c>
      <c r="U178" s="28">
        <f t="shared" si="467"/>
        <v>0</v>
      </c>
      <c r="V178" s="28">
        <f t="shared" si="467"/>
        <v>0</v>
      </c>
      <c r="W178" s="28">
        <f t="shared" si="467"/>
        <v>0</v>
      </c>
      <c r="X178" s="28">
        <f t="shared" si="467"/>
        <v>240</v>
      </c>
      <c r="Y178" s="28">
        <f t="shared" ref="Y178:AC182" si="468">Y599</f>
        <v>0</v>
      </c>
      <c r="Z178" s="28">
        <f t="shared" si="468"/>
        <v>0</v>
      </c>
      <c r="AA178" s="28">
        <f t="shared" si="468"/>
        <v>0</v>
      </c>
      <c r="AB178" s="28">
        <f t="shared" si="468"/>
        <v>-267</v>
      </c>
      <c r="AC178" s="28">
        <f t="shared" si="468"/>
        <v>0</v>
      </c>
      <c r="AD178" s="28">
        <f t="shared" ref="AD178:AF178" si="469">AD599</f>
        <v>0</v>
      </c>
      <c r="AE178" s="28">
        <f t="shared" si="469"/>
        <v>0</v>
      </c>
      <c r="AF178" s="28">
        <f t="shared" si="469"/>
        <v>0</v>
      </c>
      <c r="AG178" s="28">
        <f t="shared" ref="AG178" si="470">AG599</f>
        <v>0</v>
      </c>
      <c r="AH178" s="28">
        <f t="shared" ref="AH178:AJ180" si="471">AH599</f>
        <v>0</v>
      </c>
      <c r="AI178" s="28">
        <f t="shared" si="471"/>
        <v>0</v>
      </c>
      <c r="AJ178" s="28">
        <f t="shared" si="471"/>
        <v>0</v>
      </c>
      <c r="AK178" s="79"/>
      <c r="AL178" s="28">
        <f t="shared" ref="AL178:AM180" si="472">AL599</f>
        <v>304</v>
      </c>
      <c r="AM178" s="28">
        <f t="shared" si="472"/>
        <v>115</v>
      </c>
      <c r="AN178" s="33">
        <f t="shared" si="455"/>
        <v>97</v>
      </c>
      <c r="AO178" s="33">
        <f t="shared" si="455"/>
        <v>-21</v>
      </c>
      <c r="AP178" s="33">
        <f t="shared" si="455"/>
        <v>99</v>
      </c>
      <c r="AQ178" s="33">
        <f t="shared" si="455"/>
        <v>143</v>
      </c>
      <c r="AR178" s="33">
        <f t="shared" si="455"/>
        <v>240</v>
      </c>
      <c r="AS178" s="33">
        <f t="shared" si="455"/>
        <v>-267</v>
      </c>
      <c r="AT178" s="33">
        <f t="shared" si="455"/>
        <v>0</v>
      </c>
      <c r="AU178" s="33">
        <f t="shared" si="455"/>
        <v>0</v>
      </c>
      <c r="AV178" s="28">
        <f t="shared" ref="AV178:AW180" si="473">AV599</f>
        <v>0</v>
      </c>
      <c r="AW178" s="28">
        <f t="shared" si="473"/>
        <v>0</v>
      </c>
      <c r="AX178" s="28">
        <f t="shared" ref="AX178" si="474">AX599</f>
        <v>0</v>
      </c>
      <c r="AY178" s="1"/>
      <c r="BD178" s="43"/>
    </row>
    <row r="179" spans="2:79" s="27" customFormat="1" ht="11.25" customHeight="1">
      <c r="C179" s="43" t="s">
        <v>1201</v>
      </c>
      <c r="E179" s="28">
        <f t="shared" si="466"/>
        <v>0</v>
      </c>
      <c r="F179" s="28">
        <f t="shared" si="466"/>
        <v>0</v>
      </c>
      <c r="G179" s="28">
        <f t="shared" si="466"/>
        <v>0</v>
      </c>
      <c r="H179" s="28">
        <f t="shared" si="466"/>
        <v>0</v>
      </c>
      <c r="I179" s="28">
        <f t="shared" si="466"/>
        <v>0</v>
      </c>
      <c r="J179" s="28">
        <f t="shared" si="466"/>
        <v>0</v>
      </c>
      <c r="K179" s="28">
        <f t="shared" si="466"/>
        <v>0</v>
      </c>
      <c r="L179" s="28">
        <f t="shared" si="466"/>
        <v>0</v>
      </c>
      <c r="M179" s="28">
        <f t="shared" si="466"/>
        <v>0</v>
      </c>
      <c r="N179" s="28">
        <f t="shared" si="466"/>
        <v>0</v>
      </c>
      <c r="O179" s="28">
        <f t="shared" si="466"/>
        <v>0</v>
      </c>
      <c r="P179" s="28">
        <f t="shared" si="466"/>
        <v>0</v>
      </c>
      <c r="Q179" s="28">
        <f t="shared" si="466"/>
        <v>0</v>
      </c>
      <c r="R179" s="28">
        <f t="shared" si="466"/>
        <v>0</v>
      </c>
      <c r="S179" s="28">
        <f t="shared" si="467"/>
        <v>0</v>
      </c>
      <c r="T179" s="28">
        <f>T600</f>
        <v>0</v>
      </c>
      <c r="U179" s="28">
        <f t="shared" si="467"/>
        <v>0</v>
      </c>
      <c r="V179" s="28">
        <f t="shared" si="467"/>
        <v>0</v>
      </c>
      <c r="W179" s="28">
        <f t="shared" si="467"/>
        <v>0</v>
      </c>
      <c r="X179" s="28">
        <f t="shared" si="467"/>
        <v>0</v>
      </c>
      <c r="Y179" s="28">
        <f t="shared" si="468"/>
        <v>0</v>
      </c>
      <c r="Z179" s="28">
        <f t="shared" si="468"/>
        <v>0</v>
      </c>
      <c r="AA179" s="28">
        <f t="shared" si="468"/>
        <v>0</v>
      </c>
      <c r="AB179" s="28">
        <f t="shared" si="468"/>
        <v>0</v>
      </c>
      <c r="AC179" s="28">
        <f t="shared" si="468"/>
        <v>0</v>
      </c>
      <c r="AD179" s="28">
        <f t="shared" ref="AD179:AF179" si="475">AD600</f>
        <v>15</v>
      </c>
      <c r="AE179" s="28">
        <f t="shared" si="475"/>
        <v>0</v>
      </c>
      <c r="AF179" s="28">
        <f t="shared" si="475"/>
        <v>0</v>
      </c>
      <c r="AG179" s="28">
        <f t="shared" ref="AG179" si="476">AG600</f>
        <v>0</v>
      </c>
      <c r="AH179" s="28">
        <f t="shared" si="471"/>
        <v>0</v>
      </c>
      <c r="AI179" s="28">
        <f t="shared" si="471"/>
        <v>0</v>
      </c>
      <c r="AJ179" s="28">
        <f t="shared" si="471"/>
        <v>0</v>
      </c>
      <c r="AK179" s="79"/>
      <c r="AL179" s="28">
        <f t="shared" si="472"/>
        <v>0</v>
      </c>
      <c r="AM179" s="28">
        <f t="shared" si="472"/>
        <v>0</v>
      </c>
      <c r="AN179" s="33">
        <f t="shared" si="455"/>
        <v>0</v>
      </c>
      <c r="AO179" s="33">
        <f t="shared" si="455"/>
        <v>0</v>
      </c>
      <c r="AP179" s="33">
        <f t="shared" si="455"/>
        <v>0</v>
      </c>
      <c r="AQ179" s="33">
        <f t="shared" si="455"/>
        <v>0</v>
      </c>
      <c r="AR179" s="33">
        <f t="shared" si="455"/>
        <v>0</v>
      </c>
      <c r="AS179" s="33">
        <f t="shared" si="455"/>
        <v>0</v>
      </c>
      <c r="AT179" s="33">
        <f t="shared" si="455"/>
        <v>15</v>
      </c>
      <c r="AU179" s="33">
        <f t="shared" si="455"/>
        <v>0</v>
      </c>
      <c r="AV179" s="28">
        <f t="shared" si="473"/>
        <v>0</v>
      </c>
      <c r="AW179" s="28">
        <f t="shared" si="473"/>
        <v>0</v>
      </c>
      <c r="AX179" s="28">
        <f t="shared" ref="AX179" si="477">AX600</f>
        <v>0</v>
      </c>
      <c r="AY179" s="1"/>
      <c r="BD179" s="43"/>
    </row>
    <row r="180" spans="2:79" s="27" customFormat="1" ht="11.25" customHeight="1">
      <c r="C180" s="43" t="s">
        <v>1202</v>
      </c>
      <c r="E180" s="28">
        <f t="shared" si="466"/>
        <v>0</v>
      </c>
      <c r="F180" s="28">
        <f t="shared" si="466"/>
        <v>0</v>
      </c>
      <c r="G180" s="28">
        <f t="shared" si="466"/>
        <v>0</v>
      </c>
      <c r="H180" s="28">
        <f t="shared" si="466"/>
        <v>0</v>
      </c>
      <c r="I180" s="28">
        <f t="shared" si="466"/>
        <v>0</v>
      </c>
      <c r="J180" s="28">
        <f t="shared" si="466"/>
        <v>0</v>
      </c>
      <c r="K180" s="28">
        <f t="shared" si="466"/>
        <v>0</v>
      </c>
      <c r="L180" s="28">
        <f t="shared" si="466"/>
        <v>0</v>
      </c>
      <c r="M180" s="28">
        <f t="shared" si="466"/>
        <v>0</v>
      </c>
      <c r="N180" s="28">
        <f t="shared" si="466"/>
        <v>0</v>
      </c>
      <c r="O180" s="28">
        <f t="shared" si="466"/>
        <v>0</v>
      </c>
      <c r="P180" s="28">
        <f t="shared" si="466"/>
        <v>0</v>
      </c>
      <c r="Q180" s="28">
        <f t="shared" si="466"/>
        <v>0</v>
      </c>
      <c r="R180" s="28">
        <f t="shared" si="466"/>
        <v>0</v>
      </c>
      <c r="S180" s="28">
        <f t="shared" si="467"/>
        <v>0</v>
      </c>
      <c r="T180" s="28">
        <f>T601</f>
        <v>0</v>
      </c>
      <c r="U180" s="28">
        <f t="shared" si="467"/>
        <v>0</v>
      </c>
      <c r="V180" s="28">
        <f t="shared" si="467"/>
        <v>0</v>
      </c>
      <c r="W180" s="28">
        <f t="shared" si="467"/>
        <v>0</v>
      </c>
      <c r="X180" s="28">
        <f t="shared" si="467"/>
        <v>0</v>
      </c>
      <c r="Y180" s="28">
        <f t="shared" si="468"/>
        <v>0</v>
      </c>
      <c r="Z180" s="28">
        <f t="shared" si="468"/>
        <v>0</v>
      </c>
      <c r="AA180" s="28">
        <f t="shared" si="468"/>
        <v>0</v>
      </c>
      <c r="AB180" s="28">
        <f t="shared" si="468"/>
        <v>0</v>
      </c>
      <c r="AC180" s="28">
        <f t="shared" si="468"/>
        <v>0</v>
      </c>
      <c r="AD180" s="28">
        <f t="shared" ref="AD180:AF180" si="478">AD601</f>
        <v>-3</v>
      </c>
      <c r="AE180" s="28">
        <f t="shared" si="478"/>
        <v>0</v>
      </c>
      <c r="AF180" s="28">
        <f t="shared" si="478"/>
        <v>22</v>
      </c>
      <c r="AG180" s="28">
        <f t="shared" ref="AG180" si="479">AG601</f>
        <v>0</v>
      </c>
      <c r="AH180" s="28">
        <f t="shared" si="471"/>
        <v>0</v>
      </c>
      <c r="AI180" s="28">
        <f t="shared" si="471"/>
        <v>0</v>
      </c>
      <c r="AJ180" s="28">
        <f t="shared" si="471"/>
        <v>0</v>
      </c>
      <c r="AK180" s="79"/>
      <c r="AL180" s="28">
        <f t="shared" si="472"/>
        <v>0</v>
      </c>
      <c r="AM180" s="28">
        <f t="shared" si="472"/>
        <v>0</v>
      </c>
      <c r="AN180" s="33">
        <f t="shared" si="455"/>
        <v>0</v>
      </c>
      <c r="AO180" s="33">
        <f t="shared" si="455"/>
        <v>0</v>
      </c>
      <c r="AP180" s="33">
        <f t="shared" si="455"/>
        <v>0</v>
      </c>
      <c r="AQ180" s="33">
        <f t="shared" si="455"/>
        <v>0</v>
      </c>
      <c r="AR180" s="33">
        <f t="shared" si="455"/>
        <v>0</v>
      </c>
      <c r="AS180" s="33">
        <f t="shared" si="455"/>
        <v>0</v>
      </c>
      <c r="AT180" s="33">
        <f t="shared" si="455"/>
        <v>19</v>
      </c>
      <c r="AU180" s="33">
        <f t="shared" si="455"/>
        <v>0</v>
      </c>
      <c r="AV180" s="28">
        <f t="shared" si="473"/>
        <v>0</v>
      </c>
      <c r="AW180" s="28">
        <f t="shared" si="473"/>
        <v>0</v>
      </c>
      <c r="AX180" s="28">
        <f t="shared" ref="AX180" si="480">AX601</f>
        <v>0</v>
      </c>
      <c r="AY180" s="1"/>
      <c r="BD180" s="43"/>
    </row>
    <row r="181" spans="2:79" s="27" customFormat="1" ht="11.25" customHeight="1">
      <c r="C181" s="43" t="s">
        <v>115</v>
      </c>
      <c r="E181" s="28">
        <f t="shared" ref="E181:R181" si="481">E602</f>
        <v>9</v>
      </c>
      <c r="F181" s="28">
        <f t="shared" si="481"/>
        <v>0</v>
      </c>
      <c r="G181" s="28">
        <f t="shared" si="481"/>
        <v>0</v>
      </c>
      <c r="H181" s="28">
        <f t="shared" si="481"/>
        <v>0</v>
      </c>
      <c r="I181" s="28">
        <f t="shared" si="481"/>
        <v>0</v>
      </c>
      <c r="J181" s="28">
        <f t="shared" si="481"/>
        <v>0</v>
      </c>
      <c r="K181" s="28">
        <f t="shared" si="481"/>
        <v>0</v>
      </c>
      <c r="L181" s="28">
        <f t="shared" si="481"/>
        <v>0</v>
      </c>
      <c r="M181" s="28">
        <f t="shared" si="481"/>
        <v>0</v>
      </c>
      <c r="N181" s="28">
        <f t="shared" si="481"/>
        <v>0</v>
      </c>
      <c r="O181" s="28">
        <f t="shared" si="481"/>
        <v>0</v>
      </c>
      <c r="P181" s="28">
        <f t="shared" si="481"/>
        <v>0</v>
      </c>
      <c r="Q181" s="28">
        <f t="shared" si="481"/>
        <v>0</v>
      </c>
      <c r="R181" s="28">
        <f t="shared" si="481"/>
        <v>0</v>
      </c>
      <c r="S181" s="28">
        <f t="shared" ref="S181:X181" si="482">S602</f>
        <v>0</v>
      </c>
      <c r="T181" s="28">
        <f>T602</f>
        <v>0</v>
      </c>
      <c r="U181" s="28">
        <f t="shared" si="482"/>
        <v>0</v>
      </c>
      <c r="V181" s="28">
        <f t="shared" si="482"/>
        <v>0</v>
      </c>
      <c r="W181" s="28">
        <f t="shared" si="482"/>
        <v>0</v>
      </c>
      <c r="X181" s="28">
        <f t="shared" si="482"/>
        <v>0</v>
      </c>
      <c r="Y181" s="28">
        <f t="shared" si="468"/>
        <v>0</v>
      </c>
      <c r="Z181" s="28">
        <f t="shared" si="468"/>
        <v>0</v>
      </c>
      <c r="AA181" s="28">
        <f t="shared" si="468"/>
        <v>0</v>
      </c>
      <c r="AB181" s="28">
        <f t="shared" si="468"/>
        <v>0</v>
      </c>
      <c r="AC181" s="28">
        <f t="shared" si="468"/>
        <v>0</v>
      </c>
      <c r="AD181" s="28">
        <f t="shared" ref="AD181:AF181" si="483">AD602</f>
        <v>0</v>
      </c>
      <c r="AE181" s="28">
        <f t="shared" si="483"/>
        <v>0</v>
      </c>
      <c r="AF181" s="28">
        <f t="shared" si="483"/>
        <v>0</v>
      </c>
      <c r="AG181" s="28">
        <f t="shared" ref="AG181" si="484">AG602</f>
        <v>0</v>
      </c>
      <c r="AH181" s="28">
        <f t="shared" ref="AH181:AJ181" si="485">AH602</f>
        <v>0</v>
      </c>
      <c r="AI181" s="28">
        <f t="shared" si="485"/>
        <v>0</v>
      </c>
      <c r="AJ181" s="28">
        <f t="shared" si="485"/>
        <v>0</v>
      </c>
      <c r="AK181" s="79"/>
      <c r="AL181" s="28">
        <f>AL602</f>
        <v>46</v>
      </c>
      <c r="AM181" s="28">
        <f>AM602</f>
        <v>28</v>
      </c>
      <c r="AN181" s="33">
        <f t="shared" si="455"/>
        <v>9</v>
      </c>
      <c r="AO181" s="33">
        <f t="shared" si="455"/>
        <v>0</v>
      </c>
      <c r="AP181" s="33">
        <f t="shared" si="455"/>
        <v>0</v>
      </c>
      <c r="AQ181" s="33">
        <f t="shared" si="455"/>
        <v>0</v>
      </c>
      <c r="AR181" s="33">
        <f t="shared" si="455"/>
        <v>0</v>
      </c>
      <c r="AS181" s="33">
        <f t="shared" si="455"/>
        <v>0</v>
      </c>
      <c r="AT181" s="33">
        <f t="shared" si="455"/>
        <v>0</v>
      </c>
      <c r="AU181" s="33">
        <f t="shared" si="455"/>
        <v>0</v>
      </c>
      <c r="AV181" s="28">
        <f t="shared" ref="AV181:AW181" si="486">AV602</f>
        <v>0</v>
      </c>
      <c r="AW181" s="28">
        <f t="shared" si="486"/>
        <v>0</v>
      </c>
      <c r="AX181" s="28">
        <f t="shared" ref="AX181" si="487">AX602</f>
        <v>0</v>
      </c>
      <c r="AY181" s="1"/>
      <c r="BD181" s="43"/>
    </row>
    <row r="182" spans="2:79" s="27" customFormat="1" ht="11.25" customHeight="1">
      <c r="C182" s="43" t="s">
        <v>112</v>
      </c>
      <c r="E182" s="28">
        <f t="shared" ref="E182:R182" si="488">E603</f>
        <v>0</v>
      </c>
      <c r="F182" s="28">
        <f t="shared" si="488"/>
        <v>0</v>
      </c>
      <c r="G182" s="28">
        <f t="shared" si="488"/>
        <v>0</v>
      </c>
      <c r="H182" s="28">
        <f t="shared" si="488"/>
        <v>0</v>
      </c>
      <c r="I182" s="28">
        <f t="shared" si="488"/>
        <v>0</v>
      </c>
      <c r="J182" s="28">
        <f t="shared" si="488"/>
        <v>0</v>
      </c>
      <c r="K182" s="28">
        <f t="shared" si="488"/>
        <v>0</v>
      </c>
      <c r="L182" s="28">
        <f t="shared" si="488"/>
        <v>9</v>
      </c>
      <c r="M182" s="28">
        <f t="shared" si="488"/>
        <v>0</v>
      </c>
      <c r="N182" s="28">
        <f t="shared" si="488"/>
        <v>0</v>
      </c>
      <c r="O182" s="28">
        <f t="shared" si="488"/>
        <v>0</v>
      </c>
      <c r="P182" s="28">
        <f t="shared" si="488"/>
        <v>0</v>
      </c>
      <c r="Q182" s="28">
        <f t="shared" si="488"/>
        <v>0</v>
      </c>
      <c r="R182" s="28">
        <f t="shared" si="488"/>
        <v>0</v>
      </c>
      <c r="S182" s="28">
        <f t="shared" ref="S182:X182" si="489">S603</f>
        <v>0</v>
      </c>
      <c r="T182" s="28">
        <f>T603</f>
        <v>0</v>
      </c>
      <c r="U182" s="28">
        <f t="shared" si="489"/>
        <v>0</v>
      </c>
      <c r="V182" s="28">
        <f t="shared" si="489"/>
        <v>0</v>
      </c>
      <c r="W182" s="28">
        <f t="shared" si="489"/>
        <v>0</v>
      </c>
      <c r="X182" s="28">
        <f t="shared" si="489"/>
        <v>0</v>
      </c>
      <c r="Y182" s="28">
        <f t="shared" si="468"/>
        <v>0</v>
      </c>
      <c r="Z182" s="28">
        <f t="shared" si="468"/>
        <v>0</v>
      </c>
      <c r="AA182" s="28">
        <f t="shared" si="468"/>
        <v>0</v>
      </c>
      <c r="AB182" s="28">
        <f t="shared" si="468"/>
        <v>0</v>
      </c>
      <c r="AC182" s="28">
        <f t="shared" si="468"/>
        <v>0</v>
      </c>
      <c r="AD182" s="28">
        <f t="shared" ref="AD182:AF182" si="490">AD603</f>
        <v>0</v>
      </c>
      <c r="AE182" s="28">
        <f t="shared" si="490"/>
        <v>0</v>
      </c>
      <c r="AF182" s="28">
        <f t="shared" si="490"/>
        <v>0</v>
      </c>
      <c r="AG182" s="28">
        <f t="shared" ref="AG182" si="491">AG603</f>
        <v>0</v>
      </c>
      <c r="AH182" s="28">
        <f t="shared" ref="AH182:AJ182" si="492">AH603</f>
        <v>0</v>
      </c>
      <c r="AI182" s="28">
        <f t="shared" si="492"/>
        <v>0</v>
      </c>
      <c r="AJ182" s="28">
        <f t="shared" si="492"/>
        <v>0</v>
      </c>
      <c r="AK182" s="79"/>
      <c r="AL182" s="28">
        <f>AL603</f>
        <v>0</v>
      </c>
      <c r="AM182" s="28">
        <f>AM603</f>
        <v>0</v>
      </c>
      <c r="AN182" s="33">
        <f t="shared" si="455"/>
        <v>0</v>
      </c>
      <c r="AO182" s="33">
        <f t="shared" si="455"/>
        <v>9</v>
      </c>
      <c r="AP182" s="33">
        <f t="shared" si="455"/>
        <v>0</v>
      </c>
      <c r="AQ182" s="33">
        <f t="shared" si="455"/>
        <v>0</v>
      </c>
      <c r="AR182" s="33">
        <f t="shared" si="455"/>
        <v>0</v>
      </c>
      <c r="AS182" s="33">
        <f t="shared" si="455"/>
        <v>0</v>
      </c>
      <c r="AT182" s="33">
        <f t="shared" si="455"/>
        <v>0</v>
      </c>
      <c r="AU182" s="33">
        <f t="shared" si="455"/>
        <v>0</v>
      </c>
      <c r="AV182" s="28">
        <f t="shared" ref="AV182:AW182" si="493">AV603</f>
        <v>0</v>
      </c>
      <c r="AW182" s="28">
        <f t="shared" si="493"/>
        <v>0</v>
      </c>
      <c r="AX182" s="28">
        <f t="shared" ref="AX182" si="494">AX603</f>
        <v>0</v>
      </c>
      <c r="AY182" s="1"/>
      <c r="BD182" s="43"/>
    </row>
    <row r="183" spans="2:79" s="27" customFormat="1" ht="11.25" customHeight="1">
      <c r="C183" s="43" t="s">
        <v>116</v>
      </c>
      <c r="E183" s="30">
        <f t="shared" ref="E183:R183" si="495">E607</f>
        <v>0</v>
      </c>
      <c r="F183" s="30">
        <f t="shared" si="495"/>
        <v>0</v>
      </c>
      <c r="G183" s="30">
        <f t="shared" si="495"/>
        <v>0</v>
      </c>
      <c r="H183" s="30">
        <f t="shared" si="495"/>
        <v>0</v>
      </c>
      <c r="I183" s="30">
        <f t="shared" si="495"/>
        <v>0</v>
      </c>
      <c r="J183" s="30">
        <f t="shared" si="495"/>
        <v>0</v>
      </c>
      <c r="K183" s="30">
        <f t="shared" si="495"/>
        <v>0</v>
      </c>
      <c r="L183" s="30">
        <f t="shared" si="495"/>
        <v>0</v>
      </c>
      <c r="M183" s="30">
        <f t="shared" si="495"/>
        <v>0</v>
      </c>
      <c r="N183" s="30">
        <f t="shared" si="495"/>
        <v>0</v>
      </c>
      <c r="O183" s="30">
        <f t="shared" si="495"/>
        <v>0</v>
      </c>
      <c r="P183" s="30">
        <f t="shared" si="495"/>
        <v>0</v>
      </c>
      <c r="Q183" s="30">
        <f t="shared" si="495"/>
        <v>0</v>
      </c>
      <c r="R183" s="30">
        <f t="shared" si="495"/>
        <v>0</v>
      </c>
      <c r="S183" s="30">
        <f t="shared" ref="S183:X183" si="496">S607</f>
        <v>0</v>
      </c>
      <c r="T183" s="30">
        <f>T607</f>
        <v>0</v>
      </c>
      <c r="U183" s="30">
        <f t="shared" si="496"/>
        <v>0</v>
      </c>
      <c r="V183" s="30">
        <f t="shared" si="496"/>
        <v>0</v>
      </c>
      <c r="W183" s="30">
        <f t="shared" si="496"/>
        <v>0</v>
      </c>
      <c r="X183" s="30">
        <f t="shared" si="496"/>
        <v>0</v>
      </c>
      <c r="Y183" s="30">
        <f>Y607</f>
        <v>0</v>
      </c>
      <c r="Z183" s="30">
        <f>Z607</f>
        <v>0</v>
      </c>
      <c r="AA183" s="30">
        <f>AA607</f>
        <v>0</v>
      </c>
      <c r="AB183" s="30">
        <f>AB607</f>
        <v>0</v>
      </c>
      <c r="AC183" s="30">
        <f>AC607</f>
        <v>0</v>
      </c>
      <c r="AD183" s="30">
        <f t="shared" ref="AD183:AF183" si="497">AD607</f>
        <v>0</v>
      </c>
      <c r="AE183" s="30">
        <f t="shared" si="497"/>
        <v>0</v>
      </c>
      <c r="AF183" s="30">
        <f t="shared" si="497"/>
        <v>0</v>
      </c>
      <c r="AG183" s="30">
        <f t="shared" ref="AG183" si="498">AG607</f>
        <v>0</v>
      </c>
      <c r="AH183" s="30">
        <f t="shared" ref="AH183:AJ183" si="499">AH607</f>
        <v>0</v>
      </c>
      <c r="AI183" s="30">
        <f t="shared" si="499"/>
        <v>0</v>
      </c>
      <c r="AJ183" s="30">
        <f t="shared" si="499"/>
        <v>0</v>
      </c>
      <c r="AK183" s="79"/>
      <c r="AL183" s="30">
        <f>AL607</f>
        <v>0</v>
      </c>
      <c r="AM183" s="30">
        <f>AM607</f>
        <v>0</v>
      </c>
      <c r="AN183" s="33">
        <f t="shared" si="455"/>
        <v>0</v>
      </c>
      <c r="AO183" s="33">
        <f t="shared" si="455"/>
        <v>0</v>
      </c>
      <c r="AP183" s="33">
        <f t="shared" si="455"/>
        <v>0</v>
      </c>
      <c r="AQ183" s="33">
        <f t="shared" si="455"/>
        <v>0</v>
      </c>
      <c r="AR183" s="33">
        <f t="shared" si="455"/>
        <v>0</v>
      </c>
      <c r="AS183" s="33">
        <f t="shared" si="455"/>
        <v>0</v>
      </c>
      <c r="AT183" s="33">
        <f t="shared" si="455"/>
        <v>0</v>
      </c>
      <c r="AU183" s="33">
        <f t="shared" si="455"/>
        <v>0</v>
      </c>
      <c r="AV183" s="30">
        <f>AV607</f>
        <v>0</v>
      </c>
      <c r="AW183" s="30">
        <f>AW607</f>
        <v>0</v>
      </c>
      <c r="AX183" s="30">
        <f t="shared" ref="AX183" si="500">AX607</f>
        <v>0</v>
      </c>
      <c r="AY183" s="1"/>
      <c r="BD183" s="43"/>
    </row>
    <row r="184" spans="2:79" s="27" customFormat="1" ht="11.25" customHeight="1">
      <c r="C184" s="43" t="s">
        <v>1787</v>
      </c>
      <c r="E184" s="28">
        <f t="shared" ref="E184:AE184" si="501">E537</f>
        <v>0</v>
      </c>
      <c r="F184" s="28">
        <f t="shared" si="501"/>
        <v>0</v>
      </c>
      <c r="G184" s="28">
        <f t="shared" si="501"/>
        <v>0</v>
      </c>
      <c r="H184" s="28">
        <f t="shared" si="501"/>
        <v>0</v>
      </c>
      <c r="I184" s="28">
        <f t="shared" si="501"/>
        <v>0</v>
      </c>
      <c r="J184" s="28">
        <f t="shared" si="501"/>
        <v>0</v>
      </c>
      <c r="K184" s="28">
        <f t="shared" si="501"/>
        <v>0</v>
      </c>
      <c r="L184" s="28">
        <f t="shared" si="501"/>
        <v>0</v>
      </c>
      <c r="M184" s="28">
        <f t="shared" si="501"/>
        <v>0</v>
      </c>
      <c r="N184" s="28">
        <f t="shared" si="501"/>
        <v>0</v>
      </c>
      <c r="O184" s="28">
        <f t="shared" si="501"/>
        <v>0</v>
      </c>
      <c r="P184" s="28">
        <f t="shared" si="501"/>
        <v>0</v>
      </c>
      <c r="Q184" s="28">
        <f t="shared" si="501"/>
        <v>0</v>
      </c>
      <c r="R184" s="28">
        <f t="shared" si="501"/>
        <v>0</v>
      </c>
      <c r="S184" s="28">
        <f t="shared" si="501"/>
        <v>0</v>
      </c>
      <c r="T184" s="28">
        <f t="shared" si="501"/>
        <v>0</v>
      </c>
      <c r="U184" s="28">
        <f t="shared" si="501"/>
        <v>0</v>
      </c>
      <c r="V184" s="28">
        <f t="shared" si="501"/>
        <v>0</v>
      </c>
      <c r="W184" s="28">
        <f t="shared" si="501"/>
        <v>0</v>
      </c>
      <c r="X184" s="28">
        <f t="shared" si="501"/>
        <v>0</v>
      </c>
      <c r="Y184" s="28">
        <f t="shared" si="501"/>
        <v>0</v>
      </c>
      <c r="Z184" s="28">
        <f t="shared" si="501"/>
        <v>0</v>
      </c>
      <c r="AA184" s="28">
        <f t="shared" si="501"/>
        <v>0</v>
      </c>
      <c r="AB184" s="28">
        <f t="shared" si="501"/>
        <v>0</v>
      </c>
      <c r="AC184" s="28">
        <f t="shared" si="501"/>
        <v>0</v>
      </c>
      <c r="AD184" s="28">
        <f t="shared" si="501"/>
        <v>0</v>
      </c>
      <c r="AE184" s="28">
        <f t="shared" si="501"/>
        <v>0</v>
      </c>
      <c r="AF184" s="28">
        <f>AF537</f>
        <v>0</v>
      </c>
      <c r="AG184" s="28">
        <f>AG537</f>
        <v>23</v>
      </c>
      <c r="AH184" s="28">
        <f t="shared" ref="AH184:AJ184" si="502">AH537</f>
        <v>0</v>
      </c>
      <c r="AI184" s="28">
        <f t="shared" si="502"/>
        <v>0</v>
      </c>
      <c r="AJ184" s="28">
        <f t="shared" si="502"/>
        <v>0</v>
      </c>
      <c r="AK184" s="79"/>
      <c r="AL184" s="28">
        <f t="shared" ref="AL184:AM184" si="503">AL537</f>
        <v>0</v>
      </c>
      <c r="AM184" s="28">
        <f t="shared" si="503"/>
        <v>0</v>
      </c>
      <c r="AN184" s="33">
        <f t="shared" si="455"/>
        <v>0</v>
      </c>
      <c r="AO184" s="33">
        <f t="shared" si="455"/>
        <v>0</v>
      </c>
      <c r="AP184" s="33">
        <f t="shared" si="455"/>
        <v>0</v>
      </c>
      <c r="AQ184" s="33">
        <f t="shared" si="455"/>
        <v>0</v>
      </c>
      <c r="AR184" s="33">
        <f t="shared" si="455"/>
        <v>0</v>
      </c>
      <c r="AS184" s="33">
        <f t="shared" si="455"/>
        <v>0</v>
      </c>
      <c r="AT184" s="33">
        <f t="shared" si="455"/>
        <v>0</v>
      </c>
      <c r="AU184" s="33">
        <f t="shared" si="455"/>
        <v>23</v>
      </c>
      <c r="AV184" s="28">
        <f t="shared" ref="AV184:AX184" si="504">AV537</f>
        <v>0</v>
      </c>
      <c r="AW184" s="28">
        <f t="shared" si="504"/>
        <v>0</v>
      </c>
      <c r="AX184" s="28">
        <f t="shared" si="504"/>
        <v>0</v>
      </c>
      <c r="AY184" s="1"/>
      <c r="BD184" s="43"/>
    </row>
    <row r="185" spans="2:79" s="27" customFormat="1" ht="11.25" customHeight="1">
      <c r="C185" s="51" t="s">
        <v>1131</v>
      </c>
      <c r="E185" s="28">
        <f t="shared" ref="E185:AE185" si="505">E606</f>
        <v>0</v>
      </c>
      <c r="F185" s="28">
        <f t="shared" si="505"/>
        <v>0</v>
      </c>
      <c r="G185" s="28">
        <f t="shared" si="505"/>
        <v>0</v>
      </c>
      <c r="H185" s="28">
        <f t="shared" si="505"/>
        <v>0</v>
      </c>
      <c r="I185" s="28">
        <f t="shared" si="505"/>
        <v>0</v>
      </c>
      <c r="J185" s="28">
        <f t="shared" si="505"/>
        <v>0</v>
      </c>
      <c r="K185" s="28">
        <f t="shared" si="505"/>
        <v>0</v>
      </c>
      <c r="L185" s="28">
        <f t="shared" si="505"/>
        <v>0</v>
      </c>
      <c r="M185" s="28">
        <f t="shared" si="505"/>
        <v>0</v>
      </c>
      <c r="N185" s="28">
        <f t="shared" si="505"/>
        <v>0</v>
      </c>
      <c r="O185" s="28">
        <f t="shared" si="505"/>
        <v>0</v>
      </c>
      <c r="P185" s="28">
        <f t="shared" si="505"/>
        <v>0</v>
      </c>
      <c r="Q185" s="28">
        <f t="shared" si="505"/>
        <v>0</v>
      </c>
      <c r="R185" s="28">
        <f t="shared" si="505"/>
        <v>0</v>
      </c>
      <c r="S185" s="28">
        <f t="shared" si="505"/>
        <v>0</v>
      </c>
      <c r="T185" s="28">
        <f t="shared" si="505"/>
        <v>0</v>
      </c>
      <c r="U185" s="28">
        <f t="shared" si="505"/>
        <v>0</v>
      </c>
      <c r="V185" s="28">
        <f t="shared" si="505"/>
        <v>0</v>
      </c>
      <c r="W185" s="28">
        <f t="shared" si="505"/>
        <v>0</v>
      </c>
      <c r="X185" s="28">
        <f t="shared" si="505"/>
        <v>0</v>
      </c>
      <c r="Y185" s="28">
        <f t="shared" si="505"/>
        <v>0</v>
      </c>
      <c r="Z185" s="28">
        <f t="shared" si="505"/>
        <v>0</v>
      </c>
      <c r="AA185" s="28">
        <f t="shared" si="505"/>
        <v>0</v>
      </c>
      <c r="AB185" s="28">
        <f t="shared" si="505"/>
        <v>0</v>
      </c>
      <c r="AC185" s="28">
        <f t="shared" si="505"/>
        <v>0</v>
      </c>
      <c r="AD185" s="28">
        <f t="shared" si="505"/>
        <v>0</v>
      </c>
      <c r="AE185" s="28">
        <f t="shared" si="505"/>
        <v>0</v>
      </c>
      <c r="AF185" s="28">
        <f>AF606</f>
        <v>0</v>
      </c>
      <c r="AG185" s="28">
        <f>AG606</f>
        <v>-8</v>
      </c>
      <c r="AH185" s="28">
        <f t="shared" ref="AH185:AJ185" si="506">AH606</f>
        <v>0</v>
      </c>
      <c r="AI185" s="28">
        <f t="shared" si="506"/>
        <v>0</v>
      </c>
      <c r="AJ185" s="28">
        <f t="shared" si="506"/>
        <v>0</v>
      </c>
      <c r="AK185" s="79"/>
      <c r="AL185" s="28">
        <f t="shared" ref="AL185:AM185" si="507">AL606</f>
        <v>0</v>
      </c>
      <c r="AM185" s="28">
        <f t="shared" si="507"/>
        <v>0</v>
      </c>
      <c r="AN185" s="33">
        <f t="shared" si="455"/>
        <v>0</v>
      </c>
      <c r="AO185" s="33">
        <f t="shared" si="455"/>
        <v>0</v>
      </c>
      <c r="AP185" s="33">
        <f t="shared" si="455"/>
        <v>0</v>
      </c>
      <c r="AQ185" s="33">
        <f t="shared" si="455"/>
        <v>0</v>
      </c>
      <c r="AR185" s="33">
        <f t="shared" si="455"/>
        <v>0</v>
      </c>
      <c r="AS185" s="33">
        <f t="shared" si="455"/>
        <v>0</v>
      </c>
      <c r="AT185" s="33">
        <f t="shared" si="455"/>
        <v>0</v>
      </c>
      <c r="AU185" s="33">
        <f t="shared" si="455"/>
        <v>-8</v>
      </c>
      <c r="AV185" s="28">
        <f t="shared" ref="AV185:AX185" si="508">AV606</f>
        <v>0</v>
      </c>
      <c r="AW185" s="28">
        <f t="shared" si="508"/>
        <v>0</v>
      </c>
      <c r="AX185" s="28">
        <f t="shared" si="508"/>
        <v>0</v>
      </c>
      <c r="AY185" s="1"/>
      <c r="BD185" s="43"/>
    </row>
    <row r="186" spans="2:79" s="27" customFormat="1" ht="11.25" customHeight="1">
      <c r="C186" s="43" t="s">
        <v>113</v>
      </c>
      <c r="E186" s="28">
        <f t="shared" ref="E186:R186" si="509">E608</f>
        <v>0</v>
      </c>
      <c r="F186" s="28">
        <f t="shared" si="509"/>
        <v>0</v>
      </c>
      <c r="G186" s="28">
        <f t="shared" si="509"/>
        <v>0</v>
      </c>
      <c r="H186" s="28">
        <f t="shared" si="509"/>
        <v>0</v>
      </c>
      <c r="I186" s="28">
        <f t="shared" si="509"/>
        <v>0</v>
      </c>
      <c r="J186" s="28">
        <f t="shared" si="509"/>
        <v>0</v>
      </c>
      <c r="K186" s="28">
        <f t="shared" si="509"/>
        <v>0</v>
      </c>
      <c r="L186" s="28">
        <f t="shared" si="509"/>
        <v>0</v>
      </c>
      <c r="M186" s="28">
        <f t="shared" si="509"/>
        <v>11</v>
      </c>
      <c r="N186" s="28">
        <f t="shared" si="509"/>
        <v>8</v>
      </c>
      <c r="O186" s="28">
        <f t="shared" si="509"/>
        <v>1</v>
      </c>
      <c r="P186" s="28">
        <f t="shared" si="509"/>
        <v>0</v>
      </c>
      <c r="Q186" s="28">
        <f t="shared" si="509"/>
        <v>0</v>
      </c>
      <c r="R186" s="28">
        <f t="shared" si="509"/>
        <v>0</v>
      </c>
      <c r="S186" s="28">
        <f t="shared" ref="S186:X186" si="510">S608</f>
        <v>0</v>
      </c>
      <c r="T186" s="28">
        <f>T608</f>
        <v>0</v>
      </c>
      <c r="U186" s="28">
        <f t="shared" si="510"/>
        <v>0</v>
      </c>
      <c r="V186" s="28">
        <f t="shared" si="510"/>
        <v>0</v>
      </c>
      <c r="W186" s="28">
        <f t="shared" si="510"/>
        <v>0</v>
      </c>
      <c r="X186" s="28">
        <f t="shared" si="510"/>
        <v>0</v>
      </c>
      <c r="Y186" s="28">
        <f t="shared" ref="Y186:AC186" si="511">Y608</f>
        <v>0</v>
      </c>
      <c r="Z186" s="28">
        <f t="shared" si="511"/>
        <v>0</v>
      </c>
      <c r="AA186" s="28">
        <f t="shared" si="511"/>
        <v>0</v>
      </c>
      <c r="AB186" s="28">
        <f t="shared" si="511"/>
        <v>0</v>
      </c>
      <c r="AC186" s="28">
        <f t="shared" si="511"/>
        <v>0</v>
      </c>
      <c r="AD186" s="28">
        <f t="shared" ref="AD186:AF186" si="512">AD608</f>
        <v>0</v>
      </c>
      <c r="AE186" s="28">
        <f t="shared" si="512"/>
        <v>0</v>
      </c>
      <c r="AF186" s="28">
        <f t="shared" si="512"/>
        <v>0</v>
      </c>
      <c r="AG186" s="28">
        <f t="shared" ref="AG186" si="513">AG608</f>
        <v>0</v>
      </c>
      <c r="AH186" s="28">
        <f t="shared" ref="AH186:AJ186" si="514">AH608</f>
        <v>0</v>
      </c>
      <c r="AI186" s="28">
        <f t="shared" si="514"/>
        <v>0</v>
      </c>
      <c r="AJ186" s="28">
        <f t="shared" si="514"/>
        <v>0</v>
      </c>
      <c r="AK186" s="79"/>
      <c r="AL186" s="28">
        <f>AL608</f>
        <v>0</v>
      </c>
      <c r="AM186" s="28">
        <f>AM608</f>
        <v>0</v>
      </c>
      <c r="AN186" s="33">
        <f t="shared" si="455"/>
        <v>0</v>
      </c>
      <c r="AO186" s="33">
        <f t="shared" si="455"/>
        <v>0</v>
      </c>
      <c r="AP186" s="33">
        <f t="shared" si="455"/>
        <v>20</v>
      </c>
      <c r="AQ186" s="33">
        <f t="shared" si="455"/>
        <v>0</v>
      </c>
      <c r="AR186" s="33">
        <f t="shared" si="455"/>
        <v>0</v>
      </c>
      <c r="AS186" s="33">
        <f t="shared" si="455"/>
        <v>0</v>
      </c>
      <c r="AT186" s="33">
        <f t="shared" si="455"/>
        <v>0</v>
      </c>
      <c r="AU186" s="33">
        <f t="shared" si="455"/>
        <v>0</v>
      </c>
      <c r="AV186" s="28">
        <f t="shared" ref="AV186:AW186" si="515">AV608</f>
        <v>0</v>
      </c>
      <c r="AW186" s="28">
        <f t="shared" si="515"/>
        <v>0</v>
      </c>
      <c r="AX186" s="28">
        <f t="shared" ref="AX186" si="516">AX608</f>
        <v>0</v>
      </c>
      <c r="AY186" s="1"/>
      <c r="BD186" s="43"/>
    </row>
    <row r="187" spans="2:79" s="27" customFormat="1" ht="11.25" customHeight="1">
      <c r="C187" s="45" t="s">
        <v>356</v>
      </c>
      <c r="E187" s="35">
        <f t="shared" ref="E187:AJ187" si="517">E170+SUM(E173:E186)</f>
        <v>406</v>
      </c>
      <c r="F187" s="35">
        <f t="shared" si="517"/>
        <v>376</v>
      </c>
      <c r="G187" s="35">
        <f t="shared" si="517"/>
        <v>416</v>
      </c>
      <c r="H187" s="35">
        <f t="shared" si="517"/>
        <v>336</v>
      </c>
      <c r="I187" s="35">
        <f t="shared" si="517"/>
        <v>401</v>
      </c>
      <c r="J187" s="35">
        <f t="shared" si="517"/>
        <v>420</v>
      </c>
      <c r="K187" s="35">
        <f t="shared" si="517"/>
        <v>461</v>
      </c>
      <c r="L187" s="35">
        <f t="shared" si="517"/>
        <v>353</v>
      </c>
      <c r="M187" s="35">
        <f t="shared" si="517"/>
        <v>459</v>
      </c>
      <c r="N187" s="35">
        <f t="shared" si="517"/>
        <v>447</v>
      </c>
      <c r="O187" s="35">
        <f t="shared" si="517"/>
        <v>451</v>
      </c>
      <c r="P187" s="35">
        <f t="shared" si="517"/>
        <v>276</v>
      </c>
      <c r="Q187" s="35">
        <f t="shared" si="517"/>
        <v>352</v>
      </c>
      <c r="R187" s="35">
        <f t="shared" si="517"/>
        <v>389</v>
      </c>
      <c r="S187" s="35">
        <f t="shared" si="517"/>
        <v>369</v>
      </c>
      <c r="T187" s="35">
        <f t="shared" si="517"/>
        <v>279</v>
      </c>
      <c r="U187" s="35">
        <f t="shared" si="517"/>
        <v>382</v>
      </c>
      <c r="V187" s="35">
        <f t="shared" si="517"/>
        <v>195</v>
      </c>
      <c r="W187" s="35">
        <f t="shared" si="517"/>
        <v>310</v>
      </c>
      <c r="X187" s="35">
        <f t="shared" si="517"/>
        <v>329</v>
      </c>
      <c r="Y187" s="35">
        <f t="shared" si="517"/>
        <v>400</v>
      </c>
      <c r="Z187" s="35">
        <f t="shared" si="517"/>
        <v>454</v>
      </c>
      <c r="AA187" s="35">
        <f t="shared" si="517"/>
        <v>445</v>
      </c>
      <c r="AB187" s="35">
        <f t="shared" si="517"/>
        <v>336</v>
      </c>
      <c r="AC187" s="35">
        <f t="shared" si="517"/>
        <v>366</v>
      </c>
      <c r="AD187" s="35">
        <f t="shared" si="517"/>
        <v>469</v>
      </c>
      <c r="AE187" s="35">
        <f t="shared" si="517"/>
        <v>333</v>
      </c>
      <c r="AF187" s="35">
        <f t="shared" si="517"/>
        <v>171</v>
      </c>
      <c r="AG187" s="35">
        <f t="shared" si="517"/>
        <v>283</v>
      </c>
      <c r="AH187" s="35">
        <f t="shared" si="517"/>
        <v>382.96299999999997</v>
      </c>
      <c r="AI187" s="35">
        <f t="shared" si="517"/>
        <v>408.39790000000005</v>
      </c>
      <c r="AJ187" s="35">
        <f t="shared" si="517"/>
        <v>341.23170000000005</v>
      </c>
      <c r="AK187" s="79"/>
      <c r="AL187" s="35">
        <f t="shared" ref="AL187:AX187" si="518">AL170+SUM(AL173:AL186)</f>
        <v>1613</v>
      </c>
      <c r="AM187" s="35">
        <f t="shared" si="518"/>
        <v>1692</v>
      </c>
      <c r="AN187" s="35">
        <f t="shared" si="518"/>
        <v>1534</v>
      </c>
      <c r="AO187" s="35">
        <f t="shared" si="518"/>
        <v>1635</v>
      </c>
      <c r="AP187" s="35">
        <f t="shared" si="518"/>
        <v>1633</v>
      </c>
      <c r="AQ187" s="35">
        <f t="shared" si="518"/>
        <v>1389</v>
      </c>
      <c r="AR187" s="35">
        <f t="shared" si="518"/>
        <v>1216</v>
      </c>
      <c r="AS187" s="35">
        <f t="shared" si="518"/>
        <v>1635</v>
      </c>
      <c r="AT187" s="35">
        <f t="shared" si="518"/>
        <v>1339</v>
      </c>
      <c r="AU187" s="35">
        <f t="shared" si="518"/>
        <v>1415.5926000000002</v>
      </c>
      <c r="AV187" s="35">
        <f t="shared" si="518"/>
        <v>1516.7443589999998</v>
      </c>
      <c r="AW187" s="35">
        <f t="shared" si="518"/>
        <v>1598.1947735650001</v>
      </c>
      <c r="AX187" s="35">
        <f t="shared" si="518"/>
        <v>1691.2155851145749</v>
      </c>
      <c r="AY187" s="1"/>
      <c r="BD187" s="43"/>
    </row>
    <row r="188" spans="2:79" s="3" customFormat="1" ht="11.25" customHeight="1" outlineLevel="1">
      <c r="B188" s="1"/>
      <c r="C188" s="213" t="s">
        <v>358</v>
      </c>
      <c r="E188" s="408"/>
      <c r="F188" s="408"/>
      <c r="G188" s="408"/>
      <c r="H188" s="409"/>
      <c r="I188" s="120">
        <f t="shared" ref="I188:R188" si="519">+IFERROR(IF(OR(I187&lt;0,E187&lt;0),"NM ",I187/E187-1), "NA ")</f>
        <v>-1.2315270935960632E-2</v>
      </c>
      <c r="J188" s="120">
        <f t="shared" si="519"/>
        <v>0.11702127659574457</v>
      </c>
      <c r="K188" s="120">
        <f t="shared" si="519"/>
        <v>0.10817307692307687</v>
      </c>
      <c r="L188" s="120">
        <f t="shared" si="519"/>
        <v>5.0595238095238138E-2</v>
      </c>
      <c r="M188" s="120">
        <f t="shared" si="519"/>
        <v>0.14463840399002503</v>
      </c>
      <c r="N188" s="120">
        <f t="shared" si="519"/>
        <v>6.4285714285714279E-2</v>
      </c>
      <c r="O188" s="120">
        <f t="shared" si="519"/>
        <v>-2.1691973969631184E-2</v>
      </c>
      <c r="P188" s="120">
        <f t="shared" si="519"/>
        <v>-0.21813031161473084</v>
      </c>
      <c r="Q188" s="120">
        <f t="shared" si="519"/>
        <v>-0.23311546840958608</v>
      </c>
      <c r="R188" s="120">
        <f t="shared" si="519"/>
        <v>-0.12975391498881428</v>
      </c>
      <c r="S188" s="120">
        <f t="shared" ref="S188:AC188" si="520">+IFERROR(IF(OR(S187&lt;0,O187&lt;0),"NM ",S187/O187-1), "NA ")</f>
        <v>-0.18181818181818177</v>
      </c>
      <c r="T188" s="120">
        <f t="shared" si="520"/>
        <v>1.0869565217391353E-2</v>
      </c>
      <c r="U188" s="120">
        <f t="shared" si="520"/>
        <v>8.5227272727272707E-2</v>
      </c>
      <c r="V188" s="120">
        <f t="shared" si="520"/>
        <v>-0.49871465295629824</v>
      </c>
      <c r="W188" s="120">
        <f t="shared" si="520"/>
        <v>-0.15989159891598914</v>
      </c>
      <c r="X188" s="120">
        <f t="shared" si="520"/>
        <v>0.17921146953405009</v>
      </c>
      <c r="Y188" s="120">
        <f t="shared" si="520"/>
        <v>4.7120418848167533E-2</v>
      </c>
      <c r="Z188" s="120">
        <f t="shared" si="520"/>
        <v>1.3282051282051284</v>
      </c>
      <c r="AA188" s="120">
        <f t="shared" si="520"/>
        <v>0.43548387096774199</v>
      </c>
      <c r="AB188" s="120">
        <f t="shared" si="520"/>
        <v>2.1276595744680771E-2</v>
      </c>
      <c r="AC188" s="120">
        <f t="shared" si="520"/>
        <v>-8.4999999999999964E-2</v>
      </c>
      <c r="AD188" s="120">
        <f t="shared" ref="AD188" si="521">+IFERROR(IF(OR(AD187&lt;0,Z187&lt;0),"NM ",AD187/Z187-1), "NA ")</f>
        <v>3.3039647577092435E-2</v>
      </c>
      <c r="AE188" s="120">
        <f t="shared" ref="AE188" si="522">+IFERROR(IF(OR(AE187&lt;0,AA187&lt;0),"NM ",AE187/AA187-1), "NA ")</f>
        <v>-0.25168539325842698</v>
      </c>
      <c r="AF188" s="120">
        <f t="shared" ref="AF188:AG188" si="523">+IFERROR(IF(OR(AF187&lt;0,AB187&lt;0),"NM ",AF187/AB187-1), "NA ")</f>
        <v>-0.4910714285714286</v>
      </c>
      <c r="AG188" s="120">
        <f t="shared" si="523"/>
        <v>-0.22677595628415304</v>
      </c>
      <c r="AH188" s="120">
        <f t="shared" ref="AH188" si="524">+IFERROR(IF(OR(AH187&lt;0,AD187&lt;0),"NM ",AH187/AD187-1), "NA ")</f>
        <v>-0.18344776119402995</v>
      </c>
      <c r="AI188" s="120">
        <f t="shared" ref="AI188" si="525">+IFERROR(IF(OR(AI187&lt;0,AE187&lt;0),"NM ",AI187/AE187-1), "NA ")</f>
        <v>0.22642012012012036</v>
      </c>
      <c r="AJ188" s="120">
        <f t="shared" ref="AJ188" si="526">+IFERROR(IF(OR(AJ187&lt;0,AF187&lt;0),"NM ",AJ187/AF187-1), "NA ")</f>
        <v>0.99550701754385984</v>
      </c>
      <c r="AK188" s="79"/>
      <c r="AL188" s="409"/>
      <c r="AM188" s="120">
        <f t="shared" ref="AM188:AX188" si="527">+IFERROR(IF(OR(AM187&lt;0,AL187&lt;0),"NM ",AM187/AL187-1), "NA ")</f>
        <v>4.897706137631741E-2</v>
      </c>
      <c r="AN188" s="120">
        <f t="shared" si="527"/>
        <v>-9.338061465721037E-2</v>
      </c>
      <c r="AO188" s="120">
        <f t="shared" si="527"/>
        <v>6.5840938722294684E-2</v>
      </c>
      <c r="AP188" s="120">
        <f t="shared" si="527"/>
        <v>-1.2232415902140303E-3</v>
      </c>
      <c r="AQ188" s="120">
        <f t="shared" si="527"/>
        <v>-0.14941824862216779</v>
      </c>
      <c r="AR188" s="120">
        <f t="shared" si="527"/>
        <v>-0.12455003599712022</v>
      </c>
      <c r="AS188" s="120">
        <f t="shared" si="527"/>
        <v>0.34457236842105265</v>
      </c>
      <c r="AT188" s="120">
        <f t="shared" si="527"/>
        <v>-0.18103975535168193</v>
      </c>
      <c r="AU188" s="120">
        <f t="shared" si="527"/>
        <v>5.7201344286781364E-2</v>
      </c>
      <c r="AV188" s="120">
        <f t="shared" si="527"/>
        <v>7.1455416621985401E-2</v>
      </c>
      <c r="AW188" s="120">
        <f t="shared" si="527"/>
        <v>5.3700819180037218E-2</v>
      </c>
      <c r="AX188" s="120">
        <f t="shared" si="527"/>
        <v>5.8203676478104427E-2</v>
      </c>
      <c r="AY188" s="1"/>
      <c r="BY188" s="831"/>
      <c r="BZ188" s="831"/>
      <c r="CA188" s="831"/>
    </row>
    <row r="189" spans="2:79" s="3" customFormat="1" ht="11.25" customHeight="1" outlineLevel="1">
      <c r="B189" s="1"/>
      <c r="C189" s="410" t="s">
        <v>360</v>
      </c>
      <c r="E189" s="406">
        <f t="shared" ref="E189:AJ189" si="528">E187/E73</f>
        <v>0.18157423971377459</v>
      </c>
      <c r="F189" s="406">
        <f t="shared" si="528"/>
        <v>0.16369177187636047</v>
      </c>
      <c r="G189" s="406">
        <f t="shared" si="528"/>
        <v>0.18189768255356362</v>
      </c>
      <c r="H189" s="406">
        <f t="shared" si="528"/>
        <v>0.15356489945155394</v>
      </c>
      <c r="I189" s="406">
        <f t="shared" si="528"/>
        <v>0.17412071211463309</v>
      </c>
      <c r="J189" s="406">
        <f t="shared" si="528"/>
        <v>0.17362546506821</v>
      </c>
      <c r="K189" s="406">
        <f t="shared" si="528"/>
        <v>0.18701825557809332</v>
      </c>
      <c r="L189" s="406">
        <f t="shared" si="528"/>
        <v>0.14944961896697714</v>
      </c>
      <c r="M189" s="406">
        <f t="shared" si="528"/>
        <v>0.1760644418872267</v>
      </c>
      <c r="N189" s="406">
        <f t="shared" si="528"/>
        <v>0.17054559328500574</v>
      </c>
      <c r="O189" s="406">
        <f t="shared" si="528"/>
        <v>0.17707106399685904</v>
      </c>
      <c r="P189" s="406">
        <f t="shared" si="528"/>
        <v>0.11616161616161616</v>
      </c>
      <c r="Q189" s="406">
        <f t="shared" si="528"/>
        <v>0.14789915966386555</v>
      </c>
      <c r="R189" s="406">
        <f t="shared" si="528"/>
        <v>0.1646212441811257</v>
      </c>
      <c r="S189" s="406">
        <f t="shared" si="528"/>
        <v>0.15870967741935485</v>
      </c>
      <c r="T189" s="406">
        <f t="shared" si="528"/>
        <v>0.12653061224489795</v>
      </c>
      <c r="U189" s="406">
        <f t="shared" si="528"/>
        <v>0.17045961624274877</v>
      </c>
      <c r="V189" s="406">
        <f t="shared" si="528"/>
        <v>0.10135135135135136</v>
      </c>
      <c r="W189" s="406">
        <f t="shared" si="528"/>
        <v>0.1460885956644675</v>
      </c>
      <c r="X189" s="406">
        <f t="shared" si="528"/>
        <v>0.15050320219579141</v>
      </c>
      <c r="Y189" s="406">
        <f t="shared" si="528"/>
        <v>0.16604400166044</v>
      </c>
      <c r="Z189" s="406">
        <f t="shared" si="528"/>
        <v>0.17112702600829249</v>
      </c>
      <c r="AA189" s="406">
        <f t="shared" si="528"/>
        <v>0.16360294117647059</v>
      </c>
      <c r="AB189" s="406">
        <f t="shared" si="528"/>
        <v>0.12472160356347439</v>
      </c>
      <c r="AC189" s="406">
        <f t="shared" si="528"/>
        <v>0.13485630066322771</v>
      </c>
      <c r="AD189" s="406">
        <f t="shared" si="528"/>
        <v>0.16846264367816091</v>
      </c>
      <c r="AE189" s="406">
        <f t="shared" si="528"/>
        <v>0.12292358803986711</v>
      </c>
      <c r="AF189" s="406">
        <f t="shared" si="528"/>
        <v>7.2060682680151714E-2</v>
      </c>
      <c r="AG189" s="406">
        <f t="shared" si="528"/>
        <v>0.11733001658374792</v>
      </c>
      <c r="AH189" s="406">
        <f t="shared" si="528"/>
        <v>0.14156341027043812</v>
      </c>
      <c r="AI189" s="406">
        <f t="shared" si="528"/>
        <v>0.15136948577104695</v>
      </c>
      <c r="AJ189" s="406">
        <f t="shared" si="528"/>
        <v>0.1419562938372064</v>
      </c>
      <c r="AK189" s="79"/>
      <c r="AL189" s="406">
        <f t="shared" ref="AL189:AX189" si="529">AL187/AL73</f>
        <v>0.16930828172562193</v>
      </c>
      <c r="AM189" s="406">
        <f t="shared" si="529"/>
        <v>0.17537313432835822</v>
      </c>
      <c r="AN189" s="406">
        <f t="shared" si="529"/>
        <v>0.17029307282415632</v>
      </c>
      <c r="AO189" s="406">
        <f t="shared" si="529"/>
        <v>0.17122211749921457</v>
      </c>
      <c r="AP189" s="406">
        <f t="shared" si="529"/>
        <v>0.16087085016254557</v>
      </c>
      <c r="AQ189" s="406">
        <f t="shared" si="529"/>
        <v>0.14978971206729214</v>
      </c>
      <c r="AR189" s="406">
        <f t="shared" si="529"/>
        <v>0.14351469373303435</v>
      </c>
      <c r="AS189" s="406">
        <f t="shared" si="529"/>
        <v>0.15607101947308133</v>
      </c>
      <c r="AT189" s="406">
        <f t="shared" si="529"/>
        <v>0.12655954631379962</v>
      </c>
      <c r="AU189" s="406">
        <f t="shared" si="529"/>
        <v>0.13852500821995023</v>
      </c>
      <c r="AV189" s="406">
        <f t="shared" si="529"/>
        <v>0.14321073042361282</v>
      </c>
      <c r="AW189" s="406">
        <f t="shared" si="529"/>
        <v>0.14645810787999791</v>
      </c>
      <c r="AX189" s="406">
        <f t="shared" si="529"/>
        <v>0.15113910204432252</v>
      </c>
      <c r="AY189" s="1"/>
      <c r="BY189" s="831"/>
      <c r="BZ189" s="831"/>
      <c r="CA189" s="831"/>
    </row>
    <row r="190" spans="2:79" s="3" customFormat="1" ht="11.25" customHeight="1" outlineLevel="1">
      <c r="B190" s="1"/>
      <c r="C190" s="410" t="s">
        <v>639</v>
      </c>
      <c r="E190" s="408"/>
      <c r="F190" s="408"/>
      <c r="G190" s="408"/>
      <c r="H190" s="409"/>
      <c r="I190" s="411">
        <f t="shared" ref="I190:R190" si="530">+IFERROR(IF(OR(I189&lt;0,E189&lt;0),"NM ",(I189-E189)*10000), "NA ")</f>
        <v>-74.53527599141502</v>
      </c>
      <c r="J190" s="411">
        <f t="shared" si="530"/>
        <v>99.336931918495296</v>
      </c>
      <c r="K190" s="411">
        <f t="shared" si="530"/>
        <v>51.205730245297012</v>
      </c>
      <c r="L190" s="411">
        <f t="shared" si="530"/>
        <v>-41.152804845767946</v>
      </c>
      <c r="M190" s="411">
        <f t="shared" si="530"/>
        <v>19.437297725936055</v>
      </c>
      <c r="N190" s="411">
        <f t="shared" si="530"/>
        <v>-30.798717832042634</v>
      </c>
      <c r="O190" s="411">
        <f t="shared" si="530"/>
        <v>-99.471915812342772</v>
      </c>
      <c r="P190" s="411">
        <f t="shared" si="530"/>
        <v>-332.88002805360981</v>
      </c>
      <c r="Q190" s="411">
        <f t="shared" si="530"/>
        <v>-281.65282223361152</v>
      </c>
      <c r="R190" s="411">
        <f t="shared" si="530"/>
        <v>-59.243491038800386</v>
      </c>
      <c r="S190" s="411">
        <f t="shared" ref="S190:AC190" si="531">+IFERROR(IF(OR(S189&lt;0,O189&lt;0),"NM ",(S189-O189)*10000), "NA ")</f>
        <v>-183.61386577504192</v>
      </c>
      <c r="T190" s="411">
        <f t="shared" si="531"/>
        <v>103.68996083281789</v>
      </c>
      <c r="U190" s="411">
        <f t="shared" si="531"/>
        <v>225.60456578883225</v>
      </c>
      <c r="V190" s="411">
        <f t="shared" si="531"/>
        <v>-632.69892829774335</v>
      </c>
      <c r="W190" s="411">
        <f t="shared" si="531"/>
        <v>-126.21081754887354</v>
      </c>
      <c r="X190" s="411">
        <f t="shared" si="531"/>
        <v>239.72589950893465</v>
      </c>
      <c r="Y190" s="411">
        <f t="shared" si="531"/>
        <v>-44.156145823087691</v>
      </c>
      <c r="Z190" s="411">
        <f t="shared" si="531"/>
        <v>697.75674656941135</v>
      </c>
      <c r="AA190" s="411">
        <f t="shared" si="531"/>
        <v>175.14345512003092</v>
      </c>
      <c r="AB190" s="411">
        <f t="shared" si="531"/>
        <v>-257.81598632317019</v>
      </c>
      <c r="AC190" s="411">
        <f t="shared" si="531"/>
        <v>-311.87700997212295</v>
      </c>
      <c r="AD190" s="411">
        <f t="shared" ref="AD190" si="532">+IFERROR(IF(OR(AD189&lt;0,Z189&lt;0),"NM ",(AD189-Z189)*10000), "NA ")</f>
        <v>-26.643823301315816</v>
      </c>
      <c r="AE190" s="411">
        <f t="shared" ref="AE190" si="533">+IFERROR(IF(OR(AE189&lt;0,AA189&lt;0),"NM ",(AE189-AA189)*10000), "NA ")</f>
        <v>-406.79353136603481</v>
      </c>
      <c r="AF190" s="411">
        <f t="shared" ref="AF190:AG190" si="534">+IFERROR(IF(OR(AF189&lt;0,AB189&lt;0),"NM ",(AF189-AB189)*10000), "NA ")</f>
        <v>-526.60920883322683</v>
      </c>
      <c r="AG190" s="411">
        <f t="shared" si="534"/>
        <v>-175.26284079479788</v>
      </c>
      <c r="AH190" s="411">
        <f t="shared" ref="AH190" si="535">+IFERROR(IF(OR(AH189&lt;0,AD189&lt;0),"NM ",(AH189-AD189)*10000), "NA ")</f>
        <v>-268.99233407722795</v>
      </c>
      <c r="AI190" s="411">
        <f t="shared" ref="AI190" si="536">+IFERROR(IF(OR(AI189&lt;0,AE189&lt;0),"NM ",(AI189-AE189)*10000), "NA ")</f>
        <v>284.45897731179838</v>
      </c>
      <c r="AJ190" s="411">
        <f t="shared" ref="AJ190" si="537">+IFERROR(IF(OR(AJ189&lt;0,AF189&lt;0),"NM ",(AJ189-AF189)*10000), "NA ")</f>
        <v>698.9561115705468</v>
      </c>
      <c r="AK190" s="79"/>
      <c r="AL190" s="408"/>
      <c r="AM190" s="411">
        <f t="shared" ref="AM190:AX190" si="538">+IFERROR(IF(OR(AM189&lt;0,AL189&lt;0),"NM ",(AM189-AL189)*10000), "NA ")</f>
        <v>60.64852602736287</v>
      </c>
      <c r="AN190" s="411">
        <f t="shared" si="538"/>
        <v>-50.80061504201899</v>
      </c>
      <c r="AO190" s="411">
        <f t="shared" si="538"/>
        <v>9.2904467505824933</v>
      </c>
      <c r="AP190" s="411">
        <f t="shared" si="538"/>
        <v>-103.51267336668995</v>
      </c>
      <c r="AQ190" s="411">
        <f t="shared" si="538"/>
        <v>-110.81138095253435</v>
      </c>
      <c r="AR190" s="411">
        <f t="shared" si="538"/>
        <v>-62.750183342577813</v>
      </c>
      <c r="AS190" s="411">
        <f t="shared" si="538"/>
        <v>125.56325740046975</v>
      </c>
      <c r="AT190" s="411">
        <f t="shared" si="538"/>
        <v>-295.11473159281707</v>
      </c>
      <c r="AU190" s="411">
        <f t="shared" si="538"/>
        <v>119.6546190615061</v>
      </c>
      <c r="AV190" s="411">
        <f t="shared" si="538"/>
        <v>46.857222036625899</v>
      </c>
      <c r="AW190" s="411">
        <f t="shared" si="538"/>
        <v>32.473774563850924</v>
      </c>
      <c r="AX190" s="411">
        <f t="shared" si="538"/>
        <v>46.809941643246034</v>
      </c>
      <c r="AY190" s="1"/>
      <c r="BY190" s="831"/>
      <c r="BZ190" s="831"/>
      <c r="CA190" s="831"/>
    </row>
    <row r="191" spans="2:79" s="3" customFormat="1" ht="5.2" customHeight="1" outlineLevel="1">
      <c r="B191" s="1"/>
      <c r="C191" s="410"/>
      <c r="E191" s="121"/>
      <c r="F191" s="121"/>
      <c r="G191" s="121"/>
      <c r="H191" s="120"/>
      <c r="I191" s="411"/>
      <c r="J191" s="411"/>
      <c r="K191" s="411"/>
      <c r="L191" s="411"/>
      <c r="M191" s="411"/>
      <c r="N191" s="411"/>
      <c r="O191" s="411"/>
      <c r="P191" s="411"/>
      <c r="Q191" s="411"/>
      <c r="R191" s="411"/>
      <c r="S191" s="411"/>
      <c r="T191" s="411"/>
      <c r="U191" s="2"/>
      <c r="V191" s="121"/>
      <c r="W191" s="411"/>
      <c r="X191" s="411"/>
      <c r="Y191" s="411"/>
      <c r="Z191" s="411"/>
      <c r="AA191" s="411"/>
      <c r="AB191" s="411"/>
      <c r="AC191" s="411"/>
      <c r="AD191" s="411"/>
      <c r="AE191" s="411"/>
      <c r="AF191" s="411"/>
      <c r="AG191" s="411"/>
      <c r="AH191" s="411"/>
      <c r="AI191" s="411"/>
      <c r="AJ191" s="411"/>
      <c r="AK191" s="79"/>
      <c r="AL191" s="411"/>
      <c r="AM191" s="411"/>
      <c r="AN191" s="411"/>
      <c r="AO191" s="411"/>
      <c r="AP191" s="411"/>
      <c r="AQ191" s="411"/>
      <c r="AR191" s="411"/>
      <c r="AY191" s="1"/>
      <c r="BY191" s="831"/>
      <c r="BZ191" s="831"/>
      <c r="CA191" s="831"/>
    </row>
    <row r="192" spans="2:79" s="27" customFormat="1" ht="11.25" customHeight="1">
      <c r="C192" s="43" t="s">
        <v>361</v>
      </c>
      <c r="E192" s="28">
        <f t="shared" ref="E192:AJ192" si="539">E43</f>
        <v>323</v>
      </c>
      <c r="F192" s="28">
        <f t="shared" si="539"/>
        <v>324</v>
      </c>
      <c r="G192" s="28">
        <f t="shared" si="539"/>
        <v>289</v>
      </c>
      <c r="H192" s="28">
        <f t="shared" si="539"/>
        <v>113</v>
      </c>
      <c r="I192" s="28">
        <f t="shared" si="539"/>
        <v>341</v>
      </c>
      <c r="J192" s="28">
        <f t="shared" si="539"/>
        <v>359</v>
      </c>
      <c r="K192" s="28">
        <f t="shared" si="539"/>
        <v>403</v>
      </c>
      <c r="L192" s="28">
        <f t="shared" si="539"/>
        <v>186</v>
      </c>
      <c r="M192" s="28">
        <f t="shared" si="539"/>
        <v>350</v>
      </c>
      <c r="N192" s="28">
        <f t="shared" si="539"/>
        <v>430</v>
      </c>
      <c r="O192" s="28">
        <f t="shared" si="539"/>
        <v>459</v>
      </c>
      <c r="P192" s="28">
        <f t="shared" si="539"/>
        <v>71</v>
      </c>
      <c r="Q192" s="28">
        <f t="shared" si="539"/>
        <v>264</v>
      </c>
      <c r="R192" s="28">
        <f t="shared" si="539"/>
        <v>316</v>
      </c>
      <c r="S192" s="28">
        <f t="shared" si="539"/>
        <v>313</v>
      </c>
      <c r="T192" s="28">
        <f t="shared" si="539"/>
        <v>9</v>
      </c>
      <c r="U192" s="28">
        <f t="shared" si="539"/>
        <v>316</v>
      </c>
      <c r="V192" s="28">
        <f t="shared" si="539"/>
        <v>-1</v>
      </c>
      <c r="W192" s="28">
        <f t="shared" si="539"/>
        <v>190</v>
      </c>
      <c r="X192" s="28">
        <f t="shared" si="539"/>
        <v>25</v>
      </c>
      <c r="Y192" s="28">
        <f t="shared" si="539"/>
        <v>339</v>
      </c>
      <c r="Z192" s="28">
        <f t="shared" si="539"/>
        <v>-107</v>
      </c>
      <c r="AA192" s="28">
        <f t="shared" si="539"/>
        <v>321</v>
      </c>
      <c r="AB192" s="28">
        <f t="shared" si="539"/>
        <v>529</v>
      </c>
      <c r="AC192" s="28">
        <f t="shared" si="539"/>
        <v>287</v>
      </c>
      <c r="AD192" s="28">
        <f t="shared" si="539"/>
        <v>381</v>
      </c>
      <c r="AE192" s="28">
        <f t="shared" si="539"/>
        <v>281</v>
      </c>
      <c r="AF192" s="28">
        <f t="shared" si="539"/>
        <v>28</v>
      </c>
      <c r="AG192" s="28">
        <f t="shared" si="539"/>
        <v>194</v>
      </c>
      <c r="AH192" s="28">
        <f t="shared" ca="1" si="539"/>
        <v>330.14818749999995</v>
      </c>
      <c r="AI192" s="28">
        <f t="shared" ca="1" si="539"/>
        <v>357.11308750000006</v>
      </c>
      <c r="AJ192" s="28">
        <f t="shared" ca="1" si="539"/>
        <v>289.94688750000006</v>
      </c>
      <c r="AK192" s="79"/>
      <c r="AL192" s="28">
        <f>AL43</f>
        <v>990</v>
      </c>
      <c r="AM192" s="28">
        <f>AM43</f>
        <v>1129</v>
      </c>
      <c r="AN192" s="33">
        <f t="shared" ref="AN192:AT192" si="540">SUMIF($E$6:$AK$6,AN$6,$E192:$AK192)</f>
        <v>1049</v>
      </c>
      <c r="AO192" s="33">
        <f t="shared" si="540"/>
        <v>1289</v>
      </c>
      <c r="AP192" s="33">
        <f t="shared" si="540"/>
        <v>1310</v>
      </c>
      <c r="AQ192" s="33">
        <f t="shared" si="540"/>
        <v>902</v>
      </c>
      <c r="AR192" s="33">
        <f t="shared" si="540"/>
        <v>530</v>
      </c>
      <c r="AS192" s="33">
        <f t="shared" si="540"/>
        <v>1082</v>
      </c>
      <c r="AT192" s="33">
        <f t="shared" si="540"/>
        <v>977</v>
      </c>
      <c r="AU192" s="33">
        <f ca="1">SUMIF($E$6:$AK$6,AU$6,$E192:$AK192)</f>
        <v>1171.2081625000001</v>
      </c>
      <c r="AV192" s="28">
        <f ca="1">AV43</f>
        <v>1320.4219839999998</v>
      </c>
      <c r="AW192" s="28">
        <f ca="1">AW43</f>
        <v>1423.875273565</v>
      </c>
      <c r="AX192" s="28">
        <f ca="1">AX43</f>
        <v>1535.1633351145749</v>
      </c>
      <c r="AY192" s="1"/>
    </row>
    <row r="193" spans="3:51" s="27" customFormat="1" ht="5.2" customHeight="1">
      <c r="C193" s="45"/>
      <c r="E193" s="30"/>
      <c r="F193" s="30"/>
      <c r="G193" s="30"/>
      <c r="H193" s="30"/>
      <c r="I193" s="30"/>
      <c r="J193" s="30"/>
      <c r="K193" s="30"/>
      <c r="L193" s="30"/>
      <c r="M193" s="30"/>
      <c r="N193" s="30"/>
      <c r="O193" s="30"/>
      <c r="P193" s="30"/>
      <c r="Q193" s="30"/>
      <c r="R193" s="30"/>
      <c r="AK193" s="79"/>
      <c r="AL193" s="30"/>
      <c r="AM193" s="30"/>
      <c r="AN193" s="30"/>
      <c r="AO193" s="30"/>
      <c r="AP193" s="30"/>
      <c r="AQ193" s="30"/>
      <c r="AR193" s="30"/>
      <c r="AY193" s="1"/>
    </row>
    <row r="194" spans="3:51" s="27" customFormat="1" ht="11.25" customHeight="1">
      <c r="C194" s="43" t="s">
        <v>97</v>
      </c>
      <c r="E194" s="30"/>
      <c r="F194" s="30"/>
      <c r="G194" s="30"/>
      <c r="H194" s="30"/>
      <c r="I194" s="30"/>
      <c r="J194" s="30"/>
      <c r="K194" s="30"/>
      <c r="L194" s="30"/>
      <c r="M194" s="30"/>
      <c r="N194" s="30"/>
      <c r="O194" s="30"/>
      <c r="P194" s="30"/>
      <c r="Q194" s="30"/>
      <c r="R194" s="30"/>
      <c r="AK194" s="79"/>
      <c r="AL194" s="1450"/>
      <c r="AM194" s="1450"/>
      <c r="AN194" s="1450"/>
      <c r="AO194" s="1450"/>
      <c r="AP194" s="1450"/>
      <c r="AQ194" s="1450"/>
      <c r="AR194" s="1450"/>
      <c r="AS194" s="1450"/>
      <c r="AY194" s="1"/>
    </row>
    <row r="195" spans="3:51" s="27" customFormat="1" ht="11.25" customHeight="1">
      <c r="C195" s="43" t="s">
        <v>362</v>
      </c>
      <c r="E195" s="33">
        <f t="shared" ref="E195:AJ195" si="541">E174</f>
        <v>-2</v>
      </c>
      <c r="F195" s="33">
        <f t="shared" si="541"/>
        <v>0</v>
      </c>
      <c r="G195" s="33">
        <f t="shared" si="541"/>
        <v>30</v>
      </c>
      <c r="H195" s="33">
        <f t="shared" si="541"/>
        <v>17</v>
      </c>
      <c r="I195" s="33">
        <f t="shared" si="541"/>
        <v>0</v>
      </c>
      <c r="J195" s="33">
        <f t="shared" si="541"/>
        <v>0</v>
      </c>
      <c r="K195" s="33">
        <f t="shared" si="541"/>
        <v>0</v>
      </c>
      <c r="L195" s="33">
        <f t="shared" si="541"/>
        <v>8</v>
      </c>
      <c r="M195" s="33">
        <f t="shared" si="541"/>
        <v>2</v>
      </c>
      <c r="N195" s="33">
        <f t="shared" si="541"/>
        <v>4</v>
      </c>
      <c r="O195" s="33">
        <f t="shared" si="541"/>
        <v>0</v>
      </c>
      <c r="P195" s="33">
        <f t="shared" si="541"/>
        <v>39</v>
      </c>
      <c r="Q195" s="33">
        <f t="shared" si="541"/>
        <v>32</v>
      </c>
      <c r="R195" s="33">
        <f t="shared" si="541"/>
        <v>18</v>
      </c>
      <c r="S195" s="33">
        <f t="shared" si="541"/>
        <v>2</v>
      </c>
      <c r="T195" s="33">
        <f t="shared" si="541"/>
        <v>74</v>
      </c>
      <c r="U195" s="33">
        <f t="shared" si="541"/>
        <v>14</v>
      </c>
      <c r="V195" s="33">
        <f t="shared" si="541"/>
        <v>141</v>
      </c>
      <c r="W195" s="33">
        <f t="shared" si="541"/>
        <v>67</v>
      </c>
      <c r="X195" s="33">
        <f t="shared" si="541"/>
        <v>13</v>
      </c>
      <c r="Y195" s="33">
        <f t="shared" si="541"/>
        <v>9</v>
      </c>
      <c r="Z195" s="33">
        <f t="shared" si="541"/>
        <v>15</v>
      </c>
      <c r="AA195" s="33">
        <f t="shared" si="541"/>
        <v>7</v>
      </c>
      <c r="AB195" s="33">
        <f t="shared" si="541"/>
        <v>18</v>
      </c>
      <c r="AC195" s="33">
        <f t="shared" si="541"/>
        <v>27</v>
      </c>
      <c r="AD195" s="33">
        <f t="shared" si="541"/>
        <v>36</v>
      </c>
      <c r="AE195" s="33">
        <f t="shared" si="541"/>
        <v>2</v>
      </c>
      <c r="AF195" s="33">
        <f t="shared" si="541"/>
        <v>17</v>
      </c>
      <c r="AG195" s="33">
        <f t="shared" si="541"/>
        <v>22</v>
      </c>
      <c r="AH195" s="33">
        <f t="shared" si="541"/>
        <v>0</v>
      </c>
      <c r="AI195" s="33">
        <f t="shared" si="541"/>
        <v>0</v>
      </c>
      <c r="AJ195" s="33">
        <f t="shared" si="541"/>
        <v>0</v>
      </c>
      <c r="AK195" s="79"/>
      <c r="AL195" s="33">
        <f>AL174</f>
        <v>77</v>
      </c>
      <c r="AM195" s="33">
        <f>AM174</f>
        <v>165</v>
      </c>
      <c r="AN195" s="33">
        <f t="shared" ref="AN195:AU208" si="542">SUMIF($E$6:$AK$6,AN$6,$E195:$AK195)</f>
        <v>45</v>
      </c>
      <c r="AO195" s="33">
        <f t="shared" si="542"/>
        <v>8</v>
      </c>
      <c r="AP195" s="33">
        <f t="shared" si="542"/>
        <v>45</v>
      </c>
      <c r="AQ195" s="33">
        <f t="shared" si="542"/>
        <v>126</v>
      </c>
      <c r="AR195" s="33">
        <f t="shared" si="542"/>
        <v>235</v>
      </c>
      <c r="AS195" s="33">
        <f t="shared" si="542"/>
        <v>49</v>
      </c>
      <c r="AT195" s="33">
        <f t="shared" si="542"/>
        <v>82</v>
      </c>
      <c r="AU195" s="33">
        <f t="shared" si="542"/>
        <v>22</v>
      </c>
      <c r="AV195" s="33">
        <f t="shared" ref="AV195:AX196" si="543">AV174</f>
        <v>0</v>
      </c>
      <c r="AW195" s="33">
        <f t="shared" si="543"/>
        <v>0</v>
      </c>
      <c r="AX195" s="33">
        <f t="shared" si="543"/>
        <v>0</v>
      </c>
      <c r="AY195" s="1"/>
    </row>
    <row r="196" spans="3:51" s="27" customFormat="1" ht="11.25" customHeight="1">
      <c r="C196" s="43" t="s">
        <v>71</v>
      </c>
      <c r="E196" s="33">
        <f t="shared" ref="E196:AJ196" si="544">E175</f>
        <v>0</v>
      </c>
      <c r="F196" s="33">
        <f t="shared" si="544"/>
        <v>0</v>
      </c>
      <c r="G196" s="33">
        <f t="shared" si="544"/>
        <v>0</v>
      </c>
      <c r="H196" s="33">
        <f t="shared" si="544"/>
        <v>0</v>
      </c>
      <c r="I196" s="33">
        <f t="shared" si="544"/>
        <v>0</v>
      </c>
      <c r="J196" s="33">
        <f t="shared" si="544"/>
        <v>0</v>
      </c>
      <c r="K196" s="33">
        <f t="shared" si="544"/>
        <v>-3</v>
      </c>
      <c r="L196" s="33">
        <f t="shared" si="544"/>
        <v>0</v>
      </c>
      <c r="M196" s="33">
        <f t="shared" si="544"/>
        <v>0</v>
      </c>
      <c r="N196" s="33">
        <f t="shared" si="544"/>
        <v>0</v>
      </c>
      <c r="O196" s="33">
        <f t="shared" si="544"/>
        <v>0</v>
      </c>
      <c r="P196" s="33">
        <f t="shared" si="544"/>
        <v>0</v>
      </c>
      <c r="Q196" s="33">
        <f t="shared" si="544"/>
        <v>0</v>
      </c>
      <c r="R196" s="33">
        <f t="shared" si="544"/>
        <v>0</v>
      </c>
      <c r="S196" s="33">
        <f t="shared" si="544"/>
        <v>0</v>
      </c>
      <c r="T196" s="33">
        <f t="shared" si="544"/>
        <v>0</v>
      </c>
      <c r="U196" s="33">
        <f t="shared" si="544"/>
        <v>0</v>
      </c>
      <c r="V196" s="33">
        <f t="shared" si="544"/>
        <v>0</v>
      </c>
      <c r="W196" s="33">
        <f t="shared" si="544"/>
        <v>0</v>
      </c>
      <c r="X196" s="33">
        <f t="shared" si="544"/>
        <v>0</v>
      </c>
      <c r="Y196" s="33">
        <f t="shared" si="544"/>
        <v>0</v>
      </c>
      <c r="Z196" s="33">
        <f t="shared" si="544"/>
        <v>0</v>
      </c>
      <c r="AA196" s="33">
        <f t="shared" si="544"/>
        <v>0</v>
      </c>
      <c r="AB196" s="33">
        <f t="shared" si="544"/>
        <v>0</v>
      </c>
      <c r="AC196" s="33">
        <f t="shared" si="544"/>
        <v>0</v>
      </c>
      <c r="AD196" s="33">
        <f t="shared" si="544"/>
        <v>0</v>
      </c>
      <c r="AE196" s="33">
        <f t="shared" si="544"/>
        <v>0</v>
      </c>
      <c r="AF196" s="33">
        <f t="shared" si="544"/>
        <v>9</v>
      </c>
      <c r="AG196" s="33">
        <f t="shared" si="544"/>
        <v>0</v>
      </c>
      <c r="AH196" s="33">
        <f t="shared" si="544"/>
        <v>0</v>
      </c>
      <c r="AI196" s="33">
        <f t="shared" si="544"/>
        <v>0</v>
      </c>
      <c r="AJ196" s="33">
        <f t="shared" si="544"/>
        <v>0</v>
      </c>
      <c r="AK196" s="79"/>
      <c r="AL196" s="33">
        <f>AL175</f>
        <v>0</v>
      </c>
      <c r="AM196" s="33">
        <f>AM175</f>
        <v>0</v>
      </c>
      <c r="AN196" s="33">
        <f t="shared" si="542"/>
        <v>0</v>
      </c>
      <c r="AO196" s="33">
        <f t="shared" si="542"/>
        <v>-3</v>
      </c>
      <c r="AP196" s="33">
        <f t="shared" si="542"/>
        <v>0</v>
      </c>
      <c r="AQ196" s="33">
        <f t="shared" si="542"/>
        <v>0</v>
      </c>
      <c r="AR196" s="33">
        <f t="shared" si="542"/>
        <v>0</v>
      </c>
      <c r="AS196" s="33">
        <f t="shared" si="542"/>
        <v>0</v>
      </c>
      <c r="AT196" s="33">
        <f t="shared" si="542"/>
        <v>9</v>
      </c>
      <c r="AU196" s="33">
        <f t="shared" si="542"/>
        <v>0</v>
      </c>
      <c r="AV196" s="33">
        <f t="shared" si="543"/>
        <v>0</v>
      </c>
      <c r="AW196" s="33">
        <f t="shared" si="543"/>
        <v>0</v>
      </c>
      <c r="AX196" s="33">
        <f t="shared" si="543"/>
        <v>0</v>
      </c>
      <c r="AY196" s="1"/>
    </row>
    <row r="197" spans="3:51" s="27" customFormat="1" ht="11.25" customHeight="1">
      <c r="C197" s="43" t="s">
        <v>115</v>
      </c>
      <c r="E197" s="33">
        <f t="shared" ref="E197:AJ197" si="545">E181</f>
        <v>9</v>
      </c>
      <c r="F197" s="33">
        <f t="shared" si="545"/>
        <v>0</v>
      </c>
      <c r="G197" s="33">
        <f t="shared" si="545"/>
        <v>0</v>
      </c>
      <c r="H197" s="33">
        <f t="shared" si="545"/>
        <v>0</v>
      </c>
      <c r="I197" s="33">
        <f t="shared" si="545"/>
        <v>0</v>
      </c>
      <c r="J197" s="33">
        <f t="shared" si="545"/>
        <v>0</v>
      </c>
      <c r="K197" s="33">
        <f t="shared" si="545"/>
        <v>0</v>
      </c>
      <c r="L197" s="33">
        <f t="shared" si="545"/>
        <v>0</v>
      </c>
      <c r="M197" s="33">
        <f t="shared" si="545"/>
        <v>0</v>
      </c>
      <c r="N197" s="33">
        <f t="shared" si="545"/>
        <v>0</v>
      </c>
      <c r="O197" s="33">
        <f t="shared" si="545"/>
        <v>0</v>
      </c>
      <c r="P197" s="33">
        <f t="shared" si="545"/>
        <v>0</v>
      </c>
      <c r="Q197" s="33">
        <f t="shared" si="545"/>
        <v>0</v>
      </c>
      <c r="R197" s="33">
        <f t="shared" si="545"/>
        <v>0</v>
      </c>
      <c r="S197" s="33">
        <f t="shared" si="545"/>
        <v>0</v>
      </c>
      <c r="T197" s="33">
        <f t="shared" si="545"/>
        <v>0</v>
      </c>
      <c r="U197" s="33">
        <f t="shared" si="545"/>
        <v>0</v>
      </c>
      <c r="V197" s="33">
        <f t="shared" si="545"/>
        <v>0</v>
      </c>
      <c r="W197" s="33">
        <f t="shared" si="545"/>
        <v>0</v>
      </c>
      <c r="X197" s="33">
        <f t="shared" si="545"/>
        <v>0</v>
      </c>
      <c r="Y197" s="33">
        <f t="shared" si="545"/>
        <v>0</v>
      </c>
      <c r="Z197" s="33">
        <f t="shared" si="545"/>
        <v>0</v>
      </c>
      <c r="AA197" s="33">
        <f t="shared" si="545"/>
        <v>0</v>
      </c>
      <c r="AB197" s="33">
        <f t="shared" si="545"/>
        <v>0</v>
      </c>
      <c r="AC197" s="33">
        <f t="shared" si="545"/>
        <v>0</v>
      </c>
      <c r="AD197" s="33">
        <f t="shared" si="545"/>
        <v>0</v>
      </c>
      <c r="AE197" s="33">
        <f t="shared" si="545"/>
        <v>0</v>
      </c>
      <c r="AF197" s="33">
        <f t="shared" si="545"/>
        <v>0</v>
      </c>
      <c r="AG197" s="33">
        <f t="shared" si="545"/>
        <v>0</v>
      </c>
      <c r="AH197" s="33">
        <f t="shared" si="545"/>
        <v>0</v>
      </c>
      <c r="AI197" s="33">
        <f t="shared" si="545"/>
        <v>0</v>
      </c>
      <c r="AJ197" s="33">
        <f t="shared" si="545"/>
        <v>0</v>
      </c>
      <c r="AK197" s="79"/>
      <c r="AL197" s="33">
        <f>AL181</f>
        <v>46</v>
      </c>
      <c r="AM197" s="33">
        <f>AM181</f>
        <v>28</v>
      </c>
      <c r="AN197" s="33">
        <f t="shared" si="542"/>
        <v>9</v>
      </c>
      <c r="AO197" s="33">
        <f t="shared" si="542"/>
        <v>0</v>
      </c>
      <c r="AP197" s="33">
        <f t="shared" si="542"/>
        <v>0</v>
      </c>
      <c r="AQ197" s="33">
        <f t="shared" si="542"/>
        <v>0</v>
      </c>
      <c r="AR197" s="33">
        <f t="shared" si="542"/>
        <v>0</v>
      </c>
      <c r="AS197" s="33">
        <f t="shared" si="542"/>
        <v>0</v>
      </c>
      <c r="AT197" s="33">
        <f t="shared" si="542"/>
        <v>0</v>
      </c>
      <c r="AU197" s="33">
        <f t="shared" si="542"/>
        <v>0</v>
      </c>
      <c r="AV197" s="33">
        <f>AV181</f>
        <v>0</v>
      </c>
      <c r="AW197" s="33">
        <f>AW181</f>
        <v>0</v>
      </c>
      <c r="AX197" s="33">
        <f>AX181</f>
        <v>0</v>
      </c>
      <c r="AY197" s="1"/>
    </row>
    <row r="198" spans="3:51" s="27" customFormat="1" ht="11.25" customHeight="1">
      <c r="C198" s="43" t="s">
        <v>366</v>
      </c>
      <c r="E198" s="33">
        <f t="shared" ref="E198:AJ198" si="546">E178</f>
        <v>0</v>
      </c>
      <c r="F198" s="33">
        <f t="shared" si="546"/>
        <v>0</v>
      </c>
      <c r="G198" s="33">
        <f t="shared" si="546"/>
        <v>30</v>
      </c>
      <c r="H198" s="33">
        <f t="shared" si="546"/>
        <v>67</v>
      </c>
      <c r="I198" s="33">
        <f t="shared" si="546"/>
        <v>0</v>
      </c>
      <c r="J198" s="33">
        <f t="shared" si="546"/>
        <v>0</v>
      </c>
      <c r="K198" s="33">
        <f t="shared" si="546"/>
        <v>0</v>
      </c>
      <c r="L198" s="33">
        <f t="shared" si="546"/>
        <v>-21</v>
      </c>
      <c r="M198" s="33">
        <f t="shared" si="546"/>
        <v>0</v>
      </c>
      <c r="N198" s="33">
        <f t="shared" si="546"/>
        <v>0</v>
      </c>
      <c r="O198" s="33">
        <f t="shared" si="546"/>
        <v>0</v>
      </c>
      <c r="P198" s="33">
        <f t="shared" si="546"/>
        <v>99</v>
      </c>
      <c r="Q198" s="33">
        <f t="shared" si="546"/>
        <v>0</v>
      </c>
      <c r="R198" s="33">
        <f t="shared" si="546"/>
        <v>0</v>
      </c>
      <c r="S198" s="33">
        <f t="shared" si="546"/>
        <v>0</v>
      </c>
      <c r="T198" s="33">
        <f t="shared" si="546"/>
        <v>143</v>
      </c>
      <c r="U198" s="33">
        <f t="shared" si="546"/>
        <v>0</v>
      </c>
      <c r="V198" s="33">
        <f t="shared" si="546"/>
        <v>0</v>
      </c>
      <c r="W198" s="33">
        <f t="shared" si="546"/>
        <v>0</v>
      </c>
      <c r="X198" s="33">
        <f t="shared" si="546"/>
        <v>240</v>
      </c>
      <c r="Y198" s="33">
        <f t="shared" si="546"/>
        <v>0</v>
      </c>
      <c r="Z198" s="33">
        <f t="shared" si="546"/>
        <v>0</v>
      </c>
      <c r="AA198" s="33">
        <f t="shared" si="546"/>
        <v>0</v>
      </c>
      <c r="AB198" s="33">
        <f t="shared" si="546"/>
        <v>-267</v>
      </c>
      <c r="AC198" s="33">
        <f t="shared" si="546"/>
        <v>0</v>
      </c>
      <c r="AD198" s="33">
        <f t="shared" si="546"/>
        <v>0</v>
      </c>
      <c r="AE198" s="33">
        <f t="shared" si="546"/>
        <v>0</v>
      </c>
      <c r="AF198" s="33">
        <f t="shared" si="546"/>
        <v>0</v>
      </c>
      <c r="AG198" s="33">
        <f t="shared" si="546"/>
        <v>0</v>
      </c>
      <c r="AH198" s="33">
        <f t="shared" si="546"/>
        <v>0</v>
      </c>
      <c r="AI198" s="33">
        <f t="shared" si="546"/>
        <v>0</v>
      </c>
      <c r="AJ198" s="33">
        <f t="shared" si="546"/>
        <v>0</v>
      </c>
      <c r="AK198" s="79"/>
      <c r="AL198" s="33">
        <f>AL178</f>
        <v>304</v>
      </c>
      <c r="AM198" s="33">
        <f>AM178</f>
        <v>115</v>
      </c>
      <c r="AN198" s="33">
        <f t="shared" si="542"/>
        <v>97</v>
      </c>
      <c r="AO198" s="33">
        <f t="shared" si="542"/>
        <v>-21</v>
      </c>
      <c r="AP198" s="33">
        <f t="shared" si="542"/>
        <v>99</v>
      </c>
      <c r="AQ198" s="33">
        <f t="shared" si="542"/>
        <v>143</v>
      </c>
      <c r="AR198" s="33">
        <f t="shared" si="542"/>
        <v>240</v>
      </c>
      <c r="AS198" s="33">
        <f t="shared" si="542"/>
        <v>-267</v>
      </c>
      <c r="AT198" s="33">
        <f t="shared" si="542"/>
        <v>0</v>
      </c>
      <c r="AU198" s="33">
        <f t="shared" si="542"/>
        <v>0</v>
      </c>
      <c r="AV198" s="33">
        <f>AV178</f>
        <v>0</v>
      </c>
      <c r="AW198" s="33">
        <f>AW178</f>
        <v>0</v>
      </c>
      <c r="AX198" s="33">
        <f>AX178</f>
        <v>0</v>
      </c>
      <c r="AY198" s="1"/>
    </row>
    <row r="199" spans="3:51" s="27" customFormat="1" ht="11.25" customHeight="1">
      <c r="C199" s="43" t="s">
        <v>1126</v>
      </c>
      <c r="E199" s="33"/>
      <c r="F199" s="33"/>
      <c r="G199" s="33"/>
      <c r="H199" s="33"/>
      <c r="I199" s="33"/>
      <c r="J199" s="33"/>
      <c r="K199" s="33"/>
      <c r="L199" s="33"/>
      <c r="M199" s="33">
        <f t="shared" ref="M199:AC199" si="547">M605</f>
        <v>0</v>
      </c>
      <c r="N199" s="33">
        <f t="shared" si="547"/>
        <v>0</v>
      </c>
      <c r="O199" s="33">
        <f t="shared" si="547"/>
        <v>0</v>
      </c>
      <c r="P199" s="33">
        <f t="shared" si="547"/>
        <v>0</v>
      </c>
      <c r="Q199" s="33">
        <f t="shared" si="547"/>
        <v>0</v>
      </c>
      <c r="R199" s="33">
        <f t="shared" si="547"/>
        <v>0</v>
      </c>
      <c r="S199" s="33">
        <f t="shared" si="547"/>
        <v>0</v>
      </c>
      <c r="T199" s="33">
        <f t="shared" si="547"/>
        <v>0</v>
      </c>
      <c r="U199" s="33">
        <f t="shared" si="547"/>
        <v>0</v>
      </c>
      <c r="V199" s="33">
        <f t="shared" si="547"/>
        <v>0</v>
      </c>
      <c r="W199" s="33">
        <f t="shared" si="547"/>
        <v>0</v>
      </c>
      <c r="X199" s="33">
        <f t="shared" si="547"/>
        <v>0</v>
      </c>
      <c r="Y199" s="33">
        <f t="shared" si="547"/>
        <v>2</v>
      </c>
      <c r="Z199" s="33">
        <f t="shared" si="547"/>
        <v>495</v>
      </c>
      <c r="AA199" s="33">
        <f t="shared" si="547"/>
        <v>68</v>
      </c>
      <c r="AB199" s="33">
        <f t="shared" si="547"/>
        <v>7</v>
      </c>
      <c r="AC199" s="33">
        <f t="shared" si="547"/>
        <v>6</v>
      </c>
      <c r="AD199" s="33">
        <f t="shared" ref="AD199:AF199" si="548">AD605</f>
        <v>-5</v>
      </c>
      <c r="AE199" s="33">
        <f t="shared" si="548"/>
        <v>7</v>
      </c>
      <c r="AF199" s="33">
        <f t="shared" si="548"/>
        <v>47</v>
      </c>
      <c r="AG199" s="33">
        <f t="shared" ref="AG199" si="549">AG605</f>
        <v>0</v>
      </c>
      <c r="AH199" s="33">
        <f t="shared" ref="AH199:AJ199" si="550">AH605</f>
        <v>0</v>
      </c>
      <c r="AI199" s="33">
        <f t="shared" si="550"/>
        <v>0</v>
      </c>
      <c r="AJ199" s="33">
        <f t="shared" si="550"/>
        <v>0</v>
      </c>
      <c r="AK199" s="79"/>
      <c r="AL199" s="33">
        <f>AL605</f>
        <v>0</v>
      </c>
      <c r="AM199" s="33">
        <f>AM605</f>
        <v>0</v>
      </c>
      <c r="AN199" s="33">
        <f t="shared" si="542"/>
        <v>0</v>
      </c>
      <c r="AO199" s="33">
        <f t="shared" si="542"/>
        <v>0</v>
      </c>
      <c r="AP199" s="33">
        <f t="shared" si="542"/>
        <v>0</v>
      </c>
      <c r="AQ199" s="33">
        <f t="shared" si="542"/>
        <v>0</v>
      </c>
      <c r="AR199" s="33">
        <f t="shared" si="542"/>
        <v>0</v>
      </c>
      <c r="AS199" s="33">
        <f t="shared" si="542"/>
        <v>572</v>
      </c>
      <c r="AT199" s="33">
        <f t="shared" si="542"/>
        <v>55</v>
      </c>
      <c r="AU199" s="33">
        <f t="shared" si="542"/>
        <v>0</v>
      </c>
      <c r="AV199" s="33">
        <f>AV605</f>
        <v>0</v>
      </c>
      <c r="AW199" s="33">
        <f>AW605</f>
        <v>0</v>
      </c>
      <c r="AX199" s="33">
        <f>AX605</f>
        <v>0</v>
      </c>
      <c r="AY199" s="1"/>
    </row>
    <row r="200" spans="3:51" s="27" customFormat="1" ht="11.25" customHeight="1">
      <c r="C200" s="43" t="s">
        <v>367</v>
      </c>
      <c r="E200" s="33">
        <f t="shared" ref="E200:AJ200" si="551">E177</f>
        <v>0</v>
      </c>
      <c r="F200" s="33">
        <f t="shared" si="551"/>
        <v>0</v>
      </c>
      <c r="G200" s="33">
        <f t="shared" si="551"/>
        <v>0</v>
      </c>
      <c r="H200" s="33">
        <f t="shared" si="551"/>
        <v>0</v>
      </c>
      <c r="I200" s="33">
        <f t="shared" si="551"/>
        <v>0</v>
      </c>
      <c r="J200" s="33">
        <f t="shared" si="551"/>
        <v>0</v>
      </c>
      <c r="K200" s="33">
        <f t="shared" si="551"/>
        <v>0</v>
      </c>
      <c r="L200" s="33">
        <f t="shared" si="551"/>
        <v>112</v>
      </c>
      <c r="M200" s="33">
        <f t="shared" si="551"/>
        <v>37</v>
      </c>
      <c r="N200" s="33">
        <f t="shared" si="551"/>
        <v>-56</v>
      </c>
      <c r="O200" s="33">
        <f t="shared" si="551"/>
        <v>-67</v>
      </c>
      <c r="P200" s="33">
        <f t="shared" si="551"/>
        <v>3</v>
      </c>
      <c r="Q200" s="33">
        <f t="shared" si="551"/>
        <v>0</v>
      </c>
      <c r="R200" s="33">
        <f t="shared" si="551"/>
        <v>0</v>
      </c>
      <c r="S200" s="33">
        <f t="shared" si="551"/>
        <v>0</v>
      </c>
      <c r="T200" s="33">
        <f t="shared" si="551"/>
        <v>0</v>
      </c>
      <c r="U200" s="33">
        <f t="shared" si="551"/>
        <v>0</v>
      </c>
      <c r="V200" s="33">
        <f t="shared" si="551"/>
        <v>0</v>
      </c>
      <c r="W200" s="33">
        <f t="shared" si="551"/>
        <v>0</v>
      </c>
      <c r="X200" s="33">
        <f t="shared" si="551"/>
        <v>0</v>
      </c>
      <c r="Y200" s="33">
        <f t="shared" si="551"/>
        <v>0</v>
      </c>
      <c r="Z200" s="33">
        <f t="shared" si="551"/>
        <v>0</v>
      </c>
      <c r="AA200" s="33">
        <f t="shared" si="551"/>
        <v>0</v>
      </c>
      <c r="AB200" s="33">
        <f t="shared" si="551"/>
        <v>0</v>
      </c>
      <c r="AC200" s="33">
        <f t="shared" si="551"/>
        <v>0</v>
      </c>
      <c r="AD200" s="33">
        <f t="shared" si="551"/>
        <v>0</v>
      </c>
      <c r="AE200" s="33">
        <f t="shared" si="551"/>
        <v>0</v>
      </c>
      <c r="AF200" s="33">
        <f t="shared" si="551"/>
        <v>0</v>
      </c>
      <c r="AG200" s="33">
        <f t="shared" si="551"/>
        <v>0</v>
      </c>
      <c r="AH200" s="33">
        <f t="shared" si="551"/>
        <v>0</v>
      </c>
      <c r="AI200" s="33">
        <f t="shared" si="551"/>
        <v>0</v>
      </c>
      <c r="AJ200" s="33">
        <f t="shared" si="551"/>
        <v>0</v>
      </c>
      <c r="AK200" s="79"/>
      <c r="AL200" s="33">
        <f>AL177</f>
        <v>0</v>
      </c>
      <c r="AM200" s="33">
        <f>AM177</f>
        <v>0</v>
      </c>
      <c r="AN200" s="33">
        <f t="shared" si="542"/>
        <v>0</v>
      </c>
      <c r="AO200" s="33">
        <f t="shared" si="542"/>
        <v>112</v>
      </c>
      <c r="AP200" s="33">
        <f t="shared" si="542"/>
        <v>-83</v>
      </c>
      <c r="AQ200" s="33">
        <f t="shared" si="542"/>
        <v>0</v>
      </c>
      <c r="AR200" s="33">
        <f t="shared" si="542"/>
        <v>0</v>
      </c>
      <c r="AS200" s="33">
        <f t="shared" si="542"/>
        <v>0</v>
      </c>
      <c r="AT200" s="33">
        <f t="shared" si="542"/>
        <v>0</v>
      </c>
      <c r="AU200" s="33">
        <f t="shared" si="542"/>
        <v>0</v>
      </c>
      <c r="AV200" s="33">
        <f>AV177</f>
        <v>0</v>
      </c>
      <c r="AW200" s="33">
        <f>AW177</f>
        <v>0</v>
      </c>
      <c r="AX200" s="33">
        <f>AX177</f>
        <v>0</v>
      </c>
      <c r="AY200" s="1"/>
    </row>
    <row r="201" spans="3:51" s="27" customFormat="1" ht="11.25" customHeight="1">
      <c r="C201" s="43" t="s">
        <v>368</v>
      </c>
      <c r="E201" s="33">
        <f>E39</f>
        <v>0</v>
      </c>
      <c r="F201" s="98">
        <v>0</v>
      </c>
      <c r="G201" s="33">
        <f t="shared" ref="G201:AJ201" si="552">G39</f>
        <v>0</v>
      </c>
      <c r="H201" s="33">
        <f t="shared" si="552"/>
        <v>76</v>
      </c>
      <c r="I201" s="33">
        <f t="shared" si="552"/>
        <v>0</v>
      </c>
      <c r="J201" s="33">
        <f t="shared" si="552"/>
        <v>0</v>
      </c>
      <c r="K201" s="33">
        <f t="shared" si="552"/>
        <v>0</v>
      </c>
      <c r="L201" s="33">
        <f t="shared" si="552"/>
        <v>0</v>
      </c>
      <c r="M201" s="33">
        <f t="shared" si="552"/>
        <v>0</v>
      </c>
      <c r="N201" s="33">
        <f t="shared" si="552"/>
        <v>0</v>
      </c>
      <c r="O201" s="33">
        <f t="shared" si="552"/>
        <v>0</v>
      </c>
      <c r="P201" s="33">
        <f t="shared" si="552"/>
        <v>7</v>
      </c>
      <c r="Q201" s="33">
        <f t="shared" si="552"/>
        <v>0</v>
      </c>
      <c r="R201" s="33">
        <f t="shared" si="552"/>
        <v>0</v>
      </c>
      <c r="S201" s="33">
        <f t="shared" si="552"/>
        <v>0</v>
      </c>
      <c r="T201" s="33">
        <f t="shared" si="552"/>
        <v>0</v>
      </c>
      <c r="U201" s="33">
        <f t="shared" si="552"/>
        <v>0</v>
      </c>
      <c r="V201" s="33">
        <f t="shared" si="552"/>
        <v>0</v>
      </c>
      <c r="W201" s="33">
        <f t="shared" si="552"/>
        <v>1</v>
      </c>
      <c r="X201" s="33">
        <f t="shared" si="552"/>
        <v>0</v>
      </c>
      <c r="Y201" s="33">
        <f t="shared" si="552"/>
        <v>0</v>
      </c>
      <c r="Z201" s="33">
        <f t="shared" si="552"/>
        <v>0</v>
      </c>
      <c r="AA201" s="33">
        <f t="shared" si="552"/>
        <v>0</v>
      </c>
      <c r="AB201" s="33">
        <f t="shared" si="552"/>
        <v>1</v>
      </c>
      <c r="AC201" s="33">
        <f t="shared" si="552"/>
        <v>0</v>
      </c>
      <c r="AD201" s="33">
        <f t="shared" si="552"/>
        <v>0</v>
      </c>
      <c r="AE201" s="33">
        <f t="shared" si="552"/>
        <v>0</v>
      </c>
      <c r="AF201" s="33">
        <f t="shared" si="552"/>
        <v>0</v>
      </c>
      <c r="AG201" s="33">
        <f t="shared" si="552"/>
        <v>0</v>
      </c>
      <c r="AH201" s="33">
        <f t="shared" si="552"/>
        <v>0</v>
      </c>
      <c r="AI201" s="33">
        <f t="shared" si="552"/>
        <v>0</v>
      </c>
      <c r="AJ201" s="33">
        <f t="shared" si="552"/>
        <v>0</v>
      </c>
      <c r="AK201" s="79"/>
      <c r="AL201" s="33">
        <f>AL39</f>
        <v>0</v>
      </c>
      <c r="AM201" s="33">
        <f>AM39</f>
        <v>0</v>
      </c>
      <c r="AN201" s="33">
        <f t="shared" si="542"/>
        <v>76</v>
      </c>
      <c r="AO201" s="33">
        <f t="shared" si="542"/>
        <v>0</v>
      </c>
      <c r="AP201" s="33">
        <f t="shared" si="542"/>
        <v>7</v>
      </c>
      <c r="AQ201" s="33">
        <f t="shared" si="542"/>
        <v>0</v>
      </c>
      <c r="AR201" s="33">
        <f t="shared" si="542"/>
        <v>1</v>
      </c>
      <c r="AS201" s="33">
        <f t="shared" si="542"/>
        <v>1</v>
      </c>
      <c r="AT201" s="33">
        <f t="shared" si="542"/>
        <v>0</v>
      </c>
      <c r="AU201" s="33">
        <f t="shared" si="542"/>
        <v>0</v>
      </c>
      <c r="AV201" s="33">
        <f>AV39</f>
        <v>0</v>
      </c>
      <c r="AW201" s="33">
        <f>AW39</f>
        <v>0</v>
      </c>
      <c r="AX201" s="33">
        <f>AX39</f>
        <v>0</v>
      </c>
      <c r="AY201" s="1"/>
    </row>
    <row r="202" spans="3:51" s="27" customFormat="1" ht="11.25" customHeight="1">
      <c r="C202" s="43" t="s">
        <v>369</v>
      </c>
      <c r="E202" s="33">
        <f t="shared" ref="E202:AJ202" si="553">E182</f>
        <v>0</v>
      </c>
      <c r="F202" s="33">
        <f t="shared" si="553"/>
        <v>0</v>
      </c>
      <c r="G202" s="33">
        <f t="shared" si="553"/>
        <v>0</v>
      </c>
      <c r="H202" s="33">
        <f t="shared" si="553"/>
        <v>0</v>
      </c>
      <c r="I202" s="33">
        <f t="shared" si="553"/>
        <v>0</v>
      </c>
      <c r="J202" s="33">
        <f t="shared" si="553"/>
        <v>0</v>
      </c>
      <c r="K202" s="33">
        <f t="shared" si="553"/>
        <v>0</v>
      </c>
      <c r="L202" s="33">
        <f t="shared" si="553"/>
        <v>9</v>
      </c>
      <c r="M202" s="33">
        <f t="shared" si="553"/>
        <v>0</v>
      </c>
      <c r="N202" s="33">
        <f t="shared" si="553"/>
        <v>0</v>
      </c>
      <c r="O202" s="33">
        <f t="shared" si="553"/>
        <v>0</v>
      </c>
      <c r="P202" s="33">
        <f t="shared" si="553"/>
        <v>0</v>
      </c>
      <c r="Q202" s="33">
        <f t="shared" si="553"/>
        <v>0</v>
      </c>
      <c r="R202" s="33">
        <f t="shared" si="553"/>
        <v>0</v>
      </c>
      <c r="S202" s="33">
        <f t="shared" si="553"/>
        <v>0</v>
      </c>
      <c r="T202" s="33">
        <f t="shared" si="553"/>
        <v>0</v>
      </c>
      <c r="U202" s="33">
        <f t="shared" si="553"/>
        <v>0</v>
      </c>
      <c r="V202" s="33">
        <f t="shared" si="553"/>
        <v>0</v>
      </c>
      <c r="W202" s="33">
        <f t="shared" si="553"/>
        <v>0</v>
      </c>
      <c r="X202" s="33">
        <f t="shared" si="553"/>
        <v>0</v>
      </c>
      <c r="Y202" s="33">
        <f t="shared" si="553"/>
        <v>0</v>
      </c>
      <c r="Z202" s="33">
        <f t="shared" si="553"/>
        <v>0</v>
      </c>
      <c r="AA202" s="33">
        <f t="shared" si="553"/>
        <v>0</v>
      </c>
      <c r="AB202" s="33">
        <f t="shared" si="553"/>
        <v>0</v>
      </c>
      <c r="AC202" s="33">
        <f t="shared" si="553"/>
        <v>0</v>
      </c>
      <c r="AD202" s="33">
        <f t="shared" si="553"/>
        <v>0</v>
      </c>
      <c r="AE202" s="33">
        <f t="shared" si="553"/>
        <v>0</v>
      </c>
      <c r="AF202" s="33">
        <f t="shared" si="553"/>
        <v>0</v>
      </c>
      <c r="AG202" s="33">
        <f t="shared" si="553"/>
        <v>0</v>
      </c>
      <c r="AH202" s="33">
        <f t="shared" si="553"/>
        <v>0</v>
      </c>
      <c r="AI202" s="33">
        <f t="shared" si="553"/>
        <v>0</v>
      </c>
      <c r="AJ202" s="33">
        <f t="shared" si="553"/>
        <v>0</v>
      </c>
      <c r="AK202" s="79"/>
      <c r="AL202" s="33">
        <f>AL182</f>
        <v>0</v>
      </c>
      <c r="AM202" s="33">
        <f>AM182</f>
        <v>0</v>
      </c>
      <c r="AN202" s="33">
        <f t="shared" si="542"/>
        <v>0</v>
      </c>
      <c r="AO202" s="33">
        <f t="shared" si="542"/>
        <v>9</v>
      </c>
      <c r="AP202" s="33">
        <f t="shared" si="542"/>
        <v>0</v>
      </c>
      <c r="AQ202" s="33">
        <f t="shared" si="542"/>
        <v>0</v>
      </c>
      <c r="AR202" s="33">
        <f t="shared" si="542"/>
        <v>0</v>
      </c>
      <c r="AS202" s="33">
        <f t="shared" si="542"/>
        <v>0</v>
      </c>
      <c r="AT202" s="33">
        <f t="shared" si="542"/>
        <v>0</v>
      </c>
      <c r="AU202" s="33">
        <f t="shared" si="542"/>
        <v>0</v>
      </c>
      <c r="AV202" s="33">
        <f>AV182</f>
        <v>0</v>
      </c>
      <c r="AW202" s="33">
        <f>AW182</f>
        <v>0</v>
      </c>
      <c r="AX202" s="33">
        <f>AX182</f>
        <v>0</v>
      </c>
      <c r="AY202" s="1"/>
    </row>
    <row r="203" spans="3:51" s="27" customFormat="1" ht="11.25" customHeight="1">
      <c r="C203" s="43" t="s">
        <v>113</v>
      </c>
      <c r="E203" s="33">
        <f t="shared" ref="E203:X203" si="554">E186</f>
        <v>0</v>
      </c>
      <c r="F203" s="33">
        <f t="shared" si="554"/>
        <v>0</v>
      </c>
      <c r="G203" s="33">
        <f t="shared" si="554"/>
        <v>0</v>
      </c>
      <c r="H203" s="33">
        <f t="shared" si="554"/>
        <v>0</v>
      </c>
      <c r="I203" s="33">
        <f t="shared" si="554"/>
        <v>0</v>
      </c>
      <c r="J203" s="33">
        <f t="shared" si="554"/>
        <v>0</v>
      </c>
      <c r="K203" s="33">
        <f t="shared" si="554"/>
        <v>0</v>
      </c>
      <c r="L203" s="33">
        <f t="shared" si="554"/>
        <v>0</v>
      </c>
      <c r="M203" s="33">
        <f t="shared" si="554"/>
        <v>11</v>
      </c>
      <c r="N203" s="33">
        <f t="shared" si="554"/>
        <v>8</v>
      </c>
      <c r="O203" s="33">
        <f t="shared" si="554"/>
        <v>1</v>
      </c>
      <c r="P203" s="33">
        <f t="shared" si="554"/>
        <v>0</v>
      </c>
      <c r="Q203" s="33">
        <f t="shared" si="554"/>
        <v>0</v>
      </c>
      <c r="R203" s="33">
        <f t="shared" si="554"/>
        <v>0</v>
      </c>
      <c r="S203" s="33">
        <f t="shared" si="554"/>
        <v>0</v>
      </c>
      <c r="T203" s="33">
        <f>T186</f>
        <v>0</v>
      </c>
      <c r="U203" s="33">
        <f t="shared" si="554"/>
        <v>0</v>
      </c>
      <c r="V203" s="33">
        <f t="shared" si="554"/>
        <v>0</v>
      </c>
      <c r="W203" s="33">
        <f t="shared" si="554"/>
        <v>0</v>
      </c>
      <c r="X203" s="33">
        <f t="shared" si="554"/>
        <v>0</v>
      </c>
      <c r="Y203" s="33">
        <f t="shared" ref="Y203:AC203" si="555">Y186</f>
        <v>0</v>
      </c>
      <c r="Z203" s="33">
        <f t="shared" si="555"/>
        <v>0</v>
      </c>
      <c r="AA203" s="33">
        <f t="shared" si="555"/>
        <v>0</v>
      </c>
      <c r="AB203" s="33">
        <f t="shared" si="555"/>
        <v>0</v>
      </c>
      <c r="AC203" s="33">
        <f t="shared" si="555"/>
        <v>0</v>
      </c>
      <c r="AD203" s="33">
        <f t="shared" ref="AD203:AF203" si="556">AD186</f>
        <v>0</v>
      </c>
      <c r="AE203" s="33">
        <f t="shared" si="556"/>
        <v>0</v>
      </c>
      <c r="AF203" s="33">
        <f t="shared" si="556"/>
        <v>0</v>
      </c>
      <c r="AG203" s="33">
        <f t="shared" ref="AG203" si="557">AG186</f>
        <v>0</v>
      </c>
      <c r="AH203" s="33">
        <f t="shared" ref="AH203:AJ203" si="558">AH186</f>
        <v>0</v>
      </c>
      <c r="AI203" s="33">
        <f t="shared" si="558"/>
        <v>0</v>
      </c>
      <c r="AJ203" s="33">
        <f t="shared" si="558"/>
        <v>0</v>
      </c>
      <c r="AK203" s="79"/>
      <c r="AL203" s="33">
        <f>AL186</f>
        <v>0</v>
      </c>
      <c r="AM203" s="33">
        <f>AM186</f>
        <v>0</v>
      </c>
      <c r="AN203" s="33">
        <f t="shared" si="542"/>
        <v>0</v>
      </c>
      <c r="AO203" s="33">
        <f t="shared" si="542"/>
        <v>0</v>
      </c>
      <c r="AP203" s="33">
        <f t="shared" si="542"/>
        <v>20</v>
      </c>
      <c r="AQ203" s="33">
        <f t="shared" si="542"/>
        <v>0</v>
      </c>
      <c r="AR203" s="33">
        <f t="shared" si="542"/>
        <v>0</v>
      </c>
      <c r="AS203" s="33">
        <f t="shared" si="542"/>
        <v>0</v>
      </c>
      <c r="AT203" s="33">
        <f t="shared" si="542"/>
        <v>0</v>
      </c>
      <c r="AU203" s="33">
        <f t="shared" si="542"/>
        <v>0</v>
      </c>
      <c r="AV203" s="33">
        <f>AV186</f>
        <v>0</v>
      </c>
      <c r="AW203" s="33">
        <f>AW186</f>
        <v>0</v>
      </c>
      <c r="AX203" s="33">
        <f>AX186</f>
        <v>0</v>
      </c>
      <c r="AY203" s="1"/>
    </row>
    <row r="204" spans="3:51" s="27" customFormat="1" ht="11.25" customHeight="1">
      <c r="C204" s="43" t="s">
        <v>370</v>
      </c>
      <c r="E204" s="29">
        <v>0</v>
      </c>
      <c r="F204" s="33">
        <v>-8</v>
      </c>
      <c r="G204" s="33">
        <v>0</v>
      </c>
      <c r="H204" s="33">
        <v>0</v>
      </c>
      <c r="I204" s="33">
        <v>0</v>
      </c>
      <c r="J204" s="33">
        <v>0</v>
      </c>
      <c r="K204" s="33">
        <v>0</v>
      </c>
      <c r="L204" s="33">
        <v>0</v>
      </c>
      <c r="M204" s="33">
        <v>0</v>
      </c>
      <c r="N204" s="33">
        <v>0</v>
      </c>
      <c r="O204" s="33">
        <v>0</v>
      </c>
      <c r="P204" s="33">
        <v>0</v>
      </c>
      <c r="Q204" s="33">
        <v>0</v>
      </c>
      <c r="R204" s="33">
        <v>0</v>
      </c>
      <c r="S204" s="33">
        <v>0</v>
      </c>
      <c r="T204" s="33">
        <v>0</v>
      </c>
      <c r="U204" s="33">
        <v>0</v>
      </c>
      <c r="V204" s="33">
        <v>0</v>
      </c>
      <c r="W204" s="33">
        <v>0</v>
      </c>
      <c r="X204" s="33">
        <v>0</v>
      </c>
      <c r="Y204" s="33">
        <v>0</v>
      </c>
      <c r="Z204" s="33">
        <v>0</v>
      </c>
      <c r="AA204" s="33">
        <v>0</v>
      </c>
      <c r="AB204" s="33">
        <v>0</v>
      </c>
      <c r="AC204" s="33">
        <v>0</v>
      </c>
      <c r="AD204" s="33">
        <v>0</v>
      </c>
      <c r="AE204" s="33">
        <v>0</v>
      </c>
      <c r="AF204" s="33">
        <v>0</v>
      </c>
      <c r="AG204" s="33">
        <v>0</v>
      </c>
      <c r="AH204" s="33">
        <v>0</v>
      </c>
      <c r="AI204" s="33">
        <v>0</v>
      </c>
      <c r="AJ204" s="33">
        <v>0</v>
      </c>
      <c r="AK204" s="79"/>
      <c r="AL204" s="33">
        <v>0</v>
      </c>
      <c r="AM204" s="33">
        <v>0</v>
      </c>
      <c r="AN204" s="33">
        <f t="shared" si="542"/>
        <v>-8</v>
      </c>
      <c r="AO204" s="33">
        <f t="shared" si="542"/>
        <v>0</v>
      </c>
      <c r="AP204" s="33">
        <f t="shared" si="542"/>
        <v>0</v>
      </c>
      <c r="AQ204" s="33">
        <f t="shared" si="542"/>
        <v>0</v>
      </c>
      <c r="AR204" s="33">
        <f t="shared" si="542"/>
        <v>0</v>
      </c>
      <c r="AS204" s="33">
        <f t="shared" si="542"/>
        <v>0</v>
      </c>
      <c r="AT204" s="33">
        <f t="shared" si="542"/>
        <v>0</v>
      </c>
      <c r="AU204" s="33">
        <f t="shared" si="542"/>
        <v>0</v>
      </c>
      <c r="AV204" s="33">
        <v>0</v>
      </c>
      <c r="AW204" s="33">
        <v>0</v>
      </c>
      <c r="AX204" s="33">
        <v>0</v>
      </c>
      <c r="AY204" s="1"/>
    </row>
    <row r="205" spans="3:51" s="27" customFormat="1" ht="11.25" customHeight="1">
      <c r="C205" s="43" t="s">
        <v>108</v>
      </c>
      <c r="E205" s="29">
        <v>5</v>
      </c>
      <c r="F205" s="33">
        <v>0</v>
      </c>
      <c r="G205" s="33">
        <v>0</v>
      </c>
      <c r="H205" s="33">
        <v>0</v>
      </c>
      <c r="I205" s="33">
        <v>0</v>
      </c>
      <c r="J205" s="33">
        <v>0</v>
      </c>
      <c r="K205" s="33">
        <v>0</v>
      </c>
      <c r="L205" s="33">
        <v>0</v>
      </c>
      <c r="M205" s="33">
        <v>0</v>
      </c>
      <c r="N205" s="33">
        <v>0</v>
      </c>
      <c r="O205" s="33">
        <v>0</v>
      </c>
      <c r="P205" s="33">
        <v>0</v>
      </c>
      <c r="Q205" s="33">
        <v>0</v>
      </c>
      <c r="R205" s="33">
        <v>0</v>
      </c>
      <c r="S205" s="33">
        <v>0</v>
      </c>
      <c r="T205" s="33">
        <v>0</v>
      </c>
      <c r="U205" s="33">
        <v>0</v>
      </c>
      <c r="V205" s="33">
        <v>0</v>
      </c>
      <c r="W205" s="33">
        <v>0</v>
      </c>
      <c r="X205" s="33">
        <v>0</v>
      </c>
      <c r="Y205" s="33">
        <v>0</v>
      </c>
      <c r="Z205" s="33">
        <v>0</v>
      </c>
      <c r="AA205" s="33">
        <v>0</v>
      </c>
      <c r="AB205" s="33">
        <v>0</v>
      </c>
      <c r="AC205" s="33">
        <v>0</v>
      </c>
      <c r="AD205" s="29">
        <v>12</v>
      </c>
      <c r="AE205" s="29">
        <v>0</v>
      </c>
      <c r="AF205" s="29">
        <v>22</v>
      </c>
      <c r="AG205" s="29">
        <v>0</v>
      </c>
      <c r="AH205" s="33">
        <v>0</v>
      </c>
      <c r="AI205" s="33">
        <v>0</v>
      </c>
      <c r="AJ205" s="33">
        <v>0</v>
      </c>
      <c r="AK205" s="79"/>
      <c r="AL205" s="33">
        <v>0</v>
      </c>
      <c r="AM205" s="33">
        <v>0</v>
      </c>
      <c r="AN205" s="33">
        <f t="shared" si="542"/>
        <v>5</v>
      </c>
      <c r="AO205" s="33">
        <f t="shared" si="542"/>
        <v>0</v>
      </c>
      <c r="AP205" s="33">
        <f t="shared" si="542"/>
        <v>0</v>
      </c>
      <c r="AQ205" s="33">
        <f t="shared" si="542"/>
        <v>0</v>
      </c>
      <c r="AR205" s="33">
        <f t="shared" si="542"/>
        <v>0</v>
      </c>
      <c r="AS205" s="33">
        <f t="shared" si="542"/>
        <v>0</v>
      </c>
      <c r="AT205" s="33">
        <f t="shared" si="542"/>
        <v>34</v>
      </c>
      <c r="AU205" s="33">
        <f t="shared" si="542"/>
        <v>0</v>
      </c>
      <c r="AV205" s="33">
        <v>0</v>
      </c>
      <c r="AW205" s="33">
        <v>0</v>
      </c>
      <c r="AX205" s="33">
        <v>0</v>
      </c>
      <c r="AY205" s="1"/>
    </row>
    <row r="206" spans="3:51" s="27" customFormat="1" ht="11.25" customHeight="1">
      <c r="C206" s="43" t="s">
        <v>1787</v>
      </c>
      <c r="E206" s="29">
        <v>0</v>
      </c>
      <c r="F206" s="33">
        <v>0</v>
      </c>
      <c r="G206" s="33">
        <v>0</v>
      </c>
      <c r="H206" s="33">
        <v>0</v>
      </c>
      <c r="I206" s="33">
        <v>0</v>
      </c>
      <c r="J206" s="33">
        <v>0</v>
      </c>
      <c r="K206" s="33">
        <v>0</v>
      </c>
      <c r="L206" s="33">
        <v>0</v>
      </c>
      <c r="M206" s="33">
        <v>0</v>
      </c>
      <c r="N206" s="33">
        <v>0</v>
      </c>
      <c r="O206" s="33">
        <v>0</v>
      </c>
      <c r="P206" s="33">
        <v>0</v>
      </c>
      <c r="Q206" s="33">
        <v>0</v>
      </c>
      <c r="R206" s="33">
        <v>0</v>
      </c>
      <c r="S206" s="33">
        <v>0</v>
      </c>
      <c r="T206" s="33">
        <v>0</v>
      </c>
      <c r="U206" s="33">
        <v>0</v>
      </c>
      <c r="V206" s="33">
        <v>0</v>
      </c>
      <c r="W206" s="33">
        <v>0</v>
      </c>
      <c r="X206" s="33">
        <v>0</v>
      </c>
      <c r="Y206" s="33">
        <v>0</v>
      </c>
      <c r="Z206" s="33">
        <v>0</v>
      </c>
      <c r="AA206" s="33">
        <v>0</v>
      </c>
      <c r="AB206" s="33">
        <v>0</v>
      </c>
      <c r="AC206" s="33">
        <v>0</v>
      </c>
      <c r="AD206" s="29">
        <v>0</v>
      </c>
      <c r="AE206" s="29">
        <v>0</v>
      </c>
      <c r="AF206" s="29">
        <v>0</v>
      </c>
      <c r="AG206" s="29">
        <v>23</v>
      </c>
      <c r="AH206" s="33"/>
      <c r="AI206" s="33"/>
      <c r="AJ206" s="33"/>
      <c r="AK206" s="79"/>
      <c r="AL206" s="33"/>
      <c r="AM206" s="33">
        <v>0</v>
      </c>
      <c r="AN206" s="33">
        <f t="shared" si="542"/>
        <v>0</v>
      </c>
      <c r="AO206" s="33">
        <f t="shared" si="542"/>
        <v>0</v>
      </c>
      <c r="AP206" s="33">
        <f t="shared" si="542"/>
        <v>0</v>
      </c>
      <c r="AQ206" s="33">
        <f t="shared" si="542"/>
        <v>0</v>
      </c>
      <c r="AR206" s="33">
        <f t="shared" si="542"/>
        <v>0</v>
      </c>
      <c r="AS206" s="33">
        <f t="shared" si="542"/>
        <v>0</v>
      </c>
      <c r="AT206" s="33">
        <f t="shared" si="542"/>
        <v>0</v>
      </c>
      <c r="AU206" s="33">
        <f t="shared" si="542"/>
        <v>23</v>
      </c>
      <c r="AV206" s="1118"/>
      <c r="AW206" s="1118"/>
      <c r="AX206" s="1118"/>
      <c r="AY206" s="1"/>
    </row>
    <row r="207" spans="3:51" s="27" customFormat="1" ht="11.25" customHeight="1">
      <c r="C207" s="43" t="s">
        <v>1131</v>
      </c>
      <c r="E207" s="29">
        <v>0</v>
      </c>
      <c r="F207" s="33">
        <v>0</v>
      </c>
      <c r="G207" s="33">
        <v>0</v>
      </c>
      <c r="H207" s="33">
        <v>0</v>
      </c>
      <c r="I207" s="33">
        <v>0</v>
      </c>
      <c r="J207" s="33">
        <v>0</v>
      </c>
      <c r="K207" s="33">
        <v>0</v>
      </c>
      <c r="L207" s="33">
        <v>0</v>
      </c>
      <c r="M207" s="33">
        <v>0</v>
      </c>
      <c r="N207" s="33">
        <v>0</v>
      </c>
      <c r="O207" s="33">
        <v>0</v>
      </c>
      <c r="P207" s="33">
        <v>0</v>
      </c>
      <c r="Q207" s="33">
        <v>0</v>
      </c>
      <c r="R207" s="33">
        <v>0</v>
      </c>
      <c r="S207" s="33">
        <v>0</v>
      </c>
      <c r="T207" s="33">
        <v>0</v>
      </c>
      <c r="U207" s="33">
        <v>0</v>
      </c>
      <c r="V207" s="33">
        <v>0</v>
      </c>
      <c r="W207" s="33">
        <v>0</v>
      </c>
      <c r="X207" s="33">
        <v>0</v>
      </c>
      <c r="Y207" s="33">
        <v>0</v>
      </c>
      <c r="Z207" s="33">
        <v>0</v>
      </c>
      <c r="AA207" s="33">
        <v>0</v>
      </c>
      <c r="AB207" s="33">
        <v>0</v>
      </c>
      <c r="AC207" s="33">
        <v>0</v>
      </c>
      <c r="AD207" s="29">
        <v>0</v>
      </c>
      <c r="AE207" s="29">
        <v>0</v>
      </c>
      <c r="AF207" s="29">
        <v>0</v>
      </c>
      <c r="AG207" s="29">
        <v>-8</v>
      </c>
      <c r="AH207" s="33"/>
      <c r="AI207" s="33"/>
      <c r="AJ207" s="33"/>
      <c r="AK207" s="79"/>
      <c r="AL207" s="33"/>
      <c r="AM207" s="33">
        <v>0</v>
      </c>
      <c r="AN207" s="33">
        <f t="shared" si="542"/>
        <v>0</v>
      </c>
      <c r="AO207" s="33">
        <f t="shared" si="542"/>
        <v>0</v>
      </c>
      <c r="AP207" s="33">
        <f t="shared" si="542"/>
        <v>0</v>
      </c>
      <c r="AQ207" s="33">
        <f t="shared" si="542"/>
        <v>0</v>
      </c>
      <c r="AR207" s="33">
        <f t="shared" si="542"/>
        <v>0</v>
      </c>
      <c r="AS207" s="33">
        <f t="shared" si="542"/>
        <v>0</v>
      </c>
      <c r="AT207" s="33">
        <f t="shared" si="542"/>
        <v>0</v>
      </c>
      <c r="AU207" s="33">
        <f t="shared" si="542"/>
        <v>-8</v>
      </c>
      <c r="AV207" s="1118"/>
      <c r="AW207" s="1118"/>
      <c r="AX207" s="1118"/>
      <c r="AY207" s="1"/>
    </row>
    <row r="208" spans="3:51" s="27" customFormat="1" ht="11.25" customHeight="1">
      <c r="C208" s="43" t="s">
        <v>364</v>
      </c>
      <c r="E208" s="29">
        <v>0</v>
      </c>
      <c r="F208" s="29">
        <v>0</v>
      </c>
      <c r="G208" s="29">
        <v>0</v>
      </c>
      <c r="H208" s="29">
        <v>0</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9">
        <v>0</v>
      </c>
      <c r="AI208" s="29">
        <v>0</v>
      </c>
      <c r="AJ208" s="29">
        <v>0</v>
      </c>
      <c r="AK208" s="79"/>
      <c r="AL208" s="29">
        <v>0</v>
      </c>
      <c r="AM208" s="29">
        <v>0</v>
      </c>
      <c r="AN208" s="33">
        <f t="shared" si="542"/>
        <v>0</v>
      </c>
      <c r="AO208" s="33">
        <f t="shared" si="542"/>
        <v>0</v>
      </c>
      <c r="AP208" s="33">
        <f t="shared" si="542"/>
        <v>0</v>
      </c>
      <c r="AQ208" s="33">
        <f t="shared" si="542"/>
        <v>0</v>
      </c>
      <c r="AR208" s="33">
        <f t="shared" si="542"/>
        <v>0</v>
      </c>
      <c r="AS208" s="33">
        <f t="shared" si="542"/>
        <v>0</v>
      </c>
      <c r="AT208" s="33">
        <f t="shared" si="542"/>
        <v>0</v>
      </c>
      <c r="AU208" s="33">
        <f t="shared" si="542"/>
        <v>0</v>
      </c>
      <c r="AV208" s="29">
        <v>0</v>
      </c>
      <c r="AW208" s="29">
        <v>0</v>
      </c>
      <c r="AX208" s="29">
        <v>0</v>
      </c>
      <c r="AY208" s="1"/>
    </row>
    <row r="209" spans="3:66" s="27" customFormat="1" ht="11.25" customHeight="1">
      <c r="C209" s="45" t="s">
        <v>365</v>
      </c>
      <c r="E209" s="35">
        <f>E192+SUM(E195:E208)</f>
        <v>335</v>
      </c>
      <c r="F209" s="35">
        <f t="shared" ref="F209:R209" si="559">F192+SUM(F195:F208)</f>
        <v>316</v>
      </c>
      <c r="G209" s="35">
        <f t="shared" si="559"/>
        <v>349</v>
      </c>
      <c r="H209" s="35">
        <f t="shared" si="559"/>
        <v>273</v>
      </c>
      <c r="I209" s="35">
        <f t="shared" si="559"/>
        <v>341</v>
      </c>
      <c r="J209" s="35">
        <f t="shared" si="559"/>
        <v>359</v>
      </c>
      <c r="K209" s="35">
        <f t="shared" si="559"/>
        <v>400</v>
      </c>
      <c r="L209" s="35">
        <f t="shared" si="559"/>
        <v>294</v>
      </c>
      <c r="M209" s="35">
        <f t="shared" si="559"/>
        <v>400</v>
      </c>
      <c r="N209" s="35">
        <f t="shared" si="559"/>
        <v>386</v>
      </c>
      <c r="O209" s="35">
        <f t="shared" si="559"/>
        <v>393</v>
      </c>
      <c r="P209" s="35">
        <f t="shared" si="559"/>
        <v>219</v>
      </c>
      <c r="Q209" s="35">
        <f t="shared" si="559"/>
        <v>296</v>
      </c>
      <c r="R209" s="35">
        <f t="shared" si="559"/>
        <v>334</v>
      </c>
      <c r="S209" s="35">
        <f t="shared" ref="S209:X209" si="560">S192+SUM(S195:S208)</f>
        <v>315</v>
      </c>
      <c r="T209" s="35">
        <f>T192+SUM(T195:T208)</f>
        <v>226</v>
      </c>
      <c r="U209" s="35">
        <f t="shared" si="560"/>
        <v>330</v>
      </c>
      <c r="V209" s="35">
        <f t="shared" si="560"/>
        <v>140</v>
      </c>
      <c r="W209" s="35">
        <f t="shared" si="560"/>
        <v>258</v>
      </c>
      <c r="X209" s="35">
        <f t="shared" si="560"/>
        <v>278</v>
      </c>
      <c r="Y209" s="35">
        <f t="shared" ref="Y209:AC209" si="561">Y192+SUM(Y195:Y208)</f>
        <v>350</v>
      </c>
      <c r="Z209" s="35">
        <f t="shared" si="561"/>
        <v>403</v>
      </c>
      <c r="AA209" s="35">
        <f t="shared" si="561"/>
        <v>396</v>
      </c>
      <c r="AB209" s="35">
        <f t="shared" si="561"/>
        <v>288</v>
      </c>
      <c r="AC209" s="35">
        <f t="shared" si="561"/>
        <v>320</v>
      </c>
      <c r="AD209" s="35">
        <f t="shared" ref="AD209:AF209" si="562">AD192+SUM(AD195:AD208)</f>
        <v>424</v>
      </c>
      <c r="AE209" s="35">
        <f t="shared" si="562"/>
        <v>290</v>
      </c>
      <c r="AF209" s="35">
        <f t="shared" si="562"/>
        <v>123</v>
      </c>
      <c r="AG209" s="35">
        <f t="shared" ref="AG209" si="563">AG192+SUM(AG195:AG208)</f>
        <v>231</v>
      </c>
      <c r="AH209" s="35">
        <f ca="1">AH192+SUM(AH195:AH208)</f>
        <v>330.14818749999995</v>
      </c>
      <c r="AI209" s="35">
        <f ca="1">AI192+SUM(AI195:AI208)</f>
        <v>357.11308750000006</v>
      </c>
      <c r="AJ209" s="35">
        <f ca="1">AJ192+SUM(AJ195:AJ208)</f>
        <v>289.94688750000006</v>
      </c>
      <c r="AK209" s="79"/>
      <c r="AL209" s="35">
        <f t="shared" ref="AL209:AT209" si="564">AL192+SUM(AL195:AL208)</f>
        <v>1417</v>
      </c>
      <c r="AM209" s="35">
        <f t="shared" si="564"/>
        <v>1437</v>
      </c>
      <c r="AN209" s="35">
        <f t="shared" si="564"/>
        <v>1273</v>
      </c>
      <c r="AO209" s="35">
        <f t="shared" si="564"/>
        <v>1394</v>
      </c>
      <c r="AP209" s="35">
        <f t="shared" si="564"/>
        <v>1398</v>
      </c>
      <c r="AQ209" s="35">
        <f t="shared" si="564"/>
        <v>1171</v>
      </c>
      <c r="AR209" s="35">
        <f t="shared" si="564"/>
        <v>1006</v>
      </c>
      <c r="AS209" s="35">
        <f t="shared" si="564"/>
        <v>1437</v>
      </c>
      <c r="AT209" s="35">
        <f t="shared" si="564"/>
        <v>1157</v>
      </c>
      <c r="AU209" s="35">
        <f ca="1">AU192+SUM(AU195:AU208)</f>
        <v>1208.2081625000001</v>
      </c>
      <c r="AV209" s="35">
        <f ca="1">AV192+SUM(AV195:AV208)</f>
        <v>1320.4219839999998</v>
      </c>
      <c r="AW209" s="35">
        <f ca="1">AW192+SUM(AW195:AW208)</f>
        <v>1423.875273565</v>
      </c>
      <c r="AX209" s="35">
        <f ca="1">AX192+SUM(AX195:AX208)</f>
        <v>1535.1633351145749</v>
      </c>
      <c r="AY209" s="1"/>
    </row>
    <row r="210" spans="3:66" s="27" customFormat="1" ht="11.25" customHeight="1">
      <c r="C210" s="45"/>
      <c r="E210" s="30"/>
      <c r="F210" s="30"/>
      <c r="G210" s="30"/>
      <c r="H210" s="30"/>
      <c r="I210" s="30"/>
      <c r="J210" s="30"/>
      <c r="K210" s="30"/>
      <c r="L210" s="30"/>
      <c r="M210" s="30"/>
      <c r="N210" s="30"/>
      <c r="O210" s="30"/>
      <c r="P210" s="30"/>
      <c r="Q210" s="30"/>
      <c r="R210" s="30"/>
      <c r="AK210" s="79"/>
      <c r="AL210" s="30"/>
      <c r="AM210" s="30"/>
      <c r="AN210" s="30"/>
      <c r="AO210" s="30"/>
      <c r="AP210" s="30"/>
      <c r="AQ210" s="30"/>
      <c r="AR210" s="30"/>
      <c r="AY210" s="1"/>
    </row>
    <row r="211" spans="3:66" s="27" customFormat="1" ht="11.25" customHeight="1">
      <c r="C211" s="43" t="s">
        <v>28</v>
      </c>
      <c r="E211" s="28">
        <f t="shared" ref="E211:AJ211" si="565">E46</f>
        <v>72</v>
      </c>
      <c r="F211" s="28">
        <f t="shared" si="565"/>
        <v>67</v>
      </c>
      <c r="G211" s="28">
        <f t="shared" si="565"/>
        <v>56</v>
      </c>
      <c r="H211" s="28">
        <f t="shared" si="565"/>
        <v>-5</v>
      </c>
      <c r="I211" s="28">
        <f t="shared" si="565"/>
        <v>62</v>
      </c>
      <c r="J211" s="28">
        <f t="shared" si="565"/>
        <v>65</v>
      </c>
      <c r="K211" s="28">
        <f t="shared" si="565"/>
        <v>79</v>
      </c>
      <c r="L211" s="28">
        <f t="shared" si="565"/>
        <v>-305</v>
      </c>
      <c r="M211" s="28">
        <f t="shared" si="565"/>
        <v>60</v>
      </c>
      <c r="N211" s="28">
        <f t="shared" si="565"/>
        <v>84</v>
      </c>
      <c r="O211" s="28">
        <f t="shared" si="565"/>
        <v>46</v>
      </c>
      <c r="P211" s="28">
        <f t="shared" si="565"/>
        <v>36</v>
      </c>
      <c r="Q211" s="28">
        <f t="shared" si="565"/>
        <v>55</v>
      </c>
      <c r="R211" s="28">
        <f t="shared" si="565"/>
        <v>57</v>
      </c>
      <c r="S211" s="28">
        <f t="shared" si="565"/>
        <v>46</v>
      </c>
      <c r="T211" s="28">
        <f t="shared" si="565"/>
        <v>-18</v>
      </c>
      <c r="U211" s="28">
        <f t="shared" si="565"/>
        <v>56</v>
      </c>
      <c r="V211" s="28">
        <f t="shared" si="565"/>
        <v>-31</v>
      </c>
      <c r="W211" s="28">
        <f t="shared" si="565"/>
        <v>25</v>
      </c>
      <c r="X211" s="28">
        <f t="shared" si="565"/>
        <v>-9</v>
      </c>
      <c r="Y211" s="28">
        <f t="shared" si="565"/>
        <v>62</v>
      </c>
      <c r="Z211" s="28">
        <f t="shared" si="565"/>
        <v>37</v>
      </c>
      <c r="AA211" s="28">
        <f t="shared" si="565"/>
        <v>-33</v>
      </c>
      <c r="AB211" s="28">
        <f t="shared" si="565"/>
        <v>149</v>
      </c>
      <c r="AC211" s="28">
        <f t="shared" si="565"/>
        <v>51</v>
      </c>
      <c r="AD211" s="28">
        <f t="shared" si="565"/>
        <v>124</v>
      </c>
      <c r="AE211" s="28">
        <f t="shared" si="565"/>
        <v>-20</v>
      </c>
      <c r="AF211" s="28">
        <f t="shared" si="565"/>
        <v>26</v>
      </c>
      <c r="AG211" s="28">
        <f t="shared" si="565"/>
        <v>60</v>
      </c>
      <c r="AH211" s="28">
        <f t="shared" ca="1" si="565"/>
        <v>52.823709999999991</v>
      </c>
      <c r="AI211" s="28">
        <f t="shared" ca="1" si="565"/>
        <v>57.138094000000009</v>
      </c>
      <c r="AJ211" s="28">
        <f t="shared" ca="1" si="565"/>
        <v>46.39150200000001</v>
      </c>
      <c r="AK211" s="79"/>
      <c r="AL211" s="28">
        <f>AL46</f>
        <v>235</v>
      </c>
      <c r="AM211" s="28">
        <f>AM46</f>
        <v>275</v>
      </c>
      <c r="AN211" s="33">
        <f t="shared" ref="AN211:AT211" si="566">SUMIF($E$6:$AK$6,AN$6,$E211:$AK211)</f>
        <v>190</v>
      </c>
      <c r="AO211" s="33">
        <f t="shared" si="566"/>
        <v>-99</v>
      </c>
      <c r="AP211" s="33">
        <f t="shared" si="566"/>
        <v>226</v>
      </c>
      <c r="AQ211" s="33">
        <f t="shared" si="566"/>
        <v>140</v>
      </c>
      <c r="AR211" s="33">
        <f t="shared" si="566"/>
        <v>41</v>
      </c>
      <c r="AS211" s="33">
        <f t="shared" si="566"/>
        <v>215</v>
      </c>
      <c r="AT211" s="33">
        <f t="shared" si="566"/>
        <v>181</v>
      </c>
      <c r="AU211" s="33">
        <f ca="1">SUMIF($E$6:$AK$6,AU$6,$E211:$AK211)</f>
        <v>216.353306</v>
      </c>
      <c r="AV211" s="28">
        <f ca="1">AV46</f>
        <v>224.47173727999999</v>
      </c>
      <c r="AW211" s="28">
        <f ca="1">AW46</f>
        <v>242.05879650605002</v>
      </c>
      <c r="AX211" s="28">
        <f ca="1">AX46</f>
        <v>260.97776696947773</v>
      </c>
      <c r="AY211" s="1"/>
    </row>
    <row r="212" spans="3:66" s="27" customFormat="1" ht="5.2" customHeight="1">
      <c r="C212" s="36"/>
      <c r="E212" s="30"/>
      <c r="F212" s="30"/>
      <c r="G212" s="30"/>
      <c r="H212" s="30"/>
      <c r="I212" s="30"/>
      <c r="J212" s="30"/>
      <c r="K212" s="30"/>
      <c r="L212" s="30"/>
      <c r="M212" s="30"/>
      <c r="N212" s="30"/>
      <c r="O212" s="30"/>
      <c r="P212" s="30"/>
      <c r="Q212" s="30"/>
      <c r="R212" s="30"/>
      <c r="AK212" s="79"/>
      <c r="AL212" s="30"/>
      <c r="AM212" s="30"/>
      <c r="AN212" s="30"/>
      <c r="AO212" s="30"/>
      <c r="AP212" s="30"/>
      <c r="AQ212" s="30"/>
      <c r="AR212" s="30"/>
      <c r="AY212" s="1"/>
    </row>
    <row r="213" spans="3:66" s="27" customFormat="1" ht="11.25" customHeight="1">
      <c r="C213" s="43" t="s">
        <v>97</v>
      </c>
      <c r="E213" s="30"/>
      <c r="F213" s="30"/>
      <c r="G213" s="30"/>
      <c r="H213" s="30"/>
      <c r="I213" s="30"/>
      <c r="J213" s="30"/>
      <c r="K213" s="30"/>
      <c r="L213" s="30"/>
      <c r="M213" s="30"/>
      <c r="N213" s="30"/>
      <c r="O213" s="30"/>
      <c r="P213" s="30"/>
      <c r="Q213" s="30"/>
      <c r="R213" s="30"/>
      <c r="AK213" s="79"/>
      <c r="AL213" s="30"/>
      <c r="AM213" s="30"/>
      <c r="AN213" s="30"/>
      <c r="AO213" s="30"/>
      <c r="AP213" s="30"/>
      <c r="AQ213" s="30"/>
      <c r="AR213" s="30"/>
      <c r="AY213" s="1"/>
    </row>
    <row r="214" spans="3:66" s="27" customFormat="1" ht="11.25" customHeight="1">
      <c r="C214" s="43" t="s">
        <v>348</v>
      </c>
      <c r="E214" s="29">
        <v>8</v>
      </c>
      <c r="F214" s="29">
        <v>-3</v>
      </c>
      <c r="G214" s="29">
        <v>17</v>
      </c>
      <c r="H214" s="29">
        <v>53</v>
      </c>
      <c r="I214" s="29">
        <v>0</v>
      </c>
      <c r="J214" s="29">
        <v>0</v>
      </c>
      <c r="K214" s="29">
        <v>-2</v>
      </c>
      <c r="L214" s="29">
        <v>40</v>
      </c>
      <c r="M214" s="29">
        <v>11</v>
      </c>
      <c r="N214" s="29">
        <v>-9</v>
      </c>
      <c r="O214" s="29">
        <v>-12</v>
      </c>
      <c r="P214" s="29">
        <v>26</v>
      </c>
      <c r="Q214" s="29">
        <v>6</v>
      </c>
      <c r="R214" s="29">
        <v>6</v>
      </c>
      <c r="S214" s="29">
        <v>0</v>
      </c>
      <c r="T214" s="29">
        <v>34</v>
      </c>
      <c r="U214" s="29">
        <v>3</v>
      </c>
      <c r="V214" s="29">
        <v>33</v>
      </c>
      <c r="W214" s="29">
        <v>17</v>
      </c>
      <c r="X214" s="29">
        <v>60</v>
      </c>
      <c r="Y214" s="29">
        <v>2</v>
      </c>
      <c r="Z214" s="29">
        <v>33</v>
      </c>
      <c r="AA214" s="29">
        <v>26</v>
      </c>
      <c r="AB214" s="29">
        <f>-65-14</f>
        <v>-79</v>
      </c>
      <c r="AC214" s="29">
        <v>5</v>
      </c>
      <c r="AD214" s="29">
        <v>-49</v>
      </c>
      <c r="AE214" s="29">
        <v>28</v>
      </c>
      <c r="AF214" s="29">
        <v>5</v>
      </c>
      <c r="AG214" s="29">
        <v>5</v>
      </c>
      <c r="AH214" s="29">
        <v>0</v>
      </c>
      <c r="AI214" s="29">
        <v>0</v>
      </c>
      <c r="AJ214" s="29">
        <v>0</v>
      </c>
      <c r="AK214" s="79"/>
      <c r="AL214" s="46"/>
      <c r="AM214" s="29">
        <v>90</v>
      </c>
      <c r="AN214" s="33">
        <f t="shared" ref="AN214:AU217" si="567">SUMIF($E$6:$AK$6,AN$6,$E214:$AK214)</f>
        <v>75</v>
      </c>
      <c r="AO214" s="33">
        <f t="shared" si="567"/>
        <v>38</v>
      </c>
      <c r="AP214" s="33">
        <f t="shared" si="567"/>
        <v>16</v>
      </c>
      <c r="AQ214" s="33">
        <f t="shared" si="567"/>
        <v>46</v>
      </c>
      <c r="AR214" s="33">
        <f t="shared" si="567"/>
        <v>113</v>
      </c>
      <c r="AS214" s="33">
        <f t="shared" si="567"/>
        <v>-18</v>
      </c>
      <c r="AT214" s="33">
        <f t="shared" si="567"/>
        <v>-11</v>
      </c>
      <c r="AU214" s="33">
        <f t="shared" si="567"/>
        <v>5</v>
      </c>
      <c r="AV214" s="29">
        <v>0</v>
      </c>
      <c r="AW214" s="29">
        <v>0</v>
      </c>
      <c r="AX214" s="29">
        <v>0</v>
      </c>
      <c r="AY214" s="1"/>
    </row>
    <row r="215" spans="3:66" s="27" customFormat="1" ht="11.25" customHeight="1">
      <c r="C215" s="43" t="s">
        <v>349</v>
      </c>
      <c r="E215" s="29">
        <v>0</v>
      </c>
      <c r="F215" s="29">
        <v>0</v>
      </c>
      <c r="G215" s="29">
        <v>0</v>
      </c>
      <c r="H215" s="29">
        <v>0</v>
      </c>
      <c r="I215" s="29">
        <v>0</v>
      </c>
      <c r="J215" s="29">
        <v>0</v>
      </c>
      <c r="K215" s="29">
        <v>0</v>
      </c>
      <c r="L215" s="29">
        <v>339</v>
      </c>
      <c r="M215" s="29">
        <v>0</v>
      </c>
      <c r="N215" s="29">
        <v>-10</v>
      </c>
      <c r="O215" s="29">
        <v>14</v>
      </c>
      <c r="P215" s="29">
        <v>-24</v>
      </c>
      <c r="Q215" s="29">
        <v>-10</v>
      </c>
      <c r="R215" s="29">
        <v>3</v>
      </c>
      <c r="S215" s="29">
        <v>0</v>
      </c>
      <c r="T215" s="29">
        <v>0</v>
      </c>
      <c r="U215" s="29">
        <v>0</v>
      </c>
      <c r="V215" s="29">
        <v>0</v>
      </c>
      <c r="W215" s="29">
        <v>0</v>
      </c>
      <c r="X215" s="29">
        <v>0</v>
      </c>
      <c r="Y215" s="29">
        <v>0</v>
      </c>
      <c r="Z215" s="29">
        <v>0</v>
      </c>
      <c r="AA215" s="29">
        <v>15</v>
      </c>
      <c r="AB215" s="29">
        <v>0</v>
      </c>
      <c r="AC215" s="29">
        <v>0</v>
      </c>
      <c r="AD215" s="29">
        <v>0</v>
      </c>
      <c r="AE215" s="29">
        <v>0</v>
      </c>
      <c r="AF215" s="29">
        <v>0</v>
      </c>
      <c r="AG215" s="29">
        <v>-23</v>
      </c>
      <c r="AH215" s="29">
        <v>0</v>
      </c>
      <c r="AI215" s="29">
        <v>0</v>
      </c>
      <c r="AJ215" s="29">
        <v>0</v>
      </c>
      <c r="AK215" s="79"/>
      <c r="AL215" s="46"/>
      <c r="AM215" s="29">
        <v>0</v>
      </c>
      <c r="AN215" s="33">
        <f t="shared" si="567"/>
        <v>0</v>
      </c>
      <c r="AO215" s="33">
        <f t="shared" si="567"/>
        <v>339</v>
      </c>
      <c r="AP215" s="33">
        <f t="shared" si="567"/>
        <v>-20</v>
      </c>
      <c r="AQ215" s="33">
        <f t="shared" si="567"/>
        <v>-7</v>
      </c>
      <c r="AR215" s="33">
        <f t="shared" si="567"/>
        <v>0</v>
      </c>
      <c r="AS215" s="33">
        <f t="shared" si="567"/>
        <v>15</v>
      </c>
      <c r="AT215" s="33">
        <f t="shared" si="567"/>
        <v>0</v>
      </c>
      <c r="AU215" s="33">
        <f t="shared" si="567"/>
        <v>-23</v>
      </c>
      <c r="AV215" s="29">
        <v>0</v>
      </c>
      <c r="AW215" s="29">
        <v>0</v>
      </c>
      <c r="AX215" s="29">
        <v>0</v>
      </c>
      <c r="AY215" s="1"/>
    </row>
    <row r="216" spans="3:66" s="27" customFormat="1" ht="11.25" customHeight="1">
      <c r="C216" s="43" t="s">
        <v>164</v>
      </c>
      <c r="E216" s="29">
        <v>0</v>
      </c>
      <c r="F216" s="29">
        <v>0</v>
      </c>
      <c r="G216" s="29">
        <v>0</v>
      </c>
      <c r="H216" s="29">
        <v>0</v>
      </c>
      <c r="I216" s="29">
        <v>9</v>
      </c>
      <c r="J216" s="29">
        <v>3</v>
      </c>
      <c r="K216" s="29">
        <v>3</v>
      </c>
      <c r="L216" s="29">
        <v>-15</v>
      </c>
      <c r="M216" s="29">
        <v>5</v>
      </c>
      <c r="N216" s="29">
        <v>0</v>
      </c>
      <c r="O216" s="29">
        <v>11</v>
      </c>
      <c r="P216" s="29">
        <v>-16</v>
      </c>
      <c r="Q216" s="29">
        <v>-3</v>
      </c>
      <c r="R216" s="29">
        <v>-10</v>
      </c>
      <c r="S216" s="29">
        <v>0</v>
      </c>
      <c r="T216" s="29">
        <v>13</v>
      </c>
      <c r="U216" s="29">
        <v>-8</v>
      </c>
      <c r="V216" s="29">
        <v>19</v>
      </c>
      <c r="W216" s="29">
        <v>-2</v>
      </c>
      <c r="X216" s="29">
        <v>-9</v>
      </c>
      <c r="Y216" s="29">
        <v>-10</v>
      </c>
      <c r="Z216" s="29">
        <v>-8</v>
      </c>
      <c r="AA216" s="29">
        <v>47</v>
      </c>
      <c r="AB216" s="29">
        <v>-29</v>
      </c>
      <c r="AC216" s="29">
        <v>-6</v>
      </c>
      <c r="AD216" s="29">
        <v>-10</v>
      </c>
      <c r="AE216" s="29">
        <v>32</v>
      </c>
      <c r="AF216" s="29">
        <v>-16</v>
      </c>
      <c r="AG216" s="29">
        <v>-6</v>
      </c>
      <c r="AH216" s="29">
        <v>0</v>
      </c>
      <c r="AI216" s="29">
        <v>0</v>
      </c>
      <c r="AJ216" s="29">
        <v>0</v>
      </c>
      <c r="AK216" s="79"/>
      <c r="AL216" s="46"/>
      <c r="AM216" s="29">
        <v>0</v>
      </c>
      <c r="AN216" s="33">
        <f t="shared" si="567"/>
        <v>0</v>
      </c>
      <c r="AO216" s="33">
        <f t="shared" si="567"/>
        <v>0</v>
      </c>
      <c r="AP216" s="33">
        <f t="shared" si="567"/>
        <v>0</v>
      </c>
      <c r="AQ216" s="33">
        <f t="shared" si="567"/>
        <v>0</v>
      </c>
      <c r="AR216" s="33">
        <f t="shared" si="567"/>
        <v>0</v>
      </c>
      <c r="AS216" s="33">
        <f t="shared" si="567"/>
        <v>0</v>
      </c>
      <c r="AT216" s="33">
        <f t="shared" si="567"/>
        <v>0</v>
      </c>
      <c r="AU216" s="33">
        <f t="shared" si="567"/>
        <v>-6</v>
      </c>
      <c r="AV216" s="29">
        <v>0</v>
      </c>
      <c r="AW216" s="29">
        <v>0</v>
      </c>
      <c r="AX216" s="29">
        <v>0</v>
      </c>
      <c r="AY216" s="1"/>
    </row>
    <row r="217" spans="3:66" s="27" customFormat="1" ht="11.25" customHeight="1">
      <c r="C217" s="43" t="s">
        <v>362</v>
      </c>
      <c r="E217" s="29">
        <v>0</v>
      </c>
      <c r="F217" s="29">
        <v>0</v>
      </c>
      <c r="G217" s="29">
        <v>0</v>
      </c>
      <c r="H217" s="29">
        <v>0</v>
      </c>
      <c r="I217" s="29">
        <v>0</v>
      </c>
      <c r="J217" s="29">
        <v>0</v>
      </c>
      <c r="K217" s="29">
        <v>0</v>
      </c>
      <c r="L217" s="29">
        <v>0</v>
      </c>
      <c r="M217" s="29">
        <v>0</v>
      </c>
      <c r="N217" s="29">
        <v>0</v>
      </c>
      <c r="O217" s="29">
        <v>0</v>
      </c>
      <c r="P217" s="29">
        <v>0</v>
      </c>
      <c r="Q217" s="29">
        <v>0</v>
      </c>
      <c r="R217" s="29">
        <v>0</v>
      </c>
      <c r="S217" s="29">
        <v>1</v>
      </c>
      <c r="T217" s="29">
        <v>0</v>
      </c>
      <c r="U217" s="29">
        <v>0</v>
      </c>
      <c r="V217" s="29">
        <v>0</v>
      </c>
      <c r="W217" s="29">
        <v>0</v>
      </c>
      <c r="X217" s="29">
        <v>2</v>
      </c>
      <c r="Y217" s="29">
        <v>0</v>
      </c>
      <c r="Z217" s="29">
        <v>0</v>
      </c>
      <c r="AA217" s="29">
        <v>0</v>
      </c>
      <c r="AB217" s="29">
        <v>2</v>
      </c>
      <c r="AC217" s="29">
        <v>0</v>
      </c>
      <c r="AD217" s="29">
        <v>0</v>
      </c>
      <c r="AE217" s="29">
        <v>0</v>
      </c>
      <c r="AF217" s="29">
        <v>0</v>
      </c>
      <c r="AG217" s="29">
        <v>0</v>
      </c>
      <c r="AH217" s="29">
        <v>0</v>
      </c>
      <c r="AI217" s="29">
        <v>0</v>
      </c>
      <c r="AJ217" s="29">
        <v>0</v>
      </c>
      <c r="AK217" s="79"/>
      <c r="AL217" s="46"/>
      <c r="AM217" s="29">
        <v>0</v>
      </c>
      <c r="AN217" s="33">
        <f t="shared" si="567"/>
        <v>0</v>
      </c>
      <c r="AO217" s="33">
        <f t="shared" si="567"/>
        <v>0</v>
      </c>
      <c r="AP217" s="33">
        <f t="shared" si="567"/>
        <v>0</v>
      </c>
      <c r="AQ217" s="33">
        <f t="shared" si="567"/>
        <v>1</v>
      </c>
      <c r="AR217" s="33">
        <f t="shared" si="567"/>
        <v>2</v>
      </c>
      <c r="AS217" s="33">
        <f t="shared" si="567"/>
        <v>2</v>
      </c>
      <c r="AT217" s="33">
        <f t="shared" si="567"/>
        <v>0</v>
      </c>
      <c r="AU217" s="33">
        <f t="shared" si="567"/>
        <v>0</v>
      </c>
      <c r="AV217" s="29">
        <v>0</v>
      </c>
      <c r="AW217" s="29">
        <v>0</v>
      </c>
      <c r="AX217" s="29">
        <v>0</v>
      </c>
      <c r="AY217" s="1"/>
    </row>
    <row r="218" spans="3:66" s="27" customFormat="1" ht="11.25" customHeight="1">
      <c r="C218" s="45" t="s">
        <v>350</v>
      </c>
      <c r="E218" s="35">
        <f>E211+SUM(E214:E217)</f>
        <v>80</v>
      </c>
      <c r="F218" s="35">
        <f t="shared" ref="F218:X218" si="568">F211+SUM(F214:F217)</f>
        <v>64</v>
      </c>
      <c r="G218" s="35">
        <f t="shared" si="568"/>
        <v>73</v>
      </c>
      <c r="H218" s="35">
        <f t="shared" si="568"/>
        <v>48</v>
      </c>
      <c r="I218" s="35">
        <f t="shared" si="568"/>
        <v>71</v>
      </c>
      <c r="J218" s="35">
        <f t="shared" si="568"/>
        <v>68</v>
      </c>
      <c r="K218" s="35">
        <f t="shared" si="568"/>
        <v>80</v>
      </c>
      <c r="L218" s="35">
        <f t="shared" si="568"/>
        <v>59</v>
      </c>
      <c r="M218" s="35">
        <f t="shared" si="568"/>
        <v>76</v>
      </c>
      <c r="N218" s="35">
        <f t="shared" si="568"/>
        <v>65</v>
      </c>
      <c r="O218" s="35">
        <f t="shared" si="568"/>
        <v>59</v>
      </c>
      <c r="P218" s="35">
        <f t="shared" si="568"/>
        <v>22</v>
      </c>
      <c r="Q218" s="35">
        <f t="shared" si="568"/>
        <v>48</v>
      </c>
      <c r="R218" s="35">
        <f t="shared" si="568"/>
        <v>56</v>
      </c>
      <c r="S218" s="35">
        <f t="shared" si="568"/>
        <v>47</v>
      </c>
      <c r="T218" s="35">
        <f t="shared" si="568"/>
        <v>29</v>
      </c>
      <c r="U218" s="35">
        <f t="shared" si="568"/>
        <v>51</v>
      </c>
      <c r="V218" s="35">
        <f t="shared" si="568"/>
        <v>21</v>
      </c>
      <c r="W218" s="35">
        <f t="shared" si="568"/>
        <v>40</v>
      </c>
      <c r="X218" s="35">
        <f t="shared" si="568"/>
        <v>44</v>
      </c>
      <c r="Y218" s="35">
        <f t="shared" ref="Y218:AC218" si="569">Y211+SUM(Y214:Y217)</f>
        <v>54</v>
      </c>
      <c r="Z218" s="35">
        <f t="shared" si="569"/>
        <v>62</v>
      </c>
      <c r="AA218" s="35">
        <f t="shared" si="569"/>
        <v>55</v>
      </c>
      <c r="AB218" s="35">
        <f t="shared" si="569"/>
        <v>43</v>
      </c>
      <c r="AC218" s="35">
        <f t="shared" si="569"/>
        <v>50</v>
      </c>
      <c r="AD218" s="35">
        <f t="shared" ref="AD218:AF218" si="570">AD211+SUM(AD214:AD217)</f>
        <v>65</v>
      </c>
      <c r="AE218" s="35">
        <f t="shared" si="570"/>
        <v>40</v>
      </c>
      <c r="AF218" s="35">
        <f t="shared" si="570"/>
        <v>15</v>
      </c>
      <c r="AG218" s="35">
        <f t="shared" ref="AG218" si="571">AG211+SUM(AG214:AG217)</f>
        <v>36</v>
      </c>
      <c r="AH218" s="35">
        <f ca="1">AH211+SUM(AH214:AH217)</f>
        <v>52.823709999999991</v>
      </c>
      <c r="AI218" s="35">
        <f ca="1">AI211+SUM(AI214:AI217)</f>
        <v>57.138094000000009</v>
      </c>
      <c r="AJ218" s="35">
        <f ca="1">AJ211+SUM(AJ214:AJ217)</f>
        <v>46.39150200000001</v>
      </c>
      <c r="AK218" s="79"/>
      <c r="AL218" s="35">
        <f>AL211+SUM(AL214:AL216)</f>
        <v>235</v>
      </c>
      <c r="AM218" s="35">
        <f>AM211+SUM(AM214:AM217)</f>
        <v>365</v>
      </c>
      <c r="AN218" s="35">
        <f t="shared" ref="AN218:AT218" si="572">AN211+SUM(AN214:AN217)</f>
        <v>265</v>
      </c>
      <c r="AO218" s="35">
        <f t="shared" si="572"/>
        <v>278</v>
      </c>
      <c r="AP218" s="35">
        <f t="shared" si="572"/>
        <v>222</v>
      </c>
      <c r="AQ218" s="35">
        <f t="shared" si="572"/>
        <v>180</v>
      </c>
      <c r="AR218" s="35">
        <f t="shared" si="572"/>
        <v>156</v>
      </c>
      <c r="AS218" s="35">
        <f t="shared" si="572"/>
        <v>214</v>
      </c>
      <c r="AT218" s="35">
        <f t="shared" si="572"/>
        <v>170</v>
      </c>
      <c r="AU218" s="35">
        <f ca="1">AU211+SUM(AU214:AU217)</f>
        <v>192.353306</v>
      </c>
      <c r="AV218" s="35">
        <f ca="1">AV211+SUM(AV214:AV217)</f>
        <v>224.47173727999999</v>
      </c>
      <c r="AW218" s="35">
        <f ca="1">AW211+SUM(AW214:AW217)</f>
        <v>242.05879650605002</v>
      </c>
      <c r="AX218" s="35">
        <f ca="1">AX211+SUM(AX214:AX217)</f>
        <v>260.97776696947773</v>
      </c>
      <c r="AY218" s="1"/>
    </row>
    <row r="219" spans="3:66" ht="11.25" customHeight="1">
      <c r="C219" s="25"/>
      <c r="AK219" s="79"/>
      <c r="BM219" s="1373">
        <v>2021</v>
      </c>
      <c r="BN219" s="1373"/>
    </row>
    <row r="220" spans="3:66" s="27" customFormat="1" ht="11.25" customHeight="1">
      <c r="C220" s="43" t="s">
        <v>371</v>
      </c>
      <c r="E220" s="28">
        <f t="shared" ref="E220:AJ220" si="573">E55</f>
        <v>251</v>
      </c>
      <c r="F220" s="28">
        <f t="shared" si="573"/>
        <v>255</v>
      </c>
      <c r="G220" s="28">
        <f t="shared" si="573"/>
        <v>232</v>
      </c>
      <c r="H220" s="28">
        <f t="shared" si="573"/>
        <v>116</v>
      </c>
      <c r="I220" s="28">
        <f t="shared" si="573"/>
        <v>278</v>
      </c>
      <c r="J220" s="28">
        <f t="shared" si="573"/>
        <v>292</v>
      </c>
      <c r="K220" s="28">
        <f t="shared" si="573"/>
        <v>323</v>
      </c>
      <c r="L220" s="28">
        <f t="shared" si="573"/>
        <v>491</v>
      </c>
      <c r="M220" s="28">
        <f t="shared" si="573"/>
        <v>290</v>
      </c>
      <c r="N220" s="28">
        <f t="shared" si="573"/>
        <v>344</v>
      </c>
      <c r="O220" s="28">
        <f t="shared" si="573"/>
        <v>412</v>
      </c>
      <c r="P220" s="28">
        <f t="shared" si="573"/>
        <v>34</v>
      </c>
      <c r="Q220" s="28">
        <f t="shared" si="573"/>
        <v>209</v>
      </c>
      <c r="R220" s="28">
        <f t="shared" si="573"/>
        <v>258</v>
      </c>
      <c r="S220" s="28">
        <f t="shared" si="573"/>
        <v>266</v>
      </c>
      <c r="T220" s="28">
        <f t="shared" si="573"/>
        <v>26</v>
      </c>
      <c r="U220" s="28">
        <f t="shared" si="573"/>
        <v>258</v>
      </c>
      <c r="V220" s="28">
        <f t="shared" si="573"/>
        <v>27</v>
      </c>
      <c r="W220" s="28">
        <f t="shared" si="573"/>
        <v>161</v>
      </c>
      <c r="X220" s="28">
        <f t="shared" si="573"/>
        <v>32</v>
      </c>
      <c r="Y220" s="28">
        <f t="shared" si="573"/>
        <v>274</v>
      </c>
      <c r="Z220" s="28">
        <f t="shared" si="573"/>
        <v>-146</v>
      </c>
      <c r="AA220" s="28">
        <f t="shared" si="573"/>
        <v>351</v>
      </c>
      <c r="AB220" s="28">
        <f t="shared" si="573"/>
        <v>378</v>
      </c>
      <c r="AC220" s="28">
        <f t="shared" si="573"/>
        <v>235</v>
      </c>
      <c r="AD220" s="28">
        <f t="shared" si="573"/>
        <v>256</v>
      </c>
      <c r="AE220" s="28">
        <f t="shared" si="573"/>
        <v>301</v>
      </c>
      <c r="AF220" s="28">
        <f t="shared" si="573"/>
        <v>1</v>
      </c>
      <c r="AG220" s="28">
        <f t="shared" si="573"/>
        <v>134</v>
      </c>
      <c r="AH220" s="28">
        <f t="shared" ca="1" si="573"/>
        <v>277.32447749999994</v>
      </c>
      <c r="AI220" s="28">
        <f t="shared" ca="1" si="573"/>
        <v>299.97499350000004</v>
      </c>
      <c r="AJ220" s="28">
        <f t="shared" ca="1" si="573"/>
        <v>243.55538550000006</v>
      </c>
      <c r="AK220" s="79"/>
      <c r="AL220" s="28">
        <f>AL55</f>
        <v>751</v>
      </c>
      <c r="AM220" s="28">
        <f>AM55</f>
        <v>848</v>
      </c>
      <c r="AN220" s="33">
        <f t="shared" ref="AN220:AT220" si="574">SUMIF($E$6:$AK$6,AN$6,$E220:$AK220)</f>
        <v>854</v>
      </c>
      <c r="AO220" s="33">
        <f t="shared" si="574"/>
        <v>1384</v>
      </c>
      <c r="AP220" s="33">
        <f t="shared" si="574"/>
        <v>1080</v>
      </c>
      <c r="AQ220" s="33">
        <f t="shared" si="574"/>
        <v>759</v>
      </c>
      <c r="AR220" s="33">
        <f t="shared" si="574"/>
        <v>478</v>
      </c>
      <c r="AS220" s="33">
        <f t="shared" si="574"/>
        <v>857</v>
      </c>
      <c r="AT220" s="33">
        <f t="shared" si="574"/>
        <v>793</v>
      </c>
      <c r="AU220" s="33">
        <f ca="1">SUMIF($E$6:$AK$6,AU$6,$E220:$AK220)</f>
        <v>954.8548565000001</v>
      </c>
      <c r="AV220" s="28">
        <f ca="1">AV55</f>
        <v>1095.9502467199998</v>
      </c>
      <c r="AW220" s="28">
        <f ca="1">AW55</f>
        <v>1181.8164770589501</v>
      </c>
      <c r="AX220" s="28">
        <f ca="1">AX55</f>
        <v>1274.1855681450972</v>
      </c>
      <c r="AY220" s="1"/>
      <c r="BJ220" s="27" t="s">
        <v>841</v>
      </c>
      <c r="BK220" s="27" t="s">
        <v>1718</v>
      </c>
      <c r="BM220" s="27" t="s">
        <v>493</v>
      </c>
      <c r="BN220" s="27" t="s">
        <v>1703</v>
      </c>
    </row>
    <row r="221" spans="3:66" s="27" customFormat="1" ht="5.2" customHeight="1">
      <c r="C221" s="36"/>
      <c r="E221" s="30"/>
      <c r="F221" s="30"/>
      <c r="G221" s="30"/>
      <c r="H221" s="30"/>
      <c r="I221" s="30"/>
      <c r="J221" s="30"/>
      <c r="K221" s="30"/>
      <c r="L221" s="30"/>
      <c r="M221" s="30"/>
      <c r="N221" s="30"/>
      <c r="O221" s="30"/>
      <c r="P221" s="30"/>
      <c r="Q221" s="30"/>
      <c r="R221" s="30"/>
      <c r="S221" s="30"/>
      <c r="AK221" s="79"/>
      <c r="AL221" s="30"/>
      <c r="AM221" s="30"/>
      <c r="AN221" s="30"/>
      <c r="AO221" s="30"/>
      <c r="AP221" s="30"/>
      <c r="AQ221" s="30"/>
      <c r="AR221" s="30"/>
      <c r="AY221" s="1"/>
    </row>
    <row r="222" spans="3:66" s="27" customFormat="1" ht="11.25" customHeight="1">
      <c r="C222" s="43" t="s">
        <v>97</v>
      </c>
      <c r="E222" s="30"/>
      <c r="F222" s="30"/>
      <c r="G222" s="30"/>
      <c r="H222" s="30"/>
      <c r="I222" s="30"/>
      <c r="J222" s="30"/>
      <c r="K222" s="30"/>
      <c r="L222" s="30"/>
      <c r="M222" s="30"/>
      <c r="N222" s="30"/>
      <c r="O222" s="30"/>
      <c r="P222" s="30"/>
      <c r="Q222" s="30"/>
      <c r="R222" s="30"/>
      <c r="AK222" s="79"/>
      <c r="AL222" s="30"/>
      <c r="AM222" s="437"/>
      <c r="AN222" s="437"/>
      <c r="AO222" s="437"/>
      <c r="AP222" s="437"/>
      <c r="AQ222" s="437"/>
      <c r="AR222" s="437"/>
      <c r="AS222" s="437"/>
      <c r="AT222" s="437"/>
      <c r="AY222" s="1"/>
      <c r="BJ222" s="27" t="s">
        <v>1716</v>
      </c>
      <c r="BK222" s="427" t="s">
        <v>195</v>
      </c>
      <c r="BM222" s="28">
        <f>BN454</f>
        <v>1473.52</v>
      </c>
      <c r="BN222" s="63">
        <f>BM222/BM$236</f>
        <v>0.22548125478194339</v>
      </c>
    </row>
    <row r="223" spans="3:66" s="27" customFormat="1" ht="11.25" customHeight="1">
      <c r="C223" s="43" t="s">
        <v>362</v>
      </c>
      <c r="E223" s="29">
        <v>0</v>
      </c>
      <c r="F223" s="29">
        <v>0</v>
      </c>
      <c r="G223" s="29">
        <v>30</v>
      </c>
      <c r="H223" s="29">
        <v>13</v>
      </c>
      <c r="I223" s="29">
        <v>0</v>
      </c>
      <c r="J223" s="29">
        <v>0</v>
      </c>
      <c r="K223" s="29">
        <v>0</v>
      </c>
      <c r="L223" s="29">
        <v>-3</v>
      </c>
      <c r="M223" s="29">
        <v>2</v>
      </c>
      <c r="N223" s="29">
        <v>2</v>
      </c>
      <c r="O223" s="29">
        <v>0</v>
      </c>
      <c r="P223" s="29">
        <v>39</v>
      </c>
      <c r="Q223" s="29">
        <v>26</v>
      </c>
      <c r="R223" s="29">
        <v>12</v>
      </c>
      <c r="S223" s="29">
        <v>1</v>
      </c>
      <c r="T223" s="29">
        <v>74</v>
      </c>
      <c r="U223" s="29">
        <v>11</v>
      </c>
      <c r="V223" s="29">
        <v>108</v>
      </c>
      <c r="W223" s="29">
        <v>50</v>
      </c>
      <c r="X223" s="29">
        <v>11</v>
      </c>
      <c r="Y223" s="29">
        <v>9</v>
      </c>
      <c r="Z223" s="29">
        <v>12</v>
      </c>
      <c r="AA223" s="29">
        <v>5</v>
      </c>
      <c r="AB223" s="29">
        <f>13+3</f>
        <v>16</v>
      </c>
      <c r="AC223" s="29">
        <v>20</v>
      </c>
      <c r="AD223" s="29">
        <v>15</v>
      </c>
      <c r="AE223" s="29">
        <v>2</v>
      </c>
      <c r="AF223" s="29">
        <v>30</v>
      </c>
      <c r="AG223" s="29">
        <v>18</v>
      </c>
      <c r="AH223" s="29">
        <v>0</v>
      </c>
      <c r="AI223" s="29">
        <v>0</v>
      </c>
      <c r="AJ223" s="29">
        <v>0</v>
      </c>
      <c r="AK223" s="79"/>
      <c r="AL223" s="29">
        <v>63</v>
      </c>
      <c r="AM223" s="29">
        <v>151</v>
      </c>
      <c r="AN223" s="33">
        <f t="shared" ref="AN223:AU236" si="575">SUMIF($E$6:$AK$6,AN$6,$E223:$AK223)</f>
        <v>43</v>
      </c>
      <c r="AO223" s="33">
        <f t="shared" si="575"/>
        <v>-3</v>
      </c>
      <c r="AP223" s="33">
        <f t="shared" si="575"/>
        <v>43</v>
      </c>
      <c r="AQ223" s="33">
        <f t="shared" si="575"/>
        <v>113</v>
      </c>
      <c r="AR223" s="33">
        <f t="shared" si="575"/>
        <v>180</v>
      </c>
      <c r="AS223" s="33">
        <f t="shared" si="575"/>
        <v>42</v>
      </c>
      <c r="AT223" s="33">
        <f t="shared" si="575"/>
        <v>67</v>
      </c>
      <c r="AU223" s="33">
        <f t="shared" si="575"/>
        <v>18</v>
      </c>
      <c r="AV223" s="29">
        <v>0</v>
      </c>
      <c r="AW223" s="29">
        <v>0</v>
      </c>
      <c r="AX223" s="29">
        <v>0</v>
      </c>
      <c r="AY223" s="1"/>
      <c r="BJ223" s="27" t="s">
        <v>1716</v>
      </c>
      <c r="BK223" s="1372" t="s">
        <v>196</v>
      </c>
      <c r="BM223" s="28">
        <f>BN455</f>
        <v>582.45333333333338</v>
      </c>
      <c r="BN223" s="63">
        <f>BM223/BM$236</f>
        <v>8.9128283601122169E-2</v>
      </c>
    </row>
    <row r="224" spans="3:66" s="27" customFormat="1" ht="11.25" customHeight="1">
      <c r="C224" s="43" t="s">
        <v>1785</v>
      </c>
      <c r="E224" s="29">
        <v>0</v>
      </c>
      <c r="F224" s="29">
        <v>0</v>
      </c>
      <c r="G224" s="29">
        <v>0</v>
      </c>
      <c r="H224" s="29">
        <v>0</v>
      </c>
      <c r="I224" s="29">
        <v>0</v>
      </c>
      <c r="J224" s="29">
        <v>0</v>
      </c>
      <c r="K224" s="29">
        <v>0</v>
      </c>
      <c r="L224" s="29">
        <v>0</v>
      </c>
      <c r="M224" s="29">
        <v>0</v>
      </c>
      <c r="N224" s="29">
        <v>0</v>
      </c>
      <c r="O224" s="29">
        <v>0</v>
      </c>
      <c r="P224" s="29">
        <v>0</v>
      </c>
      <c r="Q224" s="29">
        <v>0</v>
      </c>
      <c r="R224" s="29">
        <v>0</v>
      </c>
      <c r="S224" s="29">
        <v>0</v>
      </c>
      <c r="T224" s="29">
        <v>0</v>
      </c>
      <c r="U224" s="29">
        <v>0</v>
      </c>
      <c r="V224" s="29">
        <v>0</v>
      </c>
      <c r="W224" s="29">
        <v>0</v>
      </c>
      <c r="X224" s="29">
        <v>0</v>
      </c>
      <c r="Y224" s="29">
        <v>0</v>
      </c>
      <c r="Z224" s="29">
        <v>0</v>
      </c>
      <c r="AA224" s="29">
        <v>0</v>
      </c>
      <c r="AB224" s="29">
        <v>0</v>
      </c>
      <c r="AC224" s="29">
        <v>0</v>
      </c>
      <c r="AD224" s="29">
        <v>0</v>
      </c>
      <c r="AE224" s="29">
        <v>0</v>
      </c>
      <c r="AF224" s="29">
        <v>0</v>
      </c>
      <c r="AG224" s="29">
        <v>20</v>
      </c>
      <c r="AH224" s="29">
        <v>0</v>
      </c>
      <c r="AI224" s="29">
        <v>0</v>
      </c>
      <c r="AJ224" s="29">
        <v>0</v>
      </c>
      <c r="AK224" s="79"/>
      <c r="AL224" s="29"/>
      <c r="AM224" s="29"/>
      <c r="AN224" s="33"/>
      <c r="AO224" s="33"/>
      <c r="AP224" s="33"/>
      <c r="AQ224" s="33"/>
      <c r="AR224" s="33"/>
      <c r="AS224" s="33"/>
      <c r="AT224" s="33"/>
      <c r="AU224" s="33"/>
      <c r="AV224" s="29"/>
      <c r="AW224" s="29"/>
      <c r="AX224" s="29"/>
      <c r="AY224" s="1"/>
      <c r="BK224" s="1372"/>
      <c r="BM224" s="28"/>
      <c r="BN224" s="63"/>
    </row>
    <row r="225" spans="3:66" s="27" customFormat="1" ht="11.25" customHeight="1">
      <c r="C225" s="43" t="s">
        <v>366</v>
      </c>
      <c r="E225" s="29">
        <v>0</v>
      </c>
      <c r="F225" s="29">
        <v>0</v>
      </c>
      <c r="G225" s="29">
        <v>30</v>
      </c>
      <c r="H225" s="29">
        <v>44</v>
      </c>
      <c r="I225" s="29">
        <v>0</v>
      </c>
      <c r="J225" s="29">
        <v>0</v>
      </c>
      <c r="K225" s="29">
        <v>0</v>
      </c>
      <c r="L225" s="29">
        <v>-14</v>
      </c>
      <c r="M225" s="29">
        <v>0</v>
      </c>
      <c r="N225" s="29">
        <v>0</v>
      </c>
      <c r="O225" s="29">
        <v>0</v>
      </c>
      <c r="P225" s="29">
        <v>75</v>
      </c>
      <c r="Q225" s="29">
        <v>0</v>
      </c>
      <c r="R225" s="29">
        <v>0</v>
      </c>
      <c r="S225" s="29">
        <v>0</v>
      </c>
      <c r="T225" s="29">
        <v>109</v>
      </c>
      <c r="U225" s="29">
        <v>0</v>
      </c>
      <c r="V225" s="29">
        <v>0</v>
      </c>
      <c r="W225" s="29">
        <v>0</v>
      </c>
      <c r="X225" s="29">
        <v>180</v>
      </c>
      <c r="Y225" s="29">
        <v>0</v>
      </c>
      <c r="Z225" s="29">
        <v>0</v>
      </c>
      <c r="AA225" s="29">
        <v>0</v>
      </c>
      <c r="AB225" s="29">
        <v>-202</v>
      </c>
      <c r="AC225" s="29">
        <v>0</v>
      </c>
      <c r="AD225" s="29">
        <v>-3</v>
      </c>
      <c r="AE225" s="29">
        <v>0</v>
      </c>
      <c r="AF225" s="29">
        <v>17</v>
      </c>
      <c r="AG225" s="29">
        <v>0</v>
      </c>
      <c r="AH225" s="29">
        <v>0</v>
      </c>
      <c r="AI225" s="29">
        <v>0</v>
      </c>
      <c r="AJ225" s="29">
        <v>0</v>
      </c>
      <c r="AK225" s="79"/>
      <c r="AL225" s="29">
        <v>202</v>
      </c>
      <c r="AM225" s="29">
        <v>70</v>
      </c>
      <c r="AN225" s="33">
        <f t="shared" si="575"/>
        <v>74</v>
      </c>
      <c r="AO225" s="33">
        <f t="shared" si="575"/>
        <v>-14</v>
      </c>
      <c r="AP225" s="33">
        <f t="shared" si="575"/>
        <v>75</v>
      </c>
      <c r="AQ225" s="33">
        <f t="shared" si="575"/>
        <v>109</v>
      </c>
      <c r="AR225" s="33">
        <f t="shared" si="575"/>
        <v>180</v>
      </c>
      <c r="AS225" s="33">
        <f t="shared" si="575"/>
        <v>-202</v>
      </c>
      <c r="AT225" s="33">
        <f t="shared" si="575"/>
        <v>14</v>
      </c>
      <c r="AU225" s="33">
        <f t="shared" si="575"/>
        <v>0</v>
      </c>
      <c r="AV225" s="29">
        <v>0</v>
      </c>
      <c r="AW225" s="29">
        <v>0</v>
      </c>
      <c r="AX225" s="29">
        <v>0</v>
      </c>
      <c r="AY225" s="1"/>
      <c r="BJ225" s="27" t="s">
        <v>1716</v>
      </c>
      <c r="BK225" s="1332" t="s">
        <v>197</v>
      </c>
      <c r="BM225" s="28">
        <f t="shared" ref="BM225" si="576">BN456</f>
        <v>552.02666666666664</v>
      </c>
      <c r="BN225" s="63">
        <f t="shared" ref="BN225:BN235" si="577">BM225/BM$236</f>
        <v>8.4472328487630699E-2</v>
      </c>
    </row>
    <row r="226" spans="3:66" s="27" customFormat="1" ht="11.25" customHeight="1">
      <c r="C226" s="43" t="s">
        <v>115</v>
      </c>
      <c r="E226" s="29">
        <v>0</v>
      </c>
      <c r="F226" s="29">
        <v>0</v>
      </c>
      <c r="G226" s="29">
        <v>0</v>
      </c>
      <c r="H226" s="29">
        <v>0</v>
      </c>
      <c r="I226" s="29">
        <v>0</v>
      </c>
      <c r="J226" s="29">
        <v>0</v>
      </c>
      <c r="K226" s="29">
        <v>0</v>
      </c>
      <c r="L226" s="29">
        <v>0</v>
      </c>
      <c r="M226" s="29">
        <v>0</v>
      </c>
      <c r="N226" s="29">
        <v>0</v>
      </c>
      <c r="O226" s="29">
        <v>0</v>
      </c>
      <c r="P226" s="29">
        <v>0</v>
      </c>
      <c r="Q226" s="29">
        <v>0</v>
      </c>
      <c r="R226" s="29">
        <v>0</v>
      </c>
      <c r="S226" s="29">
        <v>0</v>
      </c>
      <c r="T226" s="29">
        <v>0</v>
      </c>
      <c r="U226" s="29">
        <v>0</v>
      </c>
      <c r="V226" s="29">
        <v>0</v>
      </c>
      <c r="W226" s="29">
        <v>0</v>
      </c>
      <c r="X226" s="29">
        <v>0</v>
      </c>
      <c r="Y226" s="29">
        <v>0</v>
      </c>
      <c r="Z226" s="29">
        <v>0</v>
      </c>
      <c r="AA226" s="29">
        <v>0</v>
      </c>
      <c r="AB226" s="29">
        <v>0</v>
      </c>
      <c r="AC226" s="29">
        <v>8</v>
      </c>
      <c r="AD226" s="29">
        <v>0</v>
      </c>
      <c r="AE226" s="29">
        <v>0</v>
      </c>
      <c r="AF226" s="29">
        <v>0</v>
      </c>
      <c r="AG226" s="29">
        <v>0</v>
      </c>
      <c r="AH226" s="29">
        <v>0</v>
      </c>
      <c r="AI226" s="29">
        <v>0</v>
      </c>
      <c r="AJ226" s="29">
        <v>0</v>
      </c>
      <c r="AK226" s="79"/>
      <c r="AL226" s="29">
        <v>39</v>
      </c>
      <c r="AM226" s="29">
        <v>18</v>
      </c>
      <c r="AN226" s="33">
        <f t="shared" si="575"/>
        <v>0</v>
      </c>
      <c r="AO226" s="33">
        <f t="shared" si="575"/>
        <v>0</v>
      </c>
      <c r="AP226" s="33">
        <f t="shared" si="575"/>
        <v>0</v>
      </c>
      <c r="AQ226" s="33">
        <f t="shared" si="575"/>
        <v>0</v>
      </c>
      <c r="AR226" s="33">
        <f t="shared" si="575"/>
        <v>0</v>
      </c>
      <c r="AS226" s="33">
        <f t="shared" si="575"/>
        <v>0</v>
      </c>
      <c r="AT226" s="33">
        <f t="shared" si="575"/>
        <v>8</v>
      </c>
      <c r="AU226" s="33">
        <f t="shared" si="575"/>
        <v>0</v>
      </c>
      <c r="AV226" s="29">
        <v>0</v>
      </c>
      <c r="AW226" s="29">
        <v>0</v>
      </c>
      <c r="AX226" s="29">
        <v>0</v>
      </c>
      <c r="AY226" s="1"/>
      <c r="BJ226" s="27" t="s">
        <v>1670</v>
      </c>
      <c r="BK226" s="427" t="s">
        <v>1142</v>
      </c>
      <c r="BM226" s="28">
        <f>BN271</f>
        <v>0</v>
      </c>
      <c r="BN226" s="63">
        <f t="shared" si="577"/>
        <v>0</v>
      </c>
    </row>
    <row r="227" spans="3:66" s="27" customFormat="1" ht="11.25" customHeight="1">
      <c r="C227" s="43" t="s">
        <v>116</v>
      </c>
      <c r="E227" s="29">
        <v>0</v>
      </c>
      <c r="F227" s="29">
        <v>0</v>
      </c>
      <c r="G227" s="29">
        <v>0</v>
      </c>
      <c r="H227" s="29">
        <v>0</v>
      </c>
      <c r="I227" s="29">
        <v>0</v>
      </c>
      <c r="J227" s="29">
        <v>0</v>
      </c>
      <c r="K227" s="29">
        <v>0</v>
      </c>
      <c r="L227" s="29">
        <v>0</v>
      </c>
      <c r="M227" s="29">
        <v>0</v>
      </c>
      <c r="N227" s="29">
        <v>0</v>
      </c>
      <c r="O227" s="29">
        <v>0</v>
      </c>
      <c r="P227" s="29">
        <v>0</v>
      </c>
      <c r="Q227" s="29">
        <v>0</v>
      </c>
      <c r="R227" s="29">
        <v>0</v>
      </c>
      <c r="S227" s="29">
        <v>0</v>
      </c>
      <c r="T227" s="29">
        <v>0</v>
      </c>
      <c r="U227" s="29">
        <v>0</v>
      </c>
      <c r="V227" s="29">
        <v>0</v>
      </c>
      <c r="W227" s="29">
        <v>0</v>
      </c>
      <c r="X227" s="29">
        <v>0</v>
      </c>
      <c r="Y227" s="29">
        <v>0</v>
      </c>
      <c r="Z227" s="29">
        <v>0</v>
      </c>
      <c r="AA227" s="29">
        <v>0</v>
      </c>
      <c r="AB227" s="29">
        <v>0</v>
      </c>
      <c r="AC227" s="29">
        <v>0</v>
      </c>
      <c r="AD227" s="29">
        <v>0</v>
      </c>
      <c r="AE227" s="29">
        <v>0</v>
      </c>
      <c r="AF227" s="29">
        <v>0</v>
      </c>
      <c r="AG227" s="29">
        <v>0</v>
      </c>
      <c r="AH227" s="29">
        <v>0</v>
      </c>
      <c r="AI227" s="29">
        <v>0</v>
      </c>
      <c r="AJ227" s="29">
        <v>0</v>
      </c>
      <c r="AK227" s="79"/>
      <c r="AL227" s="29">
        <v>15</v>
      </c>
      <c r="AM227" s="29">
        <v>4</v>
      </c>
      <c r="AN227" s="33">
        <f t="shared" si="575"/>
        <v>0</v>
      </c>
      <c r="AO227" s="33">
        <f t="shared" si="575"/>
        <v>0</v>
      </c>
      <c r="AP227" s="33">
        <f t="shared" si="575"/>
        <v>0</v>
      </c>
      <c r="AQ227" s="33">
        <f t="shared" si="575"/>
        <v>0</v>
      </c>
      <c r="AR227" s="33">
        <f t="shared" si="575"/>
        <v>0</v>
      </c>
      <c r="AS227" s="33">
        <f t="shared" si="575"/>
        <v>0</v>
      </c>
      <c r="AT227" s="33">
        <f t="shared" si="575"/>
        <v>0</v>
      </c>
      <c r="AU227" s="33">
        <f t="shared" si="575"/>
        <v>0</v>
      </c>
      <c r="AV227" s="29">
        <v>0</v>
      </c>
      <c r="AW227" s="29">
        <v>0</v>
      </c>
      <c r="AX227" s="29">
        <v>0</v>
      </c>
      <c r="AY227" s="1"/>
      <c r="BJ227" s="27" t="s">
        <v>1670</v>
      </c>
      <c r="BK227" s="427" t="s">
        <v>1143</v>
      </c>
      <c r="BM227" s="28">
        <f t="shared" ref="BM227:BM229" si="578">BN272</f>
        <v>0</v>
      </c>
      <c r="BN227" s="63">
        <f t="shared" si="577"/>
        <v>0</v>
      </c>
    </row>
    <row r="228" spans="3:66" s="27" customFormat="1" ht="11.25" customHeight="1">
      <c r="C228" s="43" t="s">
        <v>367</v>
      </c>
      <c r="E228" s="29">
        <v>0</v>
      </c>
      <c r="F228" s="29">
        <v>0</v>
      </c>
      <c r="G228" s="29">
        <v>0</v>
      </c>
      <c r="H228" s="29">
        <v>0</v>
      </c>
      <c r="I228" s="29">
        <v>0</v>
      </c>
      <c r="J228" s="29">
        <v>0</v>
      </c>
      <c r="K228" s="29">
        <v>0</v>
      </c>
      <c r="L228" s="29">
        <v>80</v>
      </c>
      <c r="M228" s="29">
        <v>29</v>
      </c>
      <c r="N228" s="29">
        <v>-43</v>
      </c>
      <c r="O228" s="29">
        <v>-55</v>
      </c>
      <c r="P228" s="29">
        <v>0</v>
      </c>
      <c r="Q228" s="29">
        <v>0</v>
      </c>
      <c r="R228" s="29">
        <v>0</v>
      </c>
      <c r="S228" s="29">
        <v>0</v>
      </c>
      <c r="T228" s="29">
        <v>0</v>
      </c>
      <c r="U228" s="29">
        <v>0</v>
      </c>
      <c r="V228" s="29">
        <v>0</v>
      </c>
      <c r="W228" s="29">
        <v>0</v>
      </c>
      <c r="X228" s="29">
        <v>0</v>
      </c>
      <c r="Y228" s="29">
        <v>0</v>
      </c>
      <c r="Z228" s="29">
        <v>0</v>
      </c>
      <c r="AA228" s="29">
        <v>0</v>
      </c>
      <c r="AB228" s="29">
        <v>0</v>
      </c>
      <c r="AC228" s="29">
        <v>0</v>
      </c>
      <c r="AD228" s="29">
        <v>0</v>
      </c>
      <c r="AE228" s="29">
        <v>0</v>
      </c>
      <c r="AF228" s="29">
        <v>0</v>
      </c>
      <c r="AG228" s="29">
        <v>0</v>
      </c>
      <c r="AH228" s="29">
        <v>0</v>
      </c>
      <c r="AI228" s="29">
        <v>0</v>
      </c>
      <c r="AJ228" s="29">
        <v>0</v>
      </c>
      <c r="AK228" s="79"/>
      <c r="AL228" s="29">
        <v>0</v>
      </c>
      <c r="AM228" s="29">
        <v>0</v>
      </c>
      <c r="AN228" s="33">
        <f t="shared" si="575"/>
        <v>0</v>
      </c>
      <c r="AO228" s="33">
        <f t="shared" si="575"/>
        <v>80</v>
      </c>
      <c r="AP228" s="33">
        <f t="shared" si="575"/>
        <v>-69</v>
      </c>
      <c r="AQ228" s="33">
        <f t="shared" si="575"/>
        <v>0</v>
      </c>
      <c r="AR228" s="33">
        <f t="shared" si="575"/>
        <v>0</v>
      </c>
      <c r="AS228" s="33">
        <f t="shared" si="575"/>
        <v>0</v>
      </c>
      <c r="AT228" s="33">
        <f t="shared" si="575"/>
        <v>0</v>
      </c>
      <c r="AU228" s="33">
        <f t="shared" si="575"/>
        <v>0</v>
      </c>
      <c r="AV228" s="29">
        <v>0</v>
      </c>
      <c r="AW228" s="29">
        <v>0</v>
      </c>
      <c r="AX228" s="29">
        <v>0</v>
      </c>
      <c r="AY228" s="1"/>
      <c r="BJ228" s="27" t="s">
        <v>1670</v>
      </c>
      <c r="BK228" s="427" t="s">
        <v>188</v>
      </c>
      <c r="BM228" s="28">
        <f t="shared" si="578"/>
        <v>0</v>
      </c>
      <c r="BN228" s="63">
        <f t="shared" si="577"/>
        <v>0</v>
      </c>
    </row>
    <row r="229" spans="3:66" s="27" customFormat="1" ht="11.25" customHeight="1">
      <c r="C229" s="43" t="s">
        <v>113</v>
      </c>
      <c r="E229" s="29">
        <v>0</v>
      </c>
      <c r="F229" s="29">
        <v>0</v>
      </c>
      <c r="G229" s="29">
        <v>0</v>
      </c>
      <c r="H229" s="29">
        <v>0</v>
      </c>
      <c r="I229" s="29">
        <v>0</v>
      </c>
      <c r="J229" s="29">
        <v>0</v>
      </c>
      <c r="K229" s="29">
        <v>0</v>
      </c>
      <c r="L229" s="29">
        <v>5</v>
      </c>
      <c r="M229" s="29">
        <v>8</v>
      </c>
      <c r="N229" s="29">
        <v>6</v>
      </c>
      <c r="O229" s="29">
        <v>1</v>
      </c>
      <c r="P229" s="29">
        <v>2</v>
      </c>
      <c r="Q229" s="29">
        <v>0</v>
      </c>
      <c r="R229" s="29">
        <v>0</v>
      </c>
      <c r="S229" s="29">
        <v>0</v>
      </c>
      <c r="T229" s="29">
        <v>0</v>
      </c>
      <c r="U229" s="29">
        <v>0</v>
      </c>
      <c r="V229" s="29">
        <v>0</v>
      </c>
      <c r="W229" s="29">
        <v>0</v>
      </c>
      <c r="X229" s="29">
        <v>0</v>
      </c>
      <c r="Y229" s="29">
        <v>0</v>
      </c>
      <c r="Z229" s="29">
        <v>0</v>
      </c>
      <c r="AA229" s="29">
        <v>0</v>
      </c>
      <c r="AB229" s="29">
        <v>0</v>
      </c>
      <c r="AC229" s="29">
        <v>0</v>
      </c>
      <c r="AD229" s="29">
        <v>0</v>
      </c>
      <c r="AE229" s="29">
        <v>0</v>
      </c>
      <c r="AF229" s="29">
        <v>0</v>
      </c>
      <c r="AG229" s="29">
        <v>0</v>
      </c>
      <c r="AH229" s="29">
        <v>0</v>
      </c>
      <c r="AI229" s="29">
        <v>0</v>
      </c>
      <c r="AJ229" s="29">
        <v>0</v>
      </c>
      <c r="AK229" s="79"/>
      <c r="AL229" s="29">
        <v>0</v>
      </c>
      <c r="AM229" s="29">
        <v>0</v>
      </c>
      <c r="AN229" s="33">
        <f t="shared" si="575"/>
        <v>0</v>
      </c>
      <c r="AO229" s="33">
        <f t="shared" si="575"/>
        <v>5</v>
      </c>
      <c r="AP229" s="33">
        <f t="shared" si="575"/>
        <v>17</v>
      </c>
      <c r="AQ229" s="33">
        <f t="shared" si="575"/>
        <v>0</v>
      </c>
      <c r="AR229" s="33">
        <f t="shared" si="575"/>
        <v>0</v>
      </c>
      <c r="AS229" s="33">
        <f t="shared" si="575"/>
        <v>0</v>
      </c>
      <c r="AT229" s="33">
        <f t="shared" si="575"/>
        <v>0</v>
      </c>
      <c r="AU229" s="33">
        <f t="shared" si="575"/>
        <v>0</v>
      </c>
      <c r="AV229" s="29">
        <v>0</v>
      </c>
      <c r="AW229" s="29">
        <v>0</v>
      </c>
      <c r="AX229" s="29">
        <v>0</v>
      </c>
      <c r="AY229" s="1"/>
      <c r="BJ229" s="27" t="s">
        <v>1670</v>
      </c>
      <c r="BK229" s="427" t="s">
        <v>191</v>
      </c>
      <c r="BM229" s="28">
        <f t="shared" si="578"/>
        <v>0</v>
      </c>
      <c r="BN229" s="63">
        <f t="shared" si="577"/>
        <v>0</v>
      </c>
    </row>
    <row r="230" spans="3:66" s="27" customFormat="1" ht="11.25" customHeight="1">
      <c r="C230" s="43" t="s">
        <v>368</v>
      </c>
      <c r="E230" s="29">
        <v>0</v>
      </c>
      <c r="F230" s="29">
        <v>0</v>
      </c>
      <c r="G230" s="29">
        <v>0</v>
      </c>
      <c r="H230" s="29">
        <v>0</v>
      </c>
      <c r="I230" s="29">
        <v>0</v>
      </c>
      <c r="J230" s="29">
        <v>0</v>
      </c>
      <c r="K230" s="29">
        <v>0</v>
      </c>
      <c r="L230" s="29">
        <v>0</v>
      </c>
      <c r="M230" s="29">
        <v>0</v>
      </c>
      <c r="N230" s="29">
        <v>0</v>
      </c>
      <c r="O230" s="29">
        <v>0</v>
      </c>
      <c r="P230" s="29">
        <v>6</v>
      </c>
      <c r="Q230" s="29">
        <v>0</v>
      </c>
      <c r="R230" s="29">
        <v>0</v>
      </c>
      <c r="S230" s="29">
        <v>0</v>
      </c>
      <c r="T230" s="29">
        <v>0</v>
      </c>
      <c r="U230" s="29">
        <v>0</v>
      </c>
      <c r="V230" s="29">
        <v>0</v>
      </c>
      <c r="W230" s="29">
        <v>1</v>
      </c>
      <c r="X230" s="29">
        <v>0</v>
      </c>
      <c r="Y230" s="29">
        <v>0</v>
      </c>
      <c r="Z230" s="29">
        <v>0</v>
      </c>
      <c r="AA230" s="29">
        <v>0</v>
      </c>
      <c r="AB230" s="29">
        <v>1</v>
      </c>
      <c r="AC230" s="29">
        <v>0</v>
      </c>
      <c r="AD230" s="29">
        <v>0</v>
      </c>
      <c r="AE230" s="29">
        <v>0</v>
      </c>
      <c r="AF230" s="29">
        <v>0</v>
      </c>
      <c r="AG230" s="29">
        <v>0</v>
      </c>
      <c r="AH230" s="29">
        <v>0</v>
      </c>
      <c r="AI230" s="29">
        <v>0</v>
      </c>
      <c r="AJ230" s="29">
        <v>0</v>
      </c>
      <c r="AK230" s="79"/>
      <c r="AL230" s="29">
        <v>0</v>
      </c>
      <c r="AM230" s="29">
        <v>0</v>
      </c>
      <c r="AN230" s="33">
        <f t="shared" si="575"/>
        <v>0</v>
      </c>
      <c r="AO230" s="33">
        <f t="shared" si="575"/>
        <v>0</v>
      </c>
      <c r="AP230" s="33">
        <f t="shared" si="575"/>
        <v>6</v>
      </c>
      <c r="AQ230" s="33">
        <f t="shared" si="575"/>
        <v>0</v>
      </c>
      <c r="AR230" s="33">
        <f t="shared" si="575"/>
        <v>1</v>
      </c>
      <c r="AS230" s="33">
        <f t="shared" si="575"/>
        <v>1</v>
      </c>
      <c r="AT230" s="33">
        <f t="shared" si="575"/>
        <v>0</v>
      </c>
      <c r="AU230" s="33">
        <f t="shared" si="575"/>
        <v>0</v>
      </c>
      <c r="AV230" s="29">
        <v>0</v>
      </c>
      <c r="AW230" s="29">
        <v>0</v>
      </c>
      <c r="AX230" s="29">
        <v>0</v>
      </c>
      <c r="AY230" s="1"/>
      <c r="BJ230" s="27" t="s">
        <v>1717</v>
      </c>
      <c r="BK230" s="24" t="s">
        <v>1699</v>
      </c>
      <c r="BM230" s="28">
        <f>BN369</f>
        <v>1498.365</v>
      </c>
      <c r="BN230" s="63">
        <f t="shared" si="577"/>
        <v>0.22928309104820199</v>
      </c>
    </row>
    <row r="231" spans="3:66" s="27" customFormat="1" ht="11.25" customHeight="1">
      <c r="C231" s="43" t="s">
        <v>363</v>
      </c>
      <c r="E231" s="29">
        <v>0</v>
      </c>
      <c r="F231" s="29">
        <v>0</v>
      </c>
      <c r="G231" s="29">
        <v>0</v>
      </c>
      <c r="H231" s="29">
        <v>0</v>
      </c>
      <c r="I231" s="29">
        <v>0</v>
      </c>
      <c r="J231" s="29">
        <v>0</v>
      </c>
      <c r="K231" s="29">
        <v>0</v>
      </c>
      <c r="L231" s="29">
        <v>-339</v>
      </c>
      <c r="M231" s="29">
        <v>0</v>
      </c>
      <c r="N231" s="29">
        <v>10</v>
      </c>
      <c r="O231" s="29">
        <v>-14</v>
      </c>
      <c r="P231" s="29">
        <v>24</v>
      </c>
      <c r="Q231" s="29">
        <v>10</v>
      </c>
      <c r="R231" s="29">
        <v>-3</v>
      </c>
      <c r="S231" s="29">
        <v>0</v>
      </c>
      <c r="T231" s="29">
        <v>0</v>
      </c>
      <c r="U231" s="29">
        <v>0</v>
      </c>
      <c r="V231" s="29">
        <v>0</v>
      </c>
      <c r="W231" s="29">
        <v>0</v>
      </c>
      <c r="X231" s="29">
        <v>0</v>
      </c>
      <c r="Y231" s="29">
        <v>0</v>
      </c>
      <c r="Z231" s="29">
        <v>0</v>
      </c>
      <c r="AA231" s="29">
        <v>0</v>
      </c>
      <c r="AB231" s="29">
        <v>0</v>
      </c>
      <c r="AC231" s="29">
        <v>0</v>
      </c>
      <c r="AD231" s="29">
        <v>0</v>
      </c>
      <c r="AE231" s="29">
        <v>0</v>
      </c>
      <c r="AF231" s="29">
        <v>0</v>
      </c>
      <c r="AG231" s="29">
        <v>23</v>
      </c>
      <c r="AH231" s="29">
        <v>0</v>
      </c>
      <c r="AI231" s="29">
        <v>0</v>
      </c>
      <c r="AJ231" s="29">
        <v>0</v>
      </c>
      <c r="AK231" s="79"/>
      <c r="AL231" s="29">
        <v>0</v>
      </c>
      <c r="AM231" s="29">
        <v>0</v>
      </c>
      <c r="AN231" s="33">
        <f t="shared" si="575"/>
        <v>0</v>
      </c>
      <c r="AO231" s="33">
        <f t="shared" si="575"/>
        <v>-339</v>
      </c>
      <c r="AP231" s="33">
        <f t="shared" si="575"/>
        <v>20</v>
      </c>
      <c r="AQ231" s="33">
        <f t="shared" si="575"/>
        <v>7</v>
      </c>
      <c r="AR231" s="33">
        <f t="shared" si="575"/>
        <v>0</v>
      </c>
      <c r="AS231" s="33">
        <f t="shared" si="575"/>
        <v>0</v>
      </c>
      <c r="AT231" s="33">
        <f t="shared" si="575"/>
        <v>0</v>
      </c>
      <c r="AU231" s="33">
        <f t="shared" si="575"/>
        <v>23</v>
      </c>
      <c r="AV231" s="29">
        <v>0</v>
      </c>
      <c r="AW231" s="29">
        <v>0</v>
      </c>
      <c r="AX231" s="29">
        <v>0</v>
      </c>
      <c r="AY231" s="1"/>
      <c r="BJ231" s="27" t="s">
        <v>1717</v>
      </c>
      <c r="BK231" s="24" t="s">
        <v>1702</v>
      </c>
      <c r="BM231" s="28">
        <f>BN370</f>
        <v>1528.635</v>
      </c>
      <c r="BN231" s="63">
        <f t="shared" si="577"/>
        <v>0.2339150726855394</v>
      </c>
    </row>
    <row r="232" spans="3:66" s="27" customFormat="1" ht="11.25" customHeight="1">
      <c r="C232" s="43" t="s">
        <v>71</v>
      </c>
      <c r="E232" s="29">
        <v>0</v>
      </c>
      <c r="F232" s="29">
        <v>0</v>
      </c>
      <c r="G232" s="29">
        <v>0</v>
      </c>
      <c r="H232" s="29">
        <v>0</v>
      </c>
      <c r="I232" s="29">
        <v>0</v>
      </c>
      <c r="J232" s="29">
        <v>0</v>
      </c>
      <c r="K232" s="29">
        <v>-1</v>
      </c>
      <c r="L232" s="29">
        <v>0</v>
      </c>
      <c r="M232" s="29">
        <v>0</v>
      </c>
      <c r="N232" s="29">
        <v>0</v>
      </c>
      <c r="O232" s="29">
        <v>0</v>
      </c>
      <c r="P232" s="29">
        <v>0</v>
      </c>
      <c r="Q232" s="29">
        <v>0</v>
      </c>
      <c r="R232" s="29">
        <v>0</v>
      </c>
      <c r="S232" s="29">
        <v>0</v>
      </c>
      <c r="T232" s="29">
        <v>0</v>
      </c>
      <c r="U232" s="29">
        <v>0</v>
      </c>
      <c r="V232" s="29">
        <v>0</v>
      </c>
      <c r="W232" s="29">
        <v>0</v>
      </c>
      <c r="X232" s="29">
        <v>0</v>
      </c>
      <c r="Y232" s="29">
        <v>0</v>
      </c>
      <c r="Z232" s="29">
        <v>465</v>
      </c>
      <c r="AA232" s="29">
        <v>44</v>
      </c>
      <c r="AB232" s="29">
        <v>21</v>
      </c>
      <c r="AC232" s="29">
        <v>0</v>
      </c>
      <c r="AD232" s="29">
        <v>56</v>
      </c>
      <c r="AE232" s="29">
        <v>-21</v>
      </c>
      <c r="AF232" s="29">
        <v>50</v>
      </c>
      <c r="AG232" s="29">
        <v>0</v>
      </c>
      <c r="AH232" s="29">
        <v>0</v>
      </c>
      <c r="AI232" s="29">
        <v>0</v>
      </c>
      <c r="AJ232" s="29">
        <v>0</v>
      </c>
      <c r="AK232" s="79"/>
      <c r="AL232" s="29">
        <v>0</v>
      </c>
      <c r="AM232" s="29">
        <v>0</v>
      </c>
      <c r="AN232" s="33">
        <f t="shared" si="575"/>
        <v>0</v>
      </c>
      <c r="AO232" s="33">
        <f t="shared" si="575"/>
        <v>-1</v>
      </c>
      <c r="AP232" s="33">
        <f t="shared" si="575"/>
        <v>0</v>
      </c>
      <c r="AQ232" s="33">
        <f t="shared" si="575"/>
        <v>0</v>
      </c>
      <c r="AR232" s="33">
        <f t="shared" si="575"/>
        <v>0</v>
      </c>
      <c r="AS232" s="33">
        <f t="shared" si="575"/>
        <v>530</v>
      </c>
      <c r="AT232" s="33">
        <f t="shared" si="575"/>
        <v>85</v>
      </c>
      <c r="AU232" s="33">
        <f t="shared" si="575"/>
        <v>0</v>
      </c>
      <c r="AV232" s="29">
        <v>0</v>
      </c>
      <c r="AW232" s="29">
        <v>0</v>
      </c>
      <c r="AX232" s="29">
        <v>0</v>
      </c>
      <c r="AY232" s="1"/>
      <c r="BJ232" s="27" t="s">
        <v>107</v>
      </c>
      <c r="BK232" s="427" t="s">
        <v>198</v>
      </c>
      <c r="BM232" s="28">
        <f>BN527</f>
        <v>576</v>
      </c>
      <c r="BN232" s="63">
        <f t="shared" si="577"/>
        <v>8.8140780413159911E-2</v>
      </c>
    </row>
    <row r="233" spans="3:66" s="27" customFormat="1" ht="11.25" customHeight="1">
      <c r="C233" s="43" t="s">
        <v>1201</v>
      </c>
      <c r="E233" s="29">
        <v>0</v>
      </c>
      <c r="F233" s="29">
        <v>0</v>
      </c>
      <c r="G233" s="29">
        <v>0</v>
      </c>
      <c r="H233" s="29">
        <v>0</v>
      </c>
      <c r="I233" s="29">
        <v>0</v>
      </c>
      <c r="J233" s="29">
        <v>0</v>
      </c>
      <c r="K233" s="29">
        <v>0</v>
      </c>
      <c r="L233" s="29">
        <v>0</v>
      </c>
      <c r="M233" s="29">
        <v>0</v>
      </c>
      <c r="N233" s="29">
        <v>0</v>
      </c>
      <c r="O233" s="29">
        <v>0</v>
      </c>
      <c r="P233" s="29">
        <v>0</v>
      </c>
      <c r="Q233" s="29">
        <v>0</v>
      </c>
      <c r="R233" s="29">
        <v>0</v>
      </c>
      <c r="S233" s="29">
        <v>0</v>
      </c>
      <c r="T233" s="29">
        <v>0</v>
      </c>
      <c r="U233" s="29">
        <v>0</v>
      </c>
      <c r="V233" s="29">
        <v>0</v>
      </c>
      <c r="W233" s="29">
        <v>0</v>
      </c>
      <c r="X233" s="29">
        <v>0</v>
      </c>
      <c r="Y233" s="29">
        <v>0</v>
      </c>
      <c r="Z233" s="29">
        <v>0</v>
      </c>
      <c r="AA233" s="29">
        <v>0</v>
      </c>
      <c r="AB233" s="29">
        <v>0</v>
      </c>
      <c r="AC233" s="29">
        <v>0</v>
      </c>
      <c r="AD233" s="29">
        <v>11</v>
      </c>
      <c r="AE233" s="29">
        <v>0</v>
      </c>
      <c r="AF233" s="29">
        <v>-4</v>
      </c>
      <c r="AG233" s="29">
        <v>0</v>
      </c>
      <c r="AH233" s="29">
        <v>0</v>
      </c>
      <c r="AI233" s="29">
        <v>0</v>
      </c>
      <c r="AJ233" s="29">
        <v>0</v>
      </c>
      <c r="AK233" s="79"/>
      <c r="AL233" s="29">
        <v>0</v>
      </c>
      <c r="AM233" s="29">
        <v>0</v>
      </c>
      <c r="AN233" s="33">
        <f t="shared" si="575"/>
        <v>0</v>
      </c>
      <c r="AO233" s="33">
        <f t="shared" si="575"/>
        <v>0</v>
      </c>
      <c r="AP233" s="33">
        <f t="shared" si="575"/>
        <v>0</v>
      </c>
      <c r="AQ233" s="33">
        <f t="shared" si="575"/>
        <v>0</v>
      </c>
      <c r="AR233" s="33">
        <f t="shared" si="575"/>
        <v>0</v>
      </c>
      <c r="AS233" s="33">
        <f t="shared" si="575"/>
        <v>0</v>
      </c>
      <c r="AT233" s="33">
        <f t="shared" si="575"/>
        <v>7</v>
      </c>
      <c r="AU233" s="33">
        <f t="shared" si="575"/>
        <v>0</v>
      </c>
      <c r="AV233" s="29">
        <v>0</v>
      </c>
      <c r="AW233" s="29">
        <v>0</v>
      </c>
      <c r="AX233" s="29">
        <v>0</v>
      </c>
      <c r="AY233" s="1"/>
      <c r="BJ233" s="27" t="s">
        <v>107</v>
      </c>
      <c r="BK233" s="427" t="s">
        <v>199</v>
      </c>
      <c r="BM233" s="28">
        <f t="shared" ref="BM233:BM235" si="579">BN528</f>
        <v>144</v>
      </c>
      <c r="BN233" s="63">
        <f t="shared" si="577"/>
        <v>2.2035195103289978E-2</v>
      </c>
    </row>
    <row r="234" spans="3:66" s="27" customFormat="1" ht="11.25" customHeight="1">
      <c r="C234" s="43" t="s">
        <v>1131</v>
      </c>
      <c r="E234" s="29">
        <v>0</v>
      </c>
      <c r="F234" s="29">
        <v>0</v>
      </c>
      <c r="G234" s="29">
        <v>0</v>
      </c>
      <c r="H234" s="29">
        <v>0</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13</v>
      </c>
      <c r="AE234" s="29">
        <v>0</v>
      </c>
      <c r="AF234" s="29">
        <v>-3</v>
      </c>
      <c r="AG234" s="29">
        <v>-6</v>
      </c>
      <c r="AH234" s="29">
        <v>0</v>
      </c>
      <c r="AI234" s="29">
        <v>0</v>
      </c>
      <c r="AJ234" s="29">
        <v>0</v>
      </c>
      <c r="AK234" s="79"/>
      <c r="AL234" s="29">
        <v>0</v>
      </c>
      <c r="AM234" s="29">
        <v>0</v>
      </c>
      <c r="AN234" s="33">
        <f t="shared" si="575"/>
        <v>0</v>
      </c>
      <c r="AO234" s="33">
        <f t="shared" si="575"/>
        <v>0</v>
      </c>
      <c r="AP234" s="33">
        <f t="shared" si="575"/>
        <v>0</v>
      </c>
      <c r="AQ234" s="33">
        <f t="shared" si="575"/>
        <v>0</v>
      </c>
      <c r="AR234" s="33">
        <f t="shared" si="575"/>
        <v>0</v>
      </c>
      <c r="AS234" s="33">
        <f t="shared" si="575"/>
        <v>0</v>
      </c>
      <c r="AT234" s="33">
        <f t="shared" si="575"/>
        <v>10</v>
      </c>
      <c r="AU234" s="33">
        <f t="shared" si="575"/>
        <v>-6</v>
      </c>
      <c r="AV234" s="29">
        <v>0</v>
      </c>
      <c r="AW234" s="29">
        <v>0</v>
      </c>
      <c r="AX234" s="29">
        <v>0</v>
      </c>
      <c r="AY234" s="1"/>
      <c r="BJ234" s="27" t="s">
        <v>107</v>
      </c>
      <c r="BK234" s="427" t="s">
        <v>200</v>
      </c>
      <c r="BM234" s="28">
        <f t="shared" si="579"/>
        <v>126.00000000000001</v>
      </c>
      <c r="BN234" s="63">
        <f t="shared" si="577"/>
        <v>1.9280795715378732E-2</v>
      </c>
    </row>
    <row r="235" spans="3:66" s="27" customFormat="1" ht="11.25" customHeight="1">
      <c r="C235" s="43" t="s">
        <v>373</v>
      </c>
      <c r="E235" s="29">
        <v>0</v>
      </c>
      <c r="F235" s="29">
        <v>0</v>
      </c>
      <c r="G235" s="29">
        <v>0</v>
      </c>
      <c r="H235" s="29">
        <v>50</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-15</v>
      </c>
      <c r="AB235" s="29">
        <v>0</v>
      </c>
      <c r="AC235" s="29">
        <v>0</v>
      </c>
      <c r="AD235" s="29">
        <v>0</v>
      </c>
      <c r="AE235" s="29">
        <v>0</v>
      </c>
      <c r="AF235" s="29">
        <v>0</v>
      </c>
      <c r="AG235" s="29">
        <v>0</v>
      </c>
      <c r="AH235" s="29">
        <v>0</v>
      </c>
      <c r="AI235" s="29">
        <v>0</v>
      </c>
      <c r="AJ235" s="29">
        <v>0</v>
      </c>
      <c r="AK235" s="79"/>
      <c r="AL235" s="29">
        <v>0</v>
      </c>
      <c r="AM235" s="29">
        <v>0</v>
      </c>
      <c r="AN235" s="33">
        <f t="shared" si="575"/>
        <v>50</v>
      </c>
      <c r="AO235" s="33">
        <f t="shared" si="575"/>
        <v>0</v>
      </c>
      <c r="AP235" s="33">
        <f t="shared" si="575"/>
        <v>0</v>
      </c>
      <c r="AQ235" s="33">
        <f t="shared" si="575"/>
        <v>0</v>
      </c>
      <c r="AR235" s="33">
        <f t="shared" si="575"/>
        <v>0</v>
      </c>
      <c r="AS235" s="33">
        <f t="shared" si="575"/>
        <v>-15</v>
      </c>
      <c r="AT235" s="33">
        <f t="shared" si="575"/>
        <v>0</v>
      </c>
      <c r="AU235" s="33">
        <f t="shared" si="575"/>
        <v>0</v>
      </c>
      <c r="AV235" s="29">
        <v>0</v>
      </c>
      <c r="AW235" s="29">
        <v>0</v>
      </c>
      <c r="AX235" s="29">
        <v>0</v>
      </c>
      <c r="AY235" s="1"/>
      <c r="BJ235" s="27" t="s">
        <v>107</v>
      </c>
      <c r="BK235" s="427" t="s">
        <v>201</v>
      </c>
      <c r="BM235" s="28">
        <f t="shared" si="579"/>
        <v>54</v>
      </c>
      <c r="BN235" s="63">
        <f t="shared" si="577"/>
        <v>8.2631981637337412E-3</v>
      </c>
    </row>
    <row r="236" spans="3:66" s="27" customFormat="1" ht="11.25" customHeight="1">
      <c r="C236" s="43" t="s">
        <v>164</v>
      </c>
      <c r="E236" s="29">
        <v>0</v>
      </c>
      <c r="F236" s="29">
        <v>0</v>
      </c>
      <c r="G236" s="29">
        <v>-17</v>
      </c>
      <c r="H236" s="29">
        <v>0</v>
      </c>
      <c r="I236" s="29">
        <v>-9</v>
      </c>
      <c r="J236" s="29">
        <v>-3</v>
      </c>
      <c r="K236" s="29">
        <v>-3</v>
      </c>
      <c r="L236" s="29">
        <v>15</v>
      </c>
      <c r="M236" s="29">
        <v>-5</v>
      </c>
      <c r="N236" s="29">
        <v>0</v>
      </c>
      <c r="O236" s="29">
        <v>-11</v>
      </c>
      <c r="P236" s="29">
        <v>16</v>
      </c>
      <c r="Q236" s="29">
        <v>3</v>
      </c>
      <c r="R236" s="29">
        <v>10</v>
      </c>
      <c r="S236" s="29">
        <v>0</v>
      </c>
      <c r="T236" s="29">
        <v>-13</v>
      </c>
      <c r="U236" s="29">
        <v>8</v>
      </c>
      <c r="V236" s="29">
        <v>-19</v>
      </c>
      <c r="W236" s="29">
        <v>0</v>
      </c>
      <c r="X236" s="29">
        <v>11</v>
      </c>
      <c r="Y236" s="29">
        <v>10</v>
      </c>
      <c r="Z236" s="29">
        <v>8</v>
      </c>
      <c r="AA236" s="29">
        <v>-47</v>
      </c>
      <c r="AB236" s="29">
        <v>29</v>
      </c>
      <c r="AC236" s="29">
        <v>6</v>
      </c>
      <c r="AD236" s="29">
        <v>10</v>
      </c>
      <c r="AE236" s="29">
        <v>-32</v>
      </c>
      <c r="AF236" s="29">
        <v>16</v>
      </c>
      <c r="AG236" s="29">
        <v>6</v>
      </c>
      <c r="AH236" s="29">
        <v>0</v>
      </c>
      <c r="AI236" s="29">
        <v>0</v>
      </c>
      <c r="AJ236" s="29">
        <v>0</v>
      </c>
      <c r="AK236" s="79"/>
      <c r="AL236" s="29">
        <v>0</v>
      </c>
      <c r="AM236" s="29">
        <v>0</v>
      </c>
      <c r="AN236" s="33">
        <f t="shared" si="575"/>
        <v>-17</v>
      </c>
      <c r="AO236" s="33">
        <f t="shared" si="575"/>
        <v>0</v>
      </c>
      <c r="AP236" s="33">
        <f t="shared" si="575"/>
        <v>0</v>
      </c>
      <c r="AQ236" s="33">
        <f t="shared" si="575"/>
        <v>0</v>
      </c>
      <c r="AR236" s="33">
        <f t="shared" si="575"/>
        <v>0</v>
      </c>
      <c r="AS236" s="33">
        <f t="shared" si="575"/>
        <v>0</v>
      </c>
      <c r="AT236" s="33">
        <f t="shared" si="575"/>
        <v>0</v>
      </c>
      <c r="AU236" s="33">
        <f t="shared" si="575"/>
        <v>6</v>
      </c>
      <c r="AV236" s="29">
        <v>0</v>
      </c>
      <c r="AW236" s="29">
        <v>0</v>
      </c>
      <c r="AX236" s="29">
        <v>0</v>
      </c>
      <c r="AY236" s="1"/>
      <c r="BM236" s="35">
        <f>SUM(BM222:BM235)</f>
        <v>6535</v>
      </c>
      <c r="BN236" s="28"/>
    </row>
    <row r="237" spans="3:66" s="27" customFormat="1" ht="11.25" customHeight="1">
      <c r="C237" s="45" t="s">
        <v>372</v>
      </c>
      <c r="E237" s="35">
        <f>E220+SUM(E223:E236)</f>
        <v>251</v>
      </c>
      <c r="F237" s="35">
        <f t="shared" ref="F237:R237" si="580">F220+SUM(F223:F236)</f>
        <v>255</v>
      </c>
      <c r="G237" s="35">
        <f t="shared" si="580"/>
        <v>275</v>
      </c>
      <c r="H237" s="35">
        <f t="shared" si="580"/>
        <v>223</v>
      </c>
      <c r="I237" s="35">
        <f t="shared" si="580"/>
        <v>269</v>
      </c>
      <c r="J237" s="35">
        <f t="shared" si="580"/>
        <v>289</v>
      </c>
      <c r="K237" s="35">
        <f t="shared" si="580"/>
        <v>319</v>
      </c>
      <c r="L237" s="35">
        <f t="shared" si="580"/>
        <v>235</v>
      </c>
      <c r="M237" s="35">
        <f t="shared" si="580"/>
        <v>324</v>
      </c>
      <c r="N237" s="35">
        <f t="shared" si="580"/>
        <v>319</v>
      </c>
      <c r="O237" s="35">
        <f t="shared" si="580"/>
        <v>333</v>
      </c>
      <c r="P237" s="35">
        <f t="shared" si="580"/>
        <v>196</v>
      </c>
      <c r="Q237" s="35">
        <f t="shared" si="580"/>
        <v>248</v>
      </c>
      <c r="R237" s="35">
        <f t="shared" si="580"/>
        <v>277</v>
      </c>
      <c r="S237" s="35">
        <f t="shared" ref="S237:X237" si="581">S220+SUM(S223:S236)</f>
        <v>267</v>
      </c>
      <c r="T237" s="35">
        <f t="shared" si="581"/>
        <v>196</v>
      </c>
      <c r="U237" s="35">
        <f t="shared" si="581"/>
        <v>277</v>
      </c>
      <c r="V237" s="35">
        <f t="shared" si="581"/>
        <v>116</v>
      </c>
      <c r="W237" s="35">
        <f t="shared" si="581"/>
        <v>212</v>
      </c>
      <c r="X237" s="35">
        <f t="shared" si="581"/>
        <v>234</v>
      </c>
      <c r="Y237" s="35">
        <f>Y220+SUM(Y223:Y236)</f>
        <v>293</v>
      </c>
      <c r="Z237" s="35">
        <f>Z220+SUM(Z223:Z236)</f>
        <v>339</v>
      </c>
      <c r="AA237" s="35">
        <f>AA220+SUM(AA223:AA236)</f>
        <v>338</v>
      </c>
      <c r="AB237" s="35">
        <f>AB220+SUM(AB223:AB236)</f>
        <v>243</v>
      </c>
      <c r="AC237" s="35">
        <f>AC220+SUM(AC223:AC236)</f>
        <v>269</v>
      </c>
      <c r="AD237" s="35">
        <f t="shared" ref="AD237:AF237" si="582">AD220+SUM(AD223:AD236)</f>
        <v>358</v>
      </c>
      <c r="AE237" s="35">
        <f t="shared" si="582"/>
        <v>250</v>
      </c>
      <c r="AF237" s="35">
        <f t="shared" si="582"/>
        <v>107</v>
      </c>
      <c r="AG237" s="35">
        <f t="shared" ref="AG237" si="583">AG220+SUM(AG223:AG236)</f>
        <v>195</v>
      </c>
      <c r="AH237" s="35">
        <f ca="1">AH220+SUM(AH223:AH236)</f>
        <v>277.32447749999994</v>
      </c>
      <c r="AI237" s="35">
        <f ca="1">AI220+SUM(AI223:AI236)</f>
        <v>299.97499350000004</v>
      </c>
      <c r="AJ237" s="35">
        <f ca="1">AJ220+SUM(AJ223:AJ236)</f>
        <v>243.55538550000006</v>
      </c>
      <c r="AK237" s="79"/>
      <c r="AL237" s="35">
        <f t="shared" ref="AL237:AT237" si="584">AL220+SUM(AL223:AL236)</f>
        <v>1070</v>
      </c>
      <c r="AM237" s="35">
        <f t="shared" si="584"/>
        <v>1091</v>
      </c>
      <c r="AN237" s="35">
        <f t="shared" si="584"/>
        <v>1004</v>
      </c>
      <c r="AO237" s="35">
        <f t="shared" si="584"/>
        <v>1112</v>
      </c>
      <c r="AP237" s="35">
        <f t="shared" si="584"/>
        <v>1172</v>
      </c>
      <c r="AQ237" s="35">
        <f t="shared" si="584"/>
        <v>988</v>
      </c>
      <c r="AR237" s="35">
        <f t="shared" si="584"/>
        <v>839</v>
      </c>
      <c r="AS237" s="35">
        <f t="shared" si="584"/>
        <v>1213</v>
      </c>
      <c r="AT237" s="35">
        <f t="shared" si="584"/>
        <v>984</v>
      </c>
      <c r="AU237" s="35">
        <f ca="1">AU220+SUM(AU223:AU236)</f>
        <v>995.8548565000001</v>
      </c>
      <c r="AV237" s="35">
        <f ca="1">AV220+SUM(AV223:AV236)</f>
        <v>1095.9502467199998</v>
      </c>
      <c r="AW237" s="35">
        <f ca="1">AW220+SUM(AW223:AW236)</f>
        <v>1181.8164770589501</v>
      </c>
      <c r="AX237" s="35">
        <f ca="1">AX220+SUM(AX223:AX236)</f>
        <v>1274.1855681450972</v>
      </c>
      <c r="AY237" s="1"/>
    </row>
    <row r="238" spans="3:66" s="27" customFormat="1" ht="11.25" customHeight="1">
      <c r="C238" s="45"/>
      <c r="E238" s="30"/>
      <c r="F238" s="30"/>
      <c r="G238" s="30"/>
      <c r="H238" s="30"/>
      <c r="I238" s="30"/>
      <c r="J238" s="30"/>
      <c r="K238" s="30"/>
      <c r="L238" s="30"/>
      <c r="M238" s="30"/>
      <c r="N238" s="30"/>
      <c r="O238" s="30"/>
      <c r="P238" s="30"/>
      <c r="Q238" s="30"/>
      <c r="R238" s="30"/>
      <c r="AK238" s="79"/>
      <c r="AL238" s="30"/>
      <c r="AM238" s="30"/>
      <c r="AN238" s="30"/>
      <c r="AO238" s="30"/>
      <c r="AP238" s="30"/>
      <c r="AQ238" s="30"/>
      <c r="AR238" s="30"/>
      <c r="AY238" s="1"/>
      <c r="BJ238" s="27" t="s" cm="1">
        <v>1716</v>
      </c>
      <c r="BM238" s="28">
        <f t="shared" ref="BM238:BN241" si="585">SUMIF($BJ$222:$BJ$235,$BJ238,BM$222:BM$235)</f>
        <v>2608</v>
      </c>
      <c r="BN238" s="63">
        <f t="shared" si="585"/>
        <v>0.39908186687069624</v>
      </c>
    </row>
    <row r="239" spans="3:66" s="27" customFormat="1" ht="11.25" customHeight="1">
      <c r="C239" s="43" t="s">
        <v>345</v>
      </c>
      <c r="E239" s="34">
        <f t="shared" ref="E239:AJ239" si="586">E64</f>
        <v>1.6868279569892473</v>
      </c>
      <c r="F239" s="34">
        <f t="shared" si="586"/>
        <v>1.7125587642713229</v>
      </c>
      <c r="G239" s="34">
        <f t="shared" si="586"/>
        <v>1.5654520917678814</v>
      </c>
      <c r="H239" s="34">
        <f t="shared" si="586"/>
        <v>0.78644067796610173</v>
      </c>
      <c r="I239" s="34">
        <f t="shared" si="586"/>
        <v>1.8885869565217392</v>
      </c>
      <c r="J239" s="34">
        <f t="shared" si="586"/>
        <v>1.9945355191256831</v>
      </c>
      <c r="K239" s="34">
        <f t="shared" si="586"/>
        <v>2.2199312714776633</v>
      </c>
      <c r="L239" s="34">
        <f t="shared" si="586"/>
        <v>3.3908839779005522</v>
      </c>
      <c r="M239" s="34">
        <f t="shared" si="586"/>
        <v>2.0027624309392262</v>
      </c>
      <c r="N239" s="34">
        <f t="shared" si="586"/>
        <v>2.3888888888888888</v>
      </c>
      <c r="O239" s="34">
        <f t="shared" si="586"/>
        <v>2.893258426966292</v>
      </c>
      <c r="P239" s="34">
        <f t="shared" si="586"/>
        <v>0.24096385542168675</v>
      </c>
      <c r="Q239" s="34">
        <f t="shared" si="586"/>
        <v>1.4917915774446824</v>
      </c>
      <c r="R239" s="34">
        <f t="shared" si="586"/>
        <v>1.8547807332854058</v>
      </c>
      <c r="S239" s="34">
        <f t="shared" si="586"/>
        <v>1.9303338171262698</v>
      </c>
      <c r="T239" s="34">
        <f t="shared" si="586"/>
        <v>0.18964259664478483</v>
      </c>
      <c r="U239" s="34">
        <f t="shared" si="586"/>
        <v>1.8901098901098901</v>
      </c>
      <c r="V239" s="34">
        <f t="shared" si="586"/>
        <v>0.19838354151359291</v>
      </c>
      <c r="W239" s="34">
        <f t="shared" si="586"/>
        <v>1.181217901687454</v>
      </c>
      <c r="X239" s="34">
        <f t="shared" si="586"/>
        <v>0.23443223443223443</v>
      </c>
      <c r="Y239" s="34">
        <f t="shared" si="586"/>
        <v>1.9912790697674418</v>
      </c>
      <c r="Z239" s="34">
        <f t="shared" si="586"/>
        <v>-1.0743193524650478</v>
      </c>
      <c r="AA239" s="34">
        <f t="shared" si="586"/>
        <v>2.562043795620438</v>
      </c>
      <c r="AB239" s="34">
        <f t="shared" si="586"/>
        <v>2.7571115973741795</v>
      </c>
      <c r="AC239" s="34">
        <f t="shared" si="586"/>
        <v>1.7980107115531754</v>
      </c>
      <c r="AD239" s="34">
        <f t="shared" si="586"/>
        <v>2.0253164556962027</v>
      </c>
      <c r="AE239" s="34">
        <f t="shared" si="586"/>
        <v>2.4611610793131642</v>
      </c>
      <c r="AF239" s="34">
        <f t="shared" si="586"/>
        <v>8.0064051240992789E-3</v>
      </c>
      <c r="AG239" s="34">
        <f t="shared" si="586"/>
        <v>1.1136968085106382</v>
      </c>
      <c r="AH239" s="34">
        <f t="shared" ca="1" si="586"/>
        <v>2.3048909366688823</v>
      </c>
      <c r="AI239" s="34">
        <f t="shared" ca="1" si="586"/>
        <v>2.4931432305518619</v>
      </c>
      <c r="AJ239" s="34">
        <f t="shared" ca="1" si="586"/>
        <v>2.02423026512633</v>
      </c>
      <c r="AK239" s="79"/>
      <c r="AL239" s="34">
        <f t="shared" ref="AL239:AX239" si="587">AL64</f>
        <v>4.9702183984116477</v>
      </c>
      <c r="AM239" s="34">
        <f t="shared" si="587"/>
        <v>5.6608811748998669</v>
      </c>
      <c r="AN239" s="34">
        <f t="shared" si="587"/>
        <v>5.7547169811320753</v>
      </c>
      <c r="AO239" s="34">
        <f t="shared" si="587"/>
        <v>9.4729637234770685</v>
      </c>
      <c r="AP239" s="34">
        <f t="shared" si="587"/>
        <v>7.5577326801959428</v>
      </c>
      <c r="AQ239" s="34">
        <f t="shared" si="587"/>
        <v>5.4771784232365146</v>
      </c>
      <c r="AR239" s="34">
        <f t="shared" si="587"/>
        <v>3.496068751142805</v>
      </c>
      <c r="AS239" s="34">
        <f t="shared" si="587"/>
        <v>6.2669104204753197</v>
      </c>
      <c r="AT239" s="34">
        <f t="shared" si="587"/>
        <v>6.304909560723515</v>
      </c>
      <c r="AU239" s="34">
        <f t="shared" ca="1" si="587"/>
        <v>7.9306881769103006</v>
      </c>
      <c r="AV239" s="34">
        <f t="shared" ca="1" si="587"/>
        <v>9.1025767999999996</v>
      </c>
      <c r="AW239" s="34">
        <f t="shared" ca="1" si="587"/>
        <v>9.8157514705892872</v>
      </c>
      <c r="AX239" s="34">
        <f t="shared" ca="1" si="587"/>
        <v>10.582936612500809</v>
      </c>
      <c r="AY239" s="1"/>
      <c r="BD239" s="43"/>
      <c r="BJ239" s="27" t="s">
        <v>1670</v>
      </c>
      <c r="BM239" s="28">
        <f t="shared" si="585"/>
        <v>0</v>
      </c>
      <c r="BN239" s="63">
        <f t="shared" si="585"/>
        <v>0</v>
      </c>
    </row>
    <row r="240" spans="3:66" s="27" customFormat="1" ht="11.25" customHeight="1">
      <c r="C240" s="26"/>
      <c r="E240" s="34"/>
      <c r="F240" s="34"/>
      <c r="G240" s="34"/>
      <c r="H240" s="34"/>
      <c r="I240" s="34"/>
      <c r="J240" s="34"/>
      <c r="K240" s="34"/>
      <c r="L240" s="34"/>
      <c r="M240" s="34"/>
      <c r="N240" s="34"/>
      <c r="O240" s="34"/>
      <c r="P240" s="34"/>
      <c r="Q240" s="34"/>
      <c r="R240" s="34"/>
      <c r="AK240" s="79"/>
      <c r="AL240" s="34"/>
      <c r="AM240" s="34"/>
      <c r="AN240" s="34"/>
      <c r="AO240" s="34"/>
      <c r="AP240" s="34"/>
      <c r="AQ240" s="34"/>
      <c r="AR240" s="34"/>
      <c r="AY240" s="1"/>
      <c r="BJ240" s="27" t="s">
        <v>1717</v>
      </c>
      <c r="BM240" s="28">
        <f t="shared" si="585"/>
        <v>3027</v>
      </c>
      <c r="BN240" s="63">
        <f t="shared" si="585"/>
        <v>0.4631981637337414</v>
      </c>
    </row>
    <row r="241" spans="2:79" s="27" customFormat="1" ht="11.25" customHeight="1">
      <c r="C241" s="43" t="s">
        <v>97</v>
      </c>
      <c r="E241" s="30"/>
      <c r="F241" s="30"/>
      <c r="G241" s="30"/>
      <c r="H241" s="30"/>
      <c r="I241" s="30"/>
      <c r="J241" s="30"/>
      <c r="K241" s="30"/>
      <c r="L241" s="30"/>
      <c r="M241" s="30"/>
      <c r="N241" s="30"/>
      <c r="O241" s="30"/>
      <c r="P241" s="30"/>
      <c r="Q241" s="30"/>
      <c r="R241" s="30"/>
      <c r="AK241" s="79"/>
      <c r="AL241" s="30"/>
      <c r="AM241" s="30"/>
      <c r="AN241" s="30"/>
      <c r="AO241" s="30"/>
      <c r="AP241" s="30"/>
      <c r="AQ241" s="30"/>
      <c r="AR241" s="30"/>
      <c r="AY241" s="1"/>
      <c r="BJ241" s="27" t="s">
        <v>107</v>
      </c>
      <c r="BM241" s="28">
        <f t="shared" si="585"/>
        <v>900</v>
      </c>
      <c r="BN241" s="63">
        <f t="shared" si="585"/>
        <v>0.13771996939556239</v>
      </c>
    </row>
    <row r="242" spans="2:79" s="27" customFormat="1" ht="11.25" customHeight="1">
      <c r="C242" s="43" t="s">
        <v>163</v>
      </c>
      <c r="E242" s="87"/>
      <c r="F242" s="87"/>
      <c r="G242" s="87"/>
      <c r="H242" s="87"/>
      <c r="I242" s="84">
        <v>0</v>
      </c>
      <c r="J242" s="84">
        <v>0</v>
      </c>
      <c r="K242" s="84">
        <v>-0.01</v>
      </c>
      <c r="L242" s="33">
        <f>+AO242-SUM(I242:K242)</f>
        <v>-1.85</v>
      </c>
      <c r="M242" s="84">
        <v>0.27</v>
      </c>
      <c r="N242" s="84">
        <v>-0.17</v>
      </c>
      <c r="O242" s="84">
        <v>-0.48</v>
      </c>
      <c r="P242" s="33">
        <f>+AP242-SUM(M242:O242)</f>
        <v>1.02</v>
      </c>
      <c r="Q242" s="84">
        <v>0.25</v>
      </c>
      <c r="R242" s="84">
        <v>7.0000000000000007E-2</v>
      </c>
      <c r="S242" s="29">
        <v>0</v>
      </c>
      <c r="T242" s="29">
        <v>0.8</v>
      </c>
      <c r="U242" s="29">
        <v>0</v>
      </c>
      <c r="V242" s="29">
        <v>0</v>
      </c>
      <c r="W242" s="29">
        <v>0</v>
      </c>
      <c r="X242" s="29">
        <v>0</v>
      </c>
      <c r="Y242" s="29">
        <v>0</v>
      </c>
      <c r="Z242" s="29">
        <v>0</v>
      </c>
      <c r="AA242" s="29">
        <v>0</v>
      </c>
      <c r="AB242" s="29">
        <v>0</v>
      </c>
      <c r="AC242" s="29">
        <v>0</v>
      </c>
      <c r="AD242" s="29">
        <v>0</v>
      </c>
      <c r="AE242" s="29">
        <v>0</v>
      </c>
      <c r="AF242" s="29">
        <v>0</v>
      </c>
      <c r="AG242" s="29">
        <v>0</v>
      </c>
      <c r="AH242" s="29">
        <v>0</v>
      </c>
      <c r="AI242" s="29">
        <v>0</v>
      </c>
      <c r="AJ242" s="29">
        <v>0</v>
      </c>
      <c r="AK242" s="79"/>
      <c r="AL242" s="84">
        <v>2.12</v>
      </c>
      <c r="AM242" s="84">
        <v>1.62</v>
      </c>
      <c r="AN242" s="84">
        <v>1.01</v>
      </c>
      <c r="AO242" s="84">
        <v>-1.86</v>
      </c>
      <c r="AP242" s="84">
        <v>0.64</v>
      </c>
      <c r="AQ242" s="33">
        <f t="shared" ref="AQ242:AR244" si="588">SUMIF($E$6:$X$6,AQ$6,$E242:$X242)</f>
        <v>1.1200000000000001</v>
      </c>
      <c r="AR242" s="33">
        <f t="shared" si="588"/>
        <v>0</v>
      </c>
      <c r="AS242" s="29">
        <v>0</v>
      </c>
      <c r="AT242" s="29">
        <v>0</v>
      </c>
      <c r="AU242" s="29">
        <v>0</v>
      </c>
      <c r="AV242" s="29">
        <v>0</v>
      </c>
      <c r="AW242" s="29">
        <v>0</v>
      </c>
      <c r="AX242" s="29">
        <v>0</v>
      </c>
      <c r="AY242" s="1"/>
      <c r="BM242" s="35">
        <f>SUM(BM238:BM241)</f>
        <v>6535</v>
      </c>
    </row>
    <row r="243" spans="2:79" s="27" customFormat="1" ht="11.25" customHeight="1">
      <c r="C243" s="43" t="s">
        <v>164</v>
      </c>
      <c r="E243" s="87"/>
      <c r="F243" s="87"/>
      <c r="G243" s="87"/>
      <c r="H243" s="87"/>
      <c r="I243" s="84">
        <v>-0.06</v>
      </c>
      <c r="J243" s="84">
        <v>-0.02</v>
      </c>
      <c r="K243" s="84">
        <v>-0.02</v>
      </c>
      <c r="L243" s="33">
        <f>+AO243-SUM(I243:K243)</f>
        <v>0.1</v>
      </c>
      <c r="M243" s="84">
        <v>-0.04</v>
      </c>
      <c r="N243" s="84">
        <v>0</v>
      </c>
      <c r="O243" s="84">
        <v>-7.0000000000000007E-2</v>
      </c>
      <c r="P243" s="33">
        <f>+AP243-SUM(M243:O243)</f>
        <v>0.11000000000000001</v>
      </c>
      <c r="Q243" s="84">
        <v>0.03</v>
      </c>
      <c r="R243" s="84">
        <v>7.0000000000000007E-2</v>
      </c>
      <c r="S243" s="29">
        <v>0</v>
      </c>
      <c r="T243" s="29">
        <v>-0.1</v>
      </c>
      <c r="U243" s="29">
        <v>0</v>
      </c>
      <c r="V243" s="29">
        <v>0</v>
      </c>
      <c r="W243" s="29">
        <v>0</v>
      </c>
      <c r="X243" s="29">
        <v>0</v>
      </c>
      <c r="Y243" s="29">
        <v>0</v>
      </c>
      <c r="Z243" s="29">
        <v>0</v>
      </c>
      <c r="AA243" s="29">
        <v>0</v>
      </c>
      <c r="AB243" s="29">
        <v>0</v>
      </c>
      <c r="AC243" s="29">
        <v>0</v>
      </c>
      <c r="AD243" s="29">
        <v>0</v>
      </c>
      <c r="AE243" s="29">
        <v>0</v>
      </c>
      <c r="AF243" s="29">
        <v>0</v>
      </c>
      <c r="AG243" s="29">
        <v>0</v>
      </c>
      <c r="AH243" s="29">
        <v>0</v>
      </c>
      <c r="AI243" s="29">
        <v>0</v>
      </c>
      <c r="AJ243" s="29">
        <v>0</v>
      </c>
      <c r="AK243" s="79"/>
      <c r="AL243" s="84">
        <v>0</v>
      </c>
      <c r="AM243" s="84">
        <v>0</v>
      </c>
      <c r="AN243" s="84">
        <v>0</v>
      </c>
      <c r="AO243" s="84">
        <v>0</v>
      </c>
      <c r="AP243" s="84">
        <v>0</v>
      </c>
      <c r="AQ243" s="33">
        <f t="shared" si="588"/>
        <v>0</v>
      </c>
      <c r="AR243" s="33">
        <f t="shared" si="588"/>
        <v>0</v>
      </c>
      <c r="AS243" s="29">
        <v>0</v>
      </c>
      <c r="AT243" s="29">
        <v>0</v>
      </c>
      <c r="AU243" s="29">
        <v>0</v>
      </c>
      <c r="AV243" s="29">
        <v>0</v>
      </c>
      <c r="AW243" s="29">
        <v>0</v>
      </c>
      <c r="AX243" s="29">
        <v>0</v>
      </c>
      <c r="AY243" s="1"/>
      <c r="AZ243" s="135"/>
    </row>
    <row r="244" spans="2:79" s="27" customFormat="1" ht="11.25" customHeight="1">
      <c r="C244" s="43" t="s">
        <v>362</v>
      </c>
      <c r="E244" s="87"/>
      <c r="F244" s="87"/>
      <c r="G244" s="87"/>
      <c r="H244" s="87"/>
      <c r="I244" s="84">
        <v>0</v>
      </c>
      <c r="J244" s="84">
        <v>0</v>
      </c>
      <c r="K244" s="84">
        <v>0</v>
      </c>
      <c r="L244" s="84">
        <v>0</v>
      </c>
      <c r="M244" s="84">
        <v>0</v>
      </c>
      <c r="N244" s="84">
        <v>0</v>
      </c>
      <c r="O244" s="84">
        <v>0</v>
      </c>
      <c r="P244" s="84">
        <v>0</v>
      </c>
      <c r="Q244" s="84">
        <v>0</v>
      </c>
      <c r="R244" s="84">
        <v>0</v>
      </c>
      <c r="S244" s="84">
        <v>0.01</v>
      </c>
      <c r="T244" s="84">
        <v>0.53</v>
      </c>
      <c r="U244" s="84">
        <v>0</v>
      </c>
      <c r="V244" s="84">
        <v>0</v>
      </c>
      <c r="W244" s="84">
        <v>0</v>
      </c>
      <c r="X244" s="84">
        <v>0</v>
      </c>
      <c r="Y244" s="84">
        <v>0</v>
      </c>
      <c r="Z244" s="84">
        <v>0</v>
      </c>
      <c r="AA244" s="84">
        <v>0</v>
      </c>
      <c r="AB244" s="84">
        <v>0</v>
      </c>
      <c r="AC244" s="84">
        <v>0</v>
      </c>
      <c r="AD244" s="84">
        <v>0</v>
      </c>
      <c r="AE244" s="84">
        <v>0</v>
      </c>
      <c r="AF244" s="84">
        <v>0</v>
      </c>
      <c r="AG244" s="84">
        <v>0</v>
      </c>
      <c r="AH244" s="84">
        <v>0</v>
      </c>
      <c r="AI244" s="84">
        <v>0</v>
      </c>
      <c r="AJ244" s="84">
        <v>0</v>
      </c>
      <c r="AK244" s="79"/>
      <c r="AL244" s="84">
        <v>0</v>
      </c>
      <c r="AM244" s="84">
        <v>0</v>
      </c>
      <c r="AN244" s="84">
        <v>0</v>
      </c>
      <c r="AO244" s="84">
        <v>0</v>
      </c>
      <c r="AP244" s="84">
        <v>0</v>
      </c>
      <c r="AQ244" s="33">
        <f t="shared" si="588"/>
        <v>0.54</v>
      </c>
      <c r="AR244" s="33">
        <f t="shared" si="588"/>
        <v>0</v>
      </c>
      <c r="AS244" s="29">
        <v>0</v>
      </c>
      <c r="AT244" s="29">
        <v>0</v>
      </c>
      <c r="AU244" s="29">
        <v>0</v>
      </c>
      <c r="AV244" s="29">
        <v>0</v>
      </c>
      <c r="AW244" s="29">
        <v>0</v>
      </c>
      <c r="AX244" s="29">
        <v>0</v>
      </c>
      <c r="AY244" s="1"/>
      <c r="AZ244" s="135"/>
    </row>
    <row r="245" spans="2:79" s="27" customFormat="1" ht="11.25" customHeight="1">
      <c r="C245" s="45" t="s">
        <v>346</v>
      </c>
      <c r="E245" s="85">
        <v>1.71</v>
      </c>
      <c r="F245" s="86">
        <v>1.68</v>
      </c>
      <c r="G245" s="86">
        <v>1.86</v>
      </c>
      <c r="H245" s="85">
        <f>IFERROR(H239+SUM(H242:H244),"NA  ")</f>
        <v>0.78644067796610173</v>
      </c>
      <c r="I245" s="85">
        <f t="shared" ref="I245:X245" si="589">IFERROR(I239+SUM(I242:I244),"NA  ")</f>
        <v>1.8285869565217392</v>
      </c>
      <c r="J245" s="85">
        <f t="shared" si="589"/>
        <v>1.974535519125683</v>
      </c>
      <c r="K245" s="85">
        <f t="shared" si="589"/>
        <v>2.1899312714776635</v>
      </c>
      <c r="L245" s="85">
        <f t="shared" si="589"/>
        <v>1.6408839779005522</v>
      </c>
      <c r="M245" s="85">
        <f t="shared" si="589"/>
        <v>2.2327624309392262</v>
      </c>
      <c r="N245" s="85">
        <f t="shared" si="589"/>
        <v>2.2188888888888889</v>
      </c>
      <c r="O245" s="85">
        <f t="shared" si="589"/>
        <v>2.3432584269662922</v>
      </c>
      <c r="P245" s="85">
        <f t="shared" si="589"/>
        <v>1.370963855421687</v>
      </c>
      <c r="Q245" s="85">
        <f t="shared" si="589"/>
        <v>1.7717915774446824</v>
      </c>
      <c r="R245" s="85">
        <f t="shared" si="589"/>
        <v>1.9947807332854057</v>
      </c>
      <c r="S245" s="85">
        <f t="shared" si="589"/>
        <v>1.9403338171262698</v>
      </c>
      <c r="T245" s="85">
        <f t="shared" si="589"/>
        <v>1.4196425966447848</v>
      </c>
      <c r="U245" s="85">
        <f t="shared" si="589"/>
        <v>1.8901098901098901</v>
      </c>
      <c r="V245" s="85">
        <f t="shared" si="589"/>
        <v>0.19838354151359291</v>
      </c>
      <c r="W245" s="85">
        <f t="shared" si="589"/>
        <v>1.181217901687454</v>
      </c>
      <c r="X245" s="85">
        <f t="shared" si="589"/>
        <v>0.23443223443223443</v>
      </c>
      <c r="Y245" s="85">
        <f t="shared" ref="Y245:AC245" si="590">IFERROR(Y239+SUM(Y242:Y244),"NA  ")</f>
        <v>1.9912790697674418</v>
      </c>
      <c r="Z245" s="85">
        <f t="shared" si="590"/>
        <v>-1.0743193524650478</v>
      </c>
      <c r="AA245" s="85">
        <f t="shared" si="590"/>
        <v>2.562043795620438</v>
      </c>
      <c r="AB245" s="85">
        <f t="shared" si="590"/>
        <v>2.7571115973741795</v>
      </c>
      <c r="AC245" s="85">
        <f t="shared" si="590"/>
        <v>1.7980107115531754</v>
      </c>
      <c r="AD245" s="85">
        <f t="shared" ref="AD245:AF245" si="591">IFERROR(AD239+SUM(AD242:AD244),"NA  ")</f>
        <v>2.0253164556962027</v>
      </c>
      <c r="AE245" s="85">
        <f t="shared" si="591"/>
        <v>2.4611610793131642</v>
      </c>
      <c r="AF245" s="85">
        <f t="shared" si="591"/>
        <v>8.0064051240992789E-3</v>
      </c>
      <c r="AG245" s="85">
        <f t="shared" ref="AG245" si="592">IFERROR(AG239+SUM(AG242:AG244),"NA  ")</f>
        <v>1.1136968085106382</v>
      </c>
      <c r="AH245" s="85">
        <f ca="1">IFERROR(AH239+SUM(AH242:AH244),"NA  ")</f>
        <v>2.3048909366688823</v>
      </c>
      <c r="AI245" s="85">
        <f ca="1">IFERROR(AI239+SUM(AI242:AI244),"NA  ")</f>
        <v>2.4931432305518619</v>
      </c>
      <c r="AJ245" s="85">
        <f ca="1">IFERROR(AJ239+SUM(AJ242:AJ244),"NA  ")</f>
        <v>2.02423026512633</v>
      </c>
      <c r="AK245" s="79"/>
      <c r="AL245" s="85">
        <f>IFERROR(AL239+SUM(AL242:AL244),"NA  ")</f>
        <v>7.0902183984116478</v>
      </c>
      <c r="AM245" s="85">
        <f t="shared" ref="AM245:AT245" si="593">IFERROR(AM239+SUM(AM242:AM244),"NA  ")</f>
        <v>7.280881174899867</v>
      </c>
      <c r="AN245" s="85">
        <f t="shared" si="593"/>
        <v>6.7647169811320751</v>
      </c>
      <c r="AO245" s="85">
        <f t="shared" si="593"/>
        <v>7.6129637234770682</v>
      </c>
      <c r="AP245" s="85">
        <f t="shared" si="593"/>
        <v>8.1977326801959425</v>
      </c>
      <c r="AQ245" s="85">
        <f t="shared" si="593"/>
        <v>7.1371784232365147</v>
      </c>
      <c r="AR245" s="85">
        <f t="shared" si="593"/>
        <v>3.496068751142805</v>
      </c>
      <c r="AS245" s="85">
        <f t="shared" si="593"/>
        <v>6.2669104204753197</v>
      </c>
      <c r="AT245" s="85">
        <f t="shared" si="593"/>
        <v>6.304909560723515</v>
      </c>
      <c r="AU245" s="85">
        <f ca="1">IFERROR(AU239+SUM(AU242:AU244),"NA  ")</f>
        <v>7.9306881769103006</v>
      </c>
      <c r="AV245" s="85">
        <f ca="1">IFERROR(AV239+SUM(AV242:AV244),"NA  ")</f>
        <v>9.1025767999999996</v>
      </c>
      <c r="AW245" s="85">
        <f ca="1">IFERROR(AW239+SUM(AW242:AW244),"NA  ")</f>
        <v>9.8157514705892872</v>
      </c>
      <c r="AX245" s="85">
        <f ca="1">IFERROR(AX239+SUM(AX242:AX244),"NA  ")</f>
        <v>10.582936612500809</v>
      </c>
      <c r="AY245" s="1"/>
    </row>
    <row r="246" spans="2:79" s="27" customFormat="1" ht="11.25" customHeight="1">
      <c r="C246" s="36"/>
      <c r="E246" s="30"/>
      <c r="F246" s="30"/>
      <c r="G246" s="30"/>
      <c r="H246" s="30"/>
      <c r="I246" s="30"/>
      <c r="J246" s="30"/>
      <c r="K246" s="30"/>
      <c r="L246" s="30"/>
      <c r="M246" s="30"/>
      <c r="N246" s="30"/>
      <c r="O246" s="30"/>
      <c r="P246" s="30"/>
      <c r="Q246" s="30"/>
      <c r="R246" s="30"/>
      <c r="S246" s="437"/>
      <c r="AK246" s="79"/>
      <c r="AL246" s="437"/>
      <c r="AM246" s="437"/>
      <c r="AN246" s="437"/>
      <c r="AO246" s="437"/>
      <c r="AP246" s="437"/>
      <c r="AQ246" s="622"/>
      <c r="AR246" s="437"/>
      <c r="AY246" s="1"/>
    </row>
    <row r="247" spans="2:79" s="5" customFormat="1" ht="10.5">
      <c r="B247" s="687" t="s">
        <v>14</v>
      </c>
      <c r="C247" s="20" t="s">
        <v>103</v>
      </c>
      <c r="D247" s="20"/>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79"/>
      <c r="AL247" s="19"/>
      <c r="AM247" s="19"/>
      <c r="AN247" s="19"/>
      <c r="AO247" s="19"/>
      <c r="AP247" s="19"/>
      <c r="AQ247" s="19"/>
      <c r="AR247" s="19"/>
      <c r="AS247" s="19"/>
      <c r="AT247" s="19"/>
      <c r="AU247" s="19"/>
      <c r="AV247" s="19"/>
      <c r="AW247" s="19"/>
      <c r="AX247" s="19"/>
      <c r="AY247" s="1"/>
      <c r="AZ247" s="19"/>
      <c r="BA247" s="19"/>
      <c r="BB247" s="19"/>
      <c r="BC247" s="19"/>
      <c r="BD247" s="19"/>
      <c r="BE247" s="19"/>
      <c r="BF247" s="19"/>
      <c r="BG247" s="19"/>
      <c r="BH247" s="19"/>
      <c r="BI247" s="19"/>
      <c r="BJ247" s="19"/>
      <c r="BK247" s="19"/>
      <c r="BL247" s="19"/>
      <c r="BM247" s="19"/>
      <c r="BN247" s="19"/>
      <c r="BY247" s="829"/>
      <c r="BZ247" s="829"/>
      <c r="CA247" s="829"/>
    </row>
    <row r="248" spans="2:79" ht="11.25" customHeight="1">
      <c r="Q248" s="79"/>
      <c r="R248" s="79"/>
      <c r="S248" s="79"/>
      <c r="T248" s="79"/>
      <c r="U248" s="79"/>
      <c r="V248" s="79"/>
      <c r="W248" s="79"/>
      <c r="X248" s="79"/>
      <c r="Y248" s="79"/>
      <c r="Z248" s="79"/>
      <c r="AA248" s="79"/>
      <c r="AB248" s="79"/>
      <c r="AC248" s="79"/>
      <c r="AD248" s="79"/>
      <c r="AE248" s="79"/>
      <c r="AF248" s="79"/>
      <c r="AG248" s="79"/>
      <c r="AK248" s="79"/>
      <c r="AS248" s="135"/>
      <c r="AT248" s="135"/>
      <c r="BK248" s="1116"/>
      <c r="BL248" s="1116"/>
      <c r="BM248" s="1116"/>
      <c r="BN248" s="1116"/>
      <c r="BO248" s="1116"/>
      <c r="BP248" s="1116"/>
      <c r="BQ248" s="1116"/>
      <c r="BR248" s="1116"/>
      <c r="BS248" s="1116"/>
    </row>
    <row r="249" spans="2:79" ht="11.25" customHeight="1">
      <c r="C249" s="26" t="s">
        <v>104</v>
      </c>
      <c r="E249" s="63"/>
      <c r="F249" s="63"/>
      <c r="G249" s="63"/>
      <c r="H249" s="28"/>
      <c r="I249" s="28"/>
      <c r="J249" s="28"/>
      <c r="K249" s="28"/>
      <c r="L249" s="28"/>
      <c r="M249" s="28"/>
      <c r="N249" s="63"/>
      <c r="O249" s="63"/>
      <c r="P249" s="63"/>
      <c r="Q249" s="82"/>
      <c r="R249" s="82"/>
      <c r="S249" s="665"/>
      <c r="T249" s="665"/>
      <c r="U249" s="665"/>
      <c r="V249" s="665"/>
      <c r="W249" s="665"/>
      <c r="X249" s="665"/>
      <c r="Y249" s="665"/>
      <c r="Z249" s="665"/>
      <c r="AA249" s="665"/>
      <c r="AB249" s="665"/>
      <c r="AC249" s="665"/>
      <c r="AD249" s="360"/>
      <c r="AE249" s="360"/>
      <c r="AF249" s="360"/>
      <c r="AG249" s="360"/>
      <c r="AH249" s="360"/>
      <c r="AI249" s="360"/>
      <c r="AJ249" s="360"/>
      <c r="AK249" s="79"/>
      <c r="AM249" s="28"/>
      <c r="AN249" s="28"/>
      <c r="AO249" s="28"/>
      <c r="AP249" s="28"/>
      <c r="AQ249" s="28"/>
      <c r="AR249" s="28"/>
      <c r="AS249" s="28"/>
      <c r="AT249" s="135"/>
      <c r="BJ249" s="63">
        <f>'Segment Snapshot'!AX10/'Segment Snapshot'!$AX$15</f>
        <v>0.32844990548204162</v>
      </c>
      <c r="BK249" s="1347" t="s">
        <v>1705</v>
      </c>
      <c r="BL249" s="1304"/>
      <c r="BM249" s="13" t="s">
        <v>1665</v>
      </c>
      <c r="BN249" s="1333">
        <v>2021</v>
      </c>
      <c r="BO249" s="1333">
        <f>BN249+1</f>
        <v>2022</v>
      </c>
      <c r="BP249" s="1333">
        <f t="shared" ref="BP249:BS249" si="594">BO249+1</f>
        <v>2023</v>
      </c>
      <c r="BQ249" s="1333">
        <f t="shared" si="594"/>
        <v>2024</v>
      </c>
      <c r="BR249" s="1333">
        <f t="shared" si="594"/>
        <v>2025</v>
      </c>
      <c r="BS249" s="1333">
        <f t="shared" si="594"/>
        <v>2026</v>
      </c>
    </row>
    <row r="250" spans="2:79" s="28" customFormat="1" ht="11.25" customHeight="1">
      <c r="B250" s="30"/>
      <c r="C250" s="740" t="s">
        <v>18</v>
      </c>
      <c r="E250" s="82">
        <v>737</v>
      </c>
      <c r="F250" s="82">
        <v>770</v>
      </c>
      <c r="G250" s="82">
        <v>752</v>
      </c>
      <c r="H250" s="82">
        <v>720</v>
      </c>
      <c r="I250" s="82">
        <v>773</v>
      </c>
      <c r="J250" s="82">
        <v>830</v>
      </c>
      <c r="K250" s="82">
        <v>886</v>
      </c>
      <c r="L250" s="82">
        <v>854</v>
      </c>
      <c r="M250" s="82">
        <v>939</v>
      </c>
      <c r="N250" s="82">
        <v>942</v>
      </c>
      <c r="O250" s="82">
        <v>915</v>
      </c>
      <c r="P250" s="82">
        <v>851</v>
      </c>
      <c r="Q250" s="82">
        <v>650</v>
      </c>
      <c r="R250" s="82">
        <v>618</v>
      </c>
      <c r="S250" s="82">
        <v>619</v>
      </c>
      <c r="T250" s="82">
        <v>568</v>
      </c>
      <c r="U250" s="82">
        <v>636</v>
      </c>
      <c r="V250" s="82">
        <v>567</v>
      </c>
      <c r="W250" s="82">
        <v>551</v>
      </c>
      <c r="X250" s="82">
        <v>588</v>
      </c>
      <c r="Y250" s="82">
        <v>672</v>
      </c>
      <c r="Z250" s="82">
        <v>722</v>
      </c>
      <c r="AA250" s="82">
        <v>775</v>
      </c>
      <c r="AB250" s="82">
        <v>780</v>
      </c>
      <c r="AC250" s="82">
        <v>889</v>
      </c>
      <c r="AD250" s="82">
        <v>924</v>
      </c>
      <c r="AE250" s="82">
        <v>906</v>
      </c>
      <c r="AF250" s="82">
        <v>756</v>
      </c>
      <c r="AG250" s="82">
        <v>777</v>
      </c>
      <c r="AH250" s="30">
        <f t="shared" ref="AH250:AJ250" si="595">AH258+AD250</f>
        <v>868.56</v>
      </c>
      <c r="AI250" s="30">
        <f t="shared" si="595"/>
        <v>851.64</v>
      </c>
      <c r="AJ250" s="30">
        <f t="shared" si="595"/>
        <v>733.32</v>
      </c>
      <c r="AK250" s="79"/>
      <c r="AL250" s="82">
        <v>2640</v>
      </c>
      <c r="AM250" s="82">
        <v>3159</v>
      </c>
      <c r="AN250" s="31">
        <f t="shared" ref="AN250:AU250" si="596">SUMIF($E$6:$AK$6,AN$6,$E250:$AK250)</f>
        <v>2979</v>
      </c>
      <c r="AO250" s="31">
        <f t="shared" si="596"/>
        <v>3343</v>
      </c>
      <c r="AP250" s="31">
        <f t="shared" si="596"/>
        <v>3647</v>
      </c>
      <c r="AQ250" s="31">
        <f t="shared" si="596"/>
        <v>2455</v>
      </c>
      <c r="AR250" s="31">
        <f t="shared" si="596"/>
        <v>2342</v>
      </c>
      <c r="AS250" s="31">
        <f t="shared" si="596"/>
        <v>2949</v>
      </c>
      <c r="AT250" s="31">
        <f t="shared" si="596"/>
        <v>3475</v>
      </c>
      <c r="AU250" s="31">
        <f t="shared" si="596"/>
        <v>3230.52</v>
      </c>
      <c r="AV250" s="30">
        <f>AV258+AU250</f>
        <v>3327.4355999999998</v>
      </c>
      <c r="AW250" s="30">
        <f>AW258+AV250</f>
        <v>3427.2586679999999</v>
      </c>
      <c r="AX250" s="30">
        <f>AX258+AW250</f>
        <v>3530.0764280399999</v>
      </c>
      <c r="AY250" s="1"/>
      <c r="BK250" s="1346" t="s">
        <v>1674</v>
      </c>
      <c r="BL250" s="1303"/>
      <c r="BM250" s="1315">
        <v>0.12</v>
      </c>
      <c r="BN250" s="1301"/>
      <c r="BO250" s="1301">
        <f>BM250*$AT$250</f>
        <v>417</v>
      </c>
      <c r="BP250" s="1301">
        <f t="shared" ref="BP250" si="597">+BO250*(1+BP261)</f>
        <v>437.85</v>
      </c>
      <c r="BQ250" s="1301">
        <f t="shared" ref="BQ250" si="598">+BP250*(1+BQ261)</f>
        <v>437.85</v>
      </c>
      <c r="BR250" s="1301">
        <f t="shared" ref="BR250:BS250" si="599">+BQ250*(1+BR261)</f>
        <v>437.85</v>
      </c>
      <c r="BS250" s="1301">
        <f t="shared" si="599"/>
        <v>437.85</v>
      </c>
    </row>
    <row r="251" spans="2:79" ht="11.25" customHeight="1" outlineLevel="1">
      <c r="C251" s="107" t="s">
        <v>358</v>
      </c>
      <c r="E251" s="90"/>
      <c r="F251" s="90"/>
      <c r="G251" s="90"/>
      <c r="H251" s="90"/>
      <c r="I251" s="94">
        <f>IFERROR(I250/E250-1,"NA  ")</f>
        <v>4.8846675712347354E-2</v>
      </c>
      <c r="J251" s="94">
        <f t="shared" ref="J251:R251" si="600">IFERROR(J250/F250-1,"NA  ")</f>
        <v>7.7922077922077948E-2</v>
      </c>
      <c r="K251" s="94">
        <f t="shared" si="600"/>
        <v>0.17819148936170204</v>
      </c>
      <c r="L251" s="94">
        <f t="shared" si="600"/>
        <v>0.18611111111111112</v>
      </c>
      <c r="M251" s="94">
        <f t="shared" si="600"/>
        <v>0.21474773609314357</v>
      </c>
      <c r="N251" s="94">
        <f t="shared" si="600"/>
        <v>0.13493975903614452</v>
      </c>
      <c r="O251" s="94">
        <f t="shared" si="600"/>
        <v>3.2731376975169368E-2</v>
      </c>
      <c r="P251" s="94">
        <f t="shared" si="600"/>
        <v>-3.5128805620608938E-3</v>
      </c>
      <c r="Q251" s="94">
        <f t="shared" si="600"/>
        <v>-0.30777422790202347</v>
      </c>
      <c r="R251" s="94">
        <f t="shared" si="600"/>
        <v>-0.3439490445859873</v>
      </c>
      <c r="S251" s="94">
        <f t="shared" ref="S251:AC251" si="601">IFERROR(S250/O250-1,"NA  ")</f>
        <v>-0.32349726775956289</v>
      </c>
      <c r="T251" s="94">
        <f t="shared" si="601"/>
        <v>-0.33254994124559345</v>
      </c>
      <c r="U251" s="94">
        <f t="shared" si="601"/>
        <v>-2.1538461538461506E-2</v>
      </c>
      <c r="V251" s="94">
        <f t="shared" si="601"/>
        <v>-8.2524271844660158E-2</v>
      </c>
      <c r="W251" s="94">
        <f t="shared" si="601"/>
        <v>-0.10985460420032311</v>
      </c>
      <c r="X251" s="94">
        <f t="shared" si="601"/>
        <v>3.5211267605633756E-2</v>
      </c>
      <c r="Y251" s="94">
        <f t="shared" si="601"/>
        <v>5.6603773584905648E-2</v>
      </c>
      <c r="Z251" s="94">
        <f t="shared" si="601"/>
        <v>0.27336860670194008</v>
      </c>
      <c r="AA251" s="94">
        <f t="shared" si="601"/>
        <v>0.40653357531760426</v>
      </c>
      <c r="AB251" s="94">
        <f t="shared" si="601"/>
        <v>0.32653061224489788</v>
      </c>
      <c r="AC251" s="94">
        <f t="shared" si="601"/>
        <v>0.32291666666666674</v>
      </c>
      <c r="AD251" s="94">
        <f t="shared" ref="AD251" si="602">IFERROR(AD250/Z250-1,"NA  ")</f>
        <v>0.27977839335180055</v>
      </c>
      <c r="AE251" s="94">
        <f t="shared" ref="AE251" si="603">IFERROR(AE250/AA250-1,"NA  ")</f>
        <v>0.16903225806451605</v>
      </c>
      <c r="AF251" s="94">
        <f>IFERROR(AF250/AB250-1,"NA  ")</f>
        <v>-3.0769230769230771E-2</v>
      </c>
      <c r="AG251" s="94">
        <f>IFERROR(AG250/AC250-1,"NA  ")</f>
        <v>-0.12598425196850394</v>
      </c>
      <c r="AH251" s="94">
        <f t="shared" ref="AH251" si="604">IFERROR(AH250/AD250-1,"NA  ")</f>
        <v>-6.0000000000000053E-2</v>
      </c>
      <c r="AI251" s="94">
        <f t="shared" ref="AI251" si="605">IFERROR(AI250/AE250-1,"NA  ")</f>
        <v>-6.0000000000000053E-2</v>
      </c>
      <c r="AJ251" s="94">
        <f t="shared" ref="AJ251" si="606">IFERROR(AJ250/AF250-1,"NA  ")</f>
        <v>-2.9999999999999916E-2</v>
      </c>
      <c r="AK251" s="79"/>
      <c r="AL251" s="47"/>
      <c r="AM251" s="94">
        <f t="shared" ref="AM251:AX251" si="607">IFERROR(AM250/AL250-1,"NA  ")</f>
        <v>0.19659090909090904</v>
      </c>
      <c r="AN251" s="94">
        <f t="shared" si="607"/>
        <v>-5.6980056980056926E-2</v>
      </c>
      <c r="AO251" s="94">
        <f t="shared" si="607"/>
        <v>0.12218865391070821</v>
      </c>
      <c r="AP251" s="94">
        <f t="shared" si="607"/>
        <v>9.0936284774155052E-2</v>
      </c>
      <c r="AQ251" s="1035">
        <f t="shared" si="607"/>
        <v>-0.32684398135453796</v>
      </c>
      <c r="AR251" s="94">
        <f t="shared" si="607"/>
        <v>-4.6028513238289159E-2</v>
      </c>
      <c r="AS251" s="94">
        <f t="shared" si="607"/>
        <v>0.25918018787361219</v>
      </c>
      <c r="AT251" s="94">
        <f t="shared" si="607"/>
        <v>0.17836554764326884</v>
      </c>
      <c r="AU251" s="94">
        <f t="shared" si="607"/>
        <v>-7.0353956834532383E-2</v>
      </c>
      <c r="AV251" s="95">
        <f t="shared" si="607"/>
        <v>3.0000000000000027E-2</v>
      </c>
      <c r="AW251" s="95">
        <f t="shared" si="607"/>
        <v>3.0000000000000027E-2</v>
      </c>
      <c r="AX251" s="95">
        <f t="shared" si="607"/>
        <v>3.0000000000000027E-2</v>
      </c>
      <c r="BK251" s="1356" t="s">
        <v>1680</v>
      </c>
      <c r="BL251" s="1309"/>
      <c r="BM251" s="1308">
        <v>0.16</v>
      </c>
      <c r="BN251" s="1311"/>
      <c r="BO251" s="1311">
        <f t="shared" ref="BO251:BO257" si="608">BM251*$AT$250</f>
        <v>556</v>
      </c>
      <c r="BP251" s="1311">
        <f t="shared" ref="BP251:BP257" si="609">+BO251*(1+BP262)</f>
        <v>611.6</v>
      </c>
      <c r="BQ251" s="1311">
        <f t="shared" ref="BQ251:BS251" si="610">+BP251*(1+BQ262)</f>
        <v>611.6</v>
      </c>
      <c r="BR251" s="1311">
        <f t="shared" si="610"/>
        <v>611.6</v>
      </c>
      <c r="BS251" s="1311">
        <f t="shared" si="610"/>
        <v>611.6</v>
      </c>
    </row>
    <row r="252" spans="2:79" ht="11.25" customHeight="1" outlineLevel="1">
      <c r="C252" s="107" t="s">
        <v>641</v>
      </c>
      <c r="E252" s="94">
        <f t="shared" ref="E252:AJ252" si="611">IFERROR(E250/E$619,"NA  ")</f>
        <v>0.32960644007155637</v>
      </c>
      <c r="F252" s="94">
        <f t="shared" si="611"/>
        <v>0.33521985198084459</v>
      </c>
      <c r="G252" s="94">
        <f t="shared" si="611"/>
        <v>0.32881504153913421</v>
      </c>
      <c r="H252" s="94">
        <f t="shared" si="611"/>
        <v>0.32906764168190128</v>
      </c>
      <c r="I252" s="94">
        <f t="shared" si="611"/>
        <v>0.33564915327833261</v>
      </c>
      <c r="J252" s="94">
        <f t="shared" si="611"/>
        <v>0.34311699049193883</v>
      </c>
      <c r="K252" s="94">
        <f t="shared" si="611"/>
        <v>0.3594320486815416</v>
      </c>
      <c r="L252" s="94">
        <f t="shared" si="611"/>
        <v>0.36155800169348012</v>
      </c>
      <c r="M252" s="94">
        <f t="shared" si="611"/>
        <v>0.36018411967779057</v>
      </c>
      <c r="N252" s="94">
        <f t="shared" si="611"/>
        <v>0.35940480732544833</v>
      </c>
      <c r="O252" s="94">
        <f t="shared" si="611"/>
        <v>0.35924617196702002</v>
      </c>
      <c r="P252" s="94">
        <f t="shared" si="611"/>
        <v>0.35816498316498319</v>
      </c>
      <c r="Q252" s="94">
        <f t="shared" si="611"/>
        <v>0.27310924369747897</v>
      </c>
      <c r="R252" s="94">
        <f t="shared" si="611"/>
        <v>0.26153195090986037</v>
      </c>
      <c r="S252" s="95">
        <f t="shared" si="611"/>
        <v>0.26623655913978495</v>
      </c>
      <c r="T252" s="95">
        <f t="shared" si="611"/>
        <v>0.25865209471766848</v>
      </c>
      <c r="U252" s="95">
        <f t="shared" si="611"/>
        <v>0.28380187416331992</v>
      </c>
      <c r="V252" s="95">
        <f t="shared" si="611"/>
        <v>0.29469854469854467</v>
      </c>
      <c r="W252" s="95">
        <f t="shared" si="611"/>
        <v>0.2596606974552309</v>
      </c>
      <c r="X252" s="95">
        <f t="shared" si="611"/>
        <v>0.26898444647758463</v>
      </c>
      <c r="Y252" s="95">
        <f t="shared" si="611"/>
        <v>0.27895392278953923</v>
      </c>
      <c r="Z252" s="95">
        <f t="shared" si="611"/>
        <v>0.27214474180173387</v>
      </c>
      <c r="AA252" s="95">
        <f t="shared" si="611"/>
        <v>0.28492647058823528</v>
      </c>
      <c r="AB252" s="95">
        <f t="shared" si="611"/>
        <v>0.28953229398663699</v>
      </c>
      <c r="AC252" s="95">
        <f t="shared" si="611"/>
        <v>0.32756079587324982</v>
      </c>
      <c r="AD252" s="95">
        <f t="shared" si="611"/>
        <v>0.33189655172413796</v>
      </c>
      <c r="AE252" s="95">
        <f t="shared" si="611"/>
        <v>0.33444075304540422</v>
      </c>
      <c r="AF252" s="95">
        <f t="shared" si="611"/>
        <v>0.31858407079646017</v>
      </c>
      <c r="AG252" s="95">
        <f t="shared" ref="AG252" si="612">IFERROR(AG250/AG$619,"NA  ")</f>
        <v>0.32213930348258707</v>
      </c>
      <c r="AH252" s="95">
        <f t="shared" si="611"/>
        <v>0.32106578344250419</v>
      </c>
      <c r="AI252" s="95">
        <f t="shared" si="611"/>
        <v>0.31565370160339806</v>
      </c>
      <c r="AJ252" s="95">
        <f t="shared" si="611"/>
        <v>0.30506951551306694</v>
      </c>
      <c r="AK252" s="79"/>
      <c r="AL252" s="95">
        <f t="shared" ref="AL252:AX252" si="613">IFERROR(AL250/AL$619,"NA  ")</f>
        <v>0.27710716909835204</v>
      </c>
      <c r="AM252" s="95">
        <f t="shared" si="613"/>
        <v>0.32742537313432835</v>
      </c>
      <c r="AN252" s="95">
        <f t="shared" si="613"/>
        <v>0.33070603907637658</v>
      </c>
      <c r="AO252" s="95">
        <f t="shared" si="613"/>
        <v>0.35008901455649805</v>
      </c>
      <c r="AP252" s="95">
        <f t="shared" si="613"/>
        <v>0.35927494828095752</v>
      </c>
      <c r="AQ252" s="95">
        <f t="shared" si="613"/>
        <v>0.2650043177892919</v>
      </c>
      <c r="AR252" s="95">
        <f t="shared" si="613"/>
        <v>0.27640741177859079</v>
      </c>
      <c r="AS252" s="95">
        <f t="shared" si="613"/>
        <v>0.28150057273768614</v>
      </c>
      <c r="AT252" s="95">
        <f t="shared" si="613"/>
        <v>0.32844990548204162</v>
      </c>
      <c r="AU252" s="95">
        <f t="shared" si="613"/>
        <v>0.31612754231317225</v>
      </c>
      <c r="AV252" s="95">
        <f t="shared" si="613"/>
        <v>0.3141758727408146</v>
      </c>
      <c r="AW252" s="95">
        <f t="shared" si="613"/>
        <v>0.31407299537773592</v>
      </c>
      <c r="AX252" s="95">
        <f t="shared" si="613"/>
        <v>0.3154728386952807</v>
      </c>
      <c r="BK252" s="1356" t="s">
        <v>1678</v>
      </c>
      <c r="BL252" s="1310"/>
      <c r="BM252" s="1297">
        <v>0.21</v>
      </c>
      <c r="BN252" s="1311"/>
      <c r="BO252" s="1311">
        <f t="shared" si="608"/>
        <v>729.75</v>
      </c>
      <c r="BP252" s="1311">
        <f t="shared" si="609"/>
        <v>802.72500000000002</v>
      </c>
      <c r="BQ252" s="1311">
        <f t="shared" ref="BQ252:BS252" si="614">+BP252*(1+BQ263)</f>
        <v>802.72500000000002</v>
      </c>
      <c r="BR252" s="1311">
        <f t="shared" si="614"/>
        <v>802.72500000000002</v>
      </c>
      <c r="BS252" s="1311">
        <f t="shared" si="614"/>
        <v>802.72500000000002</v>
      </c>
    </row>
    <row r="253" spans="2:79" ht="11.25" customHeight="1" outlineLevel="1">
      <c r="C253" s="36"/>
      <c r="E253" s="82"/>
      <c r="F253" s="82"/>
      <c r="G253" s="82"/>
      <c r="H253" s="82"/>
      <c r="I253" s="82"/>
      <c r="J253" s="82"/>
      <c r="K253" s="82"/>
      <c r="L253" s="82"/>
      <c r="M253" s="82"/>
      <c r="N253" s="82"/>
      <c r="O253" s="82"/>
      <c r="P253" s="82"/>
      <c r="Q253" s="82"/>
      <c r="R253" s="82"/>
      <c r="T253" s="63"/>
      <c r="V253" s="63"/>
      <c r="AK253" s="79"/>
      <c r="AL253" s="82"/>
      <c r="AM253" s="82"/>
      <c r="AN253" s="31"/>
      <c r="AO253" s="31"/>
      <c r="AP253" s="31"/>
      <c r="AQ253" s="31"/>
      <c r="AR253" s="31"/>
      <c r="BK253" s="1346" t="s">
        <v>1676</v>
      </c>
      <c r="BL253" s="1303"/>
      <c r="BM253" s="1298">
        <v>0.1</v>
      </c>
      <c r="BN253" s="1301"/>
      <c r="BO253" s="1301">
        <f t="shared" si="608"/>
        <v>347.5</v>
      </c>
      <c r="BP253" s="1301">
        <f t="shared" si="609"/>
        <v>354.45</v>
      </c>
      <c r="BQ253" s="1301">
        <f t="shared" ref="BQ253:BS253" si="615">+BP253*(1+BQ264)</f>
        <v>354.45</v>
      </c>
      <c r="BR253" s="1301">
        <f t="shared" si="615"/>
        <v>354.45</v>
      </c>
      <c r="BS253" s="1301">
        <f t="shared" si="615"/>
        <v>354.45</v>
      </c>
    </row>
    <row r="254" spans="2:79" ht="11.25" customHeight="1">
      <c r="C254" s="43" t="s">
        <v>352</v>
      </c>
      <c r="E254" s="90"/>
      <c r="F254" s="90"/>
      <c r="G254" s="90"/>
      <c r="H254" s="90"/>
      <c r="I254" s="29">
        <v>0</v>
      </c>
      <c r="J254" s="29">
        <v>0</v>
      </c>
      <c r="K254" s="29">
        <v>0</v>
      </c>
      <c r="L254" s="29">
        <v>0</v>
      </c>
      <c r="M254" s="29">
        <v>0</v>
      </c>
      <c r="N254" s="29">
        <v>0</v>
      </c>
      <c r="O254" s="29">
        <v>0</v>
      </c>
      <c r="P254" s="29">
        <v>0</v>
      </c>
      <c r="Q254" s="46"/>
      <c r="R254" s="46"/>
      <c r="S254" s="46"/>
      <c r="T254" s="663"/>
      <c r="U254" s="663"/>
      <c r="V254" s="663"/>
      <c r="W254" s="663"/>
      <c r="X254" s="663"/>
      <c r="Y254" s="663"/>
      <c r="Z254" s="663"/>
      <c r="AA254" s="46"/>
      <c r="AB254" s="46"/>
      <c r="AC254" s="46"/>
      <c r="AD254" s="46"/>
      <c r="AE254" s="46"/>
      <c r="AF254" s="46"/>
      <c r="AG254" s="33">
        <f t="shared" ref="AG254" ca="1" si="616">AU254-SUM(AD254:AF254)</f>
        <v>0</v>
      </c>
      <c r="AH254" s="33">
        <f t="shared" ref="AH254:AJ254" si="617">AH263*AD$250</f>
        <v>0</v>
      </c>
      <c r="AI254" s="33">
        <f t="shared" si="617"/>
        <v>0</v>
      </c>
      <c r="AJ254" s="33">
        <f t="shared" si="617"/>
        <v>0</v>
      </c>
      <c r="AK254" s="79"/>
      <c r="AL254" s="90"/>
      <c r="AM254" s="29">
        <v>750</v>
      </c>
      <c r="AN254" s="29">
        <v>0</v>
      </c>
      <c r="AO254" s="29">
        <v>0</v>
      </c>
      <c r="AP254" s="29">
        <v>0</v>
      </c>
      <c r="AQ254" s="46"/>
      <c r="AR254" s="46"/>
      <c r="AS254" s="663"/>
      <c r="AT254" s="663"/>
      <c r="AU254" s="33">
        <f t="shared" ref="AU254:AU257" ca="1" si="618">SUMIF($E$6:$AK$6,AU$6,$E254:$AK254)</f>
        <v>0</v>
      </c>
      <c r="AV254" s="28">
        <f>AV263*AU$250</f>
        <v>0</v>
      </c>
      <c r="AW254" s="28">
        <f>AW263*AV$250</f>
        <v>0</v>
      </c>
      <c r="AX254" s="28">
        <f>AX263*AW$250</f>
        <v>0</v>
      </c>
      <c r="BK254" s="1356" t="s">
        <v>1679</v>
      </c>
      <c r="BL254" s="1310"/>
      <c r="BM254" s="1308">
        <v>0.14000000000000001</v>
      </c>
      <c r="BN254" s="1311"/>
      <c r="BO254" s="1311">
        <f t="shared" si="608"/>
        <v>486.50000000000006</v>
      </c>
      <c r="BP254" s="1311">
        <f t="shared" si="609"/>
        <v>559.47500000000002</v>
      </c>
      <c r="BQ254" s="1311">
        <f t="shared" ref="BQ254:BS254" si="619">+BP254*(1+BQ265)</f>
        <v>559.47500000000002</v>
      </c>
      <c r="BR254" s="1311">
        <f t="shared" si="619"/>
        <v>559.47500000000002</v>
      </c>
      <c r="BS254" s="1311">
        <f t="shared" si="619"/>
        <v>559.47500000000002</v>
      </c>
    </row>
    <row r="255" spans="2:79" ht="11.25" customHeight="1">
      <c r="C255" s="43" t="s">
        <v>165</v>
      </c>
      <c r="E255" s="46"/>
      <c r="F255" s="46"/>
      <c r="G255" s="46"/>
      <c r="H255" s="46"/>
      <c r="I255" s="29">
        <v>60</v>
      </c>
      <c r="J255" s="29">
        <v>55</v>
      </c>
      <c r="K255" s="29">
        <v>107</v>
      </c>
      <c r="L255" s="33">
        <f>+AO255-SUM(I255:K255)</f>
        <v>91</v>
      </c>
      <c r="M255" s="29">
        <v>81</v>
      </c>
      <c r="N255" s="29">
        <v>68</v>
      </c>
      <c r="O255" s="29">
        <v>13</v>
      </c>
      <c r="P255" s="33">
        <f>+AP255-SUM(M255:O255)</f>
        <v>-11</v>
      </c>
      <c r="Q255" s="46"/>
      <c r="R255" s="46"/>
      <c r="S255" s="46"/>
      <c r="T255" s="663"/>
      <c r="U255" s="46"/>
      <c r="V255" s="46"/>
      <c r="W255" s="46"/>
      <c r="X255" s="663"/>
      <c r="Y255" s="46"/>
      <c r="Z255" s="46"/>
      <c r="AA255" s="46"/>
      <c r="AB255" s="663"/>
      <c r="AC255" s="663"/>
      <c r="AD255" s="663"/>
      <c r="AE255" s="663"/>
      <c r="AF255" s="663"/>
      <c r="AG255" s="33">
        <v>-130</v>
      </c>
      <c r="AH255" s="33">
        <f t="shared" ref="AH255:AJ255" si="620">AH264*AD$250</f>
        <v>-73.92</v>
      </c>
      <c r="AI255" s="33">
        <f t="shared" si="620"/>
        <v>-72.48</v>
      </c>
      <c r="AJ255" s="33">
        <f t="shared" si="620"/>
        <v>-37.800000000000004</v>
      </c>
      <c r="AK255" s="79"/>
      <c r="AL255" s="46"/>
      <c r="AM255" s="29">
        <v>-43</v>
      </c>
      <c r="AN255" s="29">
        <v>46</v>
      </c>
      <c r="AO255" s="29">
        <v>313</v>
      </c>
      <c r="AP255" s="29">
        <v>151</v>
      </c>
      <c r="AQ255" s="46"/>
      <c r="AR255" s="46"/>
      <c r="AS255" s="46"/>
      <c r="AT255" s="46"/>
      <c r="AU255" s="33">
        <f t="shared" si="618"/>
        <v>-314.20000000000005</v>
      </c>
      <c r="AV255" s="28">
        <f t="shared" ref="AV255:AX258" si="621">AV264*AU$250</f>
        <v>64.610399999999998</v>
      </c>
      <c r="AW255" s="28">
        <f t="shared" si="621"/>
        <v>66.548711999999995</v>
      </c>
      <c r="AX255" s="28">
        <f t="shared" si="621"/>
        <v>68.545173360000007</v>
      </c>
      <c r="BK255" s="1346" t="s">
        <v>1672</v>
      </c>
      <c r="BL255" s="1303"/>
      <c r="BM255" s="1298">
        <v>0.08</v>
      </c>
      <c r="BN255" s="1301"/>
      <c r="BO255" s="1301">
        <f t="shared" si="608"/>
        <v>278</v>
      </c>
      <c r="BP255" s="1301">
        <f t="shared" si="609"/>
        <v>278</v>
      </c>
      <c r="BQ255" s="1301">
        <f t="shared" ref="BQ255:BS255" si="622">+BP255*(1+BQ266)</f>
        <v>278</v>
      </c>
      <c r="BR255" s="1301">
        <f t="shared" si="622"/>
        <v>278</v>
      </c>
      <c r="BS255" s="1301">
        <f t="shared" si="622"/>
        <v>278</v>
      </c>
    </row>
    <row r="256" spans="2:79" ht="11.25" customHeight="1">
      <c r="C256" s="43" t="s">
        <v>166</v>
      </c>
      <c r="E256" s="46"/>
      <c r="F256" s="46"/>
      <c r="G256" s="46"/>
      <c r="H256" s="46"/>
      <c r="I256" s="29">
        <v>-15</v>
      </c>
      <c r="J256" s="29">
        <v>17</v>
      </c>
      <c r="K256" s="29">
        <v>18</v>
      </c>
      <c r="L256" s="33">
        <f>+AO256-SUM(I256:K256)</f>
        <v>25</v>
      </c>
      <c r="M256" s="29">
        <v>43</v>
      </c>
      <c r="N256" s="29">
        <v>18</v>
      </c>
      <c r="O256" s="29">
        <v>18</v>
      </c>
      <c r="P256" s="33">
        <f>+AP256-SUM(M256:O256)</f>
        <v>19</v>
      </c>
      <c r="Q256" s="46"/>
      <c r="R256" s="46"/>
      <c r="S256" s="46"/>
      <c r="T256" s="663"/>
      <c r="U256" s="46"/>
      <c r="V256" s="46"/>
      <c r="W256" s="46"/>
      <c r="X256" s="663"/>
      <c r="Y256" s="46"/>
      <c r="Z256" s="46"/>
      <c r="AA256" s="46"/>
      <c r="AB256" s="663"/>
      <c r="AC256" s="663"/>
      <c r="AD256" s="663"/>
      <c r="AE256" s="663"/>
      <c r="AF256" s="663"/>
      <c r="AG256" s="33">
        <v>34</v>
      </c>
      <c r="AH256" s="33">
        <f t="shared" ref="AH256:AJ256" si="623">AH265*AD$250</f>
        <v>18.48</v>
      </c>
      <c r="AI256" s="33">
        <f t="shared" si="623"/>
        <v>18.12</v>
      </c>
      <c r="AJ256" s="33">
        <f t="shared" si="623"/>
        <v>15.120000000000001</v>
      </c>
      <c r="AK256" s="79"/>
      <c r="AL256" s="46"/>
      <c r="AM256" s="29">
        <v>-97</v>
      </c>
      <c r="AN256" s="29">
        <v>-214</v>
      </c>
      <c r="AO256" s="29">
        <v>45</v>
      </c>
      <c r="AP256" s="29">
        <v>98</v>
      </c>
      <c r="AQ256" s="46"/>
      <c r="AR256" s="46"/>
      <c r="AS256" s="46"/>
      <c r="AT256" s="46"/>
      <c r="AU256" s="33">
        <f t="shared" si="618"/>
        <v>85.720000000000013</v>
      </c>
      <c r="AV256" s="28">
        <f t="shared" si="621"/>
        <v>32.305199999999999</v>
      </c>
      <c r="AW256" s="28">
        <f t="shared" si="621"/>
        <v>33.274355999999997</v>
      </c>
      <c r="AX256" s="28">
        <f t="shared" si="621"/>
        <v>34.272586680000003</v>
      </c>
      <c r="BK256" s="1346" t="s">
        <v>1675</v>
      </c>
      <c r="BL256" s="1303"/>
      <c r="BM256" s="1315">
        <v>7.0000000000000007E-2</v>
      </c>
      <c r="BN256" s="1301"/>
      <c r="BO256" s="1301">
        <f t="shared" si="608"/>
        <v>243.25000000000003</v>
      </c>
      <c r="BP256" s="1301">
        <f t="shared" si="609"/>
        <v>248.11500000000004</v>
      </c>
      <c r="BQ256" s="1301">
        <f t="shared" ref="BQ256:BS256" si="624">+BP256*(1+BQ267)</f>
        <v>248.11500000000004</v>
      </c>
      <c r="BR256" s="1301">
        <f t="shared" si="624"/>
        <v>248.11500000000004</v>
      </c>
      <c r="BS256" s="1301">
        <f t="shared" si="624"/>
        <v>248.11500000000004</v>
      </c>
    </row>
    <row r="257" spans="2:71" ht="11.25" customHeight="1">
      <c r="C257" s="43" t="s">
        <v>167</v>
      </c>
      <c r="E257" s="46"/>
      <c r="F257" s="46"/>
      <c r="G257" s="46"/>
      <c r="H257" s="46"/>
      <c r="I257" s="29">
        <v>-9</v>
      </c>
      <c r="J257" s="29">
        <v>-12</v>
      </c>
      <c r="K257" s="29">
        <v>9</v>
      </c>
      <c r="L257" s="33">
        <f>+AO257-SUM(I257:K257)</f>
        <v>18</v>
      </c>
      <c r="M257" s="29">
        <v>42</v>
      </c>
      <c r="N257" s="29">
        <v>26</v>
      </c>
      <c r="O257" s="29">
        <v>-2</v>
      </c>
      <c r="P257" s="33">
        <f>+AP257-SUM(M257:O257)</f>
        <v>-11</v>
      </c>
      <c r="Q257" s="46"/>
      <c r="R257" s="46"/>
      <c r="S257" s="46"/>
      <c r="T257" s="663"/>
      <c r="U257" s="46"/>
      <c r="V257" s="46"/>
      <c r="W257" s="46"/>
      <c r="X257" s="663"/>
      <c r="Y257" s="46"/>
      <c r="Z257" s="46"/>
      <c r="AA257" s="46"/>
      <c r="AB257" s="663"/>
      <c r="AC257" s="663"/>
      <c r="AD257" s="663"/>
      <c r="AE257" s="663"/>
      <c r="AF257" s="663"/>
      <c r="AG257" s="33">
        <v>-16</v>
      </c>
      <c r="AH257" s="33">
        <f t="shared" ref="AH257:AJ257" si="625">AH266*AD$250</f>
        <v>0</v>
      </c>
      <c r="AI257" s="33">
        <f t="shared" si="625"/>
        <v>0</v>
      </c>
      <c r="AJ257" s="33">
        <f t="shared" si="625"/>
        <v>0</v>
      </c>
      <c r="AK257" s="79"/>
      <c r="AL257" s="46"/>
      <c r="AM257" s="29">
        <v>-91</v>
      </c>
      <c r="AN257" s="29">
        <v>-12</v>
      </c>
      <c r="AO257" s="29">
        <v>6</v>
      </c>
      <c r="AP257" s="29">
        <v>55</v>
      </c>
      <c r="AQ257" s="46"/>
      <c r="AR257" s="46"/>
      <c r="AS257" s="46"/>
      <c r="AT257" s="46"/>
      <c r="AU257" s="33">
        <f t="shared" si="618"/>
        <v>-16</v>
      </c>
      <c r="AV257" s="28">
        <f t="shared" si="621"/>
        <v>0</v>
      </c>
      <c r="AW257" s="28">
        <f t="shared" si="621"/>
        <v>0</v>
      </c>
      <c r="AX257" s="28">
        <f t="shared" si="621"/>
        <v>0</v>
      </c>
      <c r="BK257" s="1358" t="s">
        <v>1385</v>
      </c>
      <c r="BL257" s="1314"/>
      <c r="BM257" s="1297">
        <v>0.12</v>
      </c>
      <c r="BN257" s="1316"/>
      <c r="BO257" s="1316">
        <f t="shared" si="608"/>
        <v>417</v>
      </c>
      <c r="BP257" s="1316">
        <f t="shared" si="609"/>
        <v>437.85</v>
      </c>
      <c r="BQ257" s="1316">
        <f t="shared" ref="BQ257:BS257" si="626">+BP257*(1+BQ268)</f>
        <v>437.85</v>
      </c>
      <c r="BR257" s="1316">
        <f t="shared" si="626"/>
        <v>437.85</v>
      </c>
      <c r="BS257" s="1316">
        <f t="shared" si="626"/>
        <v>437.85</v>
      </c>
    </row>
    <row r="258" spans="2:71" ht="11.25" customHeight="1">
      <c r="C258" s="45" t="s">
        <v>351</v>
      </c>
      <c r="E258" s="32"/>
      <c r="F258" s="32"/>
      <c r="G258" s="32"/>
      <c r="H258" s="32"/>
      <c r="I258" s="32">
        <f t="shared" ref="I258:AC258" si="627">SUM(I254:I257)</f>
        <v>36</v>
      </c>
      <c r="J258" s="32">
        <f t="shared" si="627"/>
        <v>60</v>
      </c>
      <c r="K258" s="32">
        <f t="shared" si="627"/>
        <v>134</v>
      </c>
      <c r="L258" s="32">
        <f t="shared" si="627"/>
        <v>134</v>
      </c>
      <c r="M258" s="32">
        <f t="shared" si="627"/>
        <v>166</v>
      </c>
      <c r="N258" s="32">
        <f>SUM(N254:N257)</f>
        <v>112</v>
      </c>
      <c r="O258" s="32">
        <f t="shared" si="627"/>
        <v>29</v>
      </c>
      <c r="P258" s="32">
        <f t="shared" si="627"/>
        <v>-3</v>
      </c>
      <c r="Q258" s="32">
        <f t="shared" si="627"/>
        <v>0</v>
      </c>
      <c r="R258" s="32">
        <f t="shared" si="627"/>
        <v>0</v>
      </c>
      <c r="S258" s="32">
        <f t="shared" si="627"/>
        <v>0</v>
      </c>
      <c r="T258" s="32">
        <f t="shared" si="627"/>
        <v>0</v>
      </c>
      <c r="U258" s="32">
        <f t="shared" si="627"/>
        <v>0</v>
      </c>
      <c r="V258" s="32">
        <f t="shared" si="627"/>
        <v>0</v>
      </c>
      <c r="W258" s="32">
        <f t="shared" si="627"/>
        <v>0</v>
      </c>
      <c r="X258" s="32">
        <f>SUM(X254:X257)</f>
        <v>0</v>
      </c>
      <c r="Y258" s="32">
        <f t="shared" si="627"/>
        <v>0</v>
      </c>
      <c r="Z258" s="32">
        <f t="shared" si="627"/>
        <v>0</v>
      </c>
      <c r="AA258" s="32">
        <f t="shared" si="627"/>
        <v>0</v>
      </c>
      <c r="AB258" s="32">
        <f t="shared" si="627"/>
        <v>0</v>
      </c>
      <c r="AC258" s="32">
        <f t="shared" si="627"/>
        <v>0</v>
      </c>
      <c r="AD258" s="32">
        <f t="shared" ref="AD258:AF258" si="628">SUM(AD254:AD257)</f>
        <v>0</v>
      </c>
      <c r="AE258" s="32">
        <f t="shared" si="628"/>
        <v>0</v>
      </c>
      <c r="AF258" s="32">
        <f t="shared" si="628"/>
        <v>0</v>
      </c>
      <c r="AG258" s="32">
        <f t="shared" ref="AG258" ca="1" si="629">SUM(AG254:AG257)</f>
        <v>-112</v>
      </c>
      <c r="AH258" s="32">
        <f t="shared" ref="AH258:AJ258" si="630">AH267*AD$250</f>
        <v>-55.44</v>
      </c>
      <c r="AI258" s="32">
        <f t="shared" si="630"/>
        <v>-54.36</v>
      </c>
      <c r="AJ258" s="32">
        <f t="shared" si="630"/>
        <v>-22.680000000000003</v>
      </c>
      <c r="AK258" s="79"/>
      <c r="AL258" s="91"/>
      <c r="AM258" s="32">
        <f t="shared" ref="AM258:AS258" si="631">SUM(AM254:AM257)</f>
        <v>519</v>
      </c>
      <c r="AN258" s="32">
        <f t="shared" si="631"/>
        <v>-180</v>
      </c>
      <c r="AO258" s="32">
        <f t="shared" si="631"/>
        <v>364</v>
      </c>
      <c r="AP258" s="32">
        <f t="shared" si="631"/>
        <v>304</v>
      </c>
      <c r="AQ258" s="32">
        <f t="shared" si="631"/>
        <v>0</v>
      </c>
      <c r="AR258" s="32">
        <f t="shared" si="631"/>
        <v>0</v>
      </c>
      <c r="AS258" s="32">
        <f t="shared" si="631"/>
        <v>0</v>
      </c>
      <c r="AT258" s="32">
        <f t="shared" ref="AT258" si="632">SUM(AT254:AT257)</f>
        <v>0</v>
      </c>
      <c r="AU258" s="32">
        <f t="shared" ref="AU258" ca="1" si="633">SUM(AU254:AU257)</f>
        <v>-244.48000000000002</v>
      </c>
      <c r="AV258" s="35">
        <f t="shared" si="621"/>
        <v>96.915599999999998</v>
      </c>
      <c r="AW258" s="35">
        <f t="shared" si="621"/>
        <v>99.823067999999992</v>
      </c>
      <c r="AX258" s="35">
        <f t="shared" si="621"/>
        <v>102.81776004</v>
      </c>
      <c r="BL258" s="27"/>
      <c r="BM258" s="67">
        <f>SUM(BM250:BM257)</f>
        <v>0.99999999999999989</v>
      </c>
      <c r="BN258" s="35"/>
      <c r="BO258" s="35">
        <f>SUM(BO250:BO257)</f>
        <v>3475</v>
      </c>
      <c r="BP258" s="35">
        <f>SUM(BP250:BP257)</f>
        <v>3730.0650000000001</v>
      </c>
      <c r="BQ258" s="35">
        <f t="shared" ref="BQ258:BS258" si="634">SUM(BQ250:BQ257)</f>
        <v>3730.0650000000001</v>
      </c>
      <c r="BR258" s="35">
        <f t="shared" si="634"/>
        <v>3730.0650000000001</v>
      </c>
      <c r="BS258" s="35">
        <f t="shared" si="634"/>
        <v>3730.0650000000001</v>
      </c>
    </row>
    <row r="259" spans="2:71" ht="11.25" customHeight="1" outlineLevel="1">
      <c r="C259" s="111"/>
      <c r="E259" s="31"/>
      <c r="F259" s="31"/>
      <c r="G259" s="31"/>
      <c r="H259" s="31"/>
      <c r="I259" s="31"/>
      <c r="J259" s="31"/>
      <c r="K259" s="31"/>
      <c r="L259" s="31"/>
      <c r="M259" s="31"/>
      <c r="N259" s="31"/>
      <c r="O259" s="31"/>
      <c r="P259" s="31"/>
      <c r="Q259" s="31"/>
      <c r="R259" s="31"/>
      <c r="AK259" s="79"/>
      <c r="AL259" s="29"/>
      <c r="AM259" s="31"/>
      <c r="AN259" s="31"/>
      <c r="AO259" s="31"/>
      <c r="AP259" s="31"/>
      <c r="BK259" s="41"/>
      <c r="BL259" s="41"/>
      <c r="BM259" s="41"/>
      <c r="BN259" s="41"/>
      <c r="BO259" s="1035"/>
      <c r="BP259" s="41"/>
      <c r="BQ259" s="41"/>
      <c r="BR259" s="41"/>
      <c r="BS259" s="41"/>
    </row>
    <row r="260" spans="2:71" s="41" customFormat="1" ht="11.25" customHeight="1" outlineLevel="1">
      <c r="B260" s="37"/>
      <c r="C260" s="113" t="s">
        <v>68</v>
      </c>
      <c r="E260" s="46"/>
      <c r="F260" s="46"/>
      <c r="G260" s="46"/>
      <c r="H260" s="46"/>
      <c r="I260" s="42">
        <f>ROUND(+I258-(I250-E250),1)</f>
        <v>0</v>
      </c>
      <c r="J260" s="42">
        <f t="shared" ref="J260:P260" si="635">ROUND(+J258-(J250-F250),1)</f>
        <v>0</v>
      </c>
      <c r="K260" s="42">
        <f t="shared" si="635"/>
        <v>0</v>
      </c>
      <c r="L260" s="42">
        <f t="shared" si="635"/>
        <v>0</v>
      </c>
      <c r="M260" s="42">
        <f t="shared" si="635"/>
        <v>0</v>
      </c>
      <c r="N260" s="42">
        <f t="shared" si="635"/>
        <v>0</v>
      </c>
      <c r="O260" s="42">
        <f t="shared" si="635"/>
        <v>0</v>
      </c>
      <c r="P260" s="42">
        <f t="shared" si="635"/>
        <v>0</v>
      </c>
      <c r="Q260" s="92"/>
      <c r="R260" s="92"/>
      <c r="S260" s="92"/>
      <c r="T260" s="92"/>
      <c r="U260" s="92"/>
      <c r="V260" s="92"/>
      <c r="W260" s="92"/>
      <c r="X260" s="92"/>
      <c r="Y260" s="92"/>
      <c r="Z260" s="92"/>
      <c r="AA260" s="92"/>
      <c r="AB260" s="92"/>
      <c r="AC260" s="92"/>
      <c r="AD260" s="92"/>
      <c r="AE260" s="92"/>
      <c r="AF260" s="92"/>
      <c r="AG260" s="42">
        <f t="shared" ref="AG260" ca="1" si="636">ROUND(+AG258-(AG250-AC250),1)</f>
        <v>0</v>
      </c>
      <c r="AH260" s="42">
        <f t="shared" ref="AH260" si="637">ROUND(+AH258-(AH250-AD250),1)</f>
        <v>0</v>
      </c>
      <c r="AI260" s="42">
        <f t="shared" ref="AI260" si="638">ROUND(+AI258-(AI250-AE250),1)</f>
        <v>0</v>
      </c>
      <c r="AJ260" s="42">
        <f t="shared" ref="AJ260" si="639">ROUND(+AJ258-(AJ250-AF250),1)</f>
        <v>0</v>
      </c>
      <c r="AK260" s="79"/>
      <c r="AL260" s="46"/>
      <c r="AM260" s="42">
        <f>ROUND(+AM258-(AM250-AL250),1)</f>
        <v>0</v>
      </c>
      <c r="AN260" s="42">
        <f t="shared" ref="AN260:AX260" si="640">ROUND(+AN258-(AN250-AM250),1)</f>
        <v>0</v>
      </c>
      <c r="AO260" s="42">
        <f t="shared" si="640"/>
        <v>0</v>
      </c>
      <c r="AP260" s="42">
        <f t="shared" si="640"/>
        <v>0</v>
      </c>
      <c r="AQ260" s="46"/>
      <c r="AR260" s="46"/>
      <c r="AS260" s="46"/>
      <c r="AT260" s="46"/>
      <c r="AU260" s="42">
        <f t="shared" ca="1" si="640"/>
        <v>0</v>
      </c>
      <c r="AV260" s="42">
        <f t="shared" si="640"/>
        <v>0</v>
      </c>
      <c r="AW260" s="42">
        <f t="shared" si="640"/>
        <v>0</v>
      </c>
      <c r="AX260" s="42">
        <f t="shared" si="640"/>
        <v>0</v>
      </c>
      <c r="AY260" s="1"/>
      <c r="BK260" s="1337" t="s">
        <v>1669</v>
      </c>
      <c r="BL260" s="1336"/>
      <c r="BM260" s="1337"/>
      <c r="BN260" s="1337"/>
      <c r="BO260" s="1338">
        <v>2022</v>
      </c>
      <c r="BP260" s="1338">
        <f t="shared" ref="BP260:BS260" si="641">BO260+1</f>
        <v>2023</v>
      </c>
      <c r="BQ260" s="1338">
        <f t="shared" si="641"/>
        <v>2024</v>
      </c>
      <c r="BR260" s="1338">
        <f t="shared" si="641"/>
        <v>2025</v>
      </c>
      <c r="BS260" s="1338">
        <f t="shared" si="641"/>
        <v>2026</v>
      </c>
    </row>
    <row r="261" spans="2:71" ht="11.25" customHeight="1" outlineLevel="1">
      <c r="C261" s="43"/>
      <c r="E261" s="29"/>
      <c r="F261" s="29"/>
      <c r="G261" s="29"/>
      <c r="H261" s="29"/>
      <c r="I261" s="29"/>
      <c r="J261" s="29"/>
      <c r="K261" s="29"/>
      <c r="L261" s="29"/>
      <c r="M261" s="29"/>
      <c r="N261" s="29"/>
      <c r="O261" s="29"/>
      <c r="P261" s="29"/>
      <c r="AK261" s="79"/>
      <c r="AL261" s="29"/>
      <c r="AM261" s="29"/>
      <c r="AN261" s="29"/>
      <c r="AO261" s="29"/>
      <c r="AP261" s="29"/>
      <c r="BK261" s="1346" t="s">
        <v>1674</v>
      </c>
      <c r="BL261" s="1346"/>
      <c r="BM261" s="1315"/>
      <c r="BN261" s="1346"/>
      <c r="BO261" s="1298">
        <v>0.05</v>
      </c>
      <c r="BP261" s="1298">
        <v>0.05</v>
      </c>
      <c r="BQ261" s="1298">
        <v>0</v>
      </c>
      <c r="BR261" s="1298">
        <v>0</v>
      </c>
      <c r="BS261" s="1298">
        <v>0</v>
      </c>
    </row>
    <row r="262" spans="2:71" ht="11.25" customHeight="1">
      <c r="C262" s="36" t="s">
        <v>395</v>
      </c>
      <c r="E262" s="29"/>
      <c r="F262" s="29"/>
      <c r="G262" s="29"/>
      <c r="H262" s="29"/>
      <c r="I262" s="29"/>
      <c r="J262" s="29"/>
      <c r="K262" s="29"/>
      <c r="L262" s="29"/>
      <c r="M262" s="29"/>
      <c r="N262" s="29"/>
      <c r="O262" s="29"/>
      <c r="P262" s="29"/>
      <c r="S262" s="135"/>
      <c r="T262" s="89"/>
      <c r="AK262" s="79"/>
      <c r="AL262" s="29"/>
      <c r="AM262" s="29"/>
      <c r="AN262" s="29"/>
      <c r="AO262" s="29"/>
      <c r="AP262" s="29"/>
      <c r="BK262" s="1356" t="s">
        <v>1680</v>
      </c>
      <c r="BL262" s="1356"/>
      <c r="BM262" s="1308"/>
      <c r="BN262" s="1356"/>
      <c r="BO262" s="1308">
        <v>0.2</v>
      </c>
      <c r="BP262" s="1308">
        <v>0.1</v>
      </c>
      <c r="BQ262" s="1308">
        <v>0</v>
      </c>
      <c r="BR262" s="1308">
        <v>0</v>
      </c>
      <c r="BS262" s="1308">
        <v>0</v>
      </c>
    </row>
    <row r="263" spans="2:71" ht="11.25" customHeight="1">
      <c r="C263" s="44" t="s">
        <v>352</v>
      </c>
      <c r="E263" s="46"/>
      <c r="F263" s="46"/>
      <c r="G263" s="46"/>
      <c r="H263" s="46"/>
      <c r="I263" s="63">
        <f>I254/$E$250</f>
        <v>0</v>
      </c>
      <c r="J263" s="63">
        <f>J254/$F$250</f>
        <v>0</v>
      </c>
      <c r="K263" s="63">
        <f>K254/$G$250</f>
        <v>0</v>
      </c>
      <c r="L263" s="63">
        <f>L254/$H$250</f>
        <v>0</v>
      </c>
      <c r="M263" s="63">
        <f>M254/$I$250</f>
        <v>0</v>
      </c>
      <c r="N263" s="63">
        <f>N254/$J$250</f>
        <v>0</v>
      </c>
      <c r="O263" s="63">
        <f>O254/$K$250</f>
        <v>0</v>
      </c>
      <c r="P263" s="63">
        <f>P254/$L$250</f>
        <v>0</v>
      </c>
      <c r="Q263" s="63">
        <f>Q254/$M$250</f>
        <v>0</v>
      </c>
      <c r="R263" s="63">
        <f>R254/$N$250</f>
        <v>0</v>
      </c>
      <c r="S263" s="63">
        <f>S254/$O$250</f>
        <v>0</v>
      </c>
      <c r="T263" s="63">
        <f>T254/$P$250</f>
        <v>0</v>
      </c>
      <c r="U263" s="63">
        <f>U254/Q$250</f>
        <v>0</v>
      </c>
      <c r="V263" s="63">
        <f>V254/R$250</f>
        <v>0</v>
      </c>
      <c r="W263" s="63">
        <f>W254/S$250</f>
        <v>0</v>
      </c>
      <c r="X263" s="63">
        <f>X254/T$250</f>
        <v>0</v>
      </c>
      <c r="Y263" s="63">
        <f t="shared" ref="Y263:AC266" si="642">Y254/U$250</f>
        <v>0</v>
      </c>
      <c r="Z263" s="63">
        <f t="shared" si="642"/>
        <v>0</v>
      </c>
      <c r="AA263" s="63">
        <f t="shared" si="642"/>
        <v>0</v>
      </c>
      <c r="AB263" s="63">
        <f t="shared" si="642"/>
        <v>0</v>
      </c>
      <c r="AC263" s="63">
        <f t="shared" si="642"/>
        <v>0</v>
      </c>
      <c r="AD263" s="63">
        <f t="shared" ref="AD263:AD266" si="643">AD254/Z$250</f>
        <v>0</v>
      </c>
      <c r="AE263" s="63">
        <f t="shared" ref="AE263:AE266" si="644">AE254/AA$250</f>
        <v>0</v>
      </c>
      <c r="AF263" s="63">
        <f t="shared" ref="AF263:AG266" si="645">AF254/AB$250</f>
        <v>0</v>
      </c>
      <c r="AG263" s="63">
        <f t="shared" ca="1" si="645"/>
        <v>0</v>
      </c>
      <c r="AH263" s="130">
        <f>Assumptions!AH15</f>
        <v>0</v>
      </c>
      <c r="AI263" s="130">
        <f>Assumptions!AI15</f>
        <v>0</v>
      </c>
      <c r="AJ263" s="130">
        <f>Assumptions!AJ15</f>
        <v>0</v>
      </c>
      <c r="AK263" s="79"/>
      <c r="AL263" s="46"/>
      <c r="AM263" s="63">
        <f>AM254/$AL$250</f>
        <v>0.28409090909090912</v>
      </c>
      <c r="AN263" s="63">
        <f>AN254/$AM$250</f>
        <v>0</v>
      </c>
      <c r="AO263" s="63">
        <f>AO254/$AN$250</f>
        <v>0</v>
      </c>
      <c r="AP263" s="63">
        <f>AP254/$AO$250</f>
        <v>0</v>
      </c>
      <c r="AQ263" s="63">
        <f>AQ254/AP$250</f>
        <v>0</v>
      </c>
      <c r="AR263" s="63">
        <f t="shared" ref="AR263:AU267" si="646">AR254/AQ$250</f>
        <v>0</v>
      </c>
      <c r="AS263" s="63">
        <f t="shared" si="646"/>
        <v>0</v>
      </c>
      <c r="AT263" s="63">
        <f t="shared" si="646"/>
        <v>0</v>
      </c>
      <c r="AU263" s="63">
        <f t="shared" ca="1" si="646"/>
        <v>0</v>
      </c>
      <c r="AV263" s="130">
        <f>Assumptions!AV15</f>
        <v>0</v>
      </c>
      <c r="AW263" s="130">
        <f>Assumptions!AW15</f>
        <v>0</v>
      </c>
      <c r="AX263" s="130">
        <f>Assumptions!AX15</f>
        <v>0</v>
      </c>
      <c r="BK263" s="1356" t="s">
        <v>1678</v>
      </c>
      <c r="BL263" s="1356"/>
      <c r="BM263" s="1297"/>
      <c r="BN263" s="1356"/>
      <c r="BO263" s="1308">
        <v>0.5</v>
      </c>
      <c r="BP263" s="1308">
        <v>0.1</v>
      </c>
      <c r="BQ263" s="1308">
        <v>0</v>
      </c>
      <c r="BR263" s="1308">
        <v>0</v>
      </c>
      <c r="BS263" s="1308">
        <v>0</v>
      </c>
    </row>
    <row r="264" spans="2:71" ht="11.25" customHeight="1">
      <c r="C264" s="44" t="s">
        <v>165</v>
      </c>
      <c r="E264" s="46"/>
      <c r="F264" s="46"/>
      <c r="G264" s="46"/>
      <c r="H264" s="46"/>
      <c r="I264" s="63">
        <f>I255/$E$250</f>
        <v>8.1411126187245594E-2</v>
      </c>
      <c r="J264" s="63">
        <f>J255/$F$250</f>
        <v>7.1428571428571425E-2</v>
      </c>
      <c r="K264" s="63">
        <f>K255/$G$250</f>
        <v>0.1422872340425532</v>
      </c>
      <c r="L264" s="63">
        <f>L255/$H$250</f>
        <v>0.12638888888888888</v>
      </c>
      <c r="M264" s="63">
        <f>M255/$I$250</f>
        <v>0.10478654592496765</v>
      </c>
      <c r="N264" s="63">
        <f>N255/$J$250</f>
        <v>8.1927710843373497E-2</v>
      </c>
      <c r="O264" s="63">
        <f>O255/$K$250</f>
        <v>1.4672686230248307E-2</v>
      </c>
      <c r="P264" s="63">
        <f>P255/$L$250</f>
        <v>-1.288056206088993E-2</v>
      </c>
      <c r="Q264" s="63">
        <f>Q255/$M$250</f>
        <v>0</v>
      </c>
      <c r="R264" s="63">
        <f>R255/$N$250</f>
        <v>0</v>
      </c>
      <c r="S264" s="63">
        <f>S255/$O$250</f>
        <v>0</v>
      </c>
      <c r="T264" s="63">
        <f>T255/$P$250</f>
        <v>0</v>
      </c>
      <c r="U264" s="63">
        <f t="shared" ref="U264:X266" si="647">U255/Q$250</f>
        <v>0</v>
      </c>
      <c r="V264" s="63">
        <f t="shared" si="647"/>
        <v>0</v>
      </c>
      <c r="W264" s="63">
        <f t="shared" si="647"/>
        <v>0</v>
      </c>
      <c r="X264" s="63">
        <f t="shared" si="647"/>
        <v>0</v>
      </c>
      <c r="Y264" s="63">
        <f t="shared" si="642"/>
        <v>0</v>
      </c>
      <c r="Z264" s="63">
        <f t="shared" si="642"/>
        <v>0</v>
      </c>
      <c r="AA264" s="63">
        <f t="shared" si="642"/>
        <v>0</v>
      </c>
      <c r="AB264" s="63">
        <f t="shared" si="642"/>
        <v>0</v>
      </c>
      <c r="AC264" s="63">
        <f t="shared" si="642"/>
        <v>0</v>
      </c>
      <c r="AD264" s="63">
        <f t="shared" si="643"/>
        <v>0</v>
      </c>
      <c r="AE264" s="63">
        <f t="shared" si="644"/>
        <v>0</v>
      </c>
      <c r="AF264" s="63">
        <f t="shared" si="645"/>
        <v>0</v>
      </c>
      <c r="AG264" s="63">
        <f t="shared" si="645"/>
        <v>-0.14623172103487064</v>
      </c>
      <c r="AH264" s="130">
        <f>+Assumptions!AH20</f>
        <v>-0.08</v>
      </c>
      <c r="AI264" s="130">
        <f>+Assumptions!AI20</f>
        <v>-0.08</v>
      </c>
      <c r="AJ264" s="130">
        <f>+Assumptions!AJ20</f>
        <v>-0.05</v>
      </c>
      <c r="AK264" s="79"/>
      <c r="AL264" s="46"/>
      <c r="AM264" s="63">
        <f>AM255/$AL$250</f>
        <v>-1.6287878787878789E-2</v>
      </c>
      <c r="AN264" s="63">
        <f>AN255/$AM$250</f>
        <v>1.4561570117125673E-2</v>
      </c>
      <c r="AO264" s="63">
        <f>AO255/$AN$250</f>
        <v>0.10506881503860356</v>
      </c>
      <c r="AP264" s="63">
        <f>AP255/$AO$250</f>
        <v>4.5169009871373018E-2</v>
      </c>
      <c r="AQ264" s="63">
        <f>AQ255/AP$250</f>
        <v>0</v>
      </c>
      <c r="AR264" s="63">
        <f t="shared" si="646"/>
        <v>0</v>
      </c>
      <c r="AS264" s="63">
        <f t="shared" si="646"/>
        <v>0</v>
      </c>
      <c r="AT264" s="63">
        <f t="shared" si="646"/>
        <v>0</v>
      </c>
      <c r="AU264" s="63">
        <f t="shared" si="646"/>
        <v>-9.0417266187050371E-2</v>
      </c>
      <c r="AV264" s="130">
        <f>+Assumptions!AV20</f>
        <v>0.02</v>
      </c>
      <c r="AW264" s="130">
        <f>+Assumptions!AW20</f>
        <v>0.02</v>
      </c>
      <c r="AX264" s="130">
        <f>+Assumptions!AX20</f>
        <v>0.02</v>
      </c>
      <c r="BK264" s="1346" t="s">
        <v>1676</v>
      </c>
      <c r="BL264" s="1346"/>
      <c r="BM264" s="1298"/>
      <c r="BN264" s="1346"/>
      <c r="BO264" s="1298">
        <v>-0.05</v>
      </c>
      <c r="BP264" s="1298">
        <v>0.02</v>
      </c>
      <c r="BQ264" s="1298">
        <v>0</v>
      </c>
      <c r="BR264" s="1298">
        <v>0</v>
      </c>
      <c r="BS264" s="1298">
        <v>0</v>
      </c>
    </row>
    <row r="265" spans="2:71" ht="11.25" customHeight="1">
      <c r="C265" s="44" t="s">
        <v>166</v>
      </c>
      <c r="E265" s="46"/>
      <c r="F265" s="46"/>
      <c r="G265" s="46"/>
      <c r="H265" s="46"/>
      <c r="I265" s="63">
        <f>I256/$E$250</f>
        <v>-2.0352781546811399E-2</v>
      </c>
      <c r="J265" s="63">
        <f>J256/$F$250</f>
        <v>2.2077922077922078E-2</v>
      </c>
      <c r="K265" s="63">
        <f>K256/$G$250</f>
        <v>2.3936170212765957E-2</v>
      </c>
      <c r="L265" s="63">
        <f>L256/$H$250</f>
        <v>3.4722222222222224E-2</v>
      </c>
      <c r="M265" s="63">
        <f>M256/$I$250</f>
        <v>5.5627425614489003E-2</v>
      </c>
      <c r="N265" s="63">
        <f>N256/$J$250</f>
        <v>2.1686746987951807E-2</v>
      </c>
      <c r="O265" s="63">
        <f>O256/$K$250</f>
        <v>2.0316027088036117E-2</v>
      </c>
      <c r="P265" s="63">
        <f>P256/$L$250</f>
        <v>2.224824355971897E-2</v>
      </c>
      <c r="Q265" s="63">
        <f>Q256/$M$250</f>
        <v>0</v>
      </c>
      <c r="R265" s="63">
        <f>R256/$N$250</f>
        <v>0</v>
      </c>
      <c r="S265" s="63">
        <f>S256/$O$250</f>
        <v>0</v>
      </c>
      <c r="T265" s="63">
        <f>T256/$P$250</f>
        <v>0</v>
      </c>
      <c r="U265" s="63">
        <f t="shared" si="647"/>
        <v>0</v>
      </c>
      <c r="V265" s="63">
        <f t="shared" si="647"/>
        <v>0</v>
      </c>
      <c r="W265" s="63">
        <f t="shared" si="647"/>
        <v>0</v>
      </c>
      <c r="X265" s="63">
        <f t="shared" si="647"/>
        <v>0</v>
      </c>
      <c r="Y265" s="63">
        <f t="shared" si="642"/>
        <v>0</v>
      </c>
      <c r="Z265" s="63">
        <f t="shared" si="642"/>
        <v>0</v>
      </c>
      <c r="AA265" s="63">
        <f t="shared" si="642"/>
        <v>0</v>
      </c>
      <c r="AB265" s="63">
        <f t="shared" si="642"/>
        <v>0</v>
      </c>
      <c r="AC265" s="63">
        <f t="shared" si="642"/>
        <v>0</v>
      </c>
      <c r="AD265" s="63">
        <f t="shared" si="643"/>
        <v>0</v>
      </c>
      <c r="AE265" s="63">
        <f t="shared" si="644"/>
        <v>0</v>
      </c>
      <c r="AF265" s="63">
        <f t="shared" si="645"/>
        <v>0</v>
      </c>
      <c r="AG265" s="63">
        <f t="shared" si="645"/>
        <v>3.8245219347581551E-2</v>
      </c>
      <c r="AH265" s="130">
        <f>+Assumptions!AH25</f>
        <v>0.02</v>
      </c>
      <c r="AI265" s="130">
        <f>+Assumptions!AI25</f>
        <v>0.02</v>
      </c>
      <c r="AJ265" s="130">
        <f>+Assumptions!AJ25</f>
        <v>0.02</v>
      </c>
      <c r="AK265" s="79"/>
      <c r="AL265" s="46"/>
      <c r="AM265" s="63">
        <f>AM256/$AL$250</f>
        <v>-3.6742424242424243E-2</v>
      </c>
      <c r="AN265" s="63">
        <f>AN256/$AM$250</f>
        <v>-6.7742956631845527E-2</v>
      </c>
      <c r="AO265" s="63">
        <f>AO256/$AN$250</f>
        <v>1.5105740181268883E-2</v>
      </c>
      <c r="AP265" s="63">
        <f>AP256/$AO$250</f>
        <v>2.9314986539036792E-2</v>
      </c>
      <c r="AQ265" s="63">
        <f>AQ256/AP$250</f>
        <v>0</v>
      </c>
      <c r="AR265" s="63">
        <f t="shared" si="646"/>
        <v>0</v>
      </c>
      <c r="AS265" s="63">
        <f t="shared" si="646"/>
        <v>0</v>
      </c>
      <c r="AT265" s="63">
        <f t="shared" si="646"/>
        <v>0</v>
      </c>
      <c r="AU265" s="63">
        <f t="shared" si="646"/>
        <v>2.4667625899280579E-2</v>
      </c>
      <c r="AV265" s="130">
        <f>+Assumptions!AV25</f>
        <v>0.01</v>
      </c>
      <c r="AW265" s="130">
        <f>+Assumptions!AW25</f>
        <v>0.01</v>
      </c>
      <c r="AX265" s="130">
        <f>+Assumptions!AX25</f>
        <v>0.01</v>
      </c>
      <c r="BK265" s="1356" t="s">
        <v>1679</v>
      </c>
      <c r="BL265" s="1356"/>
      <c r="BM265" s="1308"/>
      <c r="BN265" s="1356"/>
      <c r="BO265" s="1308">
        <v>0.15</v>
      </c>
      <c r="BP265" s="1308">
        <v>0.15</v>
      </c>
      <c r="BQ265" s="1308">
        <v>0</v>
      </c>
      <c r="BR265" s="1308">
        <v>0</v>
      </c>
      <c r="BS265" s="1308">
        <v>0</v>
      </c>
    </row>
    <row r="266" spans="2:71" ht="11.25" customHeight="1">
      <c r="C266" s="44" t="s">
        <v>167</v>
      </c>
      <c r="E266" s="46"/>
      <c r="F266" s="46"/>
      <c r="G266" s="46"/>
      <c r="H266" s="46"/>
      <c r="I266" s="63">
        <f>I257/$E$250</f>
        <v>-1.2211668928086838E-2</v>
      </c>
      <c r="J266" s="63">
        <f>J257/$F$250</f>
        <v>-1.5584415584415584E-2</v>
      </c>
      <c r="K266" s="63">
        <f>K257/$G$250</f>
        <v>1.1968085106382979E-2</v>
      </c>
      <c r="L266" s="63">
        <f>L257/$H$250</f>
        <v>2.5000000000000001E-2</v>
      </c>
      <c r="M266" s="63">
        <f>M257/$I$250</f>
        <v>5.4333764553686936E-2</v>
      </c>
      <c r="N266" s="63">
        <f>N257/$J$250</f>
        <v>3.1325301204819279E-2</v>
      </c>
      <c r="O266" s="63">
        <f>O257/$K$250</f>
        <v>-2.257336343115124E-3</v>
      </c>
      <c r="P266" s="63">
        <f>P257/$L$250</f>
        <v>-1.288056206088993E-2</v>
      </c>
      <c r="Q266" s="63">
        <f>Q257/$M$250</f>
        <v>0</v>
      </c>
      <c r="R266" s="63">
        <f>R257/$N$250</f>
        <v>0</v>
      </c>
      <c r="S266" s="63">
        <f>S257/$O$250</f>
        <v>0</v>
      </c>
      <c r="T266" s="63">
        <f>T257/$P$250</f>
        <v>0</v>
      </c>
      <c r="U266" s="63">
        <f t="shared" si="647"/>
        <v>0</v>
      </c>
      <c r="V266" s="63">
        <f t="shared" si="647"/>
        <v>0</v>
      </c>
      <c r="W266" s="63">
        <f t="shared" si="647"/>
        <v>0</v>
      </c>
      <c r="X266" s="63">
        <f t="shared" si="647"/>
        <v>0</v>
      </c>
      <c r="Y266" s="63">
        <f t="shared" si="642"/>
        <v>0</v>
      </c>
      <c r="Z266" s="63">
        <f t="shared" si="642"/>
        <v>0</v>
      </c>
      <c r="AA266" s="63">
        <f t="shared" si="642"/>
        <v>0</v>
      </c>
      <c r="AB266" s="63">
        <f t="shared" si="642"/>
        <v>0</v>
      </c>
      <c r="AC266" s="63">
        <f t="shared" si="642"/>
        <v>0</v>
      </c>
      <c r="AD266" s="63">
        <f t="shared" si="643"/>
        <v>0</v>
      </c>
      <c r="AE266" s="63">
        <f t="shared" si="644"/>
        <v>0</v>
      </c>
      <c r="AF266" s="63">
        <f t="shared" si="645"/>
        <v>0</v>
      </c>
      <c r="AG266" s="63">
        <f t="shared" si="645"/>
        <v>-1.799775028121485E-2</v>
      </c>
      <c r="AH266" s="130">
        <f>+Assumptions!AH30</f>
        <v>0</v>
      </c>
      <c r="AI266" s="130">
        <f>+Assumptions!AI30</f>
        <v>0</v>
      </c>
      <c r="AJ266" s="130">
        <f>+Assumptions!AJ30</f>
        <v>0</v>
      </c>
      <c r="AK266" s="79"/>
      <c r="AL266" s="46"/>
      <c r="AM266" s="63">
        <f>AM257/$AL$250</f>
        <v>-3.446969696969697E-2</v>
      </c>
      <c r="AN266" s="63">
        <f>AN257/$AM$250</f>
        <v>-3.7986704653371322E-3</v>
      </c>
      <c r="AO266" s="63">
        <f>AO257/$AN$250</f>
        <v>2.014098690835851E-3</v>
      </c>
      <c r="AP266" s="63">
        <f>AP257/$AO$250</f>
        <v>1.6452288363745141E-2</v>
      </c>
      <c r="AQ266" s="63">
        <f>AQ257/AP$250</f>
        <v>0</v>
      </c>
      <c r="AR266" s="63">
        <f t="shared" si="646"/>
        <v>0</v>
      </c>
      <c r="AS266" s="63">
        <f t="shared" si="646"/>
        <v>0</v>
      </c>
      <c r="AT266" s="63">
        <f t="shared" si="646"/>
        <v>0</v>
      </c>
      <c r="AU266" s="63">
        <f t="shared" si="646"/>
        <v>-4.6043165467625899E-3</v>
      </c>
      <c r="AV266" s="130">
        <f>+Assumptions!AV30</f>
        <v>0</v>
      </c>
      <c r="AW266" s="130">
        <f>+Assumptions!AW30</f>
        <v>0</v>
      </c>
      <c r="AX266" s="130">
        <f>+Assumptions!AX30</f>
        <v>0</v>
      </c>
      <c r="BK266" s="1346" t="s">
        <v>1672</v>
      </c>
      <c r="BL266" s="1346"/>
      <c r="BM266" s="1298"/>
      <c r="BN266" s="1346"/>
      <c r="BO266" s="1298">
        <v>0.15</v>
      </c>
      <c r="BP266" s="1298">
        <v>0</v>
      </c>
      <c r="BQ266" s="1298">
        <v>0</v>
      </c>
      <c r="BR266" s="1298">
        <v>0</v>
      </c>
      <c r="BS266" s="1298">
        <v>0</v>
      </c>
    </row>
    <row r="267" spans="2:71" ht="11.25" customHeight="1">
      <c r="C267" s="111" t="s">
        <v>351</v>
      </c>
      <c r="E267" s="91"/>
      <c r="F267" s="91"/>
      <c r="G267" s="91"/>
      <c r="H267" s="91"/>
      <c r="I267" s="67">
        <f>I258/$E$250</f>
        <v>4.8846675712347354E-2</v>
      </c>
      <c r="J267" s="67">
        <f>J258/$F$250</f>
        <v>7.792207792207792E-2</v>
      </c>
      <c r="K267" s="67">
        <f>K258/$G$250</f>
        <v>0.17819148936170212</v>
      </c>
      <c r="L267" s="67">
        <f>L258/$H$250</f>
        <v>0.18611111111111112</v>
      </c>
      <c r="M267" s="67">
        <f>M258/$I$250</f>
        <v>0.2147477360931436</v>
      </c>
      <c r="N267" s="67">
        <f>N258/$J$250</f>
        <v>0.13493975903614458</v>
      </c>
      <c r="O267" s="67">
        <f>O258/$K$250</f>
        <v>3.2731376975169299E-2</v>
      </c>
      <c r="P267" s="67">
        <f>P258/$L$250</f>
        <v>-3.5128805620608899E-3</v>
      </c>
      <c r="Q267" s="67">
        <f>Q258/$M$250</f>
        <v>0</v>
      </c>
      <c r="R267" s="67">
        <f>R258/$N$250</f>
        <v>0</v>
      </c>
      <c r="S267" s="67">
        <f>S258/$O$250</f>
        <v>0</v>
      </c>
      <c r="T267" s="125">
        <f>SUM(T263:T266)</f>
        <v>0</v>
      </c>
      <c r="U267" s="125">
        <f>SUM(U263:U266)</f>
        <v>0</v>
      </c>
      <c r="V267" s="125">
        <f>SUM(V263:V266)</f>
        <v>0</v>
      </c>
      <c r="W267" s="125">
        <f>SUM(W263:W266)</f>
        <v>0</v>
      </c>
      <c r="X267" s="125">
        <f t="shared" ref="X267:AC267" si="648">SUM(X263:X266)</f>
        <v>0</v>
      </c>
      <c r="Y267" s="125">
        <f t="shared" si="648"/>
        <v>0</v>
      </c>
      <c r="Z267" s="125">
        <f t="shared" si="648"/>
        <v>0</v>
      </c>
      <c r="AA267" s="125">
        <f t="shared" si="648"/>
        <v>0</v>
      </c>
      <c r="AB267" s="125">
        <f t="shared" si="648"/>
        <v>0</v>
      </c>
      <c r="AC267" s="125">
        <f t="shared" si="648"/>
        <v>0</v>
      </c>
      <c r="AD267" s="125">
        <f t="shared" ref="AD267:AF267" si="649">SUM(AD263:AD266)</f>
        <v>0</v>
      </c>
      <c r="AE267" s="125">
        <f t="shared" si="649"/>
        <v>0</v>
      </c>
      <c r="AF267" s="125">
        <f t="shared" si="649"/>
        <v>0</v>
      </c>
      <c r="AG267" s="125">
        <f t="shared" ref="AG267" ca="1" si="650">SUM(AG263:AG266)</f>
        <v>-0.12598425196850394</v>
      </c>
      <c r="AH267" s="125">
        <f t="shared" ref="AH267:AJ267" si="651">SUM(AH263:AH266)</f>
        <v>-0.06</v>
      </c>
      <c r="AI267" s="125">
        <f t="shared" si="651"/>
        <v>-0.06</v>
      </c>
      <c r="AJ267" s="125">
        <f t="shared" si="651"/>
        <v>-3.0000000000000002E-2</v>
      </c>
      <c r="AK267" s="79"/>
      <c r="AL267" s="91"/>
      <c r="AM267" s="67">
        <f>AM258/$AL$250</f>
        <v>0.19659090909090909</v>
      </c>
      <c r="AN267" s="67">
        <f>AN258/$AM$250</f>
        <v>-5.6980056980056981E-2</v>
      </c>
      <c r="AO267" s="67">
        <f>AO258/$AN$250</f>
        <v>0.12218865391070829</v>
      </c>
      <c r="AP267" s="67">
        <f>AP258/$AO$250</f>
        <v>9.0936284774154955E-2</v>
      </c>
      <c r="AQ267" s="67">
        <f>AQ258/AP$250</f>
        <v>0</v>
      </c>
      <c r="AR267" s="67">
        <f t="shared" si="646"/>
        <v>0</v>
      </c>
      <c r="AS267" s="67">
        <f t="shared" si="646"/>
        <v>0</v>
      </c>
      <c r="AT267" s="67">
        <f t="shared" si="646"/>
        <v>0</v>
      </c>
      <c r="AU267" s="67">
        <f t="shared" ca="1" si="646"/>
        <v>-7.0353956834532383E-2</v>
      </c>
      <c r="AV267" s="125">
        <f>SUM(AV263:AV266)</f>
        <v>0.03</v>
      </c>
      <c r="AW267" s="125">
        <f>SUM(AW263:AW266)</f>
        <v>0.03</v>
      </c>
      <c r="AX267" s="125">
        <f>SUM(AX263:AX266)</f>
        <v>0.03</v>
      </c>
      <c r="BK267" s="1346" t="s">
        <v>1675</v>
      </c>
      <c r="BL267" s="1346"/>
      <c r="BM267" s="1315"/>
      <c r="BN267" s="1346"/>
      <c r="BO267" s="1298">
        <v>0.1</v>
      </c>
      <c r="BP267" s="1298">
        <v>0.02</v>
      </c>
      <c r="BQ267" s="1298">
        <v>0</v>
      </c>
      <c r="BR267" s="1298">
        <v>0</v>
      </c>
      <c r="BS267" s="1298">
        <v>0</v>
      </c>
    </row>
    <row r="268" spans="2:71" ht="11.25" customHeight="1">
      <c r="C268" s="43"/>
      <c r="E268" s="29"/>
      <c r="F268" s="29"/>
      <c r="G268" s="29"/>
      <c r="H268" s="29"/>
      <c r="I268" s="42"/>
      <c r="J268" s="42"/>
      <c r="K268" s="42"/>
      <c r="L268" s="42"/>
      <c r="M268" s="42"/>
      <c r="N268" s="42"/>
      <c r="O268" s="42"/>
      <c r="P268" s="42"/>
      <c r="Q268" s="42"/>
      <c r="R268" s="42"/>
      <c r="AK268" s="79"/>
      <c r="AL268" s="29"/>
      <c r="AM268" s="29"/>
      <c r="AN268" s="29"/>
      <c r="AO268" s="29"/>
      <c r="AP268" s="29"/>
      <c r="BK268" s="1358" t="s">
        <v>1385</v>
      </c>
      <c r="BL268" s="1358"/>
      <c r="BM268" s="1297"/>
      <c r="BN268" s="1358"/>
      <c r="BO268" s="1315">
        <v>0.2</v>
      </c>
      <c r="BP268" s="1315">
        <v>0.05</v>
      </c>
      <c r="BQ268" s="1315">
        <v>0</v>
      </c>
      <c r="BR268" s="1315">
        <v>0</v>
      </c>
      <c r="BS268" s="1315">
        <v>0</v>
      </c>
    </row>
    <row r="269" spans="2:71" s="30" customFormat="1" ht="11.25" customHeight="1">
      <c r="C269" s="740" t="s">
        <v>110</v>
      </c>
      <c r="E269" s="82">
        <v>153</v>
      </c>
      <c r="F269" s="82">
        <v>168</v>
      </c>
      <c r="G269" s="82">
        <v>160</v>
      </c>
      <c r="H269" s="82">
        <v>120</v>
      </c>
      <c r="I269" s="82">
        <v>153</v>
      </c>
      <c r="J269" s="82">
        <v>161</v>
      </c>
      <c r="K269" s="82">
        <v>189</v>
      </c>
      <c r="L269" s="82">
        <v>150</v>
      </c>
      <c r="M269" s="82">
        <v>176</v>
      </c>
      <c r="N269" s="82">
        <v>192</v>
      </c>
      <c r="O269" s="82">
        <v>186</v>
      </c>
      <c r="P269" s="82">
        <v>85</v>
      </c>
      <c r="Q269" s="82">
        <v>119</v>
      </c>
      <c r="R269" s="82">
        <v>122</v>
      </c>
      <c r="S269" s="82">
        <v>118</v>
      </c>
      <c r="T269" s="82">
        <v>42</v>
      </c>
      <c r="U269" s="82">
        <v>135</v>
      </c>
      <c r="V269" s="82">
        <v>104</v>
      </c>
      <c r="W269" s="82">
        <v>95</v>
      </c>
      <c r="X269" s="82">
        <v>106</v>
      </c>
      <c r="Y269" s="82">
        <v>124</v>
      </c>
      <c r="Z269" s="82">
        <v>115</v>
      </c>
      <c r="AA269" s="82">
        <v>130</v>
      </c>
      <c r="AB269" s="82">
        <v>112</v>
      </c>
      <c r="AC269" s="82">
        <v>167</v>
      </c>
      <c r="AD269" s="82">
        <v>160</v>
      </c>
      <c r="AE269" s="82">
        <v>143</v>
      </c>
      <c r="AF269" s="82">
        <v>76</v>
      </c>
      <c r="AG269" s="82">
        <v>124</v>
      </c>
      <c r="AH269" s="30">
        <f t="shared" ref="AH269:AJ269" si="652">+AH278-SUM(AH274:AH277)</f>
        <v>138.96959999999999</v>
      </c>
      <c r="AI269" s="30">
        <f t="shared" si="652"/>
        <v>136.26240000000001</v>
      </c>
      <c r="AJ269" s="30">
        <f t="shared" si="652"/>
        <v>117.33120000000001</v>
      </c>
      <c r="AK269" s="79"/>
      <c r="AL269" s="82">
        <v>462</v>
      </c>
      <c r="AM269" s="82">
        <v>660</v>
      </c>
      <c r="AN269" s="31">
        <f t="shared" ref="AN269:AU269" si="653">SUMIF($E$6:$AK$6,AN$6,$E269:$AK269)</f>
        <v>601</v>
      </c>
      <c r="AO269" s="31">
        <f t="shared" si="653"/>
        <v>653</v>
      </c>
      <c r="AP269" s="31">
        <f t="shared" si="653"/>
        <v>639</v>
      </c>
      <c r="AQ269" s="31">
        <f t="shared" si="653"/>
        <v>401</v>
      </c>
      <c r="AR269" s="31">
        <f t="shared" si="653"/>
        <v>440</v>
      </c>
      <c r="AS269" s="30">
        <f t="shared" si="653"/>
        <v>481</v>
      </c>
      <c r="AT269" s="30">
        <f t="shared" si="653"/>
        <v>546</v>
      </c>
      <c r="AU269" s="30">
        <f t="shared" si="653"/>
        <v>516.56320000000005</v>
      </c>
      <c r="AV269" s="30">
        <f>+AV278-SUM(AV274:AV277)</f>
        <v>499.11533999999995</v>
      </c>
      <c r="AW269" s="30">
        <f>+AW278-SUM(AW274:AW277)</f>
        <v>548.36138688000005</v>
      </c>
      <c r="AX269" s="30">
        <f>+AX278-SUM(AX274:AX277)</f>
        <v>564.81222848640004</v>
      </c>
      <c r="AY269" s="1"/>
    </row>
    <row r="270" spans="2:71" ht="11.25" customHeight="1">
      <c r="C270" s="107" t="s">
        <v>358</v>
      </c>
      <c r="E270" s="90"/>
      <c r="F270" s="90"/>
      <c r="G270" s="90"/>
      <c r="H270" s="90"/>
      <c r="I270" s="94">
        <f t="shared" ref="I270:AC270" si="654">IFERROR(I269/E269-1,"NA  ")</f>
        <v>0</v>
      </c>
      <c r="J270" s="94">
        <f t="shared" si="654"/>
        <v>-4.166666666666663E-2</v>
      </c>
      <c r="K270" s="94">
        <f t="shared" si="654"/>
        <v>0.18124999999999991</v>
      </c>
      <c r="L270" s="94">
        <f t="shared" si="654"/>
        <v>0.25</v>
      </c>
      <c r="M270" s="94">
        <f t="shared" si="654"/>
        <v>0.15032679738562083</v>
      </c>
      <c r="N270" s="94">
        <f t="shared" si="654"/>
        <v>0.19254658385093171</v>
      </c>
      <c r="O270" s="94">
        <f t="shared" si="654"/>
        <v>-1.5873015873015928E-2</v>
      </c>
      <c r="P270" s="94">
        <f t="shared" si="654"/>
        <v>-0.43333333333333335</v>
      </c>
      <c r="Q270" s="94">
        <f t="shared" si="654"/>
        <v>-0.32386363636363635</v>
      </c>
      <c r="R270" s="94">
        <f t="shared" si="654"/>
        <v>-0.36458333333333337</v>
      </c>
      <c r="S270" s="94">
        <f t="shared" si="654"/>
        <v>-0.36559139784946237</v>
      </c>
      <c r="T270" s="94">
        <f t="shared" si="654"/>
        <v>-0.50588235294117645</v>
      </c>
      <c r="U270" s="94">
        <f t="shared" si="654"/>
        <v>0.13445378151260501</v>
      </c>
      <c r="V270" s="94">
        <f t="shared" si="654"/>
        <v>-0.14754098360655743</v>
      </c>
      <c r="W270" s="94">
        <f t="shared" si="654"/>
        <v>-0.19491525423728817</v>
      </c>
      <c r="X270" s="94">
        <f t="shared" si="654"/>
        <v>1.5238095238095237</v>
      </c>
      <c r="Y270" s="94">
        <f t="shared" si="654"/>
        <v>-8.1481481481481488E-2</v>
      </c>
      <c r="Z270" s="94">
        <f t="shared" si="654"/>
        <v>0.10576923076923084</v>
      </c>
      <c r="AA270" s="94">
        <f t="shared" si="654"/>
        <v>0.36842105263157898</v>
      </c>
      <c r="AB270" s="94">
        <f t="shared" si="654"/>
        <v>5.6603773584905648E-2</v>
      </c>
      <c r="AC270" s="94">
        <f t="shared" si="654"/>
        <v>0.34677419354838701</v>
      </c>
      <c r="AD270" s="94">
        <f t="shared" ref="AD270" si="655">IFERROR(AD269/Z269-1,"NA  ")</f>
        <v>0.39130434782608692</v>
      </c>
      <c r="AE270" s="94">
        <f t="shared" ref="AE270" si="656">IFERROR(AE269/AA269-1,"NA  ")</f>
        <v>0.10000000000000009</v>
      </c>
      <c r="AF270" s="94">
        <f t="shared" ref="AF270:AG270" si="657">IFERROR(AF269/AB269-1,"NA  ")</f>
        <v>-0.3214285714285714</v>
      </c>
      <c r="AG270" s="94">
        <f t="shared" si="657"/>
        <v>-0.25748502994011979</v>
      </c>
      <c r="AH270" s="94">
        <f t="shared" ref="AH270" si="658">IFERROR(AH269/AD269-1,"NA  ")</f>
        <v>-0.13144000000000011</v>
      </c>
      <c r="AI270" s="94">
        <f t="shared" ref="AI270" si="659">IFERROR(AI269/AE269-1,"NA  ")</f>
        <v>-4.7116083916083795E-2</v>
      </c>
      <c r="AJ270" s="94">
        <f t="shared" ref="AJ270" si="660">IFERROR(AJ269/AF269-1,"NA  ")</f>
        <v>0.54383157894736844</v>
      </c>
      <c r="AK270" s="79"/>
      <c r="AL270" s="47"/>
      <c r="AM270" s="94">
        <f t="shared" ref="AM270:AX270" si="661">IFERROR(AM269/AL269-1,"NA  ")</f>
        <v>0.4285714285714286</v>
      </c>
      <c r="AN270" s="94">
        <f t="shared" si="661"/>
        <v>-8.9393939393939359E-2</v>
      </c>
      <c r="AO270" s="94">
        <f t="shared" si="661"/>
        <v>8.652246256239593E-2</v>
      </c>
      <c r="AP270" s="94">
        <f t="shared" si="661"/>
        <v>-2.1439509954058189E-2</v>
      </c>
      <c r="AQ270" s="94">
        <f t="shared" si="661"/>
        <v>-0.37245696400625983</v>
      </c>
      <c r="AR270" s="94">
        <f t="shared" si="661"/>
        <v>9.7256857855361645E-2</v>
      </c>
      <c r="AS270" s="94">
        <f t="shared" si="661"/>
        <v>9.3181818181818254E-2</v>
      </c>
      <c r="AT270" s="94">
        <f t="shared" si="661"/>
        <v>0.13513513513513509</v>
      </c>
      <c r="AU270" s="94">
        <f t="shared" si="661"/>
        <v>-5.3913553113553059E-2</v>
      </c>
      <c r="AV270" s="94">
        <f t="shared" si="661"/>
        <v>-3.3776815692639572E-2</v>
      </c>
      <c r="AW270" s="94">
        <f t="shared" si="661"/>
        <v>9.8666666666666902E-2</v>
      </c>
      <c r="AX270" s="94">
        <f t="shared" si="661"/>
        <v>3.0000000000000027E-2</v>
      </c>
      <c r="BK270" s="1347" t="s">
        <v>1704</v>
      </c>
      <c r="BL270" s="1304"/>
      <c r="BM270" s="1333"/>
      <c r="BN270" s="1333">
        <v>2021</v>
      </c>
      <c r="BO270" s="1333">
        <v>2022</v>
      </c>
      <c r="BP270" s="1333">
        <f t="shared" ref="BP270:BS270" si="662">BO270+1</f>
        <v>2023</v>
      </c>
      <c r="BQ270" s="1333">
        <f t="shared" si="662"/>
        <v>2024</v>
      </c>
      <c r="BR270" s="1333">
        <f t="shared" si="662"/>
        <v>2025</v>
      </c>
      <c r="BS270" s="1333">
        <f t="shared" si="662"/>
        <v>2026</v>
      </c>
    </row>
    <row r="271" spans="2:71" ht="11.25" customHeight="1">
      <c r="C271" s="107" t="s">
        <v>360</v>
      </c>
      <c r="E271" s="94">
        <f>E269/E250</f>
        <v>0.20759837177747625</v>
      </c>
      <c r="F271" s="94">
        <f t="shared" ref="F271:R271" si="663">F269/F250</f>
        <v>0.21818181818181817</v>
      </c>
      <c r="G271" s="94">
        <f t="shared" si="663"/>
        <v>0.21276595744680851</v>
      </c>
      <c r="H271" s="94">
        <f t="shared" si="663"/>
        <v>0.16666666666666666</v>
      </c>
      <c r="I271" s="94">
        <f t="shared" si="663"/>
        <v>0.19793014230271669</v>
      </c>
      <c r="J271" s="94">
        <f t="shared" si="663"/>
        <v>0.19397590361445782</v>
      </c>
      <c r="K271" s="94">
        <f t="shared" si="663"/>
        <v>0.21331828442437922</v>
      </c>
      <c r="L271" s="94">
        <f t="shared" si="663"/>
        <v>0.1756440281030445</v>
      </c>
      <c r="M271" s="94">
        <f t="shared" si="663"/>
        <v>0.18743343982960597</v>
      </c>
      <c r="N271" s="94">
        <f t="shared" si="663"/>
        <v>0.20382165605095542</v>
      </c>
      <c r="O271" s="94">
        <f t="shared" si="663"/>
        <v>0.20327868852459016</v>
      </c>
      <c r="P271" s="94">
        <f t="shared" si="663"/>
        <v>9.9882491186839006E-2</v>
      </c>
      <c r="Q271" s="94">
        <f t="shared" si="663"/>
        <v>0.18307692307692308</v>
      </c>
      <c r="R271" s="94">
        <f t="shared" si="663"/>
        <v>0.19741100323624594</v>
      </c>
      <c r="S271" s="94">
        <f t="shared" ref="S271:X271" si="664">S269/S250</f>
        <v>0.19063004846526657</v>
      </c>
      <c r="T271" s="94">
        <f t="shared" si="664"/>
        <v>7.3943661971830985E-2</v>
      </c>
      <c r="U271" s="94">
        <f t="shared" si="664"/>
        <v>0.21226415094339623</v>
      </c>
      <c r="V271" s="94">
        <f t="shared" si="664"/>
        <v>0.18342151675485008</v>
      </c>
      <c r="W271" s="94">
        <f t="shared" si="664"/>
        <v>0.17241379310344829</v>
      </c>
      <c r="X271" s="94">
        <f t="shared" si="664"/>
        <v>0.18027210884353742</v>
      </c>
      <c r="Y271" s="94">
        <f>Y269/Y250</f>
        <v>0.18452380952380953</v>
      </c>
      <c r="Z271" s="94">
        <f t="shared" ref="Z271:AC271" si="665">Z269/Z250</f>
        <v>0.15927977839335181</v>
      </c>
      <c r="AA271" s="94">
        <f t="shared" si="665"/>
        <v>0.16774193548387098</v>
      </c>
      <c r="AB271" s="94">
        <f t="shared" si="665"/>
        <v>0.14358974358974358</v>
      </c>
      <c r="AC271" s="94">
        <f t="shared" si="665"/>
        <v>0.18785151856017998</v>
      </c>
      <c r="AD271" s="94">
        <f t="shared" ref="AD271:AF271" si="666">AD269/AD250</f>
        <v>0.17316017316017315</v>
      </c>
      <c r="AE271" s="94">
        <f t="shared" si="666"/>
        <v>0.15783664459161148</v>
      </c>
      <c r="AF271" s="94">
        <f t="shared" si="666"/>
        <v>0.10052910052910052</v>
      </c>
      <c r="AG271" s="94">
        <f t="shared" ref="AG271" si="667">AG269/AG250</f>
        <v>0.15958815958815958</v>
      </c>
      <c r="AH271" s="94">
        <f t="shared" ref="AH271:AJ271" si="668">AH269/AH250</f>
        <v>0.16</v>
      </c>
      <c r="AI271" s="94">
        <f t="shared" si="668"/>
        <v>0.16000000000000003</v>
      </c>
      <c r="AJ271" s="94">
        <f t="shared" si="668"/>
        <v>0.16</v>
      </c>
      <c r="AK271" s="79"/>
      <c r="AL271" s="94">
        <f t="shared" ref="AL271:AT271" si="669">AL269/AL250</f>
        <v>0.17499999999999999</v>
      </c>
      <c r="AM271" s="94">
        <f t="shared" si="669"/>
        <v>0.20892687559354226</v>
      </c>
      <c r="AN271" s="94">
        <f t="shared" si="669"/>
        <v>0.20174555219872439</v>
      </c>
      <c r="AO271" s="94">
        <f t="shared" si="669"/>
        <v>0.19533353275501047</v>
      </c>
      <c r="AP271" s="94">
        <f t="shared" si="669"/>
        <v>0.17521250342747463</v>
      </c>
      <c r="AQ271" s="94">
        <f t="shared" si="669"/>
        <v>0.16334012219959268</v>
      </c>
      <c r="AR271" s="94">
        <f t="shared" si="669"/>
        <v>0.18787361229718189</v>
      </c>
      <c r="AS271" s="94">
        <f t="shared" si="669"/>
        <v>0.16310613767378773</v>
      </c>
      <c r="AT271" s="94">
        <f t="shared" si="669"/>
        <v>0.15712230215827339</v>
      </c>
      <c r="AU271" s="94">
        <f t="shared" ref="AU271" si="670">AU269/AU250</f>
        <v>0.15990094473954658</v>
      </c>
      <c r="AV271" s="94">
        <f t="shared" ref="AV271:AW271" si="671">AV269/AV250</f>
        <v>0.15</v>
      </c>
      <c r="AW271" s="94">
        <f t="shared" si="671"/>
        <v>0.16000000000000003</v>
      </c>
      <c r="AX271" s="94">
        <f t="shared" ref="AX271" si="672">AX269/AX250</f>
        <v>0.16000000000000003</v>
      </c>
      <c r="BK271" s="1345" t="s">
        <v>1142</v>
      </c>
      <c r="BL271" s="1317"/>
      <c r="BM271" s="1322"/>
      <c r="BN271" s="1322">
        <f>BN257/2+BN252/2</f>
        <v>0</v>
      </c>
      <c r="BO271" s="1322">
        <f>BO257/2+BO252/2</f>
        <v>573.375</v>
      </c>
      <c r="BP271" s="1322">
        <f>BP257/2+BP252/2</f>
        <v>620.28750000000002</v>
      </c>
      <c r="BQ271" s="1322">
        <f t="shared" ref="BQ271:BS271" si="673">BQ257/2+BQ252/2</f>
        <v>620.28750000000002</v>
      </c>
      <c r="BR271" s="1322">
        <f t="shared" si="673"/>
        <v>620.28750000000002</v>
      </c>
      <c r="BS271" s="1322">
        <f t="shared" si="673"/>
        <v>620.28750000000002</v>
      </c>
    </row>
    <row r="272" spans="2:71" ht="11.25" customHeight="1" outlineLevel="1">
      <c r="C272" s="36"/>
      <c r="E272" s="82"/>
      <c r="F272" s="82"/>
      <c r="G272" s="82"/>
      <c r="H272" s="82"/>
      <c r="I272" s="82"/>
      <c r="J272" s="82"/>
      <c r="K272" s="82"/>
      <c r="L272" s="82"/>
      <c r="M272" s="82"/>
      <c r="N272" s="82"/>
      <c r="O272" s="82"/>
      <c r="P272" s="82"/>
      <c r="Q272" s="82"/>
      <c r="R272" s="82"/>
      <c r="AK272" s="79"/>
      <c r="AL272" s="29"/>
      <c r="AM272" s="82"/>
      <c r="AN272" s="31"/>
      <c r="AO272" s="31"/>
      <c r="AP272" s="31"/>
      <c r="BK272" s="1356" t="s">
        <v>1143</v>
      </c>
      <c r="BL272" s="1307"/>
      <c r="BM272" s="1323"/>
      <c r="BN272" s="1323">
        <f>BN251+BN254+BN252/2</f>
        <v>0</v>
      </c>
      <c r="BO272" s="1323">
        <f>BO251+BO254+BO252/2</f>
        <v>1407.375</v>
      </c>
      <c r="BP272" s="1323">
        <f>BP251+BP254+BP252/2</f>
        <v>1572.4375</v>
      </c>
      <c r="BQ272" s="1323">
        <f t="shared" ref="BQ272:BS272" si="674">BQ251+BQ254+BQ252/2</f>
        <v>1572.4375</v>
      </c>
      <c r="BR272" s="1323">
        <f t="shared" si="674"/>
        <v>1572.4375</v>
      </c>
      <c r="BS272" s="1323">
        <f t="shared" si="674"/>
        <v>1572.4375</v>
      </c>
    </row>
    <row r="273" spans="3:71" ht="11.25" customHeight="1" outlineLevel="1">
      <c r="C273" s="43" t="s">
        <v>97</v>
      </c>
      <c r="E273" s="29"/>
      <c r="F273" s="29"/>
      <c r="G273" s="29"/>
      <c r="H273" s="29"/>
      <c r="I273" s="29"/>
      <c r="J273" s="29"/>
      <c r="K273" s="29"/>
      <c r="L273" s="29"/>
      <c r="M273" s="29"/>
      <c r="N273" s="29"/>
      <c r="O273" s="66"/>
      <c r="P273" s="66"/>
      <c r="Q273" s="66"/>
      <c r="R273" s="29"/>
      <c r="AK273" s="79"/>
      <c r="AL273" s="29"/>
      <c r="AM273" s="29"/>
      <c r="AN273" s="29"/>
      <c r="AO273" s="29"/>
      <c r="AP273" s="29"/>
      <c r="AQ273" s="135"/>
      <c r="BK273" s="1346" t="s">
        <v>188</v>
      </c>
      <c r="BL273" s="1312"/>
      <c r="BM273" s="1324"/>
      <c r="BN273" s="1324">
        <f>BN253+BN250/2+BN256/2+BN255</f>
        <v>0</v>
      </c>
      <c r="BO273" s="1324">
        <f>BO253+BO250/2+BO256/2+BO255</f>
        <v>955.625</v>
      </c>
      <c r="BP273" s="1324">
        <f>BP253+BP250/2+BP256/2+BP255</f>
        <v>975.4325</v>
      </c>
      <c r="BQ273" s="1324">
        <f t="shared" ref="BQ273:BS273" si="675">BQ253+BQ250/2+BQ256/2+BQ255</f>
        <v>975.4325</v>
      </c>
      <c r="BR273" s="1324">
        <f t="shared" si="675"/>
        <v>975.4325</v>
      </c>
      <c r="BS273" s="1324">
        <f t="shared" si="675"/>
        <v>975.4325</v>
      </c>
    </row>
    <row r="274" spans="3:71" ht="11.25" customHeight="1" outlineLevel="1">
      <c r="C274" s="43" t="s">
        <v>353</v>
      </c>
      <c r="E274" s="29">
        <v>0</v>
      </c>
      <c r="F274" s="29">
        <v>0</v>
      </c>
      <c r="G274" s="29">
        <v>0</v>
      </c>
      <c r="H274" s="29">
        <v>0</v>
      </c>
      <c r="I274" s="29">
        <v>0</v>
      </c>
      <c r="J274" s="29">
        <v>0</v>
      </c>
      <c r="K274" s="29">
        <v>0</v>
      </c>
      <c r="L274" s="29">
        <v>0</v>
      </c>
      <c r="M274" s="29">
        <v>0</v>
      </c>
      <c r="N274" s="29">
        <v>0</v>
      </c>
      <c r="O274" s="29">
        <v>0</v>
      </c>
      <c r="P274" s="29">
        <v>0</v>
      </c>
      <c r="Q274" s="29">
        <v>0</v>
      </c>
      <c r="R274" s="29">
        <v>0</v>
      </c>
      <c r="S274" s="29">
        <v>0</v>
      </c>
      <c r="T274" s="29">
        <v>0</v>
      </c>
      <c r="U274" s="29">
        <v>0</v>
      </c>
      <c r="V274" s="29">
        <v>0</v>
      </c>
      <c r="W274" s="29">
        <v>0</v>
      </c>
      <c r="X274" s="29">
        <v>0</v>
      </c>
      <c r="Y274" s="29">
        <v>0</v>
      </c>
      <c r="Z274" s="29">
        <v>0</v>
      </c>
      <c r="AA274" s="29">
        <v>0</v>
      </c>
      <c r="AB274" s="29">
        <v>0</v>
      </c>
      <c r="AC274" s="29">
        <v>0</v>
      </c>
      <c r="AD274" s="29">
        <v>0</v>
      </c>
      <c r="AE274" s="29">
        <v>0</v>
      </c>
      <c r="AF274" s="29">
        <v>0</v>
      </c>
      <c r="AG274" s="29">
        <v>0</v>
      </c>
      <c r="AH274" s="29">
        <v>0</v>
      </c>
      <c r="AI274" s="29">
        <v>0</v>
      </c>
      <c r="AJ274" s="29">
        <v>0</v>
      </c>
      <c r="AK274" s="79"/>
      <c r="AL274" s="29">
        <v>15</v>
      </c>
      <c r="AM274" s="29">
        <v>0</v>
      </c>
      <c r="AN274" s="33">
        <f t="shared" ref="AN274:AU277" si="676">SUMIF($E$6:$AK$6,AN$6,$E274:$AK274)</f>
        <v>0</v>
      </c>
      <c r="AO274" s="33">
        <f t="shared" si="676"/>
        <v>0</v>
      </c>
      <c r="AP274" s="33">
        <f t="shared" si="676"/>
        <v>0</v>
      </c>
      <c r="AQ274" s="33">
        <f t="shared" si="676"/>
        <v>0</v>
      </c>
      <c r="AR274" s="33">
        <f t="shared" si="676"/>
        <v>0</v>
      </c>
      <c r="AS274" s="29">
        <f t="shared" si="676"/>
        <v>0</v>
      </c>
      <c r="AT274" s="33">
        <f t="shared" si="676"/>
        <v>0</v>
      </c>
      <c r="AU274" s="33">
        <f t="shared" si="676"/>
        <v>0</v>
      </c>
      <c r="AV274" s="33">
        <v>0</v>
      </c>
      <c r="AW274" s="33">
        <v>0</v>
      </c>
      <c r="AX274" s="33">
        <v>0</v>
      </c>
      <c r="BK274" s="1358" t="s">
        <v>191</v>
      </c>
      <c r="BL274" s="1313"/>
      <c r="BM274" s="1325"/>
      <c r="BN274" s="1325">
        <f>BN257/2+BN250/2+BN256/2</f>
        <v>0</v>
      </c>
      <c r="BO274" s="1325">
        <f>BO257/2+BO250/2+BO256/2</f>
        <v>538.625</v>
      </c>
      <c r="BP274" s="1325">
        <f>BP257/2+BP250/2+BP256/2</f>
        <v>561.90750000000003</v>
      </c>
      <c r="BQ274" s="1325">
        <f t="shared" ref="BQ274:BS274" si="677">BQ257/2+BQ250/2+BQ256/2</f>
        <v>561.90750000000003</v>
      </c>
      <c r="BR274" s="1325">
        <f t="shared" si="677"/>
        <v>561.90750000000003</v>
      </c>
      <c r="BS274" s="1325">
        <f t="shared" si="677"/>
        <v>561.90750000000003</v>
      </c>
    </row>
    <row r="275" spans="3:71" ht="11.25" customHeight="1" outlineLevel="1">
      <c r="C275" s="43" t="s">
        <v>23</v>
      </c>
      <c r="E275" s="29">
        <v>-2</v>
      </c>
      <c r="F275" s="29">
        <v>0</v>
      </c>
      <c r="G275" s="29">
        <v>0</v>
      </c>
      <c r="H275" s="29">
        <v>12</v>
      </c>
      <c r="I275" s="29">
        <v>0</v>
      </c>
      <c r="J275" s="29">
        <v>0</v>
      </c>
      <c r="K275" s="29">
        <v>0</v>
      </c>
      <c r="L275" s="29">
        <v>3</v>
      </c>
      <c r="M275" s="29">
        <v>0</v>
      </c>
      <c r="N275" s="29">
        <v>0</v>
      </c>
      <c r="O275" s="29">
        <v>0</v>
      </c>
      <c r="P275" s="29">
        <v>38</v>
      </c>
      <c r="Q275" s="29">
        <v>4</v>
      </c>
      <c r="R275" s="29">
        <v>0</v>
      </c>
      <c r="S275" s="29">
        <v>0</v>
      </c>
      <c r="T275" s="29">
        <v>50</v>
      </c>
      <c r="U275" s="29">
        <v>2</v>
      </c>
      <c r="V275" s="29">
        <v>0</v>
      </c>
      <c r="W275" s="29">
        <v>1</v>
      </c>
      <c r="X275" s="29">
        <v>0</v>
      </c>
      <c r="Y275" s="29">
        <v>0</v>
      </c>
      <c r="Z275" s="29">
        <v>1</v>
      </c>
      <c r="AA275" s="29">
        <v>1</v>
      </c>
      <c r="AB275" s="29">
        <v>1</v>
      </c>
      <c r="AC275" s="29">
        <v>0</v>
      </c>
      <c r="AD275" s="29">
        <v>0</v>
      </c>
      <c r="AE275" s="29">
        <v>0</v>
      </c>
      <c r="AF275" s="29">
        <v>0</v>
      </c>
      <c r="AG275" s="29">
        <v>0</v>
      </c>
      <c r="AH275" s="29">
        <v>0</v>
      </c>
      <c r="AI275" s="29">
        <v>0</v>
      </c>
      <c r="AJ275" s="29">
        <v>0</v>
      </c>
      <c r="AK275" s="79"/>
      <c r="AL275" s="29">
        <v>62</v>
      </c>
      <c r="AM275" s="29">
        <v>0</v>
      </c>
      <c r="AN275" s="33">
        <f t="shared" si="676"/>
        <v>10</v>
      </c>
      <c r="AO275" s="33">
        <f t="shared" si="676"/>
        <v>3</v>
      </c>
      <c r="AP275" s="33">
        <f t="shared" si="676"/>
        <v>38</v>
      </c>
      <c r="AQ275" s="33">
        <f t="shared" si="676"/>
        <v>54</v>
      </c>
      <c r="AR275" s="33">
        <f t="shared" si="676"/>
        <v>3</v>
      </c>
      <c r="AS275" s="33">
        <f t="shared" si="676"/>
        <v>3</v>
      </c>
      <c r="AT275" s="33">
        <f t="shared" si="676"/>
        <v>0</v>
      </c>
      <c r="AU275" s="33">
        <f t="shared" si="676"/>
        <v>0</v>
      </c>
      <c r="AV275" s="33">
        <v>0</v>
      </c>
      <c r="AW275" s="33">
        <v>0</v>
      </c>
      <c r="AX275" s="33">
        <v>0</v>
      </c>
      <c r="BM275" s="30"/>
      <c r="BN275" s="35">
        <f>SUM(BN271:BN274)</f>
        <v>0</v>
      </c>
      <c r="BO275" s="35">
        <f>SUM(BO271:BO274)</f>
        <v>3475</v>
      </c>
      <c r="BP275" s="35">
        <f>SUM(BP271:BP274)</f>
        <v>3730.0649999999996</v>
      </c>
      <c r="BQ275" s="35">
        <f t="shared" ref="BQ275:BS275" si="678">SUM(BQ271:BQ274)</f>
        <v>3730.0649999999996</v>
      </c>
      <c r="BR275" s="35">
        <f t="shared" si="678"/>
        <v>3730.0649999999996</v>
      </c>
      <c r="BS275" s="35">
        <f t="shared" si="678"/>
        <v>3730.0649999999996</v>
      </c>
    </row>
    <row r="276" spans="3:71" ht="11.25" customHeight="1" outlineLevel="1">
      <c r="C276" s="43" t="s">
        <v>71</v>
      </c>
      <c r="E276" s="29">
        <v>0</v>
      </c>
      <c r="F276" s="29">
        <v>0</v>
      </c>
      <c r="G276" s="29">
        <v>0</v>
      </c>
      <c r="H276" s="29">
        <v>0</v>
      </c>
      <c r="I276" s="29">
        <v>0</v>
      </c>
      <c r="J276" s="29">
        <v>0</v>
      </c>
      <c r="K276" s="29">
        <v>-3</v>
      </c>
      <c r="L276" s="29">
        <v>0</v>
      </c>
      <c r="M276" s="29">
        <v>0</v>
      </c>
      <c r="N276" s="29">
        <v>0</v>
      </c>
      <c r="O276" s="29">
        <v>0</v>
      </c>
      <c r="P276" s="29">
        <v>0</v>
      </c>
      <c r="Q276" s="29">
        <v>0</v>
      </c>
      <c r="R276" s="29">
        <v>0</v>
      </c>
      <c r="S276" s="29">
        <v>0</v>
      </c>
      <c r="T276" s="29">
        <v>0</v>
      </c>
      <c r="U276" s="29">
        <v>0</v>
      </c>
      <c r="V276" s="29">
        <v>0</v>
      </c>
      <c r="W276" s="29">
        <v>0</v>
      </c>
      <c r="X276" s="29">
        <v>0</v>
      </c>
      <c r="Y276" s="29">
        <v>0</v>
      </c>
      <c r="Z276" s="29">
        <v>0</v>
      </c>
      <c r="AA276" s="29">
        <v>0</v>
      </c>
      <c r="AB276" s="29">
        <v>0</v>
      </c>
      <c r="AC276" s="29">
        <v>0</v>
      </c>
      <c r="AD276" s="29">
        <v>0</v>
      </c>
      <c r="AE276" s="29">
        <v>0</v>
      </c>
      <c r="AF276" s="29">
        <v>0</v>
      </c>
      <c r="AG276" s="29">
        <v>0</v>
      </c>
      <c r="AH276" s="29">
        <v>0</v>
      </c>
      <c r="AI276" s="29">
        <v>0</v>
      </c>
      <c r="AJ276" s="29">
        <v>0</v>
      </c>
      <c r="AK276" s="79"/>
      <c r="AL276" s="29">
        <v>0</v>
      </c>
      <c r="AM276" s="29">
        <v>0</v>
      </c>
      <c r="AN276" s="33">
        <f t="shared" si="676"/>
        <v>0</v>
      </c>
      <c r="AO276" s="33">
        <f t="shared" si="676"/>
        <v>-3</v>
      </c>
      <c r="AP276" s="33">
        <f t="shared" si="676"/>
        <v>0</v>
      </c>
      <c r="AQ276" s="33">
        <f t="shared" si="676"/>
        <v>0</v>
      </c>
      <c r="AR276" s="33">
        <f t="shared" si="676"/>
        <v>0</v>
      </c>
      <c r="AS276" s="29">
        <f t="shared" si="676"/>
        <v>0</v>
      </c>
      <c r="AT276" s="33">
        <f t="shared" si="676"/>
        <v>0</v>
      </c>
      <c r="AU276" s="33">
        <f t="shared" si="676"/>
        <v>0</v>
      </c>
      <c r="AV276" s="33">
        <v>0</v>
      </c>
      <c r="AW276" s="33">
        <v>0</v>
      </c>
      <c r="AX276" s="33">
        <v>0</v>
      </c>
    </row>
    <row r="277" spans="3:71" ht="11.25" customHeight="1" outlineLevel="1">
      <c r="C277" s="43" t="s">
        <v>111</v>
      </c>
      <c r="E277" s="29">
        <v>0</v>
      </c>
      <c r="F277" s="29">
        <v>0</v>
      </c>
      <c r="G277" s="29">
        <v>0</v>
      </c>
      <c r="H277" s="29">
        <v>0</v>
      </c>
      <c r="I277" s="29">
        <v>0</v>
      </c>
      <c r="J277" s="29">
        <v>0</v>
      </c>
      <c r="K277" s="29">
        <v>0</v>
      </c>
      <c r="L277" s="29">
        <v>8</v>
      </c>
      <c r="M277" s="29">
        <v>2</v>
      </c>
      <c r="N277" s="29">
        <v>-4</v>
      </c>
      <c r="O277" s="29">
        <v>-4</v>
      </c>
      <c r="P277" s="29">
        <v>0</v>
      </c>
      <c r="Q277" s="29">
        <v>0</v>
      </c>
      <c r="R277" s="29">
        <v>0</v>
      </c>
      <c r="S277" s="29">
        <v>0</v>
      </c>
      <c r="T277" s="29">
        <v>0</v>
      </c>
      <c r="U277" s="29">
        <v>0</v>
      </c>
      <c r="V277" s="29">
        <v>0</v>
      </c>
      <c r="W277" s="29">
        <v>0</v>
      </c>
      <c r="X277" s="29">
        <v>0</v>
      </c>
      <c r="Y277" s="29">
        <v>0</v>
      </c>
      <c r="Z277" s="29">
        <v>0</v>
      </c>
      <c r="AA277" s="29">
        <v>0</v>
      </c>
      <c r="AB277" s="29">
        <v>0</v>
      </c>
      <c r="AC277" s="29">
        <v>0</v>
      </c>
      <c r="AD277" s="29">
        <v>0</v>
      </c>
      <c r="AE277" s="29">
        <v>0</v>
      </c>
      <c r="AF277" s="29">
        <v>0</v>
      </c>
      <c r="AG277" s="29">
        <v>0</v>
      </c>
      <c r="AH277" s="29">
        <v>0</v>
      </c>
      <c r="AI277" s="29">
        <v>0</v>
      </c>
      <c r="AJ277" s="29">
        <v>0</v>
      </c>
      <c r="AK277" s="79"/>
      <c r="AL277" s="29">
        <v>0</v>
      </c>
      <c r="AM277" s="29">
        <v>0</v>
      </c>
      <c r="AN277" s="33">
        <f t="shared" si="676"/>
        <v>0</v>
      </c>
      <c r="AO277" s="33">
        <f t="shared" si="676"/>
        <v>8</v>
      </c>
      <c r="AP277" s="33">
        <f t="shared" si="676"/>
        <v>-6</v>
      </c>
      <c r="AQ277" s="33">
        <f t="shared" si="676"/>
        <v>0</v>
      </c>
      <c r="AR277" s="33">
        <f t="shared" si="676"/>
        <v>0</v>
      </c>
      <c r="AS277" s="29">
        <f t="shared" si="676"/>
        <v>0</v>
      </c>
      <c r="AT277" s="33">
        <f t="shared" si="676"/>
        <v>0</v>
      </c>
      <c r="AU277" s="33">
        <f t="shared" si="676"/>
        <v>0</v>
      </c>
      <c r="AV277" s="33">
        <v>0</v>
      </c>
      <c r="AW277" s="33">
        <v>0</v>
      </c>
      <c r="AX277" s="33">
        <v>0</v>
      </c>
    </row>
    <row r="278" spans="3:71" ht="11.25" customHeight="1">
      <c r="C278" s="45" t="s">
        <v>356</v>
      </c>
      <c r="E278" s="32">
        <f>E269+SUM(E274:E277)</f>
        <v>151</v>
      </c>
      <c r="F278" s="32">
        <f t="shared" ref="F278:V278" si="679">F269+SUM(F274:F277)</f>
        <v>168</v>
      </c>
      <c r="G278" s="32">
        <f t="shared" si="679"/>
        <v>160</v>
      </c>
      <c r="H278" s="32">
        <f t="shared" si="679"/>
        <v>132</v>
      </c>
      <c r="I278" s="32">
        <f t="shared" si="679"/>
        <v>153</v>
      </c>
      <c r="J278" s="32">
        <f t="shared" si="679"/>
        <v>161</v>
      </c>
      <c r="K278" s="32">
        <f t="shared" si="679"/>
        <v>186</v>
      </c>
      <c r="L278" s="32">
        <f t="shared" si="679"/>
        <v>161</v>
      </c>
      <c r="M278" s="32">
        <f t="shared" si="679"/>
        <v>178</v>
      </c>
      <c r="N278" s="32">
        <f t="shared" si="679"/>
        <v>188</v>
      </c>
      <c r="O278" s="32">
        <f t="shared" si="679"/>
        <v>182</v>
      </c>
      <c r="P278" s="32">
        <f t="shared" si="679"/>
        <v>123</v>
      </c>
      <c r="Q278" s="32">
        <f t="shared" si="679"/>
        <v>123</v>
      </c>
      <c r="R278" s="32">
        <f t="shared" si="679"/>
        <v>122</v>
      </c>
      <c r="S278" s="32">
        <f t="shared" si="679"/>
        <v>118</v>
      </c>
      <c r="T278" s="32">
        <f t="shared" si="679"/>
        <v>92</v>
      </c>
      <c r="U278" s="32">
        <f t="shared" si="679"/>
        <v>137</v>
      </c>
      <c r="V278" s="32">
        <f t="shared" si="679"/>
        <v>104</v>
      </c>
      <c r="W278" s="32">
        <f t="shared" ref="W278:AC278" si="680">W269+SUM(W274:W277)</f>
        <v>96</v>
      </c>
      <c r="X278" s="32">
        <f t="shared" si="680"/>
        <v>106</v>
      </c>
      <c r="Y278" s="32">
        <f t="shared" si="680"/>
        <v>124</v>
      </c>
      <c r="Z278" s="32">
        <f t="shared" si="680"/>
        <v>116</v>
      </c>
      <c r="AA278" s="32">
        <f t="shared" si="680"/>
        <v>131</v>
      </c>
      <c r="AB278" s="32">
        <f t="shared" si="680"/>
        <v>113</v>
      </c>
      <c r="AC278" s="32">
        <f t="shared" si="680"/>
        <v>167</v>
      </c>
      <c r="AD278" s="32">
        <f t="shared" ref="AD278:AE278" si="681">AD269+SUM(AD274:AD277)</f>
        <v>160</v>
      </c>
      <c r="AE278" s="32">
        <f t="shared" si="681"/>
        <v>143</v>
      </c>
      <c r="AF278" s="32">
        <f>AF269+SUM(AF274:AF277)</f>
        <v>76</v>
      </c>
      <c r="AG278" s="32">
        <f>AG269+SUM(AG274:AG277)</f>
        <v>124</v>
      </c>
      <c r="AH278" s="35">
        <f t="shared" ref="AH278:AJ278" si="682">+AH280*AH250</f>
        <v>138.96959999999999</v>
      </c>
      <c r="AI278" s="35">
        <f t="shared" si="682"/>
        <v>136.26240000000001</v>
      </c>
      <c r="AJ278" s="35">
        <f t="shared" si="682"/>
        <v>117.33120000000001</v>
      </c>
      <c r="AK278" s="79"/>
      <c r="AL278" s="32">
        <f t="shared" ref="AL278:AT278" si="683">AL269+SUM(AL274:AL277)</f>
        <v>539</v>
      </c>
      <c r="AM278" s="32">
        <f t="shared" si="683"/>
        <v>660</v>
      </c>
      <c r="AN278" s="32">
        <f t="shared" si="683"/>
        <v>611</v>
      </c>
      <c r="AO278" s="32">
        <f t="shared" si="683"/>
        <v>661</v>
      </c>
      <c r="AP278" s="32">
        <f t="shared" si="683"/>
        <v>671</v>
      </c>
      <c r="AQ278" s="32">
        <f t="shared" si="683"/>
        <v>455</v>
      </c>
      <c r="AR278" s="32">
        <f t="shared" si="683"/>
        <v>443</v>
      </c>
      <c r="AS278" s="32">
        <f t="shared" si="683"/>
        <v>484</v>
      </c>
      <c r="AT278" s="32">
        <f t="shared" si="683"/>
        <v>546</v>
      </c>
      <c r="AU278" s="32">
        <f t="shared" ref="AU278" si="684">AU269+SUM(AU274:AU277)</f>
        <v>516.56320000000005</v>
      </c>
      <c r="AV278" s="35">
        <f>+AV280*AV250</f>
        <v>499.11533999999995</v>
      </c>
      <c r="AW278" s="35">
        <f>+AW280*AW250</f>
        <v>548.36138688000005</v>
      </c>
      <c r="AX278" s="35">
        <f>+AX280*AX250</f>
        <v>564.81222848640004</v>
      </c>
      <c r="BK278" s="1354" t="s">
        <v>1669</v>
      </c>
      <c r="BL278" s="1336"/>
      <c r="BM278" s="1337"/>
      <c r="BP278" s="1333">
        <v>2023</v>
      </c>
      <c r="BQ278" s="1333">
        <f t="shared" ref="BQ278:BS278" si="685">BP278+1</f>
        <v>2024</v>
      </c>
      <c r="BR278" s="1333">
        <f t="shared" si="685"/>
        <v>2025</v>
      </c>
      <c r="BS278" s="1333">
        <f t="shared" si="685"/>
        <v>2026</v>
      </c>
    </row>
    <row r="279" spans="3:71" ht="11.25" customHeight="1" outlineLevel="1">
      <c r="C279" s="93" t="s">
        <v>358</v>
      </c>
      <c r="E279" s="124"/>
      <c r="F279" s="124"/>
      <c r="G279" s="124"/>
      <c r="H279" s="124"/>
      <c r="I279" s="94">
        <f>IFERROR(I278/E278-1,"NA  ")</f>
        <v>1.3245033112582849E-2</v>
      </c>
      <c r="J279" s="94">
        <f t="shared" ref="J279:R279" si="686">IFERROR(J278/F278-1,"NA  ")</f>
        <v>-4.166666666666663E-2</v>
      </c>
      <c r="K279" s="94">
        <f t="shared" si="686"/>
        <v>0.16250000000000009</v>
      </c>
      <c r="L279" s="94">
        <f t="shared" si="686"/>
        <v>0.21969696969696972</v>
      </c>
      <c r="M279" s="94">
        <f t="shared" si="686"/>
        <v>0.1633986928104576</v>
      </c>
      <c r="N279" s="94">
        <f t="shared" si="686"/>
        <v>0.16770186335403725</v>
      </c>
      <c r="O279" s="94">
        <f t="shared" si="686"/>
        <v>-2.1505376344086002E-2</v>
      </c>
      <c r="P279" s="94">
        <f t="shared" si="686"/>
        <v>-0.2360248447204969</v>
      </c>
      <c r="Q279" s="94">
        <f t="shared" si="686"/>
        <v>-0.3089887640449438</v>
      </c>
      <c r="R279" s="94">
        <f t="shared" si="686"/>
        <v>-0.35106382978723405</v>
      </c>
      <c r="S279" s="94">
        <f t="shared" ref="S279:AC279" si="687">IFERROR(S278/O278-1,"NA  ")</f>
        <v>-0.35164835164835162</v>
      </c>
      <c r="T279" s="94">
        <f t="shared" si="687"/>
        <v>-0.25203252032520329</v>
      </c>
      <c r="U279" s="94">
        <f t="shared" si="687"/>
        <v>0.11382113821138207</v>
      </c>
      <c r="V279" s="94">
        <f t="shared" si="687"/>
        <v>-0.14754098360655743</v>
      </c>
      <c r="W279" s="94">
        <f t="shared" si="687"/>
        <v>-0.18644067796610164</v>
      </c>
      <c r="X279" s="94">
        <f t="shared" si="687"/>
        <v>0.15217391304347827</v>
      </c>
      <c r="Y279" s="94">
        <f t="shared" si="687"/>
        <v>-9.4890510948905105E-2</v>
      </c>
      <c r="Z279" s="94">
        <f t="shared" si="687"/>
        <v>0.11538461538461542</v>
      </c>
      <c r="AA279" s="94">
        <f t="shared" si="687"/>
        <v>0.36458333333333326</v>
      </c>
      <c r="AB279" s="94">
        <f>IFERROR(AB278/X278-1,"NA  ")</f>
        <v>6.60377358490567E-2</v>
      </c>
      <c r="AC279" s="94">
        <f t="shared" si="687"/>
        <v>0.34677419354838701</v>
      </c>
      <c r="AD279" s="94">
        <f t="shared" ref="AD279" si="688">IFERROR(AD278/Z278-1,"NA  ")</f>
        <v>0.3793103448275863</v>
      </c>
      <c r="AE279" s="94">
        <f t="shared" ref="AE279" si="689">IFERROR(AE278/AA278-1,"NA  ")</f>
        <v>9.1603053435114434E-2</v>
      </c>
      <c r="AF279" s="94">
        <f>IFERROR(AF278/AB278-1,"NA  ")</f>
        <v>-0.32743362831858402</v>
      </c>
      <c r="AG279" s="94">
        <f>IFERROR(AG278/AC278-1,"NA  ")</f>
        <v>-0.25748502994011979</v>
      </c>
      <c r="AH279" s="94">
        <f t="shared" ref="AH279" si="690">IFERROR(AH278/AD278-1,"NA  ")</f>
        <v>-0.13144000000000011</v>
      </c>
      <c r="AI279" s="94">
        <f t="shared" ref="AI279" si="691">IFERROR(AI278/AE278-1,"NA  ")</f>
        <v>-4.7116083916083795E-2</v>
      </c>
      <c r="AJ279" s="94">
        <f t="shared" ref="AJ279" si="692">IFERROR(AJ278/AF278-1,"NA  ")</f>
        <v>0.54383157894736844</v>
      </c>
      <c r="AK279" s="79"/>
      <c r="AL279" s="124"/>
      <c r="AM279" s="94">
        <f t="shared" ref="AM279:AX279" si="693">IFERROR(AM278/AL278-1,"NA  ")</f>
        <v>0.22448979591836737</v>
      </c>
      <c r="AN279" s="94">
        <f t="shared" si="693"/>
        <v>-7.4242424242424221E-2</v>
      </c>
      <c r="AO279" s="94">
        <f t="shared" si="693"/>
        <v>8.1833060556464776E-2</v>
      </c>
      <c r="AP279" s="94">
        <f t="shared" si="693"/>
        <v>1.5128593040847127E-2</v>
      </c>
      <c r="AQ279" s="94">
        <f t="shared" si="693"/>
        <v>-0.32190760059612522</v>
      </c>
      <c r="AR279" s="94">
        <f t="shared" si="693"/>
        <v>-2.6373626373626391E-2</v>
      </c>
      <c r="AS279" s="94">
        <f t="shared" si="693"/>
        <v>9.2550790067720046E-2</v>
      </c>
      <c r="AT279" s="94">
        <f t="shared" si="693"/>
        <v>0.12809917355371891</v>
      </c>
      <c r="AU279" s="94">
        <f t="shared" si="693"/>
        <v>-5.3913553113553059E-2</v>
      </c>
      <c r="AV279" s="94">
        <f t="shared" si="693"/>
        <v>-3.3776815692639572E-2</v>
      </c>
      <c r="AW279" s="94">
        <f t="shared" si="693"/>
        <v>9.8666666666666902E-2</v>
      </c>
      <c r="AX279" s="94">
        <f t="shared" si="693"/>
        <v>3.0000000000000027E-2</v>
      </c>
      <c r="BK279" s="1345" t="s">
        <v>1142</v>
      </c>
      <c r="BL279" s="1306"/>
      <c r="BM279" s="1306"/>
      <c r="BP279" s="1319">
        <f t="shared" ref="BP279:BP281" si="694">BP271/BO271-1</f>
        <v>8.181818181818179E-2</v>
      </c>
      <c r="BQ279" s="1319">
        <f t="shared" ref="BQ279:BS279" si="695">BQ271/BP271-1</f>
        <v>0</v>
      </c>
      <c r="BR279" s="1319">
        <f t="shared" si="695"/>
        <v>0</v>
      </c>
      <c r="BS279" s="1319">
        <f t="shared" si="695"/>
        <v>0</v>
      </c>
    </row>
    <row r="280" spans="3:71" ht="11.25" customHeight="1" outlineLevel="1">
      <c r="C280" s="93" t="s">
        <v>360</v>
      </c>
      <c r="E280" s="94">
        <f t="shared" ref="E280:T280" si="696">E278/E250</f>
        <v>0.20488466757123475</v>
      </c>
      <c r="F280" s="94">
        <f t="shared" si="696"/>
        <v>0.21818181818181817</v>
      </c>
      <c r="G280" s="94">
        <f t="shared" si="696"/>
        <v>0.21276595744680851</v>
      </c>
      <c r="H280" s="94">
        <f t="shared" si="696"/>
        <v>0.18333333333333332</v>
      </c>
      <c r="I280" s="94">
        <f t="shared" si="696"/>
        <v>0.19793014230271669</v>
      </c>
      <c r="J280" s="94">
        <f t="shared" si="696"/>
        <v>0.19397590361445782</v>
      </c>
      <c r="K280" s="94">
        <f t="shared" si="696"/>
        <v>0.20993227990970656</v>
      </c>
      <c r="L280" s="94">
        <f t="shared" si="696"/>
        <v>0.18852459016393441</v>
      </c>
      <c r="M280" s="94">
        <f t="shared" si="696"/>
        <v>0.18956336528221512</v>
      </c>
      <c r="N280" s="94">
        <f t="shared" si="696"/>
        <v>0.19957537154989385</v>
      </c>
      <c r="O280" s="94">
        <f t="shared" si="696"/>
        <v>0.1989071038251366</v>
      </c>
      <c r="P280" s="94">
        <f t="shared" si="696"/>
        <v>0.1445358401880141</v>
      </c>
      <c r="Q280" s="94">
        <f t="shared" si="696"/>
        <v>0.18923076923076923</v>
      </c>
      <c r="R280" s="94">
        <f t="shared" si="696"/>
        <v>0.19741100323624594</v>
      </c>
      <c r="S280" s="94">
        <f t="shared" si="696"/>
        <v>0.19063004846526657</v>
      </c>
      <c r="T280" s="94">
        <f t="shared" si="696"/>
        <v>0.1619718309859155</v>
      </c>
      <c r="U280" s="94">
        <f>U278/U250</f>
        <v>0.21540880503144655</v>
      </c>
      <c r="V280" s="94">
        <f>V278/V250</f>
        <v>0.18342151675485008</v>
      </c>
      <c r="W280" s="94">
        <f t="shared" ref="W280:AC280" si="697">W278/W250</f>
        <v>0.17422867513611615</v>
      </c>
      <c r="X280" s="94">
        <f t="shared" si="697"/>
        <v>0.18027210884353742</v>
      </c>
      <c r="Y280" s="94">
        <f t="shared" si="697"/>
        <v>0.18452380952380953</v>
      </c>
      <c r="Z280" s="94">
        <f t="shared" si="697"/>
        <v>0.16066481994459833</v>
      </c>
      <c r="AA280" s="94">
        <f t="shared" si="697"/>
        <v>0.16903225806451613</v>
      </c>
      <c r="AB280" s="94">
        <f t="shared" si="697"/>
        <v>0.14487179487179488</v>
      </c>
      <c r="AC280" s="94">
        <f t="shared" si="697"/>
        <v>0.18785151856017998</v>
      </c>
      <c r="AD280" s="94">
        <f t="shared" ref="AD280:AF280" si="698">AD278/AD250</f>
        <v>0.17316017316017315</v>
      </c>
      <c r="AE280" s="1030">
        <f t="shared" si="698"/>
        <v>0.15783664459161148</v>
      </c>
      <c r="AF280" s="1030">
        <f t="shared" si="698"/>
        <v>0.10052910052910052</v>
      </c>
      <c r="AG280" s="1030">
        <f t="shared" ref="AG280" si="699">AG278/AG250</f>
        <v>0.15958815958815958</v>
      </c>
      <c r="AH280" s="147">
        <f>+Assumptions!AH35</f>
        <v>0.16</v>
      </c>
      <c r="AI280" s="147">
        <f>+Assumptions!AI35</f>
        <v>0.16</v>
      </c>
      <c r="AJ280" s="147">
        <f>+Assumptions!AJ35</f>
        <v>0.16</v>
      </c>
      <c r="AK280" s="79"/>
      <c r="AL280" s="94">
        <f t="shared" ref="AL280:AT280" si="700">AL278/AL250</f>
        <v>0.20416666666666666</v>
      </c>
      <c r="AM280" s="94">
        <f t="shared" si="700"/>
        <v>0.20892687559354226</v>
      </c>
      <c r="AN280" s="94">
        <f t="shared" si="700"/>
        <v>0.20510238335011749</v>
      </c>
      <c r="AO280" s="94">
        <f t="shared" si="700"/>
        <v>0.19772659288064612</v>
      </c>
      <c r="AP280" s="94">
        <f t="shared" si="700"/>
        <v>0.18398683849739511</v>
      </c>
      <c r="AQ280" s="1035">
        <f t="shared" si="700"/>
        <v>0.18533604887983707</v>
      </c>
      <c r="AR280" s="1035">
        <f t="shared" si="700"/>
        <v>0.18915456874466269</v>
      </c>
      <c r="AS280" s="1035">
        <f t="shared" si="700"/>
        <v>0.16412343167175314</v>
      </c>
      <c r="AT280" s="1035">
        <f t="shared" si="700"/>
        <v>0.15712230215827339</v>
      </c>
      <c r="AU280" s="94">
        <f t="shared" ref="AU280" si="701">AU278/AU250</f>
        <v>0.15990094473954658</v>
      </c>
      <c r="AV280" s="147">
        <f>+Assumptions!AV35</f>
        <v>0.15</v>
      </c>
      <c r="AW280" s="147">
        <f>+Assumptions!AW35</f>
        <v>0.16</v>
      </c>
      <c r="AX280" s="147">
        <f>+Assumptions!AX35</f>
        <v>0.16</v>
      </c>
      <c r="BK280" s="1356" t="s">
        <v>1143</v>
      </c>
      <c r="BL280" s="1307"/>
      <c r="BM280" s="1307"/>
      <c r="BP280" s="1320">
        <f t="shared" si="694"/>
        <v>0.11728395061728403</v>
      </c>
      <c r="BQ280" s="1320">
        <f t="shared" ref="BQ280:BS280" si="702">BQ272/BP272-1</f>
        <v>0</v>
      </c>
      <c r="BR280" s="1320">
        <f t="shared" si="702"/>
        <v>0</v>
      </c>
      <c r="BS280" s="1320">
        <f t="shared" si="702"/>
        <v>0</v>
      </c>
    </row>
    <row r="281" spans="3:71" ht="11.25" customHeight="1" outlineLevel="1">
      <c r="C281" s="93" t="s">
        <v>396</v>
      </c>
      <c r="E281" s="47"/>
      <c r="F281" s="47"/>
      <c r="G281" s="47"/>
      <c r="H281" s="47"/>
      <c r="I281" s="436">
        <f>IFERROR((I280-E280)*10000,"NA  ")</f>
        <v>-69.545252685180586</v>
      </c>
      <c r="J281" s="436">
        <f t="shared" ref="J281:R281" si="703">IFERROR((J280-F280)*10000,"NA  ")</f>
        <v>-242.0591456736035</v>
      </c>
      <c r="K281" s="436">
        <f t="shared" si="703"/>
        <v>-28.336775371019527</v>
      </c>
      <c r="L281" s="436">
        <f t="shared" si="703"/>
        <v>51.912568306010932</v>
      </c>
      <c r="M281" s="436">
        <f t="shared" si="703"/>
        <v>-83.667770205015643</v>
      </c>
      <c r="N281" s="436">
        <f t="shared" si="703"/>
        <v>55.994679354360308</v>
      </c>
      <c r="O281" s="436">
        <f t="shared" si="703"/>
        <v>-110.25176084569959</v>
      </c>
      <c r="P281" s="436">
        <f t="shared" si="703"/>
        <v>-439.88749975920308</v>
      </c>
      <c r="Q281" s="436">
        <f t="shared" si="703"/>
        <v>-3.3259605144589366</v>
      </c>
      <c r="R281" s="436">
        <f t="shared" si="703"/>
        <v>-21.64368313647913</v>
      </c>
      <c r="S281" s="436">
        <f t="shared" ref="S281:AC281" si="704">IFERROR((S280-O280)*10000,"NA  ")</f>
        <v>-82.770553598700275</v>
      </c>
      <c r="T281" s="436">
        <f t="shared" si="704"/>
        <v>174.35990797901397</v>
      </c>
      <c r="U281" s="436">
        <f t="shared" si="704"/>
        <v>261.78035800677316</v>
      </c>
      <c r="V281" s="436">
        <f t="shared" si="704"/>
        <v>-139.89486481395863</v>
      </c>
      <c r="W281" s="436">
        <f t="shared" si="704"/>
        <v>-164.01373329150425</v>
      </c>
      <c r="X281" s="436">
        <f t="shared" si="704"/>
        <v>183.00277857621921</v>
      </c>
      <c r="Y281" s="436">
        <f t="shared" si="704"/>
        <v>-308.84995507637012</v>
      </c>
      <c r="Z281" s="436">
        <f t="shared" si="704"/>
        <v>-227.56696810251748</v>
      </c>
      <c r="AA281" s="436">
        <f t="shared" si="704"/>
        <v>-51.964170716000126</v>
      </c>
      <c r="AB281" s="436">
        <f t="shared" si="704"/>
        <v>-354.00313971742537</v>
      </c>
      <c r="AC281" s="436">
        <f t="shared" si="704"/>
        <v>33.277090363704467</v>
      </c>
      <c r="AD281" s="436">
        <f t="shared" ref="AD281" si="705">IFERROR((AD280-Z280)*10000,"NA  ")</f>
        <v>124.95353215574822</v>
      </c>
      <c r="AE281" s="436">
        <f t="shared" ref="AE281" si="706">IFERROR((AE280-AA280)*10000,"NA  ")</f>
        <v>-111.95613472904652</v>
      </c>
      <c r="AF281" s="436">
        <f t="shared" ref="AF281:AG281" si="707">IFERROR((AF280-AB280)*10000,"NA  ")</f>
        <v>-443.42694342694364</v>
      </c>
      <c r="AG281" s="436">
        <f t="shared" si="707"/>
        <v>-282.63358972020399</v>
      </c>
      <c r="AH281" s="436">
        <f t="shared" ref="AH281" si="708">IFERROR((AH280-AD280)*10000,"NA  ")</f>
        <v>-131.6017316017315</v>
      </c>
      <c r="AI281" s="436">
        <f t="shared" ref="AI281" si="709">IFERROR((AI280-AE280)*10000,"NA  ")</f>
        <v>21.63355408388523</v>
      </c>
      <c r="AJ281" s="436">
        <f t="shared" ref="AJ281" si="710">IFERROR((AJ280-AF280)*10000,"NA  ")</f>
        <v>594.70899470899485</v>
      </c>
      <c r="AK281" s="79"/>
      <c r="AL281" s="47"/>
      <c r="AM281" s="436">
        <f t="shared" ref="AM281:AX281" si="711">IFERROR((AM280-AL280)*10000,"NA  ")</f>
        <v>47.602089268755918</v>
      </c>
      <c r="AN281" s="436">
        <f t="shared" si="711"/>
        <v>-38.244922434247655</v>
      </c>
      <c r="AO281" s="436">
        <f t="shared" si="711"/>
        <v>-73.757904694713716</v>
      </c>
      <c r="AP281" s="436">
        <f t="shared" si="711"/>
        <v>-137.39754383251008</v>
      </c>
      <c r="AQ281" s="436">
        <f t="shared" si="711"/>
        <v>13.492103824419566</v>
      </c>
      <c r="AR281" s="436">
        <f t="shared" si="711"/>
        <v>38.185198648256204</v>
      </c>
      <c r="AS281" s="436">
        <f t="shared" si="711"/>
        <v>-250.31137072909547</v>
      </c>
      <c r="AT281" s="436">
        <f t="shared" si="711"/>
        <v>-70.011295134797535</v>
      </c>
      <c r="AU281" s="436">
        <f t="shared" si="711"/>
        <v>27.786425812731942</v>
      </c>
      <c r="AV281" s="436">
        <f t="shared" si="711"/>
        <v>-99.009447395465855</v>
      </c>
      <c r="AW281" s="436">
        <f t="shared" si="711"/>
        <v>100.00000000000009</v>
      </c>
      <c r="AX281" s="436">
        <f t="shared" si="711"/>
        <v>0</v>
      </c>
      <c r="BK281" s="1346" t="s">
        <v>188</v>
      </c>
      <c r="BL281" s="1312"/>
      <c r="BM281" s="1312"/>
      <c r="BP281" s="1321">
        <f t="shared" si="694"/>
        <v>2.0727272727272705E-2</v>
      </c>
      <c r="BQ281" s="1321">
        <f t="shared" ref="BQ281:BS281" si="712">BQ273/BP273-1</f>
        <v>0</v>
      </c>
      <c r="BR281" s="1321">
        <f t="shared" si="712"/>
        <v>0</v>
      </c>
      <c r="BS281" s="1321">
        <f t="shared" si="712"/>
        <v>0</v>
      </c>
    </row>
    <row r="282" spans="3:71" ht="11.25" customHeight="1" outlineLevel="1">
      <c r="C282" s="111"/>
      <c r="E282" s="33"/>
      <c r="F282" s="33"/>
      <c r="G282" s="33"/>
      <c r="H282" s="33"/>
      <c r="I282" s="33"/>
      <c r="J282" s="33"/>
      <c r="K282" s="33"/>
      <c r="L282" s="33"/>
      <c r="M282" s="33"/>
      <c r="N282" s="33"/>
      <c r="O282" s="33"/>
      <c r="P282" s="33"/>
      <c r="Q282" s="33"/>
      <c r="R282" s="33"/>
      <c r="AK282" s="79"/>
      <c r="AL282" s="33"/>
      <c r="AM282" s="520"/>
      <c r="AN282" s="520"/>
      <c r="AO282" s="520"/>
      <c r="AP282" s="520"/>
      <c r="AQ282" s="520"/>
      <c r="AR282" s="520"/>
      <c r="AS282" s="520"/>
      <c r="AT282" s="520"/>
      <c r="AU282" s="520"/>
      <c r="AV282" s="520"/>
      <c r="AW282" s="520"/>
      <c r="AX282" s="520"/>
      <c r="BK282" s="25"/>
      <c r="BL282" s="427"/>
      <c r="BM282" s="427"/>
      <c r="BP282" s="521"/>
      <c r="BQ282" s="521"/>
      <c r="BR282" s="521"/>
      <c r="BS282" s="521"/>
    </row>
    <row r="283" spans="3:71" ht="11.25" customHeight="1">
      <c r="C283" s="45" t="s">
        <v>617</v>
      </c>
      <c r="E283" s="31">
        <f t="shared" ref="E283:AJ283" si="713">E278+E346</f>
        <v>203.71724137931034</v>
      </c>
      <c r="F283" s="31">
        <f t="shared" si="713"/>
        <v>219.64137931034483</v>
      </c>
      <c r="G283" s="31">
        <f t="shared" si="713"/>
        <v>212</v>
      </c>
      <c r="H283" s="31">
        <f t="shared" si="713"/>
        <v>183.64137931034483</v>
      </c>
      <c r="I283" s="31">
        <f t="shared" si="713"/>
        <v>205.61499148211243</v>
      </c>
      <c r="J283" s="31">
        <f t="shared" si="713"/>
        <v>214.34071550255535</v>
      </c>
      <c r="K283" s="31">
        <f t="shared" si="713"/>
        <v>239.70357751277683</v>
      </c>
      <c r="L283" s="31">
        <f t="shared" si="713"/>
        <v>214.34071550255535</v>
      </c>
      <c r="M283" s="31">
        <f t="shared" si="713"/>
        <v>233.11258278145695</v>
      </c>
      <c r="N283" s="31">
        <f t="shared" si="713"/>
        <v>241.66225165562915</v>
      </c>
      <c r="O283" s="31">
        <f t="shared" si="713"/>
        <v>236.75</v>
      </c>
      <c r="P283" s="31">
        <f t="shared" si="713"/>
        <v>178.4751655629139</v>
      </c>
      <c r="Q283" s="31">
        <f t="shared" si="713"/>
        <v>167.64811783960721</v>
      </c>
      <c r="R283" s="31">
        <f t="shared" si="713"/>
        <v>166.93617021276594</v>
      </c>
      <c r="S283" s="31">
        <f t="shared" si="713"/>
        <v>161.49590834697219</v>
      </c>
      <c r="T283" s="31">
        <f t="shared" si="713"/>
        <v>134.91980360065466</v>
      </c>
      <c r="U283" s="31">
        <f t="shared" si="713"/>
        <v>168.9651567944251</v>
      </c>
      <c r="V283" s="31">
        <f t="shared" si="713"/>
        <v>136.42508710801394</v>
      </c>
      <c r="W283" s="31">
        <f t="shared" si="713"/>
        <v>130.26480836236934</v>
      </c>
      <c r="X283" s="31">
        <f t="shared" si="713"/>
        <v>139.34494773519162</v>
      </c>
      <c r="Y283" s="31">
        <f t="shared" si="713"/>
        <v>163.05018587360595</v>
      </c>
      <c r="Z283" s="31">
        <f t="shared" si="713"/>
        <v>152.6914498141264</v>
      </c>
      <c r="AA283" s="31">
        <f t="shared" si="713"/>
        <v>164.28438661710038</v>
      </c>
      <c r="AB283" s="31">
        <f t="shared" si="713"/>
        <v>144.97397769516729</v>
      </c>
      <c r="AC283" s="31">
        <f t="shared" si="713"/>
        <v>203.02096436058702</v>
      </c>
      <c r="AD283" s="31">
        <f t="shared" si="713"/>
        <v>196.31865828092242</v>
      </c>
      <c r="AE283" s="31">
        <f t="shared" si="713"/>
        <v>177.83018867924528</v>
      </c>
      <c r="AF283" s="31">
        <f t="shared" si="713"/>
        <v>110.83018867924528</v>
      </c>
      <c r="AG283" s="31">
        <f t="shared" ref="AG283" si="714">AG278+AG346</f>
        <v>165.9748427672956</v>
      </c>
      <c r="AH283" s="31">
        <f t="shared" si="713"/>
        <v>176.51877147289477</v>
      </c>
      <c r="AI283" s="31">
        <f t="shared" si="713"/>
        <v>174.29144814492687</v>
      </c>
      <c r="AJ283" s="31">
        <f t="shared" si="713"/>
        <v>155.84012481695893</v>
      </c>
      <c r="AK283" s="79"/>
      <c r="AL283" s="31">
        <f t="shared" ref="AL283:AX283" si="715">AL278+AL346</f>
        <v>686</v>
      </c>
      <c r="AM283" s="31">
        <f t="shared" si="715"/>
        <v>863</v>
      </c>
      <c r="AN283" s="31">
        <f t="shared" si="715"/>
        <v>819</v>
      </c>
      <c r="AO283" s="31">
        <f t="shared" si="715"/>
        <v>874</v>
      </c>
      <c r="AP283" s="31">
        <f t="shared" si="715"/>
        <v>890</v>
      </c>
      <c r="AQ283" s="31">
        <f t="shared" si="715"/>
        <v>631</v>
      </c>
      <c r="AR283" s="31">
        <f t="shared" si="715"/>
        <v>575</v>
      </c>
      <c r="AS283" s="31">
        <f t="shared" si="715"/>
        <v>625</v>
      </c>
      <c r="AT283" s="31">
        <f t="shared" si="715"/>
        <v>688</v>
      </c>
      <c r="AU283" s="31">
        <f t="shared" si="715"/>
        <v>672.62518720207618</v>
      </c>
      <c r="AV283" s="31">
        <f t="shared" si="715"/>
        <v>656.12114446056182</v>
      </c>
      <c r="AW283" s="31">
        <f t="shared" si="715"/>
        <v>708.4432766039763</v>
      </c>
      <c r="AX283" s="31">
        <f t="shared" si="715"/>
        <v>730.684396353274</v>
      </c>
      <c r="BP283" s="576">
        <f>BP275/BO275-1</f>
        <v>7.339999999999991E-2</v>
      </c>
      <c r="BQ283" s="576">
        <f t="shared" ref="BQ283:BS283" si="716">BQ275/BP275-1</f>
        <v>0</v>
      </c>
      <c r="BR283" s="576">
        <f t="shared" si="716"/>
        <v>0</v>
      </c>
      <c r="BS283" s="576">
        <f t="shared" si="716"/>
        <v>0</v>
      </c>
    </row>
    <row r="284" spans="3:71" ht="11.25" customHeight="1" outlineLevel="1">
      <c r="C284" s="93" t="s">
        <v>358</v>
      </c>
      <c r="E284" s="124"/>
      <c r="F284" s="124"/>
      <c r="G284" s="124"/>
      <c r="H284" s="124"/>
      <c r="I284" s="94">
        <f t="shared" ref="I284:AC284" si="717">IFERROR(I283/E283-1,"NA  ")</f>
        <v>9.3156086836487795E-3</v>
      </c>
      <c r="J284" s="94">
        <f t="shared" si="717"/>
        <v>-2.413326589203324E-2</v>
      </c>
      <c r="K284" s="94">
        <f t="shared" si="717"/>
        <v>0.13067725241875872</v>
      </c>
      <c r="L284" s="94">
        <f t="shared" si="717"/>
        <v>0.16717003709893818</v>
      </c>
      <c r="M284" s="94">
        <f t="shared" si="717"/>
        <v>0.13373339706962306</v>
      </c>
      <c r="N284" s="94">
        <f t="shared" si="717"/>
        <v>0.12746778459246144</v>
      </c>
      <c r="O284" s="94">
        <f t="shared" si="717"/>
        <v>-1.2321791536963556E-2</v>
      </c>
      <c r="P284" s="94">
        <f t="shared" si="717"/>
        <v>-0.16732961749963859</v>
      </c>
      <c r="Q284" s="94">
        <f t="shared" si="717"/>
        <v>-0.28082767631304861</v>
      </c>
      <c r="R284" s="94">
        <f t="shared" si="717"/>
        <v>-0.3092170205769188</v>
      </c>
      <c r="S284" s="94">
        <f t="shared" si="717"/>
        <v>-0.31786311152282076</v>
      </c>
      <c r="T284" s="94">
        <f t="shared" si="717"/>
        <v>-0.24404158317984936</v>
      </c>
      <c r="U284" s="94">
        <f t="shared" si="717"/>
        <v>7.8559722100663976E-3</v>
      </c>
      <c r="V284" s="94">
        <f t="shared" si="717"/>
        <v>-0.1827709541069773</v>
      </c>
      <c r="W284" s="94">
        <f t="shared" si="717"/>
        <v>-0.19338632355627972</v>
      </c>
      <c r="X284" s="94">
        <f t="shared" si="717"/>
        <v>3.279832920328607E-2</v>
      </c>
      <c r="Y284" s="94">
        <f t="shared" si="717"/>
        <v>-3.5007045434910067E-2</v>
      </c>
      <c r="Z284" s="94">
        <f t="shared" si="717"/>
        <v>0.11923292886178372</v>
      </c>
      <c r="AA284" s="94">
        <f t="shared" si="717"/>
        <v>0.26115708979585439</v>
      </c>
      <c r="AB284" s="94">
        <f t="shared" si="717"/>
        <v>4.0396369236672669E-2</v>
      </c>
      <c r="AC284" s="94">
        <f t="shared" si="717"/>
        <v>0.2451440228223094</v>
      </c>
      <c r="AD284" s="94">
        <f t="shared" ref="AD284" si="718">IFERROR(AD283/Z283-1,"NA  ")</f>
        <v>0.28572135846443314</v>
      </c>
      <c r="AE284" s="94">
        <f t="shared" ref="AE284" si="719">IFERROR(AE283/AA283-1,"NA  ")</f>
        <v>8.2453374548101532E-2</v>
      </c>
      <c r="AF284" s="94">
        <f t="shared" ref="AF284:AG284" si="720">IFERROR(AF283/AB283-1,"NA  ")</f>
        <v>-0.23551667381104213</v>
      </c>
      <c r="AG284" s="94">
        <f t="shared" si="720"/>
        <v>-0.18247436519655935</v>
      </c>
      <c r="AH284" s="94">
        <f t="shared" ref="AH284" si="721">IFERROR(AH283/AD283-1,"NA  ")</f>
        <v>-0.1008558584365169</v>
      </c>
      <c r="AI284" s="94">
        <f t="shared" ref="AI284" si="722">IFERROR(AI283/AE283-1,"NA  ")</f>
        <v>-1.9899548893249408E-2</v>
      </c>
      <c r="AJ284" s="94">
        <f t="shared" ref="AJ284" si="723">IFERROR(AJ283/AF283-1,"NA  ")</f>
        <v>0.40611620961845829</v>
      </c>
      <c r="AK284" s="79"/>
      <c r="AL284" s="124"/>
      <c r="AM284" s="94">
        <f t="shared" ref="AM284:AX284" si="724">IFERROR(AM283/AL283-1,"NA  ")</f>
        <v>0.25801749271137031</v>
      </c>
      <c r="AN284" s="94">
        <f t="shared" si="724"/>
        <v>-5.0984936268829717E-2</v>
      </c>
      <c r="AO284" s="94">
        <f t="shared" si="724"/>
        <v>6.7155067155067139E-2</v>
      </c>
      <c r="AP284" s="94">
        <f t="shared" si="724"/>
        <v>1.8306636155606348E-2</v>
      </c>
      <c r="AQ284" s="94">
        <f t="shared" si="724"/>
        <v>-0.29101123595505618</v>
      </c>
      <c r="AR284" s="94">
        <f t="shared" si="724"/>
        <v>-8.8748019017432678E-2</v>
      </c>
      <c r="AS284" s="94">
        <f t="shared" si="724"/>
        <v>8.6956521739130377E-2</v>
      </c>
      <c r="AT284" s="94">
        <f t="shared" si="724"/>
        <v>0.1008</v>
      </c>
      <c r="AU284" s="94">
        <f t="shared" si="724"/>
        <v>-2.2347111624889227E-2</v>
      </c>
      <c r="AV284" s="94">
        <f t="shared" si="724"/>
        <v>-2.4536759930395058E-2</v>
      </c>
      <c r="AW284" s="94">
        <f t="shared" si="724"/>
        <v>7.9744621226056855E-2</v>
      </c>
      <c r="AX284" s="94">
        <f t="shared" si="724"/>
        <v>3.1394355037023702E-2</v>
      </c>
    </row>
    <row r="285" spans="3:71" ht="11.25" customHeight="1" outlineLevel="1">
      <c r="C285" s="93" t="s">
        <v>360</v>
      </c>
      <c r="E285" s="94">
        <f t="shared" ref="E285:AJ285" si="725">E283/E250</f>
        <v>0.27641416740747671</v>
      </c>
      <c r="F285" s="94">
        <f t="shared" si="725"/>
        <v>0.28524854455888937</v>
      </c>
      <c r="G285" s="94">
        <f t="shared" si="725"/>
        <v>0.28191489361702127</v>
      </c>
      <c r="H285" s="94">
        <f t="shared" si="725"/>
        <v>0.25505747126436784</v>
      </c>
      <c r="I285" s="94">
        <f t="shared" si="725"/>
        <v>0.26599610799755813</v>
      </c>
      <c r="J285" s="94">
        <f t="shared" si="725"/>
        <v>0.2582418259066932</v>
      </c>
      <c r="K285" s="94">
        <f t="shared" si="725"/>
        <v>0.27054579854715216</v>
      </c>
      <c r="L285" s="94">
        <f t="shared" si="725"/>
        <v>0.25098444438238332</v>
      </c>
      <c r="M285" s="94">
        <f t="shared" si="725"/>
        <v>0.24825621169484233</v>
      </c>
      <c r="N285" s="94">
        <f t="shared" si="725"/>
        <v>0.25654166842423476</v>
      </c>
      <c r="O285" s="94">
        <f t="shared" si="725"/>
        <v>0.25874316939890712</v>
      </c>
      <c r="P285" s="94">
        <f t="shared" si="725"/>
        <v>0.20972404884008683</v>
      </c>
      <c r="Q285" s="94">
        <f t="shared" si="725"/>
        <v>0.25792018129170341</v>
      </c>
      <c r="R285" s="94">
        <f t="shared" si="725"/>
        <v>0.27012325277146593</v>
      </c>
      <c r="S285" s="94">
        <f t="shared" si="725"/>
        <v>0.2608980748739454</v>
      </c>
      <c r="T285" s="94">
        <f t="shared" si="725"/>
        <v>0.23753486549411032</v>
      </c>
      <c r="U285" s="94">
        <f t="shared" si="725"/>
        <v>0.26566848552582562</v>
      </c>
      <c r="V285" s="94">
        <f t="shared" si="725"/>
        <v>0.24060861923811983</v>
      </c>
      <c r="W285" s="94">
        <f t="shared" si="725"/>
        <v>0.23641526018578826</v>
      </c>
      <c r="X285" s="94">
        <f t="shared" si="725"/>
        <v>0.23698120363127828</v>
      </c>
      <c r="Y285" s="94">
        <f t="shared" si="725"/>
        <v>0.24263420516905648</v>
      </c>
      <c r="Z285" s="94">
        <f t="shared" si="725"/>
        <v>0.21148400251264043</v>
      </c>
      <c r="AA285" s="94">
        <f t="shared" si="725"/>
        <v>0.21197985369948436</v>
      </c>
      <c r="AB285" s="94">
        <f t="shared" si="725"/>
        <v>0.18586407396816321</v>
      </c>
      <c r="AC285" s="94">
        <f t="shared" si="725"/>
        <v>0.22837003865082903</v>
      </c>
      <c r="AD285" s="94">
        <f t="shared" si="725"/>
        <v>0.21246608039060869</v>
      </c>
      <c r="AE285" s="94">
        <f t="shared" si="725"/>
        <v>0.19628056145612063</v>
      </c>
      <c r="AF285" s="94">
        <f t="shared" si="725"/>
        <v>0.14660077867625038</v>
      </c>
      <c r="AG285" s="94">
        <f t="shared" ref="AG285" si="726">AG283/AG250</f>
        <v>0.21360983625134569</v>
      </c>
      <c r="AH285" s="94">
        <f t="shared" si="725"/>
        <v>0.20323152283422535</v>
      </c>
      <c r="AI285" s="94">
        <f t="shared" si="725"/>
        <v>0.20465390087939372</v>
      </c>
      <c r="AJ285" s="94">
        <f t="shared" si="725"/>
        <v>0.21251312498903469</v>
      </c>
      <c r="AK285" s="79"/>
      <c r="AL285" s="94">
        <f t="shared" ref="AL285:AX285" si="727">AL283/AL250</f>
        <v>0.25984848484848483</v>
      </c>
      <c r="AM285" s="94">
        <f t="shared" si="727"/>
        <v>0.2731877176321621</v>
      </c>
      <c r="AN285" s="94">
        <f t="shared" si="727"/>
        <v>0.27492447129909364</v>
      </c>
      <c r="AO285" s="94">
        <f t="shared" si="727"/>
        <v>0.2614418187256955</v>
      </c>
      <c r="AP285" s="94">
        <f t="shared" si="727"/>
        <v>0.24403619413216343</v>
      </c>
      <c r="AQ285" s="94">
        <f t="shared" si="727"/>
        <v>0.25702647657841138</v>
      </c>
      <c r="AR285" s="94">
        <f t="shared" si="727"/>
        <v>0.24551665243381726</v>
      </c>
      <c r="AS285" s="94">
        <f t="shared" si="727"/>
        <v>0.2119362495761275</v>
      </c>
      <c r="AT285" s="94">
        <f t="shared" si="727"/>
        <v>0.19798561151079136</v>
      </c>
      <c r="AU285" s="94">
        <f t="shared" si="727"/>
        <v>0.2082095722057366</v>
      </c>
      <c r="AV285" s="94">
        <f t="shared" si="727"/>
        <v>0.19718522710418854</v>
      </c>
      <c r="AW285" s="94">
        <f t="shared" si="727"/>
        <v>0.20670843529221947</v>
      </c>
      <c r="AX285" s="94">
        <f t="shared" si="727"/>
        <v>0.20698826533876805</v>
      </c>
      <c r="BK285" s="1354" t="s">
        <v>1703</v>
      </c>
      <c r="BL285" s="1337"/>
      <c r="BM285" s="1337"/>
      <c r="BO285" s="1338">
        <v>2022</v>
      </c>
      <c r="BP285" s="1338">
        <f t="shared" ref="BP285:BS285" si="728">BO285+1</f>
        <v>2023</v>
      </c>
      <c r="BQ285" s="1338">
        <f t="shared" si="728"/>
        <v>2024</v>
      </c>
      <c r="BR285" s="1338">
        <f t="shared" si="728"/>
        <v>2025</v>
      </c>
      <c r="BS285" s="1338">
        <f t="shared" si="728"/>
        <v>2026</v>
      </c>
    </row>
    <row r="286" spans="3:71" ht="11.25" customHeight="1" outlineLevel="1">
      <c r="C286" s="93" t="s">
        <v>396</v>
      </c>
      <c r="E286" s="47"/>
      <c r="F286" s="47"/>
      <c r="G286" s="47"/>
      <c r="H286" s="47"/>
      <c r="I286" s="436">
        <f t="shared" ref="I286:AC286" si="729">IFERROR((I285-E285)*10000,"NA  ")</f>
        <v>-104.18059409918578</v>
      </c>
      <c r="J286" s="436">
        <f t="shared" si="729"/>
        <v>-270.06718652196173</v>
      </c>
      <c r="K286" s="436">
        <f t="shared" si="729"/>
        <v>-113.69095069869107</v>
      </c>
      <c r="L286" s="436">
        <f t="shared" si="729"/>
        <v>-40.730268819845207</v>
      </c>
      <c r="M286" s="436">
        <f t="shared" si="729"/>
        <v>-177.39896302715803</v>
      </c>
      <c r="N286" s="436">
        <f t="shared" si="729"/>
        <v>-17.00157482458442</v>
      </c>
      <c r="O286" s="436">
        <f t="shared" si="729"/>
        <v>-118.02629148245036</v>
      </c>
      <c r="P286" s="436">
        <f t="shared" si="729"/>
        <v>-412.60395542296493</v>
      </c>
      <c r="Q286" s="436">
        <f t="shared" si="729"/>
        <v>96.639695968610823</v>
      </c>
      <c r="R286" s="436">
        <f t="shared" si="729"/>
        <v>135.81584347231168</v>
      </c>
      <c r="S286" s="436">
        <f t="shared" si="729"/>
        <v>21.549054750382712</v>
      </c>
      <c r="T286" s="436">
        <f t="shared" si="729"/>
        <v>278.10816654023489</v>
      </c>
      <c r="U286" s="436">
        <f t="shared" si="729"/>
        <v>77.483042341222045</v>
      </c>
      <c r="V286" s="436">
        <f t="shared" si="729"/>
        <v>-295.14633533346102</v>
      </c>
      <c r="W286" s="436">
        <f t="shared" si="729"/>
        <v>-244.82814688157134</v>
      </c>
      <c r="X286" s="436">
        <f t="shared" si="729"/>
        <v>-5.5366186283203884</v>
      </c>
      <c r="Y286" s="436">
        <f t="shared" si="729"/>
        <v>-230.34280356769133</v>
      </c>
      <c r="Z286" s="436">
        <f t="shared" si="729"/>
        <v>-291.24616725479393</v>
      </c>
      <c r="AA286" s="436">
        <f t="shared" si="729"/>
        <v>-244.35406486303907</v>
      </c>
      <c r="AB286" s="436">
        <f t="shared" si="729"/>
        <v>-511.17129663115077</v>
      </c>
      <c r="AC286" s="436">
        <f t="shared" si="729"/>
        <v>-142.64166518227455</v>
      </c>
      <c r="AD286" s="436">
        <f t="shared" ref="AD286" si="730">IFERROR((AD285-Z285)*10000,"NA  ")</f>
        <v>9.8207787796825148</v>
      </c>
      <c r="AE286" s="436">
        <f t="shared" ref="AE286" si="731">IFERROR((AE285-AA285)*10000,"NA  ")</f>
        <v>-156.9929224336372</v>
      </c>
      <c r="AF286" s="436">
        <f t="shared" ref="AF286:AG286" si="732">IFERROR((AF285-AB285)*10000,"NA  ")</f>
        <v>-392.63295291912829</v>
      </c>
      <c r="AG286" s="436">
        <f t="shared" si="732"/>
        <v>-147.60202399483336</v>
      </c>
      <c r="AH286" s="436">
        <f t="shared" ref="AH286" si="733">IFERROR((AH285-AD285)*10000,"NA  ")</f>
        <v>-92.345575563833322</v>
      </c>
      <c r="AI286" s="436">
        <f t="shared" ref="AI286" si="734">IFERROR((AI285-AE285)*10000,"NA  ")</f>
        <v>83.733394232730902</v>
      </c>
      <c r="AJ286" s="436">
        <f t="shared" ref="AJ286" si="735">IFERROR((AJ285-AF285)*10000,"NA  ")</f>
        <v>659.12346312784314</v>
      </c>
      <c r="AK286" s="79"/>
      <c r="AL286" s="443"/>
      <c r="AM286" s="436">
        <f t="shared" ref="AM286:AX286" si="736">IFERROR((AM285-AL285)*10000,"NA  ")</f>
        <v>133.39232783677269</v>
      </c>
      <c r="AN286" s="436">
        <f t="shared" si="736"/>
        <v>17.367536669315452</v>
      </c>
      <c r="AO286" s="436">
        <f t="shared" si="736"/>
        <v>-134.82652573398147</v>
      </c>
      <c r="AP286" s="436">
        <f t="shared" si="736"/>
        <v>-174.05624593532065</v>
      </c>
      <c r="AQ286" s="436">
        <f t="shared" si="736"/>
        <v>129.90282446247946</v>
      </c>
      <c r="AR286" s="436">
        <f t="shared" si="736"/>
        <v>-115.09824144594117</v>
      </c>
      <c r="AS286" s="436">
        <f t="shared" si="736"/>
        <v>-335.80402857689762</v>
      </c>
      <c r="AT286" s="436">
        <f t="shared" si="736"/>
        <v>-139.50638065336142</v>
      </c>
      <c r="AU286" s="436">
        <f t="shared" si="736"/>
        <v>102.23960694945245</v>
      </c>
      <c r="AV286" s="436">
        <f t="shared" si="736"/>
        <v>-110.24345101548066</v>
      </c>
      <c r="AW286" s="436">
        <f t="shared" si="736"/>
        <v>95.232081880309295</v>
      </c>
      <c r="AX286" s="436">
        <f t="shared" si="736"/>
        <v>2.7983004654857924</v>
      </c>
      <c r="BK286" s="1345" t="s">
        <v>1142</v>
      </c>
      <c r="BL286" s="1359"/>
      <c r="BM286" s="1359"/>
      <c r="BO286" s="1360">
        <f>(BO257/2+BO252/2)/BO$258</f>
        <v>0.16500000000000001</v>
      </c>
      <c r="BP286" s="1360">
        <f>(BP257/2+BP252/2)/BP$258</f>
        <v>0.16629401900503074</v>
      </c>
      <c r="BQ286" s="1360">
        <f t="shared" ref="BQ286:BS286" si="737">(BQ257/2+BQ252/2)/BQ$258</f>
        <v>0.16629401900503074</v>
      </c>
      <c r="BR286" s="1360">
        <f t="shared" si="737"/>
        <v>0.16629401900503074</v>
      </c>
      <c r="BS286" s="1360">
        <f t="shared" si="737"/>
        <v>0.16629401900503074</v>
      </c>
    </row>
    <row r="287" spans="3:71" ht="11.25" customHeight="1" outlineLevel="1">
      <c r="C287" s="93"/>
      <c r="E287" s="47"/>
      <c r="F287" s="47"/>
      <c r="G287" s="47"/>
      <c r="H287" s="47"/>
      <c r="I287" s="436"/>
      <c r="J287" s="436"/>
      <c r="K287" s="436"/>
      <c r="L287" s="436"/>
      <c r="M287" s="436"/>
      <c r="N287" s="436"/>
      <c r="O287" s="436"/>
      <c r="P287" s="436"/>
      <c r="Q287" s="436"/>
      <c r="R287" s="436"/>
      <c r="S287" s="436"/>
      <c r="T287" s="436"/>
      <c r="U287" s="436"/>
      <c r="V287" s="436"/>
      <c r="W287" s="436"/>
      <c r="X287" s="436"/>
      <c r="Y287" s="436"/>
      <c r="Z287" s="436"/>
      <c r="AA287" s="436"/>
      <c r="AB287" s="436"/>
      <c r="AC287" s="436"/>
      <c r="AD287" s="436"/>
      <c r="AE287" s="436"/>
      <c r="AF287" s="436"/>
      <c r="AG287" s="436"/>
      <c r="AH287" s="436"/>
      <c r="AI287" s="436"/>
      <c r="AJ287" s="436"/>
      <c r="AK287" s="79"/>
      <c r="AL287" s="443"/>
      <c r="AM287" s="436"/>
      <c r="AN287" s="436"/>
      <c r="AO287" s="436"/>
      <c r="AP287" s="436"/>
      <c r="AQ287" s="436"/>
      <c r="AR287" s="436"/>
      <c r="AS287" s="436"/>
      <c r="AT287" s="436"/>
      <c r="AU287" s="436"/>
      <c r="AV287" s="436"/>
      <c r="AW287" s="436"/>
      <c r="AX287" s="436"/>
      <c r="BK287" s="1356" t="s">
        <v>1143</v>
      </c>
      <c r="BL287" s="1361"/>
      <c r="BM287" s="1361"/>
      <c r="BO287" s="1362">
        <f>(BO251+BO254+BO252/2)/BO$258</f>
        <v>0.40500000000000003</v>
      </c>
      <c r="BP287" s="1362">
        <f>(BP251+BP254+BP252/2)/BP$258</f>
        <v>0.42155766722563814</v>
      </c>
      <c r="BQ287" s="1362">
        <f t="shared" ref="BQ287:BS287" si="738">(BQ251+BQ254+BQ252/2)/BQ$258</f>
        <v>0.42155766722563814</v>
      </c>
      <c r="BR287" s="1362">
        <f t="shared" si="738"/>
        <v>0.42155766722563814</v>
      </c>
      <c r="BS287" s="1362">
        <f t="shared" si="738"/>
        <v>0.42155766722563814</v>
      </c>
    </row>
    <row r="288" spans="3:71" ht="11.25" customHeight="1">
      <c r="C288" s="26" t="s">
        <v>397</v>
      </c>
      <c r="AK288" s="79"/>
      <c r="BK288" s="1351" t="s">
        <v>188</v>
      </c>
      <c r="BL288" s="1363"/>
      <c r="BM288" s="1363"/>
      <c r="BO288" s="1364">
        <f>(BO253+BO250/2+BO256/2+BO255)/BO$258</f>
        <v>0.27500000000000002</v>
      </c>
      <c r="BP288" s="1364">
        <f>(BP253+BP250/2+BP256/2+BP255)/BP$258</f>
        <v>0.26150549655300914</v>
      </c>
      <c r="BQ288" s="1364">
        <f t="shared" ref="BQ288:BS288" si="739">(BQ253+BQ250/2+BQ256/2+BQ255)/BQ$258</f>
        <v>0.26150549655300914</v>
      </c>
      <c r="BR288" s="1364">
        <f t="shared" si="739"/>
        <v>0.26150549655300914</v>
      </c>
      <c r="BS288" s="1364">
        <f t="shared" si="739"/>
        <v>0.26150549655300914</v>
      </c>
    </row>
    <row r="289" spans="3:71" ht="11.25" customHeight="1">
      <c r="C289" s="43" t="s">
        <v>1142</v>
      </c>
      <c r="E289" s="47"/>
      <c r="F289" s="47"/>
      <c r="G289" s="47"/>
      <c r="H289" s="47"/>
      <c r="I289" s="47"/>
      <c r="J289" s="47"/>
      <c r="K289" s="47"/>
      <c r="L289" s="47"/>
      <c r="M289" s="47"/>
      <c r="N289" s="47"/>
      <c r="O289" s="47"/>
      <c r="P289" s="47"/>
      <c r="Q289" s="47"/>
      <c r="R289" s="47"/>
      <c r="AK289" s="79"/>
      <c r="AL289" s="66">
        <v>0</v>
      </c>
      <c r="AM289" s="66">
        <v>0.12</v>
      </c>
      <c r="AN289" s="66">
        <v>0.12</v>
      </c>
      <c r="AO289" s="66">
        <v>0.12</v>
      </c>
      <c r="AP289" s="66">
        <v>0.14000000000000001</v>
      </c>
      <c r="AQ289" s="1405">
        <v>0.09</v>
      </c>
      <c r="AR289" s="520">
        <v>0.08</v>
      </c>
      <c r="AS289" s="520">
        <v>0.12</v>
      </c>
      <c r="AT289" s="66">
        <v>0.06</v>
      </c>
      <c r="AV289" s="66"/>
      <c r="BK289" s="1368" t="s">
        <v>191</v>
      </c>
      <c r="BL289" s="1365"/>
      <c r="BM289" s="1365"/>
      <c r="BO289" s="1366">
        <f>(BO257/2+BO250/2+BO256/2)/BO$258</f>
        <v>0.155</v>
      </c>
      <c r="BP289" s="1366">
        <f>(BP257/2+BP250/2+BP256/2)/BP$258</f>
        <v>0.15064281721632197</v>
      </c>
      <c r="BQ289" s="1366">
        <f t="shared" ref="BQ289:BS289" si="740">(BQ257/2+BQ250/2+BQ256/2)/BQ$258</f>
        <v>0.15064281721632197</v>
      </c>
      <c r="BR289" s="1366">
        <f t="shared" si="740"/>
        <v>0.15064281721632197</v>
      </c>
      <c r="BS289" s="1366">
        <f t="shared" si="740"/>
        <v>0.15064281721632197</v>
      </c>
    </row>
    <row r="290" spans="3:71" ht="11.25" customHeight="1">
      <c r="C290" s="43" t="s">
        <v>1143</v>
      </c>
      <c r="D290" s="24" t="s">
        <v>1144</v>
      </c>
      <c r="E290" s="47"/>
      <c r="F290" s="47"/>
      <c r="G290" s="47"/>
      <c r="H290" s="47"/>
      <c r="I290" s="47"/>
      <c r="J290" s="47"/>
      <c r="K290" s="47"/>
      <c r="L290" s="47"/>
      <c r="M290" s="47"/>
      <c r="N290" s="47"/>
      <c r="O290" s="47"/>
      <c r="P290" s="47"/>
      <c r="Q290" s="47"/>
      <c r="R290" s="47"/>
      <c r="AK290" s="79"/>
      <c r="AL290" s="66">
        <v>0</v>
      </c>
      <c r="AM290" s="66">
        <v>0.15</v>
      </c>
      <c r="AN290" s="66">
        <v>0.15</v>
      </c>
      <c r="AO290" s="66">
        <v>0.17</v>
      </c>
      <c r="AP290" s="66">
        <v>0.17</v>
      </c>
      <c r="AQ290" s="1405">
        <v>0.22</v>
      </c>
      <c r="AR290" s="520">
        <v>0.24</v>
      </c>
      <c r="AS290" s="520">
        <v>0.32</v>
      </c>
      <c r="AT290" s="66">
        <v>0.31</v>
      </c>
      <c r="AV290" s="66"/>
    </row>
    <row r="291" spans="3:71" ht="11.25" customHeight="1">
      <c r="C291" s="43" t="s">
        <v>188</v>
      </c>
      <c r="E291" s="47"/>
      <c r="F291" s="47"/>
      <c r="G291" s="47"/>
      <c r="H291" s="47"/>
      <c r="I291" s="47"/>
      <c r="J291" s="47"/>
      <c r="K291" s="47"/>
      <c r="L291" s="47"/>
      <c r="M291" s="47"/>
      <c r="N291" s="47"/>
      <c r="O291" s="47"/>
      <c r="P291" s="47"/>
      <c r="Q291" s="47"/>
      <c r="R291" s="47"/>
      <c r="AK291" s="79"/>
      <c r="AL291" s="66">
        <v>0.31</v>
      </c>
      <c r="AM291" s="66">
        <v>0.24</v>
      </c>
      <c r="AN291" s="66">
        <v>0.24</v>
      </c>
      <c r="AO291" s="66">
        <v>0.23</v>
      </c>
      <c r="AP291" s="66">
        <v>0.23</v>
      </c>
      <c r="AQ291" s="520">
        <v>0.24</v>
      </c>
      <c r="AR291" s="520">
        <v>0.25</v>
      </c>
      <c r="AS291" s="520">
        <v>0.38</v>
      </c>
      <c r="AT291" s="66">
        <v>0.26</v>
      </c>
      <c r="AV291" s="66"/>
    </row>
    <row r="292" spans="3:71" ht="11.25" customHeight="1">
      <c r="C292" s="43" t="s">
        <v>191</v>
      </c>
      <c r="E292" s="47"/>
      <c r="F292" s="47"/>
      <c r="G292" s="47"/>
      <c r="H292" s="47"/>
      <c r="I292" s="47"/>
      <c r="J292" s="47"/>
      <c r="K292" s="47"/>
      <c r="L292" s="47"/>
      <c r="M292" s="47"/>
      <c r="N292" s="47"/>
      <c r="O292" s="47"/>
      <c r="P292" s="47"/>
      <c r="Q292" s="47"/>
      <c r="R292" s="47"/>
      <c r="AK292" s="79"/>
      <c r="AL292" s="66">
        <v>0</v>
      </c>
      <c r="AM292" s="66">
        <v>0.11</v>
      </c>
      <c r="AN292" s="66">
        <v>0.11</v>
      </c>
      <c r="AO292" s="66">
        <v>0.13</v>
      </c>
      <c r="AP292" s="66">
        <v>0.13</v>
      </c>
      <c r="AQ292" s="520">
        <v>0.14000000000000001</v>
      </c>
      <c r="AR292" s="520">
        <v>0.13</v>
      </c>
      <c r="AS292" s="520">
        <v>0.18</v>
      </c>
      <c r="AT292" s="66">
        <v>0.16</v>
      </c>
      <c r="AV292" s="66"/>
    </row>
    <row r="293" spans="3:71" ht="11.25" customHeight="1">
      <c r="C293" s="43" t="s">
        <v>1799</v>
      </c>
      <c r="E293" s="47"/>
      <c r="F293" s="47"/>
      <c r="G293" s="47"/>
      <c r="H293" s="47"/>
      <c r="I293" s="47"/>
      <c r="J293" s="47"/>
      <c r="K293" s="47"/>
      <c r="L293" s="47"/>
      <c r="M293" s="47"/>
      <c r="N293" s="47"/>
      <c r="O293" s="47"/>
      <c r="P293" s="47"/>
      <c r="Q293" s="47"/>
      <c r="R293" s="47"/>
      <c r="AK293" s="79"/>
      <c r="AL293" s="66"/>
      <c r="AM293" s="66"/>
      <c r="AN293" s="66"/>
      <c r="AO293" s="66"/>
      <c r="AP293" s="66"/>
      <c r="AQ293" s="520"/>
      <c r="AR293" s="520"/>
      <c r="AS293" s="520"/>
      <c r="AT293" s="66">
        <v>0.21</v>
      </c>
      <c r="AV293" s="66"/>
    </row>
    <row r="294" spans="3:71" ht="11.25" customHeight="1">
      <c r="C294" s="43" t="s">
        <v>189</v>
      </c>
      <c r="E294" s="47"/>
      <c r="F294" s="47"/>
      <c r="G294" s="47"/>
      <c r="H294" s="47"/>
      <c r="I294" s="47"/>
      <c r="J294" s="47"/>
      <c r="K294" s="47"/>
      <c r="L294" s="47"/>
      <c r="M294" s="47"/>
      <c r="N294" s="47"/>
      <c r="O294" s="47"/>
      <c r="P294" s="47"/>
      <c r="Q294" s="47"/>
      <c r="R294" s="47"/>
      <c r="AK294" s="79"/>
      <c r="AL294" s="66">
        <v>0.27</v>
      </c>
      <c r="AM294" s="66">
        <v>0.21</v>
      </c>
      <c r="AN294" s="66">
        <v>0.21</v>
      </c>
      <c r="AO294" s="66">
        <v>0.18</v>
      </c>
      <c r="AP294" s="66">
        <v>0.16</v>
      </c>
      <c r="AQ294" s="520">
        <v>0.15</v>
      </c>
      <c r="AR294" s="1485">
        <v>0.16</v>
      </c>
      <c r="AS294" s="1485"/>
      <c r="AT294" s="1028"/>
    </row>
    <row r="295" spans="3:71" ht="11.25" customHeight="1">
      <c r="C295" s="43" t="s">
        <v>190</v>
      </c>
      <c r="E295" s="47"/>
      <c r="F295" s="47"/>
      <c r="G295" s="47"/>
      <c r="H295" s="47"/>
      <c r="I295" s="47"/>
      <c r="J295" s="47"/>
      <c r="K295" s="47"/>
      <c r="L295" s="47"/>
      <c r="M295" s="47"/>
      <c r="N295" s="47"/>
      <c r="O295" s="47"/>
      <c r="P295" s="47"/>
      <c r="Q295" s="47"/>
      <c r="R295" s="47"/>
      <c r="AK295" s="79"/>
      <c r="AL295" s="66">
        <v>0.22</v>
      </c>
      <c r="AM295" s="66">
        <v>0.17</v>
      </c>
      <c r="AN295" s="66">
        <v>0.17</v>
      </c>
      <c r="AO295" s="66">
        <v>0.17</v>
      </c>
      <c r="AP295" s="66">
        <v>0.17</v>
      </c>
      <c r="AQ295" s="520">
        <v>0.16</v>
      </c>
      <c r="AR295" s="1485">
        <v>0.14000000000000001</v>
      </c>
      <c r="AS295" s="1485"/>
      <c r="AT295" s="1028"/>
    </row>
    <row r="296" spans="3:71" ht="11.25" customHeight="1">
      <c r="C296" s="43" t="s">
        <v>108</v>
      </c>
      <c r="E296" s="47"/>
      <c r="F296" s="47"/>
      <c r="G296" s="47"/>
      <c r="H296" s="47"/>
      <c r="I296" s="47"/>
      <c r="J296" s="47"/>
      <c r="K296" s="47"/>
      <c r="L296" s="47"/>
      <c r="M296" s="47"/>
      <c r="N296" s="47"/>
      <c r="O296" s="47"/>
      <c r="P296" s="47"/>
      <c r="Q296" s="47"/>
      <c r="R296" s="47"/>
      <c r="AK296" s="79"/>
      <c r="AL296" s="66">
        <v>0.2</v>
      </c>
      <c r="AM296" s="66">
        <v>0</v>
      </c>
      <c r="AN296" s="66">
        <v>0</v>
      </c>
      <c r="AO296" s="66">
        <v>0</v>
      </c>
      <c r="AP296" s="66">
        <v>0</v>
      </c>
      <c r="AQ296" s="520">
        <v>0</v>
      </c>
      <c r="AR296" s="1485"/>
      <c r="AS296" s="1485"/>
      <c r="AT296" s="1028"/>
    </row>
    <row r="297" spans="3:71" s="27" customFormat="1" ht="11.25" customHeight="1">
      <c r="C297" s="45" t="s">
        <v>168</v>
      </c>
      <c r="E297" s="61"/>
      <c r="F297" s="61"/>
      <c r="G297" s="61"/>
      <c r="H297" s="61"/>
      <c r="I297" s="61"/>
      <c r="J297" s="61"/>
      <c r="K297" s="61"/>
      <c r="L297" s="61"/>
      <c r="M297" s="61"/>
      <c r="N297" s="61"/>
      <c r="O297" s="61"/>
      <c r="P297" s="61"/>
      <c r="Q297" s="61"/>
      <c r="R297" s="61"/>
      <c r="AK297" s="79"/>
      <c r="AL297" s="67">
        <f t="shared" ref="AL297:AR297" si="741">SUM(AL289:AL296)</f>
        <v>1</v>
      </c>
      <c r="AM297" s="67">
        <f t="shared" si="741"/>
        <v>1</v>
      </c>
      <c r="AN297" s="67">
        <f t="shared" si="741"/>
        <v>1</v>
      </c>
      <c r="AO297" s="67">
        <f t="shared" si="741"/>
        <v>1</v>
      </c>
      <c r="AP297" s="67">
        <f t="shared" si="741"/>
        <v>1</v>
      </c>
      <c r="AQ297" s="67">
        <f t="shared" si="741"/>
        <v>1</v>
      </c>
      <c r="AR297" s="67">
        <f t="shared" si="741"/>
        <v>1</v>
      </c>
      <c r="AS297" s="67">
        <f t="shared" ref="AS297:AT297" si="742">SUM(AS289:AS296)</f>
        <v>1</v>
      </c>
      <c r="AT297" s="67">
        <f t="shared" si="742"/>
        <v>1</v>
      </c>
      <c r="AY297" s="1"/>
    </row>
    <row r="298" spans="3:71" ht="5.2" customHeight="1">
      <c r="C298" s="25"/>
      <c r="AK298" s="79"/>
    </row>
    <row r="299" spans="3:71" ht="11.25" customHeight="1">
      <c r="C299" s="43" t="str">
        <f>+C289</f>
        <v xml:space="preserve">Animal Nutrition </v>
      </c>
      <c r="E299" s="47"/>
      <c r="F299" s="47"/>
      <c r="G299" s="47"/>
      <c r="H299" s="47"/>
      <c r="I299" s="47"/>
      <c r="J299" s="47"/>
      <c r="K299" s="47"/>
      <c r="L299" s="47"/>
      <c r="M299" s="47"/>
      <c r="N299" s="47"/>
      <c r="O299" s="47"/>
      <c r="P299" s="47"/>
      <c r="Q299" s="47"/>
      <c r="R299" s="47"/>
      <c r="AK299" s="79"/>
      <c r="AL299" s="28">
        <f t="shared" ref="AL299:AP302" si="743">+AL289*AL$250</f>
        <v>0</v>
      </c>
      <c r="AM299" s="28">
        <f t="shared" si="743"/>
        <v>379.08</v>
      </c>
      <c r="AN299" s="28">
        <f t="shared" si="743"/>
        <v>357.47999999999996</v>
      </c>
      <c r="AO299" s="28">
        <f t="shared" si="743"/>
        <v>401.15999999999997</v>
      </c>
      <c r="AP299" s="28">
        <f t="shared" si="743"/>
        <v>510.58000000000004</v>
      </c>
      <c r="AQ299" s="28">
        <f>+AQ289*$AQ$307</f>
        <v>294.57</v>
      </c>
      <c r="AR299" s="28">
        <f>+AR289*$AR$307</f>
        <v>241.76</v>
      </c>
      <c r="AS299" s="28">
        <f t="shared" ref="AS299:AT302" si="744">+AS289*AS$250</f>
        <v>353.88</v>
      </c>
      <c r="AT299" s="28">
        <f t="shared" si="744"/>
        <v>208.5</v>
      </c>
      <c r="AU299" s="28">
        <f>+AT299*(1+AU316)</f>
        <v>203.28749999999999</v>
      </c>
      <c r="AV299" s="28">
        <f t="shared" ref="AV299:AX299" si="745">+AU299*(1+AV316)</f>
        <v>205.32037499999998</v>
      </c>
      <c r="AW299" s="28">
        <f t="shared" si="745"/>
        <v>207.37357874999998</v>
      </c>
      <c r="AX299" s="28">
        <f t="shared" si="745"/>
        <v>209.44731453749998</v>
      </c>
      <c r="AY299" s="63">
        <f>RATE(7,,-AM299,AT299)</f>
        <v>-8.1856125645506428E-2</v>
      </c>
    </row>
    <row r="300" spans="3:71" ht="11.25" customHeight="1">
      <c r="C300" s="43" t="str">
        <f>+C290</f>
        <v>Care Chemicals and Crop Protection</v>
      </c>
      <c r="E300" s="47"/>
      <c r="F300" s="47"/>
      <c r="G300" s="47"/>
      <c r="H300" s="47"/>
      <c r="I300" s="47"/>
      <c r="J300" s="47"/>
      <c r="K300" s="47"/>
      <c r="L300" s="47"/>
      <c r="M300" s="47"/>
      <c r="N300" s="47"/>
      <c r="O300" s="47"/>
      <c r="P300" s="47"/>
      <c r="Q300" s="47"/>
      <c r="R300" s="47"/>
      <c r="AK300" s="79"/>
      <c r="AL300" s="28">
        <f t="shared" si="743"/>
        <v>0</v>
      </c>
      <c r="AM300" s="28">
        <f t="shared" si="743"/>
        <v>473.84999999999997</v>
      </c>
      <c r="AN300" s="28">
        <f t="shared" si="743"/>
        <v>446.84999999999997</v>
      </c>
      <c r="AO300" s="28">
        <f t="shared" si="743"/>
        <v>568.31000000000006</v>
      </c>
      <c r="AP300" s="28">
        <f t="shared" si="743"/>
        <v>619.99</v>
      </c>
      <c r="AQ300" s="28">
        <f>+AQ290*$AQ$307</f>
        <v>720.06000000000006</v>
      </c>
      <c r="AR300" s="28">
        <f>+AR290*$AR$307</f>
        <v>725.28</v>
      </c>
      <c r="AS300" s="28">
        <f t="shared" si="744"/>
        <v>943.68000000000006</v>
      </c>
      <c r="AT300" s="28">
        <f t="shared" si="744"/>
        <v>1077.25</v>
      </c>
      <c r="AU300" s="28">
        <f>+AT300*(1+AU317)</f>
        <v>1050.3187499999999</v>
      </c>
      <c r="AV300" s="28">
        <f t="shared" ref="AV300:AX302" si="746">+AU300*(1+AV317)</f>
        <v>1060.8219374999999</v>
      </c>
      <c r="AW300" s="28">
        <f t="shared" si="746"/>
        <v>1071.430156875</v>
      </c>
      <c r="AX300" s="28">
        <f t="shared" si="746"/>
        <v>1082.14445844375</v>
      </c>
      <c r="AY300" s="63">
        <f>RATE(7,,-AM300,AT300)</f>
        <v>0.12448498218737854</v>
      </c>
    </row>
    <row r="301" spans="3:71" ht="11.25" customHeight="1">
      <c r="C301" s="43" t="str">
        <f>+C291</f>
        <v>Coatings and Inks Additives</v>
      </c>
      <c r="E301" s="47"/>
      <c r="F301" s="47"/>
      <c r="G301" s="47"/>
      <c r="H301" s="47"/>
      <c r="I301" s="47"/>
      <c r="J301" s="47"/>
      <c r="K301" s="47"/>
      <c r="L301" s="47"/>
      <c r="M301" s="47"/>
      <c r="N301" s="47"/>
      <c r="O301" s="47"/>
      <c r="P301" s="47"/>
      <c r="Q301" s="47"/>
      <c r="R301" s="47"/>
      <c r="AK301" s="79"/>
      <c r="AL301" s="28">
        <f t="shared" si="743"/>
        <v>818.4</v>
      </c>
      <c r="AM301" s="28">
        <f t="shared" si="743"/>
        <v>758.16</v>
      </c>
      <c r="AN301" s="28">
        <f t="shared" si="743"/>
        <v>714.95999999999992</v>
      </c>
      <c r="AO301" s="28">
        <f t="shared" si="743"/>
        <v>768.89</v>
      </c>
      <c r="AP301" s="28">
        <f t="shared" si="743"/>
        <v>838.81000000000006</v>
      </c>
      <c r="AQ301" s="28">
        <f>+AQ291*$AQ$307</f>
        <v>785.52</v>
      </c>
      <c r="AR301" s="28">
        <f>+AR291*$AR$307</f>
        <v>755.5</v>
      </c>
      <c r="AS301" s="28">
        <f t="shared" si="744"/>
        <v>1120.6200000000001</v>
      </c>
      <c r="AT301" s="28">
        <f t="shared" si="744"/>
        <v>903.5</v>
      </c>
      <c r="AU301" s="28">
        <f>+AT301*(1+AU318)</f>
        <v>767.97500000000002</v>
      </c>
      <c r="AV301" s="28">
        <f t="shared" si="746"/>
        <v>729.57624999999996</v>
      </c>
      <c r="AW301" s="28">
        <f t="shared" si="746"/>
        <v>780.64658750000001</v>
      </c>
      <c r="AX301" s="28">
        <f t="shared" si="746"/>
        <v>835.29184862500006</v>
      </c>
      <c r="AY301" s="63">
        <f>RATE(7,,-AM301,AT301)</f>
        <v>2.5371025871714161E-2</v>
      </c>
    </row>
    <row r="302" spans="3:71" ht="11.25" customHeight="1">
      <c r="C302" s="43" t="str">
        <f>+C292</f>
        <v>Specialty Fluids</v>
      </c>
      <c r="E302" s="47"/>
      <c r="F302" s="47"/>
      <c r="G302" s="47"/>
      <c r="H302" s="47"/>
      <c r="I302" s="47"/>
      <c r="J302" s="47"/>
      <c r="K302" s="47"/>
      <c r="L302" s="47"/>
      <c r="M302" s="47"/>
      <c r="N302" s="47"/>
      <c r="O302" s="47"/>
      <c r="P302" s="47"/>
      <c r="Q302" s="47"/>
      <c r="R302" s="47"/>
      <c r="AK302" s="79"/>
      <c r="AL302" s="28">
        <f t="shared" si="743"/>
        <v>0</v>
      </c>
      <c r="AM302" s="28">
        <f t="shared" si="743"/>
        <v>347.49</v>
      </c>
      <c r="AN302" s="28">
        <f t="shared" si="743"/>
        <v>327.69</v>
      </c>
      <c r="AO302" s="28">
        <f t="shared" si="743"/>
        <v>434.59000000000003</v>
      </c>
      <c r="AP302" s="28">
        <f t="shared" si="743"/>
        <v>474.11</v>
      </c>
      <c r="AQ302" s="28">
        <f>+AQ292*$AQ$307</f>
        <v>458.22</v>
      </c>
      <c r="AR302" s="28">
        <f>+AR292*$AR$307</f>
        <v>392.86</v>
      </c>
      <c r="AS302" s="28">
        <f t="shared" si="744"/>
        <v>530.81999999999994</v>
      </c>
      <c r="AT302" s="28">
        <f t="shared" si="744"/>
        <v>556</v>
      </c>
      <c r="AU302" s="28">
        <f>+AT302*(1+AU319)</f>
        <v>583.80000000000007</v>
      </c>
      <c r="AV302" s="28">
        <f t="shared" si="746"/>
        <v>642.18000000000018</v>
      </c>
      <c r="AW302" s="28">
        <f t="shared" si="746"/>
        <v>706.39800000000025</v>
      </c>
      <c r="AX302" s="28">
        <f t="shared" si="746"/>
        <v>777.03780000000029</v>
      </c>
      <c r="AY302" s="63">
        <f>RATE(7,,-AM302,AT302)</f>
        <v>6.9453196626414151E-2</v>
      </c>
    </row>
    <row r="303" spans="3:71" ht="11.25" customHeight="1">
      <c r="C303" s="43"/>
      <c r="E303" s="47"/>
      <c r="F303" s="47"/>
      <c r="G303" s="47"/>
      <c r="H303" s="47"/>
      <c r="I303" s="47"/>
      <c r="J303" s="47"/>
      <c r="K303" s="47"/>
      <c r="L303" s="47"/>
      <c r="M303" s="47"/>
      <c r="N303" s="47"/>
      <c r="O303" s="47"/>
      <c r="P303" s="47"/>
      <c r="Q303" s="47"/>
      <c r="R303" s="47"/>
      <c r="AK303" s="79"/>
      <c r="AL303" s="28"/>
      <c r="AM303" s="28"/>
      <c r="AN303" s="28"/>
      <c r="AO303" s="28"/>
      <c r="AP303" s="28"/>
      <c r="AQ303" s="28"/>
      <c r="AR303" s="28"/>
      <c r="AS303" s="28"/>
      <c r="AT303" s="28">
        <f>+AT293*AT$250</f>
        <v>729.75</v>
      </c>
      <c r="AU303" s="28"/>
      <c r="AV303" s="28"/>
      <c r="AW303" s="28"/>
      <c r="AX303" s="28"/>
      <c r="AY303" s="63"/>
    </row>
    <row r="304" spans="3:71" ht="10.5" customHeight="1">
      <c r="C304" s="43" t="str">
        <f>+C294</f>
        <v>Adhesives Resins</v>
      </c>
      <c r="E304" s="47"/>
      <c r="F304" s="47"/>
      <c r="G304" s="47"/>
      <c r="H304" s="47"/>
      <c r="I304" s="47"/>
      <c r="J304" s="47"/>
      <c r="K304" s="47"/>
      <c r="L304" s="47"/>
      <c r="M304" s="47"/>
      <c r="N304" s="47"/>
      <c r="O304" s="47"/>
      <c r="P304" s="47"/>
      <c r="Q304" s="47"/>
      <c r="R304" s="47"/>
      <c r="AK304" s="79"/>
      <c r="AL304" s="28">
        <f t="shared" ref="AL304:AP306" si="747">+AL294*AL$250</f>
        <v>712.80000000000007</v>
      </c>
      <c r="AM304" s="28">
        <f t="shared" si="747"/>
        <v>663.39</v>
      </c>
      <c r="AN304" s="28">
        <f t="shared" si="747"/>
        <v>625.59</v>
      </c>
      <c r="AO304" s="28">
        <f t="shared" si="747"/>
        <v>601.74</v>
      </c>
      <c r="AP304" s="28">
        <f t="shared" si="747"/>
        <v>583.52</v>
      </c>
      <c r="AQ304" s="28">
        <f>+AQ294*$AQ$307</f>
        <v>490.95</v>
      </c>
      <c r="AR304" s="28">
        <f>+AR294*$AR$307</f>
        <v>483.52</v>
      </c>
      <c r="AS304" s="28">
        <f>+AS294*AS$250</f>
        <v>0</v>
      </c>
      <c r="AT304" s="28">
        <f>+AT294*AT$250</f>
        <v>0</v>
      </c>
      <c r="AU304" s="28">
        <v>0</v>
      </c>
      <c r="AV304" s="28">
        <v>0</v>
      </c>
      <c r="AW304" s="28">
        <v>0</v>
      </c>
      <c r="AX304" s="28">
        <v>0</v>
      </c>
    </row>
    <row r="305" spans="3:61" ht="10.5" customHeight="1">
      <c r="C305" s="43" t="str">
        <f>+C295</f>
        <v>Tire Additives</v>
      </c>
      <c r="E305" s="47"/>
      <c r="F305" s="47"/>
      <c r="G305" s="47"/>
      <c r="H305" s="47"/>
      <c r="I305" s="47"/>
      <c r="J305" s="47"/>
      <c r="K305" s="47"/>
      <c r="L305" s="47"/>
      <c r="M305" s="47"/>
      <c r="N305" s="47"/>
      <c r="O305" s="47"/>
      <c r="P305" s="47"/>
      <c r="Q305" s="47"/>
      <c r="R305" s="47"/>
      <c r="AK305" s="79"/>
      <c r="AL305" s="28">
        <f t="shared" si="747"/>
        <v>580.79999999999995</v>
      </c>
      <c r="AM305" s="28">
        <f t="shared" si="747"/>
        <v>537.03000000000009</v>
      </c>
      <c r="AN305" s="28">
        <f t="shared" si="747"/>
        <v>506.43000000000006</v>
      </c>
      <c r="AO305" s="28">
        <f t="shared" si="747"/>
        <v>568.31000000000006</v>
      </c>
      <c r="AP305" s="28">
        <f t="shared" si="747"/>
        <v>619.99</v>
      </c>
      <c r="AQ305" s="28">
        <f>+AQ295*$AQ$307</f>
        <v>523.68000000000006</v>
      </c>
      <c r="AR305" s="28">
        <f>+AR295*$AR$307</f>
        <v>423.08000000000004</v>
      </c>
      <c r="AS305" s="28">
        <f>+AS295*AS$250</f>
        <v>0</v>
      </c>
      <c r="AT305" s="28">
        <f>+AT295*AT$250</f>
        <v>0</v>
      </c>
      <c r="AU305" s="28">
        <v>0</v>
      </c>
      <c r="AV305" s="28">
        <v>0</v>
      </c>
      <c r="AW305" s="28">
        <v>0</v>
      </c>
      <c r="AX305" s="28">
        <v>0</v>
      </c>
    </row>
    <row r="306" spans="3:61" ht="10.5" customHeight="1">
      <c r="C306" s="43" t="s">
        <v>108</v>
      </c>
      <c r="E306" s="47"/>
      <c r="F306" s="47"/>
      <c r="G306" s="47"/>
      <c r="H306" s="47"/>
      <c r="I306" s="47"/>
      <c r="J306" s="47"/>
      <c r="K306" s="47"/>
      <c r="L306" s="47"/>
      <c r="M306" s="47"/>
      <c r="N306" s="47"/>
      <c r="O306" s="47"/>
      <c r="P306" s="47"/>
      <c r="Q306" s="47"/>
      <c r="R306" s="47"/>
      <c r="AK306" s="79"/>
      <c r="AL306" s="28">
        <f t="shared" si="747"/>
        <v>528</v>
      </c>
      <c r="AM306" s="28">
        <f t="shared" si="747"/>
        <v>0</v>
      </c>
      <c r="AN306" s="28">
        <f t="shared" si="747"/>
        <v>0</v>
      </c>
      <c r="AO306" s="28">
        <f t="shared" si="747"/>
        <v>0</v>
      </c>
      <c r="AP306" s="28">
        <f t="shared" si="747"/>
        <v>0</v>
      </c>
      <c r="AQ306" s="28">
        <f>+AQ296*AQ$250</f>
        <v>0</v>
      </c>
      <c r="AR306" s="28">
        <f>+AR296*AR$250</f>
        <v>0</v>
      </c>
      <c r="AS306" s="28">
        <f>+AS296*AS$250</f>
        <v>0</v>
      </c>
      <c r="AT306" s="28">
        <f>+AT296*AT$250</f>
        <v>0</v>
      </c>
      <c r="AU306" s="28">
        <v>0</v>
      </c>
      <c r="AV306" s="28">
        <v>0</v>
      </c>
      <c r="AW306" s="28">
        <v>0</v>
      </c>
      <c r="AX306" s="28">
        <v>0</v>
      </c>
    </row>
    <row r="307" spans="3:61" s="27" customFormat="1" ht="10.5" customHeight="1">
      <c r="C307" s="45" t="s">
        <v>168</v>
      </c>
      <c r="E307" s="61"/>
      <c r="F307" s="61"/>
      <c r="G307" s="61"/>
      <c r="H307" s="61"/>
      <c r="I307" s="61"/>
      <c r="J307" s="61"/>
      <c r="K307" s="61"/>
      <c r="L307" s="61"/>
      <c r="M307" s="61"/>
      <c r="N307" s="61"/>
      <c r="O307" s="61"/>
      <c r="P307" s="61"/>
      <c r="Q307" s="61"/>
      <c r="R307" s="61"/>
      <c r="AK307" s="79"/>
      <c r="AL307" s="35">
        <f t="shared" ref="AL307:AX307" si="748">SUM(AL299:AL306)</f>
        <v>2640</v>
      </c>
      <c r="AM307" s="35">
        <f t="shared" si="748"/>
        <v>3159</v>
      </c>
      <c r="AN307" s="35">
        <f t="shared" si="748"/>
        <v>2979</v>
      </c>
      <c r="AO307" s="35">
        <f t="shared" si="748"/>
        <v>3343.0000000000005</v>
      </c>
      <c r="AP307" s="35">
        <f t="shared" si="748"/>
        <v>3647</v>
      </c>
      <c r="AQ307" s="78">
        <v>3273</v>
      </c>
      <c r="AR307" s="78">
        <v>3022</v>
      </c>
      <c r="AS307" s="35">
        <f t="shared" si="748"/>
        <v>2949</v>
      </c>
      <c r="AT307" s="35">
        <f t="shared" si="748"/>
        <v>3475</v>
      </c>
      <c r="AU307" s="35">
        <f t="shared" si="748"/>
        <v>2605.3812499999999</v>
      </c>
      <c r="AV307" s="35">
        <f t="shared" si="748"/>
        <v>2637.8985625</v>
      </c>
      <c r="AW307" s="35">
        <f t="shared" si="748"/>
        <v>2765.8483231250002</v>
      </c>
      <c r="AX307" s="35">
        <f t="shared" si="748"/>
        <v>2903.9214216062501</v>
      </c>
      <c r="AY307" s="63"/>
      <c r="BF307" s="24"/>
      <c r="BG307" s="24"/>
      <c r="BH307" s="24"/>
      <c r="BI307" s="24"/>
    </row>
    <row r="308" spans="3:61" s="27" customFormat="1" ht="10.5" customHeight="1" outlineLevel="1">
      <c r="C308" s="45"/>
      <c r="AK308" s="79"/>
      <c r="AL308" s="30"/>
      <c r="AM308" s="30"/>
      <c r="AN308" s="30"/>
      <c r="AO308" s="30"/>
      <c r="AP308" s="30"/>
      <c r="AQ308" s="30"/>
      <c r="AR308" s="30"/>
      <c r="AS308" s="30"/>
      <c r="AT308" s="30"/>
      <c r="AV308" s="63"/>
      <c r="AY308" s="1"/>
      <c r="BF308" s="24"/>
      <c r="BG308" s="24"/>
      <c r="BH308" s="24"/>
      <c r="BI308" s="24"/>
    </row>
    <row r="309" spans="3:61" s="27" customFormat="1" ht="10.5" customHeight="1" outlineLevel="1">
      <c r="C309" s="26" t="s">
        <v>1668</v>
      </c>
      <c r="AK309" s="79"/>
      <c r="AL309" s="30"/>
      <c r="AM309" s="30"/>
      <c r="AN309" s="30"/>
      <c r="AO309" s="30"/>
      <c r="AP309" s="30"/>
      <c r="AQ309" s="30"/>
      <c r="AR309" s="30"/>
      <c r="AS309" s="30"/>
      <c r="AT309" s="30"/>
      <c r="AV309" s="63"/>
      <c r="AY309" s="1"/>
      <c r="BF309" s="24"/>
      <c r="BG309" s="24"/>
      <c r="BH309" s="24"/>
      <c r="BI309" s="24"/>
    </row>
    <row r="310" spans="3:61" s="27" customFormat="1" ht="10.5" customHeight="1" outlineLevel="1">
      <c r="C310" s="43" t="s">
        <v>1142</v>
      </c>
      <c r="E310" s="61"/>
      <c r="F310" s="61"/>
      <c r="G310" s="61"/>
      <c r="H310" s="61"/>
      <c r="I310" s="61"/>
      <c r="J310" s="61"/>
      <c r="K310" s="61"/>
      <c r="L310" s="61"/>
      <c r="M310" s="61"/>
      <c r="N310" s="61"/>
      <c r="O310" s="61"/>
      <c r="P310" s="61"/>
      <c r="Q310" s="61"/>
      <c r="R310" s="61"/>
      <c r="AK310" s="79"/>
      <c r="AL310" s="30"/>
      <c r="AM310" s="63">
        <f t="shared" ref="AM310:AT313" si="749">AM299/SUM(AM$299:AM$302)</f>
        <v>0.19354838709677419</v>
      </c>
      <c r="AN310" s="63">
        <f t="shared" si="749"/>
        <v>0.19354838709677416</v>
      </c>
      <c r="AO310" s="63">
        <f t="shared" si="749"/>
        <v>0.18461538461538457</v>
      </c>
      <c r="AP310" s="63">
        <f t="shared" si="749"/>
        <v>0.20895522388059701</v>
      </c>
      <c r="AQ310" s="63">
        <f t="shared" si="749"/>
        <v>0.13043478260869565</v>
      </c>
      <c r="AR310" s="63">
        <f t="shared" si="749"/>
        <v>0.11428571428571428</v>
      </c>
      <c r="AS310" s="63">
        <f t="shared" si="749"/>
        <v>0.12</v>
      </c>
      <c r="AT310" s="63">
        <f t="shared" si="749"/>
        <v>7.5949367088607597E-2</v>
      </c>
      <c r="AV310" s="63"/>
      <c r="AY310" s="1"/>
      <c r="BF310" s="24"/>
      <c r="BG310" s="24"/>
      <c r="BH310" s="24"/>
      <c r="BI310" s="24"/>
    </row>
    <row r="311" spans="3:61" s="27" customFormat="1" ht="10.5" customHeight="1" outlineLevel="1">
      <c r="C311" s="43" t="s">
        <v>1143</v>
      </c>
      <c r="E311" s="61"/>
      <c r="F311" s="61"/>
      <c r="G311" s="61"/>
      <c r="H311" s="61"/>
      <c r="I311" s="61"/>
      <c r="J311" s="61"/>
      <c r="K311" s="61"/>
      <c r="L311" s="61"/>
      <c r="M311" s="61"/>
      <c r="N311" s="61"/>
      <c r="O311" s="61"/>
      <c r="P311" s="61"/>
      <c r="Q311" s="61"/>
      <c r="R311" s="61"/>
      <c r="AK311" s="79"/>
      <c r="AL311" s="30"/>
      <c r="AM311" s="63">
        <f t="shared" si="749"/>
        <v>0.24193548387096772</v>
      </c>
      <c r="AN311" s="63">
        <f t="shared" si="749"/>
        <v>0.24193548387096772</v>
      </c>
      <c r="AO311" s="63">
        <f t="shared" si="749"/>
        <v>0.26153846153846155</v>
      </c>
      <c r="AP311" s="63">
        <f t="shared" si="749"/>
        <v>0.25373134328358204</v>
      </c>
      <c r="AQ311" s="63">
        <f t="shared" si="749"/>
        <v>0.31884057971014496</v>
      </c>
      <c r="AR311" s="63">
        <f t="shared" si="749"/>
        <v>0.3428571428571428</v>
      </c>
      <c r="AS311" s="63">
        <f t="shared" si="749"/>
        <v>0.32</v>
      </c>
      <c r="AT311" s="63">
        <f t="shared" si="749"/>
        <v>0.39240506329113922</v>
      </c>
      <c r="AV311" s="63"/>
      <c r="AY311" s="1"/>
      <c r="BF311" s="24"/>
      <c r="BG311" s="24"/>
      <c r="BH311" s="24"/>
      <c r="BI311" s="24"/>
    </row>
    <row r="312" spans="3:61" s="27" customFormat="1" ht="10.5" customHeight="1" outlineLevel="1">
      <c r="C312" s="43" t="s">
        <v>188</v>
      </c>
      <c r="E312" s="61"/>
      <c r="F312" s="61"/>
      <c r="G312" s="61"/>
      <c r="H312" s="61"/>
      <c r="I312" s="61"/>
      <c r="J312" s="61"/>
      <c r="K312" s="61"/>
      <c r="L312" s="61"/>
      <c r="M312" s="61"/>
      <c r="N312" s="61"/>
      <c r="O312" s="61"/>
      <c r="P312" s="61"/>
      <c r="Q312" s="61"/>
      <c r="R312" s="61"/>
      <c r="AK312" s="79"/>
      <c r="AL312" s="30"/>
      <c r="AM312" s="63">
        <f t="shared" si="749"/>
        <v>0.38709677419354838</v>
      </c>
      <c r="AN312" s="63">
        <f t="shared" si="749"/>
        <v>0.38709677419354832</v>
      </c>
      <c r="AO312" s="63">
        <f t="shared" si="749"/>
        <v>0.35384615384615381</v>
      </c>
      <c r="AP312" s="63">
        <f t="shared" si="749"/>
        <v>0.34328358208955223</v>
      </c>
      <c r="AQ312" s="63">
        <f t="shared" si="749"/>
        <v>0.34782608695652173</v>
      </c>
      <c r="AR312" s="63">
        <f t="shared" si="749"/>
        <v>0.35714285714285715</v>
      </c>
      <c r="AS312" s="63">
        <f t="shared" si="749"/>
        <v>0.38000000000000006</v>
      </c>
      <c r="AT312" s="63">
        <f t="shared" si="749"/>
        <v>0.32911392405063289</v>
      </c>
      <c r="AV312" s="63"/>
      <c r="AY312" s="1"/>
      <c r="BF312" s="24"/>
      <c r="BG312" s="24"/>
      <c r="BH312" s="24"/>
      <c r="BI312" s="24"/>
    </row>
    <row r="313" spans="3:61" s="27" customFormat="1" ht="10.5" customHeight="1" outlineLevel="1">
      <c r="C313" s="43" t="s">
        <v>191</v>
      </c>
      <c r="E313" s="61"/>
      <c r="F313" s="61"/>
      <c r="G313" s="61"/>
      <c r="H313" s="61"/>
      <c r="I313" s="61"/>
      <c r="J313" s="61"/>
      <c r="K313" s="61"/>
      <c r="L313" s="61"/>
      <c r="M313" s="61"/>
      <c r="N313" s="61"/>
      <c r="O313" s="61"/>
      <c r="P313" s="61"/>
      <c r="Q313" s="61"/>
      <c r="R313" s="61"/>
      <c r="AK313" s="79"/>
      <c r="AL313" s="30"/>
      <c r="AM313" s="63">
        <f t="shared" si="749"/>
        <v>0.17741935483870969</v>
      </c>
      <c r="AN313" s="63">
        <f t="shared" si="749"/>
        <v>0.17741935483870969</v>
      </c>
      <c r="AO313" s="63">
        <f t="shared" si="749"/>
        <v>0.19999999999999998</v>
      </c>
      <c r="AP313" s="63">
        <f t="shared" si="749"/>
        <v>0.19402985074626863</v>
      </c>
      <c r="AQ313" s="63">
        <f t="shared" si="749"/>
        <v>0.20289855072463769</v>
      </c>
      <c r="AR313" s="63">
        <f t="shared" si="749"/>
        <v>0.18571428571428572</v>
      </c>
      <c r="AS313" s="63">
        <f t="shared" si="749"/>
        <v>0.17999999999999997</v>
      </c>
      <c r="AT313" s="63">
        <f t="shared" si="749"/>
        <v>0.20253164556962025</v>
      </c>
      <c r="AV313" s="63"/>
      <c r="AY313" s="1"/>
      <c r="BF313" s="24"/>
      <c r="BG313" s="24"/>
      <c r="BH313" s="24"/>
      <c r="BI313" s="24"/>
    </row>
    <row r="314" spans="3:61" s="27" customFormat="1" ht="10.5" customHeight="1">
      <c r="C314" s="44"/>
      <c r="AK314" s="79"/>
      <c r="AL314" s="30"/>
      <c r="AM314" s="63"/>
      <c r="AN314" s="63"/>
      <c r="AO314" s="63"/>
      <c r="AP314" s="63"/>
      <c r="AQ314" s="63"/>
      <c r="AR314" s="63"/>
      <c r="AS314" s="63"/>
      <c r="AT314" s="63"/>
      <c r="AU314" s="127">
        <f>+AU250</f>
        <v>3230.52</v>
      </c>
      <c r="AV314" s="127">
        <f t="shared" ref="AV314:AX314" si="750">+AV250</f>
        <v>3327.4355999999998</v>
      </c>
      <c r="AW314" s="127">
        <f t="shared" si="750"/>
        <v>3427.2586679999999</v>
      </c>
      <c r="AX314" s="127">
        <f t="shared" si="750"/>
        <v>3530.0764280399999</v>
      </c>
      <c r="AY314" s="1"/>
      <c r="BF314" s="24"/>
      <c r="BG314" s="24"/>
      <c r="BH314" s="24"/>
      <c r="BI314" s="24"/>
    </row>
    <row r="315" spans="3:61" s="27" customFormat="1" ht="10.5" customHeight="1">
      <c r="C315" s="25" t="s">
        <v>1669</v>
      </c>
      <c r="AK315" s="79"/>
      <c r="AL315" s="30"/>
      <c r="AM315" s="63"/>
      <c r="AN315" s="520"/>
      <c r="AO315" s="520"/>
      <c r="AP315" s="520"/>
      <c r="AQ315" s="520"/>
      <c r="AR315" s="520"/>
      <c r="AS315" s="520"/>
      <c r="AT315" s="520"/>
      <c r="AV315" s="63"/>
      <c r="AY315" s="1"/>
      <c r="BF315" s="24"/>
      <c r="BG315" s="24"/>
      <c r="BH315" s="24"/>
      <c r="BI315" s="24"/>
    </row>
    <row r="316" spans="3:61" s="27" customFormat="1" ht="10.5" customHeight="1">
      <c r="C316" s="43" t="s">
        <v>1142</v>
      </c>
      <c r="E316" s="61"/>
      <c r="F316" s="61"/>
      <c r="G316" s="61"/>
      <c r="H316" s="61"/>
      <c r="I316" s="61"/>
      <c r="J316" s="61"/>
      <c r="K316" s="61"/>
      <c r="L316" s="61"/>
      <c r="M316" s="61"/>
      <c r="N316" s="61"/>
      <c r="O316" s="61"/>
      <c r="P316" s="61"/>
      <c r="Q316" s="61"/>
      <c r="R316" s="61"/>
      <c r="AK316" s="79"/>
      <c r="AL316" s="30"/>
      <c r="AM316" s="63"/>
      <c r="AN316" s="63">
        <f t="shared" ref="AN316:AS316" si="751">AN299/AM299-1</f>
        <v>-5.6980056980057037E-2</v>
      </c>
      <c r="AO316" s="63">
        <f t="shared" si="751"/>
        <v>0.12218865391070843</v>
      </c>
      <c r="AP316" s="63">
        <f t="shared" si="751"/>
        <v>0.27275899890318089</v>
      </c>
      <c r="AQ316" s="63">
        <f t="shared" si="751"/>
        <v>-0.42306788358337588</v>
      </c>
      <c r="AR316" s="63">
        <f t="shared" si="751"/>
        <v>-0.17927827002070817</v>
      </c>
      <c r="AS316" s="63">
        <f t="shared" si="751"/>
        <v>0.463765718067505</v>
      </c>
      <c r="AT316" s="63">
        <f>AT299/AS299-1</f>
        <v>-0.41081722617836558</v>
      </c>
      <c r="AU316" s="1295">
        <v>-2.5000000000000001E-2</v>
      </c>
      <c r="AV316" s="1295">
        <v>0.01</v>
      </c>
      <c r="AW316" s="1295">
        <v>0.01</v>
      </c>
      <c r="AX316" s="1295">
        <v>0.01</v>
      </c>
      <c r="AY316" s="1"/>
      <c r="BF316" s="24"/>
      <c r="BG316" s="24"/>
      <c r="BH316" s="24"/>
      <c r="BI316" s="24"/>
    </row>
    <row r="317" spans="3:61" s="27" customFormat="1" ht="10.5" customHeight="1">
      <c r="C317" s="43" t="s">
        <v>1143</v>
      </c>
      <c r="E317" s="61"/>
      <c r="F317" s="61"/>
      <c r="G317" s="61"/>
      <c r="H317" s="61"/>
      <c r="I317" s="61"/>
      <c r="J317" s="61"/>
      <c r="K317" s="61"/>
      <c r="L317" s="61"/>
      <c r="M317" s="61"/>
      <c r="N317" s="61"/>
      <c r="O317" s="61"/>
      <c r="P317" s="61"/>
      <c r="Q317" s="61"/>
      <c r="R317" s="61"/>
      <c r="AK317" s="79"/>
      <c r="AL317" s="30"/>
      <c r="AM317" s="63"/>
      <c r="AN317" s="63">
        <f t="shared" ref="AN317:AS317" si="752">AN300/AM300-1</f>
        <v>-5.6980056980057037E-2</v>
      </c>
      <c r="AO317" s="63">
        <f t="shared" si="752"/>
        <v>0.27181380776546971</v>
      </c>
      <c r="AP317" s="63">
        <f t="shared" si="752"/>
        <v>9.093628477415483E-2</v>
      </c>
      <c r="AQ317" s="63">
        <f t="shared" si="752"/>
        <v>0.16140582912627632</v>
      </c>
      <c r="AR317" s="63">
        <f t="shared" si="752"/>
        <v>7.2493958836763461E-3</v>
      </c>
      <c r="AS317" s="63">
        <f t="shared" si="752"/>
        <v>0.30112508272667116</v>
      </c>
      <c r="AT317" s="63">
        <f>AT300/AS300-1</f>
        <v>0.14154162427941674</v>
      </c>
      <c r="AU317" s="1295">
        <v>-2.5000000000000001E-2</v>
      </c>
      <c r="AV317" s="1295">
        <v>0.01</v>
      </c>
      <c r="AW317" s="1295">
        <v>0.01</v>
      </c>
      <c r="AX317" s="1295">
        <v>0.01</v>
      </c>
      <c r="AY317" s="1"/>
      <c r="BF317" s="24"/>
      <c r="BG317" s="24"/>
      <c r="BH317" s="24"/>
      <c r="BI317" s="24"/>
    </row>
    <row r="318" spans="3:61" s="27" customFormat="1" ht="10.5" customHeight="1">
      <c r="C318" s="43" t="s">
        <v>188</v>
      </c>
      <c r="E318" s="61"/>
      <c r="F318" s="61"/>
      <c r="G318" s="61"/>
      <c r="H318" s="61"/>
      <c r="I318" s="61"/>
      <c r="J318" s="61"/>
      <c r="K318" s="61"/>
      <c r="L318" s="61"/>
      <c r="M318" s="61"/>
      <c r="N318" s="61"/>
      <c r="O318" s="61"/>
      <c r="P318" s="61"/>
      <c r="Q318" s="61"/>
      <c r="R318" s="61"/>
      <c r="AK318" s="79"/>
      <c r="AL318" s="30"/>
      <c r="AM318" s="63"/>
      <c r="AN318" s="63">
        <f t="shared" ref="AN318:AS318" si="753">AN301/AM301-1</f>
        <v>-5.6980056980057037E-2</v>
      </c>
      <c r="AO318" s="63">
        <f t="shared" si="753"/>
        <v>7.5430793331095591E-2</v>
      </c>
      <c r="AP318" s="63">
        <f>AP301/AO301-1</f>
        <v>9.0936284774155052E-2</v>
      </c>
      <c r="AQ318" s="63">
        <f t="shared" si="753"/>
        <v>-6.353047770055209E-2</v>
      </c>
      <c r="AR318" s="63">
        <f t="shared" si="753"/>
        <v>-3.8216722680517345E-2</v>
      </c>
      <c r="AS318" s="63">
        <f t="shared" si="753"/>
        <v>0.48328259430840514</v>
      </c>
      <c r="AT318" s="63">
        <f>AT301/AS301-1</f>
        <v>-0.19374988845460561</v>
      </c>
      <c r="AU318" s="1295">
        <v>-0.15</v>
      </c>
      <c r="AV318" s="1295">
        <v>-0.05</v>
      </c>
      <c r="AW318" s="1295">
        <v>7.0000000000000007E-2</v>
      </c>
      <c r="AX318" s="1295">
        <v>7.0000000000000007E-2</v>
      </c>
      <c r="AY318" s="1"/>
      <c r="BF318" s="24"/>
      <c r="BG318" s="24"/>
      <c r="BH318" s="24"/>
      <c r="BI318" s="24"/>
    </row>
    <row r="319" spans="3:61" s="27" customFormat="1" ht="10.5" customHeight="1">
      <c r="C319" s="43" t="s">
        <v>191</v>
      </c>
      <c r="E319" s="61"/>
      <c r="F319" s="61"/>
      <c r="G319" s="61"/>
      <c r="H319" s="61"/>
      <c r="I319" s="61"/>
      <c r="J319" s="61"/>
      <c r="K319" s="61"/>
      <c r="L319" s="61"/>
      <c r="M319" s="61"/>
      <c r="N319" s="61"/>
      <c r="O319" s="61"/>
      <c r="P319" s="61"/>
      <c r="Q319" s="61"/>
      <c r="R319" s="61"/>
      <c r="AK319" s="79"/>
      <c r="AL319" s="30"/>
      <c r="AM319" s="63"/>
      <c r="AN319" s="63">
        <f t="shared" ref="AN319:AS319" si="754">AN302/AM302-1</f>
        <v>-5.6980056980057037E-2</v>
      </c>
      <c r="AO319" s="63">
        <f t="shared" si="754"/>
        <v>0.32622295462174633</v>
      </c>
      <c r="AP319" s="63">
        <f t="shared" si="754"/>
        <v>9.093628477415483E-2</v>
      </c>
      <c r="AQ319" s="63">
        <f t="shared" si="754"/>
        <v>-3.3515428908903022E-2</v>
      </c>
      <c r="AR319" s="63">
        <f t="shared" si="754"/>
        <v>-0.1426389070752041</v>
      </c>
      <c r="AS319" s="63">
        <f t="shared" si="754"/>
        <v>0.35116835513923506</v>
      </c>
      <c r="AT319" s="63">
        <f>AT302/AS302-1</f>
        <v>4.7436042349572549E-2</v>
      </c>
      <c r="AU319" s="1295">
        <v>0.05</v>
      </c>
      <c r="AV319" s="1295">
        <v>0.1</v>
      </c>
      <c r="AW319" s="1295">
        <v>0.1</v>
      </c>
      <c r="AX319" s="1295">
        <v>0.1</v>
      </c>
      <c r="AY319" s="1"/>
      <c r="BF319" s="24"/>
      <c r="BG319" s="24"/>
      <c r="BH319" s="24"/>
      <c r="BI319" s="24"/>
    </row>
    <row r="320" spans="3:61" s="27" customFormat="1" ht="10.5" customHeight="1">
      <c r="C320" s="45" t="s">
        <v>168</v>
      </c>
      <c r="E320" s="61"/>
      <c r="F320" s="61"/>
      <c r="G320" s="61"/>
      <c r="H320" s="61"/>
      <c r="I320" s="61"/>
      <c r="J320" s="61"/>
      <c r="K320" s="61"/>
      <c r="L320" s="61"/>
      <c r="M320" s="61"/>
      <c r="N320" s="61"/>
      <c r="O320" s="61"/>
      <c r="P320" s="61"/>
      <c r="Q320" s="61"/>
      <c r="R320" s="61"/>
      <c r="AK320" s="127"/>
      <c r="AL320" s="30"/>
      <c r="AM320" s="30"/>
      <c r="AN320" s="67">
        <f>SUM(AN299:AN302)/SUM(AM299:AM302)-1</f>
        <v>-5.6980056980056926E-2</v>
      </c>
      <c r="AO320" s="67">
        <f t="shared" ref="AO320:AT320" si="755">SUM(AO299:AO302)/SUM(AN299:AN302)-1</f>
        <v>0.17648810490638778</v>
      </c>
      <c r="AP320" s="67">
        <f t="shared" si="755"/>
        <v>0.12450355507489808</v>
      </c>
      <c r="AQ320" s="67">
        <f t="shared" si="755"/>
        <v>-7.5760490118641943E-2</v>
      </c>
      <c r="AR320" s="67">
        <f t="shared" si="755"/>
        <v>-6.3306721219286377E-2</v>
      </c>
      <c r="AS320" s="67">
        <f t="shared" si="755"/>
        <v>0.39406258863571897</v>
      </c>
      <c r="AT320" s="67">
        <f t="shared" si="755"/>
        <v>-6.9091217361817558E-2</v>
      </c>
      <c r="AU320" s="67">
        <f t="shared" ref="AU320" si="756">SUM(AU299:AU302)/SUM(AT299:AT302)-1</f>
        <v>-5.0949367088607644E-2</v>
      </c>
      <c r="AV320" s="67">
        <f t="shared" ref="AV320" si="757">SUM(AV299:AV302)/SUM(AU299:AU302)-1</f>
        <v>1.2480826942314227E-2</v>
      </c>
      <c r="AW320" s="67">
        <f t="shared" ref="AW320" si="758">SUM(AW299:AW302)/SUM(AV299:AV302)-1</f>
        <v>4.8504427897234637E-2</v>
      </c>
      <c r="AX320" s="67">
        <f t="shared" ref="AX320" si="759">SUM(AX299:AX302)/SUM(AW299:AW302)-1</f>
        <v>4.9920705096817342E-2</v>
      </c>
      <c r="AY320" s="1"/>
      <c r="BF320" s="24"/>
      <c r="BG320" s="24"/>
      <c r="BH320" s="24"/>
      <c r="BI320" s="24"/>
    </row>
    <row r="321" spans="2:61" s="27" customFormat="1" ht="10.5" customHeight="1" collapsed="1">
      <c r="C321" s="45"/>
      <c r="AK321" s="79"/>
      <c r="AL321" s="30"/>
      <c r="AM321" s="30"/>
      <c r="AN321" s="30"/>
      <c r="AO321" s="30"/>
      <c r="AP321" s="30"/>
      <c r="AT321" s="63"/>
      <c r="AV321" s="63"/>
      <c r="AY321" s="1"/>
      <c r="BF321" s="24"/>
      <c r="BG321" s="24"/>
      <c r="BH321" s="24"/>
      <c r="BI321" s="24"/>
    </row>
    <row r="322" spans="2:61" s="41" customFormat="1" ht="10.5" customHeight="1">
      <c r="B322" s="37"/>
      <c r="C322" s="113" t="s">
        <v>68</v>
      </c>
      <c r="AK322" s="79"/>
      <c r="AL322" s="42">
        <f t="shared" ref="AL322:AS322" si="760">+AL307-AL250</f>
        <v>0</v>
      </c>
      <c r="AM322" s="42">
        <f t="shared" si="760"/>
        <v>0</v>
      </c>
      <c r="AN322" s="42">
        <f t="shared" si="760"/>
        <v>0</v>
      </c>
      <c r="AO322" s="42">
        <f t="shared" si="760"/>
        <v>0</v>
      </c>
      <c r="AP322" s="42">
        <f t="shared" si="760"/>
        <v>0</v>
      </c>
      <c r="AQ322" s="42">
        <f t="shared" si="760"/>
        <v>818</v>
      </c>
      <c r="AR322" s="42">
        <f t="shared" si="760"/>
        <v>680</v>
      </c>
      <c r="AS322" s="42">
        <f t="shared" si="760"/>
        <v>0</v>
      </c>
      <c r="AT322" s="42">
        <f>+AT307-AT250</f>
        <v>0</v>
      </c>
      <c r="AV322" s="63"/>
      <c r="AY322" s="1"/>
      <c r="BF322" s="24"/>
      <c r="BG322" s="24"/>
      <c r="BH322" s="24"/>
      <c r="BI322" s="24"/>
    </row>
    <row r="323" spans="2:61" s="41" customFormat="1" ht="10.5" customHeight="1">
      <c r="B323" s="37"/>
      <c r="C323" s="55"/>
      <c r="F323" s="41" t="s">
        <v>394</v>
      </c>
      <c r="AK323" s="79"/>
      <c r="AM323" s="42"/>
      <c r="AN323" s="42"/>
      <c r="AO323" s="42"/>
      <c r="AP323" s="42"/>
      <c r="AT323" s="63"/>
      <c r="AV323" s="63"/>
      <c r="AY323" s="1"/>
      <c r="BF323" s="24"/>
      <c r="BG323" s="24"/>
      <c r="BH323" s="24"/>
      <c r="BI323" s="24"/>
    </row>
    <row r="324" spans="2:61" s="41" customFormat="1" ht="10.5" customHeight="1">
      <c r="B324" s="37"/>
      <c r="C324" s="427" t="s">
        <v>1706</v>
      </c>
      <c r="AK324" s="79"/>
      <c r="AM324" s="1294" cm="1">
        <f t="array" ref="AM324">+SUMPRODUCT(--(YEAR('Construction Spending'!$B$12:$B$373)=AM$6),'Construction Spending'!$C$12:$C$373)/12000</f>
        <v>1147.2891666666667</v>
      </c>
      <c r="AN324" s="1294" cm="1">
        <f t="array" ref="AN324">+SUMPRODUCT(--(YEAR('Construction Spending'!$B$12:$B$373)=AN$6),'Construction Spending'!$C$12:$C$373)/12000</f>
        <v>1230.8028333333334</v>
      </c>
      <c r="AO324" s="1294" cm="1">
        <f t="array" ref="AO324">+SUMPRODUCT(--(YEAR('Construction Spending'!$B$12:$B$373)=AO$6),'Construction Spending'!$C$12:$C$373)/12000</f>
        <v>1287.68625</v>
      </c>
      <c r="AP324" s="1294" cm="1">
        <f t="array" ref="AP324">+SUMPRODUCT(--(YEAR('Construction Spending'!$B$12:$B$373)=AP$6),'Construction Spending'!$C$12:$C$373)/12000</f>
        <v>1330.0230833333333</v>
      </c>
      <c r="AQ324" s="1294" cm="1">
        <f t="array" ref="AQ324">+SUMPRODUCT(--(YEAR('Construction Spending'!$B$12:$B$373)=AQ$6),'Construction Spending'!$C$12:$C$373)/12000</f>
        <v>1406.0020833333333</v>
      </c>
      <c r="AR324" s="1294" cm="1">
        <f t="array" ref="AR324">+SUMPRODUCT(--(YEAR('Construction Spending'!$B$12:$B$373)=AR$6),'Construction Spending'!$C$12:$C$373)/12000</f>
        <v>1507.2927500000001</v>
      </c>
      <c r="AS324" s="1294" cm="1">
        <f t="array" ref="AS324">+SUMPRODUCT(--(YEAR('Construction Spending'!$B$12:$B$373)=AS$6),'Construction Spending'!$C$12:$C$373)/12000</f>
        <v>1638.1415</v>
      </c>
      <c r="AT324" s="1294" cm="1">
        <f t="array" ref="AT324">+SUMPRODUCT(--(YEAR('Construction Spending'!$B$12:$B$373)=AT$6),'Construction Spending'!$C$12:$C$373)/12000</f>
        <v>1804.61925</v>
      </c>
      <c r="AV324" s="63"/>
      <c r="AY324" s="63">
        <f>RATE(7,,-AM324,AT324)</f>
        <v>6.6846196656770288E-2</v>
      </c>
      <c r="BF324" s="24"/>
      <c r="BG324" s="24"/>
      <c r="BH324" s="24"/>
      <c r="BI324" s="24"/>
    </row>
    <row r="325" spans="2:61" s="41" customFormat="1" ht="10.5" customHeight="1">
      <c r="B325" s="37"/>
      <c r="C325" s="25" t="s">
        <v>1669</v>
      </c>
      <c r="AK325" s="79"/>
      <c r="AM325" s="42"/>
      <c r="AN325" s="94">
        <f>+AN324/AM324-1</f>
        <v>7.2792168786276701E-2</v>
      </c>
      <c r="AO325" s="94">
        <f>+AO324/AN324-1</f>
        <v>4.6216514234543649E-2</v>
      </c>
      <c r="AP325" s="94">
        <f t="shared" ref="AP325:AR325" si="761">+AP324/AO324-1</f>
        <v>3.2878221176418698E-2</v>
      </c>
      <c r="AQ325" s="94">
        <f t="shared" si="761"/>
        <v>5.7126076195294084E-2</v>
      </c>
      <c r="AR325" s="94">
        <f t="shared" si="761"/>
        <v>7.2041619189160855E-2</v>
      </c>
      <c r="AS325" s="94">
        <f t="shared" ref="AS325" si="762">+AS324/AR324-1</f>
        <v>8.6810442098921969E-2</v>
      </c>
      <c r="AT325" s="94">
        <f t="shared" ref="AT325" si="763">+AT324/AS324-1</f>
        <v>0.10162598896371278</v>
      </c>
      <c r="AV325" s="63"/>
      <c r="AY325" s="1"/>
      <c r="BF325" s="24"/>
      <c r="BG325" s="24"/>
      <c r="BH325" s="24"/>
      <c r="BI325" s="24"/>
    </row>
    <row r="326" spans="2:61" s="41" customFormat="1" ht="10.5" customHeight="1">
      <c r="B326" s="37"/>
      <c r="C326" s="43"/>
      <c r="AK326" s="79"/>
      <c r="AM326" s="42"/>
      <c r="AO326" s="94"/>
      <c r="AP326" s="94"/>
      <c r="AQ326" s="94"/>
      <c r="AR326" s="94"/>
      <c r="AS326" s="94"/>
      <c r="AT326" s="94"/>
      <c r="AV326" s="63"/>
      <c r="AY326" s="1"/>
      <c r="BF326" s="24"/>
      <c r="BG326" s="24"/>
      <c r="BH326" s="24"/>
      <c r="BI326" s="24"/>
    </row>
    <row r="327" spans="2:61" s="41" customFormat="1" ht="10.5" customHeight="1">
      <c r="B327" s="37"/>
      <c r="C327" s="427" t="s">
        <v>1707</v>
      </c>
      <c r="AK327" s="79"/>
      <c r="AM327" s="1294" cm="1">
        <f t="array" ref="AM327">+SUMPRODUCT(--(YEAR('Construction Spending'!$B$12:$B$373)=AM6),'Construction Spending'!$D$12:$D$373)/12</f>
        <v>17.953583333333331</v>
      </c>
      <c r="AN327" s="1294" cm="1">
        <f t="array" ref="AN327">+SUMPRODUCT(--(YEAR('Construction Spending'!$B$12:$B$373)=AN6),'Construction Spending'!$D$12:$D$373)/12</f>
        <v>17.844249999999999</v>
      </c>
      <c r="AO327" s="1294" cm="1">
        <f t="array" ref="AO327">+SUMPRODUCT(--(YEAR('Construction Spending'!$B$12:$B$373)=AO6),'Construction Spending'!$D$12:$D$373)/12</f>
        <v>17.552333333333337</v>
      </c>
      <c r="AP327" s="1294" cm="1">
        <f t="array" ref="AP327">+SUMPRODUCT(--(YEAR('Construction Spending'!$B$12:$B$373)=AP6),'Construction Spending'!$D$12:$D$373)/12</f>
        <v>17.693333333333335</v>
      </c>
      <c r="AQ327" s="1294" cm="1">
        <f t="array" ref="AQ327">+SUMPRODUCT(--(YEAR('Construction Spending'!$B$12:$B$373)=AQ$6),'Construction Spending'!$D$12:$D$373)/12</f>
        <v>17.490333333333336</v>
      </c>
      <c r="AR327" s="1294" cm="1">
        <f t="array" ref="AR327">+SUMPRODUCT(--(YEAR('Construction Spending'!$B$12:$B$373)=AR6),'Construction Spending'!$D$12:$D$373)/12</f>
        <v>14.880333333333333</v>
      </c>
      <c r="AS327" s="1294" cm="1">
        <f t="array" ref="AS327">+SUMPRODUCT(--(YEAR('Construction Spending'!$B$12:$B$373)=AS6),'Construction Spending'!$D$12:$D$373)/12</f>
        <v>15.260666666666667</v>
      </c>
      <c r="AT327" s="1294" cm="1">
        <f t="array" ref="AT327">+SUMPRODUCT(--(YEAR('Construction Spending'!$B$12:$B$373)=AT6),'Construction Spending'!$D$12:$D$373)/12</f>
        <v>14.347416666666666</v>
      </c>
      <c r="AV327" s="63"/>
      <c r="AY327" s="63">
        <f>RATE(7,,-AM327,AT327)</f>
        <v>-3.1523831433101987E-2</v>
      </c>
      <c r="BF327" s="24"/>
      <c r="BG327" s="24"/>
      <c r="BH327" s="24"/>
      <c r="BI327" s="24"/>
    </row>
    <row r="328" spans="2:61" s="41" customFormat="1" ht="10.5" customHeight="1">
      <c r="B328" s="37"/>
      <c r="C328" s="25" t="s">
        <v>1669</v>
      </c>
      <c r="AK328" s="79"/>
      <c r="AM328" s="42"/>
      <c r="AN328" s="94">
        <f>+AN327/AM327-1</f>
        <v>-6.0897778066587582E-3</v>
      </c>
      <c r="AO328" s="94">
        <f>+AO327/AN327-1</f>
        <v>-1.6359144635760048E-2</v>
      </c>
      <c r="AP328" s="94">
        <f t="shared" ref="AP328" si="764">+AP327/AO327-1</f>
        <v>8.0331200030383521E-3</v>
      </c>
      <c r="AQ328" s="94">
        <f t="shared" ref="AQ328" si="765">+AQ327/AP327-1</f>
        <v>-1.147324792765636E-2</v>
      </c>
      <c r="AR328" s="94">
        <f t="shared" ref="AR328" si="766">+AR327/AQ327-1</f>
        <v>-0.14922528634864984</v>
      </c>
      <c r="AS328" s="94">
        <f t="shared" ref="AS328" si="767">+AS327/AR327-1</f>
        <v>2.5559463273672201E-2</v>
      </c>
      <c r="AT328" s="94">
        <f t="shared" ref="AT328" si="768">+AT327/AS327-1</f>
        <v>-5.9843388231182626E-2</v>
      </c>
      <c r="AV328" s="63"/>
      <c r="AY328" s="1"/>
      <c r="BF328" s="24"/>
      <c r="BG328" s="24"/>
      <c r="BH328" s="24"/>
      <c r="BI328" s="24"/>
    </row>
    <row r="329" spans="2:61" s="41" customFormat="1" ht="10.5" customHeight="1">
      <c r="B329" s="37"/>
      <c r="C329" s="55"/>
      <c r="AK329" s="79"/>
      <c r="AM329" s="42"/>
      <c r="AN329" s="42"/>
      <c r="AO329" s="42"/>
      <c r="AP329" s="42"/>
      <c r="AT329" s="63"/>
      <c r="AV329" s="63"/>
      <c r="AY329" s="1"/>
      <c r="BF329" s="24"/>
      <c r="BG329" s="24"/>
      <c r="BH329" s="24"/>
      <c r="BI329" s="24"/>
    </row>
    <row r="330" spans="2:61" ht="11.25" customHeight="1" outlineLevel="1">
      <c r="C330" s="43" t="s">
        <v>165</v>
      </c>
      <c r="E330" s="46"/>
      <c r="F330" s="46"/>
      <c r="G330" s="46"/>
      <c r="H330" s="46"/>
      <c r="I330" s="29">
        <v>24</v>
      </c>
      <c r="J330" s="29">
        <v>17</v>
      </c>
      <c r="K330" s="29">
        <v>29</v>
      </c>
      <c r="L330" s="33">
        <f>+AO330-SUM(I330:K330)</f>
        <v>27</v>
      </c>
      <c r="M330" s="29">
        <v>24</v>
      </c>
      <c r="N330" s="29">
        <v>24</v>
      </c>
      <c r="O330" s="29">
        <v>11</v>
      </c>
      <c r="P330" s="33">
        <f>+AP330-SUM(M330:O330)</f>
        <v>-5</v>
      </c>
      <c r="Q330" s="29">
        <v>-18</v>
      </c>
      <c r="R330" s="29">
        <v>-36</v>
      </c>
      <c r="S330" s="29">
        <v>-27</v>
      </c>
      <c r="T330" s="33">
        <f>+AQ330-SUM(Q330:S330)</f>
        <v>-20</v>
      </c>
      <c r="U330" s="33"/>
      <c r="V330" s="33"/>
      <c r="W330" s="33"/>
      <c r="X330" s="33"/>
      <c r="Y330" s="33"/>
      <c r="Z330" s="33"/>
      <c r="AA330" s="33"/>
      <c r="AB330" s="33"/>
      <c r="AC330" s="33"/>
      <c r="AD330" s="33"/>
      <c r="AE330" s="33"/>
      <c r="AF330" s="33"/>
      <c r="AG330" s="33"/>
      <c r="AH330" s="33"/>
      <c r="AI330" s="33"/>
      <c r="AJ330" s="33"/>
      <c r="AK330" s="79"/>
      <c r="AL330" s="46"/>
      <c r="AM330" s="46"/>
      <c r="AN330" s="29">
        <v>20</v>
      </c>
      <c r="AO330" s="29">
        <v>97</v>
      </c>
      <c r="AP330" s="29">
        <v>54</v>
      </c>
      <c r="AQ330" s="29">
        <v>-101</v>
      </c>
      <c r="AR330" s="33"/>
      <c r="AS330" s="28"/>
      <c r="AT330" s="28"/>
      <c r="AU330" s="28"/>
      <c r="AV330" s="28"/>
      <c r="AW330" s="28"/>
      <c r="AX330" s="28"/>
    </row>
    <row r="331" spans="2:61" ht="11.25" customHeight="1" outlineLevel="1">
      <c r="C331" s="43" t="s">
        <v>166</v>
      </c>
      <c r="E331" s="46"/>
      <c r="F331" s="46"/>
      <c r="G331" s="46"/>
      <c r="H331" s="46"/>
      <c r="I331" s="29">
        <v>-25</v>
      </c>
      <c r="J331" s="29">
        <v>-31</v>
      </c>
      <c r="K331" s="29">
        <v>0</v>
      </c>
      <c r="L331" s="33">
        <f>+AO331-SUM(I331:K331)</f>
        <v>-4</v>
      </c>
      <c r="M331" s="29">
        <v>0</v>
      </c>
      <c r="N331" s="29">
        <v>0</v>
      </c>
      <c r="O331" s="29">
        <v>-20</v>
      </c>
      <c r="P331" s="33">
        <f>+AP331-SUM(M331:O331)</f>
        <v>0</v>
      </c>
      <c r="Q331" s="29">
        <v>-17</v>
      </c>
      <c r="R331" s="29">
        <v>-31</v>
      </c>
      <c r="S331" s="29">
        <v>-43</v>
      </c>
      <c r="T331" s="33">
        <f>+AQ331-SUM(Q331:S331)</f>
        <v>-42</v>
      </c>
      <c r="U331" s="33"/>
      <c r="V331" s="33"/>
      <c r="W331" s="33"/>
      <c r="X331" s="33"/>
      <c r="Y331" s="33"/>
      <c r="Z331" s="33"/>
      <c r="AA331" s="33"/>
      <c r="AB331" s="33"/>
      <c r="AC331" s="33"/>
      <c r="AD331" s="33"/>
      <c r="AE331" s="33"/>
      <c r="AF331" s="33"/>
      <c r="AG331" s="33"/>
      <c r="AH331" s="33"/>
      <c r="AI331" s="33"/>
      <c r="AJ331" s="33"/>
      <c r="AK331" s="79"/>
      <c r="AL331" s="46"/>
      <c r="AM331" s="46"/>
      <c r="AN331" s="29">
        <v>-74</v>
      </c>
      <c r="AO331" s="29">
        <v>-60</v>
      </c>
      <c r="AP331" s="29">
        <v>-20</v>
      </c>
      <c r="AQ331" s="29">
        <v>-133</v>
      </c>
      <c r="AR331" s="33"/>
      <c r="AS331" s="28"/>
      <c r="AT331" s="28"/>
      <c r="AU331" s="28"/>
      <c r="AV331" s="28"/>
      <c r="AW331" s="28"/>
      <c r="AX331" s="28"/>
    </row>
    <row r="332" spans="2:61" ht="11.25" customHeight="1" outlineLevel="1">
      <c r="C332" s="43" t="s">
        <v>167</v>
      </c>
      <c r="E332" s="46"/>
      <c r="F332" s="46"/>
      <c r="G332" s="46"/>
      <c r="H332" s="46"/>
      <c r="I332" s="29">
        <v>-4</v>
      </c>
      <c r="J332" s="29">
        <v>0</v>
      </c>
      <c r="K332" s="29">
        <v>0</v>
      </c>
      <c r="L332" s="33">
        <f>+AO332-SUM(I332:K332)</f>
        <v>4</v>
      </c>
      <c r="M332" s="29">
        <v>12</v>
      </c>
      <c r="N332" s="29">
        <v>0</v>
      </c>
      <c r="O332" s="29">
        <v>0</v>
      </c>
      <c r="P332" s="33">
        <f>+AP332-SUM(M332:O332)</f>
        <v>-12</v>
      </c>
      <c r="Q332" s="29">
        <v>-6</v>
      </c>
      <c r="R332" s="29">
        <v>-8</v>
      </c>
      <c r="S332" s="29">
        <v>0</v>
      </c>
      <c r="T332" s="33">
        <f>+AQ332-SUM(Q332:S332)</f>
        <v>-8</v>
      </c>
      <c r="U332" s="33"/>
      <c r="V332" s="33"/>
      <c r="W332" s="33"/>
      <c r="X332" s="33"/>
      <c r="Y332" s="33"/>
      <c r="Z332" s="33"/>
      <c r="AA332" s="33"/>
      <c r="AB332" s="33"/>
      <c r="AC332" s="33"/>
      <c r="AD332" s="33"/>
      <c r="AE332" s="33"/>
      <c r="AF332" s="33"/>
      <c r="AG332" s="33"/>
      <c r="AH332" s="33"/>
      <c r="AI332" s="33"/>
      <c r="AJ332" s="33"/>
      <c r="AK332" s="79"/>
      <c r="AL332" s="46"/>
      <c r="AM332" s="46"/>
      <c r="AN332" s="29">
        <v>0</v>
      </c>
      <c r="AO332" s="29">
        <v>0</v>
      </c>
      <c r="AP332" s="29">
        <v>0</v>
      </c>
      <c r="AQ332" s="29">
        <v>-22</v>
      </c>
      <c r="AR332" s="33"/>
      <c r="AS332" s="28"/>
      <c r="AT332" s="28"/>
      <c r="AU332" s="28"/>
      <c r="AV332" s="28"/>
      <c r="AW332" s="28"/>
      <c r="AX332" s="28"/>
    </row>
    <row r="333" spans="2:61" ht="11.25" customHeight="1" outlineLevel="1">
      <c r="C333" s="43" t="s">
        <v>711</v>
      </c>
      <c r="E333" s="46"/>
      <c r="F333" s="46"/>
      <c r="G333" s="46"/>
      <c r="H333" s="46"/>
      <c r="I333" s="29">
        <v>0</v>
      </c>
      <c r="J333" s="29">
        <v>0</v>
      </c>
      <c r="K333" s="29">
        <v>0</v>
      </c>
      <c r="L333" s="33">
        <f>+AO333-SUM(I333:K333)</f>
        <v>0</v>
      </c>
      <c r="M333" s="29">
        <v>0</v>
      </c>
      <c r="N333" s="29">
        <v>0</v>
      </c>
      <c r="O333" s="29">
        <v>0</v>
      </c>
      <c r="P333" s="33">
        <f>+AP333-SUM(M333:O333)</f>
        <v>-20</v>
      </c>
      <c r="Q333" s="29">
        <v>13</v>
      </c>
      <c r="R333" s="29">
        <v>41</v>
      </c>
      <c r="S333" s="29">
        <f>-7+42</f>
        <v>35</v>
      </c>
      <c r="T333" s="33">
        <f>+AQ333-SUM(Q333:S333)</f>
        <v>47</v>
      </c>
      <c r="U333" s="33"/>
      <c r="V333" s="33"/>
      <c r="W333" s="33"/>
      <c r="X333" s="33"/>
      <c r="Y333" s="33"/>
      <c r="Z333" s="33"/>
      <c r="AA333" s="33"/>
      <c r="AB333" s="33"/>
      <c r="AC333" s="33"/>
      <c r="AD333" s="33"/>
      <c r="AE333" s="33"/>
      <c r="AF333" s="33"/>
      <c r="AG333" s="33"/>
      <c r="AH333" s="33"/>
      <c r="AI333" s="33"/>
      <c r="AJ333" s="33"/>
      <c r="AK333" s="79"/>
      <c r="AL333" s="46"/>
      <c r="AM333" s="46"/>
      <c r="AN333" s="29">
        <v>0</v>
      </c>
      <c r="AO333" s="29">
        <v>0</v>
      </c>
      <c r="AP333" s="29">
        <v>-20</v>
      </c>
      <c r="AQ333" s="29">
        <v>136</v>
      </c>
      <c r="AR333" s="33"/>
      <c r="AS333" s="28"/>
      <c r="AT333" s="28"/>
      <c r="AU333" s="28"/>
      <c r="AV333" s="28"/>
      <c r="AW333" s="28"/>
      <c r="AX333" s="28"/>
    </row>
    <row r="334" spans="2:61" ht="11.25" customHeight="1" outlineLevel="1">
      <c r="C334" s="45" t="s">
        <v>351</v>
      </c>
      <c r="E334" s="32"/>
      <c r="F334" s="32"/>
      <c r="G334" s="32"/>
      <c r="H334" s="32"/>
      <c r="I334" s="32">
        <f>SUM(I330:I333)</f>
        <v>-5</v>
      </c>
      <c r="J334" s="32">
        <f t="shared" ref="J334:R334" si="769">SUM(J330:J333)</f>
        <v>-14</v>
      </c>
      <c r="K334" s="32">
        <f t="shared" si="769"/>
        <v>29</v>
      </c>
      <c r="L334" s="32">
        <f t="shared" si="769"/>
        <v>27</v>
      </c>
      <c r="M334" s="32">
        <f t="shared" si="769"/>
        <v>36</v>
      </c>
      <c r="N334" s="32">
        <f t="shared" si="769"/>
        <v>24</v>
      </c>
      <c r="O334" s="32">
        <f t="shared" si="769"/>
        <v>-9</v>
      </c>
      <c r="P334" s="32">
        <f t="shared" si="769"/>
        <v>-37</v>
      </c>
      <c r="Q334" s="32">
        <f t="shared" si="769"/>
        <v>-28</v>
      </c>
      <c r="R334" s="32">
        <f t="shared" si="769"/>
        <v>-34</v>
      </c>
      <c r="S334" s="32">
        <f>SUM(S330:S333)</f>
        <v>-35</v>
      </c>
      <c r="T334" s="32">
        <f>SUM(T330:T333)</f>
        <v>-23</v>
      </c>
      <c r="U334" s="31"/>
      <c r="V334" s="31"/>
      <c r="W334" s="31"/>
      <c r="X334" s="31"/>
      <c r="Y334" s="31"/>
      <c r="Z334" s="31"/>
      <c r="AA334" s="31"/>
      <c r="AB334" s="31"/>
      <c r="AC334" s="31"/>
      <c r="AD334" s="31"/>
      <c r="AE334" s="31"/>
      <c r="AF334" s="31"/>
      <c r="AG334" s="31"/>
      <c r="AH334" s="31"/>
      <c r="AI334" s="31"/>
      <c r="AJ334" s="31"/>
      <c r="AK334" s="79"/>
      <c r="AL334" s="91"/>
      <c r="AM334" s="32"/>
      <c r="AN334" s="32">
        <f>SUM(AN330:AN333)</f>
        <v>-54</v>
      </c>
      <c r="AO334" s="32">
        <f>SUM(AO330:AO333)</f>
        <v>37</v>
      </c>
      <c r="AP334" s="32">
        <f>SUM(AP330:AP333)</f>
        <v>14</v>
      </c>
      <c r="AQ334" s="32">
        <f>SUM(AQ330:AQ333)</f>
        <v>-120</v>
      </c>
      <c r="AR334" s="31"/>
      <c r="AS334" s="31"/>
      <c r="AT334" s="31"/>
      <c r="AU334" s="31"/>
      <c r="AV334" s="31"/>
      <c r="AW334" s="31"/>
      <c r="AX334" s="31"/>
    </row>
    <row r="335" spans="2:61" ht="11.25" customHeight="1" outlineLevel="1">
      <c r="C335" s="45"/>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79"/>
      <c r="AL335" s="29"/>
      <c r="AM335" s="31"/>
      <c r="AN335" s="31"/>
      <c r="AO335" s="31"/>
      <c r="AP335" s="31"/>
      <c r="AQ335" s="31"/>
      <c r="AR335" s="31"/>
      <c r="AS335" s="31"/>
      <c r="AT335" s="31"/>
      <c r="AU335" s="31"/>
      <c r="AV335" s="31"/>
      <c r="AW335" s="31"/>
      <c r="AX335" s="31"/>
    </row>
    <row r="336" spans="2:61" ht="11.25" customHeight="1" outlineLevel="1">
      <c r="C336" s="113" t="s">
        <v>68</v>
      </c>
      <c r="E336" s="33"/>
      <c r="F336" s="33"/>
      <c r="G336" s="33"/>
      <c r="H336" s="33"/>
      <c r="I336" s="42">
        <f t="shared" ref="I336:T336" si="770">+I334-(I278-E278)</f>
        <v>-7</v>
      </c>
      <c r="J336" s="42">
        <f t="shared" si="770"/>
        <v>-7</v>
      </c>
      <c r="K336" s="42">
        <f t="shared" si="770"/>
        <v>3</v>
      </c>
      <c r="L336" s="42">
        <f t="shared" si="770"/>
        <v>-2</v>
      </c>
      <c r="M336" s="42">
        <f t="shared" si="770"/>
        <v>11</v>
      </c>
      <c r="N336" s="42">
        <f t="shared" si="770"/>
        <v>-3</v>
      </c>
      <c r="O336" s="42">
        <f t="shared" si="770"/>
        <v>-5</v>
      </c>
      <c r="P336" s="42">
        <f t="shared" si="770"/>
        <v>1</v>
      </c>
      <c r="Q336" s="42">
        <f t="shared" si="770"/>
        <v>27</v>
      </c>
      <c r="R336" s="42">
        <f t="shared" si="770"/>
        <v>32</v>
      </c>
      <c r="S336" s="42">
        <f t="shared" si="770"/>
        <v>29</v>
      </c>
      <c r="T336" s="42">
        <f t="shared" si="770"/>
        <v>8</v>
      </c>
      <c r="AK336" s="79"/>
      <c r="AL336" s="33"/>
      <c r="AM336" s="42"/>
      <c r="AN336" s="42">
        <f>+AN334-(AN278-AM278)</f>
        <v>-5</v>
      </c>
      <c r="AO336" s="42">
        <f>+AO334-(AO278-AN278)</f>
        <v>-13</v>
      </c>
      <c r="AP336" s="42">
        <f>+AP334-(AP278-AO278)</f>
        <v>4</v>
      </c>
      <c r="AQ336" s="42">
        <f>+AQ334-(AQ278-AP278)</f>
        <v>96</v>
      </c>
    </row>
    <row r="337" spans="2:71" ht="11.25" customHeight="1" outlineLevel="1">
      <c r="C337" s="111"/>
      <c r="E337" s="33"/>
      <c r="F337" s="33"/>
      <c r="G337" s="33"/>
      <c r="H337" s="33"/>
      <c r="I337" s="42"/>
      <c r="J337" s="42"/>
      <c r="K337" s="42"/>
      <c r="L337" s="42"/>
      <c r="M337" s="42"/>
      <c r="N337" s="42"/>
      <c r="O337" s="42"/>
      <c r="P337" s="42"/>
      <c r="Q337" s="42"/>
      <c r="R337" s="42"/>
      <c r="S337" s="42"/>
      <c r="T337" s="42"/>
      <c r="AK337" s="79"/>
      <c r="AL337" s="33"/>
      <c r="AM337" s="33"/>
      <c r="AN337" s="33"/>
      <c r="AO337" s="33"/>
      <c r="AP337" s="33"/>
    </row>
    <row r="338" spans="2:71" ht="11.25" customHeight="1" outlineLevel="1">
      <c r="C338" s="36" t="s">
        <v>395</v>
      </c>
      <c r="E338" s="29"/>
      <c r="F338" s="29"/>
      <c r="G338" s="29"/>
      <c r="H338" s="29"/>
      <c r="I338" s="29"/>
      <c r="J338" s="29"/>
      <c r="K338" s="29"/>
      <c r="L338" s="29"/>
      <c r="M338" s="29"/>
      <c r="N338" s="29"/>
      <c r="O338" s="29"/>
      <c r="P338" s="29"/>
      <c r="AK338" s="79"/>
      <c r="AL338" s="29"/>
      <c r="AM338" s="29"/>
      <c r="AN338" s="29"/>
      <c r="AO338" s="29"/>
      <c r="AP338" s="29"/>
    </row>
    <row r="339" spans="2:71" ht="11.25" customHeight="1" outlineLevel="1">
      <c r="C339" s="44" t="s">
        <v>165</v>
      </c>
      <c r="E339" s="46"/>
      <c r="F339" s="46"/>
      <c r="G339" s="46"/>
      <c r="H339" s="46"/>
      <c r="I339" s="63">
        <f>I330/E$278</f>
        <v>0.15894039735099338</v>
      </c>
      <c r="J339" s="63">
        <f t="shared" ref="J339:T339" si="771">J330/F$278</f>
        <v>0.10119047619047619</v>
      </c>
      <c r="K339" s="63">
        <f t="shared" si="771"/>
        <v>0.18124999999999999</v>
      </c>
      <c r="L339" s="63">
        <f t="shared" si="771"/>
        <v>0.20454545454545456</v>
      </c>
      <c r="M339" s="63">
        <f t="shared" si="771"/>
        <v>0.15686274509803921</v>
      </c>
      <c r="N339" s="63">
        <f t="shared" si="771"/>
        <v>0.14906832298136646</v>
      </c>
      <c r="O339" s="63">
        <f t="shared" si="771"/>
        <v>5.9139784946236562E-2</v>
      </c>
      <c r="P339" s="63">
        <f t="shared" si="771"/>
        <v>-3.1055900621118012E-2</v>
      </c>
      <c r="Q339" s="63">
        <f t="shared" si="771"/>
        <v>-0.10112359550561797</v>
      </c>
      <c r="R339" s="63">
        <f t="shared" si="771"/>
        <v>-0.19148936170212766</v>
      </c>
      <c r="S339" s="63">
        <f t="shared" si="771"/>
        <v>-0.14835164835164835</v>
      </c>
      <c r="T339" s="63">
        <f t="shared" si="771"/>
        <v>-0.16260162601626016</v>
      </c>
      <c r="U339" s="130"/>
      <c r="V339" s="130"/>
      <c r="W339" s="130"/>
      <c r="X339" s="130"/>
      <c r="Y339" s="130"/>
      <c r="Z339" s="130"/>
      <c r="AA339" s="130"/>
      <c r="AB339" s="130"/>
      <c r="AC339" s="130"/>
      <c r="AD339" s="130"/>
      <c r="AE339" s="130"/>
      <c r="AF339" s="130"/>
      <c r="AG339" s="130"/>
      <c r="AH339" s="130"/>
      <c r="AI339" s="130"/>
      <c r="AJ339" s="130"/>
      <c r="AK339" s="79"/>
      <c r="AL339" s="46"/>
      <c r="AM339" s="46"/>
      <c r="AN339" s="63">
        <f>AN330/AM$278</f>
        <v>3.0303030303030304E-2</v>
      </c>
      <c r="AO339" s="63">
        <f>AO330/AN$278</f>
        <v>0.15875613747954173</v>
      </c>
      <c r="AP339" s="63">
        <f>AP330/AO$278</f>
        <v>8.169440242057488E-2</v>
      </c>
      <c r="AQ339" s="63">
        <f>AQ330/AP$278</f>
        <v>-0.15052160953800298</v>
      </c>
      <c r="AR339" s="63"/>
      <c r="AS339" s="130"/>
      <c r="AT339" s="130"/>
      <c r="AU339" s="130"/>
      <c r="AV339" s="130"/>
      <c r="AW339" s="130"/>
      <c r="AX339" s="130"/>
    </row>
    <row r="340" spans="2:71" ht="11.25" customHeight="1" outlineLevel="1">
      <c r="C340" s="44" t="s">
        <v>166</v>
      </c>
      <c r="E340" s="46"/>
      <c r="F340" s="46"/>
      <c r="G340" s="46"/>
      <c r="H340" s="46"/>
      <c r="I340" s="63">
        <f>I331/E$278</f>
        <v>-0.16556291390728478</v>
      </c>
      <c r="J340" s="63">
        <f t="shared" ref="J340:T340" si="772">J331/F$278</f>
        <v>-0.18452380952380953</v>
      </c>
      <c r="K340" s="63">
        <f t="shared" si="772"/>
        <v>0</v>
      </c>
      <c r="L340" s="63">
        <f t="shared" si="772"/>
        <v>-3.0303030303030304E-2</v>
      </c>
      <c r="M340" s="63">
        <f t="shared" si="772"/>
        <v>0</v>
      </c>
      <c r="N340" s="63">
        <f t="shared" si="772"/>
        <v>0</v>
      </c>
      <c r="O340" s="63">
        <f t="shared" si="772"/>
        <v>-0.10752688172043011</v>
      </c>
      <c r="P340" s="63">
        <f t="shared" si="772"/>
        <v>0</v>
      </c>
      <c r="Q340" s="63">
        <f t="shared" si="772"/>
        <v>-9.5505617977528087E-2</v>
      </c>
      <c r="R340" s="63">
        <f t="shared" si="772"/>
        <v>-0.16489361702127658</v>
      </c>
      <c r="S340" s="63">
        <f t="shared" si="772"/>
        <v>-0.23626373626373626</v>
      </c>
      <c r="T340" s="63">
        <f t="shared" si="772"/>
        <v>-0.34146341463414637</v>
      </c>
      <c r="U340" s="130"/>
      <c r="V340" s="130"/>
      <c r="W340" s="130"/>
      <c r="X340" s="130"/>
      <c r="Y340" s="130"/>
      <c r="Z340" s="130"/>
      <c r="AA340" s="130"/>
      <c r="AB340" s="130"/>
      <c r="AC340" s="130"/>
      <c r="AD340" s="130"/>
      <c r="AE340" s="130"/>
      <c r="AF340" s="130"/>
      <c r="AG340" s="130"/>
      <c r="AH340" s="130"/>
      <c r="AI340" s="130"/>
      <c r="AJ340" s="130"/>
      <c r="AK340" s="79"/>
      <c r="AL340" s="46"/>
      <c r="AM340" s="46"/>
      <c r="AN340" s="63">
        <f t="shared" ref="AN340:AQ343" si="773">AN331/AM$278</f>
        <v>-0.11212121212121212</v>
      </c>
      <c r="AO340" s="63">
        <f t="shared" si="773"/>
        <v>-9.8199672667757767E-2</v>
      </c>
      <c r="AP340" s="63">
        <f t="shared" si="773"/>
        <v>-3.0257186081694403E-2</v>
      </c>
      <c r="AQ340" s="63">
        <f t="shared" si="773"/>
        <v>-0.19821162444113263</v>
      </c>
      <c r="AR340" s="63"/>
      <c r="AS340" s="130"/>
      <c r="AT340" s="130"/>
      <c r="AU340" s="130"/>
      <c r="AV340" s="130"/>
      <c r="AW340" s="130"/>
      <c r="AX340" s="130"/>
    </row>
    <row r="341" spans="2:71" ht="11.25" customHeight="1" outlineLevel="1">
      <c r="C341" s="44" t="s">
        <v>167</v>
      </c>
      <c r="E341" s="46"/>
      <c r="F341" s="46"/>
      <c r="G341" s="46"/>
      <c r="H341" s="46"/>
      <c r="I341" s="63">
        <f>I332/E$278</f>
        <v>-2.6490066225165563E-2</v>
      </c>
      <c r="J341" s="63">
        <f t="shared" ref="J341:T341" si="774">J332/F$278</f>
        <v>0</v>
      </c>
      <c r="K341" s="63">
        <f t="shared" si="774"/>
        <v>0</v>
      </c>
      <c r="L341" s="63">
        <f t="shared" si="774"/>
        <v>3.0303030303030304E-2</v>
      </c>
      <c r="M341" s="63">
        <f t="shared" si="774"/>
        <v>7.8431372549019607E-2</v>
      </c>
      <c r="N341" s="63">
        <f t="shared" si="774"/>
        <v>0</v>
      </c>
      <c r="O341" s="63">
        <f t="shared" si="774"/>
        <v>0</v>
      </c>
      <c r="P341" s="63">
        <f t="shared" si="774"/>
        <v>-7.4534161490683232E-2</v>
      </c>
      <c r="Q341" s="63">
        <f t="shared" si="774"/>
        <v>-3.3707865168539325E-2</v>
      </c>
      <c r="R341" s="63">
        <f t="shared" si="774"/>
        <v>-4.2553191489361701E-2</v>
      </c>
      <c r="S341" s="63">
        <f t="shared" si="774"/>
        <v>0</v>
      </c>
      <c r="T341" s="63">
        <f t="shared" si="774"/>
        <v>-6.5040650406504072E-2</v>
      </c>
      <c r="U341" s="130"/>
      <c r="V341" s="130"/>
      <c r="W341" s="130"/>
      <c r="X341" s="130"/>
      <c r="Y341" s="130"/>
      <c r="Z341" s="130"/>
      <c r="AA341" s="130"/>
      <c r="AB341" s="130"/>
      <c r="AC341" s="130"/>
      <c r="AD341" s="130"/>
      <c r="AE341" s="130"/>
      <c r="AF341" s="130"/>
      <c r="AG341" s="130"/>
      <c r="AH341" s="130"/>
      <c r="AI341" s="130"/>
      <c r="AJ341" s="130"/>
      <c r="AK341" s="79"/>
      <c r="AL341" s="46"/>
      <c r="AM341" s="46"/>
      <c r="AN341" s="63">
        <f t="shared" si="773"/>
        <v>0</v>
      </c>
      <c r="AO341" s="63">
        <f t="shared" si="773"/>
        <v>0</v>
      </c>
      <c r="AP341" s="63">
        <f t="shared" si="773"/>
        <v>0</v>
      </c>
      <c r="AQ341" s="63">
        <f t="shared" si="773"/>
        <v>-3.2786885245901641E-2</v>
      </c>
      <c r="AR341" s="63"/>
      <c r="AS341" s="130"/>
      <c r="AT341" s="130"/>
      <c r="AU341" s="130"/>
      <c r="AV341" s="130"/>
      <c r="AW341" s="130"/>
      <c r="AX341" s="130"/>
    </row>
    <row r="342" spans="2:71" ht="11.25" customHeight="1" outlineLevel="1">
      <c r="C342" s="44" t="s">
        <v>854</v>
      </c>
      <c r="E342" s="46"/>
      <c r="F342" s="46"/>
      <c r="G342" s="46"/>
      <c r="H342" s="46"/>
      <c r="I342" s="63">
        <f>I333/E$278</f>
        <v>0</v>
      </c>
      <c r="J342" s="63">
        <f t="shared" ref="J342:T342" si="775">J333/F$278</f>
        <v>0</v>
      </c>
      <c r="K342" s="63">
        <f t="shared" si="775"/>
        <v>0</v>
      </c>
      <c r="L342" s="63">
        <f t="shared" si="775"/>
        <v>0</v>
      </c>
      <c r="M342" s="63">
        <f t="shared" si="775"/>
        <v>0</v>
      </c>
      <c r="N342" s="63">
        <f t="shared" si="775"/>
        <v>0</v>
      </c>
      <c r="O342" s="63">
        <f t="shared" si="775"/>
        <v>0</v>
      </c>
      <c r="P342" s="63">
        <f t="shared" si="775"/>
        <v>-0.12422360248447205</v>
      </c>
      <c r="Q342" s="63">
        <f t="shared" si="775"/>
        <v>7.3033707865168537E-2</v>
      </c>
      <c r="R342" s="63">
        <f t="shared" si="775"/>
        <v>0.21808510638297873</v>
      </c>
      <c r="S342" s="63">
        <f t="shared" si="775"/>
        <v>0.19230769230769232</v>
      </c>
      <c r="T342" s="63">
        <f t="shared" si="775"/>
        <v>0.38211382113821141</v>
      </c>
      <c r="U342" s="130"/>
      <c r="V342" s="130"/>
      <c r="W342" s="130"/>
      <c r="X342" s="130"/>
      <c r="Y342" s="130"/>
      <c r="Z342" s="130"/>
      <c r="AA342" s="130"/>
      <c r="AB342" s="130"/>
      <c r="AC342" s="130"/>
      <c r="AD342" s="130"/>
      <c r="AE342" s="130"/>
      <c r="AF342" s="130"/>
      <c r="AG342" s="130"/>
      <c r="AH342" s="130"/>
      <c r="AI342" s="130"/>
      <c r="AJ342" s="130"/>
      <c r="AK342" s="79"/>
      <c r="AL342" s="46"/>
      <c r="AM342" s="46"/>
      <c r="AN342" s="63">
        <f t="shared" si="773"/>
        <v>0</v>
      </c>
      <c r="AO342" s="63">
        <f t="shared" si="773"/>
        <v>0</v>
      </c>
      <c r="AP342" s="63">
        <f t="shared" si="773"/>
        <v>-3.0257186081694403E-2</v>
      </c>
      <c r="AQ342" s="63">
        <f t="shared" si="773"/>
        <v>0.20268256333830104</v>
      </c>
      <c r="AR342" s="63"/>
      <c r="AS342" s="130"/>
      <c r="AT342" s="130"/>
      <c r="AU342" s="130"/>
      <c r="AV342" s="130"/>
      <c r="AW342" s="130"/>
      <c r="AX342" s="130"/>
    </row>
    <row r="343" spans="2:71" ht="11.25" customHeight="1" outlineLevel="1">
      <c r="C343" s="111" t="s">
        <v>351</v>
      </c>
      <c r="E343" s="91"/>
      <c r="F343" s="91"/>
      <c r="G343" s="91"/>
      <c r="H343" s="91"/>
      <c r="I343" s="67">
        <f>I334/E$278</f>
        <v>-3.3112582781456956E-2</v>
      </c>
      <c r="J343" s="67">
        <f t="shared" ref="J343:T343" si="776">J334/F$278</f>
        <v>-8.3333333333333329E-2</v>
      </c>
      <c r="K343" s="67">
        <f t="shared" si="776"/>
        <v>0.18124999999999999</v>
      </c>
      <c r="L343" s="67">
        <f t="shared" si="776"/>
        <v>0.20454545454545456</v>
      </c>
      <c r="M343" s="67">
        <f t="shared" si="776"/>
        <v>0.23529411764705882</v>
      </c>
      <c r="N343" s="67">
        <f t="shared" si="776"/>
        <v>0.14906832298136646</v>
      </c>
      <c r="O343" s="67">
        <f t="shared" si="776"/>
        <v>-4.8387096774193547E-2</v>
      </c>
      <c r="P343" s="67">
        <f t="shared" si="776"/>
        <v>-0.22981366459627328</v>
      </c>
      <c r="Q343" s="67">
        <f t="shared" si="776"/>
        <v>-0.15730337078651685</v>
      </c>
      <c r="R343" s="67">
        <f t="shared" si="776"/>
        <v>-0.18085106382978725</v>
      </c>
      <c r="S343" s="67">
        <f t="shared" si="776"/>
        <v>-0.19230769230769232</v>
      </c>
      <c r="T343" s="67">
        <f t="shared" si="776"/>
        <v>-0.18699186991869918</v>
      </c>
      <c r="U343" s="126"/>
      <c r="V343" s="126"/>
      <c r="W343" s="126"/>
      <c r="X343" s="126"/>
      <c r="Y343" s="126"/>
      <c r="Z343" s="126"/>
      <c r="AA343" s="126"/>
      <c r="AB343" s="126"/>
      <c r="AC343" s="126"/>
      <c r="AD343" s="126"/>
      <c r="AE343" s="126"/>
      <c r="AF343" s="126"/>
      <c r="AG343" s="126"/>
      <c r="AH343" s="126"/>
      <c r="AI343" s="126"/>
      <c r="AJ343" s="126"/>
      <c r="AK343" s="79"/>
      <c r="AL343" s="91"/>
      <c r="AM343" s="67"/>
      <c r="AN343" s="67">
        <f t="shared" si="773"/>
        <v>-8.1818181818181818E-2</v>
      </c>
      <c r="AO343" s="67">
        <f t="shared" si="773"/>
        <v>6.0556464811783964E-2</v>
      </c>
      <c r="AP343" s="67">
        <f t="shared" si="773"/>
        <v>2.118003025718608E-2</v>
      </c>
      <c r="AQ343" s="67">
        <f t="shared" si="773"/>
        <v>-0.17883755588673622</v>
      </c>
      <c r="AR343" s="63"/>
      <c r="AS343" s="126"/>
      <c r="AT343" s="126"/>
      <c r="AU343" s="126"/>
      <c r="AV343" s="126"/>
      <c r="AW343" s="126"/>
      <c r="AX343" s="126"/>
    </row>
    <row r="344" spans="2:71" ht="11.25" customHeight="1" outlineLevel="1">
      <c r="C344" s="111"/>
      <c r="E344" s="33"/>
      <c r="F344" s="33"/>
      <c r="G344" s="33"/>
      <c r="H344" s="33"/>
      <c r="I344" s="33"/>
      <c r="J344" s="33"/>
      <c r="K344" s="33"/>
      <c r="L344" s="33"/>
      <c r="M344" s="33"/>
      <c r="N344" s="33"/>
      <c r="O344" s="33"/>
      <c r="P344" s="33"/>
      <c r="Q344" s="33"/>
      <c r="R344" s="33"/>
      <c r="AK344" s="79"/>
      <c r="AL344" s="33"/>
      <c r="AM344" s="33"/>
      <c r="AN344" s="33"/>
      <c r="AO344" s="33"/>
      <c r="AP344" s="33"/>
    </row>
    <row r="345" spans="2:71" ht="11.25" customHeight="1" outlineLevel="1">
      <c r="C345" s="112" t="s">
        <v>117</v>
      </c>
      <c r="E345" s="29">
        <v>6471</v>
      </c>
      <c r="F345" s="29">
        <v>6394</v>
      </c>
      <c r="G345" s="29">
        <v>6345</v>
      </c>
      <c r="H345" s="29">
        <v>6255</v>
      </c>
      <c r="I345" s="29">
        <v>6397</v>
      </c>
      <c r="J345" s="29">
        <v>6497</v>
      </c>
      <c r="K345" s="29">
        <v>6535</v>
      </c>
      <c r="L345" s="29">
        <v>6648</v>
      </c>
      <c r="M345" s="29">
        <v>6784</v>
      </c>
      <c r="N345" s="29">
        <v>6703</v>
      </c>
      <c r="O345" s="29">
        <v>6721</v>
      </c>
      <c r="P345" s="29">
        <v>6545</v>
      </c>
      <c r="Q345" s="29">
        <v>6561</v>
      </c>
      <c r="R345" s="29">
        <v>6520</v>
      </c>
      <c r="S345" s="29">
        <v>6491</v>
      </c>
      <c r="T345" s="29">
        <v>6387</v>
      </c>
      <c r="U345" s="29">
        <v>6375</v>
      </c>
      <c r="V345" s="29">
        <v>6077</v>
      </c>
      <c r="W345" s="29">
        <v>6142</v>
      </c>
      <c r="X345" s="29">
        <v>6238</v>
      </c>
      <c r="Y345" s="29">
        <v>6304</v>
      </c>
      <c r="Z345" s="29">
        <v>5952</v>
      </c>
      <c r="AA345" s="29">
        <v>5929</v>
      </c>
      <c r="AB345" s="29">
        <v>4188</v>
      </c>
      <c r="AC345" s="29">
        <v>4416</v>
      </c>
      <c r="AD345" s="837">
        <v>0</v>
      </c>
      <c r="AE345" s="837">
        <v>0</v>
      </c>
      <c r="AF345" s="837">
        <v>4127</v>
      </c>
      <c r="AG345" s="837"/>
      <c r="AK345" s="79"/>
      <c r="AL345" s="29">
        <v>5911</v>
      </c>
      <c r="AM345" s="29">
        <v>6370</v>
      </c>
      <c r="AN345" s="33">
        <f>SUMIF($E$7:$AK$7,AN$7,$E345:$AK345)</f>
        <v>6255</v>
      </c>
      <c r="AO345" s="33">
        <f t="shared" ref="AO345:AT345" si="777">SUMIF($E$7:$AK$7,AO$7,$E345:$AK345)</f>
        <v>6648</v>
      </c>
      <c r="AP345" s="33">
        <f t="shared" si="777"/>
        <v>6545</v>
      </c>
      <c r="AQ345" s="33">
        <f t="shared" si="777"/>
        <v>6387</v>
      </c>
      <c r="AR345" s="33">
        <f t="shared" si="777"/>
        <v>6238</v>
      </c>
      <c r="AS345" s="33">
        <f t="shared" si="777"/>
        <v>4188</v>
      </c>
      <c r="AT345" s="33">
        <f t="shared" si="777"/>
        <v>4127</v>
      </c>
    </row>
    <row r="346" spans="2:71" ht="11.25" customHeight="1" outlineLevel="1">
      <c r="C346" s="112" t="s">
        <v>119</v>
      </c>
      <c r="E346" s="33">
        <f>$AN$346*(E899/SUM($E$899:$H$899))</f>
        <v>52.717241379310344</v>
      </c>
      <c r="F346" s="33">
        <f>$AN$346*(F899/SUM($E$899:$H$899))</f>
        <v>51.641379310344824</v>
      </c>
      <c r="G346" s="33">
        <f>$AN$346*(G899/SUM($E$899:$H$899))</f>
        <v>52</v>
      </c>
      <c r="H346" s="33">
        <f>$AN$346*(H899/SUM($E$899:$H$899))</f>
        <v>51.641379310344824</v>
      </c>
      <c r="I346" s="33">
        <f>$AO$346*(I899/SUM($I$899:$L$899))</f>
        <v>52.614991482112437</v>
      </c>
      <c r="J346" s="33">
        <f>$AO$346*(J899/SUM($I$899:$L$899))</f>
        <v>53.340715502555362</v>
      </c>
      <c r="K346" s="33">
        <f>$AO$346*(K899/SUM($I$899:$L$899))</f>
        <v>53.703577512776825</v>
      </c>
      <c r="L346" s="33">
        <f>$AO$346*(L899/SUM($I$899:$L$899))</f>
        <v>53.340715502555362</v>
      </c>
      <c r="M346" s="33">
        <f>$AP$346*(M899/SUM($M$899:$P$899))</f>
        <v>55.112582781456958</v>
      </c>
      <c r="N346" s="33">
        <f>$AP$346*(N899/SUM($M$899:$P$899))</f>
        <v>53.662251655629142</v>
      </c>
      <c r="O346" s="33">
        <f>$AP$346*(O899/SUM($M$899:$P$899))</f>
        <v>54.75</v>
      </c>
      <c r="P346" s="33">
        <f>$AP$346*(P899/SUM($M$899:$P$899))</f>
        <v>55.475165562913908</v>
      </c>
      <c r="Q346" s="33">
        <f>$AQ$346*(Q899/SUM($Q$899:$T$899))</f>
        <v>44.648117839607202</v>
      </c>
      <c r="R346" s="33">
        <f>$AQ$346*(R899/SUM($Q$899:$T$899))</f>
        <v>44.936170212765951</v>
      </c>
      <c r="S346" s="33">
        <f>$AQ$346*(S899/SUM($Q$899:$T$899))</f>
        <v>43.495908346972179</v>
      </c>
      <c r="T346" s="33">
        <f>$AQ$346*(T899/SUM($Q$899:$T$899))</f>
        <v>42.919803600654667</v>
      </c>
      <c r="U346" s="33">
        <f>$AR346*(U$899/SUM($U$899:$X$899))</f>
        <v>31.965156794425088</v>
      </c>
      <c r="V346" s="33">
        <f>$AR346*(V$899/SUM($U$899:$X$899))</f>
        <v>32.42508710801394</v>
      </c>
      <c r="W346" s="33">
        <f>$AR346*(W$899/SUM($U$899:$X$899))</f>
        <v>34.264808362369337</v>
      </c>
      <c r="X346" s="33">
        <f>$AR346*(X$899/SUM($U$899:$X$899))</f>
        <v>33.344947735191631</v>
      </c>
      <c r="Y346" s="33">
        <f>$AS346*(Y$899/SUM($Y$899:$AB$899))</f>
        <v>39.050185873605948</v>
      </c>
      <c r="Z346" s="33">
        <f>$AS346*(Z$899/SUM($Y$899:$AB$899))</f>
        <v>36.691449814126393</v>
      </c>
      <c r="AA346" s="33">
        <f>$AS346*(AA$899/SUM($Y$899:$AB$899))</f>
        <v>33.284386617100374</v>
      </c>
      <c r="AB346" s="33">
        <f>$AS346*(AB$899/SUM($Y$899:$AB$899))</f>
        <v>31.973977695167289</v>
      </c>
      <c r="AC346" s="33">
        <f>$AT346*(AC$899/SUM($AC$899:$AF$899))</f>
        <v>36.020964360587001</v>
      </c>
      <c r="AD346" s="33">
        <f>$AT346*(AD$899/SUM($AC$899:$AF$899))</f>
        <v>36.318658280922435</v>
      </c>
      <c r="AE346" s="33">
        <f>$AT346*(AE$899/SUM($AC$899:$AF$899))</f>
        <v>34.830188679245282</v>
      </c>
      <c r="AF346" s="33">
        <f>$AT346*(AF$899/SUM($AC$899:$AF$899))</f>
        <v>34.830188679245282</v>
      </c>
      <c r="AG346" s="33">
        <f>$AT346*(AG$899/SUM($AC$899:$AF$899))</f>
        <v>41.974842767295598</v>
      </c>
      <c r="AH346" s="33">
        <f t="shared" ref="AH346:AJ346" si="778">+AH$899*AH902</f>
        <v>37.549171472894784</v>
      </c>
      <c r="AI346" s="33">
        <f t="shared" si="778"/>
        <v>38.029048144926861</v>
      </c>
      <c r="AJ346" s="33">
        <f t="shared" si="778"/>
        <v>38.508924816958931</v>
      </c>
      <c r="AK346" s="79"/>
      <c r="AL346" s="29">
        <v>147</v>
      </c>
      <c r="AM346" s="29">
        <v>203</v>
      </c>
      <c r="AN346" s="29">
        <v>208</v>
      </c>
      <c r="AO346" s="29">
        <v>213</v>
      </c>
      <c r="AP346" s="29">
        <v>219</v>
      </c>
      <c r="AQ346" s="98">
        <v>176</v>
      </c>
      <c r="AR346" s="98">
        <v>132</v>
      </c>
      <c r="AS346" s="98">
        <v>141</v>
      </c>
      <c r="AT346" s="98">
        <v>142</v>
      </c>
      <c r="AU346" s="33">
        <f t="shared" ref="AU346" si="779">SUMIF($E$6:$AK$6,AU$6,$E346:$AK346)</f>
        <v>156.06198720207618</v>
      </c>
      <c r="AV346" s="33">
        <f>+AV$899*AV902</f>
        <v>157.00580446056188</v>
      </c>
      <c r="AW346" s="33">
        <f>+AW$899*AW902</f>
        <v>160.08188972397627</v>
      </c>
      <c r="AX346" s="33">
        <f>+AX$899*AX902</f>
        <v>165.87216786687389</v>
      </c>
    </row>
    <row r="347" spans="2:71" ht="11.25" customHeight="1" outlineLevel="1">
      <c r="C347" s="112" t="s">
        <v>120</v>
      </c>
      <c r="E347" s="46"/>
      <c r="F347" s="46"/>
      <c r="G347" s="46"/>
      <c r="H347" s="46"/>
      <c r="I347" s="46"/>
      <c r="J347" s="46"/>
      <c r="K347" s="46"/>
      <c r="L347" s="46"/>
      <c r="M347" s="46"/>
      <c r="N347" s="46"/>
      <c r="O347" s="46"/>
      <c r="P347" s="46"/>
      <c r="Q347" s="46"/>
      <c r="R347" s="46"/>
      <c r="S347" s="46"/>
      <c r="T347" s="46"/>
      <c r="AK347" s="79"/>
      <c r="AL347" s="29">
        <v>168</v>
      </c>
      <c r="AM347" s="29">
        <v>227</v>
      </c>
      <c r="AN347" s="29">
        <v>212</v>
      </c>
      <c r="AO347" s="29">
        <v>229</v>
      </c>
      <c r="AP347" s="29">
        <v>150</v>
      </c>
      <c r="AQ347" s="29">
        <v>152</v>
      </c>
      <c r="AR347" s="29">
        <v>139</v>
      </c>
      <c r="AS347" s="29">
        <v>140</v>
      </c>
      <c r="AT347" s="29">
        <v>98</v>
      </c>
    </row>
    <row r="348" spans="2:71" ht="11.25" customHeight="1">
      <c r="C348" s="112"/>
      <c r="E348" s="29"/>
      <c r="F348" s="29"/>
      <c r="G348" s="29"/>
      <c r="H348" s="29"/>
      <c r="I348" s="29"/>
      <c r="J348" s="29"/>
      <c r="K348" s="29"/>
      <c r="L348" s="29"/>
      <c r="M348" s="29"/>
      <c r="N348" s="29"/>
      <c r="O348" s="29"/>
      <c r="P348" s="29"/>
      <c r="Q348" s="29"/>
      <c r="R348" s="29"/>
      <c r="AK348" s="79"/>
      <c r="AL348" s="29">
        <f>AL347+AL402+AL561+AL615</f>
        <v>405</v>
      </c>
      <c r="AM348" s="29"/>
      <c r="AN348" s="29"/>
      <c r="AO348" s="29"/>
      <c r="AP348" s="29"/>
      <c r="AS348" s="63"/>
    </row>
    <row r="349" spans="2:71" s="1256" customFormat="1" ht="3" customHeight="1" outlineLevel="1">
      <c r="B349" s="1257"/>
      <c r="C349" s="1258"/>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60"/>
      <c r="AL349" s="1261"/>
      <c r="AM349" s="1259"/>
      <c r="AN349" s="1259"/>
      <c r="AO349" s="1259"/>
      <c r="AP349" s="1259"/>
      <c r="AQ349" s="1259"/>
      <c r="AR349" s="1259"/>
      <c r="AS349" s="1259"/>
      <c r="AT349" s="1259"/>
      <c r="AU349" s="1259"/>
      <c r="AV349" s="1259"/>
      <c r="AW349" s="1259"/>
      <c r="AX349" s="1259"/>
      <c r="AY349" s="1262"/>
    </row>
    <row r="350" spans="2:71" ht="11.25" customHeight="1">
      <c r="C350" s="43"/>
      <c r="E350" s="29"/>
      <c r="F350" s="29"/>
      <c r="G350" s="29"/>
      <c r="H350" s="29"/>
      <c r="I350" s="29"/>
      <c r="J350" s="29"/>
      <c r="K350" s="29"/>
      <c r="L350" s="29"/>
      <c r="M350" s="29"/>
      <c r="N350" s="29"/>
      <c r="O350" s="29"/>
      <c r="P350" s="29"/>
      <c r="Q350" s="29"/>
      <c r="R350" s="29"/>
      <c r="AE350" s="63">
        <f>SUM(AC352:AE352)/SUM(Y352:AA352)-1</f>
        <v>9.5787139689578638E-2</v>
      </c>
      <c r="AF350" s="63">
        <f>SUM(AD352:AF352)/SUM(Z352:AB352)-1</f>
        <v>6.8801384681955957E-2</v>
      </c>
      <c r="AG350" s="63">
        <f>SUM(AE352:AG352)/SUM(AA352:AC352)-1</f>
        <v>3.8174637999122352E-2</v>
      </c>
      <c r="AK350" s="79"/>
      <c r="AL350" s="29"/>
      <c r="AM350" s="29"/>
      <c r="AN350" s="29"/>
      <c r="AO350" s="29"/>
      <c r="AP350" s="29"/>
    </row>
    <row r="351" spans="2:71" ht="11.25" customHeight="1">
      <c r="B351" s="27" t="s">
        <v>14</v>
      </c>
      <c r="C351" s="26" t="s">
        <v>105</v>
      </c>
      <c r="E351" s="29"/>
      <c r="F351" s="66"/>
      <c r="G351" s="66"/>
      <c r="H351" s="66"/>
      <c r="I351" s="66"/>
      <c r="J351" s="66"/>
      <c r="K351" s="66"/>
      <c r="L351" s="66"/>
      <c r="M351" s="66"/>
      <c r="N351" s="66"/>
      <c r="O351" s="66"/>
      <c r="P351" s="66"/>
      <c r="Q351" s="66"/>
      <c r="R351" s="66"/>
      <c r="S351" s="29"/>
      <c r="T351" s="66"/>
      <c r="U351" s="66"/>
      <c r="V351" s="66"/>
      <c r="W351" s="66"/>
      <c r="X351" s="66"/>
      <c r="Y351" s="66"/>
      <c r="Z351" s="66"/>
      <c r="AA351" s="66"/>
      <c r="AB351" s="66"/>
      <c r="AC351" s="66"/>
      <c r="AD351" s="66"/>
      <c r="AE351" s="66"/>
      <c r="AF351" s="66"/>
      <c r="AG351" s="66"/>
      <c r="AH351" s="66"/>
      <c r="AI351" s="66"/>
      <c r="AJ351" s="66"/>
      <c r="AK351" s="79"/>
      <c r="AL351" s="29"/>
      <c r="AM351" s="29"/>
      <c r="AN351" s="29"/>
      <c r="AO351" s="29"/>
      <c r="AP351" s="29"/>
      <c r="BJ351" s="63">
        <f>'Segment Snapshot'!AX11/'Segment Snapshot'!$AX$15</f>
        <v>0.30311909262759923</v>
      </c>
      <c r="BK351" s="1347" t="s">
        <v>1700</v>
      </c>
      <c r="BL351" s="1304"/>
      <c r="BM351" s="13" t="s">
        <v>1665</v>
      </c>
      <c r="BN351" s="1333">
        <v>2021</v>
      </c>
      <c r="BO351" s="1333">
        <f>BN351+1</f>
        <v>2022</v>
      </c>
      <c r="BP351" s="1333">
        <f>BO351+1</f>
        <v>2023</v>
      </c>
      <c r="BQ351" s="1333">
        <f t="shared" ref="BQ351:BR351" si="780">BP351+1</f>
        <v>2024</v>
      </c>
      <c r="BR351" s="1333">
        <f t="shared" si="780"/>
        <v>2025</v>
      </c>
      <c r="BS351" s="1333">
        <f t="shared" ref="BS351" si="781">BR351+1</f>
        <v>2026</v>
      </c>
    </row>
    <row r="352" spans="2:71" ht="11.25" customHeight="1">
      <c r="C352" s="36" t="s">
        <v>18</v>
      </c>
      <c r="E352" s="82">
        <v>589</v>
      </c>
      <c r="F352" s="82">
        <v>646</v>
      </c>
      <c r="G352" s="82">
        <v>638</v>
      </c>
      <c r="H352" s="82">
        <v>584</v>
      </c>
      <c r="I352" s="82">
        <v>634</v>
      </c>
      <c r="J352" s="82">
        <v>657</v>
      </c>
      <c r="K352" s="82">
        <v>646</v>
      </c>
      <c r="L352" s="82">
        <v>635</v>
      </c>
      <c r="M352" s="82">
        <v>693</v>
      </c>
      <c r="N352" s="82">
        <v>729</v>
      </c>
      <c r="O352" s="82">
        <v>709</v>
      </c>
      <c r="P352" s="82">
        <v>624</v>
      </c>
      <c r="Q352" s="82">
        <v>657</v>
      </c>
      <c r="R352" s="82">
        <v>696</v>
      </c>
      <c r="S352" s="82">
        <v>697</v>
      </c>
      <c r="T352" s="82">
        <v>638</v>
      </c>
      <c r="U352" s="82">
        <v>615</v>
      </c>
      <c r="V352" s="82">
        <v>567</v>
      </c>
      <c r="W352" s="82">
        <v>668</v>
      </c>
      <c r="X352" s="82">
        <v>674</v>
      </c>
      <c r="Y352" s="82">
        <v>716</v>
      </c>
      <c r="Z352" s="82">
        <v>769</v>
      </c>
      <c r="AA352" s="82">
        <v>770</v>
      </c>
      <c r="AB352" s="82">
        <v>772</v>
      </c>
      <c r="AC352" s="82">
        <v>737</v>
      </c>
      <c r="AD352" s="838">
        <v>846</v>
      </c>
      <c r="AE352" s="838">
        <v>888</v>
      </c>
      <c r="AF352" s="838">
        <v>736</v>
      </c>
      <c r="AG352" s="838">
        <v>742</v>
      </c>
      <c r="AH352" s="30">
        <f t="shared" ref="AH352:AJ352" si="782">+AD352+AH360</f>
        <v>837.54</v>
      </c>
      <c r="AI352" s="30">
        <f t="shared" si="782"/>
        <v>941.28</v>
      </c>
      <c r="AJ352" s="30">
        <f t="shared" si="782"/>
        <v>816.96</v>
      </c>
      <c r="AK352" s="79"/>
      <c r="AL352" s="82">
        <v>2378</v>
      </c>
      <c r="AM352" s="82">
        <v>2414</v>
      </c>
      <c r="AN352" s="31">
        <f t="shared" ref="AN352:AU352" si="783">SUMIF($E$6:$AK$6,AN$6,$E352:$AK352)</f>
        <v>2457</v>
      </c>
      <c r="AO352" s="31">
        <f t="shared" si="783"/>
        <v>2572</v>
      </c>
      <c r="AP352" s="31">
        <f t="shared" si="783"/>
        <v>2755</v>
      </c>
      <c r="AQ352" s="31">
        <f t="shared" si="783"/>
        <v>2688</v>
      </c>
      <c r="AR352" s="31">
        <f t="shared" si="783"/>
        <v>2524</v>
      </c>
      <c r="AS352" s="31">
        <f t="shared" si="783"/>
        <v>3027</v>
      </c>
      <c r="AT352" s="31">
        <f t="shared" si="783"/>
        <v>3207</v>
      </c>
      <c r="AU352" s="31">
        <f t="shared" si="783"/>
        <v>3337.7799999999997</v>
      </c>
      <c r="AV352" s="30">
        <f>AU352+AV360</f>
        <v>3571.4245999999998</v>
      </c>
      <c r="AW352" s="30">
        <f>AV352+AW360</f>
        <v>3749.9958299999998</v>
      </c>
      <c r="AX352" s="30">
        <f>AW352+AX360</f>
        <v>3881.2456840499999</v>
      </c>
      <c r="BK352" s="1334" t="s">
        <v>1674</v>
      </c>
      <c r="BL352" s="1297"/>
      <c r="BM352" s="1297">
        <v>0.31</v>
      </c>
      <c r="BN352" s="1299">
        <f>BM352*$AS$352</f>
        <v>938.37</v>
      </c>
      <c r="BO352" s="1299">
        <f t="shared" ref="BO352:BP357" si="784">+BN352*(1+BO361)</f>
        <v>1032.2070000000001</v>
      </c>
      <c r="BP352" s="1299">
        <f t="shared" si="784"/>
        <v>1052.8511400000002</v>
      </c>
      <c r="BQ352" s="1299">
        <f t="shared" ref="BQ352:BR352" si="785">+BP352*(1+BQ361)</f>
        <v>1158.1362540000002</v>
      </c>
      <c r="BR352" s="1299">
        <f t="shared" si="785"/>
        <v>1216.0430667000003</v>
      </c>
      <c r="BS352" s="1299">
        <f t="shared" ref="BS352" si="786">+BR352*(1+BS361)</f>
        <v>1276.8452200350002</v>
      </c>
    </row>
    <row r="353" spans="2:72" ht="11.25" customHeight="1" outlineLevel="1">
      <c r="C353" s="107" t="s">
        <v>358</v>
      </c>
      <c r="E353" s="90"/>
      <c r="F353" s="90"/>
      <c r="G353" s="90"/>
      <c r="H353" s="90"/>
      <c r="I353" s="94">
        <f t="shared" ref="I353:AC353" si="787">IFERROR(I352/E352-1,"NA  ")</f>
        <v>7.6400679117147652E-2</v>
      </c>
      <c r="J353" s="94">
        <f t="shared" si="787"/>
        <v>1.7027863777089758E-2</v>
      </c>
      <c r="K353" s="94">
        <f t="shared" si="787"/>
        <v>1.2539184952978122E-2</v>
      </c>
      <c r="L353" s="94">
        <f t="shared" si="787"/>
        <v>8.7328767123287632E-2</v>
      </c>
      <c r="M353" s="94">
        <f t="shared" si="787"/>
        <v>9.3059936908517438E-2</v>
      </c>
      <c r="N353" s="94">
        <f t="shared" si="787"/>
        <v>0.1095890410958904</v>
      </c>
      <c r="O353" s="94">
        <f t="shared" si="787"/>
        <v>9.7523219814241502E-2</v>
      </c>
      <c r="P353" s="94">
        <f t="shared" si="787"/>
        <v>-1.7322834645669305E-2</v>
      </c>
      <c r="Q353" s="94">
        <f t="shared" si="787"/>
        <v>-5.1948051948051965E-2</v>
      </c>
      <c r="R353" s="94">
        <f t="shared" si="787"/>
        <v>-4.5267489711934172E-2</v>
      </c>
      <c r="S353" s="94">
        <f t="shared" si="787"/>
        <v>-1.6925246826516194E-2</v>
      </c>
      <c r="T353" s="94">
        <f t="shared" si="787"/>
        <v>2.2435897435897356E-2</v>
      </c>
      <c r="U353" s="94">
        <f t="shared" si="787"/>
        <v>-6.3926940639269403E-2</v>
      </c>
      <c r="V353" s="94">
        <f t="shared" si="787"/>
        <v>-0.18534482758620685</v>
      </c>
      <c r="W353" s="94">
        <f t="shared" si="787"/>
        <v>-4.1606886657101882E-2</v>
      </c>
      <c r="X353" s="94">
        <f t="shared" si="787"/>
        <v>5.6426332288401326E-2</v>
      </c>
      <c r="Y353" s="94">
        <f t="shared" si="787"/>
        <v>0.16422764227642284</v>
      </c>
      <c r="Z353" s="94">
        <f t="shared" si="787"/>
        <v>0.35626102292768969</v>
      </c>
      <c r="AA353" s="94">
        <f t="shared" si="787"/>
        <v>0.15269461077844304</v>
      </c>
      <c r="AB353" s="94">
        <f t="shared" si="787"/>
        <v>0.14540059347181011</v>
      </c>
      <c r="AC353" s="94">
        <f t="shared" si="787"/>
        <v>2.9329608938547524E-2</v>
      </c>
      <c r="AD353" s="94">
        <f t="shared" ref="AD353" si="788">IFERROR(AD352/Z352-1,"NA  ")</f>
        <v>0.10013003901170348</v>
      </c>
      <c r="AE353" s="94">
        <f t="shared" ref="AE353" si="789">IFERROR(AE352/AA352-1,"NA  ")</f>
        <v>0.15324675324675319</v>
      </c>
      <c r="AF353" s="94">
        <f t="shared" ref="AF353:AG353" si="790">IFERROR(AF352/AB352-1,"NA  ")</f>
        <v>-4.6632124352331661E-2</v>
      </c>
      <c r="AG353" s="94">
        <f t="shared" si="790"/>
        <v>6.7842605156038793E-3</v>
      </c>
      <c r="AH353" s="94">
        <f t="shared" ref="AH353" si="791">IFERROR(AH352/AD352-1,"NA  ")</f>
        <v>-1.0000000000000009E-2</v>
      </c>
      <c r="AI353" s="94">
        <f t="shared" ref="AI353" si="792">IFERROR(AI352/AE352-1,"NA  ")</f>
        <v>6.0000000000000053E-2</v>
      </c>
      <c r="AJ353" s="94">
        <f t="shared" ref="AJ353" si="793">IFERROR(AJ352/AF352-1,"NA  ")</f>
        <v>0.1100000000000001</v>
      </c>
      <c r="AK353" s="79"/>
      <c r="AL353" s="47"/>
      <c r="AM353" s="94">
        <f t="shared" ref="AM353:AX353" si="794">IFERROR(AM352/AL352-1,"NA  ")</f>
        <v>1.5138772077375906E-2</v>
      </c>
      <c r="AN353" s="94">
        <f t="shared" si="794"/>
        <v>1.7812758906379456E-2</v>
      </c>
      <c r="AO353" s="94">
        <f t="shared" si="794"/>
        <v>4.6805046805046713E-2</v>
      </c>
      <c r="AP353" s="94">
        <f t="shared" si="794"/>
        <v>7.1150855365474275E-2</v>
      </c>
      <c r="AQ353" s="94">
        <f t="shared" si="794"/>
        <v>-2.4319419237749496E-2</v>
      </c>
      <c r="AR353" s="94">
        <f t="shared" si="794"/>
        <v>-6.1011904761904767E-2</v>
      </c>
      <c r="AS353" s="94">
        <f t="shared" si="794"/>
        <v>0.19928684627575288</v>
      </c>
      <c r="AT353" s="94">
        <f t="shared" si="794"/>
        <v>5.9464816650148578E-2</v>
      </c>
      <c r="AU353" s="94">
        <f t="shared" si="794"/>
        <v>4.0779544745868312E-2</v>
      </c>
      <c r="AV353" s="94">
        <f t="shared" si="794"/>
        <v>7.0000000000000062E-2</v>
      </c>
      <c r="AW353" s="94">
        <f t="shared" si="794"/>
        <v>5.0000000000000044E-2</v>
      </c>
      <c r="AX353" s="94">
        <f t="shared" si="794"/>
        <v>3.499999999999992E-2</v>
      </c>
      <c r="BK353" s="1335" t="s">
        <v>1675</v>
      </c>
      <c r="BL353" s="1298"/>
      <c r="BM353" s="1298">
        <v>0.26</v>
      </c>
      <c r="BN353" s="1301">
        <f t="shared" ref="BN353:BN357" si="795">BM353*$AS$352</f>
        <v>787.02</v>
      </c>
      <c r="BO353" s="1301">
        <f t="shared" si="784"/>
        <v>747.66899999999998</v>
      </c>
      <c r="BP353" s="1301">
        <f t="shared" si="784"/>
        <v>725.23892999999998</v>
      </c>
      <c r="BQ353" s="1301">
        <f t="shared" ref="BQ353:BR353" si="796">+BP353*(1+BQ362)</f>
        <v>797.76282300000003</v>
      </c>
      <c r="BR353" s="1301">
        <f t="shared" si="796"/>
        <v>857.595034725</v>
      </c>
      <c r="BS353" s="1301">
        <f t="shared" ref="BS353" si="797">+BR353*(1+BS362)</f>
        <v>900.47478646125001</v>
      </c>
    </row>
    <row r="354" spans="2:72" ht="11.25" customHeight="1" outlineLevel="1">
      <c r="C354" s="107" t="s">
        <v>641</v>
      </c>
      <c r="E354" s="94">
        <f t="shared" ref="E354:AJ354" si="798">IFERROR(E352/E$619,"NA  ")</f>
        <v>0.26341681574239711</v>
      </c>
      <c r="F354" s="94">
        <f t="shared" si="798"/>
        <v>0.28123639529821504</v>
      </c>
      <c r="G354" s="94">
        <f t="shared" si="798"/>
        <v>0.27896808045474419</v>
      </c>
      <c r="H354" s="94">
        <f t="shared" si="798"/>
        <v>0.26691042047531993</v>
      </c>
      <c r="I354" s="94">
        <f t="shared" si="798"/>
        <v>0.27529309596178897</v>
      </c>
      <c r="J354" s="94">
        <f t="shared" si="798"/>
        <v>0.27159983464241422</v>
      </c>
      <c r="K354" s="94">
        <f t="shared" si="798"/>
        <v>0.2620689655172414</v>
      </c>
      <c r="L354" s="94">
        <f t="shared" si="798"/>
        <v>0.26883996613039796</v>
      </c>
      <c r="M354" s="94">
        <f t="shared" si="798"/>
        <v>0.26582278481012656</v>
      </c>
      <c r="N354" s="94">
        <f t="shared" si="798"/>
        <v>0.27813811522319726</v>
      </c>
      <c r="O354" s="94">
        <f t="shared" si="798"/>
        <v>0.2783667059285434</v>
      </c>
      <c r="P354" s="94">
        <f t="shared" si="798"/>
        <v>0.26262626262626265</v>
      </c>
      <c r="Q354" s="94">
        <f t="shared" si="798"/>
        <v>0.27605042016806725</v>
      </c>
      <c r="R354" s="94">
        <f t="shared" si="798"/>
        <v>0.29454083791790098</v>
      </c>
      <c r="S354" s="95">
        <f t="shared" si="798"/>
        <v>0.29978494623655916</v>
      </c>
      <c r="T354" s="95">
        <f t="shared" si="798"/>
        <v>0.29052823315118398</v>
      </c>
      <c r="U354" s="95">
        <f t="shared" si="798"/>
        <v>0.27443105756358771</v>
      </c>
      <c r="V354" s="95">
        <f t="shared" si="798"/>
        <v>0.29469854469854467</v>
      </c>
      <c r="W354" s="95">
        <f t="shared" si="798"/>
        <v>0.31479736098020733</v>
      </c>
      <c r="X354" s="95">
        <f t="shared" si="798"/>
        <v>0.30832570905763951</v>
      </c>
      <c r="Y354" s="95">
        <f t="shared" si="798"/>
        <v>0.29721876297218763</v>
      </c>
      <c r="Z354" s="95">
        <f t="shared" si="798"/>
        <v>0.289860535243121</v>
      </c>
      <c r="AA354" s="95">
        <f t="shared" si="798"/>
        <v>0.28308823529411764</v>
      </c>
      <c r="AB354" s="95">
        <f t="shared" si="798"/>
        <v>0.28656273199703042</v>
      </c>
      <c r="AC354" s="95">
        <f t="shared" si="798"/>
        <v>0.2715549005158438</v>
      </c>
      <c r="AD354" s="95">
        <f t="shared" si="798"/>
        <v>0.30387931034482757</v>
      </c>
      <c r="AE354" s="95">
        <f t="shared" si="798"/>
        <v>0.32779623477297898</v>
      </c>
      <c r="AF354" s="95">
        <f t="shared" si="798"/>
        <v>0.31015592077538978</v>
      </c>
      <c r="AG354" s="95">
        <f t="shared" ref="AG354" si="799">IFERROR(AG352/AG$619,"NA  ")</f>
        <v>0.30762852404643448</v>
      </c>
      <c r="AH354" s="95">
        <f t="shared" si="798"/>
        <v>0.30959914831955759</v>
      </c>
      <c r="AI354" s="95">
        <f t="shared" si="798"/>
        <v>0.34887806613738964</v>
      </c>
      <c r="AJ354" s="95">
        <f t="shared" si="798"/>
        <v>0.33986471307690386</v>
      </c>
      <c r="AK354" s="79"/>
      <c r="AL354" s="94">
        <f t="shared" ref="AL354:AX354" si="800">IFERROR(AL352/AL$619,"NA  ")</f>
        <v>0.2496063818620762</v>
      </c>
      <c r="AM354" s="94">
        <f t="shared" si="800"/>
        <v>0.25020729684908788</v>
      </c>
      <c r="AN354" s="94">
        <f t="shared" si="800"/>
        <v>0.27275754884547071</v>
      </c>
      <c r="AO354" s="94">
        <f t="shared" si="800"/>
        <v>0.26934757566237305</v>
      </c>
      <c r="AP354" s="94">
        <f t="shared" si="800"/>
        <v>0.27140183233178999</v>
      </c>
      <c r="AQ354" s="95">
        <f t="shared" si="800"/>
        <v>0.29015544041450775</v>
      </c>
      <c r="AR354" s="95">
        <f t="shared" si="800"/>
        <v>0.29788740705771272</v>
      </c>
      <c r="AS354" s="95">
        <f t="shared" si="800"/>
        <v>0.28894616265750284</v>
      </c>
      <c r="AT354" s="95">
        <f t="shared" si="800"/>
        <v>0.30311909262759923</v>
      </c>
      <c r="AU354" s="95">
        <f t="shared" si="800"/>
        <v>0.32662363587969118</v>
      </c>
      <c r="AV354" s="95">
        <f t="shared" si="800"/>
        <v>0.33721327037344156</v>
      </c>
      <c r="AW354" s="95">
        <f t="shared" si="800"/>
        <v>0.3436485357755083</v>
      </c>
      <c r="AX354" s="95">
        <f t="shared" si="800"/>
        <v>0.34685583119255509</v>
      </c>
      <c r="BK354" s="1334" t="s">
        <v>1676</v>
      </c>
      <c r="BL354" s="1297"/>
      <c r="BM354" s="1297">
        <v>0.14000000000000001</v>
      </c>
      <c r="BN354" s="1299">
        <f t="shared" si="795"/>
        <v>423.78000000000003</v>
      </c>
      <c r="BO354" s="1299">
        <f t="shared" si="784"/>
        <v>402.59100000000001</v>
      </c>
      <c r="BP354" s="1299">
        <f t="shared" si="784"/>
        <v>390.51326999999998</v>
      </c>
      <c r="BQ354" s="1299">
        <f t="shared" ref="BQ354:BR354" si="801">+BP354*(1+BQ363)</f>
        <v>410.03893349999998</v>
      </c>
      <c r="BR354" s="1299">
        <f t="shared" si="801"/>
        <v>430.54088017499998</v>
      </c>
      <c r="BS354" s="1299">
        <f t="shared" ref="BS354" si="802">+BR354*(1+BS363)</f>
        <v>441.30440217937496</v>
      </c>
    </row>
    <row r="355" spans="2:72" ht="11.25" customHeight="1" outlineLevel="1">
      <c r="C355" s="36"/>
      <c r="E355" s="82"/>
      <c r="F355" s="82"/>
      <c r="G355" s="82"/>
      <c r="H355" s="82"/>
      <c r="I355" s="82"/>
      <c r="J355" s="82"/>
      <c r="K355" s="82"/>
      <c r="L355" s="82"/>
      <c r="M355" s="82"/>
      <c r="N355" s="82"/>
      <c r="O355" s="82"/>
      <c r="P355" s="82"/>
      <c r="Q355" s="82"/>
      <c r="R355" s="82"/>
      <c r="T355" s="63"/>
      <c r="AK355" s="79"/>
      <c r="AL355" s="82"/>
      <c r="AM355" s="82"/>
      <c r="AN355" s="31"/>
      <c r="AO355" s="31"/>
      <c r="AP355" s="31"/>
      <c r="BK355" s="1335" t="s">
        <v>1677</v>
      </c>
      <c r="BL355" s="1298"/>
      <c r="BM355" s="1298">
        <v>0.12</v>
      </c>
      <c r="BN355" s="1301">
        <f t="shared" si="795"/>
        <v>363.24</v>
      </c>
      <c r="BO355" s="1301">
        <f t="shared" si="784"/>
        <v>435.88799999999998</v>
      </c>
      <c r="BP355" s="1301">
        <f t="shared" si="784"/>
        <v>457.68239999999997</v>
      </c>
      <c r="BQ355" s="1301">
        <f t="shared" ref="BQ355:BR355" si="803">+BP355*(1+BQ364)</f>
        <v>480.56651999999997</v>
      </c>
      <c r="BR355" s="1301">
        <f t="shared" si="803"/>
        <v>490.17785039999995</v>
      </c>
      <c r="BS355" s="1301">
        <f t="shared" ref="BS355" si="804">+BR355*(1+BS364)</f>
        <v>499.98140740799994</v>
      </c>
    </row>
    <row r="356" spans="2:72" ht="11.25" customHeight="1">
      <c r="C356" s="43" t="s">
        <v>354</v>
      </c>
      <c r="E356" s="46"/>
      <c r="F356" s="46"/>
      <c r="G356" s="46"/>
      <c r="H356" s="46"/>
      <c r="I356" s="29">
        <v>0</v>
      </c>
      <c r="J356" s="29">
        <v>0</v>
      </c>
      <c r="K356" s="29">
        <v>0</v>
      </c>
      <c r="L356" s="29">
        <v>0</v>
      </c>
      <c r="M356" s="29">
        <v>0</v>
      </c>
      <c r="N356" s="29">
        <v>0</v>
      </c>
      <c r="O356" s="29">
        <v>0</v>
      </c>
      <c r="P356" s="29">
        <v>0</v>
      </c>
      <c r="Q356" s="29">
        <v>0</v>
      </c>
      <c r="R356" s="29">
        <v>0</v>
      </c>
      <c r="S356" s="29">
        <v>0</v>
      </c>
      <c r="T356" s="33">
        <v>0</v>
      </c>
      <c r="U356" s="28">
        <v>0</v>
      </c>
      <c r="V356" s="28">
        <v>0</v>
      </c>
      <c r="W356" s="28">
        <v>0</v>
      </c>
      <c r="X356" s="28">
        <v>0</v>
      </c>
      <c r="Y356" s="28">
        <v>0</v>
      </c>
      <c r="Z356" s="28">
        <v>0</v>
      </c>
      <c r="AA356" s="28">
        <v>0</v>
      </c>
      <c r="AB356" s="28">
        <v>0</v>
      </c>
      <c r="AC356" s="28">
        <v>0</v>
      </c>
      <c r="AD356" s="28">
        <v>0</v>
      </c>
      <c r="AE356" s="28">
        <v>0</v>
      </c>
      <c r="AF356" s="28">
        <v>0</v>
      </c>
      <c r="AG356" s="28">
        <v>0</v>
      </c>
      <c r="AH356" s="28">
        <f t="shared" ref="AH356:AH360" si="805">AD$352*AH365</f>
        <v>0</v>
      </c>
      <c r="AI356" s="28">
        <f t="shared" ref="AI356:AI360" si="806">AE$352*AI365</f>
        <v>0</v>
      </c>
      <c r="AJ356" s="28">
        <f t="shared" ref="AJ356:AJ360" si="807">AF$352*AJ365</f>
        <v>0</v>
      </c>
      <c r="AK356" s="79"/>
      <c r="AL356" s="46"/>
      <c r="AM356" s="29">
        <v>123</v>
      </c>
      <c r="AN356" s="33">
        <v>0</v>
      </c>
      <c r="AO356" s="33">
        <v>0</v>
      </c>
      <c r="AP356" s="33">
        <v>0</v>
      </c>
      <c r="AQ356" s="33">
        <v>0</v>
      </c>
      <c r="AR356" s="33">
        <v>0</v>
      </c>
      <c r="AS356" s="33">
        <v>0</v>
      </c>
      <c r="AT356" s="28">
        <f t="shared" ref="AT356:AU359" si="808">SUMIF($E$6:$AK$6,AT$6,$E356:$AK356)</f>
        <v>0</v>
      </c>
      <c r="AU356" s="28">
        <f t="shared" si="808"/>
        <v>0</v>
      </c>
      <c r="AV356" s="28">
        <f>AU$352*AV365</f>
        <v>0</v>
      </c>
      <c r="AW356" s="28">
        <f>AV$352*AW365</f>
        <v>0</v>
      </c>
      <c r="AX356" s="28">
        <f>AW$352*AX365</f>
        <v>0</v>
      </c>
      <c r="BK356" s="1335" t="s">
        <v>1672</v>
      </c>
      <c r="BL356" s="1298"/>
      <c r="BM356" s="1298">
        <v>0.08</v>
      </c>
      <c r="BN356" s="1301">
        <f t="shared" si="795"/>
        <v>242.16</v>
      </c>
      <c r="BO356" s="1301">
        <f t="shared" si="784"/>
        <v>284.53800000000001</v>
      </c>
      <c r="BP356" s="1301">
        <f t="shared" si="784"/>
        <v>298.76490000000001</v>
      </c>
      <c r="BQ356" s="1301">
        <f t="shared" ref="BQ356:BR356" si="809">+BP356*(1+BQ365)</f>
        <v>313.70314500000001</v>
      </c>
      <c r="BR356" s="1301">
        <f t="shared" si="809"/>
        <v>319.9772079</v>
      </c>
      <c r="BS356" s="1301">
        <f t="shared" ref="BS356" si="810">+BR356*(1+BS365)</f>
        <v>326.37675205800002</v>
      </c>
    </row>
    <row r="357" spans="2:72" ht="11.25" customHeight="1">
      <c r="C357" s="43" t="s">
        <v>165</v>
      </c>
      <c r="E357" s="46"/>
      <c r="F357" s="46"/>
      <c r="G357" s="46"/>
      <c r="H357" s="46"/>
      <c r="I357" s="29">
        <v>56</v>
      </c>
      <c r="J357" s="29">
        <v>15</v>
      </c>
      <c r="K357" s="29">
        <v>8</v>
      </c>
      <c r="L357" s="33">
        <f>+AO357-SUM(I357:K357)</f>
        <v>34</v>
      </c>
      <c r="M357" s="29">
        <v>29</v>
      </c>
      <c r="N357" s="29">
        <v>58</v>
      </c>
      <c r="O357" s="29">
        <v>58</v>
      </c>
      <c r="P357" s="33">
        <f>+AP357-SUM(M357:O357)</f>
        <v>-15</v>
      </c>
      <c r="Q357" s="29">
        <v>-29</v>
      </c>
      <c r="R357" s="29">
        <v>-24</v>
      </c>
      <c r="S357" s="29">
        <v>3</v>
      </c>
      <c r="T357" s="33">
        <f>+AQ357-SUM(Q357:S357)</f>
        <v>25</v>
      </c>
      <c r="U357" s="29">
        <v>-17</v>
      </c>
      <c r="V357" s="29">
        <v>-109</v>
      </c>
      <c r="W357" s="29">
        <v>-16</v>
      </c>
      <c r="X357" s="33">
        <f>+AR357-SUM(U357:W357)</f>
        <v>41</v>
      </c>
      <c r="Y357" s="29">
        <v>93</v>
      </c>
      <c r="Z357" s="29">
        <v>177</v>
      </c>
      <c r="AA357" s="29">
        <v>66</v>
      </c>
      <c r="AB357" s="33">
        <f>+AS357-SUM(Y357:AA357)</f>
        <v>70</v>
      </c>
      <c r="AC357" s="29">
        <v>-39</v>
      </c>
      <c r="AD357" s="29">
        <v>-10</v>
      </c>
      <c r="AE357" s="29">
        <v>24</v>
      </c>
      <c r="AF357" s="28">
        <f>+AT357-SUM(AC357:AE357)</f>
        <v>-102</v>
      </c>
      <c r="AG357" s="28">
        <v>-41</v>
      </c>
      <c r="AH357" s="28">
        <f t="shared" si="805"/>
        <v>-16.920000000000002</v>
      </c>
      <c r="AI357" s="28">
        <f t="shared" si="806"/>
        <v>44.400000000000006</v>
      </c>
      <c r="AJ357" s="28">
        <f t="shared" si="807"/>
        <v>73.600000000000009</v>
      </c>
      <c r="AK357" s="79"/>
      <c r="AL357" s="46"/>
      <c r="AM357" s="29">
        <v>88</v>
      </c>
      <c r="AN357" s="29">
        <v>119</v>
      </c>
      <c r="AO357" s="29">
        <v>113</v>
      </c>
      <c r="AP357" s="29">
        <v>130</v>
      </c>
      <c r="AQ357" s="29">
        <v>-25</v>
      </c>
      <c r="AR357" s="29">
        <v>-101</v>
      </c>
      <c r="AS357" s="29">
        <v>406</v>
      </c>
      <c r="AT357" s="29">
        <v>-127</v>
      </c>
      <c r="AU357" s="28">
        <f t="shared" si="808"/>
        <v>60.080000000000013</v>
      </c>
      <c r="AV357" s="28">
        <f t="shared" ref="AV357:AX360" si="811">AU$352*AV366</f>
        <v>166.88900000000001</v>
      </c>
      <c r="AW357" s="28">
        <f t="shared" si="811"/>
        <v>142.85698399999998</v>
      </c>
      <c r="AX357" s="28">
        <f t="shared" si="811"/>
        <v>93.749895750000007</v>
      </c>
      <c r="BK357" s="25" t="s">
        <v>1385</v>
      </c>
      <c r="BM357" s="66">
        <v>0.09</v>
      </c>
      <c r="BN357" s="28">
        <f t="shared" si="795"/>
        <v>272.43</v>
      </c>
      <c r="BO357" s="28">
        <f t="shared" si="784"/>
        <v>299.67300000000006</v>
      </c>
      <c r="BP357" s="28">
        <f t="shared" si="784"/>
        <v>305.66646000000009</v>
      </c>
      <c r="BQ357" s="28">
        <f t="shared" ref="BQ357:BR357" si="812">+BP357*(1+BQ366)</f>
        <v>311.7797892000001</v>
      </c>
      <c r="BR357" s="28">
        <f t="shared" si="812"/>
        <v>318.01538498400009</v>
      </c>
      <c r="BS357" s="28">
        <f t="shared" ref="BS357" si="813">+BR357*(1+BS366)</f>
        <v>324.37569268368009</v>
      </c>
    </row>
    <row r="358" spans="2:72" ht="11.25" customHeight="1">
      <c r="C358" s="43" t="s">
        <v>166</v>
      </c>
      <c r="E358" s="46"/>
      <c r="F358" s="46"/>
      <c r="G358" s="46"/>
      <c r="H358" s="46"/>
      <c r="I358" s="29">
        <v>-6</v>
      </c>
      <c r="J358" s="29">
        <v>2</v>
      </c>
      <c r="K358" s="29">
        <v>-2</v>
      </c>
      <c r="L358" s="33">
        <f>+AO358-SUM(I358:K358)</f>
        <v>7</v>
      </c>
      <c r="M358" s="29">
        <v>7</v>
      </c>
      <c r="N358" s="29">
        <v>-2</v>
      </c>
      <c r="O358" s="29">
        <v>7</v>
      </c>
      <c r="P358" s="33">
        <f>+AP358-SUM(M358:O358)</f>
        <v>10</v>
      </c>
      <c r="Q358" s="29">
        <v>8</v>
      </c>
      <c r="R358" s="29">
        <v>5</v>
      </c>
      <c r="S358" s="29">
        <v>-8</v>
      </c>
      <c r="T358" s="33">
        <f>+AQ358-SUM(Q358:S358)</f>
        <v>-5</v>
      </c>
      <c r="U358" s="29">
        <v>-19</v>
      </c>
      <c r="V358" s="29">
        <v>-15</v>
      </c>
      <c r="W358" s="29">
        <v>-18</v>
      </c>
      <c r="X358" s="33">
        <f>+AR358-SUM(U358:W358)</f>
        <v>-15</v>
      </c>
      <c r="Y358" s="29">
        <v>-8</v>
      </c>
      <c r="Z358" s="29">
        <v>9</v>
      </c>
      <c r="AA358" s="29">
        <v>29</v>
      </c>
      <c r="AB358" s="33">
        <f>+AS358-SUM(Y358:AA358)</f>
        <v>27</v>
      </c>
      <c r="AC358" s="29">
        <v>69</v>
      </c>
      <c r="AD358" s="29">
        <v>103</v>
      </c>
      <c r="AE358" s="29">
        <v>123</v>
      </c>
      <c r="AF358" s="28">
        <f t="shared" ref="AF358:AF359" si="814">+AT358-SUM(AC358:AE358)</f>
        <v>96</v>
      </c>
      <c r="AG358" s="28">
        <v>67</v>
      </c>
      <c r="AH358" s="28">
        <f t="shared" si="805"/>
        <v>8.4600000000000009</v>
      </c>
      <c r="AI358" s="28">
        <f t="shared" si="806"/>
        <v>8.8800000000000008</v>
      </c>
      <c r="AJ358" s="28">
        <f t="shared" si="807"/>
        <v>7.36</v>
      </c>
      <c r="AK358" s="79"/>
      <c r="AL358" s="46"/>
      <c r="AM358" s="29">
        <v>-84</v>
      </c>
      <c r="AN358" s="29">
        <v>-67</v>
      </c>
      <c r="AO358" s="29">
        <v>1</v>
      </c>
      <c r="AP358" s="29">
        <v>22</v>
      </c>
      <c r="AQ358" s="29">
        <v>0</v>
      </c>
      <c r="AR358" s="29">
        <v>-67</v>
      </c>
      <c r="AS358" s="29">
        <v>57</v>
      </c>
      <c r="AT358" s="29">
        <v>391</v>
      </c>
      <c r="AU358" s="28">
        <f t="shared" si="808"/>
        <v>91.7</v>
      </c>
      <c r="AV358" s="28">
        <f t="shared" si="811"/>
        <v>66.755600000000001</v>
      </c>
      <c r="AW358" s="28">
        <f t="shared" si="811"/>
        <v>35.714245999999996</v>
      </c>
      <c r="AX358" s="28">
        <f t="shared" si="811"/>
        <v>37.499958299999996</v>
      </c>
      <c r="BM358" s="67">
        <f>SUM(BM352:BM357)</f>
        <v>1</v>
      </c>
      <c r="BN358" s="35">
        <f>SUM(BN352:BN357)</f>
        <v>3026.9999999999995</v>
      </c>
      <c r="BO358" s="35">
        <f>SUM(BO352:BO357)</f>
        <v>3202.5660000000003</v>
      </c>
      <c r="BP358" s="35">
        <f>SUM(BP352:BP357)</f>
        <v>3230.7171000000003</v>
      </c>
      <c r="BQ358" s="35">
        <f t="shared" ref="BQ358:BS358" si="815">SUM(BQ352:BQ357)</f>
        <v>3471.9874646999997</v>
      </c>
      <c r="BR358" s="35">
        <f t="shared" si="815"/>
        <v>3632.3494248839997</v>
      </c>
      <c r="BS358" s="35">
        <f t="shared" si="815"/>
        <v>3769.358260825305</v>
      </c>
    </row>
    <row r="359" spans="2:72" ht="11.25" customHeight="1">
      <c r="C359" s="43" t="s">
        <v>167</v>
      </c>
      <c r="E359" s="46"/>
      <c r="F359" s="46"/>
      <c r="G359" s="46"/>
      <c r="H359" s="46"/>
      <c r="I359" s="29">
        <v>-5</v>
      </c>
      <c r="J359" s="29">
        <v>-6</v>
      </c>
      <c r="K359" s="29">
        <v>2</v>
      </c>
      <c r="L359" s="33">
        <f>+AO359-SUM(I359:K359)</f>
        <v>10</v>
      </c>
      <c r="M359" s="29">
        <v>23</v>
      </c>
      <c r="N359" s="29">
        <v>16</v>
      </c>
      <c r="O359" s="29">
        <v>-2</v>
      </c>
      <c r="P359" s="33">
        <f>+AP359-SUM(M359:O359)</f>
        <v>-6</v>
      </c>
      <c r="Q359" s="29">
        <v>-15</v>
      </c>
      <c r="R359" s="29">
        <v>-14</v>
      </c>
      <c r="S359" s="29">
        <v>-7</v>
      </c>
      <c r="T359" s="33">
        <f>+AQ359-SUM(Q359:S359)</f>
        <v>-6</v>
      </c>
      <c r="U359" s="29">
        <v>-6</v>
      </c>
      <c r="V359" s="29">
        <v>-5</v>
      </c>
      <c r="W359" s="29">
        <v>5</v>
      </c>
      <c r="X359" s="33">
        <f>+AR359-SUM(U359:W359)</f>
        <v>10</v>
      </c>
      <c r="Y359" s="29">
        <v>16</v>
      </c>
      <c r="Z359" s="29">
        <v>16</v>
      </c>
      <c r="AA359" s="29">
        <v>7</v>
      </c>
      <c r="AB359" s="33">
        <f>+AS359-SUM(Y359:AA359)</f>
        <v>1</v>
      </c>
      <c r="AC359" s="29">
        <v>-9</v>
      </c>
      <c r="AD359" s="29">
        <v>-16</v>
      </c>
      <c r="AE359" s="29">
        <v>-29</v>
      </c>
      <c r="AF359" s="28">
        <f t="shared" si="814"/>
        <v>-30</v>
      </c>
      <c r="AG359" s="28">
        <v>-21</v>
      </c>
      <c r="AH359" s="28">
        <f t="shared" si="805"/>
        <v>0</v>
      </c>
      <c r="AI359" s="28">
        <f t="shared" si="806"/>
        <v>0</v>
      </c>
      <c r="AJ359" s="28">
        <f t="shared" si="807"/>
        <v>0</v>
      </c>
      <c r="AK359" s="79"/>
      <c r="AL359" s="46"/>
      <c r="AM359" s="29">
        <v>-91</v>
      </c>
      <c r="AN359" s="29">
        <v>-9</v>
      </c>
      <c r="AO359" s="29">
        <v>1</v>
      </c>
      <c r="AP359" s="29">
        <v>31</v>
      </c>
      <c r="AQ359" s="29">
        <v>-42</v>
      </c>
      <c r="AR359" s="29">
        <v>4</v>
      </c>
      <c r="AS359" s="29">
        <v>40</v>
      </c>
      <c r="AT359" s="29">
        <v>-84</v>
      </c>
      <c r="AU359" s="28">
        <f t="shared" si="808"/>
        <v>-21</v>
      </c>
      <c r="AV359" s="28">
        <f t="shared" si="811"/>
        <v>0</v>
      </c>
      <c r="AW359" s="28">
        <f t="shared" si="811"/>
        <v>0</v>
      </c>
      <c r="AX359" s="28">
        <f t="shared" si="811"/>
        <v>0</v>
      </c>
    </row>
    <row r="360" spans="2:72" ht="11.25" customHeight="1">
      <c r="C360" s="45" t="s">
        <v>351</v>
      </c>
      <c r="E360" s="32">
        <f>SUM(E356:E359)</f>
        <v>0</v>
      </c>
      <c r="F360" s="32">
        <f t="shared" ref="F360:S360" si="816">SUM(F356:F359)</f>
        <v>0</v>
      </c>
      <c r="G360" s="32">
        <f t="shared" si="816"/>
        <v>0</v>
      </c>
      <c r="H360" s="32">
        <f t="shared" si="816"/>
        <v>0</v>
      </c>
      <c r="I360" s="32">
        <f t="shared" si="816"/>
        <v>45</v>
      </c>
      <c r="J360" s="32">
        <f t="shared" si="816"/>
        <v>11</v>
      </c>
      <c r="K360" s="32">
        <f t="shared" si="816"/>
        <v>8</v>
      </c>
      <c r="L360" s="32">
        <f t="shared" si="816"/>
        <v>51</v>
      </c>
      <c r="M360" s="32">
        <f t="shared" si="816"/>
        <v>59</v>
      </c>
      <c r="N360" s="32">
        <f t="shared" si="816"/>
        <v>72</v>
      </c>
      <c r="O360" s="32">
        <f t="shared" si="816"/>
        <v>63</v>
      </c>
      <c r="P360" s="32">
        <f t="shared" si="816"/>
        <v>-11</v>
      </c>
      <c r="Q360" s="32">
        <f t="shared" si="816"/>
        <v>-36</v>
      </c>
      <c r="R360" s="32">
        <f t="shared" si="816"/>
        <v>-33</v>
      </c>
      <c r="S360" s="32">
        <f t="shared" si="816"/>
        <v>-12</v>
      </c>
      <c r="T360" s="32">
        <f t="shared" ref="T360:AC360" si="817">SUM(T356:T359)</f>
        <v>14</v>
      </c>
      <c r="U360" s="32">
        <f t="shared" si="817"/>
        <v>-42</v>
      </c>
      <c r="V360" s="32">
        <f t="shared" si="817"/>
        <v>-129</v>
      </c>
      <c r="W360" s="32">
        <f t="shared" si="817"/>
        <v>-29</v>
      </c>
      <c r="X360" s="32">
        <f>SUM(X356:X359)</f>
        <v>36</v>
      </c>
      <c r="Y360" s="32">
        <f t="shared" si="817"/>
        <v>101</v>
      </c>
      <c r="Z360" s="32">
        <f t="shared" si="817"/>
        <v>202</v>
      </c>
      <c r="AA360" s="32">
        <f t="shared" si="817"/>
        <v>102</v>
      </c>
      <c r="AB360" s="32">
        <f t="shared" si="817"/>
        <v>98</v>
      </c>
      <c r="AC360" s="32">
        <f t="shared" si="817"/>
        <v>21</v>
      </c>
      <c r="AD360" s="32">
        <f t="shared" ref="AD360:AF360" si="818">SUM(AD356:AD359)</f>
        <v>77</v>
      </c>
      <c r="AE360" s="32">
        <f t="shared" si="818"/>
        <v>118</v>
      </c>
      <c r="AF360" s="32">
        <f t="shared" si="818"/>
        <v>-36</v>
      </c>
      <c r="AG360" s="32">
        <f t="shared" ref="AG360" si="819">SUM(AG356:AG359)</f>
        <v>5</v>
      </c>
      <c r="AH360" s="35">
        <f t="shared" si="805"/>
        <v>-8.4600000000000009</v>
      </c>
      <c r="AI360" s="35">
        <f t="shared" si="806"/>
        <v>53.28</v>
      </c>
      <c r="AJ360" s="35">
        <f t="shared" si="807"/>
        <v>80.959999999999994</v>
      </c>
      <c r="AK360" s="79"/>
      <c r="AL360" s="32"/>
      <c r="AM360" s="32">
        <f t="shared" ref="AM360:AT360" si="820">SUM(AM356:AM359)</f>
        <v>36</v>
      </c>
      <c r="AN360" s="32">
        <f t="shared" si="820"/>
        <v>43</v>
      </c>
      <c r="AO360" s="32">
        <f t="shared" si="820"/>
        <v>115</v>
      </c>
      <c r="AP360" s="32">
        <f t="shared" si="820"/>
        <v>183</v>
      </c>
      <c r="AQ360" s="32">
        <f t="shared" si="820"/>
        <v>-67</v>
      </c>
      <c r="AR360" s="32">
        <f t="shared" si="820"/>
        <v>-164</v>
      </c>
      <c r="AS360" s="32">
        <f t="shared" si="820"/>
        <v>503</v>
      </c>
      <c r="AT360" s="32">
        <f t="shared" si="820"/>
        <v>180</v>
      </c>
      <c r="AU360" s="32">
        <f t="shared" ref="AU360" si="821">SUM(AU356:AU359)</f>
        <v>130.78000000000003</v>
      </c>
      <c r="AV360" s="35">
        <f t="shared" si="811"/>
        <v>233.6446</v>
      </c>
      <c r="AW360" s="35">
        <f t="shared" si="811"/>
        <v>178.57123000000001</v>
      </c>
      <c r="AX360" s="35">
        <f t="shared" si="811"/>
        <v>131.24985405000001</v>
      </c>
      <c r="BK360" s="1337" t="s">
        <v>1669</v>
      </c>
      <c r="BL360" s="1336"/>
      <c r="BM360" s="1337"/>
      <c r="BN360" s="1337"/>
      <c r="BO360" s="1338">
        <v>2022</v>
      </c>
      <c r="BP360" s="1338">
        <f>BO360+1</f>
        <v>2023</v>
      </c>
      <c r="BQ360" s="1338">
        <f t="shared" ref="BQ360:BR360" si="822">BP360+1</f>
        <v>2024</v>
      </c>
      <c r="BR360" s="1338">
        <f t="shared" si="822"/>
        <v>2025</v>
      </c>
      <c r="BS360" s="1338">
        <f t="shared" ref="BS360" si="823">BR360+1</f>
        <v>2026</v>
      </c>
    </row>
    <row r="361" spans="2:72" ht="11.25" customHeight="1">
      <c r="C361" s="111"/>
      <c r="E361" s="31"/>
      <c r="F361" s="31"/>
      <c r="G361" s="31"/>
      <c r="H361" s="31"/>
      <c r="I361" s="31"/>
      <c r="J361" s="31"/>
      <c r="K361" s="31"/>
      <c r="L361" s="31"/>
      <c r="M361" s="31"/>
      <c r="N361" s="31"/>
      <c r="O361" s="31"/>
      <c r="P361" s="31"/>
      <c r="Q361" s="31"/>
      <c r="R361" s="31"/>
      <c r="AK361" s="79"/>
      <c r="AL361" s="29"/>
      <c r="AM361" s="31"/>
      <c r="AN361" s="31"/>
      <c r="AO361" s="31"/>
      <c r="AP361" s="31"/>
      <c r="BK361" s="1339" t="s">
        <v>1674</v>
      </c>
      <c r="BL361" s="1340"/>
      <c r="BM361" s="1340"/>
      <c r="BN361" s="1340"/>
      <c r="BO361" s="1341">
        <v>0.1</v>
      </c>
      <c r="BP361" s="1341">
        <v>0.02</v>
      </c>
      <c r="BQ361" s="1341">
        <v>0.1</v>
      </c>
      <c r="BR361" s="1341">
        <v>0.05</v>
      </c>
      <c r="BS361" s="1341">
        <v>0.05</v>
      </c>
      <c r="BT361" s="1251"/>
    </row>
    <row r="362" spans="2:72" s="41" customFormat="1" ht="11.25" customHeight="1" outlineLevel="1">
      <c r="B362" s="37"/>
      <c r="C362" s="113" t="s">
        <v>68</v>
      </c>
      <c r="E362" s="46"/>
      <c r="F362" s="46"/>
      <c r="G362" s="46"/>
      <c r="H362" s="46"/>
      <c r="I362" s="42">
        <f>ROUND(+I360-(I352-E352),1)</f>
        <v>0</v>
      </c>
      <c r="J362" s="42">
        <f t="shared" ref="J362:Y362" si="824">ROUND(+J360-(J352-F352),1)</f>
        <v>0</v>
      </c>
      <c r="K362" s="42">
        <f t="shared" si="824"/>
        <v>0</v>
      </c>
      <c r="L362" s="42">
        <f t="shared" si="824"/>
        <v>0</v>
      </c>
      <c r="M362" s="42">
        <f t="shared" si="824"/>
        <v>0</v>
      </c>
      <c r="N362" s="42">
        <f t="shared" si="824"/>
        <v>0</v>
      </c>
      <c r="O362" s="42">
        <f t="shared" si="824"/>
        <v>0</v>
      </c>
      <c r="P362" s="42">
        <f t="shared" si="824"/>
        <v>0</v>
      </c>
      <c r="Q362" s="42">
        <f t="shared" si="824"/>
        <v>0</v>
      </c>
      <c r="R362" s="42">
        <f t="shared" si="824"/>
        <v>0</v>
      </c>
      <c r="S362" s="42">
        <f t="shared" si="824"/>
        <v>0</v>
      </c>
      <c r="T362" s="42">
        <f t="shared" si="824"/>
        <v>0</v>
      </c>
      <c r="U362" s="42">
        <f t="shared" si="824"/>
        <v>0</v>
      </c>
      <c r="V362" s="42">
        <f t="shared" si="824"/>
        <v>0</v>
      </c>
      <c r="W362" s="42">
        <f t="shared" si="824"/>
        <v>0</v>
      </c>
      <c r="X362" s="42">
        <f t="shared" si="824"/>
        <v>0</v>
      </c>
      <c r="Y362" s="42">
        <f t="shared" si="824"/>
        <v>0</v>
      </c>
      <c r="Z362" s="42">
        <f t="shared" ref="Z362:AC362" si="825">ROUND(+Z360-(Z352-V352),1)</f>
        <v>0</v>
      </c>
      <c r="AA362" s="42">
        <f t="shared" si="825"/>
        <v>0</v>
      </c>
      <c r="AB362" s="42">
        <f t="shared" si="825"/>
        <v>0</v>
      </c>
      <c r="AC362" s="42">
        <f t="shared" si="825"/>
        <v>0</v>
      </c>
      <c r="AD362" s="42">
        <f t="shared" ref="AD362" si="826">ROUND(+AD360-(AD352-Z352),1)</f>
        <v>0</v>
      </c>
      <c r="AE362" s="42">
        <f t="shared" ref="AE362" si="827">ROUND(+AE360-(AE352-AA352),1)</f>
        <v>0</v>
      </c>
      <c r="AF362" s="42">
        <f t="shared" ref="AF362:AG362" si="828">ROUND(+AF360-(AF352-AB352),1)</f>
        <v>0</v>
      </c>
      <c r="AG362" s="42">
        <f t="shared" si="828"/>
        <v>0</v>
      </c>
      <c r="AH362" s="42">
        <f t="shared" ref="AH362" si="829">ROUND(+AH360-(AH352-AD352),1)</f>
        <v>0</v>
      </c>
      <c r="AI362" s="42">
        <f t="shared" ref="AI362" si="830">ROUND(+AI360-(AI352-AE352),1)</f>
        <v>0</v>
      </c>
      <c r="AJ362" s="42">
        <f t="shared" ref="AJ362" si="831">ROUND(+AJ360-(AJ352-AF352),1)</f>
        <v>0</v>
      </c>
      <c r="AK362" s="79"/>
      <c r="AL362" s="92"/>
      <c r="AM362" s="42">
        <f>ROUND(+AM360-(AM352-AL352),1)</f>
        <v>0</v>
      </c>
      <c r="AN362" s="42">
        <f t="shared" ref="AN362:AX362" si="832">ROUND(+AN360-(AN352-AM352),1)</f>
        <v>0</v>
      </c>
      <c r="AO362" s="42">
        <f t="shared" si="832"/>
        <v>0</v>
      </c>
      <c r="AP362" s="42">
        <f t="shared" si="832"/>
        <v>0</v>
      </c>
      <c r="AQ362" s="42">
        <f t="shared" si="832"/>
        <v>0</v>
      </c>
      <c r="AR362" s="42">
        <f t="shared" si="832"/>
        <v>0</v>
      </c>
      <c r="AS362" s="42">
        <f t="shared" si="832"/>
        <v>0</v>
      </c>
      <c r="AT362" s="42">
        <f t="shared" si="832"/>
        <v>0</v>
      </c>
      <c r="AU362" s="42">
        <f t="shared" si="832"/>
        <v>0</v>
      </c>
      <c r="AV362" s="42">
        <f t="shared" si="832"/>
        <v>0</v>
      </c>
      <c r="AW362" s="42">
        <f t="shared" si="832"/>
        <v>0</v>
      </c>
      <c r="AX362" s="42">
        <f t="shared" si="832"/>
        <v>0</v>
      </c>
      <c r="AY362" s="1"/>
      <c r="BK362" s="1342" t="s">
        <v>1675</v>
      </c>
      <c r="BL362" s="1343"/>
      <c r="BM362" s="1343"/>
      <c r="BN362" s="1343"/>
      <c r="BO362" s="1344">
        <v>-0.05</v>
      </c>
      <c r="BP362" s="1344">
        <v>-0.03</v>
      </c>
      <c r="BQ362" s="1344">
        <v>0.1</v>
      </c>
      <c r="BR362" s="1344">
        <v>7.4999999999999997E-2</v>
      </c>
      <c r="BS362" s="1344">
        <v>0.05</v>
      </c>
      <c r="BT362" s="1251"/>
    </row>
    <row r="363" spans="2:72" ht="11.25" customHeight="1" outlineLevel="1">
      <c r="C363" s="43"/>
      <c r="E363" s="29"/>
      <c r="F363" s="29"/>
      <c r="G363" s="29"/>
      <c r="H363" s="29"/>
      <c r="I363" s="29"/>
      <c r="J363" s="29"/>
      <c r="K363" s="29"/>
      <c r="L363" s="29"/>
      <c r="M363" s="29"/>
      <c r="N363" s="29"/>
      <c r="O363" s="29"/>
      <c r="P363" s="29"/>
      <c r="AK363" s="79"/>
      <c r="AL363" s="29"/>
      <c r="AM363" s="29"/>
      <c r="AN363" s="29"/>
      <c r="AO363" s="29"/>
      <c r="AP363" s="29"/>
      <c r="BK363" s="1339" t="s">
        <v>1676</v>
      </c>
      <c r="BL363" s="1340"/>
      <c r="BM363" s="1340"/>
      <c r="BN363" s="1340"/>
      <c r="BO363" s="1341">
        <v>-0.05</v>
      </c>
      <c r="BP363" s="1341">
        <v>-0.03</v>
      </c>
      <c r="BQ363" s="1341">
        <v>0.05</v>
      </c>
      <c r="BR363" s="1341">
        <v>0.05</v>
      </c>
      <c r="BS363" s="1341">
        <v>2.5000000000000001E-2</v>
      </c>
      <c r="BT363" s="1251"/>
    </row>
    <row r="364" spans="2:72" ht="11.25" customHeight="1">
      <c r="C364" s="36" t="s">
        <v>395</v>
      </c>
      <c r="E364" s="29"/>
      <c r="F364" s="29"/>
      <c r="G364" s="29"/>
      <c r="H364" s="29"/>
      <c r="I364" s="29"/>
      <c r="J364" s="29"/>
      <c r="K364" s="29"/>
      <c r="L364" s="29"/>
      <c r="M364" s="29"/>
      <c r="N364" s="29"/>
      <c r="O364" s="29"/>
      <c r="P364" s="29"/>
      <c r="Q364" s="63"/>
      <c r="AK364" s="79"/>
      <c r="AL364" s="29"/>
      <c r="AM364" s="29"/>
      <c r="AN364" s="29"/>
      <c r="AO364" s="29"/>
      <c r="AP364" s="29"/>
      <c r="BK364" s="1342" t="s">
        <v>1677</v>
      </c>
      <c r="BL364" s="1343"/>
      <c r="BM364" s="1343"/>
      <c r="BN364" s="1343"/>
      <c r="BO364" s="1344">
        <v>0.2</v>
      </c>
      <c r="BP364" s="1344">
        <v>0.05</v>
      </c>
      <c r="BQ364" s="1344">
        <v>0.05</v>
      </c>
      <c r="BR364" s="1344">
        <v>0.02</v>
      </c>
      <c r="BS364" s="1344">
        <v>0.02</v>
      </c>
      <c r="BT364" s="1251"/>
    </row>
    <row r="365" spans="2:72" ht="11.25" customHeight="1">
      <c r="C365" s="43" t="s">
        <v>354</v>
      </c>
      <c r="E365" s="46"/>
      <c r="F365" s="46"/>
      <c r="G365" s="46"/>
      <c r="H365" s="46"/>
      <c r="I365" s="63">
        <f>I356/$E$352</f>
        <v>0</v>
      </c>
      <c r="J365" s="63">
        <f>J356/$F$352</f>
        <v>0</v>
      </c>
      <c r="K365" s="63">
        <f>K356/$G$352</f>
        <v>0</v>
      </c>
      <c r="L365" s="63">
        <f>L356/$H$352</f>
        <v>0</v>
      </c>
      <c r="M365" s="63">
        <f>M356/$I$352</f>
        <v>0</v>
      </c>
      <c r="N365" s="63">
        <f>N356/$J$352</f>
        <v>0</v>
      </c>
      <c r="O365" s="63">
        <f>O356/$K$352</f>
        <v>0</v>
      </c>
      <c r="P365" s="63">
        <f>P356/$L$352</f>
        <v>0</v>
      </c>
      <c r="Q365" s="63">
        <f>Q356/$M$352</f>
        <v>0</v>
      </c>
      <c r="R365" s="63">
        <f>R356/$N$352</f>
        <v>0</v>
      </c>
      <c r="S365" s="63">
        <f>S356/$O$352</f>
        <v>0</v>
      </c>
      <c r="T365" s="63">
        <f>T356/$P$352</f>
        <v>0</v>
      </c>
      <c r="U365" s="63">
        <f>U356/Q$352</f>
        <v>0</v>
      </c>
      <c r="V365" s="63">
        <f t="shared" ref="V365:AC369" si="833">V356/R$352</f>
        <v>0</v>
      </c>
      <c r="W365" s="63">
        <f t="shared" si="833"/>
        <v>0</v>
      </c>
      <c r="X365" s="63">
        <f t="shared" si="833"/>
        <v>0</v>
      </c>
      <c r="Y365" s="63">
        <f t="shared" si="833"/>
        <v>0</v>
      </c>
      <c r="Z365" s="63">
        <f t="shared" si="833"/>
        <v>0</v>
      </c>
      <c r="AA365" s="63">
        <f t="shared" si="833"/>
        <v>0</v>
      </c>
      <c r="AB365" s="63">
        <f t="shared" si="833"/>
        <v>0</v>
      </c>
      <c r="AC365" s="63">
        <f t="shared" si="833"/>
        <v>0</v>
      </c>
      <c r="AD365" s="63">
        <f t="shared" ref="AD365:AD369" si="834">AD356/Z$352</f>
        <v>0</v>
      </c>
      <c r="AE365" s="63">
        <f t="shared" ref="AE365:AE369" si="835">AE356/AA$352</f>
        <v>0</v>
      </c>
      <c r="AF365" s="63">
        <f t="shared" ref="AF365:AG369" si="836">AF356/AB$352</f>
        <v>0</v>
      </c>
      <c r="AG365" s="63">
        <f t="shared" si="836"/>
        <v>0</v>
      </c>
      <c r="AH365" s="130">
        <f>+Assumptions!AH42</f>
        <v>0</v>
      </c>
      <c r="AI365" s="130">
        <f>+Assumptions!AI42</f>
        <v>0</v>
      </c>
      <c r="AJ365" s="130">
        <f>+Assumptions!AJ42</f>
        <v>0</v>
      </c>
      <c r="AK365" s="79"/>
      <c r="AL365" s="46"/>
      <c r="AM365" s="63">
        <f>AM356/$AL$352</f>
        <v>5.1724137931034482E-2</v>
      </c>
      <c r="AN365" s="63">
        <f>AN356/$AM$352</f>
        <v>0</v>
      </c>
      <c r="AO365" s="63">
        <f>AO356/$AN$352</f>
        <v>0</v>
      </c>
      <c r="AP365" s="63">
        <f t="shared" ref="AP365:AU365" si="837">AP356/AO$352</f>
        <v>0</v>
      </c>
      <c r="AQ365" s="63">
        <f t="shared" si="837"/>
        <v>0</v>
      </c>
      <c r="AR365" s="63">
        <f t="shared" si="837"/>
        <v>0</v>
      </c>
      <c r="AS365" s="63">
        <f t="shared" si="837"/>
        <v>0</v>
      </c>
      <c r="AT365" s="63">
        <f t="shared" si="837"/>
        <v>0</v>
      </c>
      <c r="AU365" s="63">
        <f t="shared" si="837"/>
        <v>0</v>
      </c>
      <c r="AV365" s="130">
        <f>+Assumptions!AV42</f>
        <v>0</v>
      </c>
      <c r="AW365" s="130">
        <f>+Assumptions!AW42</f>
        <v>0</v>
      </c>
      <c r="AX365" s="130">
        <f>+Assumptions!AX42</f>
        <v>0</v>
      </c>
      <c r="BK365" s="1342" t="s">
        <v>1672</v>
      </c>
      <c r="BL365" s="1343"/>
      <c r="BM365" s="1343"/>
      <c r="BN365" s="1343"/>
      <c r="BO365" s="1344">
        <v>0.17499999999999999</v>
      </c>
      <c r="BP365" s="1344">
        <v>0.05</v>
      </c>
      <c r="BQ365" s="1344">
        <v>0.05</v>
      </c>
      <c r="BR365" s="1344">
        <v>0.02</v>
      </c>
      <c r="BS365" s="1344">
        <v>0.02</v>
      </c>
      <c r="BT365" s="1251"/>
    </row>
    <row r="366" spans="2:72" ht="11.25" customHeight="1">
      <c r="C366" s="43" t="s">
        <v>165</v>
      </c>
      <c r="E366" s="29"/>
      <c r="F366" s="29"/>
      <c r="G366" s="29"/>
      <c r="H366" s="29"/>
      <c r="I366" s="63">
        <f>I357/$E$352</f>
        <v>9.5076400679117143E-2</v>
      </c>
      <c r="J366" s="63">
        <f>J357/$F$352</f>
        <v>2.3219814241486069E-2</v>
      </c>
      <c r="K366" s="63">
        <f>K357/$G$352</f>
        <v>1.2539184952978056E-2</v>
      </c>
      <c r="L366" s="63">
        <f>L357/$H$352</f>
        <v>5.8219178082191778E-2</v>
      </c>
      <c r="M366" s="63">
        <f>M357/$I$352</f>
        <v>4.5741324921135647E-2</v>
      </c>
      <c r="N366" s="63">
        <f>N357/$J$352</f>
        <v>8.8280060882800604E-2</v>
      </c>
      <c r="O366" s="63">
        <f>O357/$K$352</f>
        <v>8.9783281733746126E-2</v>
      </c>
      <c r="P366" s="63">
        <f>P357/$L$352</f>
        <v>-2.3622047244094488E-2</v>
      </c>
      <c r="Q366" s="63">
        <f>Q357/$M$352</f>
        <v>-4.1847041847041848E-2</v>
      </c>
      <c r="R366" s="63">
        <f>R357/$N$352</f>
        <v>-3.292181069958848E-2</v>
      </c>
      <c r="S366" s="63">
        <f>S357/$O$352</f>
        <v>4.2313117066290554E-3</v>
      </c>
      <c r="T366" s="63">
        <f t="shared" ref="T366:T368" si="838">T357/$P$352</f>
        <v>4.0064102564102567E-2</v>
      </c>
      <c r="U366" s="63">
        <f t="shared" ref="U366:U369" si="839">U357/Q$352</f>
        <v>-2.5875190258751901E-2</v>
      </c>
      <c r="V366" s="63">
        <f t="shared" si="833"/>
        <v>-0.15660919540229884</v>
      </c>
      <c r="W366" s="63">
        <f t="shared" si="833"/>
        <v>-2.2955523672883789E-2</v>
      </c>
      <c r="X366" s="63">
        <f t="shared" si="833"/>
        <v>6.4263322884012541E-2</v>
      </c>
      <c r="Y366" s="63">
        <f t="shared" si="833"/>
        <v>0.15121951219512195</v>
      </c>
      <c r="Z366" s="63">
        <f t="shared" si="833"/>
        <v>0.31216931216931215</v>
      </c>
      <c r="AA366" s="63">
        <f t="shared" si="833"/>
        <v>9.880239520958084E-2</v>
      </c>
      <c r="AB366" s="63">
        <f t="shared" si="833"/>
        <v>0.10385756676557864</v>
      </c>
      <c r="AC366" s="63">
        <f t="shared" si="833"/>
        <v>-5.4469273743016758E-2</v>
      </c>
      <c r="AD366" s="63">
        <f t="shared" si="834"/>
        <v>-1.3003901170351105E-2</v>
      </c>
      <c r="AE366" s="63">
        <f t="shared" si="835"/>
        <v>3.1168831168831169E-2</v>
      </c>
      <c r="AF366" s="63">
        <f t="shared" si="836"/>
        <v>-0.13212435233160622</v>
      </c>
      <c r="AG366" s="63">
        <f t="shared" si="836"/>
        <v>-5.563093622795115E-2</v>
      </c>
      <c r="AH366" s="130">
        <f>+Assumptions!AH47</f>
        <v>-0.02</v>
      </c>
      <c r="AI366" s="130">
        <f>+Assumptions!AI47</f>
        <v>0.05</v>
      </c>
      <c r="AJ366" s="130">
        <f>+Assumptions!AJ47</f>
        <v>0.1</v>
      </c>
      <c r="AK366" s="79"/>
      <c r="AL366" s="29"/>
      <c r="AM366" s="63">
        <f>AM357/$AL$352</f>
        <v>3.700588730025231E-2</v>
      </c>
      <c r="AN366" s="63">
        <f>AN357/$AM$352</f>
        <v>4.9295774647887321E-2</v>
      </c>
      <c r="AO366" s="63">
        <f>AO357/$AN$352</f>
        <v>4.599104599104599E-2</v>
      </c>
      <c r="AP366" s="63">
        <f t="shared" ref="AP366:AQ369" si="840">AP357/AO$352</f>
        <v>5.0544323483670293E-2</v>
      </c>
      <c r="AQ366" s="63">
        <f t="shared" si="840"/>
        <v>-9.0744101633393835E-3</v>
      </c>
      <c r="AR366" s="63">
        <f t="shared" ref="AR366:AU369" si="841">AR357/AQ$352</f>
        <v>-3.757440476190476E-2</v>
      </c>
      <c r="AS366" s="63">
        <f t="shared" si="841"/>
        <v>0.16085578446909668</v>
      </c>
      <c r="AT366" s="63">
        <f t="shared" si="841"/>
        <v>-4.1955731747604891E-2</v>
      </c>
      <c r="AU366" s="63">
        <f t="shared" si="841"/>
        <v>1.8734019332709701E-2</v>
      </c>
      <c r="AV366" s="130">
        <f>+Assumptions!AV47</f>
        <v>0.05</v>
      </c>
      <c r="AW366" s="130">
        <f>+Assumptions!AW47</f>
        <v>0.04</v>
      </c>
      <c r="AX366" s="130">
        <f>+Assumptions!AX47</f>
        <v>2.5000000000000001E-2</v>
      </c>
      <c r="BK366" s="141" t="s">
        <v>1385</v>
      </c>
      <c r="BL366" s="458"/>
      <c r="BM366" s="458"/>
      <c r="BN366" s="458"/>
      <c r="BO366" s="438">
        <v>0.1</v>
      </c>
      <c r="BP366" s="438">
        <v>0.02</v>
      </c>
      <c r="BQ366" s="438">
        <v>0.02</v>
      </c>
      <c r="BR366" s="438">
        <v>0.02</v>
      </c>
      <c r="BS366" s="438">
        <v>0.02</v>
      </c>
      <c r="BT366" s="1251"/>
    </row>
    <row r="367" spans="2:72" ht="11.25" customHeight="1">
      <c r="C367" s="43" t="s">
        <v>166</v>
      </c>
      <c r="E367" s="46"/>
      <c r="F367" s="46"/>
      <c r="G367" s="46"/>
      <c r="H367" s="46"/>
      <c r="I367" s="63">
        <f>I358/$E$352</f>
        <v>-1.0186757215619695E-2</v>
      </c>
      <c r="J367" s="63">
        <f>J358/$F$352</f>
        <v>3.0959752321981426E-3</v>
      </c>
      <c r="K367" s="63">
        <f>K358/$G$352</f>
        <v>-3.134796238244514E-3</v>
      </c>
      <c r="L367" s="63">
        <f>L358/$H$352</f>
        <v>1.1986301369863013E-2</v>
      </c>
      <c r="M367" s="63">
        <f>M358/$I$352</f>
        <v>1.1041009463722398E-2</v>
      </c>
      <c r="N367" s="63">
        <f>N358/$J$352</f>
        <v>-3.0441400304414001E-3</v>
      </c>
      <c r="O367" s="63">
        <f>O358/$K$352</f>
        <v>1.0835913312693499E-2</v>
      </c>
      <c r="P367" s="63">
        <f>P358/$L$352</f>
        <v>1.5748031496062992E-2</v>
      </c>
      <c r="Q367" s="63">
        <f>Q358/$M$352</f>
        <v>1.1544011544011544E-2</v>
      </c>
      <c r="R367" s="63">
        <f>R358/$N$352</f>
        <v>6.8587105624142658E-3</v>
      </c>
      <c r="S367" s="63">
        <f>S358/$O$352</f>
        <v>-1.1283497884344146E-2</v>
      </c>
      <c r="T367" s="63">
        <f t="shared" si="838"/>
        <v>-8.0128205128205121E-3</v>
      </c>
      <c r="U367" s="63">
        <f t="shared" si="839"/>
        <v>-2.8919330289193301E-2</v>
      </c>
      <c r="V367" s="63">
        <f t="shared" si="833"/>
        <v>-2.1551724137931036E-2</v>
      </c>
      <c r="W367" s="63">
        <f t="shared" si="833"/>
        <v>-2.5824964131994262E-2</v>
      </c>
      <c r="X367" s="63">
        <f t="shared" si="833"/>
        <v>-2.3510971786833857E-2</v>
      </c>
      <c r="Y367" s="63">
        <f t="shared" si="833"/>
        <v>-1.3008130081300813E-2</v>
      </c>
      <c r="Z367" s="63">
        <f t="shared" si="833"/>
        <v>1.5873015873015872E-2</v>
      </c>
      <c r="AA367" s="63">
        <f t="shared" si="833"/>
        <v>4.3413173652694613E-2</v>
      </c>
      <c r="AB367" s="63">
        <f t="shared" si="833"/>
        <v>4.0059347181008904E-2</v>
      </c>
      <c r="AC367" s="63">
        <f t="shared" si="833"/>
        <v>9.6368715083798878E-2</v>
      </c>
      <c r="AD367" s="63">
        <f t="shared" si="834"/>
        <v>0.13394018205461639</v>
      </c>
      <c r="AE367" s="63">
        <f t="shared" si="835"/>
        <v>0.15974025974025974</v>
      </c>
      <c r="AF367" s="63">
        <f t="shared" si="836"/>
        <v>0.12435233160621761</v>
      </c>
      <c r="AG367" s="63">
        <f t="shared" si="836"/>
        <v>9.0909090909090912E-2</v>
      </c>
      <c r="AH367" s="130">
        <f>+Assumptions!AH52</f>
        <v>0.01</v>
      </c>
      <c r="AI367" s="130">
        <f>+Assumptions!AI52</f>
        <v>0.01</v>
      </c>
      <c r="AJ367" s="130">
        <f>+Assumptions!AJ52</f>
        <v>0.01</v>
      </c>
      <c r="AK367" s="79"/>
      <c r="AL367" s="46"/>
      <c r="AM367" s="63">
        <f>AM358/$AL$352</f>
        <v>-3.5323801513877207E-2</v>
      </c>
      <c r="AN367" s="63">
        <f>AN358/$AM$352</f>
        <v>-2.775476387738194E-2</v>
      </c>
      <c r="AO367" s="63">
        <f>AO358/$AN$352</f>
        <v>4.0700040700040698E-4</v>
      </c>
      <c r="AP367" s="63">
        <f t="shared" si="840"/>
        <v>8.553654743390357E-3</v>
      </c>
      <c r="AQ367" s="63">
        <f t="shared" si="840"/>
        <v>0</v>
      </c>
      <c r="AR367" s="63">
        <f t="shared" si="841"/>
        <v>-2.492559523809524E-2</v>
      </c>
      <c r="AS367" s="63">
        <f t="shared" si="841"/>
        <v>2.2583201267828843E-2</v>
      </c>
      <c r="AT367" s="88">
        <f t="shared" si="841"/>
        <v>0.12917079616782293</v>
      </c>
      <c r="AU367" s="63">
        <f t="shared" si="841"/>
        <v>2.8593701278453384E-2</v>
      </c>
      <c r="AV367" s="130">
        <f>+Assumptions!AV52</f>
        <v>0.02</v>
      </c>
      <c r="AW367" s="130">
        <f>+Assumptions!AW52</f>
        <v>0.01</v>
      </c>
      <c r="AX367" s="130">
        <f>+Assumptions!AX52</f>
        <v>0.01</v>
      </c>
    </row>
    <row r="368" spans="2:72" ht="11.25" customHeight="1">
      <c r="C368" s="43" t="s">
        <v>167</v>
      </c>
      <c r="E368" s="46"/>
      <c r="F368" s="46"/>
      <c r="G368" s="46"/>
      <c r="H368" s="46"/>
      <c r="I368" s="63">
        <f>I359/$E$352</f>
        <v>-8.4889643463497456E-3</v>
      </c>
      <c r="J368" s="63">
        <f>J359/$F$352</f>
        <v>-9.2879256965944269E-3</v>
      </c>
      <c r="K368" s="63">
        <f>K359/$G$352</f>
        <v>3.134796238244514E-3</v>
      </c>
      <c r="L368" s="63">
        <f>L359/$H$352</f>
        <v>1.7123287671232876E-2</v>
      </c>
      <c r="M368" s="63">
        <f>M359/$I$352</f>
        <v>3.6277602523659309E-2</v>
      </c>
      <c r="N368" s="63">
        <f>N359/$J$352</f>
        <v>2.4353120243531201E-2</v>
      </c>
      <c r="O368" s="63">
        <f>O359/$K$352</f>
        <v>-3.0959752321981426E-3</v>
      </c>
      <c r="P368" s="63">
        <f>P359/$L$352</f>
        <v>-9.4488188976377951E-3</v>
      </c>
      <c r="Q368" s="63">
        <f>Q359/$M$352</f>
        <v>-2.1645021645021644E-2</v>
      </c>
      <c r="R368" s="63">
        <f>R359/$N$352</f>
        <v>-1.9204389574759947E-2</v>
      </c>
      <c r="S368" s="63">
        <f>S359/$O$352</f>
        <v>-9.8730606488011286E-3</v>
      </c>
      <c r="T368" s="63">
        <f t="shared" si="838"/>
        <v>-9.6153846153846159E-3</v>
      </c>
      <c r="U368" s="63">
        <f t="shared" si="839"/>
        <v>-9.1324200913242004E-3</v>
      </c>
      <c r="V368" s="63">
        <f t="shared" si="833"/>
        <v>-7.1839080459770114E-3</v>
      </c>
      <c r="W368" s="63">
        <f t="shared" si="833"/>
        <v>7.1736011477761836E-3</v>
      </c>
      <c r="X368" s="63">
        <f t="shared" si="833"/>
        <v>1.5673981191222569E-2</v>
      </c>
      <c r="Y368" s="63">
        <f t="shared" si="833"/>
        <v>2.6016260162601626E-2</v>
      </c>
      <c r="Z368" s="63">
        <f t="shared" si="833"/>
        <v>2.821869488536155E-2</v>
      </c>
      <c r="AA368" s="63">
        <f t="shared" si="833"/>
        <v>1.0479041916167664E-2</v>
      </c>
      <c r="AB368" s="63">
        <f t="shared" si="833"/>
        <v>1.483679525222552E-3</v>
      </c>
      <c r="AC368" s="63">
        <f t="shared" si="833"/>
        <v>-1.2569832402234637E-2</v>
      </c>
      <c r="AD368" s="63">
        <f t="shared" si="834"/>
        <v>-2.0806241872561769E-2</v>
      </c>
      <c r="AE368" s="63">
        <f t="shared" si="835"/>
        <v>-3.7662337662337661E-2</v>
      </c>
      <c r="AF368" s="63">
        <f t="shared" si="836"/>
        <v>-3.8860103626943004E-2</v>
      </c>
      <c r="AG368" s="63">
        <f t="shared" si="836"/>
        <v>-2.8493894165535955E-2</v>
      </c>
      <c r="AH368" s="130">
        <f>+Assumptions!AH57</f>
        <v>0</v>
      </c>
      <c r="AI368" s="130">
        <f>+Assumptions!AI57</f>
        <v>0</v>
      </c>
      <c r="AJ368" s="130">
        <f>+Assumptions!AJ57</f>
        <v>0</v>
      </c>
      <c r="AK368" s="79"/>
      <c r="AL368" s="46"/>
      <c r="AM368" s="63">
        <f>AM359/$AL$352</f>
        <v>-3.8267451640033645E-2</v>
      </c>
      <c r="AN368" s="63">
        <f>AN359/$AM$352</f>
        <v>-3.728251864125932E-3</v>
      </c>
      <c r="AO368" s="63">
        <f>AO359/$AN$352</f>
        <v>4.0700040700040698E-4</v>
      </c>
      <c r="AP368" s="63">
        <f t="shared" si="840"/>
        <v>1.2052877138413685E-2</v>
      </c>
      <c r="AQ368" s="63">
        <f t="shared" si="840"/>
        <v>-1.5245009074410164E-2</v>
      </c>
      <c r="AR368" s="63">
        <f t="shared" si="841"/>
        <v>1.488095238095238E-3</v>
      </c>
      <c r="AS368" s="63">
        <f t="shared" si="841"/>
        <v>1.5847860538827259E-2</v>
      </c>
      <c r="AT368" s="63">
        <f t="shared" si="841"/>
        <v>-2.7750247770069375E-2</v>
      </c>
      <c r="AU368" s="63">
        <f t="shared" si="841"/>
        <v>-6.5481758652946682E-3</v>
      </c>
      <c r="AV368" s="130">
        <f>+Assumptions!AV57</f>
        <v>0</v>
      </c>
      <c r="AW368" s="130">
        <f>+Assumptions!AW57</f>
        <v>0</v>
      </c>
      <c r="AX368" s="130">
        <f>+Assumptions!AX57</f>
        <v>0</v>
      </c>
      <c r="BK368" s="1347" t="s">
        <v>841</v>
      </c>
      <c r="BL368" s="1304"/>
      <c r="BM368" s="13"/>
      <c r="BN368" s="1333">
        <v>2021</v>
      </c>
      <c r="BO368" s="1333">
        <v>2022</v>
      </c>
      <c r="BP368" s="1333">
        <f>BO368+1</f>
        <v>2023</v>
      </c>
      <c r="BQ368" s="1333">
        <f t="shared" ref="BQ368:BR368" si="842">BP368+1</f>
        <v>2024</v>
      </c>
      <c r="BR368" s="1333">
        <f t="shared" si="842"/>
        <v>2025</v>
      </c>
      <c r="BS368" s="1333">
        <f t="shared" ref="BS368" si="843">BR368+1</f>
        <v>2026</v>
      </c>
    </row>
    <row r="369" spans="3:71" ht="11.25" customHeight="1">
      <c r="C369" s="45" t="s">
        <v>351</v>
      </c>
      <c r="E369" s="91"/>
      <c r="F369" s="91"/>
      <c r="G369" s="91"/>
      <c r="H369" s="91"/>
      <c r="I369" s="67">
        <f>I360/$E$352</f>
        <v>7.6400679117147707E-2</v>
      </c>
      <c r="J369" s="67">
        <f>J360/$F$352</f>
        <v>1.7027863777089782E-2</v>
      </c>
      <c r="K369" s="67">
        <f>K360/$G$352</f>
        <v>1.2539184952978056E-2</v>
      </c>
      <c r="L369" s="67">
        <f>L360/$H$352</f>
        <v>8.7328767123287673E-2</v>
      </c>
      <c r="M369" s="67">
        <f>M360/$I$352</f>
        <v>9.3059936908517354E-2</v>
      </c>
      <c r="N369" s="67">
        <f>N360/$J$352</f>
        <v>0.1095890410958904</v>
      </c>
      <c r="O369" s="67">
        <f>O360/$K$352</f>
        <v>9.7523219814241488E-2</v>
      </c>
      <c r="P369" s="67">
        <f>P360/$L$352</f>
        <v>-1.7322834645669291E-2</v>
      </c>
      <c r="Q369" s="67">
        <f>Q360/$M$352</f>
        <v>-5.1948051948051951E-2</v>
      </c>
      <c r="R369" s="67">
        <f>R360/$N$352</f>
        <v>-4.5267489711934158E-2</v>
      </c>
      <c r="S369" s="67">
        <f>S360/$O$352</f>
        <v>-1.6925246826516221E-2</v>
      </c>
      <c r="T369" s="67">
        <f>T360/$P$352</f>
        <v>2.2435897435897436E-2</v>
      </c>
      <c r="U369" s="67">
        <f t="shared" si="839"/>
        <v>-6.3926940639269403E-2</v>
      </c>
      <c r="V369" s="67">
        <f t="shared" si="833"/>
        <v>-0.18534482758620691</v>
      </c>
      <c r="W369" s="67">
        <f t="shared" si="833"/>
        <v>-4.1606886657101862E-2</v>
      </c>
      <c r="X369" s="67">
        <f t="shared" si="833"/>
        <v>5.6426332288401257E-2</v>
      </c>
      <c r="Y369" s="67">
        <f t="shared" si="833"/>
        <v>0.16422764227642275</v>
      </c>
      <c r="Z369" s="67">
        <f t="shared" si="833"/>
        <v>0.35626102292768957</v>
      </c>
      <c r="AA369" s="67">
        <f t="shared" si="833"/>
        <v>0.15269461077844312</v>
      </c>
      <c r="AB369" s="67">
        <f t="shared" si="833"/>
        <v>0.14540059347181009</v>
      </c>
      <c r="AC369" s="67">
        <f t="shared" si="833"/>
        <v>2.9329608938547486E-2</v>
      </c>
      <c r="AD369" s="67">
        <f t="shared" si="834"/>
        <v>0.10013003901170352</v>
      </c>
      <c r="AE369" s="67">
        <f t="shared" si="835"/>
        <v>0.15324675324675324</v>
      </c>
      <c r="AF369" s="67">
        <f t="shared" si="836"/>
        <v>-4.6632124352331605E-2</v>
      </c>
      <c r="AG369" s="67">
        <f t="shared" si="836"/>
        <v>6.7842605156037995E-3</v>
      </c>
      <c r="AH369" s="125">
        <f t="shared" ref="AH369:AJ369" si="844">SUM(AH365:AH368)</f>
        <v>-0.01</v>
      </c>
      <c r="AI369" s="125">
        <f t="shared" si="844"/>
        <v>6.0000000000000005E-2</v>
      </c>
      <c r="AJ369" s="125">
        <f t="shared" si="844"/>
        <v>0.11</v>
      </c>
      <c r="AK369" s="79"/>
      <c r="AL369" s="91"/>
      <c r="AM369" s="67">
        <f>AM360/$AL$352</f>
        <v>1.5138772077375946E-2</v>
      </c>
      <c r="AN369" s="67">
        <f>AN360/$AM$352</f>
        <v>1.7812758906379452E-2</v>
      </c>
      <c r="AO369" s="67">
        <f>AO360/$AN$352</f>
        <v>4.6805046805046803E-2</v>
      </c>
      <c r="AP369" s="67">
        <f t="shared" si="840"/>
        <v>7.1150855365474344E-2</v>
      </c>
      <c r="AQ369" s="67">
        <f t="shared" si="840"/>
        <v>-2.4319419237749548E-2</v>
      </c>
      <c r="AR369" s="67">
        <f t="shared" si="841"/>
        <v>-6.101190476190476E-2</v>
      </c>
      <c r="AS369" s="67">
        <f t="shared" si="841"/>
        <v>0.19928684627575277</v>
      </c>
      <c r="AT369" s="67">
        <f t="shared" si="841"/>
        <v>5.9464816650148661E-2</v>
      </c>
      <c r="AU369" s="67">
        <f t="shared" si="841"/>
        <v>4.0779544745868423E-2</v>
      </c>
      <c r="AV369" s="125">
        <f>SUM(AV365:AV368)</f>
        <v>7.0000000000000007E-2</v>
      </c>
      <c r="AW369" s="125">
        <f>SUM(AW365:AW368)</f>
        <v>0.05</v>
      </c>
      <c r="AX369" s="125">
        <f>SUM(AX365:AX368)</f>
        <v>3.5000000000000003E-2</v>
      </c>
      <c r="BK369" s="1345" t="s">
        <v>1699</v>
      </c>
      <c r="BL369" s="1300"/>
      <c r="BM369" s="1300"/>
      <c r="BN369" s="1299">
        <f>BN352+BN354+BN357/2</f>
        <v>1498.365</v>
      </c>
      <c r="BO369" s="1299">
        <f>BO352+BO354+BO357/2</f>
        <v>1584.6345000000003</v>
      </c>
      <c r="BP369" s="1299">
        <f>BP352+BP354+BP357/2</f>
        <v>1596.1976400000001</v>
      </c>
      <c r="BQ369" s="1299">
        <f t="shared" ref="BQ369:BR369" si="845">BQ352+BQ354+BQ357/2</f>
        <v>1724.0650821000004</v>
      </c>
      <c r="BR369" s="1299">
        <f t="shared" si="845"/>
        <v>1805.5916393670004</v>
      </c>
      <c r="BS369" s="1299">
        <f t="shared" ref="BS369" si="846">BS352+BS354+BS357/2</f>
        <v>1880.3374685562151</v>
      </c>
    </row>
    <row r="370" spans="3:71" ht="11.25" customHeight="1">
      <c r="C370" s="43"/>
      <c r="E370" s="29"/>
      <c r="F370" s="29"/>
      <c r="G370" s="29"/>
      <c r="H370" s="29"/>
      <c r="I370" s="29"/>
      <c r="J370" s="29"/>
      <c r="K370" s="29"/>
      <c r="L370" s="29"/>
      <c r="M370" s="29"/>
      <c r="N370" s="29"/>
      <c r="O370" s="29"/>
      <c r="P370" s="29"/>
      <c r="AK370" s="79"/>
      <c r="AL370" s="29"/>
      <c r="AM370" s="29"/>
      <c r="AN370" s="29"/>
      <c r="AO370" s="29"/>
      <c r="AP370" s="29"/>
      <c r="BK370" s="1346" t="s">
        <v>1702</v>
      </c>
      <c r="BL370" s="1303"/>
      <c r="BM370" s="1303"/>
      <c r="BN370" s="1301">
        <f>SUM(BN355:BN356,BN353)+BN357/2</f>
        <v>1528.635</v>
      </c>
      <c r="BO370" s="1301">
        <f>SUM(BO355:BO356,BO353)+BO357/2</f>
        <v>1617.9314999999999</v>
      </c>
      <c r="BP370" s="1301">
        <f>SUM(BP355:BP356,BP353)+BP357/2</f>
        <v>1634.51946</v>
      </c>
      <c r="BQ370" s="1301">
        <f t="shared" ref="BQ370:BR370" si="847">SUM(BQ355:BQ356,BQ353)+BQ357/2</f>
        <v>1747.9223826000002</v>
      </c>
      <c r="BR370" s="1301">
        <f t="shared" si="847"/>
        <v>1826.7577855169998</v>
      </c>
      <c r="BS370" s="1301">
        <f t="shared" ref="BS370" si="848">SUM(BS355:BS356,BS353)+BS357/2</f>
        <v>1889.02079226909</v>
      </c>
    </row>
    <row r="371" spans="3:71" ht="11.2" customHeight="1">
      <c r="C371" s="36" t="s">
        <v>110</v>
      </c>
      <c r="E371" s="82">
        <v>108</v>
      </c>
      <c r="F371" s="82">
        <v>132</v>
      </c>
      <c r="G371" s="82">
        <v>141</v>
      </c>
      <c r="H371" s="82">
        <v>90</v>
      </c>
      <c r="I371" s="82">
        <v>121</v>
      </c>
      <c r="J371" s="82">
        <v>137</v>
      </c>
      <c r="K371" s="82">
        <v>142</v>
      </c>
      <c r="L371" s="82">
        <v>83</v>
      </c>
      <c r="M371" s="82">
        <v>135</v>
      </c>
      <c r="N371" s="82">
        <v>150</v>
      </c>
      <c r="O371" s="82">
        <v>153</v>
      </c>
      <c r="P371" s="82">
        <v>71</v>
      </c>
      <c r="Q371" s="82">
        <v>102</v>
      </c>
      <c r="R371" s="82">
        <v>145</v>
      </c>
      <c r="S371" s="82">
        <v>159</v>
      </c>
      <c r="T371" s="82">
        <v>111</v>
      </c>
      <c r="U371" s="82">
        <v>100</v>
      </c>
      <c r="V371" s="82">
        <v>64</v>
      </c>
      <c r="W371" s="82">
        <v>129</v>
      </c>
      <c r="X371" s="82">
        <v>134</v>
      </c>
      <c r="Y371" s="82">
        <v>146</v>
      </c>
      <c r="Z371" s="82">
        <v>150</v>
      </c>
      <c r="AA371" s="82">
        <v>125</v>
      </c>
      <c r="AB371" s="82">
        <v>98</v>
      </c>
      <c r="AC371" s="82">
        <v>61</v>
      </c>
      <c r="AD371" s="82">
        <v>141</v>
      </c>
      <c r="AE371" s="82">
        <v>131</v>
      </c>
      <c r="AF371" s="82">
        <v>43</v>
      </c>
      <c r="AG371" s="82">
        <v>86</v>
      </c>
      <c r="AH371" s="30">
        <f t="shared" ref="AH371:AJ371" si="849">+AH380-SUM(AH376:AH379)</f>
        <v>125.63099999999999</v>
      </c>
      <c r="AI371" s="30">
        <f t="shared" si="849"/>
        <v>160.01760000000002</v>
      </c>
      <c r="AJ371" s="30">
        <f t="shared" si="849"/>
        <v>106.20480000000001</v>
      </c>
      <c r="AK371" s="79"/>
      <c r="AL371" s="82">
        <v>276</v>
      </c>
      <c r="AM371" s="82">
        <v>384</v>
      </c>
      <c r="AN371" s="31">
        <f t="shared" ref="AN371:AU371" si="850">SUMIF($E$6:$AK$6,AN$6,$E371:$AK371)</f>
        <v>471</v>
      </c>
      <c r="AO371" s="31">
        <f t="shared" si="850"/>
        <v>483</v>
      </c>
      <c r="AP371" s="31">
        <f t="shared" si="850"/>
        <v>509</v>
      </c>
      <c r="AQ371" s="31">
        <f t="shared" si="850"/>
        <v>517</v>
      </c>
      <c r="AR371" s="31">
        <f t="shared" si="850"/>
        <v>427</v>
      </c>
      <c r="AS371" s="30">
        <f t="shared" si="850"/>
        <v>519</v>
      </c>
      <c r="AT371" s="30">
        <f t="shared" si="850"/>
        <v>376</v>
      </c>
      <c r="AU371" s="30">
        <f t="shared" si="850"/>
        <v>477.85339999999997</v>
      </c>
      <c r="AV371" s="30">
        <f>+AV380-SUM(AV376:AV379)</f>
        <v>535.71368999999993</v>
      </c>
      <c r="AW371" s="30">
        <f>+AW380-SUM(AW376:AW379)</f>
        <v>562.49937449999993</v>
      </c>
      <c r="AX371" s="30">
        <f>+AX380-SUM(AX376:AX379)</f>
        <v>620.99930944799996</v>
      </c>
      <c r="BK371" s="26" t="s">
        <v>168</v>
      </c>
      <c r="BL371" s="27"/>
      <c r="BM371" s="66"/>
      <c r="BN371" s="35">
        <f>SUM(BN369:BN370)</f>
        <v>3027</v>
      </c>
      <c r="BO371" s="35">
        <f>SUM(BO369:BO370)</f>
        <v>3202.5660000000003</v>
      </c>
      <c r="BP371" s="35">
        <f>SUM(BP369:BP370)</f>
        <v>3230.7170999999998</v>
      </c>
      <c r="BQ371" s="35">
        <f t="shared" ref="BQ371:BS371" si="851">SUM(BQ369:BQ370)</f>
        <v>3471.9874647000006</v>
      </c>
      <c r="BR371" s="35">
        <f t="shared" si="851"/>
        <v>3632.3494248840002</v>
      </c>
      <c r="BS371" s="35">
        <f t="shared" si="851"/>
        <v>3769.358260825305</v>
      </c>
    </row>
    <row r="372" spans="3:71" ht="11.25" customHeight="1">
      <c r="C372" s="107" t="s">
        <v>358</v>
      </c>
      <c r="E372" s="90"/>
      <c r="F372" s="90"/>
      <c r="G372" s="90"/>
      <c r="H372" s="90"/>
      <c r="I372" s="94">
        <f t="shared" ref="I372:AC372" si="852">IFERROR(I371/E371-1,"NA  ")</f>
        <v>0.12037037037037046</v>
      </c>
      <c r="J372" s="94">
        <f t="shared" si="852"/>
        <v>3.7878787878787845E-2</v>
      </c>
      <c r="K372" s="94">
        <f t="shared" si="852"/>
        <v>7.0921985815601829E-3</v>
      </c>
      <c r="L372" s="94">
        <f t="shared" si="852"/>
        <v>-7.7777777777777724E-2</v>
      </c>
      <c r="M372" s="94">
        <f t="shared" si="852"/>
        <v>0.11570247933884303</v>
      </c>
      <c r="N372" s="94">
        <f t="shared" si="852"/>
        <v>9.4890510948905105E-2</v>
      </c>
      <c r="O372" s="94">
        <f t="shared" si="852"/>
        <v>7.7464788732394263E-2</v>
      </c>
      <c r="P372" s="94">
        <f t="shared" si="852"/>
        <v>-0.14457831325301207</v>
      </c>
      <c r="Q372" s="94">
        <f t="shared" si="852"/>
        <v>-0.24444444444444446</v>
      </c>
      <c r="R372" s="94">
        <f t="shared" si="852"/>
        <v>-3.3333333333333326E-2</v>
      </c>
      <c r="S372" s="94">
        <f t="shared" si="852"/>
        <v>3.9215686274509887E-2</v>
      </c>
      <c r="T372" s="94">
        <f t="shared" si="852"/>
        <v>0.56338028169014076</v>
      </c>
      <c r="U372" s="94">
        <f t="shared" si="852"/>
        <v>-1.9607843137254943E-2</v>
      </c>
      <c r="V372" s="94">
        <f t="shared" si="852"/>
        <v>-0.55862068965517242</v>
      </c>
      <c r="W372" s="94">
        <f t="shared" si="852"/>
        <v>-0.18867924528301883</v>
      </c>
      <c r="X372" s="94">
        <f t="shared" si="852"/>
        <v>0.20720720720720731</v>
      </c>
      <c r="Y372" s="94">
        <f t="shared" si="852"/>
        <v>0.45999999999999996</v>
      </c>
      <c r="Z372" s="94">
        <f t="shared" si="852"/>
        <v>1.34375</v>
      </c>
      <c r="AA372" s="94">
        <f t="shared" si="852"/>
        <v>-3.1007751937984551E-2</v>
      </c>
      <c r="AB372" s="94">
        <f t="shared" si="852"/>
        <v>-0.26865671641791045</v>
      </c>
      <c r="AC372" s="94">
        <f t="shared" si="852"/>
        <v>-0.5821917808219178</v>
      </c>
      <c r="AD372" s="94">
        <f t="shared" ref="AD372" si="853">IFERROR(AD371/Z371-1,"NA  ")</f>
        <v>-6.0000000000000053E-2</v>
      </c>
      <c r="AE372" s="94">
        <f t="shared" ref="AE372" si="854">IFERROR(AE371/AA371-1,"NA  ")</f>
        <v>4.8000000000000043E-2</v>
      </c>
      <c r="AF372" s="94">
        <f t="shared" ref="AF372:AG372" si="855">IFERROR(AF371/AB371-1,"NA  ")</f>
        <v>-0.56122448979591844</v>
      </c>
      <c r="AG372" s="94">
        <f t="shared" si="855"/>
        <v>0.4098360655737705</v>
      </c>
      <c r="AH372" s="94">
        <f t="shared" ref="AH372" si="856">IFERROR(AH371/AD371-1,"NA  ")</f>
        <v>-0.1090000000000001</v>
      </c>
      <c r="AI372" s="94">
        <f t="shared" ref="AI372" si="857">IFERROR(AI371/AE371-1,"NA  ")</f>
        <v>0.22150839694656499</v>
      </c>
      <c r="AJ372" s="94">
        <f t="shared" ref="AJ372" si="858">IFERROR(AJ371/AF371-1,"NA  ")</f>
        <v>1.4698790697674422</v>
      </c>
      <c r="AK372" s="79"/>
      <c r="AL372" s="47"/>
      <c r="AM372" s="94">
        <f t="shared" ref="AM372:AX372" si="859">IFERROR(AM371/AL371-1,"NA  ")</f>
        <v>0.39130434782608692</v>
      </c>
      <c r="AN372" s="94">
        <f t="shared" si="859"/>
        <v>0.2265625</v>
      </c>
      <c r="AO372" s="94">
        <f t="shared" si="859"/>
        <v>2.5477707006369421E-2</v>
      </c>
      <c r="AP372" s="94">
        <f t="shared" si="859"/>
        <v>5.3830227743271175E-2</v>
      </c>
      <c r="AQ372" s="94">
        <f t="shared" si="859"/>
        <v>1.5717092337917515E-2</v>
      </c>
      <c r="AR372" s="94">
        <f t="shared" si="859"/>
        <v>-0.17408123791102514</v>
      </c>
      <c r="AS372" s="94">
        <f t="shared" si="859"/>
        <v>0.21545667447306793</v>
      </c>
      <c r="AT372" s="94">
        <f t="shared" si="859"/>
        <v>-0.2755298651252408</v>
      </c>
      <c r="AU372" s="94">
        <f t="shared" si="859"/>
        <v>0.27088670212765953</v>
      </c>
      <c r="AV372" s="94">
        <f t="shared" si="859"/>
        <v>0.12108376753205063</v>
      </c>
      <c r="AW372" s="94">
        <f t="shared" si="859"/>
        <v>5.0000000000000044E-2</v>
      </c>
      <c r="AX372" s="94">
        <f t="shared" si="859"/>
        <v>0.10400000000000009</v>
      </c>
      <c r="BK372" s="27"/>
      <c r="BL372" s="27"/>
      <c r="BM372" s="27"/>
      <c r="BN372" s="27"/>
      <c r="BO372" s="27"/>
      <c r="BP372" s="27"/>
      <c r="BQ372" s="27"/>
      <c r="BR372" s="27"/>
      <c r="BS372" s="27"/>
    </row>
    <row r="373" spans="3:71" ht="11.25" customHeight="1">
      <c r="C373" s="107" t="s">
        <v>360</v>
      </c>
      <c r="E373" s="94">
        <f>E371/E352</f>
        <v>0.18336162988115451</v>
      </c>
      <c r="F373" s="94">
        <f t="shared" ref="F373:R373" si="860">F371/F352</f>
        <v>0.2043343653250774</v>
      </c>
      <c r="G373" s="94">
        <f t="shared" si="860"/>
        <v>0.22100313479623823</v>
      </c>
      <c r="H373" s="94">
        <f t="shared" si="860"/>
        <v>0.1541095890410959</v>
      </c>
      <c r="I373" s="94">
        <f t="shared" si="860"/>
        <v>0.19085173501577288</v>
      </c>
      <c r="J373" s="94">
        <f t="shared" si="860"/>
        <v>0.20852359208523591</v>
      </c>
      <c r="K373" s="94">
        <f t="shared" si="860"/>
        <v>0.21981424148606812</v>
      </c>
      <c r="L373" s="94">
        <f t="shared" si="860"/>
        <v>0.13070866141732285</v>
      </c>
      <c r="M373" s="94">
        <f t="shared" si="860"/>
        <v>0.19480519480519481</v>
      </c>
      <c r="N373" s="94">
        <f t="shared" si="860"/>
        <v>0.20576131687242799</v>
      </c>
      <c r="O373" s="94">
        <f t="shared" si="860"/>
        <v>0.2157968970380818</v>
      </c>
      <c r="P373" s="94">
        <f t="shared" si="860"/>
        <v>0.11378205128205128</v>
      </c>
      <c r="Q373" s="94">
        <f t="shared" si="860"/>
        <v>0.15525114155251141</v>
      </c>
      <c r="R373" s="94">
        <f t="shared" si="860"/>
        <v>0.20833333333333334</v>
      </c>
      <c r="S373" s="94">
        <f t="shared" ref="S373:X373" si="861">S371/S352</f>
        <v>0.22812051649928264</v>
      </c>
      <c r="T373" s="94">
        <f t="shared" si="861"/>
        <v>0.17398119122257052</v>
      </c>
      <c r="U373" s="94">
        <f t="shared" si="861"/>
        <v>0.16260162601626016</v>
      </c>
      <c r="V373" s="94">
        <f t="shared" si="861"/>
        <v>0.1128747795414462</v>
      </c>
      <c r="W373" s="94">
        <f t="shared" si="861"/>
        <v>0.19311377245508982</v>
      </c>
      <c r="X373" s="94">
        <f t="shared" si="861"/>
        <v>0.19881305637982197</v>
      </c>
      <c r="Y373" s="94">
        <f t="shared" ref="Y373:AC373" si="862">Y371/Y352</f>
        <v>0.20391061452513967</v>
      </c>
      <c r="Z373" s="94">
        <f t="shared" si="862"/>
        <v>0.19505851755526657</v>
      </c>
      <c r="AA373" s="94">
        <f t="shared" si="862"/>
        <v>0.16233766233766234</v>
      </c>
      <c r="AB373" s="94">
        <f t="shared" si="862"/>
        <v>0.12694300518134716</v>
      </c>
      <c r="AC373" s="94">
        <f t="shared" si="862"/>
        <v>8.2767978290366348E-2</v>
      </c>
      <c r="AD373" s="94">
        <f t="shared" ref="AD373:AF373" si="863">AD371/AD352</f>
        <v>0.16666666666666666</v>
      </c>
      <c r="AE373" s="94">
        <f t="shared" si="863"/>
        <v>0.14752252252252251</v>
      </c>
      <c r="AF373" s="94">
        <f t="shared" si="863"/>
        <v>5.8423913043478264E-2</v>
      </c>
      <c r="AG373" s="94">
        <f t="shared" ref="AG373" si="864">AG371/AG352</f>
        <v>0.11590296495956873</v>
      </c>
      <c r="AH373" s="94">
        <f t="shared" ref="AH373:AJ373" si="865">AH371/AH352</f>
        <v>0.15</v>
      </c>
      <c r="AI373" s="94">
        <f t="shared" si="865"/>
        <v>0.17</v>
      </c>
      <c r="AJ373" s="94">
        <f t="shared" si="865"/>
        <v>0.13</v>
      </c>
      <c r="AK373" s="79"/>
      <c r="AL373" s="94">
        <f t="shared" ref="AL373:AR373" si="866">AL371/AL352</f>
        <v>0.11606391925988226</v>
      </c>
      <c r="AM373" s="94">
        <f t="shared" si="866"/>
        <v>0.15907207953603977</v>
      </c>
      <c r="AN373" s="94">
        <f t="shared" si="866"/>
        <v>0.19169719169719171</v>
      </c>
      <c r="AO373" s="94">
        <f t="shared" si="866"/>
        <v>0.18779160186625193</v>
      </c>
      <c r="AP373" s="94">
        <f t="shared" si="866"/>
        <v>0.18475499092558983</v>
      </c>
      <c r="AQ373" s="94">
        <f t="shared" si="866"/>
        <v>0.19233630952380953</v>
      </c>
      <c r="AR373" s="94">
        <f t="shared" si="866"/>
        <v>0.16917591125198098</v>
      </c>
      <c r="AS373" s="94">
        <f t="shared" ref="AS373:AX373" si="867">AS371/AS352</f>
        <v>0.17145688800792863</v>
      </c>
      <c r="AT373" s="94">
        <f t="shared" si="867"/>
        <v>0.11724352977860929</v>
      </c>
      <c r="AU373" s="94">
        <f t="shared" si="867"/>
        <v>0.14316503783952209</v>
      </c>
      <c r="AV373" s="94">
        <f t="shared" si="867"/>
        <v>0.15</v>
      </c>
      <c r="AW373" s="94">
        <f t="shared" si="867"/>
        <v>0.15</v>
      </c>
      <c r="AX373" s="94">
        <f t="shared" si="867"/>
        <v>0.16</v>
      </c>
      <c r="BK373" s="1337" t="s">
        <v>1669</v>
      </c>
      <c r="BL373" s="1336"/>
      <c r="BM373" s="1337"/>
      <c r="BN373" s="1333">
        <v>2021</v>
      </c>
      <c r="BO373" s="1333">
        <v>2022</v>
      </c>
      <c r="BP373" s="1333">
        <f>BO373+1</f>
        <v>2023</v>
      </c>
      <c r="BQ373" s="1333">
        <f t="shared" ref="BQ373:BR373" si="868">BP373+1</f>
        <v>2024</v>
      </c>
      <c r="BR373" s="1333">
        <f t="shared" si="868"/>
        <v>2025</v>
      </c>
      <c r="BS373" s="1333">
        <f t="shared" ref="BS373" si="869">BR373+1</f>
        <v>2026</v>
      </c>
    </row>
    <row r="374" spans="3:71" ht="11.25" customHeight="1">
      <c r="C374" s="36"/>
      <c r="E374" s="82"/>
      <c r="F374" s="82"/>
      <c r="G374" s="82"/>
      <c r="H374" s="82"/>
      <c r="I374" s="82"/>
      <c r="J374" s="82"/>
      <c r="K374" s="82"/>
      <c r="L374" s="82"/>
      <c r="M374" s="82"/>
      <c r="N374" s="82"/>
      <c r="O374" s="82"/>
      <c r="P374" s="82"/>
      <c r="AK374" s="79"/>
      <c r="AL374" s="63"/>
      <c r="AM374" s="520">
        <f t="shared" ref="AM374:AU374" si="870">AM381/AM353</f>
        <v>20.515547971179423</v>
      </c>
      <c r="AN374" s="520">
        <f t="shared" si="870"/>
        <v>12.719113372093021</v>
      </c>
      <c r="AO374" s="520">
        <f t="shared" si="870"/>
        <v>1.0433121019108298</v>
      </c>
      <c r="AP374" s="520">
        <f t="shared" si="870"/>
        <v>0.19915488595385186</v>
      </c>
      <c r="AQ374" s="520">
        <f t="shared" si="870"/>
        <v>-1.3952691631662082</v>
      </c>
      <c r="AR374" s="520">
        <f t="shared" si="870"/>
        <v>2.2148978246539213</v>
      </c>
      <c r="AS374" s="520">
        <f t="shared" si="870"/>
        <v>0.94085487077534735</v>
      </c>
      <c r="AT374" s="520">
        <f t="shared" si="870"/>
        <v>-4.3306077694235663</v>
      </c>
      <c r="AU374" s="520">
        <f t="shared" si="870"/>
        <v>5.143643567998061</v>
      </c>
      <c r="AV374" s="520">
        <f>AV381/AV353</f>
        <v>1.7297681076007219</v>
      </c>
      <c r="AW374" s="520">
        <f t="shared" ref="AW374:AX374" si="871">AW381/AW353</f>
        <v>1</v>
      </c>
      <c r="AX374" s="520">
        <f t="shared" si="871"/>
        <v>2.9714285714285809</v>
      </c>
      <c r="BK374" s="1348" t="s">
        <v>1699</v>
      </c>
      <c r="BL374" s="1349"/>
      <c r="BM374" s="1350"/>
      <c r="BN374" s="1350">
        <f>SUM(AS416:AS417)/SUM(AR416:AR417)-1</f>
        <v>0.19928684627575288</v>
      </c>
      <c r="BO374" s="1350">
        <f>(BO352+BO354+BO357/2)/(BN352+BN354+BN357/2)-1</f>
        <v>5.7575757575757835E-2</v>
      </c>
      <c r="BP374" s="1350">
        <f>(BP352+BP354+BP357/2)/(BO352+BO354+BO357/2)-1</f>
        <v>7.2970391595030826E-3</v>
      </c>
      <c r="BQ374" s="1350">
        <f t="shared" ref="BQ374:BR374" si="872">(BQ352+BQ354+BQ357/2)/(BP352+BP354+BP357/2)-1</f>
        <v>8.0107524842600419E-2</v>
      </c>
      <c r="BR374" s="1350">
        <f t="shared" si="872"/>
        <v>4.7287401220200254E-2</v>
      </c>
      <c r="BS374" s="1350">
        <f t="shared" ref="BS374" si="873">(BS352+BS354+BS357/2)/(BR352+BR354+BR357/2)-1</f>
        <v>4.1396862701146953E-2</v>
      </c>
    </row>
    <row r="375" spans="3:71" ht="11.25" customHeight="1" outlineLevel="1">
      <c r="C375" s="43" t="s">
        <v>97</v>
      </c>
      <c r="E375" s="29"/>
      <c r="F375" s="29"/>
      <c r="G375" s="29"/>
      <c r="H375" s="29"/>
      <c r="I375" s="29"/>
      <c r="J375" s="29"/>
      <c r="K375" s="29"/>
      <c r="L375" s="29"/>
      <c r="M375" s="29"/>
      <c r="N375" s="29"/>
      <c r="O375" s="29"/>
      <c r="P375" s="29"/>
      <c r="R375" s="63"/>
      <c r="AK375" s="79"/>
      <c r="AL375" s="29"/>
      <c r="AM375" s="29"/>
      <c r="AN375" s="29"/>
      <c r="AO375" s="29"/>
      <c r="AP375" s="29"/>
      <c r="BK375" s="1351" t="s">
        <v>1702</v>
      </c>
      <c r="BL375" s="1352"/>
      <c r="BM375" s="1353"/>
      <c r="BN375" s="1353">
        <f>AS422</f>
        <v>0.19928684627575266</v>
      </c>
      <c r="BO375" s="1353">
        <f>(SUM(BO355:BO356,BO353)+BO357/2)/(SUM(BN355:BN356,BN353)+BN357/2)-1</f>
        <v>5.8415841584158468E-2</v>
      </c>
      <c r="BP375" s="1353">
        <f>(SUM(BP355:BP356,BP353)+BP357/2)/(SUM(BO355:BO356,BO353)+BO357/2)-1</f>
        <v>1.0252572497661427E-2</v>
      </c>
      <c r="BQ375" s="1353">
        <f t="shared" ref="BQ375:BR375" si="874">(SUM(BQ355:BQ356,BQ353)+BQ357/2)/(SUM(BP355:BP356,BP353)+BP357/2)-1</f>
        <v>6.9379977036186702E-2</v>
      </c>
      <c r="BR375" s="1353">
        <f t="shared" si="874"/>
        <v>4.5102347622400396E-2</v>
      </c>
      <c r="BS375" s="1353">
        <f t="shared" ref="BS375" si="875">(SUM(BS355:BS356,BS353)+BS357/2)/(SUM(BR355:BR356,BR353)+BR357/2)-1</f>
        <v>3.4083887445685024E-2</v>
      </c>
    </row>
    <row r="376" spans="3:71" ht="11.25" customHeight="1" outlineLevel="1">
      <c r="C376" s="43" t="s">
        <v>116</v>
      </c>
      <c r="E376" s="29">
        <v>0</v>
      </c>
      <c r="F376" s="29">
        <v>0</v>
      </c>
      <c r="G376" s="29">
        <v>0</v>
      </c>
      <c r="H376" s="29">
        <v>0</v>
      </c>
      <c r="I376" s="29">
        <v>0</v>
      </c>
      <c r="J376" s="29">
        <v>0</v>
      </c>
      <c r="K376" s="29">
        <v>0</v>
      </c>
      <c r="L376" s="29">
        <v>0</v>
      </c>
      <c r="M376" s="29">
        <v>0</v>
      </c>
      <c r="N376" s="29">
        <v>0</v>
      </c>
      <c r="O376" s="29">
        <v>0</v>
      </c>
      <c r="P376" s="29">
        <v>0</v>
      </c>
      <c r="Q376" s="29">
        <v>0</v>
      </c>
      <c r="R376" s="29">
        <v>0</v>
      </c>
      <c r="S376" s="29">
        <v>0</v>
      </c>
      <c r="T376" s="29">
        <v>0</v>
      </c>
      <c r="U376" s="29">
        <v>0</v>
      </c>
      <c r="V376" s="29">
        <v>0</v>
      </c>
      <c r="W376" s="29">
        <v>0</v>
      </c>
      <c r="X376" s="29">
        <v>0</v>
      </c>
      <c r="Y376" s="29">
        <v>0</v>
      </c>
      <c r="Z376" s="29">
        <v>0</v>
      </c>
      <c r="AA376" s="29">
        <v>0</v>
      </c>
      <c r="AB376" s="29">
        <v>0</v>
      </c>
      <c r="AC376" s="29">
        <v>0</v>
      </c>
      <c r="AD376" s="29">
        <v>0</v>
      </c>
      <c r="AE376" s="29">
        <v>0</v>
      </c>
      <c r="AF376" s="29">
        <v>0</v>
      </c>
      <c r="AG376" s="29">
        <v>0</v>
      </c>
      <c r="AH376" s="29">
        <v>0</v>
      </c>
      <c r="AI376" s="29">
        <v>0</v>
      </c>
      <c r="AJ376" s="29">
        <v>0</v>
      </c>
      <c r="AK376" s="79"/>
      <c r="AL376" s="29">
        <v>1</v>
      </c>
      <c r="AM376" s="29">
        <v>0</v>
      </c>
      <c r="AN376" s="33">
        <f t="shared" ref="AN376:AU379" si="876">SUMIF($E$6:$AK$6,AN$6,$E376:$AK376)</f>
        <v>0</v>
      </c>
      <c r="AO376" s="33">
        <f t="shared" si="876"/>
        <v>0</v>
      </c>
      <c r="AP376" s="33">
        <f t="shared" si="876"/>
        <v>0</v>
      </c>
      <c r="AQ376" s="33">
        <f t="shared" si="876"/>
        <v>0</v>
      </c>
      <c r="AR376" s="33">
        <f t="shared" si="876"/>
        <v>0</v>
      </c>
      <c r="AS376" s="33">
        <f t="shared" si="876"/>
        <v>0</v>
      </c>
      <c r="AT376" s="33">
        <f t="shared" si="876"/>
        <v>0</v>
      </c>
      <c r="AU376" s="33">
        <f t="shared" si="876"/>
        <v>0</v>
      </c>
      <c r="AV376" s="29">
        <v>0</v>
      </c>
      <c r="AW376" s="29">
        <v>0</v>
      </c>
      <c r="AX376" s="29">
        <v>0</v>
      </c>
      <c r="BK376" s="41"/>
      <c r="BL376" s="41"/>
      <c r="BM376" s="41"/>
      <c r="BN376" s="655">
        <f>AS425</f>
        <v>0.19928684627575288</v>
      </c>
      <c r="BO376" s="655">
        <f>BO358/BN358-1</f>
        <v>5.8000000000000274E-2</v>
      </c>
      <c r="BP376" s="655">
        <f>BP358/BO358-1</f>
        <v>8.7901701323251924E-3</v>
      </c>
      <c r="BQ376" s="655">
        <f t="shared" ref="BQ376:BR376" si="877">BQ358/BP358-1</f>
        <v>7.4680127424341602E-2</v>
      </c>
      <c r="BR376" s="655">
        <f t="shared" si="877"/>
        <v>4.6187367268578639E-2</v>
      </c>
      <c r="BS376" s="655">
        <f t="shared" ref="BS376" si="878">BS358/BR358-1</f>
        <v>3.7719068270994027E-2</v>
      </c>
    </row>
    <row r="377" spans="3:71" ht="11.25" customHeight="1" outlineLevel="1">
      <c r="C377" s="43" t="s">
        <v>23</v>
      </c>
      <c r="E377" s="29">
        <v>0</v>
      </c>
      <c r="F377" s="29">
        <v>0</v>
      </c>
      <c r="G377" s="29">
        <v>0</v>
      </c>
      <c r="H377" s="29">
        <v>0</v>
      </c>
      <c r="I377" s="29">
        <v>0</v>
      </c>
      <c r="J377" s="29">
        <v>0</v>
      </c>
      <c r="K377" s="29">
        <v>0</v>
      </c>
      <c r="L377" s="29">
        <v>0</v>
      </c>
      <c r="M377" s="29">
        <v>0</v>
      </c>
      <c r="N377" s="29">
        <v>0</v>
      </c>
      <c r="O377" s="29">
        <v>0</v>
      </c>
      <c r="P377" s="29">
        <v>1</v>
      </c>
      <c r="Q377" s="29">
        <v>0</v>
      </c>
      <c r="R377" s="29">
        <v>0</v>
      </c>
      <c r="S377" s="29">
        <v>0</v>
      </c>
      <c r="T377" s="29">
        <v>1</v>
      </c>
      <c r="U377" s="29">
        <v>7</v>
      </c>
      <c r="V377" s="29">
        <v>0</v>
      </c>
      <c r="W377" s="29">
        <v>10</v>
      </c>
      <c r="X377" s="29">
        <v>4</v>
      </c>
      <c r="Y377" s="29">
        <v>5</v>
      </c>
      <c r="Z377" s="29">
        <v>3</v>
      </c>
      <c r="AA377" s="29">
        <v>3</v>
      </c>
      <c r="AB377" s="29">
        <v>2</v>
      </c>
      <c r="AC377" s="29">
        <v>1</v>
      </c>
      <c r="AD377" s="29">
        <v>17</v>
      </c>
      <c r="AE377" s="29">
        <v>1</v>
      </c>
      <c r="AF377" s="29">
        <v>0</v>
      </c>
      <c r="AG377" s="29">
        <v>0</v>
      </c>
      <c r="AH377" s="29">
        <v>0</v>
      </c>
      <c r="AI377" s="29">
        <v>0</v>
      </c>
      <c r="AJ377" s="29">
        <v>0</v>
      </c>
      <c r="AK377" s="79"/>
      <c r="AL377" s="29">
        <v>16</v>
      </c>
      <c r="AM377" s="29">
        <v>0</v>
      </c>
      <c r="AN377" s="33">
        <f t="shared" si="876"/>
        <v>0</v>
      </c>
      <c r="AO377" s="33">
        <f t="shared" si="876"/>
        <v>0</v>
      </c>
      <c r="AP377" s="33">
        <f t="shared" si="876"/>
        <v>1</v>
      </c>
      <c r="AQ377" s="33">
        <f t="shared" si="876"/>
        <v>1</v>
      </c>
      <c r="AR377" s="33">
        <f t="shared" si="876"/>
        <v>21</v>
      </c>
      <c r="AS377" s="33">
        <f t="shared" si="876"/>
        <v>13</v>
      </c>
      <c r="AT377" s="33">
        <f t="shared" si="876"/>
        <v>19</v>
      </c>
      <c r="AU377" s="33">
        <f t="shared" si="876"/>
        <v>0</v>
      </c>
      <c r="AV377" s="29">
        <v>0</v>
      </c>
      <c r="AW377" s="29">
        <v>0</v>
      </c>
      <c r="AX377" s="29">
        <v>0</v>
      </c>
      <c r="BK377" s="80"/>
      <c r="BL377" s="80"/>
      <c r="BM377" s="80"/>
      <c r="BN377" s="80"/>
      <c r="BO377" s="80"/>
      <c r="BP377" s="80"/>
      <c r="BQ377" s="80"/>
      <c r="BR377" s="80"/>
      <c r="BS377" s="80"/>
    </row>
    <row r="378" spans="3:71" ht="11.25" customHeight="1" outlineLevel="1">
      <c r="C378" s="43" t="s">
        <v>71</v>
      </c>
      <c r="E378" s="29">
        <v>0</v>
      </c>
      <c r="F378" s="29">
        <v>0</v>
      </c>
      <c r="G378" s="29">
        <v>0</v>
      </c>
      <c r="H378" s="29">
        <v>0</v>
      </c>
      <c r="I378" s="29">
        <v>0</v>
      </c>
      <c r="J378" s="29">
        <v>0</v>
      </c>
      <c r="K378" s="29">
        <v>0</v>
      </c>
      <c r="L378" s="29">
        <v>0</v>
      </c>
      <c r="M378" s="29">
        <v>0</v>
      </c>
      <c r="N378" s="29">
        <v>0</v>
      </c>
      <c r="O378" s="29">
        <v>0</v>
      </c>
      <c r="P378" s="29">
        <v>0</v>
      </c>
      <c r="Q378" s="29">
        <v>0</v>
      </c>
      <c r="R378" s="29">
        <v>0</v>
      </c>
      <c r="S378" s="29">
        <v>0</v>
      </c>
      <c r="T378" s="29">
        <v>0</v>
      </c>
      <c r="U378" s="29">
        <v>0</v>
      </c>
      <c r="V378" s="29">
        <v>0</v>
      </c>
      <c r="W378" s="29">
        <v>0</v>
      </c>
      <c r="X378" s="29">
        <v>0</v>
      </c>
      <c r="Y378" s="29">
        <v>0</v>
      </c>
      <c r="Z378" s="29">
        <v>0</v>
      </c>
      <c r="AA378" s="29">
        <v>0</v>
      </c>
      <c r="AB378" s="29">
        <v>0</v>
      </c>
      <c r="AC378" s="29">
        <v>0</v>
      </c>
      <c r="AD378" s="29">
        <v>0</v>
      </c>
      <c r="AE378" s="29">
        <v>0</v>
      </c>
      <c r="AF378" s="29">
        <v>0</v>
      </c>
      <c r="AG378" s="29">
        <v>0</v>
      </c>
      <c r="AH378" s="29">
        <v>0</v>
      </c>
      <c r="AI378" s="29">
        <v>0</v>
      </c>
      <c r="AJ378" s="29">
        <v>0</v>
      </c>
      <c r="AK378" s="79"/>
      <c r="AL378" s="29">
        <v>0</v>
      </c>
      <c r="AM378" s="29">
        <v>0</v>
      </c>
      <c r="AN378" s="33">
        <f t="shared" si="876"/>
        <v>0</v>
      </c>
      <c r="AO378" s="33">
        <f t="shared" si="876"/>
        <v>0</v>
      </c>
      <c r="AP378" s="33">
        <f t="shared" si="876"/>
        <v>0</v>
      </c>
      <c r="AQ378" s="33">
        <f t="shared" si="876"/>
        <v>0</v>
      </c>
      <c r="AR378" s="33">
        <f t="shared" si="876"/>
        <v>0</v>
      </c>
      <c r="AS378" s="33">
        <f t="shared" si="876"/>
        <v>0</v>
      </c>
      <c r="AT378" s="33">
        <f t="shared" si="876"/>
        <v>0</v>
      </c>
      <c r="AU378" s="33">
        <f t="shared" si="876"/>
        <v>0</v>
      </c>
      <c r="AV378" s="29">
        <v>0</v>
      </c>
      <c r="AW378" s="29">
        <v>0</v>
      </c>
      <c r="AX378" s="29">
        <v>0</v>
      </c>
      <c r="BK378" s="1354" t="s">
        <v>1665</v>
      </c>
      <c r="BL378" s="1337"/>
      <c r="BM378" s="1338"/>
      <c r="BN378" s="1338">
        <v>2021</v>
      </c>
      <c r="BO378" s="1338">
        <v>2022</v>
      </c>
      <c r="BP378" s="1338">
        <f>BO378+1</f>
        <v>2023</v>
      </c>
      <c r="BQ378" s="1338">
        <f t="shared" ref="BQ378:BR378" si="879">BP378+1</f>
        <v>2024</v>
      </c>
      <c r="BR378" s="1338">
        <f t="shared" si="879"/>
        <v>2025</v>
      </c>
      <c r="BS378" s="1338">
        <f t="shared" ref="BS378" si="880">BR378+1</f>
        <v>2026</v>
      </c>
    </row>
    <row r="379" spans="3:71" ht="11.25" customHeight="1" outlineLevel="1">
      <c r="C379" s="43" t="s">
        <v>111</v>
      </c>
      <c r="E379" s="29">
        <v>0</v>
      </c>
      <c r="F379" s="29">
        <v>0</v>
      </c>
      <c r="G379" s="29">
        <v>0</v>
      </c>
      <c r="H379" s="29">
        <v>0</v>
      </c>
      <c r="I379" s="29">
        <v>0</v>
      </c>
      <c r="J379" s="29">
        <v>0</v>
      </c>
      <c r="K379" s="29">
        <v>0</v>
      </c>
      <c r="L379" s="29">
        <v>11</v>
      </c>
      <c r="M379" s="29">
        <v>3</v>
      </c>
      <c r="N379" s="29">
        <v>-6</v>
      </c>
      <c r="O379" s="29">
        <v>-6</v>
      </c>
      <c r="P379" s="29">
        <v>0</v>
      </c>
      <c r="Q379" s="29">
        <v>0</v>
      </c>
      <c r="R379" s="29">
        <v>0</v>
      </c>
      <c r="S379" s="29">
        <v>0</v>
      </c>
      <c r="T379" s="29">
        <v>0</v>
      </c>
      <c r="U379" s="29">
        <v>0</v>
      </c>
      <c r="V379" s="29">
        <v>0</v>
      </c>
      <c r="W379" s="29">
        <v>0</v>
      </c>
      <c r="X379" s="29">
        <v>0</v>
      </c>
      <c r="Y379" s="29">
        <v>0</v>
      </c>
      <c r="Z379" s="29">
        <v>0</v>
      </c>
      <c r="AA379" s="29">
        <v>0</v>
      </c>
      <c r="AB379" s="29">
        <v>0</v>
      </c>
      <c r="AC379" s="29">
        <v>0</v>
      </c>
      <c r="AD379" s="29">
        <v>0</v>
      </c>
      <c r="AE379" s="29">
        <v>0</v>
      </c>
      <c r="AF379" s="29">
        <v>0</v>
      </c>
      <c r="AG379" s="29">
        <v>0</v>
      </c>
      <c r="AH379" s="29">
        <v>0</v>
      </c>
      <c r="AI379" s="29">
        <v>0</v>
      </c>
      <c r="AJ379" s="29">
        <v>0</v>
      </c>
      <c r="AK379" s="79"/>
      <c r="AL379" s="29">
        <v>0</v>
      </c>
      <c r="AM379" s="29">
        <v>0</v>
      </c>
      <c r="AN379" s="33">
        <f t="shared" si="876"/>
        <v>0</v>
      </c>
      <c r="AO379" s="33">
        <f t="shared" si="876"/>
        <v>11</v>
      </c>
      <c r="AP379" s="33">
        <f t="shared" si="876"/>
        <v>-9</v>
      </c>
      <c r="AQ379" s="33">
        <f t="shared" si="876"/>
        <v>0</v>
      </c>
      <c r="AR379" s="33">
        <f t="shared" si="876"/>
        <v>0</v>
      </c>
      <c r="AS379" s="33">
        <f t="shared" si="876"/>
        <v>0</v>
      </c>
      <c r="AT379" s="33">
        <f t="shared" si="876"/>
        <v>0</v>
      </c>
      <c r="AU379" s="33">
        <f t="shared" si="876"/>
        <v>0</v>
      </c>
      <c r="AV379" s="29">
        <v>0</v>
      </c>
      <c r="AW379" s="29">
        <v>0</v>
      </c>
      <c r="AX379" s="29">
        <v>0</v>
      </c>
      <c r="BK379" s="1348" t="s">
        <v>1699</v>
      </c>
      <c r="BL379" s="1349"/>
      <c r="BM379" s="1350"/>
      <c r="BN379" s="1350">
        <f>(BN352+BN354+BN357/2)/BN358</f>
        <v>0.49500000000000005</v>
      </c>
      <c r="BO379" s="1350">
        <f>(BO352+BO354+BO357/2)/BO358</f>
        <v>0.49480151228733465</v>
      </c>
      <c r="BP379" s="1350">
        <f>(BP352+BP354+BP357/2)/BP358</f>
        <v>0.49406914644429867</v>
      </c>
      <c r="BQ379" s="1350">
        <f t="shared" ref="BQ379:BR379" si="881">(BQ352+BQ354+BQ357/2)/BQ358</f>
        <v>0.49656431644086302</v>
      </c>
      <c r="BR379" s="1350">
        <f t="shared" si="881"/>
        <v>0.49708643860018026</v>
      </c>
      <c r="BS379" s="1350">
        <f t="shared" ref="BS379" si="882">(BS352+BS354+BS357/2)/BS358</f>
        <v>0.49884816948774541</v>
      </c>
    </row>
    <row r="380" spans="3:71" ht="11.25" customHeight="1">
      <c r="C380" s="45" t="s">
        <v>356</v>
      </c>
      <c r="E380" s="32">
        <f>+E371+SUM(E376:E379)</f>
        <v>108</v>
      </c>
      <c r="F380" s="32">
        <f t="shared" ref="F380:AC380" si="883">+F371+SUM(F376:F379)</f>
        <v>132</v>
      </c>
      <c r="G380" s="32">
        <f t="shared" si="883"/>
        <v>141</v>
      </c>
      <c r="H380" s="32">
        <f t="shared" si="883"/>
        <v>90</v>
      </c>
      <c r="I380" s="32">
        <f t="shared" si="883"/>
        <v>121</v>
      </c>
      <c r="J380" s="32">
        <f t="shared" si="883"/>
        <v>137</v>
      </c>
      <c r="K380" s="32">
        <f t="shared" si="883"/>
        <v>142</v>
      </c>
      <c r="L380" s="32">
        <f t="shared" si="883"/>
        <v>94</v>
      </c>
      <c r="M380" s="32">
        <f t="shared" si="883"/>
        <v>138</v>
      </c>
      <c r="N380" s="32">
        <f t="shared" si="883"/>
        <v>144</v>
      </c>
      <c r="O380" s="32">
        <f t="shared" si="883"/>
        <v>147</v>
      </c>
      <c r="P380" s="32">
        <f t="shared" si="883"/>
        <v>72</v>
      </c>
      <c r="Q380" s="32">
        <f t="shared" si="883"/>
        <v>102</v>
      </c>
      <c r="R380" s="32">
        <f t="shared" si="883"/>
        <v>145</v>
      </c>
      <c r="S380" s="32">
        <f t="shared" si="883"/>
        <v>159</v>
      </c>
      <c r="T380" s="32">
        <f t="shared" si="883"/>
        <v>112</v>
      </c>
      <c r="U380" s="32">
        <f t="shared" si="883"/>
        <v>107</v>
      </c>
      <c r="V380" s="32">
        <f t="shared" si="883"/>
        <v>64</v>
      </c>
      <c r="W380" s="32">
        <f t="shared" si="883"/>
        <v>139</v>
      </c>
      <c r="X380" s="32">
        <f t="shared" si="883"/>
        <v>138</v>
      </c>
      <c r="Y380" s="32">
        <f t="shared" si="883"/>
        <v>151</v>
      </c>
      <c r="Z380" s="32">
        <f t="shared" si="883"/>
        <v>153</v>
      </c>
      <c r="AA380" s="32">
        <f t="shared" si="883"/>
        <v>128</v>
      </c>
      <c r="AB380" s="32">
        <f t="shared" si="883"/>
        <v>100</v>
      </c>
      <c r="AC380" s="32">
        <f t="shared" si="883"/>
        <v>62</v>
      </c>
      <c r="AD380" s="32">
        <f t="shared" ref="AD380:AF380" si="884">+AD371+SUM(AD376:AD379)</f>
        <v>158</v>
      </c>
      <c r="AE380" s="32">
        <f t="shared" si="884"/>
        <v>132</v>
      </c>
      <c r="AF380" s="32">
        <f t="shared" si="884"/>
        <v>43</v>
      </c>
      <c r="AG380" s="32">
        <f t="shared" ref="AG380" si="885">+AG371+SUM(AG376:AG379)</f>
        <v>86</v>
      </c>
      <c r="AH380" s="35">
        <f t="shared" ref="AH380:AJ380" si="886">+AH382*AH352</f>
        <v>125.63099999999999</v>
      </c>
      <c r="AI380" s="35">
        <f t="shared" si="886"/>
        <v>160.01760000000002</v>
      </c>
      <c r="AJ380" s="35">
        <f t="shared" si="886"/>
        <v>106.20480000000001</v>
      </c>
      <c r="AK380" s="79"/>
      <c r="AL380" s="32">
        <f t="shared" ref="AL380:AT380" si="887">+AL371+SUM(AL376:AL379)</f>
        <v>293</v>
      </c>
      <c r="AM380" s="32">
        <f t="shared" si="887"/>
        <v>384</v>
      </c>
      <c r="AN380" s="32">
        <f t="shared" si="887"/>
        <v>471</v>
      </c>
      <c r="AO380" s="32">
        <f t="shared" si="887"/>
        <v>494</v>
      </c>
      <c r="AP380" s="32">
        <f t="shared" si="887"/>
        <v>501</v>
      </c>
      <c r="AQ380" s="32">
        <f t="shared" si="887"/>
        <v>518</v>
      </c>
      <c r="AR380" s="32">
        <f t="shared" si="887"/>
        <v>448</v>
      </c>
      <c r="AS380" s="32">
        <f t="shared" si="887"/>
        <v>532</v>
      </c>
      <c r="AT380" s="32">
        <f t="shared" si="887"/>
        <v>395</v>
      </c>
      <c r="AU380" s="32">
        <f t="shared" ref="AU380" si="888">+AU371+SUM(AU376:AU379)</f>
        <v>477.85339999999997</v>
      </c>
      <c r="AV380" s="35">
        <f>+AV382*AV352</f>
        <v>535.71368999999993</v>
      </c>
      <c r="AW380" s="35">
        <f>+AW382*AW352</f>
        <v>562.49937449999993</v>
      </c>
      <c r="AX380" s="35">
        <f>+AX382*AX352</f>
        <v>620.99930944799996</v>
      </c>
      <c r="BK380" s="1351" t="s">
        <v>1702</v>
      </c>
      <c r="BL380" s="1352"/>
      <c r="BM380" s="1353"/>
      <c r="BN380" s="1353">
        <f>(SUM(BN355:BN356,BN353)+BN357/2)/BN358</f>
        <v>0.50500000000000012</v>
      </c>
      <c r="BO380" s="1353">
        <f>(SUM(BO355:BO356,BO353)+BO357/2)/BO358</f>
        <v>0.50519848771266529</v>
      </c>
      <c r="BP380" s="1353">
        <f>(SUM(BP355:BP356,BP353)+BP357/2)/BP358</f>
        <v>0.50593085355570122</v>
      </c>
      <c r="BQ380" s="1353">
        <f t="shared" ref="BQ380:BR380" si="889">(SUM(BQ355:BQ356,BQ353)+BQ357/2)/BQ358</f>
        <v>0.50343568355913726</v>
      </c>
      <c r="BR380" s="1353">
        <f t="shared" si="889"/>
        <v>0.50291356139981991</v>
      </c>
      <c r="BS380" s="1353">
        <f t="shared" ref="BS380" si="890">(SUM(BS355:BS356,BS353)+BS357/2)/BS358</f>
        <v>0.50115183051225454</v>
      </c>
    </row>
    <row r="381" spans="3:71" ht="11.25" customHeight="1">
      <c r="C381" s="93" t="s">
        <v>358</v>
      </c>
      <c r="E381" s="124"/>
      <c r="F381" s="124"/>
      <c r="G381" s="124"/>
      <c r="H381" s="124"/>
      <c r="I381" s="94">
        <f t="shared" ref="I381:AC381" si="891">IFERROR(I380/E380-1,"NA  ")</f>
        <v>0.12037037037037046</v>
      </c>
      <c r="J381" s="94">
        <f t="shared" si="891"/>
        <v>3.7878787878787845E-2</v>
      </c>
      <c r="K381" s="94">
        <f t="shared" si="891"/>
        <v>7.0921985815601829E-3</v>
      </c>
      <c r="L381" s="94">
        <f t="shared" si="891"/>
        <v>4.4444444444444509E-2</v>
      </c>
      <c r="M381" s="94">
        <f t="shared" si="891"/>
        <v>0.14049586776859502</v>
      </c>
      <c r="N381" s="94">
        <f t="shared" si="891"/>
        <v>5.1094890510948954E-2</v>
      </c>
      <c r="O381" s="94">
        <f t="shared" si="891"/>
        <v>3.5211267605633756E-2</v>
      </c>
      <c r="P381" s="94">
        <f t="shared" si="891"/>
        <v>-0.23404255319148937</v>
      </c>
      <c r="Q381" s="94">
        <f t="shared" si="891"/>
        <v>-0.26086956521739135</v>
      </c>
      <c r="R381" s="94">
        <f t="shared" si="891"/>
        <v>6.9444444444444198E-3</v>
      </c>
      <c r="S381" s="94">
        <f t="shared" si="891"/>
        <v>8.163265306122458E-2</v>
      </c>
      <c r="T381" s="94">
        <f t="shared" si="891"/>
        <v>0.55555555555555558</v>
      </c>
      <c r="U381" s="94">
        <f t="shared" si="891"/>
        <v>4.9019607843137303E-2</v>
      </c>
      <c r="V381" s="94">
        <f t="shared" si="891"/>
        <v>-0.55862068965517242</v>
      </c>
      <c r="W381" s="94">
        <f t="shared" si="891"/>
        <v>-0.12578616352201255</v>
      </c>
      <c r="X381" s="94">
        <f t="shared" si="891"/>
        <v>0.23214285714285721</v>
      </c>
      <c r="Y381" s="94">
        <f t="shared" si="891"/>
        <v>0.41121495327102808</v>
      </c>
      <c r="Z381" s="94">
        <f t="shared" si="891"/>
        <v>1.390625</v>
      </c>
      <c r="AA381" s="94">
        <f t="shared" si="891"/>
        <v>-7.9136690647481966E-2</v>
      </c>
      <c r="AB381" s="94">
        <f t="shared" si="891"/>
        <v>-0.27536231884057971</v>
      </c>
      <c r="AC381" s="94">
        <f t="shared" si="891"/>
        <v>-0.58940397350993379</v>
      </c>
      <c r="AD381" s="94">
        <f t="shared" ref="AD381" si="892">IFERROR(AD380/Z380-1,"NA  ")</f>
        <v>3.2679738562091609E-2</v>
      </c>
      <c r="AE381" s="94">
        <f t="shared" ref="AE381" si="893">IFERROR(AE380/AA380-1,"NA  ")</f>
        <v>3.125E-2</v>
      </c>
      <c r="AF381" s="94">
        <f t="shared" ref="AF381:AG381" si="894">IFERROR(AF380/AB380-1,"NA  ")</f>
        <v>-0.57000000000000006</v>
      </c>
      <c r="AG381" s="94">
        <f t="shared" si="894"/>
        <v>0.38709677419354849</v>
      </c>
      <c r="AH381" s="94">
        <f t="shared" ref="AH381" si="895">IFERROR(AH380/AD380-1,"NA  ")</f>
        <v>-0.20486708860759506</v>
      </c>
      <c r="AI381" s="94">
        <f t="shared" ref="AI381" si="896">IFERROR(AI380/AE380-1,"NA  ")</f>
        <v>0.21225454545454547</v>
      </c>
      <c r="AJ381" s="94">
        <f t="shared" ref="AJ381" si="897">IFERROR(AJ380/AF380-1,"NA  ")</f>
        <v>1.4698790697674422</v>
      </c>
      <c r="AK381" s="79"/>
      <c r="AL381" s="124"/>
      <c r="AM381" s="94">
        <f t="shared" ref="AM381:AX381" si="898">IFERROR(AM380/AL380-1,"NA  ")</f>
        <v>0.31058020477815695</v>
      </c>
      <c r="AN381" s="94">
        <f t="shared" si="898"/>
        <v>0.2265625</v>
      </c>
      <c r="AO381" s="94">
        <f t="shared" si="898"/>
        <v>4.8832271762208057E-2</v>
      </c>
      <c r="AP381" s="94">
        <f t="shared" si="898"/>
        <v>1.4170040485830038E-2</v>
      </c>
      <c r="AQ381" s="94">
        <f t="shared" si="898"/>
        <v>3.3932135728542923E-2</v>
      </c>
      <c r="AR381" s="94">
        <f t="shared" si="898"/>
        <v>-0.13513513513513509</v>
      </c>
      <c r="AS381" s="94">
        <f t="shared" si="898"/>
        <v>0.1875</v>
      </c>
      <c r="AT381" s="94">
        <f t="shared" si="898"/>
        <v>-0.25751879699248126</v>
      </c>
      <c r="AU381" s="94">
        <f t="shared" si="898"/>
        <v>0.20975544303797466</v>
      </c>
      <c r="AV381" s="95">
        <f t="shared" si="898"/>
        <v>0.12108376753205063</v>
      </c>
      <c r="AW381" s="95">
        <f t="shared" si="898"/>
        <v>5.0000000000000044E-2</v>
      </c>
      <c r="AX381" s="95">
        <f t="shared" si="898"/>
        <v>0.10400000000000009</v>
      </c>
    </row>
    <row r="382" spans="3:71" ht="11.25" customHeight="1">
      <c r="C382" s="93" t="s">
        <v>360</v>
      </c>
      <c r="E382" s="94">
        <f t="shared" ref="E382:T382" si="899">E380/E352</f>
        <v>0.18336162988115451</v>
      </c>
      <c r="F382" s="94">
        <f t="shared" si="899"/>
        <v>0.2043343653250774</v>
      </c>
      <c r="G382" s="94">
        <f t="shared" si="899"/>
        <v>0.22100313479623823</v>
      </c>
      <c r="H382" s="94">
        <f t="shared" si="899"/>
        <v>0.1541095890410959</v>
      </c>
      <c r="I382" s="94">
        <f t="shared" si="899"/>
        <v>0.19085173501577288</v>
      </c>
      <c r="J382" s="94">
        <f t="shared" si="899"/>
        <v>0.20852359208523591</v>
      </c>
      <c r="K382" s="94">
        <f t="shared" si="899"/>
        <v>0.21981424148606812</v>
      </c>
      <c r="L382" s="94">
        <f t="shared" si="899"/>
        <v>0.14803149606299212</v>
      </c>
      <c r="M382" s="94">
        <f t="shared" si="899"/>
        <v>0.19913419913419914</v>
      </c>
      <c r="N382" s="94">
        <f t="shared" si="899"/>
        <v>0.19753086419753085</v>
      </c>
      <c r="O382" s="94">
        <f t="shared" si="899"/>
        <v>0.20733427362482371</v>
      </c>
      <c r="P382" s="94">
        <f t="shared" si="899"/>
        <v>0.11538461538461539</v>
      </c>
      <c r="Q382" s="94">
        <f t="shared" si="899"/>
        <v>0.15525114155251141</v>
      </c>
      <c r="R382" s="94">
        <f t="shared" si="899"/>
        <v>0.20833333333333334</v>
      </c>
      <c r="S382" s="94">
        <f t="shared" si="899"/>
        <v>0.22812051649928264</v>
      </c>
      <c r="T382" s="94">
        <f t="shared" si="899"/>
        <v>0.17554858934169279</v>
      </c>
      <c r="U382" s="94">
        <f t="shared" ref="U382:AC382" si="900">U380/U352</f>
        <v>0.17398373983739837</v>
      </c>
      <c r="V382" s="94">
        <f t="shared" si="900"/>
        <v>0.1128747795414462</v>
      </c>
      <c r="W382" s="94">
        <f t="shared" si="900"/>
        <v>0.20808383233532934</v>
      </c>
      <c r="X382" s="94">
        <f t="shared" si="900"/>
        <v>0.20474777448071216</v>
      </c>
      <c r="Y382" s="94">
        <f t="shared" si="900"/>
        <v>0.21089385474860337</v>
      </c>
      <c r="Z382" s="94">
        <f t="shared" si="900"/>
        <v>0.19895968790637192</v>
      </c>
      <c r="AA382" s="94">
        <f t="shared" si="900"/>
        <v>0.16623376623376623</v>
      </c>
      <c r="AB382" s="94">
        <f t="shared" si="900"/>
        <v>0.12953367875647667</v>
      </c>
      <c r="AC382" s="94">
        <f t="shared" si="900"/>
        <v>8.4124830393487116E-2</v>
      </c>
      <c r="AD382" s="94">
        <f t="shared" ref="AD382:AF382" si="901">AD380/AD352</f>
        <v>0.1867612293144208</v>
      </c>
      <c r="AE382" s="94">
        <f t="shared" si="901"/>
        <v>0.14864864864864866</v>
      </c>
      <c r="AF382" s="94">
        <f t="shared" si="901"/>
        <v>5.8423913043478264E-2</v>
      </c>
      <c r="AG382" s="94">
        <f t="shared" ref="AG382" si="902">AG380/AG352</f>
        <v>0.11590296495956873</v>
      </c>
      <c r="AH382" s="147">
        <f>+Assumptions!AH62</f>
        <v>0.15</v>
      </c>
      <c r="AI382" s="147">
        <f>+Assumptions!AI62</f>
        <v>0.17</v>
      </c>
      <c r="AJ382" s="147">
        <f>+Assumptions!AJ62</f>
        <v>0.13</v>
      </c>
      <c r="AK382" s="79"/>
      <c r="AL382" s="94">
        <f t="shared" ref="AL382:AT382" si="903">AL380/AL352</f>
        <v>0.12321278385197645</v>
      </c>
      <c r="AM382" s="94">
        <f t="shared" si="903"/>
        <v>0.15907207953603977</v>
      </c>
      <c r="AN382" s="94">
        <f t="shared" si="903"/>
        <v>0.19169719169719171</v>
      </c>
      <c r="AO382" s="94">
        <f t="shared" si="903"/>
        <v>0.19206842923794712</v>
      </c>
      <c r="AP382" s="94">
        <f t="shared" si="903"/>
        <v>0.18185117967332123</v>
      </c>
      <c r="AQ382" s="94">
        <f t="shared" si="903"/>
        <v>0.19270833333333334</v>
      </c>
      <c r="AR382" s="94">
        <f t="shared" si="903"/>
        <v>0.1774960380348653</v>
      </c>
      <c r="AS382" s="94">
        <f t="shared" si="903"/>
        <v>0.17575156921043938</v>
      </c>
      <c r="AT382" s="94">
        <f t="shared" si="903"/>
        <v>0.12316806984720922</v>
      </c>
      <c r="AU382" s="94">
        <f t="shared" ref="AU382" si="904">AU380/AU352</f>
        <v>0.14316503783952209</v>
      </c>
      <c r="AV382" s="147">
        <f>+Assumptions!AV62</f>
        <v>0.15</v>
      </c>
      <c r="AW382" s="147">
        <f>+Assumptions!AW62</f>
        <v>0.15</v>
      </c>
      <c r="AX382" s="147">
        <f>+Assumptions!AX62</f>
        <v>0.16</v>
      </c>
    </row>
    <row r="383" spans="3:71" ht="11.25" customHeight="1" outlineLevel="1">
      <c r="C383" s="93" t="s">
        <v>396</v>
      </c>
      <c r="E383" s="47"/>
      <c r="F383" s="47"/>
      <c r="G383" s="47"/>
      <c r="H383" s="47"/>
      <c r="I383" s="436">
        <f t="shared" ref="I383:AC383" si="905">IFERROR((I382-E382)*10000,"NA  ")</f>
        <v>74.901051346183692</v>
      </c>
      <c r="J383" s="436">
        <f t="shared" si="905"/>
        <v>41.892267601585097</v>
      </c>
      <c r="K383" s="436">
        <f t="shared" si="905"/>
        <v>-11.888933101701083</v>
      </c>
      <c r="L383" s="436">
        <f t="shared" si="905"/>
        <v>-60.78092978103772</v>
      </c>
      <c r="M383" s="436">
        <f t="shared" si="905"/>
        <v>82.824641184262589</v>
      </c>
      <c r="N383" s="436">
        <f t="shared" si="905"/>
        <v>-109.92727887705055</v>
      </c>
      <c r="O383" s="436">
        <f t="shared" si="905"/>
        <v>-124.79967861244418</v>
      </c>
      <c r="P383" s="436">
        <f t="shared" si="905"/>
        <v>-326.46880678376732</v>
      </c>
      <c r="Q383" s="436">
        <f t="shared" si="905"/>
        <v>-438.83057581687729</v>
      </c>
      <c r="R383" s="436">
        <f t="shared" si="905"/>
        <v>108.0246913580249</v>
      </c>
      <c r="S383" s="436">
        <f t="shared" si="905"/>
        <v>207.86242874458932</v>
      </c>
      <c r="T383" s="436">
        <f t="shared" si="905"/>
        <v>601.63973957077394</v>
      </c>
      <c r="U383" s="436">
        <f t="shared" si="905"/>
        <v>187.32598284886964</v>
      </c>
      <c r="V383" s="436">
        <f t="shared" si="905"/>
        <v>-954.58553791887141</v>
      </c>
      <c r="W383" s="436">
        <f t="shared" si="905"/>
        <v>-200.36684163953294</v>
      </c>
      <c r="X383" s="436">
        <f t="shared" si="905"/>
        <v>291.99185139019369</v>
      </c>
      <c r="Y383" s="436">
        <f t="shared" si="905"/>
        <v>369.10114911204994</v>
      </c>
      <c r="Z383" s="436">
        <f t="shared" si="905"/>
        <v>860.84908364925718</v>
      </c>
      <c r="AA383" s="436">
        <f t="shared" si="905"/>
        <v>-418.50066101563112</v>
      </c>
      <c r="AB383" s="436">
        <f t="shared" si="905"/>
        <v>-752.14095724235483</v>
      </c>
      <c r="AC383" s="436">
        <f t="shared" si="905"/>
        <v>-1267.6902435511624</v>
      </c>
      <c r="AD383" s="436">
        <f t="shared" ref="AD383" si="906">IFERROR((AD382-Z382)*10000,"NA  ")</f>
        <v>-121.98458591951122</v>
      </c>
      <c r="AE383" s="436">
        <f t="shared" ref="AE383" si="907">IFERROR((AE382-AA382)*10000,"NA  ")</f>
        <v>-175.85117585117575</v>
      </c>
      <c r="AF383" s="436">
        <f t="shared" ref="AF383:AG383" si="908">IFERROR((AF382-AB382)*10000,"NA  ")</f>
        <v>-711.09765712998399</v>
      </c>
      <c r="AG383" s="436">
        <f t="shared" si="908"/>
        <v>317.7813456608161</v>
      </c>
      <c r="AH383" s="436">
        <f t="shared" ref="AH383" si="909">IFERROR((AH382-AD382)*10000,"NA  ")</f>
        <v>-367.61229314420802</v>
      </c>
      <c r="AI383" s="436">
        <f t="shared" ref="AI383" si="910">IFERROR((AI382-AE382)*10000,"NA  ")</f>
        <v>213.51351351351354</v>
      </c>
      <c r="AJ383" s="436">
        <f t="shared" ref="AJ383" si="911">IFERROR((AJ382-AF382)*10000,"NA  ")</f>
        <v>715.76086956521738</v>
      </c>
      <c r="AK383" s="79"/>
      <c r="AL383" s="47"/>
      <c r="AM383" s="436">
        <f t="shared" ref="AM383:AX383" si="912">IFERROR((AM382-AL382)*10000,"NA  ")</f>
        <v>358.59295684063318</v>
      </c>
      <c r="AN383" s="436">
        <f t="shared" si="912"/>
        <v>326.25112161151935</v>
      </c>
      <c r="AO383" s="436">
        <f t="shared" si="912"/>
        <v>3.7123754075540916</v>
      </c>
      <c r="AP383" s="436">
        <f t="shared" si="912"/>
        <v>-102.17249564625885</v>
      </c>
      <c r="AQ383" s="436">
        <f t="shared" si="912"/>
        <v>108.57153660012109</v>
      </c>
      <c r="AR383" s="436">
        <f t="shared" si="912"/>
        <v>-152.12295298468044</v>
      </c>
      <c r="AS383" s="436">
        <f t="shared" si="912"/>
        <v>-17.444688244259154</v>
      </c>
      <c r="AT383" s="436">
        <f t="shared" si="912"/>
        <v>-525.83499363230158</v>
      </c>
      <c r="AU383" s="436">
        <f t="shared" si="912"/>
        <v>199.96967992312861</v>
      </c>
      <c r="AV383" s="436">
        <f t="shared" si="912"/>
        <v>68.349621604779088</v>
      </c>
      <c r="AW383" s="436">
        <f t="shared" si="912"/>
        <v>0</v>
      </c>
      <c r="AX383" s="436">
        <f t="shared" si="912"/>
        <v>100.00000000000009</v>
      </c>
    </row>
    <row r="384" spans="3:71" ht="5.2" customHeight="1" outlineLevel="1">
      <c r="C384" s="111"/>
      <c r="E384" s="31"/>
      <c r="F384" s="31"/>
      <c r="G384" s="31"/>
      <c r="H384" s="31"/>
      <c r="I384" s="31"/>
      <c r="J384" s="31"/>
      <c r="K384" s="31"/>
      <c r="L384" s="31"/>
      <c r="M384" s="31"/>
      <c r="N384" s="31"/>
      <c r="O384" s="31"/>
      <c r="P384" s="31"/>
      <c r="Q384" s="31"/>
      <c r="R384" s="31"/>
      <c r="AK384" s="79"/>
      <c r="AL384" s="31"/>
      <c r="AM384" s="31"/>
      <c r="AN384" s="31"/>
      <c r="AO384" s="31"/>
      <c r="AP384" s="31"/>
    </row>
    <row r="385" spans="3:50" ht="11.25" customHeight="1" outlineLevel="1">
      <c r="C385" s="43" t="s">
        <v>165</v>
      </c>
      <c r="E385" s="46"/>
      <c r="F385" s="46"/>
      <c r="G385" s="46"/>
      <c r="H385" s="46"/>
      <c r="I385" s="29">
        <v>39</v>
      </c>
      <c r="J385" s="29">
        <v>19</v>
      </c>
      <c r="K385" s="29">
        <v>8</v>
      </c>
      <c r="L385" s="33">
        <f>+AO385-SUM(I385:K385)</f>
        <v>17</v>
      </c>
      <c r="M385" s="29">
        <v>26</v>
      </c>
      <c r="N385" s="29">
        <v>30</v>
      </c>
      <c r="O385" s="29">
        <v>39</v>
      </c>
      <c r="P385" s="33">
        <f>+AP385-SUM(M385:O385)</f>
        <v>-1</v>
      </c>
      <c r="Q385" s="29">
        <v>-21</v>
      </c>
      <c r="R385" s="29">
        <v>-36</v>
      </c>
      <c r="S385" s="29">
        <v>0</v>
      </c>
      <c r="T385" s="33">
        <f>+AQ385-SUM(Q385:S385)</f>
        <v>41</v>
      </c>
      <c r="U385" s="33"/>
      <c r="V385" s="33"/>
      <c r="W385" s="33"/>
      <c r="X385" s="33"/>
      <c r="Y385" s="33"/>
      <c r="Z385" s="33"/>
      <c r="AA385" s="33"/>
      <c r="AB385" s="33"/>
      <c r="AC385" s="33"/>
      <c r="AD385" s="33"/>
      <c r="AE385" s="33"/>
      <c r="AF385" s="33"/>
      <c r="AG385" s="33"/>
      <c r="AH385" s="33"/>
      <c r="AI385" s="33"/>
      <c r="AJ385" s="33"/>
      <c r="AK385" s="79"/>
      <c r="AL385" s="46"/>
      <c r="AM385" s="29">
        <v>46</v>
      </c>
      <c r="AN385" s="29">
        <v>71</v>
      </c>
      <c r="AO385" s="29">
        <v>83</v>
      </c>
      <c r="AP385" s="29">
        <v>94</v>
      </c>
      <c r="AQ385" s="29">
        <v>-16</v>
      </c>
      <c r="AR385" s="33"/>
      <c r="AS385" s="28"/>
      <c r="AT385" s="28"/>
      <c r="AU385" s="28"/>
      <c r="AV385" s="28"/>
      <c r="AW385" s="28"/>
      <c r="AX385" s="28"/>
    </row>
    <row r="386" spans="3:50" ht="11.25" customHeight="1" outlineLevel="1">
      <c r="C386" s="43" t="s">
        <v>166</v>
      </c>
      <c r="E386" s="46"/>
      <c r="F386" s="46"/>
      <c r="G386" s="46"/>
      <c r="H386" s="46"/>
      <c r="I386" s="29">
        <v>-17</v>
      </c>
      <c r="J386" s="29">
        <v>-18</v>
      </c>
      <c r="K386" s="29">
        <v>-1</v>
      </c>
      <c r="L386" s="33">
        <f>+AO386-SUM(I386:K386)</f>
        <v>36</v>
      </c>
      <c r="M386" s="29">
        <v>0</v>
      </c>
      <c r="N386" s="29">
        <v>0</v>
      </c>
      <c r="O386" s="29">
        <v>0</v>
      </c>
      <c r="P386" s="33">
        <f>+AP386-SUM(M386:O386)</f>
        <v>0</v>
      </c>
      <c r="Q386" s="29">
        <v>0</v>
      </c>
      <c r="R386" s="29">
        <v>-31</v>
      </c>
      <c r="S386" s="29">
        <v>0</v>
      </c>
      <c r="T386" s="33">
        <f>+AQ386-SUM(Q386:S386)</f>
        <v>31</v>
      </c>
      <c r="U386" s="33"/>
      <c r="V386" s="463"/>
      <c r="W386" s="33"/>
      <c r="X386" s="33"/>
      <c r="Y386" s="33"/>
      <c r="Z386" s="33"/>
      <c r="AA386" s="33"/>
      <c r="AB386" s="33"/>
      <c r="AC386" s="33"/>
      <c r="AD386" s="33"/>
      <c r="AE386" s="33"/>
      <c r="AF386" s="33"/>
      <c r="AG386" s="33"/>
      <c r="AH386" s="33"/>
      <c r="AI386" s="33"/>
      <c r="AJ386" s="33"/>
      <c r="AK386" s="79"/>
      <c r="AL386" s="46"/>
      <c r="AM386" s="29">
        <v>0</v>
      </c>
      <c r="AN386" s="29">
        <v>0</v>
      </c>
      <c r="AO386" s="29">
        <v>0</v>
      </c>
      <c r="AP386" s="29">
        <v>0</v>
      </c>
      <c r="AQ386" s="29">
        <v>0</v>
      </c>
      <c r="AR386" s="463"/>
      <c r="AS386" s="28"/>
      <c r="AT386" s="28"/>
      <c r="AU386" s="28"/>
      <c r="AV386" s="28"/>
      <c r="AW386" s="28"/>
      <c r="AX386" s="28"/>
    </row>
    <row r="387" spans="3:50" ht="11.25" customHeight="1" outlineLevel="1">
      <c r="C387" s="43" t="s">
        <v>167</v>
      </c>
      <c r="E387" s="46"/>
      <c r="F387" s="46"/>
      <c r="G387" s="46"/>
      <c r="H387" s="46"/>
      <c r="I387" s="29">
        <v>0</v>
      </c>
      <c r="J387" s="29">
        <v>0</v>
      </c>
      <c r="K387" s="29">
        <v>0</v>
      </c>
      <c r="L387" s="33">
        <f>+AO387-SUM(I387:K387)</f>
        <v>0</v>
      </c>
      <c r="M387" s="29">
        <v>8</v>
      </c>
      <c r="N387" s="29">
        <v>0</v>
      </c>
      <c r="O387" s="29">
        <v>0</v>
      </c>
      <c r="P387" s="33">
        <f>+AP387-SUM(M387:O387)</f>
        <v>-8</v>
      </c>
      <c r="Q387" s="29">
        <v>-6</v>
      </c>
      <c r="R387" s="29">
        <v>-8</v>
      </c>
      <c r="S387" s="29">
        <v>-17</v>
      </c>
      <c r="T387" s="33">
        <f>+AQ387-SUM(Q387:S387)</f>
        <v>8</v>
      </c>
      <c r="U387" s="33"/>
      <c r="V387" s="33"/>
      <c r="W387" s="33"/>
      <c r="X387" s="33"/>
      <c r="Y387" s="33"/>
      <c r="Z387" s="33"/>
      <c r="AA387" s="33"/>
      <c r="AB387" s="33"/>
      <c r="AC387" s="33"/>
      <c r="AD387" s="33"/>
      <c r="AE387" s="33"/>
      <c r="AF387" s="33"/>
      <c r="AG387" s="33"/>
      <c r="AH387" s="33"/>
      <c r="AI387" s="33"/>
      <c r="AJ387" s="33"/>
      <c r="AK387" s="79"/>
      <c r="AL387" s="46"/>
      <c r="AM387" s="29">
        <v>-35</v>
      </c>
      <c r="AN387" s="29">
        <v>0</v>
      </c>
      <c r="AO387" s="29">
        <v>0</v>
      </c>
      <c r="AP387" s="29">
        <v>0</v>
      </c>
      <c r="AQ387" s="29">
        <v>-23</v>
      </c>
      <c r="AR387" s="33"/>
      <c r="AS387" s="28"/>
      <c r="AT387" s="28"/>
      <c r="AU387" s="28"/>
      <c r="AV387" s="28"/>
      <c r="AW387" s="28"/>
      <c r="AX387" s="28"/>
    </row>
    <row r="388" spans="3:50" ht="11.25" customHeight="1" outlineLevel="1">
      <c r="C388" s="43" t="s">
        <v>711</v>
      </c>
      <c r="E388" s="46"/>
      <c r="F388" s="46"/>
      <c r="G388" s="46"/>
      <c r="H388" s="46"/>
      <c r="I388" s="29">
        <v>0</v>
      </c>
      <c r="J388" s="29">
        <v>0</v>
      </c>
      <c r="K388" s="29">
        <v>0</v>
      </c>
      <c r="L388" s="33">
        <f>+AO388-SUM(I388:K388)</f>
        <v>-48</v>
      </c>
      <c r="M388" s="29"/>
      <c r="N388" s="29">
        <v>-1</v>
      </c>
      <c r="O388" s="29">
        <v>-19</v>
      </c>
      <c r="P388" s="33">
        <f>+AP388-SUM(M388:O388)</f>
        <v>-72</v>
      </c>
      <c r="Q388" s="29">
        <v>-9</v>
      </c>
      <c r="R388" s="29">
        <v>41</v>
      </c>
      <c r="S388" s="29">
        <v>28</v>
      </c>
      <c r="T388" s="33">
        <f>+AQ388-SUM(Q388:S388)</f>
        <v>-11</v>
      </c>
      <c r="U388" s="33"/>
      <c r="V388" s="33"/>
      <c r="W388" s="33"/>
      <c r="X388" s="33"/>
      <c r="Y388" s="33"/>
      <c r="Z388" s="33"/>
      <c r="AA388" s="33"/>
      <c r="AB388" s="33"/>
      <c r="AC388" s="33"/>
      <c r="AD388" s="33"/>
      <c r="AE388" s="33"/>
      <c r="AF388" s="33"/>
      <c r="AG388" s="33"/>
      <c r="AH388" s="33"/>
      <c r="AI388" s="33"/>
      <c r="AJ388" s="33"/>
      <c r="AK388" s="79"/>
      <c r="AL388" s="46"/>
      <c r="AM388" s="29">
        <v>76</v>
      </c>
      <c r="AN388" s="29">
        <v>0</v>
      </c>
      <c r="AO388" s="29">
        <v>-48</v>
      </c>
      <c r="AP388" s="29">
        <f>-67-25</f>
        <v>-92</v>
      </c>
      <c r="AQ388" s="29">
        <v>49</v>
      </c>
      <c r="AR388" s="33"/>
      <c r="AS388" s="28"/>
      <c r="AT388" s="28"/>
      <c r="AU388" s="28"/>
      <c r="AV388" s="28"/>
      <c r="AW388" s="28"/>
      <c r="AX388" s="28"/>
    </row>
    <row r="389" spans="3:50" ht="11.25" customHeight="1" outlineLevel="1">
      <c r="C389" s="45" t="s">
        <v>351</v>
      </c>
      <c r="E389" s="32"/>
      <c r="F389" s="32"/>
      <c r="G389" s="32"/>
      <c r="H389" s="32"/>
      <c r="I389" s="32">
        <f>SUM(I385:I388)</f>
        <v>22</v>
      </c>
      <c r="J389" s="32">
        <f t="shared" ref="J389:S389" si="913">SUM(J385:J388)</f>
        <v>1</v>
      </c>
      <c r="K389" s="32">
        <f t="shared" si="913"/>
        <v>7</v>
      </c>
      <c r="L389" s="32">
        <f t="shared" si="913"/>
        <v>5</v>
      </c>
      <c r="M389" s="32">
        <f t="shared" si="913"/>
        <v>34</v>
      </c>
      <c r="N389" s="32">
        <f t="shared" si="913"/>
        <v>29</v>
      </c>
      <c r="O389" s="32">
        <f t="shared" si="913"/>
        <v>20</v>
      </c>
      <c r="P389" s="32">
        <f t="shared" si="913"/>
        <v>-81</v>
      </c>
      <c r="Q389" s="32">
        <f t="shared" si="913"/>
        <v>-36</v>
      </c>
      <c r="R389" s="32">
        <f t="shared" si="913"/>
        <v>-34</v>
      </c>
      <c r="S389" s="32">
        <f t="shared" si="913"/>
        <v>11</v>
      </c>
      <c r="T389" s="32">
        <f>SUM(T385:T388)</f>
        <v>69</v>
      </c>
      <c r="U389" s="31"/>
      <c r="V389" s="31"/>
      <c r="W389" s="31"/>
      <c r="X389" s="31"/>
      <c r="Y389" s="31"/>
      <c r="Z389" s="31"/>
      <c r="AA389" s="31"/>
      <c r="AB389" s="31"/>
      <c r="AC389" s="31"/>
      <c r="AD389" s="31"/>
      <c r="AE389" s="31"/>
      <c r="AF389" s="31"/>
      <c r="AG389" s="31"/>
      <c r="AH389" s="31"/>
      <c r="AI389" s="31"/>
      <c r="AJ389" s="31"/>
      <c r="AK389" s="79"/>
      <c r="AL389" s="91"/>
      <c r="AM389" s="32">
        <f>SUM(AM385:AM388)</f>
        <v>87</v>
      </c>
      <c r="AN389" s="32">
        <f>SUM(AN385:AN388)</f>
        <v>71</v>
      </c>
      <c r="AO389" s="32">
        <f>SUM(AO385:AO388)</f>
        <v>35</v>
      </c>
      <c r="AP389" s="32">
        <f>SUM(AP385:AP388)</f>
        <v>2</v>
      </c>
      <c r="AQ389" s="32">
        <f>SUM(AQ385:AQ388)</f>
        <v>10</v>
      </c>
      <c r="AR389" s="31"/>
      <c r="AS389" s="31"/>
      <c r="AT389" s="31"/>
      <c r="AU389" s="31"/>
      <c r="AV389" s="31"/>
      <c r="AW389" s="31"/>
      <c r="AX389" s="31"/>
    </row>
    <row r="390" spans="3:50" ht="5.2" customHeight="1" outlineLevel="1">
      <c r="C390" s="45"/>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79"/>
      <c r="AL390" s="29"/>
      <c r="AM390" s="31"/>
      <c r="AN390" s="31"/>
      <c r="AO390" s="31"/>
      <c r="AP390" s="31"/>
      <c r="AQ390" s="31"/>
      <c r="AR390" s="31"/>
      <c r="AS390" s="31"/>
      <c r="AT390" s="31"/>
      <c r="AU390" s="31"/>
      <c r="AV390" s="31"/>
      <c r="AW390" s="31"/>
      <c r="AX390" s="31"/>
    </row>
    <row r="391" spans="3:50" ht="11.25" customHeight="1" outlineLevel="2">
      <c r="C391" s="113" t="s">
        <v>68</v>
      </c>
      <c r="E391" s="33"/>
      <c r="F391" s="33"/>
      <c r="G391" s="33"/>
      <c r="H391" s="33"/>
      <c r="I391" s="42">
        <f t="shared" ref="I391:T391" si="914">+I389-(I380-E380)</f>
        <v>9</v>
      </c>
      <c r="J391" s="42">
        <f t="shared" si="914"/>
        <v>-4</v>
      </c>
      <c r="K391" s="42">
        <f t="shared" si="914"/>
        <v>6</v>
      </c>
      <c r="L391" s="42">
        <f t="shared" si="914"/>
        <v>1</v>
      </c>
      <c r="M391" s="42">
        <f t="shared" si="914"/>
        <v>17</v>
      </c>
      <c r="N391" s="42">
        <f t="shared" si="914"/>
        <v>22</v>
      </c>
      <c r="O391" s="42">
        <f t="shared" si="914"/>
        <v>15</v>
      </c>
      <c r="P391" s="42">
        <f t="shared" si="914"/>
        <v>-59</v>
      </c>
      <c r="Q391" s="42">
        <f t="shared" si="914"/>
        <v>0</v>
      </c>
      <c r="R391" s="42">
        <f t="shared" si="914"/>
        <v>-35</v>
      </c>
      <c r="S391" s="42">
        <f t="shared" si="914"/>
        <v>-1</v>
      </c>
      <c r="T391" s="42">
        <f t="shared" si="914"/>
        <v>29</v>
      </c>
      <c r="AK391" s="79"/>
      <c r="AL391" s="33"/>
      <c r="AM391" s="42">
        <f>+AM389-(AM380-AL380)</f>
        <v>-4</v>
      </c>
      <c r="AN391" s="42">
        <f>+AN389-(AN380-AM380)</f>
        <v>-16</v>
      </c>
      <c r="AO391" s="42">
        <f>+AO389-(AO380-AN380)</f>
        <v>12</v>
      </c>
      <c r="AP391" s="42">
        <f>+AP389-(AP380-AO380)</f>
        <v>-5</v>
      </c>
      <c r="AQ391" s="42">
        <f>+AQ389-(AQ380-AP380)</f>
        <v>-7</v>
      </c>
      <c r="AR391" s="42"/>
    </row>
    <row r="392" spans="3:50" ht="5.2" customHeight="1" outlineLevel="2">
      <c r="C392" s="111"/>
      <c r="E392" s="33"/>
      <c r="F392" s="33"/>
      <c r="G392" s="33"/>
      <c r="H392" s="33"/>
      <c r="I392" s="42"/>
      <c r="J392" s="42"/>
      <c r="K392" s="42"/>
      <c r="L392" s="42"/>
      <c r="M392" s="42"/>
      <c r="N392" s="42"/>
      <c r="O392" s="42"/>
      <c r="P392" s="42"/>
      <c r="Q392" s="42"/>
      <c r="R392" s="42"/>
      <c r="S392" s="42"/>
      <c r="AK392" s="79"/>
      <c r="AL392" s="33"/>
      <c r="AM392" s="33"/>
      <c r="AN392" s="33"/>
      <c r="AO392" s="33"/>
      <c r="AP392" s="33"/>
    </row>
    <row r="393" spans="3:50" ht="11.25" customHeight="1" outlineLevel="1">
      <c r="C393" s="36" t="s">
        <v>395</v>
      </c>
      <c r="E393" s="29"/>
      <c r="F393" s="29"/>
      <c r="G393" s="29"/>
      <c r="H393" s="29"/>
      <c r="I393" s="29"/>
      <c r="J393" s="29"/>
      <c r="K393" s="29"/>
      <c r="L393" s="29"/>
      <c r="M393" s="29"/>
      <c r="N393" s="29"/>
      <c r="O393" s="29"/>
      <c r="P393" s="29"/>
      <c r="AK393" s="79"/>
      <c r="AL393" s="29"/>
      <c r="AM393" s="29"/>
      <c r="AN393" s="29"/>
      <c r="AO393" s="29"/>
      <c r="AP393" s="29"/>
    </row>
    <row r="394" spans="3:50" ht="11.25" customHeight="1" outlineLevel="1">
      <c r="C394" s="44" t="s">
        <v>165</v>
      </c>
      <c r="E394" s="46"/>
      <c r="F394" s="46"/>
      <c r="G394" s="46"/>
      <c r="H394" s="46"/>
      <c r="I394" s="63">
        <f t="shared" ref="I394:T396" si="915">I385/E$380</f>
        <v>0.3611111111111111</v>
      </c>
      <c r="J394" s="63">
        <f t="shared" si="915"/>
        <v>0.14393939393939395</v>
      </c>
      <c r="K394" s="63">
        <f t="shared" si="915"/>
        <v>5.6737588652482268E-2</v>
      </c>
      <c r="L394" s="63">
        <f t="shared" si="915"/>
        <v>0.18888888888888888</v>
      </c>
      <c r="M394" s="63">
        <f t="shared" si="915"/>
        <v>0.21487603305785125</v>
      </c>
      <c r="N394" s="63">
        <f t="shared" si="915"/>
        <v>0.21897810218978103</v>
      </c>
      <c r="O394" s="63">
        <f t="shared" si="915"/>
        <v>0.27464788732394368</v>
      </c>
      <c r="P394" s="63">
        <f t="shared" si="915"/>
        <v>-1.0638297872340425E-2</v>
      </c>
      <c r="Q394" s="63">
        <f t="shared" si="915"/>
        <v>-0.15217391304347827</v>
      </c>
      <c r="R394" s="63">
        <f t="shared" si="915"/>
        <v>-0.25</v>
      </c>
      <c r="S394" s="63">
        <f t="shared" si="915"/>
        <v>0</v>
      </c>
      <c r="T394" s="63">
        <f t="shared" si="915"/>
        <v>0.56944444444444442</v>
      </c>
      <c r="U394" s="130"/>
      <c r="V394" s="130"/>
      <c r="W394" s="130"/>
      <c r="X394" s="130"/>
      <c r="Y394" s="130"/>
      <c r="Z394" s="130"/>
      <c r="AA394" s="130"/>
      <c r="AB394" s="130"/>
      <c r="AC394" s="130"/>
      <c r="AD394" s="130"/>
      <c r="AE394" s="130"/>
      <c r="AF394" s="130"/>
      <c r="AG394" s="130"/>
      <c r="AH394" s="130"/>
      <c r="AI394" s="130"/>
      <c r="AJ394" s="130"/>
      <c r="AK394" s="79"/>
      <c r="AL394" s="46"/>
      <c r="AM394" s="63">
        <f t="shared" ref="AM394:AQ396" si="916">AM385/AL$380</f>
        <v>0.15699658703071673</v>
      </c>
      <c r="AN394" s="63">
        <f t="shared" si="916"/>
        <v>0.18489583333333334</v>
      </c>
      <c r="AO394" s="63">
        <f t="shared" si="916"/>
        <v>0.17622080679405519</v>
      </c>
      <c r="AP394" s="63">
        <f t="shared" si="916"/>
        <v>0.19028340080971659</v>
      </c>
      <c r="AQ394" s="63">
        <f t="shared" si="916"/>
        <v>-3.1936127744510975E-2</v>
      </c>
      <c r="AR394" s="63"/>
      <c r="AS394" s="130"/>
      <c r="AT394" s="130"/>
      <c r="AU394" s="130"/>
      <c r="AV394" s="130"/>
      <c r="AW394" s="130"/>
      <c r="AX394" s="130"/>
    </row>
    <row r="395" spans="3:50" ht="11.25" customHeight="1" outlineLevel="1">
      <c r="C395" s="44" t="s">
        <v>166</v>
      </c>
      <c r="E395" s="46"/>
      <c r="F395" s="46"/>
      <c r="G395" s="46"/>
      <c r="H395" s="46"/>
      <c r="I395" s="63">
        <f t="shared" si="915"/>
        <v>-0.15740740740740741</v>
      </c>
      <c r="J395" s="63">
        <f t="shared" si="915"/>
        <v>-0.13636363636363635</v>
      </c>
      <c r="K395" s="63">
        <f t="shared" si="915"/>
        <v>-7.0921985815602835E-3</v>
      </c>
      <c r="L395" s="63">
        <f t="shared" si="915"/>
        <v>0.4</v>
      </c>
      <c r="M395" s="63">
        <f t="shared" si="915"/>
        <v>0</v>
      </c>
      <c r="N395" s="63">
        <f t="shared" si="915"/>
        <v>0</v>
      </c>
      <c r="O395" s="63">
        <f t="shared" si="915"/>
        <v>0</v>
      </c>
      <c r="P395" s="63">
        <f t="shared" si="915"/>
        <v>0</v>
      </c>
      <c r="Q395" s="63">
        <f t="shared" si="915"/>
        <v>0</v>
      </c>
      <c r="R395" s="63">
        <f t="shared" si="915"/>
        <v>-0.21527777777777779</v>
      </c>
      <c r="S395" s="63">
        <f t="shared" si="915"/>
        <v>0</v>
      </c>
      <c r="T395" s="63">
        <f t="shared" si="915"/>
        <v>0.43055555555555558</v>
      </c>
      <c r="U395" s="130"/>
      <c r="V395" s="130"/>
      <c r="W395" s="130"/>
      <c r="X395" s="130"/>
      <c r="Y395" s="130"/>
      <c r="Z395" s="130"/>
      <c r="AA395" s="130"/>
      <c r="AB395" s="130"/>
      <c r="AC395" s="130"/>
      <c r="AD395" s="130"/>
      <c r="AE395" s="130"/>
      <c r="AF395" s="130"/>
      <c r="AG395" s="130"/>
      <c r="AH395" s="130"/>
      <c r="AI395" s="130"/>
      <c r="AJ395" s="130"/>
      <c r="AK395" s="79"/>
      <c r="AL395" s="46"/>
      <c r="AM395" s="63">
        <f t="shared" si="916"/>
        <v>0</v>
      </c>
      <c r="AN395" s="63">
        <f t="shared" si="916"/>
        <v>0</v>
      </c>
      <c r="AO395" s="63">
        <f t="shared" si="916"/>
        <v>0</v>
      </c>
      <c r="AP395" s="63">
        <f t="shared" si="916"/>
        <v>0</v>
      </c>
      <c r="AQ395" s="63">
        <f t="shared" si="916"/>
        <v>0</v>
      </c>
      <c r="AR395" s="63"/>
      <c r="AS395" s="130"/>
      <c r="AT395" s="130"/>
      <c r="AU395" s="130"/>
      <c r="AV395" s="130"/>
      <c r="AW395" s="130"/>
      <c r="AX395" s="130"/>
    </row>
    <row r="396" spans="3:50" ht="11.25" customHeight="1" outlineLevel="1">
      <c r="C396" s="44" t="s">
        <v>167</v>
      </c>
      <c r="E396" s="46"/>
      <c r="F396" s="46"/>
      <c r="G396" s="46"/>
      <c r="H396" s="46"/>
      <c r="I396" s="63">
        <f t="shared" si="915"/>
        <v>0</v>
      </c>
      <c r="J396" s="63">
        <f t="shared" si="915"/>
        <v>0</v>
      </c>
      <c r="K396" s="63">
        <f t="shared" si="915"/>
        <v>0</v>
      </c>
      <c r="L396" s="63">
        <f t="shared" si="915"/>
        <v>0</v>
      </c>
      <c r="M396" s="63">
        <f t="shared" si="915"/>
        <v>6.6115702479338845E-2</v>
      </c>
      <c r="N396" s="63">
        <f t="shared" si="915"/>
        <v>0</v>
      </c>
      <c r="O396" s="63">
        <f t="shared" si="915"/>
        <v>0</v>
      </c>
      <c r="P396" s="63">
        <f t="shared" si="915"/>
        <v>-8.5106382978723402E-2</v>
      </c>
      <c r="Q396" s="63">
        <f t="shared" si="915"/>
        <v>-4.3478260869565216E-2</v>
      </c>
      <c r="R396" s="63">
        <f t="shared" si="915"/>
        <v>-5.5555555555555552E-2</v>
      </c>
      <c r="S396" s="63">
        <f t="shared" si="915"/>
        <v>-0.11564625850340136</v>
      </c>
      <c r="T396" s="63">
        <f t="shared" si="915"/>
        <v>0.1111111111111111</v>
      </c>
      <c r="U396" s="130"/>
      <c r="V396" s="130"/>
      <c r="W396" s="130"/>
      <c r="X396" s="130"/>
      <c r="Y396" s="130"/>
      <c r="Z396" s="130"/>
      <c r="AA396" s="130"/>
      <c r="AB396" s="130"/>
      <c r="AC396" s="130"/>
      <c r="AD396" s="130"/>
      <c r="AE396" s="130"/>
      <c r="AF396" s="130"/>
      <c r="AG396" s="130"/>
      <c r="AH396" s="130"/>
      <c r="AI396" s="130"/>
      <c r="AJ396" s="130"/>
      <c r="AK396" s="79"/>
      <c r="AL396" s="46"/>
      <c r="AM396" s="63">
        <f t="shared" si="916"/>
        <v>-0.11945392491467577</v>
      </c>
      <c r="AN396" s="63">
        <f t="shared" si="916"/>
        <v>0</v>
      </c>
      <c r="AO396" s="63">
        <f t="shared" si="916"/>
        <v>0</v>
      </c>
      <c r="AP396" s="63">
        <f t="shared" si="916"/>
        <v>0</v>
      </c>
      <c r="AQ396" s="63">
        <f t="shared" si="916"/>
        <v>-4.590818363273453E-2</v>
      </c>
      <c r="AR396" s="63"/>
      <c r="AS396" s="130"/>
      <c r="AT396" s="130"/>
      <c r="AU396" s="130"/>
      <c r="AV396" s="130"/>
      <c r="AW396" s="130"/>
      <c r="AX396" s="130"/>
    </row>
    <row r="397" spans="3:50" ht="11.25" customHeight="1" outlineLevel="1">
      <c r="C397" s="44" t="s">
        <v>854</v>
      </c>
      <c r="E397" s="46"/>
      <c r="F397" s="46"/>
      <c r="G397" s="46"/>
      <c r="H397" s="46"/>
      <c r="I397" s="63">
        <f t="shared" ref="I397:T397" si="917">I388/E$380</f>
        <v>0</v>
      </c>
      <c r="J397" s="63">
        <f t="shared" si="917"/>
        <v>0</v>
      </c>
      <c r="K397" s="63">
        <f t="shared" si="917"/>
        <v>0</v>
      </c>
      <c r="L397" s="63">
        <f t="shared" si="917"/>
        <v>-0.53333333333333333</v>
      </c>
      <c r="M397" s="63">
        <f t="shared" si="917"/>
        <v>0</v>
      </c>
      <c r="N397" s="63">
        <f t="shared" si="917"/>
        <v>-7.2992700729927005E-3</v>
      </c>
      <c r="O397" s="63">
        <f t="shared" si="917"/>
        <v>-0.13380281690140844</v>
      </c>
      <c r="P397" s="63">
        <f t="shared" si="917"/>
        <v>-0.76595744680851063</v>
      </c>
      <c r="Q397" s="63">
        <f t="shared" si="917"/>
        <v>-6.5217391304347824E-2</v>
      </c>
      <c r="R397" s="63">
        <f t="shared" si="917"/>
        <v>0.28472222222222221</v>
      </c>
      <c r="S397" s="63">
        <f t="shared" si="917"/>
        <v>0.19047619047619047</v>
      </c>
      <c r="T397" s="63">
        <f t="shared" si="917"/>
        <v>-0.15277777777777779</v>
      </c>
      <c r="U397" s="130"/>
      <c r="V397" s="130"/>
      <c r="W397" s="130"/>
      <c r="X397" s="130"/>
      <c r="Y397" s="130"/>
      <c r="Z397" s="130"/>
      <c r="AA397" s="130"/>
      <c r="AB397" s="130"/>
      <c r="AC397" s="130"/>
      <c r="AD397" s="130"/>
      <c r="AE397" s="130"/>
      <c r="AF397" s="130"/>
      <c r="AG397" s="130"/>
      <c r="AH397" s="130"/>
      <c r="AI397" s="130"/>
      <c r="AJ397" s="130"/>
      <c r="AK397" s="79"/>
      <c r="AL397" s="46"/>
      <c r="AM397" s="63">
        <f>AM388/AL$380</f>
        <v>0.25938566552901021</v>
      </c>
      <c r="AN397" s="63">
        <f t="shared" ref="AN397:AQ398" si="918">AN388/AM$380</f>
        <v>0</v>
      </c>
      <c r="AO397" s="63">
        <f t="shared" si="918"/>
        <v>-0.10191082802547771</v>
      </c>
      <c r="AP397" s="63">
        <f t="shared" si="918"/>
        <v>-0.18623481781376519</v>
      </c>
      <c r="AQ397" s="63">
        <f t="shared" si="918"/>
        <v>9.7804391217564873E-2</v>
      </c>
      <c r="AR397" s="63"/>
      <c r="AS397" s="130"/>
      <c r="AT397" s="130"/>
      <c r="AU397" s="130"/>
      <c r="AV397" s="130"/>
      <c r="AW397" s="130"/>
      <c r="AX397" s="130"/>
    </row>
    <row r="398" spans="3:50" ht="11.25" customHeight="1" outlineLevel="1">
      <c r="C398" s="111" t="s">
        <v>351</v>
      </c>
      <c r="E398" s="91"/>
      <c r="F398" s="91"/>
      <c r="G398" s="91"/>
      <c r="H398" s="91"/>
      <c r="I398" s="67">
        <f>I389/E$380</f>
        <v>0.20370370370370369</v>
      </c>
      <c r="J398" s="67">
        <f t="shared" ref="J398:T398" si="919">J389/F$380</f>
        <v>7.575757575757576E-3</v>
      </c>
      <c r="K398" s="67">
        <f t="shared" si="919"/>
        <v>4.9645390070921988E-2</v>
      </c>
      <c r="L398" s="67">
        <f t="shared" si="919"/>
        <v>5.5555555555555552E-2</v>
      </c>
      <c r="M398" s="67">
        <f t="shared" si="919"/>
        <v>0.28099173553719009</v>
      </c>
      <c r="N398" s="67">
        <f t="shared" si="919"/>
        <v>0.21167883211678831</v>
      </c>
      <c r="O398" s="67">
        <f t="shared" si="919"/>
        <v>0.14084507042253522</v>
      </c>
      <c r="P398" s="67">
        <f t="shared" si="919"/>
        <v>-0.86170212765957444</v>
      </c>
      <c r="Q398" s="67">
        <f t="shared" si="919"/>
        <v>-0.2608695652173913</v>
      </c>
      <c r="R398" s="67">
        <f t="shared" si="919"/>
        <v>-0.2361111111111111</v>
      </c>
      <c r="S398" s="67">
        <f t="shared" si="919"/>
        <v>7.4829931972789115E-2</v>
      </c>
      <c r="T398" s="67">
        <f t="shared" si="919"/>
        <v>0.95833333333333337</v>
      </c>
      <c r="U398" s="126"/>
      <c r="V398" s="126"/>
      <c r="W398" s="126"/>
      <c r="X398" s="126"/>
      <c r="Y398" s="126"/>
      <c r="Z398" s="126"/>
      <c r="AA398" s="126"/>
      <c r="AB398" s="126"/>
      <c r="AC398" s="126"/>
      <c r="AD398" s="126"/>
      <c r="AE398" s="126"/>
      <c r="AF398" s="126"/>
      <c r="AG398" s="126"/>
      <c r="AH398" s="126"/>
      <c r="AI398" s="126"/>
      <c r="AJ398" s="126"/>
      <c r="AK398" s="79"/>
      <c r="AL398" s="91"/>
      <c r="AM398" s="67">
        <f>AM389/AL$380</f>
        <v>0.29692832764505117</v>
      </c>
      <c r="AN398" s="67">
        <f t="shared" si="918"/>
        <v>0.18489583333333334</v>
      </c>
      <c r="AO398" s="67">
        <f t="shared" si="918"/>
        <v>7.4309978768577492E-2</v>
      </c>
      <c r="AP398" s="67">
        <f t="shared" si="918"/>
        <v>4.048582995951417E-3</v>
      </c>
      <c r="AQ398" s="67">
        <f t="shared" si="918"/>
        <v>1.9960079840319361E-2</v>
      </c>
      <c r="AR398" s="437"/>
      <c r="AS398" s="126"/>
      <c r="AT398" s="126"/>
      <c r="AU398" s="126"/>
      <c r="AV398" s="126"/>
      <c r="AW398" s="126"/>
      <c r="AX398" s="126"/>
    </row>
    <row r="399" spans="3:50" ht="11.25" customHeight="1" outlineLevel="1">
      <c r="C399" s="111"/>
      <c r="E399" s="29"/>
      <c r="F399" s="29"/>
      <c r="G399" s="29"/>
      <c r="H399" s="29"/>
      <c r="I399" s="437"/>
      <c r="J399" s="437"/>
      <c r="K399" s="437"/>
      <c r="L399" s="437"/>
      <c r="M399" s="437"/>
      <c r="N399" s="437"/>
      <c r="O399" s="437"/>
      <c r="P399" s="437"/>
      <c r="Q399" s="437"/>
      <c r="R399" s="437"/>
      <c r="S399" s="437"/>
      <c r="T399" s="126"/>
      <c r="U399" s="126"/>
      <c r="V399" s="126"/>
      <c r="W399" s="126"/>
      <c r="X399" s="126"/>
      <c r="Y399" s="126"/>
      <c r="Z399" s="126"/>
      <c r="AA399" s="126"/>
      <c r="AB399" s="126"/>
      <c r="AC399" s="126"/>
      <c r="AD399" s="126"/>
      <c r="AE399" s="126"/>
      <c r="AF399" s="126"/>
      <c r="AG399" s="126"/>
      <c r="AH399" s="126"/>
      <c r="AI399" s="126"/>
      <c r="AJ399" s="126"/>
      <c r="AK399" s="79"/>
      <c r="AL399" s="29"/>
      <c r="AM399" s="437"/>
      <c r="AN399" s="437"/>
      <c r="AO399" s="437"/>
      <c r="AP399" s="437"/>
      <c r="AQ399" s="437"/>
      <c r="AR399" s="437"/>
      <c r="AS399" s="126"/>
      <c r="AT399" s="126"/>
      <c r="AU399" s="126"/>
      <c r="AV399" s="126"/>
      <c r="AW399" s="126"/>
      <c r="AX399" s="126"/>
    </row>
    <row r="400" spans="3:50" ht="11.25" customHeight="1" outlineLevel="1">
      <c r="C400" s="112" t="s">
        <v>117</v>
      </c>
      <c r="E400" s="29">
        <v>4338</v>
      </c>
      <c r="F400" s="29">
        <v>4315</v>
      </c>
      <c r="G400" s="29">
        <v>4295</v>
      </c>
      <c r="H400" s="29">
        <v>4247</v>
      </c>
      <c r="I400" s="29">
        <v>4318</v>
      </c>
      <c r="J400" s="29">
        <v>4382</v>
      </c>
      <c r="K400" s="29">
        <v>4437</v>
      </c>
      <c r="L400" s="29">
        <v>4379</v>
      </c>
      <c r="M400" s="29">
        <v>4555</v>
      </c>
      <c r="N400" s="29">
        <v>4512</v>
      </c>
      <c r="O400" s="29">
        <v>4561</v>
      </c>
      <c r="P400" s="29">
        <v>4456</v>
      </c>
      <c r="Q400" s="29">
        <v>4610</v>
      </c>
      <c r="R400" s="29">
        <v>4593</v>
      </c>
      <c r="S400" s="29">
        <v>4478</v>
      </c>
      <c r="T400" s="29">
        <v>4415</v>
      </c>
      <c r="U400" s="29">
        <v>4429</v>
      </c>
      <c r="V400" s="29">
        <v>4304</v>
      </c>
      <c r="W400" s="29">
        <v>4358</v>
      </c>
      <c r="X400" s="29">
        <v>4345</v>
      </c>
      <c r="Y400" s="29">
        <v>4392</v>
      </c>
      <c r="Z400" s="29">
        <v>4322</v>
      </c>
      <c r="AA400" s="29">
        <v>4622</v>
      </c>
      <c r="AB400" s="29">
        <v>4661</v>
      </c>
      <c r="AC400" s="29">
        <v>4704</v>
      </c>
      <c r="AD400" s="837">
        <v>0</v>
      </c>
      <c r="AE400" s="837">
        <v>0</v>
      </c>
      <c r="AF400" s="29">
        <v>4967</v>
      </c>
      <c r="AG400" s="29"/>
      <c r="AK400" s="79"/>
      <c r="AL400" s="29">
        <v>4235</v>
      </c>
      <c r="AM400" s="29">
        <v>4227</v>
      </c>
      <c r="AN400" s="33">
        <f>SUMIF($E$7:$AK$7,AN$7,$E400:$AK400)</f>
        <v>4247</v>
      </c>
      <c r="AO400" s="33">
        <f t="shared" ref="AO400:AT400" si="920">SUMIF($E$7:$AK$7,AO$7,$E400:$AK400)</f>
        <v>4379</v>
      </c>
      <c r="AP400" s="33">
        <f t="shared" si="920"/>
        <v>4456</v>
      </c>
      <c r="AQ400" s="33">
        <f t="shared" si="920"/>
        <v>4415</v>
      </c>
      <c r="AR400" s="33">
        <f t="shared" si="920"/>
        <v>4345</v>
      </c>
      <c r="AS400" s="33">
        <f t="shared" si="920"/>
        <v>4661</v>
      </c>
      <c r="AT400" s="33">
        <f t="shared" si="920"/>
        <v>4967</v>
      </c>
    </row>
    <row r="401" spans="3:61" ht="11.25" customHeight="1" outlineLevel="1">
      <c r="C401" s="112" t="s">
        <v>119</v>
      </c>
      <c r="E401" s="33">
        <f>$AN$401*(E899/SUM($E$899:$H$899))</f>
        <v>40.551724137931032</v>
      </c>
      <c r="F401" s="33">
        <f>$AN$401*(F899/SUM($E$899:$H$899))</f>
        <v>39.724137931034484</v>
      </c>
      <c r="G401" s="33">
        <f>$AN$401*(G899/SUM($E$899:$H$899))</f>
        <v>40</v>
      </c>
      <c r="H401" s="33">
        <f>$AN$401*(H899/SUM($E$899:$H$899))</f>
        <v>39.724137931034484</v>
      </c>
      <c r="I401" s="33">
        <f>$AO$401*(I899/SUM($I$899:$L$899))</f>
        <v>40.511073253833047</v>
      </c>
      <c r="J401" s="33">
        <f>$AO$401*(J899/SUM($I$899:$L$899))</f>
        <v>41.069846678023843</v>
      </c>
      <c r="K401" s="33">
        <f>$AO$401*(K899/SUM($I$899:$L$899))</f>
        <v>41.349233390119245</v>
      </c>
      <c r="L401" s="33">
        <f>$AO$401*(L899/SUM($I$899:$L$899))</f>
        <v>41.069846678023843</v>
      </c>
      <c r="M401" s="33">
        <f>$AP$401*(M899/SUM($M$899:$P$899))</f>
        <v>42.52980132450331</v>
      </c>
      <c r="N401" s="33">
        <f>$AP$401*(N899/SUM($M$899:$P$899))</f>
        <v>41.410596026490069</v>
      </c>
      <c r="O401" s="33">
        <f>$AP$401*(O899/SUM($M$899:$P$899))</f>
        <v>42.25</v>
      </c>
      <c r="P401" s="33">
        <f>$AP$401*(P899/SUM($M$899:$P$899))</f>
        <v>42.809602649006628</v>
      </c>
      <c r="Q401" s="33">
        <f>$AQ$401*(Q899/SUM($Q$899:$T$899))</f>
        <v>43.633387888707041</v>
      </c>
      <c r="R401" s="33">
        <f>$AQ$401*(R899/SUM($Q$899:$T$899))</f>
        <v>43.914893617021271</v>
      </c>
      <c r="S401" s="33">
        <f>$AQ$401*(S899/SUM($Q$899:$T$899))</f>
        <v>42.507364975450081</v>
      </c>
      <c r="T401" s="33">
        <f>$AQ$401*(T899/SUM($Q$899:$T$899))</f>
        <v>41.944353518821607</v>
      </c>
      <c r="U401" s="33">
        <f>$AR401*(U$899/SUM($U$899:$X$899))</f>
        <v>45.28397212543554</v>
      </c>
      <c r="V401" s="33">
        <f>$AR401*(V$899/SUM($U$899:$X$899))</f>
        <v>45.935540069686411</v>
      </c>
      <c r="W401" s="33">
        <f>$AR401*(W$899/SUM($U$899:$X$899))</f>
        <v>48.541811846689889</v>
      </c>
      <c r="X401" s="33">
        <f>$AR401*(X$899/SUM($U$899:$X$899))</f>
        <v>47.238675958188146</v>
      </c>
      <c r="Y401" s="33">
        <f>$AS401*(Y$899/SUM($Y$899:$AB$899))</f>
        <v>49.020446096654275</v>
      </c>
      <c r="Z401" s="33">
        <f>$AS401*(Z$899/SUM($Y$899:$AB$899))</f>
        <v>46.059479553903344</v>
      </c>
      <c r="AA401" s="33">
        <f>$AS401*(AA$899/SUM($Y$899:$AB$899))</f>
        <v>41.782527881040892</v>
      </c>
      <c r="AB401" s="33">
        <f>$AS401*(AB$899/SUM($Y$899:$AB$899))</f>
        <v>40.137546468401489</v>
      </c>
      <c r="AC401" s="33">
        <f>$AT401*(AC$899/SUM($AC$899:$AF$899))</f>
        <v>41.34800838574423</v>
      </c>
      <c r="AD401" s="33">
        <f>$AT401*(AD$899/SUM($AC$899:$AF$899))</f>
        <v>41.689727463312373</v>
      </c>
      <c r="AE401" s="33">
        <f>$AT401*(AE$899/SUM($AC$899:$AF$899))</f>
        <v>39.981132075471699</v>
      </c>
      <c r="AF401" s="33">
        <f>$AT401*(AF$899/SUM($AC$899:$AF$899))</f>
        <v>39.981132075471699</v>
      </c>
      <c r="AG401" s="33">
        <f>$AT401*(AG$899/SUM($AC$899:$AF$899))</f>
        <v>48.182389937106919</v>
      </c>
      <c r="AH401" s="33">
        <f t="shared" ref="AH401:AJ401" si="921">+AH$899*AH903</f>
        <v>43.102217958322882</v>
      </c>
      <c r="AI401" s="33">
        <f t="shared" si="921"/>
        <v>43.65306230720477</v>
      </c>
      <c r="AJ401" s="33">
        <f t="shared" si="921"/>
        <v>44.203906656086659</v>
      </c>
      <c r="AK401" s="79"/>
      <c r="AL401" s="29">
        <v>143</v>
      </c>
      <c r="AM401" s="29">
        <v>161</v>
      </c>
      <c r="AN401" s="29">
        <v>160</v>
      </c>
      <c r="AO401" s="29">
        <v>164</v>
      </c>
      <c r="AP401" s="29">
        <v>169</v>
      </c>
      <c r="AQ401" s="29">
        <v>172</v>
      </c>
      <c r="AR401" s="29">
        <v>187</v>
      </c>
      <c r="AS401" s="29">
        <v>177</v>
      </c>
      <c r="AT401" s="29">
        <v>163</v>
      </c>
      <c r="AU401" s="33">
        <f t="shared" ref="AU401" si="922">SUMIF($E$6:$AK$6,AU$6,$E401:$AK401)</f>
        <v>179.14157685872124</v>
      </c>
      <c r="AV401" s="33">
        <f>+AV$899*AV903</f>
        <v>180.22497272585622</v>
      </c>
      <c r="AW401" s="33">
        <f>+AW$899*AW903</f>
        <v>183.7559720070995</v>
      </c>
      <c r="AX401" s="33">
        <f>+AX$899*AX903</f>
        <v>190.40255888943975</v>
      </c>
    </row>
    <row r="402" spans="3:61" ht="11.25" customHeight="1" outlineLevel="1">
      <c r="C402" s="112" t="s">
        <v>120</v>
      </c>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79"/>
      <c r="AL402" s="29">
        <v>176</v>
      </c>
      <c r="AM402" s="29">
        <v>225</v>
      </c>
      <c r="AN402" s="29">
        <v>244</v>
      </c>
      <c r="AO402" s="29">
        <v>248</v>
      </c>
      <c r="AP402" s="29">
        <v>187</v>
      </c>
      <c r="AQ402" s="29">
        <v>130</v>
      </c>
      <c r="AR402" s="29">
        <v>140</v>
      </c>
      <c r="AS402" s="29">
        <v>280</v>
      </c>
      <c r="AT402" s="29">
        <v>341</v>
      </c>
    </row>
    <row r="403" spans="3:61" ht="11.25" customHeight="1" outlineLevel="1">
      <c r="C403" s="112"/>
      <c r="E403" s="29"/>
      <c r="F403" s="29"/>
      <c r="G403" s="29"/>
      <c r="H403" s="29"/>
      <c r="I403" s="29"/>
      <c r="J403" s="29"/>
      <c r="K403" s="29"/>
      <c r="L403" s="29"/>
      <c r="M403" s="29"/>
      <c r="N403" s="29"/>
      <c r="O403" s="29"/>
      <c r="P403" s="29"/>
      <c r="Q403" s="29"/>
      <c r="R403" s="29"/>
      <c r="AK403" s="79"/>
      <c r="AL403" s="29"/>
      <c r="AM403" s="29"/>
      <c r="AN403" s="29"/>
      <c r="AO403" s="29"/>
      <c r="AP403" s="29"/>
    </row>
    <row r="404" spans="3:61" ht="11.25" customHeight="1">
      <c r="C404" s="45" t="s">
        <v>617</v>
      </c>
      <c r="E404" s="31">
        <f t="shared" ref="E404:X404" si="923">E380+E401</f>
        <v>148.55172413793105</v>
      </c>
      <c r="F404" s="31">
        <f t="shared" si="923"/>
        <v>171.72413793103448</v>
      </c>
      <c r="G404" s="31">
        <f t="shared" si="923"/>
        <v>181</v>
      </c>
      <c r="H404" s="31">
        <f t="shared" si="923"/>
        <v>129.72413793103448</v>
      </c>
      <c r="I404" s="31">
        <f t="shared" si="923"/>
        <v>161.51107325383305</v>
      </c>
      <c r="J404" s="31">
        <f t="shared" si="923"/>
        <v>178.06984667802385</v>
      </c>
      <c r="K404" s="31">
        <f t="shared" si="923"/>
        <v>183.34923339011925</v>
      </c>
      <c r="L404" s="31">
        <f t="shared" si="923"/>
        <v>135.06984667802385</v>
      </c>
      <c r="M404" s="31">
        <f t="shared" si="923"/>
        <v>180.5298013245033</v>
      </c>
      <c r="N404" s="31">
        <f t="shared" si="923"/>
        <v>185.41059602649005</v>
      </c>
      <c r="O404" s="31">
        <f t="shared" si="923"/>
        <v>189.25</v>
      </c>
      <c r="P404" s="31">
        <f t="shared" si="923"/>
        <v>114.80960264900662</v>
      </c>
      <c r="Q404" s="31">
        <f t="shared" si="923"/>
        <v>145.63338788870703</v>
      </c>
      <c r="R404" s="31">
        <f t="shared" si="923"/>
        <v>188.91489361702128</v>
      </c>
      <c r="S404" s="31">
        <f t="shared" si="923"/>
        <v>201.50736497545009</v>
      </c>
      <c r="T404" s="31">
        <f>T380+T401</f>
        <v>153.9443535188216</v>
      </c>
      <c r="U404" s="31">
        <f t="shared" si="923"/>
        <v>152.28397212543553</v>
      </c>
      <c r="V404" s="31">
        <f t="shared" si="923"/>
        <v>109.93554006968641</v>
      </c>
      <c r="W404" s="31">
        <f t="shared" si="923"/>
        <v>187.54181184668988</v>
      </c>
      <c r="X404" s="31">
        <f t="shared" si="923"/>
        <v>185.23867595818814</v>
      </c>
      <c r="Y404" s="31">
        <f t="shared" ref="Y404:AC404" si="924">Y380+Y401</f>
        <v>200.02044609665427</v>
      </c>
      <c r="Z404" s="31">
        <f t="shared" si="924"/>
        <v>199.05947955390334</v>
      </c>
      <c r="AA404" s="31">
        <f t="shared" si="924"/>
        <v>169.78252788104089</v>
      </c>
      <c r="AB404" s="31">
        <f t="shared" si="924"/>
        <v>140.1375464684015</v>
      </c>
      <c r="AC404" s="31">
        <f t="shared" si="924"/>
        <v>103.34800838574424</v>
      </c>
      <c r="AD404" s="31">
        <f t="shared" ref="AD404:AF404" si="925">AD380+AD401</f>
        <v>199.68972746331238</v>
      </c>
      <c r="AE404" s="31">
        <f t="shared" si="925"/>
        <v>171.98113207547169</v>
      </c>
      <c r="AF404" s="31">
        <f t="shared" si="925"/>
        <v>82.981132075471692</v>
      </c>
      <c r="AG404" s="31">
        <f t="shared" ref="AG404" si="926">AG380+AG401</f>
        <v>134.1823899371069</v>
      </c>
      <c r="AH404" s="31">
        <f t="shared" ref="AH404:AJ404" si="927">AH380+AH401</f>
        <v>168.73321795832288</v>
      </c>
      <c r="AI404" s="31">
        <f t="shared" si="927"/>
        <v>203.67066230720479</v>
      </c>
      <c r="AJ404" s="31">
        <f t="shared" si="927"/>
        <v>150.40870665608668</v>
      </c>
      <c r="AK404" s="79"/>
      <c r="AL404" s="31">
        <f t="shared" ref="AL404:AT404" si="928">AL380+AL401</f>
        <v>436</v>
      </c>
      <c r="AM404" s="31">
        <f t="shared" si="928"/>
        <v>545</v>
      </c>
      <c r="AN404" s="31">
        <f t="shared" si="928"/>
        <v>631</v>
      </c>
      <c r="AO404" s="31">
        <f t="shared" si="928"/>
        <v>658</v>
      </c>
      <c r="AP404" s="31">
        <f t="shared" si="928"/>
        <v>670</v>
      </c>
      <c r="AQ404" s="31">
        <f t="shared" si="928"/>
        <v>690</v>
      </c>
      <c r="AR404" s="31">
        <f t="shared" si="928"/>
        <v>635</v>
      </c>
      <c r="AS404" s="31">
        <f t="shared" si="928"/>
        <v>709</v>
      </c>
      <c r="AT404" s="31">
        <f t="shared" si="928"/>
        <v>558</v>
      </c>
      <c r="AU404" s="31">
        <f t="shared" ref="AU404" si="929">AU380+AU401</f>
        <v>656.9949768587212</v>
      </c>
      <c r="AV404" s="31">
        <f t="shared" ref="AV404:AW404" si="930">AV380+AV401</f>
        <v>715.93866272585615</v>
      </c>
      <c r="AW404" s="31">
        <f t="shared" si="930"/>
        <v>746.25534650709938</v>
      </c>
      <c r="AX404" s="31">
        <f t="shared" ref="AX404" si="931">AX380+AX401</f>
        <v>811.40186833743974</v>
      </c>
    </row>
    <row r="405" spans="3:61" ht="11.25" customHeight="1">
      <c r="C405" s="93" t="s">
        <v>358</v>
      </c>
      <c r="E405" s="124"/>
      <c r="F405" s="124"/>
      <c r="G405" s="124"/>
      <c r="H405" s="124"/>
      <c r="I405" s="94">
        <f t="shared" ref="I405:AC405" si="932">IFERROR(I404/E404-1,"NA  ")</f>
        <v>8.7237958301104479E-2</v>
      </c>
      <c r="J405" s="94">
        <f t="shared" si="932"/>
        <v>3.6952922422227363E-2</v>
      </c>
      <c r="K405" s="94">
        <f t="shared" si="932"/>
        <v>1.2979190000658836E-2</v>
      </c>
      <c r="L405" s="94">
        <f t="shared" si="932"/>
        <v>4.1208281143724657E-2</v>
      </c>
      <c r="M405" s="94">
        <f t="shared" si="932"/>
        <v>0.11775494823676991</v>
      </c>
      <c r="N405" s="94">
        <f t="shared" si="932"/>
        <v>4.1223988706742487E-2</v>
      </c>
      <c r="O405" s="94">
        <f t="shared" si="932"/>
        <v>3.218320851838774E-2</v>
      </c>
      <c r="P405" s="94">
        <f t="shared" si="932"/>
        <v>-0.14999827516879538</v>
      </c>
      <c r="Q405" s="94">
        <f t="shared" si="932"/>
        <v>-0.19330001573019939</v>
      </c>
      <c r="R405" s="94">
        <f t="shared" si="932"/>
        <v>1.8900201313362563E-2</v>
      </c>
      <c r="S405" s="94">
        <f t="shared" si="932"/>
        <v>6.4768110834610759E-2</v>
      </c>
      <c r="T405" s="94">
        <f t="shared" si="932"/>
        <v>0.34086653003631473</v>
      </c>
      <c r="U405" s="94">
        <f t="shared" si="932"/>
        <v>4.5666617615260474E-2</v>
      </c>
      <c r="V405" s="94">
        <f t="shared" si="932"/>
        <v>-0.41806843301326035</v>
      </c>
      <c r="W405" s="94">
        <f t="shared" si="932"/>
        <v>-6.9305422809045503E-2</v>
      </c>
      <c r="X405" s="94">
        <f t="shared" si="932"/>
        <v>0.20328334053213859</v>
      </c>
      <c r="Y405" s="94">
        <f t="shared" si="932"/>
        <v>0.31347011313770068</v>
      </c>
      <c r="Z405" s="94">
        <f t="shared" si="932"/>
        <v>0.81069269708160507</v>
      </c>
      <c r="AA405" s="94">
        <f t="shared" si="932"/>
        <v>-9.4695064480696756E-2</v>
      </c>
      <c r="AB405" s="94">
        <f t="shared" si="932"/>
        <v>-0.24347577122591191</v>
      </c>
      <c r="AC405" s="94">
        <f t="shared" si="932"/>
        <v>-0.4833127792555556</v>
      </c>
      <c r="AD405" s="94">
        <f t="shared" ref="AD405" si="933">IFERROR(AD404/Z404-1,"NA  ")</f>
        <v>3.1661285904165393E-3</v>
      </c>
      <c r="AE405" s="94">
        <f t="shared" ref="AE405" si="934">IFERROR(AE404/AA404-1,"NA  ")</f>
        <v>1.2949531508750223E-2</v>
      </c>
      <c r="AF405" s="94">
        <f t="shared" ref="AF405:AG405" si="935">IFERROR(AF404/AB404-1,"NA  ")</f>
        <v>-0.40785939124328507</v>
      </c>
      <c r="AG405" s="94">
        <f t="shared" si="935"/>
        <v>0.29835486946467316</v>
      </c>
      <c r="AH405" s="94">
        <f t="shared" ref="AH405" si="936">IFERROR(AH404/AD404-1,"NA  ")</f>
        <v>-0.15502304449124416</v>
      </c>
      <c r="AI405" s="94">
        <f t="shared" ref="AI405" si="937">IFERROR(AI404/AE404-1,"NA  ")</f>
        <v>0.1842616678312512</v>
      </c>
      <c r="AJ405" s="94">
        <f t="shared" ref="AJ405" si="938">IFERROR(AJ404/AF404-1,"NA  ")</f>
        <v>0.81256513250854812</v>
      </c>
      <c r="AK405" s="79"/>
      <c r="AL405" s="124"/>
      <c r="AM405" s="94">
        <f t="shared" ref="AM405:AX405" si="939">IFERROR(AM404/AL404-1,"NA  ")</f>
        <v>0.25</v>
      </c>
      <c r="AN405" s="94">
        <f t="shared" si="939"/>
        <v>0.15779816513761458</v>
      </c>
      <c r="AO405" s="94">
        <f t="shared" si="939"/>
        <v>4.2789223454833492E-2</v>
      </c>
      <c r="AP405" s="94">
        <f t="shared" si="939"/>
        <v>1.8237082066869359E-2</v>
      </c>
      <c r="AQ405" s="94">
        <f t="shared" si="939"/>
        <v>2.9850746268656803E-2</v>
      </c>
      <c r="AR405" s="94">
        <f t="shared" si="939"/>
        <v>-7.9710144927536253E-2</v>
      </c>
      <c r="AS405" s="94">
        <f t="shared" si="939"/>
        <v>0.11653543307086611</v>
      </c>
      <c r="AT405" s="94">
        <f t="shared" si="939"/>
        <v>-0.21297602256699577</v>
      </c>
      <c r="AU405" s="94">
        <f t="shared" si="939"/>
        <v>0.17741035279340722</v>
      </c>
      <c r="AV405" s="94">
        <f t="shared" si="939"/>
        <v>8.9717102783588132E-2</v>
      </c>
      <c r="AW405" s="94">
        <f t="shared" si="939"/>
        <v>4.2345364707384148E-2</v>
      </c>
      <c r="AX405" s="94">
        <f t="shared" si="939"/>
        <v>8.7297896270041031E-2</v>
      </c>
    </row>
    <row r="406" spans="3:61" ht="11.25" customHeight="1">
      <c r="C406" s="93" t="s">
        <v>360</v>
      </c>
      <c r="E406" s="94">
        <f t="shared" ref="E406:X406" si="940">E404/E352</f>
        <v>0.25221005795913592</v>
      </c>
      <c r="F406" s="94">
        <f t="shared" si="940"/>
        <v>0.26582683890253017</v>
      </c>
      <c r="G406" s="94">
        <f t="shared" si="940"/>
        <v>0.28369905956112851</v>
      </c>
      <c r="H406" s="94">
        <f t="shared" si="940"/>
        <v>0.22213037316957959</v>
      </c>
      <c r="I406" s="94">
        <f t="shared" si="940"/>
        <v>0.25474932689879032</v>
      </c>
      <c r="J406" s="94">
        <f t="shared" si="940"/>
        <v>0.27103477424356748</v>
      </c>
      <c r="K406" s="94">
        <f t="shared" si="940"/>
        <v>0.28382234270916296</v>
      </c>
      <c r="L406" s="94">
        <f t="shared" si="940"/>
        <v>0.21270841996539189</v>
      </c>
      <c r="M406" s="94">
        <f t="shared" si="940"/>
        <v>0.26050476381602206</v>
      </c>
      <c r="N406" s="94">
        <f t="shared" si="940"/>
        <v>0.25433552267008236</v>
      </c>
      <c r="O406" s="94">
        <f t="shared" si="940"/>
        <v>0.26692524682651619</v>
      </c>
      <c r="P406" s="94">
        <f t="shared" si="940"/>
        <v>0.18398974783494651</v>
      </c>
      <c r="Q406" s="94">
        <f t="shared" si="940"/>
        <v>0.22166421292040644</v>
      </c>
      <c r="R406" s="94">
        <f t="shared" si="940"/>
        <v>0.27142944485204207</v>
      </c>
      <c r="S406" s="94">
        <f t="shared" si="940"/>
        <v>0.28910669293464863</v>
      </c>
      <c r="T406" s="94">
        <f>T404/T352</f>
        <v>0.24129209015489278</v>
      </c>
      <c r="U406" s="94">
        <f t="shared" si="940"/>
        <v>0.24761621483810656</v>
      </c>
      <c r="V406" s="94">
        <f t="shared" si="940"/>
        <v>0.19388984139274498</v>
      </c>
      <c r="W406" s="94">
        <f t="shared" si="940"/>
        <v>0.2807512153393561</v>
      </c>
      <c r="X406" s="94">
        <f t="shared" si="940"/>
        <v>0.27483483079849874</v>
      </c>
      <c r="Y406" s="94">
        <f t="shared" ref="Y406:AC406" si="941">Y404/Y352</f>
        <v>0.27935816493946125</v>
      </c>
      <c r="Z406" s="94">
        <f t="shared" si="941"/>
        <v>0.25885497991404854</v>
      </c>
      <c r="AA406" s="94">
        <f t="shared" si="941"/>
        <v>0.22049678945589726</v>
      </c>
      <c r="AB406" s="94">
        <f t="shared" si="941"/>
        <v>0.18152531925958743</v>
      </c>
      <c r="AC406" s="94">
        <f t="shared" si="941"/>
        <v>0.14022796253153899</v>
      </c>
      <c r="AD406" s="94">
        <f t="shared" ref="AD406:AF406" si="942">AD404/AD352</f>
        <v>0.23603986697791063</v>
      </c>
      <c r="AE406" s="94">
        <f t="shared" si="942"/>
        <v>0.19367244603093658</v>
      </c>
      <c r="AF406" s="94">
        <f t="shared" si="942"/>
        <v>0.11274610336341262</v>
      </c>
      <c r="AG406" s="94">
        <f t="shared" ref="AG406" si="943">AG404/AG352</f>
        <v>0.18083880045432196</v>
      </c>
      <c r="AH406" s="94">
        <f t="shared" ref="AH406:AJ406" si="944">AH404/AH352</f>
        <v>0.20146287694715823</v>
      </c>
      <c r="AI406" s="94">
        <f t="shared" si="944"/>
        <v>0.21637627731090089</v>
      </c>
      <c r="AJ406" s="94">
        <f t="shared" si="944"/>
        <v>0.18410779800245627</v>
      </c>
      <c r="AK406" s="79"/>
      <c r="AL406" s="94">
        <f t="shared" ref="AL406:AT406" si="945">AL404/AL352</f>
        <v>0.18334735071488645</v>
      </c>
      <c r="AM406" s="94">
        <f t="shared" si="945"/>
        <v>0.22576636288318144</v>
      </c>
      <c r="AN406" s="94">
        <f t="shared" si="945"/>
        <v>0.25681725681725681</v>
      </c>
      <c r="AO406" s="94">
        <f t="shared" si="945"/>
        <v>0.2558320373250389</v>
      </c>
      <c r="AP406" s="94">
        <f t="shared" si="945"/>
        <v>0.24319419237749546</v>
      </c>
      <c r="AQ406" s="94">
        <f t="shared" si="945"/>
        <v>0.25669642857142855</v>
      </c>
      <c r="AR406" s="94">
        <f t="shared" si="945"/>
        <v>0.25158478605388274</v>
      </c>
      <c r="AS406" s="94">
        <f t="shared" si="945"/>
        <v>0.23422530558308557</v>
      </c>
      <c r="AT406" s="94">
        <f t="shared" si="945"/>
        <v>0.17399438727782976</v>
      </c>
      <c r="AU406" s="94">
        <f t="shared" ref="AU406" si="946">AU404/AU352</f>
        <v>0.19683591394840919</v>
      </c>
      <c r="AV406" s="94">
        <f t="shared" ref="AV406:AW406" si="947">AV404/AV352</f>
        <v>0.20046304847814964</v>
      </c>
      <c r="AW406" s="94">
        <f t="shared" si="947"/>
        <v>0.19900164702505799</v>
      </c>
      <c r="AX406" s="94">
        <f t="shared" ref="AX406" si="948">AX404/AX352</f>
        <v>0.20905707455518729</v>
      </c>
    </row>
    <row r="407" spans="3:61" ht="11.25" customHeight="1" outlineLevel="1">
      <c r="C407" s="93" t="s">
        <v>396</v>
      </c>
      <c r="E407" s="47"/>
      <c r="F407" s="47"/>
      <c r="G407" s="47"/>
      <c r="H407" s="47"/>
      <c r="I407" s="436">
        <f t="shared" ref="I407:AC407" si="949">IFERROR((I406-E406)*10000,"NA  ")</f>
        <v>25.392689396543933</v>
      </c>
      <c r="J407" s="436">
        <f t="shared" si="949"/>
        <v>52.079353410373066</v>
      </c>
      <c r="K407" s="436">
        <f t="shared" si="949"/>
        <v>1.2328314803444762</v>
      </c>
      <c r="L407" s="436">
        <f t="shared" si="949"/>
        <v>-94.219532041877045</v>
      </c>
      <c r="M407" s="436">
        <f t="shared" si="949"/>
        <v>57.554369172317379</v>
      </c>
      <c r="N407" s="436">
        <f t="shared" si="949"/>
        <v>-166.9925157348512</v>
      </c>
      <c r="O407" s="436">
        <f t="shared" si="949"/>
        <v>-168.97095882646761</v>
      </c>
      <c r="P407" s="436">
        <f t="shared" si="949"/>
        <v>-287.18672130445378</v>
      </c>
      <c r="Q407" s="436">
        <f t="shared" si="949"/>
        <v>-388.4055089561561</v>
      </c>
      <c r="R407" s="436">
        <f t="shared" si="949"/>
        <v>170.93922181959709</v>
      </c>
      <c r="S407" s="436">
        <f t="shared" si="949"/>
        <v>221.8144610813244</v>
      </c>
      <c r="T407" s="436">
        <f t="shared" si="949"/>
        <v>573.02342319946274</v>
      </c>
      <c r="U407" s="436">
        <f t="shared" si="949"/>
        <v>259.52001917700113</v>
      </c>
      <c r="V407" s="436">
        <f t="shared" si="949"/>
        <v>-775.39603459297086</v>
      </c>
      <c r="W407" s="436">
        <f t="shared" si="949"/>
        <v>-83.554775952925382</v>
      </c>
      <c r="X407" s="436">
        <f t="shared" si="949"/>
        <v>335.42740643605964</v>
      </c>
      <c r="Y407" s="436">
        <f t="shared" si="949"/>
        <v>317.41950101354695</v>
      </c>
      <c r="Z407" s="436">
        <f t="shared" si="949"/>
        <v>649.65138521303561</v>
      </c>
      <c r="AA407" s="436">
        <f t="shared" si="949"/>
        <v>-602.54425883458839</v>
      </c>
      <c r="AB407" s="436">
        <f t="shared" si="949"/>
        <v>-933.09511538911318</v>
      </c>
      <c r="AC407" s="436">
        <f t="shared" si="949"/>
        <v>-1391.3020240792225</v>
      </c>
      <c r="AD407" s="436">
        <f t="shared" ref="AD407" si="950">IFERROR((AD406-Z406)*10000,"NA  ")</f>
        <v>-228.15112936137916</v>
      </c>
      <c r="AE407" s="436">
        <f t="shared" ref="AE407" si="951">IFERROR((AE406-AA406)*10000,"NA  ")</f>
        <v>-268.24343424960676</v>
      </c>
      <c r="AF407" s="436">
        <f t="shared" ref="AF407:AG407" si="952">IFERROR((AF406-AB406)*10000,"NA  ")</f>
        <v>-687.7921589617481</v>
      </c>
      <c r="AG407" s="436">
        <f t="shared" si="952"/>
        <v>406.10837922782974</v>
      </c>
      <c r="AH407" s="436">
        <f t="shared" ref="AH407" si="953">IFERROR((AH406-AD406)*10000,"NA  ")</f>
        <v>-345.76990030752404</v>
      </c>
      <c r="AI407" s="436">
        <f t="shared" ref="AI407" si="954">IFERROR((AI406-AE406)*10000,"NA  ")</f>
        <v>227.03831279964308</v>
      </c>
      <c r="AJ407" s="436">
        <f t="shared" ref="AJ407" si="955">IFERROR((AJ406-AF406)*10000,"NA  ")</f>
        <v>713.61694639043651</v>
      </c>
      <c r="AK407" s="79"/>
      <c r="AL407" s="443"/>
      <c r="AM407" s="436">
        <f t="shared" ref="AM407:AX407" si="956">IFERROR((AM406-AL406)*10000,"NA  ")</f>
        <v>424.19012168294995</v>
      </c>
      <c r="AN407" s="436">
        <f t="shared" si="956"/>
        <v>310.50893934075367</v>
      </c>
      <c r="AO407" s="436">
        <f t="shared" si="956"/>
        <v>-9.8521949221791481</v>
      </c>
      <c r="AP407" s="436">
        <f t="shared" si="956"/>
        <v>-126.37844947543442</v>
      </c>
      <c r="AQ407" s="436">
        <f t="shared" si="956"/>
        <v>135.02236193933092</v>
      </c>
      <c r="AR407" s="436">
        <f t="shared" si="956"/>
        <v>-51.116425175458112</v>
      </c>
      <c r="AS407" s="436">
        <f t="shared" si="956"/>
        <v>-173.5948047079716</v>
      </c>
      <c r="AT407" s="436">
        <f t="shared" si="956"/>
        <v>-602.30918305255818</v>
      </c>
      <c r="AU407" s="436">
        <f t="shared" si="956"/>
        <v>228.41526670579427</v>
      </c>
      <c r="AV407" s="436">
        <f t="shared" si="956"/>
        <v>36.271345297404501</v>
      </c>
      <c r="AW407" s="436">
        <f t="shared" si="956"/>
        <v>-14.614014530916485</v>
      </c>
      <c r="AX407" s="436">
        <f t="shared" si="956"/>
        <v>100.55427530129307</v>
      </c>
    </row>
    <row r="408" spans="3:61" ht="5.2" customHeight="1">
      <c r="C408" s="43"/>
      <c r="E408" s="29"/>
      <c r="F408" s="29"/>
      <c r="G408" s="29"/>
      <c r="H408" s="29"/>
      <c r="I408" s="29"/>
      <c r="J408" s="29"/>
      <c r="K408" s="29"/>
      <c r="L408" s="29"/>
      <c r="M408" s="29"/>
      <c r="N408" s="29"/>
      <c r="O408" s="29"/>
      <c r="P408" s="29"/>
      <c r="Q408" s="29"/>
      <c r="R408" s="29"/>
      <c r="AK408" s="79"/>
      <c r="AL408" s="29"/>
      <c r="AM408" s="29"/>
      <c r="AN408" s="29"/>
      <c r="AO408" s="29"/>
      <c r="AP408" s="29"/>
    </row>
    <row r="409" spans="3:61" ht="5.2" customHeight="1">
      <c r="C409" s="43"/>
      <c r="E409" s="29"/>
      <c r="F409" s="29"/>
      <c r="G409" s="29"/>
      <c r="H409" s="29"/>
      <c r="I409" s="29"/>
      <c r="J409" s="29"/>
      <c r="K409" s="29"/>
      <c r="L409" s="29"/>
      <c r="M409" s="29"/>
      <c r="N409" s="29"/>
      <c r="O409" s="29"/>
      <c r="P409" s="29"/>
      <c r="Q409" s="29"/>
      <c r="R409" s="29"/>
      <c r="AK409" s="79"/>
      <c r="AL409" s="29"/>
      <c r="AM409" s="29"/>
      <c r="AN409" s="29"/>
      <c r="AO409" s="29"/>
      <c r="AP409" s="29"/>
    </row>
    <row r="410" spans="3:61" ht="11.25" customHeight="1">
      <c r="C410" s="26" t="s">
        <v>397</v>
      </c>
      <c r="AK410" s="79"/>
      <c r="AL410" s="63"/>
      <c r="AM410" s="63"/>
      <c r="AN410" s="63"/>
      <c r="AO410" s="63"/>
      <c r="AP410" s="63"/>
      <c r="AQ410" s="63"/>
      <c r="AR410" s="63"/>
      <c r="AS410" s="63"/>
      <c r="AT410" s="63"/>
    </row>
    <row r="411" spans="3:61" ht="11.25" customHeight="1">
      <c r="C411" s="43" t="s">
        <v>192</v>
      </c>
      <c r="E411" s="47"/>
      <c r="F411" s="47"/>
      <c r="G411" s="47"/>
      <c r="H411" s="47"/>
      <c r="I411" s="47"/>
      <c r="J411" s="47"/>
      <c r="K411" s="47"/>
      <c r="L411" s="47"/>
      <c r="M411" s="47"/>
      <c r="N411" s="47"/>
      <c r="O411" s="47"/>
      <c r="P411" s="47"/>
      <c r="Q411" s="47"/>
      <c r="R411" s="47"/>
      <c r="S411" s="24" t="s">
        <v>394</v>
      </c>
      <c r="AK411" s="79"/>
      <c r="AL411" s="66">
        <v>0.54</v>
      </c>
      <c r="AM411" s="66">
        <v>0.51</v>
      </c>
      <c r="AN411" s="66">
        <v>0.5</v>
      </c>
      <c r="AO411" s="66">
        <v>0.51</v>
      </c>
      <c r="AP411" s="66">
        <v>0.49</v>
      </c>
      <c r="AQ411" s="66">
        <v>0.49</v>
      </c>
      <c r="AR411" s="66">
        <v>0.51</v>
      </c>
      <c r="AS411" s="66">
        <v>0.51</v>
      </c>
      <c r="AT411" s="66">
        <v>0.51</v>
      </c>
      <c r="BI411" s="24" t="s">
        <v>1701</v>
      </c>
    </row>
    <row r="412" spans="3:61" ht="11.25" customHeight="1">
      <c r="C412" s="43" t="s">
        <v>193</v>
      </c>
      <c r="E412" s="47"/>
      <c r="F412" s="47"/>
      <c r="G412" s="47"/>
      <c r="H412" s="47"/>
      <c r="I412" s="47"/>
      <c r="J412" s="47"/>
      <c r="K412" s="47"/>
      <c r="L412" s="47"/>
      <c r="M412" s="47"/>
      <c r="N412" s="47"/>
      <c r="O412" s="47"/>
      <c r="P412" s="47"/>
      <c r="Q412" s="47"/>
      <c r="R412" s="47"/>
      <c r="AK412" s="79"/>
      <c r="AL412" s="66">
        <v>0.34</v>
      </c>
      <c r="AM412" s="66">
        <v>0.33</v>
      </c>
      <c r="AN412" s="66">
        <v>0.34</v>
      </c>
      <c r="AO412" s="66">
        <v>0.33</v>
      </c>
      <c r="AP412" s="66">
        <v>0.33</v>
      </c>
      <c r="AQ412" s="66">
        <v>0.32</v>
      </c>
      <c r="AR412" s="66">
        <v>0.28999999999999998</v>
      </c>
      <c r="AS412" s="66">
        <v>0.28999999999999998</v>
      </c>
      <c r="AT412" s="66">
        <v>0.28999999999999998</v>
      </c>
    </row>
    <row r="413" spans="3:61" ht="11.25" customHeight="1">
      <c r="C413" s="43" t="s">
        <v>194</v>
      </c>
      <c r="E413" s="47"/>
      <c r="F413" s="47"/>
      <c r="G413" s="47"/>
      <c r="H413" s="47"/>
      <c r="I413" s="47"/>
      <c r="J413" s="47"/>
      <c r="K413" s="47"/>
      <c r="L413" s="47"/>
      <c r="M413" s="47"/>
      <c r="N413" s="47"/>
      <c r="O413" s="47"/>
      <c r="P413" s="47"/>
      <c r="Q413" s="47"/>
      <c r="R413" s="47"/>
      <c r="AK413" s="79"/>
      <c r="AL413" s="66">
        <v>0.12</v>
      </c>
      <c r="AM413" s="66">
        <v>0.16</v>
      </c>
      <c r="AN413" s="66">
        <v>0.16</v>
      </c>
      <c r="AO413" s="66">
        <v>0.16</v>
      </c>
      <c r="AP413" s="66">
        <v>0.18</v>
      </c>
      <c r="AQ413" s="66">
        <v>0.19</v>
      </c>
      <c r="AR413" s="66">
        <v>0.2</v>
      </c>
      <c r="AS413" s="66">
        <v>0.2</v>
      </c>
      <c r="AT413" s="66">
        <v>0.2</v>
      </c>
    </row>
    <row r="414" spans="3:61" s="27" customFormat="1" ht="11.25" customHeight="1">
      <c r="C414" s="45" t="s">
        <v>168</v>
      </c>
      <c r="E414" s="61"/>
      <c r="F414" s="61"/>
      <c r="G414" s="61"/>
      <c r="H414" s="61"/>
      <c r="I414" s="61"/>
      <c r="J414" s="61"/>
      <c r="K414" s="61"/>
      <c r="L414" s="61"/>
      <c r="M414" s="61"/>
      <c r="N414" s="61"/>
      <c r="O414" s="61"/>
      <c r="P414" s="61"/>
      <c r="Q414" s="61"/>
      <c r="R414" s="61"/>
      <c r="AK414" s="79"/>
      <c r="AL414" s="67">
        <f t="shared" ref="AL414:AQ414" si="957">+SUM(AL411:AL413)</f>
        <v>1</v>
      </c>
      <c r="AM414" s="67">
        <f t="shared" si="957"/>
        <v>1</v>
      </c>
      <c r="AN414" s="67">
        <f t="shared" si="957"/>
        <v>1</v>
      </c>
      <c r="AO414" s="67">
        <f t="shared" si="957"/>
        <v>1</v>
      </c>
      <c r="AP414" s="67">
        <f t="shared" si="957"/>
        <v>1</v>
      </c>
      <c r="AQ414" s="67">
        <f t="shared" si="957"/>
        <v>1</v>
      </c>
      <c r="AR414" s="67">
        <f t="shared" ref="AR414:AS414" si="958">+SUM(AR411:AR413)</f>
        <v>1</v>
      </c>
      <c r="AS414" s="67">
        <f t="shared" si="958"/>
        <v>1</v>
      </c>
      <c r="AT414" s="67">
        <f t="shared" ref="AT414" si="959">+SUM(AT411:AT413)</f>
        <v>1</v>
      </c>
      <c r="AY414" s="1"/>
    </row>
    <row r="415" spans="3:61" ht="11.25" customHeight="1">
      <c r="C415" s="25"/>
      <c r="AK415" s="79"/>
    </row>
    <row r="416" spans="3:61" ht="11.25" customHeight="1">
      <c r="C416" s="43" t="str">
        <f>+C411</f>
        <v>Specialty Plastics</v>
      </c>
      <c r="E416" s="47"/>
      <c r="F416" s="47"/>
      <c r="G416" s="47"/>
      <c r="H416" s="47"/>
      <c r="I416" s="47"/>
      <c r="J416" s="47"/>
      <c r="K416" s="47"/>
      <c r="L416" s="47"/>
      <c r="M416" s="47"/>
      <c r="N416" s="47"/>
      <c r="O416" s="47"/>
      <c r="P416" s="47"/>
      <c r="Q416" s="47"/>
      <c r="R416" s="47"/>
      <c r="AK416" s="79"/>
      <c r="AL416" s="28">
        <f t="shared" ref="AL416:AT416" si="960">+AL411*AL$352</f>
        <v>1284.1200000000001</v>
      </c>
      <c r="AM416" s="28">
        <f t="shared" si="960"/>
        <v>1231.1400000000001</v>
      </c>
      <c r="AN416" s="28">
        <f t="shared" si="960"/>
        <v>1228.5</v>
      </c>
      <c r="AO416" s="28">
        <f t="shared" si="960"/>
        <v>1311.72</v>
      </c>
      <c r="AP416" s="28">
        <f t="shared" si="960"/>
        <v>1349.95</v>
      </c>
      <c r="AQ416" s="28">
        <f t="shared" si="960"/>
        <v>1317.12</v>
      </c>
      <c r="AR416" s="28">
        <f t="shared" si="960"/>
        <v>1287.24</v>
      </c>
      <c r="AS416" s="28">
        <f t="shared" si="960"/>
        <v>1543.77</v>
      </c>
      <c r="AT416" s="28">
        <f t="shared" si="960"/>
        <v>1635.57</v>
      </c>
      <c r="AU416" s="28">
        <f>+AT416*(1+AU422)</f>
        <v>1630.66329</v>
      </c>
      <c r="AV416" s="28">
        <f t="shared" ref="AV416:AX416" si="961">+AU416*(1+AV422)</f>
        <v>1704.0431380499999</v>
      </c>
      <c r="AW416" s="28">
        <f t="shared" si="961"/>
        <v>1780.7250792622499</v>
      </c>
      <c r="AX416" s="28">
        <f t="shared" si="961"/>
        <v>1843.0504570364285</v>
      </c>
      <c r="AZ416" s="520">
        <f>RATE(7,,-AM416,AT416)</f>
        <v>4.1413250531946284E-2</v>
      </c>
    </row>
    <row r="417" spans="2:71" ht="11.25" customHeight="1">
      <c r="C417" s="43" t="str">
        <f>+C412</f>
        <v>Advanced Interlayers</v>
      </c>
      <c r="E417" s="47"/>
      <c r="F417" s="47"/>
      <c r="G417" s="47"/>
      <c r="H417" s="47"/>
      <c r="I417" s="47"/>
      <c r="J417" s="47"/>
      <c r="K417" s="47"/>
      <c r="L417" s="47"/>
      <c r="M417" s="47"/>
      <c r="N417" s="47"/>
      <c r="O417" s="47"/>
      <c r="P417" s="47"/>
      <c r="Q417" s="47"/>
      <c r="R417" s="47"/>
      <c r="AK417" s="79"/>
      <c r="AL417" s="28">
        <f t="shared" ref="AL417:AT417" si="962">+AL412*AL$352</f>
        <v>808.5200000000001</v>
      </c>
      <c r="AM417" s="28">
        <f t="shared" si="962"/>
        <v>796.62</v>
      </c>
      <c r="AN417" s="28">
        <f t="shared" si="962"/>
        <v>835.38000000000011</v>
      </c>
      <c r="AO417" s="28">
        <f t="shared" si="962"/>
        <v>848.76</v>
      </c>
      <c r="AP417" s="28">
        <f t="shared" si="962"/>
        <v>909.15000000000009</v>
      </c>
      <c r="AQ417" s="28">
        <f t="shared" si="962"/>
        <v>860.16</v>
      </c>
      <c r="AR417" s="28">
        <f t="shared" si="962"/>
        <v>731.95999999999992</v>
      </c>
      <c r="AS417" s="28">
        <f t="shared" si="962"/>
        <v>877.82999999999993</v>
      </c>
      <c r="AT417" s="28">
        <f t="shared" si="962"/>
        <v>930.03</v>
      </c>
      <c r="AU417" s="28">
        <f t="shared" ref="AU417:AX417" si="963">+AT417*(1+AU423)</f>
        <v>927.23991000000001</v>
      </c>
      <c r="AV417" s="28">
        <f t="shared" si="963"/>
        <v>982.87430460000007</v>
      </c>
      <c r="AW417" s="28">
        <f t="shared" si="963"/>
        <v>1041.8467628760002</v>
      </c>
      <c r="AX417" s="28">
        <f t="shared" si="963"/>
        <v>1083.5206333910403</v>
      </c>
      <c r="AZ417" s="1035">
        <f>RATE(8,,-AL417,AT417)</f>
        <v>1.7655475846824222E-2</v>
      </c>
    </row>
    <row r="418" spans="2:71" ht="11.25" customHeight="1">
      <c r="C418" s="43" t="str">
        <f>+C413</f>
        <v>Performance Films</v>
      </c>
      <c r="E418" s="47"/>
      <c r="F418" s="47"/>
      <c r="G418" s="47"/>
      <c r="H418" s="47"/>
      <c r="I418" s="47"/>
      <c r="J418" s="47"/>
      <c r="K418" s="47"/>
      <c r="L418" s="47"/>
      <c r="M418" s="47"/>
      <c r="N418" s="47"/>
      <c r="O418" s="47"/>
      <c r="P418" s="47"/>
      <c r="Q418" s="47"/>
      <c r="R418" s="47"/>
      <c r="AK418" s="79"/>
      <c r="AL418" s="28">
        <f t="shared" ref="AL418:AT418" si="964">+AL413*AL$352</f>
        <v>285.36</v>
      </c>
      <c r="AM418" s="28">
        <f t="shared" si="964"/>
        <v>386.24</v>
      </c>
      <c r="AN418" s="28">
        <f t="shared" si="964"/>
        <v>393.12</v>
      </c>
      <c r="AO418" s="28">
        <f t="shared" si="964"/>
        <v>411.52</v>
      </c>
      <c r="AP418" s="28">
        <f t="shared" si="964"/>
        <v>495.9</v>
      </c>
      <c r="AQ418" s="28">
        <f t="shared" si="964"/>
        <v>510.72</v>
      </c>
      <c r="AR418" s="28">
        <f t="shared" si="964"/>
        <v>504.8</v>
      </c>
      <c r="AS418" s="28">
        <f t="shared" si="964"/>
        <v>605.4</v>
      </c>
      <c r="AT418" s="28">
        <f t="shared" si="964"/>
        <v>641.40000000000009</v>
      </c>
      <c r="AU418" s="28">
        <f t="shared" ref="AU418:AX418" si="965">+AT418*(1+AU424)</f>
        <v>639.47580000000005</v>
      </c>
      <c r="AV418" s="28">
        <f t="shared" si="965"/>
        <v>677.84434800000008</v>
      </c>
      <c r="AW418" s="28">
        <f t="shared" si="965"/>
        <v>718.5150088800001</v>
      </c>
      <c r="AX418" s="28">
        <f t="shared" si="965"/>
        <v>747.25560923520015</v>
      </c>
      <c r="AZ418" s="1035">
        <f>RATE(8,,-AL418,AT418)</f>
        <v>0.10653965519987564</v>
      </c>
    </row>
    <row r="419" spans="2:71" s="27" customFormat="1" ht="11.25" customHeight="1">
      <c r="C419" s="45" t="s">
        <v>168</v>
      </c>
      <c r="E419" s="61"/>
      <c r="F419" s="61"/>
      <c r="G419" s="61"/>
      <c r="H419" s="61"/>
      <c r="I419" s="61"/>
      <c r="J419" s="61"/>
      <c r="K419" s="61"/>
      <c r="L419" s="61"/>
      <c r="M419" s="61"/>
      <c r="N419" s="61"/>
      <c r="O419" s="61"/>
      <c r="P419" s="61"/>
      <c r="Q419" s="61"/>
      <c r="R419" s="61"/>
      <c r="AK419" s="79"/>
      <c r="AL419" s="35">
        <f t="shared" ref="AL419:AQ419" si="966">+SUM(AL416:AL418)</f>
        <v>2378.0000000000005</v>
      </c>
      <c r="AM419" s="35">
        <f t="shared" si="966"/>
        <v>2414</v>
      </c>
      <c r="AN419" s="35">
        <f t="shared" si="966"/>
        <v>2457</v>
      </c>
      <c r="AO419" s="35">
        <f t="shared" si="966"/>
        <v>2572</v>
      </c>
      <c r="AP419" s="35">
        <f t="shared" si="966"/>
        <v>2755.0000000000005</v>
      </c>
      <c r="AQ419" s="35">
        <f t="shared" si="966"/>
        <v>2688</v>
      </c>
      <c r="AR419" s="35">
        <f t="shared" ref="AR419" si="967">+SUM(AR416:AR418)</f>
        <v>2524</v>
      </c>
      <c r="AS419" s="35">
        <f t="shared" ref="AS419:AX419" si="968">+SUM(AS416:AS418)</f>
        <v>3027</v>
      </c>
      <c r="AT419" s="35">
        <f t="shared" si="968"/>
        <v>3207</v>
      </c>
      <c r="AU419" s="35">
        <f t="shared" si="968"/>
        <v>3197.3789999999999</v>
      </c>
      <c r="AV419" s="35">
        <f t="shared" si="968"/>
        <v>3364.76179065</v>
      </c>
      <c r="AW419" s="35">
        <f t="shared" si="968"/>
        <v>3541.0868510182499</v>
      </c>
      <c r="AX419" s="35">
        <f t="shared" si="968"/>
        <v>3673.8266996626689</v>
      </c>
      <c r="AZ419" s="1371">
        <f>RATE(8,,-AL419,AT419)</f>
        <v>3.8092106409214038E-2</v>
      </c>
    </row>
    <row r="420" spans="2:71" ht="11.25" customHeight="1">
      <c r="C420" s="25"/>
      <c r="AK420" s="79"/>
      <c r="AU420" s="520">
        <f>AU352/AU419-1</f>
        <v>4.3911278581613145E-2</v>
      </c>
      <c r="AV420" s="520">
        <f t="shared" ref="AV420:AX420" si="969">AV352/AV419-1</f>
        <v>6.1419744459852765E-2</v>
      </c>
      <c r="AW420" s="520">
        <f t="shared" si="969"/>
        <v>5.8995723000038192E-2</v>
      </c>
      <c r="AX420" s="520">
        <f t="shared" si="969"/>
        <v>5.6458565235637304E-2</v>
      </c>
    </row>
    <row r="421" spans="2:71" s="27" customFormat="1" ht="11.25" customHeight="1">
      <c r="C421" s="26" t="s">
        <v>1669</v>
      </c>
      <c r="E421" s="61"/>
      <c r="F421" s="61"/>
      <c r="G421" s="61"/>
      <c r="H421" s="61"/>
      <c r="I421" s="61"/>
      <c r="J421" s="61"/>
      <c r="K421" s="61"/>
      <c r="L421" s="61"/>
      <c r="M421" s="61"/>
      <c r="N421" s="61"/>
      <c r="O421" s="61"/>
      <c r="P421" s="61"/>
      <c r="Q421" s="61"/>
      <c r="R421" s="61"/>
      <c r="AK421" s="79"/>
      <c r="AL421" s="30"/>
      <c r="AM421" s="30"/>
      <c r="AN421" s="30"/>
      <c r="AO421" s="30"/>
      <c r="AP421" s="30"/>
      <c r="AQ421" s="30"/>
      <c r="AR421" s="30"/>
      <c r="AS421" s="30"/>
      <c r="AT421" s="30"/>
      <c r="AU421" s="520">
        <f>BP358/AU419-1</f>
        <v>1.0426696365992472E-2</v>
      </c>
      <c r="AV421" s="520">
        <f t="shared" ref="AV421:AX421" si="970">BQ358/AV419-1</f>
        <v>3.1867240750283798E-2</v>
      </c>
      <c r="AW421" s="520">
        <f t="shared" si="970"/>
        <v>2.5772475430673847E-2</v>
      </c>
      <c r="AX421" s="520">
        <f t="shared" si="970"/>
        <v>2.6003284578286712E-2</v>
      </c>
      <c r="AY421" s="1"/>
    </row>
    <row r="422" spans="2:71" s="27" customFormat="1" ht="11.25" customHeight="1">
      <c r="C422" s="43" t="str">
        <f>+C416</f>
        <v>Specialty Plastics</v>
      </c>
      <c r="E422" s="61"/>
      <c r="F422" s="61"/>
      <c r="G422" s="61"/>
      <c r="H422" s="61"/>
      <c r="I422" s="61"/>
      <c r="J422" s="61"/>
      <c r="K422" s="61"/>
      <c r="L422" s="61"/>
      <c r="M422" s="61"/>
      <c r="N422" s="61"/>
      <c r="O422" s="61"/>
      <c r="P422" s="61"/>
      <c r="Q422" s="61"/>
      <c r="R422" s="61"/>
      <c r="AK422" s="79"/>
      <c r="AL422" s="30"/>
      <c r="AM422" s="88">
        <f t="shared" ref="AM422:AT425" si="971">AM416/AL416-1</f>
        <v>-4.1257826371367212E-2</v>
      </c>
      <c r="AN422" s="88">
        <f t="shared" si="971"/>
        <v>-2.1443540133535555E-3</v>
      </c>
      <c r="AO422" s="88">
        <f t="shared" si="971"/>
        <v>6.7741147741147811E-2</v>
      </c>
      <c r="AP422" s="88">
        <f t="shared" si="971"/>
        <v>2.9144939468789044E-2</v>
      </c>
      <c r="AQ422" s="88">
        <f t="shared" si="971"/>
        <v>-2.4319419237749607E-2</v>
      </c>
      <c r="AR422" s="88">
        <f t="shared" si="971"/>
        <v>-2.2685860058308971E-2</v>
      </c>
      <c r="AS422" s="88">
        <f t="shared" si="971"/>
        <v>0.19928684627575266</v>
      </c>
      <c r="AT422" s="88">
        <f t="shared" si="971"/>
        <v>5.9464816650148578E-2</v>
      </c>
      <c r="AU422" s="1295">
        <v>-3.0000000000000001E-3</v>
      </c>
      <c r="AV422" s="1295">
        <v>4.4999999999999998E-2</v>
      </c>
      <c r="AW422" s="1295">
        <v>4.4999999999999998E-2</v>
      </c>
      <c r="AX422" s="1295">
        <v>3.5000000000000003E-2</v>
      </c>
      <c r="AY422" s="1"/>
    </row>
    <row r="423" spans="2:71" s="27" customFormat="1" ht="11.25" customHeight="1">
      <c r="C423" s="43" t="str">
        <f>+C417</f>
        <v>Advanced Interlayers</v>
      </c>
      <c r="E423" s="61"/>
      <c r="F423" s="61"/>
      <c r="G423" s="61"/>
      <c r="H423" s="61"/>
      <c r="I423" s="61"/>
      <c r="J423" s="61"/>
      <c r="K423" s="61"/>
      <c r="L423" s="61"/>
      <c r="M423" s="61"/>
      <c r="N423" s="61"/>
      <c r="O423" s="61"/>
      <c r="P423" s="61"/>
      <c r="Q423" s="61"/>
      <c r="R423" s="61"/>
      <c r="AK423" s="79"/>
      <c r="AL423" s="30"/>
      <c r="AM423" s="88">
        <f t="shared" si="971"/>
        <v>-1.4718250630782248E-2</v>
      </c>
      <c r="AN423" s="88">
        <f t="shared" si="971"/>
        <v>4.8655569782330543E-2</v>
      </c>
      <c r="AO423" s="88">
        <f t="shared" si="971"/>
        <v>1.6016663075486548E-2</v>
      </c>
      <c r="AP423" s="88">
        <f t="shared" si="971"/>
        <v>7.1150855365474497E-2</v>
      </c>
      <c r="AQ423" s="88">
        <f t="shared" si="971"/>
        <v>-5.3885497442666352E-2</v>
      </c>
      <c r="AR423" s="88">
        <f t="shared" si="971"/>
        <v>-0.14904203869047628</v>
      </c>
      <c r="AS423" s="88">
        <f t="shared" si="971"/>
        <v>0.19928684627575288</v>
      </c>
      <c r="AT423" s="88">
        <f t="shared" si="971"/>
        <v>5.94648166501488E-2</v>
      </c>
      <c r="AU423" s="1295">
        <v>-3.0000000000000001E-3</v>
      </c>
      <c r="AV423" s="1295">
        <v>0.06</v>
      </c>
      <c r="AW423" s="1295">
        <v>0.06</v>
      </c>
      <c r="AX423" s="1295">
        <v>0.04</v>
      </c>
      <c r="AY423" s="1"/>
    </row>
    <row r="424" spans="2:71" s="27" customFormat="1" ht="11.25" customHeight="1">
      <c r="C424" s="43" t="s">
        <v>194</v>
      </c>
      <c r="E424" s="61"/>
      <c r="F424" s="61"/>
      <c r="G424" s="61"/>
      <c r="H424" s="61"/>
      <c r="I424" s="61"/>
      <c r="J424" s="61"/>
      <c r="K424" s="61"/>
      <c r="L424" s="61"/>
      <c r="M424" s="61"/>
      <c r="N424" s="61"/>
      <c r="O424" s="61"/>
      <c r="P424" s="61"/>
      <c r="Q424" s="61"/>
      <c r="R424" s="61"/>
      <c r="AK424" s="79"/>
      <c r="AL424" s="30"/>
      <c r="AM424" s="88">
        <f t="shared" si="971"/>
        <v>0.35351836276983462</v>
      </c>
      <c r="AN424" s="88">
        <f t="shared" si="971"/>
        <v>1.7812758906379456E-2</v>
      </c>
      <c r="AO424" s="88">
        <f t="shared" si="971"/>
        <v>4.6805046805046713E-2</v>
      </c>
      <c r="AP424" s="88">
        <f t="shared" si="971"/>
        <v>0.20504471228615873</v>
      </c>
      <c r="AQ424" s="88">
        <f t="shared" si="971"/>
        <v>2.9885057471264576E-2</v>
      </c>
      <c r="AR424" s="88">
        <f t="shared" si="971"/>
        <v>-1.159147869674193E-2</v>
      </c>
      <c r="AS424" s="88">
        <f t="shared" si="971"/>
        <v>0.19928684627575266</v>
      </c>
      <c r="AT424" s="88">
        <f t="shared" si="971"/>
        <v>5.94648166501488E-2</v>
      </c>
      <c r="AU424" s="1295">
        <v>-3.0000000000000001E-3</v>
      </c>
      <c r="AV424" s="1295">
        <v>0.06</v>
      </c>
      <c r="AW424" s="1295">
        <v>0.06</v>
      </c>
      <c r="AX424" s="1295">
        <v>0.04</v>
      </c>
      <c r="AY424" s="1"/>
    </row>
    <row r="425" spans="2:71" s="27" customFormat="1" ht="11.25" customHeight="1">
      <c r="C425" s="45" t="s">
        <v>168</v>
      </c>
      <c r="E425" s="61"/>
      <c r="F425" s="61"/>
      <c r="G425" s="61"/>
      <c r="H425" s="61"/>
      <c r="I425" s="61"/>
      <c r="J425" s="61"/>
      <c r="K425" s="61"/>
      <c r="L425" s="61"/>
      <c r="M425" s="61"/>
      <c r="N425" s="61"/>
      <c r="O425" s="61"/>
      <c r="P425" s="61"/>
      <c r="Q425" s="61"/>
      <c r="R425" s="61"/>
      <c r="AK425" s="79"/>
      <c r="AL425" s="30"/>
      <c r="AM425" s="655">
        <f t="shared" si="971"/>
        <v>1.5138772077375684E-2</v>
      </c>
      <c r="AN425" s="655">
        <f t="shared" si="971"/>
        <v>1.7812758906379456E-2</v>
      </c>
      <c r="AO425" s="655">
        <f t="shared" si="971"/>
        <v>4.6805046805046713E-2</v>
      </c>
      <c r="AP425" s="655">
        <f t="shared" si="971"/>
        <v>7.1150855365474497E-2</v>
      </c>
      <c r="AQ425" s="655">
        <f t="shared" si="971"/>
        <v>-2.4319419237749718E-2</v>
      </c>
      <c r="AR425" s="655">
        <f t="shared" si="971"/>
        <v>-6.1011904761904767E-2</v>
      </c>
      <c r="AS425" s="655">
        <f t="shared" si="971"/>
        <v>0.19928684627575288</v>
      </c>
      <c r="AT425" s="655">
        <f t="shared" si="971"/>
        <v>5.9464816650148578E-2</v>
      </c>
      <c r="AU425" s="655">
        <f t="shared" ref="AU425:AX425" si="972">AU419/AT419-1</f>
        <v>-3.0000000000000027E-3</v>
      </c>
      <c r="AV425" s="655">
        <f t="shared" si="972"/>
        <v>5.2350000000000119E-2</v>
      </c>
      <c r="AW425" s="655">
        <f t="shared" si="972"/>
        <v>5.2403430417636621E-2</v>
      </c>
      <c r="AX425" s="655">
        <f t="shared" si="972"/>
        <v>3.748562354697671E-2</v>
      </c>
      <c r="AY425" s="1"/>
    </row>
    <row r="426" spans="2:71" s="27" customFormat="1" ht="11.25" customHeight="1">
      <c r="C426" s="45"/>
      <c r="E426" s="61"/>
      <c r="F426" s="61"/>
      <c r="G426" s="61"/>
      <c r="H426" s="61"/>
      <c r="I426" s="61"/>
      <c r="J426" s="61"/>
      <c r="K426" s="61"/>
      <c r="L426" s="61"/>
      <c r="M426" s="61"/>
      <c r="N426" s="61"/>
      <c r="O426" s="61"/>
      <c r="P426" s="61"/>
      <c r="Q426" s="61"/>
      <c r="R426" s="61"/>
      <c r="AK426" s="79"/>
      <c r="AL426" s="30"/>
      <c r="AM426" s="30"/>
      <c r="AN426" s="30"/>
      <c r="AO426" s="30"/>
      <c r="AP426" s="30"/>
      <c r="AQ426" s="30"/>
      <c r="AR426" s="30"/>
      <c r="AS426" s="30"/>
      <c r="AT426" s="30"/>
      <c r="AV426" s="63"/>
      <c r="AY426" s="1"/>
    </row>
    <row r="427" spans="2:71" s="27" customFormat="1" ht="11.25" customHeight="1">
      <c r="C427" s="45"/>
      <c r="E427" s="61"/>
      <c r="F427" s="61"/>
      <c r="G427" s="61"/>
      <c r="H427" s="61"/>
      <c r="I427" s="61"/>
      <c r="J427" s="61"/>
      <c r="K427" s="61"/>
      <c r="L427" s="61"/>
      <c r="M427" s="61"/>
      <c r="N427" s="61"/>
      <c r="O427" s="61"/>
      <c r="P427" s="61"/>
      <c r="Q427" s="61"/>
      <c r="R427" s="61"/>
      <c r="AK427" s="79"/>
      <c r="AM427" s="30"/>
      <c r="AN427" s="30"/>
      <c r="AO427" s="30"/>
      <c r="AP427" s="30"/>
      <c r="AY427" s="1"/>
    </row>
    <row r="428" spans="2:71" s="41" customFormat="1" ht="11.25" customHeight="1" outlineLevel="1">
      <c r="B428" s="37"/>
      <c r="C428" s="113" t="s">
        <v>68</v>
      </c>
      <c r="AK428" s="79"/>
      <c r="AL428" s="42">
        <f t="shared" ref="AL428:AT428" si="973">+AL419-AL352</f>
        <v>0</v>
      </c>
      <c r="AM428" s="42">
        <f t="shared" si="973"/>
        <v>0</v>
      </c>
      <c r="AN428" s="42">
        <f t="shared" si="973"/>
        <v>0</v>
      </c>
      <c r="AO428" s="42">
        <f t="shared" si="973"/>
        <v>0</v>
      </c>
      <c r="AP428" s="42">
        <f t="shared" si="973"/>
        <v>0</v>
      </c>
      <c r="AQ428" s="42">
        <f t="shared" si="973"/>
        <v>0</v>
      </c>
      <c r="AR428" s="42">
        <f t="shared" si="973"/>
        <v>0</v>
      </c>
      <c r="AS428" s="42">
        <f t="shared" si="973"/>
        <v>0</v>
      </c>
      <c r="AT428" s="42">
        <f t="shared" si="973"/>
        <v>0</v>
      </c>
      <c r="AY428" s="1"/>
    </row>
    <row r="429" spans="2:71" s="41" customFormat="1" ht="11.25" customHeight="1" outlineLevel="1">
      <c r="B429" s="37"/>
      <c r="C429" s="113"/>
      <c r="AK429" s="79"/>
      <c r="AL429" s="42"/>
      <c r="AM429" s="42"/>
      <c r="AN429" s="42"/>
      <c r="AO429" s="42"/>
      <c r="AP429" s="42"/>
      <c r="AQ429" s="42"/>
      <c r="AR429" s="42"/>
      <c r="AS429" s="42"/>
      <c r="AT429" s="42"/>
      <c r="AY429" s="1"/>
    </row>
    <row r="430" spans="2:71" s="1263" customFormat="1" ht="2.2000000000000002" customHeight="1" outlineLevel="1">
      <c r="B430" s="1264"/>
      <c r="C430" s="1265"/>
      <c r="AK430" s="1260"/>
      <c r="AM430" s="1266"/>
      <c r="AN430" s="1266"/>
      <c r="AO430" s="1266"/>
      <c r="AP430" s="1266"/>
      <c r="AY430" s="1262"/>
    </row>
    <row r="431" spans="2:71" ht="11.25" customHeight="1">
      <c r="C431" s="43"/>
      <c r="E431" s="29"/>
      <c r="F431" s="66"/>
      <c r="G431" s="29"/>
      <c r="H431" s="29"/>
      <c r="I431" s="29"/>
      <c r="J431" s="29"/>
      <c r="K431" s="29"/>
      <c r="L431" s="29"/>
      <c r="M431" s="29"/>
      <c r="N431" s="29"/>
      <c r="O431" s="29"/>
      <c r="P431" s="29"/>
      <c r="Q431" s="29"/>
      <c r="R431" s="29"/>
      <c r="AK431" s="79"/>
      <c r="AQ431" s="28">
        <f>AQ499-AQ432</f>
        <v>234.20000000000005</v>
      </c>
      <c r="AR431" s="28">
        <f t="shared" ref="AR431:AS431" si="974">AR499-AR432</f>
        <v>176.89000000000004</v>
      </c>
      <c r="AS431" s="28">
        <f t="shared" si="974"/>
        <v>306.67999999999995</v>
      </c>
    </row>
    <row r="432" spans="2:71" ht="11.25" customHeight="1">
      <c r="B432" s="27" t="s">
        <v>14</v>
      </c>
      <c r="C432" s="26" t="s">
        <v>106</v>
      </c>
      <c r="E432" s="29"/>
      <c r="F432" s="66"/>
      <c r="G432" s="66"/>
      <c r="H432" s="66"/>
      <c r="I432" s="66"/>
      <c r="J432" s="66"/>
      <c r="K432" s="66"/>
      <c r="L432" s="66"/>
      <c r="M432" s="66"/>
      <c r="N432" s="66"/>
      <c r="O432" s="66"/>
      <c r="P432" s="66"/>
      <c r="Q432" s="66"/>
      <c r="R432" s="66"/>
      <c r="S432" s="66"/>
      <c r="AD432" s="63">
        <f>SUM(AC433:AD433)/SUM(Y433:Z433)-1</f>
        <v>0.22791081750619324</v>
      </c>
      <c r="AK432" s="79"/>
      <c r="AQ432" s="135">
        <f>[67]Financials!AQ426-AQ433</f>
        <v>212</v>
      </c>
      <c r="AR432" s="135">
        <f>[67]Financials!AR426-AR433</f>
        <v>247</v>
      </c>
      <c r="AS432" s="135">
        <f>[67]Financials!AS426-AS433</f>
        <v>241</v>
      </c>
      <c r="AU432" s="79">
        <f t="shared" ref="AU432:AX432" si="975">BP441</f>
        <v>2835.7175200000006</v>
      </c>
      <c r="AV432" s="79">
        <f t="shared" si="975"/>
        <v>2985.8888984000005</v>
      </c>
      <c r="AW432" s="79">
        <f t="shared" si="975"/>
        <v>3113.4549373680002</v>
      </c>
      <c r="AX432" s="79">
        <f t="shared" si="975"/>
        <v>3219.3602415813607</v>
      </c>
      <c r="BJ432" s="63">
        <f>'Segment Snapshot'!AX12/'Segment Snapshot'!$AX$15</f>
        <v>0.25671077504725898</v>
      </c>
      <c r="BK432" s="1347" t="s">
        <v>1700</v>
      </c>
      <c r="BL432" s="1304"/>
      <c r="BM432" s="13" t="s">
        <v>1665</v>
      </c>
      <c r="BN432" s="1333">
        <v>2021</v>
      </c>
      <c r="BO432" s="1333">
        <v>2022</v>
      </c>
      <c r="BP432" s="1333">
        <f>BO432+1</f>
        <v>2023</v>
      </c>
      <c r="BQ432" s="1333">
        <f t="shared" ref="BQ432:BS432" si="976">BP432+1</f>
        <v>2024</v>
      </c>
      <c r="BR432" s="1333">
        <f t="shared" si="976"/>
        <v>2025</v>
      </c>
      <c r="BS432" s="1333">
        <f t="shared" si="976"/>
        <v>2026</v>
      </c>
    </row>
    <row r="433" spans="2:73" ht="11.25" customHeight="1">
      <c r="C433" s="36" t="s">
        <v>18</v>
      </c>
      <c r="E433" s="82">
        <v>620</v>
      </c>
      <c r="F433" s="82">
        <v>633</v>
      </c>
      <c r="G433" s="82">
        <v>638</v>
      </c>
      <c r="H433" s="82">
        <v>643</v>
      </c>
      <c r="I433" s="82">
        <v>670</v>
      </c>
      <c r="J433" s="82">
        <v>703</v>
      </c>
      <c r="K433" s="82">
        <v>696</v>
      </c>
      <c r="L433" s="82">
        <v>659</v>
      </c>
      <c r="M433" s="82">
        <v>730</v>
      </c>
      <c r="N433" s="82">
        <v>709</v>
      </c>
      <c r="O433" s="82">
        <v>703</v>
      </c>
      <c r="P433" s="82">
        <v>689</v>
      </c>
      <c r="Q433" s="82">
        <v>592</v>
      </c>
      <c r="R433" s="82">
        <v>572</v>
      </c>
      <c r="S433" s="82">
        <v>533</v>
      </c>
      <c r="T433" s="82">
        <v>534</v>
      </c>
      <c r="U433" s="82">
        <v>516</v>
      </c>
      <c r="V433" s="82">
        <v>392</v>
      </c>
      <c r="W433" s="82">
        <v>464</v>
      </c>
      <c r="X433" s="82">
        <v>471</v>
      </c>
      <c r="Y433" s="82">
        <v>542</v>
      </c>
      <c r="Z433" s="82">
        <v>669</v>
      </c>
      <c r="AA433" s="82">
        <v>685</v>
      </c>
      <c r="AB433" s="82">
        <v>712</v>
      </c>
      <c r="AC433" s="82">
        <v>715</v>
      </c>
      <c r="AD433" s="82">
        <v>772</v>
      </c>
      <c r="AE433" s="82">
        <v>665</v>
      </c>
      <c r="AF433" s="82">
        <v>564</v>
      </c>
      <c r="AG433" s="82">
        <v>589</v>
      </c>
      <c r="AH433" s="30">
        <f t="shared" ref="AH433:AJ433" si="977">AD433+AH441</f>
        <v>725.68</v>
      </c>
      <c r="AI433" s="30">
        <f t="shared" si="977"/>
        <v>625.1</v>
      </c>
      <c r="AJ433" s="30">
        <f t="shared" si="977"/>
        <v>530.16</v>
      </c>
      <c r="AK433" s="79"/>
      <c r="AL433" s="82">
        <v>3034</v>
      </c>
      <c r="AM433" s="82">
        <v>2811</v>
      </c>
      <c r="AN433" s="31">
        <f t="shared" ref="AN433:AU433" si="978">SUMIF($E$6:$AK$6,AN$6,$E433:$AK433)</f>
        <v>2534</v>
      </c>
      <c r="AO433" s="31">
        <f t="shared" si="978"/>
        <v>2728</v>
      </c>
      <c r="AP433" s="31">
        <f t="shared" si="978"/>
        <v>2831</v>
      </c>
      <c r="AQ433" s="31">
        <f t="shared" si="978"/>
        <v>2231</v>
      </c>
      <c r="AR433" s="31">
        <f t="shared" si="978"/>
        <v>1843</v>
      </c>
      <c r="AS433" s="30">
        <f t="shared" si="978"/>
        <v>2608</v>
      </c>
      <c r="AT433" s="30">
        <f t="shared" si="978"/>
        <v>2716</v>
      </c>
      <c r="AU433" s="30">
        <f t="shared" si="978"/>
        <v>2469.9399999999996</v>
      </c>
      <c r="AV433" s="30">
        <f>+AU433+AV441</f>
        <v>2494.6393999999996</v>
      </c>
      <c r="AW433" s="30">
        <f>+AV433+AW441</f>
        <v>2519.5857939999996</v>
      </c>
      <c r="AX433" s="30">
        <f>+AW433+AX441</f>
        <v>2544.7816519399994</v>
      </c>
      <c r="BK433" s="1355" t="s">
        <v>1671</v>
      </c>
      <c r="BL433" s="1328"/>
      <c r="BM433" s="1297">
        <v>0.24</v>
      </c>
      <c r="BN433" s="839">
        <f>BM433*$AS$433</f>
        <v>625.91999999999996</v>
      </c>
      <c r="BO433" s="1311">
        <f t="shared" ref="BO433:BP440" si="979">+BN433*(1+BO444)</f>
        <v>594.62399999999991</v>
      </c>
      <c r="BP433" s="1311">
        <f t="shared" si="979"/>
        <v>564.89279999999985</v>
      </c>
      <c r="BQ433" s="1311">
        <f t="shared" ref="BQ433:BS433" si="980">+BP433*(1+BQ444)</f>
        <v>593.13743999999986</v>
      </c>
      <c r="BR433" s="1311">
        <f t="shared" si="980"/>
        <v>622.79431199999988</v>
      </c>
      <c r="BS433" s="1311">
        <f t="shared" si="980"/>
        <v>653.93402759999992</v>
      </c>
      <c r="BU433" s="63">
        <f t="shared" ref="BU433" si="981">RATE(BS$432-BO$432,,-BO433,BS433)</f>
        <v>2.4054040888848736E-2</v>
      </c>
    </row>
    <row r="434" spans="2:73" ht="11.25" customHeight="1" outlineLevel="1">
      <c r="C434" s="107" t="s">
        <v>358</v>
      </c>
      <c r="E434" s="90"/>
      <c r="F434" s="90"/>
      <c r="G434" s="90"/>
      <c r="H434" s="90"/>
      <c r="I434" s="94">
        <f t="shared" ref="I434:AC434" si="982">IFERROR(I433/E433-1,"NA  ")</f>
        <v>8.0645161290322509E-2</v>
      </c>
      <c r="J434" s="94">
        <f t="shared" si="982"/>
        <v>0.11058451816745651</v>
      </c>
      <c r="K434" s="94">
        <f t="shared" si="982"/>
        <v>9.0909090909090828E-2</v>
      </c>
      <c r="L434" s="94">
        <f t="shared" si="982"/>
        <v>2.488335925349916E-2</v>
      </c>
      <c r="M434" s="94">
        <f t="shared" si="982"/>
        <v>8.9552238805970186E-2</v>
      </c>
      <c r="N434" s="94">
        <f t="shared" si="982"/>
        <v>8.5348506401137225E-3</v>
      </c>
      <c r="O434" s="94">
        <f t="shared" si="982"/>
        <v>1.0057471264367734E-2</v>
      </c>
      <c r="P434" s="94">
        <f t="shared" si="982"/>
        <v>4.5523520485584168E-2</v>
      </c>
      <c r="Q434" s="94">
        <f t="shared" si="982"/>
        <v>-0.18904109589041096</v>
      </c>
      <c r="R434" s="94">
        <f t="shared" si="982"/>
        <v>-0.19322990126939354</v>
      </c>
      <c r="S434" s="94">
        <f t="shared" si="982"/>
        <v>-0.24182076813655762</v>
      </c>
      <c r="T434" s="94">
        <f t="shared" si="982"/>
        <v>-0.22496371552975325</v>
      </c>
      <c r="U434" s="94">
        <f t="shared" si="982"/>
        <v>-0.1283783783783784</v>
      </c>
      <c r="V434" s="94">
        <f t="shared" si="982"/>
        <v>-0.31468531468531469</v>
      </c>
      <c r="W434" s="94">
        <f t="shared" si="982"/>
        <v>-0.12945590994371481</v>
      </c>
      <c r="X434" s="94">
        <f t="shared" si="982"/>
        <v>-0.1179775280898876</v>
      </c>
      <c r="Y434" s="94">
        <f t="shared" si="982"/>
        <v>5.0387596899224896E-2</v>
      </c>
      <c r="Z434" s="94">
        <f t="shared" si="982"/>
        <v>0.70663265306122458</v>
      </c>
      <c r="AA434" s="94">
        <f t="shared" si="982"/>
        <v>0.4762931034482758</v>
      </c>
      <c r="AB434" s="94">
        <f t="shared" si="982"/>
        <v>0.51167728237791943</v>
      </c>
      <c r="AC434" s="94">
        <f t="shared" si="982"/>
        <v>0.31918819188191883</v>
      </c>
      <c r="AD434" s="94">
        <f t="shared" ref="AD434" si="983">IFERROR(AD433/Z433-1,"NA  ")</f>
        <v>0.15396113602391637</v>
      </c>
      <c r="AE434" s="94">
        <f t="shared" ref="AE434" si="984">IFERROR(AE433/AA433-1,"NA  ")</f>
        <v>-2.9197080291970767E-2</v>
      </c>
      <c r="AF434" s="94">
        <f t="shared" ref="AF434:AG434" si="985">IFERROR(AF433/AB433-1,"NA  ")</f>
        <v>-0.2078651685393258</v>
      </c>
      <c r="AG434" s="94">
        <f t="shared" si="985"/>
        <v>-0.17622377622377627</v>
      </c>
      <c r="AH434" s="94">
        <f t="shared" ref="AH434" si="986">IFERROR(AH433/AD433-1,"NA  ")</f>
        <v>-6.0000000000000053E-2</v>
      </c>
      <c r="AI434" s="94">
        <f t="shared" ref="AI434" si="987">IFERROR(AI433/AE433-1,"NA  ")</f>
        <v>-5.9999999999999942E-2</v>
      </c>
      <c r="AJ434" s="94">
        <f t="shared" ref="AJ434" si="988">IFERROR(AJ433/AF433-1,"NA  ")</f>
        <v>-6.0000000000000053E-2</v>
      </c>
      <c r="AK434" s="79"/>
      <c r="AL434" s="47"/>
      <c r="AM434" s="94">
        <f t="shared" ref="AM434:AX434" si="989">IFERROR(AM433/AL433-1,"NA  ")</f>
        <v>-7.3500329597890546E-2</v>
      </c>
      <c r="AN434" s="94">
        <f t="shared" si="989"/>
        <v>-9.8541444325862648E-2</v>
      </c>
      <c r="AO434" s="94">
        <f t="shared" si="989"/>
        <v>7.6558800315706499E-2</v>
      </c>
      <c r="AP434" s="94">
        <f t="shared" si="989"/>
        <v>3.7756598240469286E-2</v>
      </c>
      <c r="AQ434" s="94">
        <f t="shared" si="989"/>
        <v>-0.21193924408336273</v>
      </c>
      <c r="AR434" s="94">
        <f t="shared" si="989"/>
        <v>-0.17391304347826086</v>
      </c>
      <c r="AS434" s="94">
        <f t="shared" si="989"/>
        <v>0.41508410200759638</v>
      </c>
      <c r="AT434" s="94">
        <f t="shared" si="989"/>
        <v>4.141104294478537E-2</v>
      </c>
      <c r="AU434" s="94">
        <f t="shared" si="989"/>
        <v>-9.059646539027999E-2</v>
      </c>
      <c r="AV434" s="94">
        <f t="shared" si="989"/>
        <v>1.0000000000000009E-2</v>
      </c>
      <c r="AW434" s="94">
        <f t="shared" si="989"/>
        <v>1.0000000000000009E-2</v>
      </c>
      <c r="AX434" s="94">
        <f t="shared" si="989"/>
        <v>1.0000000000000009E-2</v>
      </c>
      <c r="BK434" s="1355" t="s">
        <v>1676</v>
      </c>
      <c r="BL434" s="1328"/>
      <c r="BM434" s="1298">
        <v>0.14000000000000001</v>
      </c>
      <c r="BN434" s="839">
        <f t="shared" ref="BN434:BN440" si="990">BM434*$AS$433</f>
        <v>365.12000000000006</v>
      </c>
      <c r="BO434" s="839">
        <f t="shared" si="979"/>
        <v>310.35200000000003</v>
      </c>
      <c r="BP434" s="839">
        <f t="shared" si="979"/>
        <v>279.31680000000006</v>
      </c>
      <c r="BQ434" s="839">
        <f t="shared" ref="BQ434:BS434" si="991">+BP434*(1+BQ445)</f>
        <v>293.28264000000007</v>
      </c>
      <c r="BR434" s="839">
        <f t="shared" si="991"/>
        <v>307.94677200000007</v>
      </c>
      <c r="BS434" s="839">
        <f t="shared" si="991"/>
        <v>323.34411060000008</v>
      </c>
      <c r="BU434" s="63">
        <f>RATE(BS$432-BO$432,,-BO434,BS434)</f>
        <v>1.0305231106706669E-2</v>
      </c>
    </row>
    <row r="435" spans="2:73" ht="11.25" customHeight="1" outlineLevel="1">
      <c r="C435" s="107" t="s">
        <v>641</v>
      </c>
      <c r="E435" s="94">
        <f t="shared" ref="E435:AJ435" si="992">IFERROR(E433/E$619,"NA  ")</f>
        <v>0.2772808586762075</v>
      </c>
      <c r="F435" s="94">
        <f t="shared" si="992"/>
        <v>0.27557683935568134</v>
      </c>
      <c r="G435" s="94">
        <f t="shared" si="992"/>
        <v>0.27896808045474419</v>
      </c>
      <c r="H435" s="94">
        <f t="shared" si="992"/>
        <v>0.29387568555758686</v>
      </c>
      <c r="I435" s="94">
        <f t="shared" si="992"/>
        <v>0.29092488059053406</v>
      </c>
      <c r="J435" s="94">
        <f t="shared" si="992"/>
        <v>0.29061595700702769</v>
      </c>
      <c r="K435" s="94">
        <f t="shared" si="992"/>
        <v>0.28235294117647058</v>
      </c>
      <c r="L435" s="94">
        <f t="shared" si="992"/>
        <v>0.27900084674005082</v>
      </c>
      <c r="M435" s="94">
        <f t="shared" si="992"/>
        <v>0.28001534330648253</v>
      </c>
      <c r="N435" s="94">
        <f t="shared" si="992"/>
        <v>0.2705074399084319</v>
      </c>
      <c r="O435" s="94">
        <f t="shared" si="992"/>
        <v>0.27601099332548096</v>
      </c>
      <c r="P435" s="94">
        <f t="shared" si="992"/>
        <v>0.28998316498316501</v>
      </c>
      <c r="Q435" s="94">
        <f t="shared" si="992"/>
        <v>0.24873949579831933</v>
      </c>
      <c r="R435" s="94">
        <f t="shared" si="992"/>
        <v>0.24206517139229794</v>
      </c>
      <c r="S435" s="95">
        <f t="shared" si="992"/>
        <v>0.22924731182795699</v>
      </c>
      <c r="T435" s="95">
        <f t="shared" si="992"/>
        <v>0.24316939890710382</v>
      </c>
      <c r="U435" s="95">
        <f t="shared" si="992"/>
        <v>0.23025435073627845</v>
      </c>
      <c r="V435" s="95">
        <f t="shared" si="992"/>
        <v>0.20374220374220375</v>
      </c>
      <c r="W435" s="95">
        <f t="shared" si="992"/>
        <v>0.21866163996229973</v>
      </c>
      <c r="X435" s="95">
        <f t="shared" si="992"/>
        <v>0.21546203110704484</v>
      </c>
      <c r="Y435" s="95">
        <f t="shared" si="992"/>
        <v>0.22498962224989622</v>
      </c>
      <c r="Z435" s="95">
        <f t="shared" si="992"/>
        <v>0.25216735770825482</v>
      </c>
      <c r="AA435" s="95">
        <f t="shared" si="992"/>
        <v>0.25183823529411764</v>
      </c>
      <c r="AB435" s="95">
        <f t="shared" si="992"/>
        <v>0.26429101707498143</v>
      </c>
      <c r="AC435" s="95">
        <f t="shared" si="992"/>
        <v>0.26344878408253503</v>
      </c>
      <c r="AD435" s="95">
        <f t="shared" si="992"/>
        <v>0.27729885057471265</v>
      </c>
      <c r="AE435" s="95">
        <f t="shared" si="992"/>
        <v>0.2454780361757106</v>
      </c>
      <c r="AF435" s="95">
        <f t="shared" si="992"/>
        <v>0.23767383059418457</v>
      </c>
      <c r="AG435" s="95">
        <f t="shared" ref="AG435" si="993">IFERROR(AG433/AG$619,"NA  ")</f>
        <v>0.24419568822553897</v>
      </c>
      <c r="AH435" s="95">
        <f t="shared" si="992"/>
        <v>0.26824976711862902</v>
      </c>
      <c r="AI435" s="95">
        <f t="shared" si="992"/>
        <v>0.23168842336231757</v>
      </c>
      <c r="AJ435" s="95">
        <f t="shared" si="992"/>
        <v>0.2205526296083668</v>
      </c>
      <c r="AK435" s="79"/>
      <c r="AL435" s="94">
        <f t="shared" ref="AL435:AX435" si="994">IFERROR(AL433/AL$619,"NA  ")</f>
        <v>0.31846331478954548</v>
      </c>
      <c r="AM435" s="94">
        <f t="shared" si="994"/>
        <v>0.29135572139303484</v>
      </c>
      <c r="AN435" s="94">
        <f t="shared" si="994"/>
        <v>0.28130550621669625</v>
      </c>
      <c r="AO435" s="94">
        <f t="shared" si="994"/>
        <v>0.28568436485495863</v>
      </c>
      <c r="AP435" s="94">
        <f t="shared" si="994"/>
        <v>0.27888877943059798</v>
      </c>
      <c r="AQ435" s="95">
        <f t="shared" si="994"/>
        <v>0.24082469775474957</v>
      </c>
      <c r="AR435" s="95">
        <f t="shared" si="994"/>
        <v>0.21751445768913019</v>
      </c>
      <c r="AS435" s="95">
        <f t="shared" si="994"/>
        <v>0.24894998090874379</v>
      </c>
      <c r="AT435" s="95">
        <f t="shared" si="994"/>
        <v>0.25671077504725898</v>
      </c>
      <c r="AU435" s="95">
        <f t="shared" si="994"/>
        <v>0.24169980741830929</v>
      </c>
      <c r="AV435" s="95">
        <f t="shared" si="994"/>
        <v>0.23554340485766939</v>
      </c>
      <c r="AW435" s="95">
        <f t="shared" si="994"/>
        <v>0.23089411511928837</v>
      </c>
      <c r="AX435" s="95">
        <f t="shared" si="994"/>
        <v>0.2274198612869468</v>
      </c>
      <c r="BK435" s="1355" t="s">
        <v>1678</v>
      </c>
      <c r="BL435" s="1328"/>
      <c r="BM435" s="1297">
        <v>0.13</v>
      </c>
      <c r="BN435" s="839">
        <f t="shared" si="990"/>
        <v>339.04</v>
      </c>
      <c r="BO435" s="839">
        <f t="shared" si="979"/>
        <v>423.8</v>
      </c>
      <c r="BP435" s="839">
        <f t="shared" si="979"/>
        <v>466.18000000000006</v>
      </c>
      <c r="BQ435" s="839">
        <f t="shared" ref="BQ435:BS435" si="995">+BP435*(1+BQ446)</f>
        <v>512.79800000000012</v>
      </c>
      <c r="BR435" s="839">
        <f t="shared" si="995"/>
        <v>538.43790000000013</v>
      </c>
      <c r="BS435" s="839">
        <f t="shared" si="995"/>
        <v>549.20665800000017</v>
      </c>
      <c r="BU435" s="63">
        <f>RATE(BS$432-BO$432,,-BO435,BS435)</f>
        <v>6.6949121797090477E-2</v>
      </c>
    </row>
    <row r="436" spans="2:73" ht="11.55" customHeight="1" outlineLevel="1">
      <c r="C436" s="36"/>
      <c r="E436" s="82"/>
      <c r="F436" s="82"/>
      <c r="G436" s="82"/>
      <c r="H436" s="82"/>
      <c r="I436" s="82"/>
      <c r="J436" s="82"/>
      <c r="K436" s="82"/>
      <c r="L436" s="82"/>
      <c r="M436" s="82"/>
      <c r="N436" s="82"/>
      <c r="O436" s="82"/>
      <c r="P436" s="82"/>
      <c r="Q436" s="82"/>
      <c r="R436" s="82"/>
      <c r="AK436" s="79"/>
      <c r="AL436" s="82"/>
      <c r="AM436" s="82"/>
      <c r="AN436" s="31"/>
      <c r="AO436" s="31"/>
      <c r="AP436" s="31"/>
      <c r="BK436" s="1334" t="s">
        <v>1675</v>
      </c>
      <c r="BL436" s="1327"/>
      <c r="BM436" s="1297">
        <v>0.1</v>
      </c>
      <c r="BN436" s="1331">
        <f t="shared" si="990"/>
        <v>260.8</v>
      </c>
      <c r="BO436" s="1331">
        <f t="shared" si="979"/>
        <v>312.95999999999998</v>
      </c>
      <c r="BP436" s="1331">
        <f t="shared" si="979"/>
        <v>344.25600000000003</v>
      </c>
      <c r="BQ436" s="1331">
        <f t="shared" ref="BQ436:BS436" si="996">+BP436*(1+BQ447)</f>
        <v>361.46880000000004</v>
      </c>
      <c r="BR436" s="1331">
        <f t="shared" si="996"/>
        <v>379.54224000000005</v>
      </c>
      <c r="BS436" s="1331">
        <f t="shared" si="996"/>
        <v>387.13308480000006</v>
      </c>
      <c r="BU436" s="63">
        <f t="shared" ref="BU436:BU440" si="997">RATE(BS$432-BO$432,,-BO436,BS436)</f>
        <v>5.4612376589944348E-2</v>
      </c>
    </row>
    <row r="437" spans="2:73" ht="11.25" customHeight="1">
      <c r="C437" s="43" t="s">
        <v>354</v>
      </c>
      <c r="E437" s="46"/>
      <c r="F437" s="46"/>
      <c r="G437" s="46"/>
      <c r="H437" s="46"/>
      <c r="I437" s="82">
        <v>0</v>
      </c>
      <c r="J437" s="82">
        <v>0</v>
      </c>
      <c r="K437" s="82">
        <v>0</v>
      </c>
      <c r="L437" s="82">
        <v>0</v>
      </c>
      <c r="M437" s="82">
        <v>0</v>
      </c>
      <c r="N437" s="82">
        <v>0</v>
      </c>
      <c r="O437" s="82">
        <v>0</v>
      </c>
      <c r="P437" s="82">
        <v>0</v>
      </c>
      <c r="Q437" s="90">
        <v>0</v>
      </c>
      <c r="R437" s="90">
        <v>0</v>
      </c>
      <c r="S437" s="46">
        <v>0</v>
      </c>
      <c r="T437" s="663">
        <f>+AQ437-SUM(Q437:S437)</f>
        <v>0</v>
      </c>
      <c r="U437" s="46">
        <v>0</v>
      </c>
      <c r="V437" s="59">
        <v>0</v>
      </c>
      <c r="W437" s="59">
        <v>0</v>
      </c>
      <c r="X437" s="663">
        <f>+AR437-SUM(U437:W437)</f>
        <v>0</v>
      </c>
      <c r="Y437" s="59">
        <f ca="1">Y446*U$433</f>
        <v>0</v>
      </c>
      <c r="Z437" s="59">
        <f ca="1">Z446*V$433</f>
        <v>0</v>
      </c>
      <c r="AA437" s="59">
        <f ca="1">AA446*W$433</f>
        <v>0</v>
      </c>
      <c r="AB437" s="663">
        <f ca="1">+AS437-SUM(Y437:AA437)</f>
        <v>0</v>
      </c>
      <c r="AC437" s="59">
        <f t="shared" ref="AC437:AJ437" ca="1" si="998">AC446*Y$433</f>
        <v>0</v>
      </c>
      <c r="AD437" s="59">
        <f t="shared" ca="1" si="998"/>
        <v>0</v>
      </c>
      <c r="AE437" s="59">
        <f t="shared" ca="1" si="998"/>
        <v>0</v>
      </c>
      <c r="AF437" s="59">
        <f t="shared" ca="1" si="998"/>
        <v>0</v>
      </c>
      <c r="AG437" s="28">
        <f t="shared" ca="1" si="998"/>
        <v>0</v>
      </c>
      <c r="AH437" s="28">
        <f t="shared" si="998"/>
        <v>0</v>
      </c>
      <c r="AI437" s="28">
        <f t="shared" si="998"/>
        <v>0</v>
      </c>
      <c r="AJ437" s="28">
        <f t="shared" si="998"/>
        <v>0</v>
      </c>
      <c r="AK437" s="79"/>
      <c r="AL437" s="90"/>
      <c r="AM437" s="82">
        <v>373</v>
      </c>
      <c r="AN437" s="29">
        <v>0</v>
      </c>
      <c r="AO437" s="29">
        <v>0</v>
      </c>
      <c r="AP437" s="29">
        <v>0</v>
      </c>
      <c r="AQ437" s="46">
        <v>0</v>
      </c>
      <c r="AR437" s="46">
        <v>0</v>
      </c>
      <c r="AS437" s="46">
        <v>0</v>
      </c>
      <c r="AT437" s="59">
        <f ca="1">SUMIF($E$6:$AK$6,AT$6,$E437:$AK437)</f>
        <v>0</v>
      </c>
      <c r="AU437" s="28">
        <f t="shared" ref="AU437:AU440" ca="1" si="999">SUMIF($E$6:$AK$6,AU$6,$E437:$AK437)</f>
        <v>0</v>
      </c>
      <c r="AV437" s="28">
        <f t="shared" ref="AV437:AX441" si="1000">AU$433*AV446</f>
        <v>0</v>
      </c>
      <c r="AW437" s="28">
        <f t="shared" si="1000"/>
        <v>0</v>
      </c>
      <c r="AX437" s="28">
        <f t="shared" si="1000"/>
        <v>0</v>
      </c>
      <c r="BK437" s="1334" t="s">
        <v>1679</v>
      </c>
      <c r="BL437" s="1327"/>
      <c r="BM437" s="1297">
        <v>0.09</v>
      </c>
      <c r="BN437" s="1331">
        <f t="shared" si="990"/>
        <v>234.72</v>
      </c>
      <c r="BO437" s="1331">
        <f t="shared" si="979"/>
        <v>281.66399999999999</v>
      </c>
      <c r="BP437" s="1331">
        <f t="shared" si="979"/>
        <v>309.8304</v>
      </c>
      <c r="BQ437" s="1331">
        <f t="shared" ref="BQ437:BS437" si="1001">+BP437*(1+BQ448)</f>
        <v>325.32192000000003</v>
      </c>
      <c r="BR437" s="1331">
        <f t="shared" si="1001"/>
        <v>335.08157760000006</v>
      </c>
      <c r="BS437" s="1331">
        <f t="shared" si="1001"/>
        <v>345.13402492800009</v>
      </c>
      <c r="BU437" s="63">
        <f t="shared" si="997"/>
        <v>5.2117170708919539E-2</v>
      </c>
    </row>
    <row r="438" spans="2:73" ht="11.25" customHeight="1">
      <c r="C438" s="43" t="s">
        <v>165</v>
      </c>
      <c r="E438" s="46"/>
      <c r="F438" s="46"/>
      <c r="G438" s="46"/>
      <c r="H438" s="46"/>
      <c r="I438" s="29">
        <v>3</v>
      </c>
      <c r="J438" s="29">
        <v>-5</v>
      </c>
      <c r="K438" s="29">
        <v>8</v>
      </c>
      <c r="L438" s="33">
        <f>+AO438-SUM(I438:K438)</f>
        <v>-61</v>
      </c>
      <c r="M438" s="29">
        <v>-10</v>
      </c>
      <c r="N438" s="29">
        <v>-43</v>
      </c>
      <c r="O438" s="29">
        <v>-59</v>
      </c>
      <c r="P438" s="33">
        <f>+AP438-SUM(M438:O438)</f>
        <v>-30</v>
      </c>
      <c r="Q438" s="46">
        <v>-47</v>
      </c>
      <c r="R438" s="46">
        <v>-13</v>
      </c>
      <c r="S438" s="46">
        <v>-41</v>
      </c>
      <c r="T438" s="663">
        <f>+AQ438-SUM(Q438:S438)</f>
        <v>-21</v>
      </c>
      <c r="U438" s="46">
        <v>0</v>
      </c>
      <c r="V438" s="46">
        <v>-111</v>
      </c>
      <c r="W438" s="46">
        <v>-27</v>
      </c>
      <c r="X438" s="663">
        <f>+AR438-SUM(U438:W438)</f>
        <v>-37</v>
      </c>
      <c r="Y438" s="46">
        <v>-76</v>
      </c>
      <c r="Z438" s="46">
        <v>34</v>
      </c>
      <c r="AA438" s="46">
        <v>-11</v>
      </c>
      <c r="AB438" s="663">
        <f>+AS438-SUM(Y438:AA438)</f>
        <v>6</v>
      </c>
      <c r="AC438" s="46">
        <v>6</v>
      </c>
      <c r="AD438" s="46">
        <v>-2</v>
      </c>
      <c r="AE438" s="46">
        <v>-68</v>
      </c>
      <c r="AF438" s="663">
        <f>+AT438-SUM(AC438:AE438)</f>
        <v>-174</v>
      </c>
      <c r="AG438" s="33">
        <v>-83</v>
      </c>
      <c r="AH438" s="28">
        <f t="shared" ref="AH438:AJ441" si="1002">AH447*AD$433</f>
        <v>-38.6</v>
      </c>
      <c r="AI438" s="28">
        <f t="shared" si="1002"/>
        <v>-33.25</v>
      </c>
      <c r="AJ438" s="28">
        <f t="shared" si="1002"/>
        <v>-28.200000000000003</v>
      </c>
      <c r="AK438" s="79"/>
      <c r="AL438" s="46"/>
      <c r="AM438" s="29">
        <v>-47</v>
      </c>
      <c r="AN438" s="29">
        <v>48</v>
      </c>
      <c r="AO438" s="29">
        <v>-55</v>
      </c>
      <c r="AP438" s="29">
        <v>-142</v>
      </c>
      <c r="AQ438" s="46">
        <v>-122</v>
      </c>
      <c r="AR438" s="46">
        <v>-175</v>
      </c>
      <c r="AS438" s="46">
        <v>-47</v>
      </c>
      <c r="AT438" s="46">
        <v>-238</v>
      </c>
      <c r="AU438" s="28">
        <f t="shared" si="999"/>
        <v>-183.05</v>
      </c>
      <c r="AV438" s="28">
        <f t="shared" si="1000"/>
        <v>24.699399999999997</v>
      </c>
      <c r="AW438" s="28">
        <f t="shared" si="1000"/>
        <v>24.946393999999998</v>
      </c>
      <c r="AX438" s="28">
        <f t="shared" si="1000"/>
        <v>25.195857939999996</v>
      </c>
      <c r="BK438" s="1335" t="s">
        <v>1672</v>
      </c>
      <c r="BL438" s="1305"/>
      <c r="BM438" s="1298">
        <v>7.0000000000000007E-2</v>
      </c>
      <c r="BN438" s="1330">
        <f t="shared" si="990"/>
        <v>182.56000000000003</v>
      </c>
      <c r="BO438" s="1330">
        <f t="shared" si="979"/>
        <v>191.68800000000005</v>
      </c>
      <c r="BP438" s="1330">
        <f t="shared" si="979"/>
        <v>201.27240000000006</v>
      </c>
      <c r="BQ438" s="1330">
        <f t="shared" ref="BQ438:BS438" si="1003">+BP438*(1+BQ449)</f>
        <v>211.33602000000008</v>
      </c>
      <c r="BR438" s="1330">
        <f t="shared" si="1003"/>
        <v>221.9028210000001</v>
      </c>
      <c r="BS438" s="1330">
        <f t="shared" si="1003"/>
        <v>232.99796205000013</v>
      </c>
      <c r="BU438" s="63">
        <f t="shared" si="997"/>
        <v>5.0000000000000787E-2</v>
      </c>
    </row>
    <row r="439" spans="2:73" ht="11.25" customHeight="1">
      <c r="C439" s="43" t="s">
        <v>166</v>
      </c>
      <c r="E439" s="46"/>
      <c r="F439" s="46"/>
      <c r="G439" s="46"/>
      <c r="H439" s="46"/>
      <c r="I439" s="29">
        <v>51</v>
      </c>
      <c r="J439" s="29">
        <v>80</v>
      </c>
      <c r="K439" s="29">
        <v>49</v>
      </c>
      <c r="L439" s="33">
        <f>+AO439-SUM(I439:K439)</f>
        <v>73</v>
      </c>
      <c r="M439" s="29">
        <v>58</v>
      </c>
      <c r="N439" s="29">
        <v>41</v>
      </c>
      <c r="O439" s="29">
        <v>67</v>
      </c>
      <c r="P439" s="33">
        <f>+AP439-SUM(M439:O439)</f>
        <v>63</v>
      </c>
      <c r="Q439" s="46">
        <v>-21</v>
      </c>
      <c r="R439" s="46">
        <v>-59</v>
      </c>
      <c r="S439" s="46">
        <v>-80</v>
      </c>
      <c r="T439" s="663">
        <f>+AQ439-SUM(Q439:S439)</f>
        <v>-87</v>
      </c>
      <c r="U439" s="46">
        <v>-60</v>
      </c>
      <c r="V439" s="46">
        <v>-58</v>
      </c>
      <c r="W439" s="46">
        <v>-48</v>
      </c>
      <c r="X439" s="663">
        <f>+AR439-SUM(U439:W439)</f>
        <v>-14</v>
      </c>
      <c r="Y439" s="46">
        <v>82</v>
      </c>
      <c r="Z439" s="46">
        <v>232</v>
      </c>
      <c r="AA439" s="46">
        <v>235</v>
      </c>
      <c r="AB439" s="663">
        <f>+AS439-SUM(Y439:AA439)</f>
        <v>243</v>
      </c>
      <c r="AC439" s="46">
        <v>197</v>
      </c>
      <c r="AD439" s="46">
        <v>140</v>
      </c>
      <c r="AE439" s="46">
        <v>103</v>
      </c>
      <c r="AF439" s="663">
        <f t="shared" ref="AF439:AF440" si="1004">+AT439-SUM(AC439:AE439)</f>
        <v>22</v>
      </c>
      <c r="AG439" s="33">
        <v>-38</v>
      </c>
      <c r="AH439" s="28">
        <f t="shared" si="1002"/>
        <v>-7.72</v>
      </c>
      <c r="AI439" s="28">
        <f t="shared" si="1002"/>
        <v>-6.65</v>
      </c>
      <c r="AJ439" s="28">
        <f t="shared" si="1002"/>
        <v>-5.64</v>
      </c>
      <c r="AK439" s="79"/>
      <c r="AL439" s="46"/>
      <c r="AM439" s="29">
        <v>-527</v>
      </c>
      <c r="AN439" s="29">
        <v>-317</v>
      </c>
      <c r="AO439" s="29">
        <v>253</v>
      </c>
      <c r="AP439" s="29">
        <v>229</v>
      </c>
      <c r="AQ439" s="46">
        <v>-247</v>
      </c>
      <c r="AR439" s="46">
        <v>-180</v>
      </c>
      <c r="AS439" s="46">
        <v>792</v>
      </c>
      <c r="AT439" s="46">
        <v>462</v>
      </c>
      <c r="AU439" s="28">
        <f t="shared" si="999"/>
        <v>-58.01</v>
      </c>
      <c r="AV439" s="28">
        <f t="shared" si="1000"/>
        <v>0</v>
      </c>
      <c r="AW439" s="28">
        <f t="shared" si="1000"/>
        <v>0</v>
      </c>
      <c r="AX439" s="28">
        <f t="shared" si="1000"/>
        <v>0</v>
      </c>
      <c r="BK439" s="1335" t="s">
        <v>1677</v>
      </c>
      <c r="BL439" s="1305"/>
      <c r="BM439" s="1298">
        <v>0.06</v>
      </c>
      <c r="BN439" s="1330">
        <f t="shared" si="990"/>
        <v>156.47999999999999</v>
      </c>
      <c r="BO439" s="1330">
        <f t="shared" si="979"/>
        <v>164.304</v>
      </c>
      <c r="BP439" s="1330">
        <f t="shared" si="979"/>
        <v>172.51920000000001</v>
      </c>
      <c r="BQ439" s="1330">
        <f t="shared" ref="BQ439:BS439" si="1005">+BP439*(1+BQ450)</f>
        <v>181.14516000000003</v>
      </c>
      <c r="BR439" s="1330">
        <f t="shared" si="1005"/>
        <v>190.20241800000005</v>
      </c>
      <c r="BS439" s="1330">
        <f t="shared" si="1005"/>
        <v>199.71253890000006</v>
      </c>
      <c r="BU439" s="63">
        <f t="shared" si="997"/>
        <v>5.0000000000000648E-2</v>
      </c>
    </row>
    <row r="440" spans="2:73" ht="11.25" customHeight="1">
      <c r="C440" s="43" t="s">
        <v>167</v>
      </c>
      <c r="E440" s="46"/>
      <c r="F440" s="46"/>
      <c r="G440" s="46"/>
      <c r="H440" s="46"/>
      <c r="I440" s="29">
        <v>-4</v>
      </c>
      <c r="J440" s="29">
        <v>-5</v>
      </c>
      <c r="K440" s="29">
        <v>1</v>
      </c>
      <c r="L440" s="33">
        <f>+AO440-SUM(I440:K440)</f>
        <v>4</v>
      </c>
      <c r="M440" s="29">
        <v>12</v>
      </c>
      <c r="N440" s="29">
        <v>8</v>
      </c>
      <c r="O440" s="29">
        <v>-1</v>
      </c>
      <c r="P440" s="33">
        <f>+AP440-SUM(M440:O440)</f>
        <v>-3</v>
      </c>
      <c r="Q440" s="46">
        <v>-7</v>
      </c>
      <c r="R440" s="46">
        <v>-6</v>
      </c>
      <c r="S440" s="46">
        <v>-3</v>
      </c>
      <c r="T440" s="663">
        <f>+AQ440-SUM(Q440:S440)</f>
        <v>-3</v>
      </c>
      <c r="U440" s="46">
        <v>-3</v>
      </c>
      <c r="V440" s="46">
        <v>-1</v>
      </c>
      <c r="W440" s="46">
        <v>2</v>
      </c>
      <c r="X440" s="663">
        <f>+AR440-SUM(U440:W440)</f>
        <v>4</v>
      </c>
      <c r="Y440" s="46">
        <v>7</v>
      </c>
      <c r="Z440" s="46">
        <v>9</v>
      </c>
      <c r="AA440" s="46">
        <v>1</v>
      </c>
      <c r="AB440" s="663">
        <f>+AS440-SUM(Y440:AA440)</f>
        <v>-3</v>
      </c>
      <c r="AC440" s="46">
        <v>-9</v>
      </c>
      <c r="AD440" s="46">
        <v>-13</v>
      </c>
      <c r="AE440" s="46">
        <v>-15</v>
      </c>
      <c r="AF440" s="663">
        <f t="shared" si="1004"/>
        <v>-10</v>
      </c>
      <c r="AG440" s="33">
        <v>-5</v>
      </c>
      <c r="AH440" s="28">
        <f t="shared" si="1002"/>
        <v>0</v>
      </c>
      <c r="AI440" s="28">
        <f t="shared" si="1002"/>
        <v>0</v>
      </c>
      <c r="AJ440" s="28">
        <f t="shared" si="1002"/>
        <v>0</v>
      </c>
      <c r="AK440" s="79"/>
      <c r="AL440" s="46"/>
      <c r="AM440" s="29">
        <v>-22</v>
      </c>
      <c r="AN440" s="29">
        <v>-8</v>
      </c>
      <c r="AO440" s="29">
        <v>-4</v>
      </c>
      <c r="AP440" s="29">
        <v>16</v>
      </c>
      <c r="AQ440" s="46">
        <v>-19</v>
      </c>
      <c r="AR440" s="46">
        <v>2</v>
      </c>
      <c r="AS440" s="46">
        <v>14</v>
      </c>
      <c r="AT440" s="46">
        <v>-47</v>
      </c>
      <c r="AU440" s="28">
        <f t="shared" si="999"/>
        <v>-5</v>
      </c>
      <c r="AV440" s="28">
        <f t="shared" si="1000"/>
        <v>0</v>
      </c>
      <c r="AW440" s="28">
        <f t="shared" si="1000"/>
        <v>0</v>
      </c>
      <c r="AX440" s="28">
        <f t="shared" si="1000"/>
        <v>0</v>
      </c>
      <c r="BK440" s="1355" t="s">
        <v>1385</v>
      </c>
      <c r="BL440" s="1328"/>
      <c r="BM440" s="1308">
        <v>0.17</v>
      </c>
      <c r="BN440" s="839">
        <f t="shared" si="990"/>
        <v>443.36</v>
      </c>
      <c r="BO440" s="839">
        <f t="shared" si="979"/>
        <v>487.69600000000003</v>
      </c>
      <c r="BP440" s="839">
        <f t="shared" si="979"/>
        <v>497.44992000000002</v>
      </c>
      <c r="BQ440" s="839">
        <f t="shared" ref="BQ440:BS440" si="1006">+BP440*(1+BQ451)</f>
        <v>507.39891840000001</v>
      </c>
      <c r="BR440" s="839">
        <f t="shared" si="1006"/>
        <v>517.54689676800001</v>
      </c>
      <c r="BS440" s="839">
        <f t="shared" si="1006"/>
        <v>527.89783470335999</v>
      </c>
      <c r="BU440" s="63">
        <f t="shared" si="997"/>
        <v>2.0000000000263609E-2</v>
      </c>
    </row>
    <row r="441" spans="2:73" ht="11.25" customHeight="1">
      <c r="C441" s="45" t="s">
        <v>351</v>
      </c>
      <c r="E441" s="32"/>
      <c r="F441" s="32"/>
      <c r="G441" s="32"/>
      <c r="H441" s="32"/>
      <c r="I441" s="32">
        <f t="shared" ref="I441:S441" si="1007">+SUM(I437:I440)</f>
        <v>50</v>
      </c>
      <c r="J441" s="32">
        <f t="shared" si="1007"/>
        <v>70</v>
      </c>
      <c r="K441" s="32">
        <f t="shared" si="1007"/>
        <v>58</v>
      </c>
      <c r="L441" s="32">
        <f t="shared" si="1007"/>
        <v>16</v>
      </c>
      <c r="M441" s="32">
        <f t="shared" si="1007"/>
        <v>60</v>
      </c>
      <c r="N441" s="32">
        <f t="shared" si="1007"/>
        <v>6</v>
      </c>
      <c r="O441" s="32">
        <f t="shared" si="1007"/>
        <v>7</v>
      </c>
      <c r="P441" s="32">
        <f t="shared" si="1007"/>
        <v>30</v>
      </c>
      <c r="Q441" s="32">
        <f t="shared" si="1007"/>
        <v>-75</v>
      </c>
      <c r="R441" s="32">
        <f t="shared" si="1007"/>
        <v>-78</v>
      </c>
      <c r="S441" s="32">
        <f t="shared" si="1007"/>
        <v>-124</v>
      </c>
      <c r="T441" s="32">
        <f t="shared" ref="T441:W441" si="1008">+SUM(T437:T440)</f>
        <v>-111</v>
      </c>
      <c r="U441" s="32">
        <f t="shared" si="1008"/>
        <v>-63</v>
      </c>
      <c r="V441" s="32">
        <f t="shared" si="1008"/>
        <v>-170</v>
      </c>
      <c r="W441" s="32">
        <f t="shared" si="1008"/>
        <v>-73</v>
      </c>
      <c r="X441" s="32">
        <f t="shared" ref="X441" si="1009">+SUM(X437:X440)</f>
        <v>-47</v>
      </c>
      <c r="Y441" s="32">
        <f t="shared" ref="Y441:AF441" ca="1" si="1010">+SUM(Y437:Y440)</f>
        <v>13</v>
      </c>
      <c r="Z441" s="32">
        <f t="shared" ca="1" si="1010"/>
        <v>275</v>
      </c>
      <c r="AA441" s="32">
        <f t="shared" ca="1" si="1010"/>
        <v>225</v>
      </c>
      <c r="AB441" s="32">
        <f t="shared" ca="1" si="1010"/>
        <v>246</v>
      </c>
      <c r="AC441" s="32">
        <f t="shared" ca="1" si="1010"/>
        <v>194</v>
      </c>
      <c r="AD441" s="32">
        <f t="shared" ca="1" si="1010"/>
        <v>125</v>
      </c>
      <c r="AE441" s="32">
        <f t="shared" ca="1" si="1010"/>
        <v>20</v>
      </c>
      <c r="AF441" s="32">
        <f t="shared" ca="1" si="1010"/>
        <v>-162</v>
      </c>
      <c r="AG441" s="32">
        <f t="shared" ref="AG441" ca="1" si="1011">+SUM(AG437:AG440)</f>
        <v>-126</v>
      </c>
      <c r="AH441" s="35">
        <f t="shared" si="1002"/>
        <v>-46.32</v>
      </c>
      <c r="AI441" s="35">
        <f t="shared" si="1002"/>
        <v>-39.900000000000006</v>
      </c>
      <c r="AJ441" s="35">
        <f t="shared" si="1002"/>
        <v>-33.840000000000003</v>
      </c>
      <c r="AK441" s="79"/>
      <c r="AL441" s="32"/>
      <c r="AM441" s="32">
        <f t="shared" ref="AM441:AS441" si="1012">+SUM(AM437:AM440)</f>
        <v>-223</v>
      </c>
      <c r="AN441" s="32">
        <f t="shared" si="1012"/>
        <v>-277</v>
      </c>
      <c r="AO441" s="32">
        <f t="shared" si="1012"/>
        <v>194</v>
      </c>
      <c r="AP441" s="32">
        <f t="shared" si="1012"/>
        <v>103</v>
      </c>
      <c r="AQ441" s="32">
        <f t="shared" si="1012"/>
        <v>-388</v>
      </c>
      <c r="AR441" s="32">
        <f t="shared" si="1012"/>
        <v>-353</v>
      </c>
      <c r="AS441" s="32">
        <f t="shared" si="1012"/>
        <v>759</v>
      </c>
      <c r="AT441" s="32">
        <f ca="1">+SUM(AT437:AT440)</f>
        <v>177</v>
      </c>
      <c r="AU441" s="32">
        <f t="shared" ref="AU441" ca="1" si="1013">+SUM(AU437:AU440)</f>
        <v>-246.06</v>
      </c>
      <c r="AV441" s="35">
        <f t="shared" si="1000"/>
        <v>24.699399999999997</v>
      </c>
      <c r="AW441" s="35">
        <f t="shared" si="1000"/>
        <v>24.946393999999998</v>
      </c>
      <c r="AX441" s="35">
        <f t="shared" si="1000"/>
        <v>25.195857939999996</v>
      </c>
      <c r="BK441" s="125"/>
      <c r="BL441" s="125"/>
      <c r="BM441" s="125">
        <f>SUM(BM433:BM440)</f>
        <v>1</v>
      </c>
      <c r="BN441" s="32">
        <f>SUM(BN433:BN440)</f>
        <v>2608</v>
      </c>
      <c r="BO441" s="32">
        <f t="shared" ref="BO441:BP441" si="1014">SUM(BO433:BO440)</f>
        <v>2767.0879999999997</v>
      </c>
      <c r="BP441" s="32">
        <f t="shared" si="1014"/>
        <v>2835.7175200000006</v>
      </c>
      <c r="BQ441" s="32">
        <f t="shared" ref="BQ441" si="1015">SUM(BQ433:BQ440)</f>
        <v>2985.8888984000005</v>
      </c>
      <c r="BR441" s="32">
        <f t="shared" ref="BR441" si="1016">SUM(BR433:BR440)</f>
        <v>3113.4549373680002</v>
      </c>
      <c r="BS441" s="32">
        <f t="shared" ref="BS441" si="1017">SUM(BS433:BS440)</f>
        <v>3219.3602415813607</v>
      </c>
    </row>
    <row r="442" spans="2:73" ht="5.2" customHeight="1">
      <c r="C442" s="111"/>
      <c r="E442" s="31"/>
      <c r="F442" s="31"/>
      <c r="G442" s="31"/>
      <c r="H442" s="31"/>
      <c r="I442" s="31"/>
      <c r="J442" s="31"/>
      <c r="K442" s="31"/>
      <c r="L442" s="31"/>
      <c r="M442" s="31"/>
      <c r="N442" s="31"/>
      <c r="O442" s="31"/>
      <c r="P442" s="31"/>
      <c r="Q442" s="31"/>
      <c r="R442" s="31"/>
      <c r="AK442" s="79"/>
      <c r="AL442" s="29"/>
      <c r="AM442" s="31"/>
      <c r="AN442" s="31"/>
      <c r="AO442" s="31"/>
      <c r="AP442" s="31"/>
      <c r="BK442" s="27"/>
      <c r="BL442" s="27"/>
      <c r="BM442" s="27"/>
      <c r="BN442" s="27"/>
      <c r="BO442" s="27"/>
    </row>
    <row r="443" spans="2:73" s="41" customFormat="1" ht="11.25" customHeight="1" outlineLevel="1">
      <c r="B443" s="37"/>
      <c r="C443" s="113" t="s">
        <v>68</v>
      </c>
      <c r="E443" s="46"/>
      <c r="F443" s="46"/>
      <c r="G443" s="46"/>
      <c r="H443" s="46"/>
      <c r="I443" s="42">
        <f t="shared" ref="I443:AJ443" si="1018">ROUND(+I441-(I433-E433),1)</f>
        <v>0</v>
      </c>
      <c r="J443" s="42">
        <f t="shared" si="1018"/>
        <v>0</v>
      </c>
      <c r="K443" s="42">
        <f t="shared" si="1018"/>
        <v>0</v>
      </c>
      <c r="L443" s="42">
        <f t="shared" si="1018"/>
        <v>0</v>
      </c>
      <c r="M443" s="42">
        <f t="shared" si="1018"/>
        <v>0</v>
      </c>
      <c r="N443" s="42">
        <f t="shared" si="1018"/>
        <v>0</v>
      </c>
      <c r="O443" s="42">
        <f t="shared" si="1018"/>
        <v>0</v>
      </c>
      <c r="P443" s="42">
        <f t="shared" si="1018"/>
        <v>0</v>
      </c>
      <c r="Q443" s="42">
        <f t="shared" si="1018"/>
        <v>63</v>
      </c>
      <c r="R443" s="42">
        <f t="shared" si="1018"/>
        <v>59</v>
      </c>
      <c r="S443" s="42">
        <f t="shared" si="1018"/>
        <v>46</v>
      </c>
      <c r="T443" s="42">
        <f t="shared" si="1018"/>
        <v>44</v>
      </c>
      <c r="U443" s="42">
        <f t="shared" si="1018"/>
        <v>13</v>
      </c>
      <c r="V443" s="42">
        <f t="shared" si="1018"/>
        <v>10</v>
      </c>
      <c r="W443" s="42">
        <f t="shared" si="1018"/>
        <v>-4</v>
      </c>
      <c r="X443" s="42">
        <f t="shared" si="1018"/>
        <v>16</v>
      </c>
      <c r="Y443" s="42">
        <f t="shared" ca="1" si="1018"/>
        <v>-13</v>
      </c>
      <c r="Z443" s="42">
        <f t="shared" ca="1" si="1018"/>
        <v>-2</v>
      </c>
      <c r="AA443" s="42">
        <f t="shared" ca="1" si="1018"/>
        <v>4</v>
      </c>
      <c r="AB443" s="42">
        <f t="shared" ca="1" si="1018"/>
        <v>5</v>
      </c>
      <c r="AC443" s="42">
        <f t="shared" ca="1" si="1018"/>
        <v>21</v>
      </c>
      <c r="AD443" s="42">
        <f t="shared" ca="1" si="1018"/>
        <v>22</v>
      </c>
      <c r="AE443" s="42">
        <f t="shared" ca="1" si="1018"/>
        <v>40</v>
      </c>
      <c r="AF443" s="42">
        <f t="shared" ca="1" si="1018"/>
        <v>-14</v>
      </c>
      <c r="AG443" s="42">
        <f t="shared" ca="1" si="1018"/>
        <v>0</v>
      </c>
      <c r="AH443" s="42">
        <f t="shared" si="1018"/>
        <v>0</v>
      </c>
      <c r="AI443" s="42">
        <f t="shared" si="1018"/>
        <v>0</v>
      </c>
      <c r="AJ443" s="42">
        <f t="shared" si="1018"/>
        <v>0</v>
      </c>
      <c r="AK443" s="79"/>
      <c r="AL443" s="92"/>
      <c r="AM443" s="42">
        <f t="shared" ref="AM443:AX443" si="1019">ROUND(+AM441-(AM433-AL433),1)</f>
        <v>0</v>
      </c>
      <c r="AN443" s="42">
        <f t="shared" si="1019"/>
        <v>0</v>
      </c>
      <c r="AO443" s="42">
        <f t="shared" si="1019"/>
        <v>0</v>
      </c>
      <c r="AP443" s="42">
        <f t="shared" si="1019"/>
        <v>0</v>
      </c>
      <c r="AQ443" s="42">
        <f t="shared" si="1019"/>
        <v>212</v>
      </c>
      <c r="AR443" s="42">
        <f t="shared" si="1019"/>
        <v>35</v>
      </c>
      <c r="AS443" s="42">
        <f t="shared" si="1019"/>
        <v>-6</v>
      </c>
      <c r="AT443" s="42">
        <f t="shared" ca="1" si="1019"/>
        <v>69</v>
      </c>
      <c r="AU443" s="42">
        <f t="shared" ca="1" si="1019"/>
        <v>0</v>
      </c>
      <c r="AV443" s="42">
        <f t="shared" si="1019"/>
        <v>0</v>
      </c>
      <c r="AW443" s="42">
        <f t="shared" si="1019"/>
        <v>0</v>
      </c>
      <c r="AX443" s="42">
        <f t="shared" si="1019"/>
        <v>0</v>
      </c>
      <c r="AY443" s="1"/>
      <c r="BK443" s="1337" t="s">
        <v>1669</v>
      </c>
      <c r="BL443" s="1336"/>
      <c r="BM443" s="1337"/>
      <c r="BN443" s="1337"/>
      <c r="BO443" s="1338">
        <v>2022</v>
      </c>
      <c r="BP443" s="1338">
        <f>BO443+1</f>
        <v>2023</v>
      </c>
      <c r="BQ443" s="1338">
        <f t="shared" ref="BQ443:BS443" si="1020">BP443+1</f>
        <v>2024</v>
      </c>
      <c r="BR443" s="1338">
        <f t="shared" si="1020"/>
        <v>2025</v>
      </c>
      <c r="BS443" s="1338">
        <f t="shared" si="1020"/>
        <v>2026</v>
      </c>
      <c r="BT443" s="24"/>
    </row>
    <row r="444" spans="2:73" ht="11.25" customHeight="1" outlineLevel="1">
      <c r="C444" s="43"/>
      <c r="E444" s="29"/>
      <c r="F444" s="29"/>
      <c r="G444" s="29"/>
      <c r="H444" s="29"/>
      <c r="I444" s="29"/>
      <c r="J444" s="29"/>
      <c r="K444" s="29"/>
      <c r="L444" s="29"/>
      <c r="M444" s="29"/>
      <c r="N444" s="29"/>
      <c r="O444" s="29"/>
      <c r="P444" s="29"/>
      <c r="AK444" s="79"/>
      <c r="AL444" s="29"/>
      <c r="AM444" s="29"/>
      <c r="AN444" s="29"/>
      <c r="AO444" s="29"/>
      <c r="AP444" s="29"/>
      <c r="BK444" s="1386" t="s">
        <v>1671</v>
      </c>
      <c r="BL444" s="1386"/>
      <c r="BM444" s="1386"/>
      <c r="BN444" s="1386"/>
      <c r="BO444" s="1370">
        <v>-0.05</v>
      </c>
      <c r="BP444" s="1370">
        <v>-0.05</v>
      </c>
      <c r="BQ444" s="1370">
        <v>0.05</v>
      </c>
      <c r="BR444" s="1370">
        <v>0.05</v>
      </c>
      <c r="BS444" s="1370">
        <v>0.05</v>
      </c>
    </row>
    <row r="445" spans="2:73" ht="11.25" customHeight="1">
      <c r="C445" s="36" t="s">
        <v>395</v>
      </c>
      <c r="E445" s="29"/>
      <c r="F445" s="29"/>
      <c r="G445" s="29"/>
      <c r="H445" s="29"/>
      <c r="I445" s="29"/>
      <c r="J445" s="29"/>
      <c r="K445" s="29"/>
      <c r="L445" s="29"/>
      <c r="M445" s="29"/>
      <c r="N445" s="29"/>
      <c r="O445" s="29"/>
      <c r="P445" s="29"/>
      <c r="AK445" s="79"/>
      <c r="AL445" s="29"/>
      <c r="AM445" s="29"/>
      <c r="AN445" s="29"/>
      <c r="AO445" s="29"/>
      <c r="AP445" s="29"/>
      <c r="BK445" s="1386" t="s">
        <v>1676</v>
      </c>
      <c r="BL445" s="1386"/>
      <c r="BM445" s="1344"/>
      <c r="BN445" s="1386"/>
      <c r="BO445" s="1370">
        <v>-0.15</v>
      </c>
      <c r="BP445" s="1370">
        <v>-0.1</v>
      </c>
      <c r="BQ445" s="1370">
        <v>0.05</v>
      </c>
      <c r="BR445" s="1370">
        <v>0.05</v>
      </c>
      <c r="BS445" s="1370">
        <v>0.05</v>
      </c>
    </row>
    <row r="446" spans="2:73" ht="11.25" customHeight="1">
      <c r="C446" s="43" t="s">
        <v>354</v>
      </c>
      <c r="E446" s="46"/>
      <c r="F446" s="46"/>
      <c r="G446" s="46"/>
      <c r="H446" s="46"/>
      <c r="I446" s="63">
        <f>I437/$E$433</f>
        <v>0</v>
      </c>
      <c r="J446" s="63">
        <f>J437/$F$433</f>
        <v>0</v>
      </c>
      <c r="K446" s="63">
        <f>K437/$G$433</f>
        <v>0</v>
      </c>
      <c r="L446" s="63">
        <f>L437/$H$433</f>
        <v>0</v>
      </c>
      <c r="M446" s="63">
        <f>M437/$I$433</f>
        <v>0</v>
      </c>
      <c r="N446" s="63">
        <f>N437/$J$433</f>
        <v>0</v>
      </c>
      <c r="O446" s="63">
        <f>O437/$K$433</f>
        <v>0</v>
      </c>
      <c r="P446" s="63">
        <f>P437/$L$433</f>
        <v>0</v>
      </c>
      <c r="Q446" s="63">
        <f>Q437/$M$433</f>
        <v>0</v>
      </c>
      <c r="R446" s="63">
        <f>R437/$N$433</f>
        <v>0</v>
      </c>
      <c r="S446" s="63">
        <f>S437/$O$433</f>
        <v>0</v>
      </c>
      <c r="T446" s="63">
        <f>T437/$P$433</f>
        <v>0</v>
      </c>
      <c r="U446" s="63">
        <f t="shared" ref="U446:AG450" si="1021">U437/P$433</f>
        <v>0</v>
      </c>
      <c r="V446" s="63">
        <f t="shared" si="1021"/>
        <v>0</v>
      </c>
      <c r="W446" s="63">
        <f t="shared" si="1021"/>
        <v>0</v>
      </c>
      <c r="X446" s="63">
        <f t="shared" si="1021"/>
        <v>0</v>
      </c>
      <c r="Y446" s="63">
        <f t="shared" ca="1" si="1021"/>
        <v>0</v>
      </c>
      <c r="Z446" s="63">
        <f t="shared" ca="1" si="1021"/>
        <v>0</v>
      </c>
      <c r="AA446" s="63">
        <f t="shared" ca="1" si="1021"/>
        <v>0</v>
      </c>
      <c r="AB446" s="63">
        <f t="shared" ca="1" si="1021"/>
        <v>0</v>
      </c>
      <c r="AC446" s="63">
        <f t="shared" ca="1" si="1021"/>
        <v>0</v>
      </c>
      <c r="AD446" s="63">
        <f t="shared" ca="1" si="1021"/>
        <v>0</v>
      </c>
      <c r="AE446" s="63">
        <f t="shared" ca="1" si="1021"/>
        <v>0</v>
      </c>
      <c r="AF446" s="63">
        <f t="shared" ca="1" si="1021"/>
        <v>0</v>
      </c>
      <c r="AG446" s="63">
        <f t="shared" ca="1" si="1021"/>
        <v>0</v>
      </c>
      <c r="AH446" s="130">
        <f>+Assumptions!AH69</f>
        <v>0</v>
      </c>
      <c r="AI446" s="130">
        <f>+Assumptions!AI69</f>
        <v>0</v>
      </c>
      <c r="AJ446" s="130">
        <f>+Assumptions!AJ69</f>
        <v>0</v>
      </c>
      <c r="AK446" s="79"/>
      <c r="AL446" s="46"/>
      <c r="AM446" s="63">
        <f>AM437/$AL$433</f>
        <v>0.12294001318391562</v>
      </c>
      <c r="AN446" s="63">
        <f>AN437/$AM$433</f>
        <v>0</v>
      </c>
      <c r="AO446" s="63">
        <f t="shared" ref="AO446:AU450" si="1022">AO437/AN$433</f>
        <v>0</v>
      </c>
      <c r="AP446" s="63">
        <f t="shared" si="1022"/>
        <v>0</v>
      </c>
      <c r="AQ446" s="63">
        <f t="shared" si="1022"/>
        <v>0</v>
      </c>
      <c r="AR446" s="63">
        <f t="shared" si="1022"/>
        <v>0</v>
      </c>
      <c r="AS446" s="63">
        <f t="shared" si="1022"/>
        <v>0</v>
      </c>
      <c r="AT446" s="63">
        <f t="shared" ca="1" si="1022"/>
        <v>0</v>
      </c>
      <c r="AU446" s="63">
        <f t="shared" ca="1" si="1022"/>
        <v>0</v>
      </c>
      <c r="AV446" s="130">
        <f>+Assumptions!AV69</f>
        <v>0</v>
      </c>
      <c r="AW446" s="130">
        <f>+Assumptions!AW69</f>
        <v>0</v>
      </c>
      <c r="AX446" s="130">
        <f>+Assumptions!AX69</f>
        <v>0</v>
      </c>
      <c r="BK446" s="1386" t="s">
        <v>1678</v>
      </c>
      <c r="BL446" s="1386"/>
      <c r="BM446" s="1341"/>
      <c r="BN446" s="1386"/>
      <c r="BO446" s="1370">
        <v>0.25</v>
      </c>
      <c r="BP446" s="1370">
        <v>0.1</v>
      </c>
      <c r="BQ446" s="1370">
        <v>0.1</v>
      </c>
      <c r="BR446" s="1370">
        <v>0.05</v>
      </c>
      <c r="BS446" s="1370">
        <v>0.02</v>
      </c>
    </row>
    <row r="447" spans="2:73" ht="11.25" customHeight="1">
      <c r="C447" s="43" t="s">
        <v>165</v>
      </c>
      <c r="E447" s="46"/>
      <c r="F447" s="46"/>
      <c r="G447" s="46"/>
      <c r="H447" s="46"/>
      <c r="I447" s="63">
        <f>I438/$E$433</f>
        <v>4.8387096774193551E-3</v>
      </c>
      <c r="J447" s="63">
        <f>J438/$F$433</f>
        <v>-7.8988941548183249E-3</v>
      </c>
      <c r="K447" s="63">
        <f>K438/$G$433</f>
        <v>1.2539184952978056E-2</v>
      </c>
      <c r="L447" s="63">
        <f>L438/$H$433</f>
        <v>-9.4867807153965783E-2</v>
      </c>
      <c r="M447" s="63">
        <f>M438/$I$433</f>
        <v>-1.4925373134328358E-2</v>
      </c>
      <c r="N447" s="63">
        <f>N438/$J$433</f>
        <v>-6.1166429587482217E-2</v>
      </c>
      <c r="O447" s="63">
        <f>O438/$K$433</f>
        <v>-8.4770114942528729E-2</v>
      </c>
      <c r="P447" s="63">
        <f>P438/$L$433</f>
        <v>-4.5523520485584217E-2</v>
      </c>
      <c r="Q447" s="63">
        <f>Q438/$M$433</f>
        <v>-6.4383561643835616E-2</v>
      </c>
      <c r="R447" s="63">
        <f>R438/$N$433</f>
        <v>-1.8335684062059238E-2</v>
      </c>
      <c r="S447" s="63">
        <f>S438/$O$433</f>
        <v>-5.8321479374110953E-2</v>
      </c>
      <c r="T447" s="63">
        <f>T438/$P$433</f>
        <v>-3.0478955007256895E-2</v>
      </c>
      <c r="U447" s="63">
        <f t="shared" si="1021"/>
        <v>0</v>
      </c>
      <c r="V447" s="63">
        <f t="shared" si="1021"/>
        <v>-0.1875</v>
      </c>
      <c r="W447" s="63">
        <f t="shared" si="1021"/>
        <v>-4.72027972027972E-2</v>
      </c>
      <c r="X447" s="63">
        <f t="shared" si="1021"/>
        <v>-6.9418386491557224E-2</v>
      </c>
      <c r="Y447" s="63">
        <f t="shared" si="1021"/>
        <v>-0.14232209737827714</v>
      </c>
      <c r="Z447" s="63">
        <f t="shared" si="1021"/>
        <v>6.589147286821706E-2</v>
      </c>
      <c r="AA447" s="63">
        <f t="shared" si="1021"/>
        <v>-2.8061224489795918E-2</v>
      </c>
      <c r="AB447" s="63">
        <f t="shared" si="1021"/>
        <v>1.2931034482758621E-2</v>
      </c>
      <c r="AC447" s="63">
        <f t="shared" si="1021"/>
        <v>1.2738853503184714E-2</v>
      </c>
      <c r="AD447" s="63">
        <f t="shared" si="1021"/>
        <v>-3.6900369003690036E-3</v>
      </c>
      <c r="AE447" s="63">
        <f t="shared" si="1021"/>
        <v>-0.10164424514200299</v>
      </c>
      <c r="AF447" s="63">
        <f t="shared" si="1021"/>
        <v>-0.25401459854014596</v>
      </c>
      <c r="AG447" s="63">
        <f t="shared" si="1021"/>
        <v>-0.11657303370786516</v>
      </c>
      <c r="AH447" s="130">
        <f>Assumptions!AH74</f>
        <v>-0.05</v>
      </c>
      <c r="AI447" s="130">
        <f>Assumptions!AI74</f>
        <v>-0.05</v>
      </c>
      <c r="AJ447" s="130">
        <f>Assumptions!AJ74</f>
        <v>-0.05</v>
      </c>
      <c r="AK447" s="79"/>
      <c r="AL447" s="46"/>
      <c r="AM447" s="63">
        <f>AM438/$AL$433</f>
        <v>-1.5491100856954515E-2</v>
      </c>
      <c r="AN447" s="63">
        <f>AN438/$AM$433</f>
        <v>1.7075773745997867E-2</v>
      </c>
      <c r="AO447" s="63">
        <f t="shared" si="1022"/>
        <v>-2.1704814522494082E-2</v>
      </c>
      <c r="AP447" s="63">
        <f t="shared" si="1022"/>
        <v>-5.2052785923753668E-2</v>
      </c>
      <c r="AQ447" s="63">
        <f t="shared" si="1022"/>
        <v>-4.3094312963617099E-2</v>
      </c>
      <c r="AR447" s="63">
        <f t="shared" si="1022"/>
        <v>-7.8440161362617666E-2</v>
      </c>
      <c r="AS447" s="63">
        <f t="shared" si="1022"/>
        <v>-2.5501899077590883E-2</v>
      </c>
      <c r="AT447" s="63">
        <f t="shared" si="1022"/>
        <v>-9.1257668711656442E-2</v>
      </c>
      <c r="AU447" s="63">
        <f t="shared" si="1022"/>
        <v>-6.7396907216494856E-2</v>
      </c>
      <c r="AV447" s="130">
        <f>+Assumptions!AV74</f>
        <v>0.01</v>
      </c>
      <c r="AW447" s="130">
        <f>+Assumptions!AW74</f>
        <v>0.01</v>
      </c>
      <c r="AX447" s="130">
        <f>+Assumptions!AX74</f>
        <v>0.01</v>
      </c>
      <c r="BK447" s="1339" t="s">
        <v>1675</v>
      </c>
      <c r="BL447" s="1339"/>
      <c r="BM447" s="1339"/>
      <c r="BN447" s="1339"/>
      <c r="BO447" s="1341">
        <v>0.2</v>
      </c>
      <c r="BP447" s="1341">
        <v>0.1</v>
      </c>
      <c r="BQ447" s="1341">
        <v>0.05</v>
      </c>
      <c r="BR447" s="1341">
        <v>0.05</v>
      </c>
      <c r="BS447" s="1341">
        <v>0.02</v>
      </c>
    </row>
    <row r="448" spans="2:73" ht="11.25" customHeight="1">
      <c r="C448" s="43" t="s">
        <v>166</v>
      </c>
      <c r="E448" s="46"/>
      <c r="F448" s="46"/>
      <c r="G448" s="46"/>
      <c r="H448" s="46"/>
      <c r="I448" s="63">
        <f>I439/$E$433</f>
        <v>8.2258064516129034E-2</v>
      </c>
      <c r="J448" s="63">
        <f>J439/$F$433</f>
        <v>0.1263823064770932</v>
      </c>
      <c r="K448" s="63">
        <f>K439/$G$433</f>
        <v>7.6802507836990594E-2</v>
      </c>
      <c r="L448" s="63">
        <f>L439/$H$433</f>
        <v>0.11353032659409021</v>
      </c>
      <c r="M448" s="63">
        <f>M439/$I$433</f>
        <v>8.6567164179104483E-2</v>
      </c>
      <c r="N448" s="63">
        <f>N439/$J$433</f>
        <v>5.8321479374110953E-2</v>
      </c>
      <c r="O448" s="63">
        <f>O439/$K$433</f>
        <v>9.6264367816091947E-2</v>
      </c>
      <c r="P448" s="63">
        <f>P439/$L$433</f>
        <v>9.5599393019726864E-2</v>
      </c>
      <c r="Q448" s="63">
        <f>Q439/$M$433</f>
        <v>-2.8767123287671233E-2</v>
      </c>
      <c r="R448" s="63">
        <f>R439/$N$433</f>
        <v>-8.3215796897038077E-2</v>
      </c>
      <c r="S448" s="63">
        <f>S439/$O$433</f>
        <v>-0.11379800853485064</v>
      </c>
      <c r="T448" s="63">
        <f>T439/$P$433</f>
        <v>-0.1262699564586357</v>
      </c>
      <c r="U448" s="63">
        <f t="shared" si="1021"/>
        <v>-8.7082728592162553E-2</v>
      </c>
      <c r="V448" s="63">
        <f t="shared" si="1021"/>
        <v>-9.7972972972972971E-2</v>
      </c>
      <c r="W448" s="63">
        <f t="shared" si="1021"/>
        <v>-8.3916083916083919E-2</v>
      </c>
      <c r="X448" s="63">
        <f t="shared" si="1021"/>
        <v>-2.6266416510318951E-2</v>
      </c>
      <c r="Y448" s="63">
        <f t="shared" si="1021"/>
        <v>0.15355805243445692</v>
      </c>
      <c r="Z448" s="63">
        <f t="shared" si="1021"/>
        <v>0.44961240310077522</v>
      </c>
      <c r="AA448" s="63">
        <f t="shared" si="1021"/>
        <v>0.59948979591836737</v>
      </c>
      <c r="AB448" s="63">
        <f t="shared" si="1021"/>
        <v>0.52370689655172409</v>
      </c>
      <c r="AC448" s="63">
        <f t="shared" si="1021"/>
        <v>0.41825902335456477</v>
      </c>
      <c r="AD448" s="63">
        <f t="shared" si="1021"/>
        <v>0.25830258302583026</v>
      </c>
      <c r="AE448" s="63">
        <f t="shared" si="1021"/>
        <v>0.15396113602391628</v>
      </c>
      <c r="AF448" s="63">
        <f t="shared" si="1021"/>
        <v>3.2116788321167884E-2</v>
      </c>
      <c r="AG448" s="63">
        <f t="shared" si="1021"/>
        <v>-5.3370786516853931E-2</v>
      </c>
      <c r="AH448" s="130">
        <f>+Assumptions!AH79</f>
        <v>-0.01</v>
      </c>
      <c r="AI448" s="130">
        <f>+Assumptions!AI79</f>
        <v>-0.01</v>
      </c>
      <c r="AJ448" s="130">
        <f>+Assumptions!AJ79</f>
        <v>-0.01</v>
      </c>
      <c r="AK448" s="79"/>
      <c r="AL448" s="46"/>
      <c r="AM448" s="63">
        <f>AM439/$AL$433</f>
        <v>-0.17369808833223468</v>
      </c>
      <c r="AN448" s="63">
        <f>AN439/$AM$433</f>
        <v>-0.1127712557808609</v>
      </c>
      <c r="AO448" s="63">
        <f t="shared" si="1022"/>
        <v>9.9842146803472767E-2</v>
      </c>
      <c r="AP448" s="63">
        <f t="shared" si="1022"/>
        <v>8.3944281524926681E-2</v>
      </c>
      <c r="AQ448" s="63">
        <f t="shared" si="1022"/>
        <v>-8.7248322147651006E-2</v>
      </c>
      <c r="AR448" s="63">
        <f t="shared" si="1022"/>
        <v>-8.0681308830121021E-2</v>
      </c>
      <c r="AS448" s="63">
        <f t="shared" si="1022"/>
        <v>0.42973412913727616</v>
      </c>
      <c r="AT448" s="63">
        <f t="shared" si="1022"/>
        <v>0.17714723926380369</v>
      </c>
      <c r="AU448" s="63">
        <f t="shared" si="1022"/>
        <v>-2.1358615611192931E-2</v>
      </c>
      <c r="AV448" s="130">
        <f>+Assumptions!AV79</f>
        <v>0</v>
      </c>
      <c r="AW448" s="130">
        <f>+Assumptions!AW79</f>
        <v>0</v>
      </c>
      <c r="AX448" s="130">
        <f>+Assumptions!AX79</f>
        <v>0</v>
      </c>
      <c r="BK448" s="1339" t="s">
        <v>1679</v>
      </c>
      <c r="BL448" s="1339"/>
      <c r="BM448" s="1339"/>
      <c r="BN448" s="1339"/>
      <c r="BO448" s="1341">
        <v>0.2</v>
      </c>
      <c r="BP448" s="1341">
        <v>0.1</v>
      </c>
      <c r="BQ448" s="1341">
        <v>0.05</v>
      </c>
      <c r="BR448" s="1341">
        <v>0.03</v>
      </c>
      <c r="BS448" s="1341">
        <v>0.03</v>
      </c>
    </row>
    <row r="449" spans="3:72" ht="11.25" customHeight="1">
      <c r="C449" s="43" t="s">
        <v>167</v>
      </c>
      <c r="E449" s="46"/>
      <c r="F449" s="46"/>
      <c r="G449" s="46"/>
      <c r="H449" s="46"/>
      <c r="I449" s="63">
        <f>I440/$E$433</f>
        <v>-6.4516129032258064E-3</v>
      </c>
      <c r="J449" s="63">
        <f>J440/$F$433</f>
        <v>-7.8988941548183249E-3</v>
      </c>
      <c r="K449" s="63">
        <f>K440/$G$433</f>
        <v>1.567398119122257E-3</v>
      </c>
      <c r="L449" s="63">
        <f>L440/$H$433</f>
        <v>6.2208398133748056E-3</v>
      </c>
      <c r="M449" s="63">
        <f>M440/$I$433</f>
        <v>1.7910447761194031E-2</v>
      </c>
      <c r="N449" s="63">
        <f>N440/$J$433</f>
        <v>1.1379800853485065E-2</v>
      </c>
      <c r="O449" s="63">
        <f>O440/$K$433</f>
        <v>-1.4367816091954023E-3</v>
      </c>
      <c r="P449" s="63">
        <f>P440/$L$433</f>
        <v>-4.552352048558422E-3</v>
      </c>
      <c r="Q449" s="63">
        <f>Q440/$M$433</f>
        <v>-9.5890410958904115E-3</v>
      </c>
      <c r="R449" s="63">
        <f>R440/$N$433</f>
        <v>-8.4626234132581107E-3</v>
      </c>
      <c r="S449" s="63">
        <f>S440/$O$433</f>
        <v>-4.2674253200568994E-3</v>
      </c>
      <c r="T449" s="63">
        <f>T440/$P$433</f>
        <v>-4.3541364296081275E-3</v>
      </c>
      <c r="U449" s="63">
        <f t="shared" si="1021"/>
        <v>-4.3541364296081275E-3</v>
      </c>
      <c r="V449" s="63">
        <f t="shared" si="1021"/>
        <v>-1.6891891891891893E-3</v>
      </c>
      <c r="W449" s="63">
        <f t="shared" si="1021"/>
        <v>3.4965034965034965E-3</v>
      </c>
      <c r="X449" s="63">
        <f t="shared" si="1021"/>
        <v>7.5046904315196998E-3</v>
      </c>
      <c r="Y449" s="63">
        <f t="shared" si="1021"/>
        <v>1.3108614232209739E-2</v>
      </c>
      <c r="Z449" s="63">
        <f t="shared" si="1021"/>
        <v>1.7441860465116279E-2</v>
      </c>
      <c r="AA449" s="63">
        <f t="shared" si="1021"/>
        <v>2.5510204081632651E-3</v>
      </c>
      <c r="AB449" s="63">
        <f t="shared" si="1021"/>
        <v>-6.4655172413793103E-3</v>
      </c>
      <c r="AC449" s="63">
        <f t="shared" si="1021"/>
        <v>-1.9108280254777069E-2</v>
      </c>
      <c r="AD449" s="63">
        <f t="shared" si="1021"/>
        <v>-2.3985239852398525E-2</v>
      </c>
      <c r="AE449" s="63">
        <f t="shared" si="1021"/>
        <v>-2.2421524663677129E-2</v>
      </c>
      <c r="AF449" s="63">
        <f t="shared" si="1021"/>
        <v>-1.4598540145985401E-2</v>
      </c>
      <c r="AG449" s="63">
        <f t="shared" si="1021"/>
        <v>-7.0224719101123594E-3</v>
      </c>
      <c r="AH449" s="130">
        <v>0</v>
      </c>
      <c r="AI449" s="130">
        <v>0</v>
      </c>
      <c r="AJ449" s="130">
        <v>0</v>
      </c>
      <c r="AK449" s="79"/>
      <c r="AL449" s="46"/>
      <c r="AM449" s="63">
        <f>AM440/$AL$433</f>
        <v>-7.2511535926170073E-3</v>
      </c>
      <c r="AN449" s="63">
        <f>AN440/$AM$433</f>
        <v>-2.8459622909996441E-3</v>
      </c>
      <c r="AO449" s="63">
        <f t="shared" si="1022"/>
        <v>-1.5785319652722968E-3</v>
      </c>
      <c r="AP449" s="63">
        <f t="shared" si="1022"/>
        <v>5.8651026392961877E-3</v>
      </c>
      <c r="AQ449" s="63">
        <f t="shared" si="1022"/>
        <v>-6.7114093959731542E-3</v>
      </c>
      <c r="AR449" s="63">
        <f t="shared" si="1022"/>
        <v>8.9645898700134474E-4</v>
      </c>
      <c r="AS449" s="63">
        <f t="shared" si="1022"/>
        <v>7.5963103635377106E-3</v>
      </c>
      <c r="AT449" s="63">
        <f t="shared" si="1022"/>
        <v>-1.8021472392638037E-2</v>
      </c>
      <c r="AU449" s="63">
        <f t="shared" si="1022"/>
        <v>-1.8409425625920471E-3</v>
      </c>
      <c r="AV449" s="130">
        <f>+Assumptions!AV84</f>
        <v>0</v>
      </c>
      <c r="AW449" s="130">
        <f>+Assumptions!AW84</f>
        <v>0</v>
      </c>
      <c r="AX449" s="130">
        <f>+Assumptions!AX84</f>
        <v>0</v>
      </c>
      <c r="BK449" s="1342" t="s">
        <v>1672</v>
      </c>
      <c r="BL449" s="1342"/>
      <c r="BM449" s="1342"/>
      <c r="BN449" s="1342"/>
      <c r="BO449" s="1344">
        <v>0.05</v>
      </c>
      <c r="BP449" s="1344">
        <v>0.05</v>
      </c>
      <c r="BQ449" s="1344">
        <v>0.05</v>
      </c>
      <c r="BR449" s="1344">
        <v>0.05</v>
      </c>
      <c r="BS449" s="1344">
        <v>0.05</v>
      </c>
    </row>
    <row r="450" spans="3:72" ht="11.25" customHeight="1">
      <c r="C450" s="45" t="s">
        <v>351</v>
      </c>
      <c r="E450" s="91"/>
      <c r="F450" s="91"/>
      <c r="G450" s="91"/>
      <c r="H450" s="91"/>
      <c r="I450" s="67">
        <f>I441/$E$433</f>
        <v>8.0645161290322578E-2</v>
      </c>
      <c r="J450" s="67">
        <f>J441/$F$433</f>
        <v>0.11058451816745656</v>
      </c>
      <c r="K450" s="67">
        <f>K441/$G$433</f>
        <v>9.0909090909090912E-2</v>
      </c>
      <c r="L450" s="67">
        <f>L441/$H$433</f>
        <v>2.4883359253499222E-2</v>
      </c>
      <c r="M450" s="67">
        <f>M441/$I$433</f>
        <v>8.9552238805970144E-2</v>
      </c>
      <c r="N450" s="67">
        <f>N441/$J$433</f>
        <v>8.5348506401137988E-3</v>
      </c>
      <c r="O450" s="67">
        <f>O441/$K$433</f>
        <v>1.0057471264367816E-2</v>
      </c>
      <c r="P450" s="67">
        <f>P441/$L$433</f>
        <v>4.5523520485584217E-2</v>
      </c>
      <c r="Q450" s="67">
        <f>Q441/$M$433</f>
        <v>-0.10273972602739725</v>
      </c>
      <c r="R450" s="67">
        <f>R441/$N$433</f>
        <v>-0.11001410437235543</v>
      </c>
      <c r="S450" s="67">
        <f>S441/$O$433</f>
        <v>-0.1763869132290185</v>
      </c>
      <c r="T450" s="67">
        <f>T441/$P$433</f>
        <v>-0.16110304789550073</v>
      </c>
      <c r="U450" s="67">
        <f t="shared" si="1021"/>
        <v>-9.1436865021770689E-2</v>
      </c>
      <c r="V450" s="67">
        <f t="shared" si="1021"/>
        <v>-0.28716216216216217</v>
      </c>
      <c r="W450" s="67">
        <f t="shared" si="1021"/>
        <v>-0.12762237762237763</v>
      </c>
      <c r="X450" s="67">
        <f t="shared" si="1021"/>
        <v>-8.8180112570356475E-2</v>
      </c>
      <c r="Y450" s="67">
        <f t="shared" ca="1" si="1021"/>
        <v>2.4344569288389514E-2</v>
      </c>
      <c r="Z450" s="67">
        <f t="shared" ca="1" si="1021"/>
        <v>0.53294573643410847</v>
      </c>
      <c r="AA450" s="67">
        <f t="shared" ca="1" si="1021"/>
        <v>0.57397959183673475</v>
      </c>
      <c r="AB450" s="67">
        <f t="shared" ca="1" si="1021"/>
        <v>0.53017241379310343</v>
      </c>
      <c r="AC450" s="67">
        <f t="shared" ca="1" si="1021"/>
        <v>0.41188959660297242</v>
      </c>
      <c r="AD450" s="67">
        <f t="shared" ca="1" si="1021"/>
        <v>0.23062730627306274</v>
      </c>
      <c r="AE450" s="67">
        <f t="shared" ca="1" si="1021"/>
        <v>2.9895366218236172E-2</v>
      </c>
      <c r="AF450" s="67">
        <f t="shared" ca="1" si="1021"/>
        <v>-0.2364963503649635</v>
      </c>
      <c r="AG450" s="67">
        <f t="shared" ca="1" si="1021"/>
        <v>-0.17696629213483145</v>
      </c>
      <c r="AH450" s="125">
        <f t="shared" ref="AH450:AJ450" si="1023">SUM(AH446:AH449)</f>
        <v>-6.0000000000000005E-2</v>
      </c>
      <c r="AI450" s="125">
        <f t="shared" si="1023"/>
        <v>-6.0000000000000005E-2</v>
      </c>
      <c r="AJ450" s="125">
        <f t="shared" si="1023"/>
        <v>-6.0000000000000005E-2</v>
      </c>
      <c r="AK450" s="79"/>
      <c r="AL450" s="91"/>
      <c r="AM450" s="67">
        <f>AM441/$AL$433</f>
        <v>-7.3500329597890574E-2</v>
      </c>
      <c r="AN450" s="67">
        <f>AN441/$AM$433</f>
        <v>-9.8541444325862676E-2</v>
      </c>
      <c r="AO450" s="67">
        <f t="shared" si="1022"/>
        <v>7.6558800315706388E-2</v>
      </c>
      <c r="AP450" s="67">
        <f t="shared" si="1022"/>
        <v>3.7756598240469209E-2</v>
      </c>
      <c r="AQ450" s="67">
        <f t="shared" si="1022"/>
        <v>-0.13705404450724126</v>
      </c>
      <c r="AR450" s="67">
        <f t="shared" si="1022"/>
        <v>-0.15822501120573734</v>
      </c>
      <c r="AS450" s="67">
        <f t="shared" si="1022"/>
        <v>0.41182854042322303</v>
      </c>
      <c r="AT450" s="67">
        <f t="shared" ca="1" si="1022"/>
        <v>6.7868098159509199E-2</v>
      </c>
      <c r="AU450" s="67">
        <f t="shared" ca="1" si="1022"/>
        <v>-9.0596465390279823E-2</v>
      </c>
      <c r="AV450" s="125">
        <f>SUM(AV446:AV449)</f>
        <v>0.01</v>
      </c>
      <c r="AW450" s="125">
        <f>SUM(AW446:AW449)</f>
        <v>0.01</v>
      </c>
      <c r="AX450" s="125">
        <f>SUM(AX446:AX449)</f>
        <v>0.01</v>
      </c>
      <c r="BK450" s="1342" t="s">
        <v>1677</v>
      </c>
      <c r="BL450" s="1342"/>
      <c r="BM450" s="1342"/>
      <c r="BN450" s="1342"/>
      <c r="BO450" s="1344">
        <v>0.05</v>
      </c>
      <c r="BP450" s="1344">
        <v>0.05</v>
      </c>
      <c r="BQ450" s="1344">
        <v>0.05</v>
      </c>
      <c r="BR450" s="1344">
        <v>0.05</v>
      </c>
      <c r="BS450" s="1344">
        <v>0.05</v>
      </c>
    </row>
    <row r="451" spans="3:72" ht="11.25" customHeight="1">
      <c r="C451" s="45"/>
      <c r="E451" s="29"/>
      <c r="F451" s="29"/>
      <c r="G451" s="29"/>
      <c r="H451" s="29"/>
      <c r="I451" s="29"/>
      <c r="J451" s="29"/>
      <c r="K451" s="29"/>
      <c r="L451" s="29"/>
      <c r="M451" s="29"/>
      <c r="N451" s="29"/>
      <c r="O451" s="29"/>
      <c r="P451" s="29"/>
      <c r="AK451" s="79"/>
      <c r="AL451" s="29"/>
      <c r="AM451" s="29"/>
      <c r="AN451" s="29"/>
      <c r="AO451" s="29"/>
      <c r="AP451" s="29"/>
      <c r="BK451" s="1386" t="s">
        <v>1385</v>
      </c>
      <c r="BL451" s="1386"/>
      <c r="BM451" s="1386"/>
      <c r="BN451" s="1386"/>
      <c r="BO451" s="1370">
        <v>0.1</v>
      </c>
      <c r="BP451" s="1370">
        <v>0.02</v>
      </c>
      <c r="BQ451" s="1370">
        <v>0.02</v>
      </c>
      <c r="BR451" s="1370">
        <v>0.02</v>
      </c>
      <c r="BS451" s="1370">
        <v>0.02</v>
      </c>
    </row>
    <row r="452" spans="3:72" ht="11.25" customHeight="1">
      <c r="C452" s="36" t="s">
        <v>110</v>
      </c>
      <c r="E452" s="82">
        <v>67</v>
      </c>
      <c r="F452" s="82">
        <v>15</v>
      </c>
      <c r="G452" s="82">
        <v>39</v>
      </c>
      <c r="H452" s="82">
        <v>50</v>
      </c>
      <c r="I452" s="82">
        <v>82</v>
      </c>
      <c r="J452" s="82">
        <v>83</v>
      </c>
      <c r="K452" s="82">
        <v>81</v>
      </c>
      <c r="L452" s="82">
        <v>9</v>
      </c>
      <c r="M452" s="82">
        <v>70</v>
      </c>
      <c r="N452" s="82">
        <v>85</v>
      </c>
      <c r="O452" s="82">
        <v>109</v>
      </c>
      <c r="P452" s="82">
        <v>44</v>
      </c>
      <c r="Q452" s="82">
        <v>66</v>
      </c>
      <c r="R452" s="82">
        <v>50</v>
      </c>
      <c r="S452" s="82">
        <v>25</v>
      </c>
      <c r="T452" s="82">
        <v>-4</v>
      </c>
      <c r="U452" s="82">
        <v>59</v>
      </c>
      <c r="V452" s="82">
        <v>-2</v>
      </c>
      <c r="W452" s="82">
        <v>25</v>
      </c>
      <c r="X452" s="82">
        <v>26</v>
      </c>
      <c r="Y452" s="82">
        <v>52</v>
      </c>
      <c r="Z452" s="82">
        <v>131</v>
      </c>
      <c r="AA452" s="82">
        <v>130</v>
      </c>
      <c r="AB452" s="82">
        <v>99</v>
      </c>
      <c r="AC452" s="82">
        <v>112</v>
      </c>
      <c r="AD452" s="82">
        <v>142</v>
      </c>
      <c r="AE452" s="82">
        <v>68</v>
      </c>
      <c r="AF452" s="82">
        <v>24</v>
      </c>
      <c r="AG452" s="82">
        <v>42</v>
      </c>
      <c r="AH452" s="30">
        <f t="shared" ref="AH452:AJ452" si="1024">+AH461-SUM(AH457:AH460)</f>
        <v>58.054399999999994</v>
      </c>
      <c r="AI452" s="30">
        <f t="shared" si="1024"/>
        <v>50.008000000000003</v>
      </c>
      <c r="AJ452" s="30">
        <f t="shared" si="1024"/>
        <v>42.412799999999997</v>
      </c>
      <c r="AK452" s="79"/>
      <c r="AL452" s="82">
        <v>352</v>
      </c>
      <c r="AM452" s="82">
        <v>294</v>
      </c>
      <c r="AN452" s="31">
        <f t="shared" ref="AN452:AU452" si="1025">SUMIF($E$6:$AK$6,AN$6,$E452:$AK452)</f>
        <v>171</v>
      </c>
      <c r="AO452" s="31">
        <f t="shared" si="1025"/>
        <v>255</v>
      </c>
      <c r="AP452" s="31">
        <f t="shared" si="1025"/>
        <v>308</v>
      </c>
      <c r="AQ452" s="31">
        <f t="shared" si="1025"/>
        <v>137</v>
      </c>
      <c r="AR452" s="31">
        <f t="shared" si="1025"/>
        <v>108</v>
      </c>
      <c r="AS452" s="30">
        <f t="shared" si="1025"/>
        <v>412</v>
      </c>
      <c r="AT452" s="30">
        <f t="shared" si="1025"/>
        <v>346</v>
      </c>
      <c r="AU452" s="30">
        <f t="shared" si="1025"/>
        <v>192.4752</v>
      </c>
      <c r="AV452" s="30">
        <f>+AV461-SUM(AV457:AV460)</f>
        <v>199.57115199999998</v>
      </c>
      <c r="AW452" s="30">
        <f>+AW461-SUM(AW457:AW460)</f>
        <v>201.56686351999997</v>
      </c>
      <c r="AX452" s="30">
        <f>+AX461-SUM(AX457:AX460)</f>
        <v>203.58253215519994</v>
      </c>
    </row>
    <row r="453" spans="3:72" ht="11.25" customHeight="1" outlineLevel="1">
      <c r="C453" s="107" t="s">
        <v>358</v>
      </c>
      <c r="E453" s="90"/>
      <c r="F453" s="90"/>
      <c r="G453" s="90"/>
      <c r="H453" s="90"/>
      <c r="I453" s="94">
        <f t="shared" ref="I453:AC453" si="1026">IFERROR(I452/E452-1,"NA  ")</f>
        <v>0.22388059701492535</v>
      </c>
      <c r="J453" s="94">
        <f t="shared" si="1026"/>
        <v>4.5333333333333332</v>
      </c>
      <c r="K453" s="94">
        <f t="shared" si="1026"/>
        <v>1.0769230769230771</v>
      </c>
      <c r="L453" s="94">
        <f t="shared" si="1026"/>
        <v>-0.82000000000000006</v>
      </c>
      <c r="M453" s="94">
        <f t="shared" si="1026"/>
        <v>-0.14634146341463417</v>
      </c>
      <c r="N453" s="94">
        <f t="shared" si="1026"/>
        <v>2.4096385542168752E-2</v>
      </c>
      <c r="O453" s="94">
        <f t="shared" si="1026"/>
        <v>0.34567901234567899</v>
      </c>
      <c r="P453" s="94">
        <f t="shared" si="1026"/>
        <v>3.8888888888888893</v>
      </c>
      <c r="Q453" s="94">
        <f t="shared" si="1026"/>
        <v>-5.7142857142857162E-2</v>
      </c>
      <c r="R453" s="94">
        <f t="shared" si="1026"/>
        <v>-0.41176470588235292</v>
      </c>
      <c r="S453" s="94">
        <f t="shared" si="1026"/>
        <v>-0.77064220183486243</v>
      </c>
      <c r="T453" s="94">
        <f t="shared" si="1026"/>
        <v>-1.0909090909090908</v>
      </c>
      <c r="U453" s="94">
        <f t="shared" si="1026"/>
        <v>-0.10606060606060608</v>
      </c>
      <c r="V453" s="94">
        <f t="shared" si="1026"/>
        <v>-1.04</v>
      </c>
      <c r="W453" s="94">
        <f t="shared" si="1026"/>
        <v>0</v>
      </c>
      <c r="X453" s="95">
        <f t="shared" si="1026"/>
        <v>-7.5</v>
      </c>
      <c r="Y453" s="95">
        <f t="shared" si="1026"/>
        <v>-0.11864406779661019</v>
      </c>
      <c r="Z453" s="95">
        <f t="shared" si="1026"/>
        <v>-66.5</v>
      </c>
      <c r="AA453" s="95">
        <f t="shared" si="1026"/>
        <v>4.2</v>
      </c>
      <c r="AB453" s="95">
        <f t="shared" si="1026"/>
        <v>2.8076923076923075</v>
      </c>
      <c r="AC453" s="95">
        <f t="shared" si="1026"/>
        <v>1.1538461538461537</v>
      </c>
      <c r="AD453" s="95">
        <f t="shared" ref="AD453" si="1027">IFERROR(AD452/Z452-1,"NA  ")</f>
        <v>8.3969465648854991E-2</v>
      </c>
      <c r="AE453" s="95">
        <f t="shared" ref="AE453" si="1028">IFERROR(AE452/AA452-1,"NA  ")</f>
        <v>-0.47692307692307689</v>
      </c>
      <c r="AF453" s="95">
        <f t="shared" ref="AF453:AG453" si="1029">IFERROR(AF452/AB452-1,"NA  ")</f>
        <v>-0.75757575757575757</v>
      </c>
      <c r="AG453" s="95">
        <f t="shared" si="1029"/>
        <v>-0.625</v>
      </c>
      <c r="AH453" s="95">
        <f t="shared" ref="AH453" si="1030">IFERROR(AH452/AD452-1,"NA  ")</f>
        <v>-0.5911661971830986</v>
      </c>
      <c r="AI453" s="95">
        <f t="shared" ref="AI453" si="1031">IFERROR(AI452/AE452-1,"NA  ")</f>
        <v>-0.26458823529411757</v>
      </c>
      <c r="AJ453" s="95">
        <f t="shared" ref="AJ453" si="1032">IFERROR(AJ452/AF452-1,"NA  ")</f>
        <v>0.76719999999999988</v>
      </c>
      <c r="AK453" s="79"/>
      <c r="AL453" s="47"/>
      <c r="AM453" s="94">
        <f t="shared" ref="AM453:AX453" si="1033">IFERROR(AM452/AL452-1,"NA  ")</f>
        <v>-0.16477272727272729</v>
      </c>
      <c r="AN453" s="94">
        <f t="shared" si="1033"/>
        <v>-0.41836734693877553</v>
      </c>
      <c r="AO453" s="94">
        <f t="shared" si="1033"/>
        <v>0.49122807017543857</v>
      </c>
      <c r="AP453" s="94">
        <f t="shared" si="1033"/>
        <v>0.20784313725490189</v>
      </c>
      <c r="AQ453" s="94">
        <f t="shared" si="1033"/>
        <v>-0.55519480519480524</v>
      </c>
      <c r="AR453" s="94">
        <f t="shared" si="1033"/>
        <v>-0.21167883211678828</v>
      </c>
      <c r="AS453" s="94">
        <f t="shared" si="1033"/>
        <v>2.8148148148148149</v>
      </c>
      <c r="AT453" s="94">
        <f t="shared" si="1033"/>
        <v>-0.16019417475728159</v>
      </c>
      <c r="AU453" s="94">
        <f t="shared" si="1033"/>
        <v>-0.44371329479768784</v>
      </c>
      <c r="AV453" s="94">
        <f t="shared" si="1033"/>
        <v>3.6866837909507177E-2</v>
      </c>
      <c r="AW453" s="94">
        <f t="shared" si="1033"/>
        <v>1.0000000000000009E-2</v>
      </c>
      <c r="AX453" s="94">
        <f t="shared" si="1033"/>
        <v>9.9999999999997868E-3</v>
      </c>
      <c r="BK453" s="1304" t="s">
        <v>841</v>
      </c>
      <c r="BL453" s="1304"/>
      <c r="BM453" s="13" t="s">
        <v>1665</v>
      </c>
      <c r="BN453" s="1333">
        <v>2021</v>
      </c>
      <c r="BO453" s="1333">
        <v>2022</v>
      </c>
      <c r="BP453" s="1333">
        <f>BO453+1</f>
        <v>2023</v>
      </c>
      <c r="BQ453" s="1333">
        <f t="shared" ref="BQ453:BS453" si="1034">BP453+1</f>
        <v>2024</v>
      </c>
      <c r="BR453" s="1333">
        <f t="shared" si="1034"/>
        <v>2025</v>
      </c>
      <c r="BS453" s="1333">
        <f t="shared" si="1034"/>
        <v>2026</v>
      </c>
    </row>
    <row r="454" spans="3:72" ht="11.25" customHeight="1" outlineLevel="1">
      <c r="C454" s="107" t="s">
        <v>360</v>
      </c>
      <c r="E454" s="94">
        <f t="shared" ref="E454:AJ454" si="1035">E452/E433</f>
        <v>0.10806451612903226</v>
      </c>
      <c r="F454" s="94">
        <f t="shared" si="1035"/>
        <v>2.3696682464454975E-2</v>
      </c>
      <c r="G454" s="94">
        <f t="shared" si="1035"/>
        <v>6.1128526645768025E-2</v>
      </c>
      <c r="H454" s="94">
        <f t="shared" si="1035"/>
        <v>7.7760497667185069E-2</v>
      </c>
      <c r="I454" s="94">
        <f t="shared" si="1035"/>
        <v>0.12238805970149254</v>
      </c>
      <c r="J454" s="94">
        <f t="shared" si="1035"/>
        <v>0.11806543385490754</v>
      </c>
      <c r="K454" s="94">
        <f t="shared" si="1035"/>
        <v>0.11637931034482758</v>
      </c>
      <c r="L454" s="94">
        <f t="shared" si="1035"/>
        <v>1.3657056145675266E-2</v>
      </c>
      <c r="M454" s="94">
        <f t="shared" si="1035"/>
        <v>9.5890410958904104E-2</v>
      </c>
      <c r="N454" s="94">
        <f t="shared" si="1035"/>
        <v>0.11988716502115655</v>
      </c>
      <c r="O454" s="94">
        <f t="shared" si="1035"/>
        <v>0.155049786628734</v>
      </c>
      <c r="P454" s="94">
        <f t="shared" si="1035"/>
        <v>6.3860667634252535E-2</v>
      </c>
      <c r="Q454" s="94">
        <f t="shared" si="1035"/>
        <v>0.11148648648648649</v>
      </c>
      <c r="R454" s="94">
        <f t="shared" si="1035"/>
        <v>8.7412587412587409E-2</v>
      </c>
      <c r="S454" s="94">
        <f t="shared" si="1035"/>
        <v>4.6904315196998121E-2</v>
      </c>
      <c r="T454" s="94">
        <f t="shared" si="1035"/>
        <v>-7.4906367041198503E-3</v>
      </c>
      <c r="U454" s="94">
        <f t="shared" si="1035"/>
        <v>0.11434108527131782</v>
      </c>
      <c r="V454" s="94">
        <f t="shared" si="1035"/>
        <v>-5.1020408163265302E-3</v>
      </c>
      <c r="W454" s="94">
        <f t="shared" si="1035"/>
        <v>5.3879310344827583E-2</v>
      </c>
      <c r="X454" s="94">
        <f t="shared" si="1035"/>
        <v>5.5201698513800426E-2</v>
      </c>
      <c r="Y454" s="94">
        <f t="shared" si="1035"/>
        <v>9.5940959409594101E-2</v>
      </c>
      <c r="Z454" s="94">
        <f t="shared" si="1035"/>
        <v>0.19581464872944693</v>
      </c>
      <c r="AA454" s="94">
        <f t="shared" si="1035"/>
        <v>0.18978102189781021</v>
      </c>
      <c r="AB454" s="94">
        <f t="shared" si="1035"/>
        <v>0.13904494382022473</v>
      </c>
      <c r="AC454" s="94">
        <f t="shared" si="1035"/>
        <v>0.15664335664335666</v>
      </c>
      <c r="AD454" s="94">
        <f t="shared" si="1035"/>
        <v>0.18393782383419688</v>
      </c>
      <c r="AE454" s="94">
        <f t="shared" si="1035"/>
        <v>0.10225563909774436</v>
      </c>
      <c r="AF454" s="94">
        <f t="shared" si="1035"/>
        <v>4.2553191489361701E-2</v>
      </c>
      <c r="AG454" s="94">
        <f t="shared" ref="AG454" si="1036">AG452/AG433</f>
        <v>7.1307300509337868E-2</v>
      </c>
      <c r="AH454" s="94">
        <f t="shared" si="1035"/>
        <v>0.08</v>
      </c>
      <c r="AI454" s="94">
        <f t="shared" si="1035"/>
        <v>0.08</v>
      </c>
      <c r="AJ454" s="94">
        <f t="shared" si="1035"/>
        <v>0.08</v>
      </c>
      <c r="AK454" s="79"/>
      <c r="AL454" s="94">
        <f t="shared" ref="AL454:AX454" si="1037">AL452/AL433</f>
        <v>0.11601845748187212</v>
      </c>
      <c r="AM454" s="94">
        <f t="shared" si="1037"/>
        <v>0.10458911419423693</v>
      </c>
      <c r="AN454" s="94">
        <f t="shared" si="1037"/>
        <v>6.7482241515390687E-2</v>
      </c>
      <c r="AO454" s="94">
        <f t="shared" si="1037"/>
        <v>9.3475073313782991E-2</v>
      </c>
      <c r="AP454" s="94">
        <f t="shared" si="1037"/>
        <v>0.10879547862945955</v>
      </c>
      <c r="AQ454" s="94">
        <f t="shared" si="1037"/>
        <v>6.1407440609592114E-2</v>
      </c>
      <c r="AR454" s="94">
        <f t="shared" si="1037"/>
        <v>5.8600108518719482E-2</v>
      </c>
      <c r="AS454" s="94">
        <f t="shared" si="1037"/>
        <v>0.15797546012269939</v>
      </c>
      <c r="AT454" s="94">
        <f t="shared" si="1037"/>
        <v>0.12739322533136965</v>
      </c>
      <c r="AU454" s="94">
        <f t="shared" si="1037"/>
        <v>7.7927075151623129E-2</v>
      </c>
      <c r="AV454" s="94">
        <f t="shared" si="1037"/>
        <v>0.08</v>
      </c>
      <c r="AW454" s="94">
        <f t="shared" si="1037"/>
        <v>0.08</v>
      </c>
      <c r="AX454" s="94">
        <f t="shared" si="1037"/>
        <v>0.08</v>
      </c>
      <c r="BJ454" s="66">
        <v>0.56000000000000005</v>
      </c>
      <c r="BK454" s="1307" t="s">
        <v>195</v>
      </c>
      <c r="BL454" s="1309"/>
      <c r="BM454" s="1329">
        <f>BM433*0.95+BM434/2+BM440+BM435*(2/3)</f>
        <v>0.55466666666666664</v>
      </c>
      <c r="BN454" s="1311">
        <f>BN433+BN434*(1/3)+BN440+BN435*(2.5/3)</f>
        <v>1473.52</v>
      </c>
      <c r="BO454" s="1311">
        <f>BO433+BO434*(1/3)+BO440+BO435*(2.5/3)</f>
        <v>1538.9373333333335</v>
      </c>
      <c r="BP454" s="1311">
        <f>BP433+BP434*(1/3)+BP440+BP435*(2.5/3)</f>
        <v>1543.9316533333333</v>
      </c>
      <c r="BQ454" s="1311">
        <f t="shared" ref="BQ454:BS454" si="1038">BQ433+BQ434*(1/3)+BQ440+BQ435*(2.5/3)</f>
        <v>1625.6289050666667</v>
      </c>
      <c r="BR454" s="1311">
        <f t="shared" si="1038"/>
        <v>1691.6883827680001</v>
      </c>
      <c r="BS454" s="1311">
        <f t="shared" si="1038"/>
        <v>1747.28544750336</v>
      </c>
    </row>
    <row r="455" spans="3:72" ht="11.25" customHeight="1">
      <c r="C455" s="36"/>
      <c r="E455" s="29"/>
      <c r="F455" s="29"/>
      <c r="G455" s="29"/>
      <c r="H455" s="29"/>
      <c r="I455" s="29"/>
      <c r="J455" s="29"/>
      <c r="K455" s="29"/>
      <c r="L455" s="29"/>
      <c r="M455" s="29"/>
      <c r="N455" s="29"/>
      <c r="O455" s="29"/>
      <c r="P455" s="29"/>
      <c r="AK455" s="79"/>
      <c r="AL455" s="29"/>
      <c r="AM455" s="29"/>
      <c r="AN455" s="33"/>
      <c r="AO455" s="33"/>
      <c r="AP455" s="33"/>
      <c r="BJ455" s="66">
        <v>0.2</v>
      </c>
      <c r="BK455" s="1305" t="s">
        <v>196</v>
      </c>
      <c r="BL455" s="1305"/>
      <c r="BM455" s="1305">
        <f>BM438+BM434/2+BM439</f>
        <v>0.2</v>
      </c>
      <c r="BN455" s="1330">
        <f>BN438+BN434*(2/3)+BN439</f>
        <v>582.45333333333338</v>
      </c>
      <c r="BO455" s="1330">
        <f>BO438+BO434*(2/3)+BO439</f>
        <v>562.89333333333343</v>
      </c>
      <c r="BP455" s="1330">
        <f>BP438+BP434*(2/3)+BP439</f>
        <v>560.00280000000009</v>
      </c>
      <c r="BQ455" s="1330">
        <f t="shared" ref="BQ455:BS455" si="1039">BQ438+BQ434*(2/3)+BQ439</f>
        <v>588.00294000000008</v>
      </c>
      <c r="BR455" s="1330">
        <f t="shared" si="1039"/>
        <v>617.40308700000026</v>
      </c>
      <c r="BS455" s="1330">
        <f t="shared" si="1039"/>
        <v>648.27324135000026</v>
      </c>
    </row>
    <row r="456" spans="3:72" ht="11.25" customHeight="1" outlineLevel="1">
      <c r="C456" s="43" t="s">
        <v>97</v>
      </c>
      <c r="E456" s="29"/>
      <c r="F456" s="29"/>
      <c r="G456" s="29"/>
      <c r="H456" s="29"/>
      <c r="I456" s="29"/>
      <c r="J456" s="29"/>
      <c r="K456" s="29"/>
      <c r="L456" s="29"/>
      <c r="M456" s="29"/>
      <c r="N456" s="29"/>
      <c r="O456" s="29"/>
      <c r="P456" s="29"/>
      <c r="AK456" s="79"/>
      <c r="AL456" s="29"/>
      <c r="AM456" s="29"/>
      <c r="AN456" s="29"/>
      <c r="AO456" s="29"/>
      <c r="AP456" s="29"/>
      <c r="BJ456" s="66">
        <v>0.24</v>
      </c>
      <c r="BK456" s="1318" t="s">
        <v>197</v>
      </c>
      <c r="BL456" s="1326"/>
      <c r="BM456" s="1326">
        <f>BM437+BM436+BM435*(1/3)+BM433*0.05</f>
        <v>0.24533333333333335</v>
      </c>
      <c r="BN456" s="1299">
        <f>BN437+BN436+BN435*(0.5/3)</f>
        <v>552.02666666666664</v>
      </c>
      <c r="BO456" s="1299">
        <f>BO437+BO436+BO435*(0.5/3)</f>
        <v>665.25733333333335</v>
      </c>
      <c r="BP456" s="1299">
        <f>BP437+BP436+BP435*(0.5/3)</f>
        <v>731.78306666666674</v>
      </c>
      <c r="BQ456" s="1299">
        <f t="shared" ref="BQ456:BS456" si="1040">BQ437+BQ436+BQ435*(0.5/3)</f>
        <v>772.25705333333349</v>
      </c>
      <c r="BR456" s="1299">
        <f t="shared" si="1040"/>
        <v>804.36346760000015</v>
      </c>
      <c r="BS456" s="1299">
        <f t="shared" si="1040"/>
        <v>823.80155272800016</v>
      </c>
      <c r="BT456" s="27"/>
    </row>
    <row r="457" spans="3:72" ht="11.25" customHeight="1" outlineLevel="1">
      <c r="C457" s="43" t="s">
        <v>355</v>
      </c>
      <c r="E457" s="29">
        <v>0</v>
      </c>
      <c r="F457" s="29">
        <v>0</v>
      </c>
      <c r="G457" s="29">
        <v>0</v>
      </c>
      <c r="H457" s="29">
        <v>0</v>
      </c>
      <c r="I457" s="29">
        <v>0</v>
      </c>
      <c r="J457" s="29">
        <v>0</v>
      </c>
      <c r="K457" s="29">
        <v>0</v>
      </c>
      <c r="L457" s="29">
        <v>0</v>
      </c>
      <c r="M457" s="29">
        <v>0</v>
      </c>
      <c r="N457" s="29">
        <v>0</v>
      </c>
      <c r="O457" s="29">
        <v>0</v>
      </c>
      <c r="P457" s="29">
        <v>0</v>
      </c>
      <c r="Q457" s="29">
        <v>0</v>
      </c>
      <c r="R457" s="29">
        <v>0</v>
      </c>
      <c r="S457" s="29">
        <v>0</v>
      </c>
      <c r="T457" s="29">
        <v>0</v>
      </c>
      <c r="U457" s="29">
        <v>0</v>
      </c>
      <c r="V457" s="29">
        <v>0</v>
      </c>
      <c r="W457" s="29">
        <v>0</v>
      </c>
      <c r="X457" s="29">
        <v>0</v>
      </c>
      <c r="Y457" s="29">
        <v>0</v>
      </c>
      <c r="Z457" s="29">
        <v>0</v>
      </c>
      <c r="AA457" s="29">
        <v>0</v>
      </c>
      <c r="AB457" s="29">
        <v>0</v>
      </c>
      <c r="AC457" s="29">
        <v>0</v>
      </c>
      <c r="AD457" s="29">
        <v>0</v>
      </c>
      <c r="AE457" s="29">
        <v>0</v>
      </c>
      <c r="AF457" s="29">
        <v>0</v>
      </c>
      <c r="AG457" s="29">
        <v>0</v>
      </c>
      <c r="AH457" s="29">
        <v>0</v>
      </c>
      <c r="AI457" s="29">
        <v>0</v>
      </c>
      <c r="AJ457" s="29">
        <v>0</v>
      </c>
      <c r="AK457" s="79"/>
      <c r="AL457" s="29">
        <v>8</v>
      </c>
      <c r="AM457" s="29">
        <v>0</v>
      </c>
      <c r="AN457" s="33">
        <f t="shared" ref="AN457:AU460" si="1041">SUMIF($E$6:$AK$6,AN$6,$E457:$AK457)</f>
        <v>0</v>
      </c>
      <c r="AO457" s="33">
        <f t="shared" si="1041"/>
        <v>0</v>
      </c>
      <c r="AP457" s="33">
        <f t="shared" si="1041"/>
        <v>0</v>
      </c>
      <c r="AQ457" s="33">
        <f t="shared" si="1041"/>
        <v>0</v>
      </c>
      <c r="AR457" s="33">
        <f t="shared" si="1041"/>
        <v>0</v>
      </c>
      <c r="AS457" s="33">
        <f t="shared" si="1041"/>
        <v>0</v>
      </c>
      <c r="AT457" s="33">
        <f t="shared" si="1041"/>
        <v>0</v>
      </c>
      <c r="AU457" s="33">
        <f t="shared" si="1041"/>
        <v>0</v>
      </c>
      <c r="AV457" s="29">
        <v>0</v>
      </c>
      <c r="AW457" s="29">
        <v>0</v>
      </c>
      <c r="AX457" s="29">
        <v>0</v>
      </c>
      <c r="BJ457" s="67">
        <f t="shared" ref="BJ457" si="1042">+SUM(BJ454:BJ456)</f>
        <v>1</v>
      </c>
      <c r="BK457" s="1332"/>
      <c r="BL457" s="63"/>
      <c r="BM457" s="67">
        <f>SUM(BM454:BM456)</f>
        <v>1</v>
      </c>
      <c r="BN457" s="35">
        <f>SUM(BN454:BN456)</f>
        <v>2608</v>
      </c>
      <c r="BO457" s="35">
        <f>SUM(BO454:BO456)</f>
        <v>2767.0880000000002</v>
      </c>
      <c r="BP457" s="35">
        <f>SUM(BP454:BP456)</f>
        <v>2835.7175200000001</v>
      </c>
      <c r="BQ457" s="35">
        <f t="shared" ref="BQ457:BS457" si="1043">SUM(BQ454:BQ456)</f>
        <v>2985.8888984000005</v>
      </c>
      <c r="BR457" s="35">
        <f t="shared" si="1043"/>
        <v>3113.4549373680006</v>
      </c>
      <c r="BS457" s="35">
        <f t="shared" si="1043"/>
        <v>3219.3602415813602</v>
      </c>
    </row>
    <row r="458" spans="3:72" ht="11.25" customHeight="1" outlineLevel="1">
      <c r="C458" s="43" t="s">
        <v>23</v>
      </c>
      <c r="E458" s="29">
        <v>0</v>
      </c>
      <c r="F458" s="29">
        <v>0</v>
      </c>
      <c r="G458" s="29">
        <v>0</v>
      </c>
      <c r="H458" s="29">
        <v>0</v>
      </c>
      <c r="I458" s="29">
        <v>0</v>
      </c>
      <c r="J458" s="29">
        <v>0</v>
      </c>
      <c r="K458" s="29">
        <v>0</v>
      </c>
      <c r="L458" s="29">
        <v>0</v>
      </c>
      <c r="M458" s="29">
        <v>0</v>
      </c>
      <c r="N458" s="29">
        <v>0</v>
      </c>
      <c r="O458" s="29">
        <v>0</v>
      </c>
      <c r="P458" s="29">
        <v>0</v>
      </c>
      <c r="Q458" s="29">
        <v>0</v>
      </c>
      <c r="R458" s="29">
        <v>0</v>
      </c>
      <c r="S458" s="29">
        <v>0</v>
      </c>
      <c r="T458" s="29">
        <v>22</v>
      </c>
      <c r="U458" s="29">
        <v>1</v>
      </c>
      <c r="V458" s="29">
        <v>2</v>
      </c>
      <c r="W458" s="29">
        <v>1</v>
      </c>
      <c r="X458" s="29">
        <v>1</v>
      </c>
      <c r="Y458" s="29">
        <v>4</v>
      </c>
      <c r="Z458" s="29">
        <v>7</v>
      </c>
      <c r="AA458" s="29">
        <v>2</v>
      </c>
      <c r="AB458" s="29">
        <v>3</v>
      </c>
      <c r="AC458" s="29">
        <v>1</v>
      </c>
      <c r="AD458" s="29">
        <v>1</v>
      </c>
      <c r="AE458" s="29">
        <v>1</v>
      </c>
      <c r="AF458" s="29">
        <v>0</v>
      </c>
      <c r="AG458" s="29">
        <v>0</v>
      </c>
      <c r="AH458" s="29">
        <v>0</v>
      </c>
      <c r="AI458" s="29">
        <v>0</v>
      </c>
      <c r="AJ458" s="29">
        <v>0</v>
      </c>
      <c r="AK458" s="79"/>
      <c r="AL458" s="29">
        <v>0</v>
      </c>
      <c r="AM458" s="29">
        <v>0</v>
      </c>
      <c r="AN458" s="33">
        <f t="shared" si="1041"/>
        <v>0</v>
      </c>
      <c r="AO458" s="33">
        <f t="shared" si="1041"/>
        <v>0</v>
      </c>
      <c r="AP458" s="33">
        <f t="shared" si="1041"/>
        <v>0</v>
      </c>
      <c r="AQ458" s="33">
        <f t="shared" si="1041"/>
        <v>22</v>
      </c>
      <c r="AR458" s="33">
        <f t="shared" si="1041"/>
        <v>5</v>
      </c>
      <c r="AS458" s="33">
        <f t="shared" si="1041"/>
        <v>16</v>
      </c>
      <c r="AT458" s="33">
        <f t="shared" si="1041"/>
        <v>3</v>
      </c>
      <c r="AU458" s="33">
        <f t="shared" si="1041"/>
        <v>0</v>
      </c>
      <c r="AV458" s="29">
        <v>0</v>
      </c>
      <c r="AW458" s="29">
        <v>0</v>
      </c>
      <c r="AX458" s="29">
        <v>0</v>
      </c>
      <c r="BK458" s="27"/>
      <c r="BL458" s="27"/>
      <c r="BM458" s="27"/>
      <c r="BN458" s="27"/>
      <c r="BO458" s="27"/>
      <c r="BP458" s="27"/>
      <c r="BQ458" s="27"/>
      <c r="BR458" s="27"/>
      <c r="BS458" s="27"/>
    </row>
    <row r="459" spans="3:72" ht="11.25" customHeight="1" outlineLevel="1">
      <c r="C459" s="43" t="s">
        <v>71</v>
      </c>
      <c r="E459" s="29">
        <v>0</v>
      </c>
      <c r="F459" s="29">
        <v>0</v>
      </c>
      <c r="G459" s="29">
        <v>0</v>
      </c>
      <c r="H459" s="29">
        <v>0</v>
      </c>
      <c r="I459" s="29">
        <v>0</v>
      </c>
      <c r="J459" s="29">
        <v>0</v>
      </c>
      <c r="K459" s="29">
        <v>0</v>
      </c>
      <c r="L459" s="29">
        <v>0</v>
      </c>
      <c r="M459" s="29">
        <v>0</v>
      </c>
      <c r="N459" s="29">
        <v>0</v>
      </c>
      <c r="O459" s="29">
        <v>0</v>
      </c>
      <c r="P459" s="29">
        <v>0</v>
      </c>
      <c r="Q459" s="29">
        <v>0</v>
      </c>
      <c r="R459" s="29">
        <v>0</v>
      </c>
      <c r="S459" s="29">
        <v>0</v>
      </c>
      <c r="T459" s="29">
        <v>0</v>
      </c>
      <c r="U459" s="29">
        <v>0</v>
      </c>
      <c r="V459" s="29">
        <v>0</v>
      </c>
      <c r="W459" s="29">
        <v>0</v>
      </c>
      <c r="X459" s="29">
        <v>0</v>
      </c>
      <c r="Y459" s="29">
        <v>0</v>
      </c>
      <c r="Z459" s="29">
        <v>0</v>
      </c>
      <c r="AA459" s="29">
        <v>0</v>
      </c>
      <c r="AB459" s="29">
        <v>0</v>
      </c>
      <c r="AC459" s="29">
        <v>0</v>
      </c>
      <c r="AD459" s="29">
        <v>0</v>
      </c>
      <c r="AE459" s="29">
        <v>0</v>
      </c>
      <c r="AF459" s="29">
        <v>0</v>
      </c>
      <c r="AG459" s="29">
        <v>0</v>
      </c>
      <c r="AH459" s="29">
        <v>0</v>
      </c>
      <c r="AI459" s="29">
        <v>0</v>
      </c>
      <c r="AJ459" s="29">
        <v>0</v>
      </c>
      <c r="AK459" s="79"/>
      <c r="AL459" s="29">
        <v>0</v>
      </c>
      <c r="AM459" s="29">
        <v>0</v>
      </c>
      <c r="AN459" s="33">
        <f t="shared" si="1041"/>
        <v>0</v>
      </c>
      <c r="AO459" s="33">
        <f t="shared" si="1041"/>
        <v>0</v>
      </c>
      <c r="AP459" s="33">
        <f t="shared" si="1041"/>
        <v>0</v>
      </c>
      <c r="AQ459" s="33">
        <f t="shared" si="1041"/>
        <v>0</v>
      </c>
      <c r="AR459" s="33">
        <f t="shared" si="1041"/>
        <v>0</v>
      </c>
      <c r="AS459" s="33">
        <f t="shared" si="1041"/>
        <v>0</v>
      </c>
      <c r="AT459" s="33">
        <f t="shared" si="1041"/>
        <v>0</v>
      </c>
      <c r="AU459" s="33">
        <f t="shared" si="1041"/>
        <v>0</v>
      </c>
      <c r="AV459" s="29">
        <v>0</v>
      </c>
      <c r="AW459" s="29">
        <v>0</v>
      </c>
      <c r="AX459" s="29">
        <v>0</v>
      </c>
      <c r="AZ459" s="455"/>
      <c r="BK459" s="1337" t="s">
        <v>1669</v>
      </c>
      <c r="BL459" s="1336"/>
      <c r="BM459" s="1337"/>
      <c r="BN459" s="1338">
        <v>2021</v>
      </c>
      <c r="BO459" s="1338">
        <v>2022</v>
      </c>
      <c r="BP459" s="1338">
        <f>BO459+1</f>
        <v>2023</v>
      </c>
      <c r="BQ459" s="1338">
        <f t="shared" ref="BQ459:BS459" si="1044">BP459+1</f>
        <v>2024</v>
      </c>
      <c r="BR459" s="1338">
        <f t="shared" si="1044"/>
        <v>2025</v>
      </c>
      <c r="BS459" s="1338">
        <f t="shared" si="1044"/>
        <v>2026</v>
      </c>
    </row>
    <row r="460" spans="3:72" ht="11.25" customHeight="1" outlineLevel="1">
      <c r="C460" s="43" t="s">
        <v>111</v>
      </c>
      <c r="E460" s="29">
        <v>0</v>
      </c>
      <c r="F460" s="29">
        <v>0</v>
      </c>
      <c r="G460" s="29">
        <v>0</v>
      </c>
      <c r="H460" s="29">
        <v>0</v>
      </c>
      <c r="I460" s="29">
        <v>0</v>
      </c>
      <c r="J460" s="29">
        <v>0</v>
      </c>
      <c r="K460" s="29">
        <v>0</v>
      </c>
      <c r="L460" s="29">
        <v>44</v>
      </c>
      <c r="M460" s="29">
        <v>19</v>
      </c>
      <c r="N460" s="29">
        <v>-21</v>
      </c>
      <c r="O460" s="29">
        <v>-30</v>
      </c>
      <c r="P460" s="29">
        <v>2</v>
      </c>
      <c r="Q460" s="29">
        <v>0</v>
      </c>
      <c r="R460" s="29">
        <v>0</v>
      </c>
      <c r="S460" s="29">
        <v>0</v>
      </c>
      <c r="T460" s="29">
        <v>0</v>
      </c>
      <c r="U460" s="29">
        <v>0</v>
      </c>
      <c r="V460" s="29">
        <v>0</v>
      </c>
      <c r="W460" s="29">
        <v>0</v>
      </c>
      <c r="X460" s="29">
        <v>0</v>
      </c>
      <c r="Y460" s="29">
        <v>0</v>
      </c>
      <c r="Z460" s="29">
        <v>0</v>
      </c>
      <c r="AA460" s="29">
        <v>0</v>
      </c>
      <c r="AB460" s="29">
        <v>0</v>
      </c>
      <c r="AC460" s="29">
        <v>0</v>
      </c>
      <c r="AD460" s="29">
        <v>0</v>
      </c>
      <c r="AE460" s="29">
        <v>0</v>
      </c>
      <c r="AF460" s="29">
        <v>0</v>
      </c>
      <c r="AG460" s="29">
        <v>0</v>
      </c>
      <c r="AH460" s="29">
        <v>0</v>
      </c>
      <c r="AI460" s="29">
        <v>0</v>
      </c>
      <c r="AJ460" s="29">
        <v>0</v>
      </c>
      <c r="AK460" s="79"/>
      <c r="AL460" s="29">
        <v>0</v>
      </c>
      <c r="AM460" s="29">
        <v>0</v>
      </c>
      <c r="AN460" s="33">
        <f t="shared" si="1041"/>
        <v>0</v>
      </c>
      <c r="AO460" s="33">
        <f t="shared" si="1041"/>
        <v>44</v>
      </c>
      <c r="AP460" s="33">
        <f t="shared" si="1041"/>
        <v>-30</v>
      </c>
      <c r="AQ460" s="33">
        <f t="shared" si="1041"/>
        <v>0</v>
      </c>
      <c r="AR460" s="33">
        <f t="shared" si="1041"/>
        <v>0</v>
      </c>
      <c r="AS460" s="33">
        <f t="shared" si="1041"/>
        <v>0</v>
      </c>
      <c r="AT460" s="33">
        <f t="shared" si="1041"/>
        <v>0</v>
      </c>
      <c r="AU460" s="33">
        <f t="shared" si="1041"/>
        <v>0</v>
      </c>
      <c r="AV460" s="29">
        <v>0</v>
      </c>
      <c r="AW460" s="29">
        <v>0</v>
      </c>
      <c r="AX460" s="29">
        <v>0</v>
      </c>
      <c r="BK460" s="1356" t="s">
        <v>195</v>
      </c>
      <c r="BL460" s="1309"/>
      <c r="BM460" s="1329"/>
      <c r="BN460" s="1329">
        <f>AS503</f>
        <v>0.41508410200759638</v>
      </c>
      <c r="BO460" s="1329">
        <f t="shared" ref="BO460:BP463" si="1045">BO454/BN454-1</f>
        <v>4.4395280235988377E-2</v>
      </c>
      <c r="BP460" s="1329">
        <f t="shared" si="1045"/>
        <v>3.2453043355455957E-3</v>
      </c>
      <c r="BQ460" s="1329">
        <f t="shared" ref="BQ460:BS460" si="1046">BQ454/BP454-1</f>
        <v>5.2915070143778609E-2</v>
      </c>
      <c r="BR460" s="1329">
        <f t="shared" si="1046"/>
        <v>4.0636259293522103E-2</v>
      </c>
      <c r="BS460" s="1329">
        <f t="shared" si="1046"/>
        <v>3.2864838052732992E-2</v>
      </c>
    </row>
    <row r="461" spans="3:72" ht="11.25" customHeight="1">
      <c r="C461" s="45" t="s">
        <v>356</v>
      </c>
      <c r="E461" s="32">
        <f>+E452+SUM(E457:E460)</f>
        <v>67</v>
      </c>
      <c r="F461" s="32">
        <f t="shared" ref="F461:AC461" si="1047">+F452+SUM(F457:F460)</f>
        <v>15</v>
      </c>
      <c r="G461" s="32">
        <f t="shared" si="1047"/>
        <v>39</v>
      </c>
      <c r="H461" s="32">
        <f t="shared" si="1047"/>
        <v>50</v>
      </c>
      <c r="I461" s="32">
        <f t="shared" si="1047"/>
        <v>82</v>
      </c>
      <c r="J461" s="32">
        <f t="shared" si="1047"/>
        <v>83</v>
      </c>
      <c r="K461" s="32">
        <f t="shared" si="1047"/>
        <v>81</v>
      </c>
      <c r="L461" s="32">
        <f t="shared" si="1047"/>
        <v>53</v>
      </c>
      <c r="M461" s="32">
        <f t="shared" si="1047"/>
        <v>89</v>
      </c>
      <c r="N461" s="32">
        <f t="shared" si="1047"/>
        <v>64</v>
      </c>
      <c r="O461" s="32">
        <f t="shared" si="1047"/>
        <v>79</v>
      </c>
      <c r="P461" s="32">
        <f t="shared" si="1047"/>
        <v>46</v>
      </c>
      <c r="Q461" s="32">
        <f t="shared" si="1047"/>
        <v>66</v>
      </c>
      <c r="R461" s="32">
        <f t="shared" si="1047"/>
        <v>50</v>
      </c>
      <c r="S461" s="32">
        <f t="shared" si="1047"/>
        <v>25</v>
      </c>
      <c r="T461" s="32">
        <f t="shared" si="1047"/>
        <v>18</v>
      </c>
      <c r="U461" s="32">
        <f t="shared" si="1047"/>
        <v>60</v>
      </c>
      <c r="V461" s="32">
        <f t="shared" si="1047"/>
        <v>0</v>
      </c>
      <c r="W461" s="32">
        <f t="shared" si="1047"/>
        <v>26</v>
      </c>
      <c r="X461" s="32">
        <f t="shared" si="1047"/>
        <v>27</v>
      </c>
      <c r="Y461" s="32">
        <f t="shared" si="1047"/>
        <v>56</v>
      </c>
      <c r="Z461" s="32">
        <f t="shared" si="1047"/>
        <v>138</v>
      </c>
      <c r="AA461" s="32">
        <f t="shared" si="1047"/>
        <v>132</v>
      </c>
      <c r="AB461" s="32">
        <f t="shared" si="1047"/>
        <v>102</v>
      </c>
      <c r="AC461" s="32">
        <f t="shared" si="1047"/>
        <v>113</v>
      </c>
      <c r="AD461" s="32">
        <f t="shared" ref="AD461:AF461" si="1048">+AD452+SUM(AD457:AD460)</f>
        <v>143</v>
      </c>
      <c r="AE461" s="32">
        <f t="shared" si="1048"/>
        <v>69</v>
      </c>
      <c r="AF461" s="32">
        <f t="shared" si="1048"/>
        <v>24</v>
      </c>
      <c r="AG461" s="32">
        <f t="shared" ref="AG461" si="1049">+AG452+SUM(AG457:AG460)</f>
        <v>42</v>
      </c>
      <c r="AH461" s="35">
        <f>+AH463*AH433</f>
        <v>58.054399999999994</v>
      </c>
      <c r="AI461" s="35">
        <f>+AI463*AI433</f>
        <v>50.008000000000003</v>
      </c>
      <c r="AJ461" s="35">
        <f>+AJ463*AJ433</f>
        <v>42.412799999999997</v>
      </c>
      <c r="AK461" s="79"/>
      <c r="AL461" s="32">
        <f t="shared" ref="AL461:AU461" si="1050">+AL452+SUM(AL457:AL460)</f>
        <v>360</v>
      </c>
      <c r="AM461" s="32">
        <f t="shared" si="1050"/>
        <v>294</v>
      </c>
      <c r="AN461" s="32">
        <f t="shared" si="1050"/>
        <v>171</v>
      </c>
      <c r="AO461" s="32">
        <f t="shared" si="1050"/>
        <v>299</v>
      </c>
      <c r="AP461" s="32">
        <f t="shared" si="1050"/>
        <v>278</v>
      </c>
      <c r="AQ461" s="32">
        <f t="shared" si="1050"/>
        <v>159</v>
      </c>
      <c r="AR461" s="32">
        <f t="shared" si="1050"/>
        <v>113</v>
      </c>
      <c r="AS461" s="32">
        <f t="shared" si="1050"/>
        <v>428</v>
      </c>
      <c r="AT461" s="32">
        <f t="shared" si="1050"/>
        <v>349</v>
      </c>
      <c r="AU461" s="32">
        <f t="shared" si="1050"/>
        <v>192.4752</v>
      </c>
      <c r="AV461" s="35">
        <f>+AV463*AV433</f>
        <v>199.57115199999998</v>
      </c>
      <c r="AW461" s="35">
        <f>+AW463*AW433</f>
        <v>201.56686351999997</v>
      </c>
      <c r="AX461" s="35">
        <f>+AX463*AX433</f>
        <v>203.58253215519994</v>
      </c>
      <c r="BK461" s="1335" t="s">
        <v>196</v>
      </c>
      <c r="BL461" s="1305"/>
      <c r="BM461" s="1305"/>
      <c r="BN461" s="1305">
        <f>AS504</f>
        <v>0.55659251220835593</v>
      </c>
      <c r="BO461" s="1305">
        <f t="shared" si="1045"/>
        <v>-3.3582089552238736E-2</v>
      </c>
      <c r="BP461" s="1305">
        <f t="shared" si="1045"/>
        <v>-5.1351351351351937E-3</v>
      </c>
      <c r="BQ461" s="1305">
        <f t="shared" ref="BQ461:BS461" si="1051">BQ455/BP455-1</f>
        <v>5.0000000000000044E-2</v>
      </c>
      <c r="BR461" s="1305">
        <f t="shared" si="1051"/>
        <v>5.0000000000000266E-2</v>
      </c>
      <c r="BS461" s="1305">
        <f t="shared" si="1051"/>
        <v>5.0000000000000044E-2</v>
      </c>
    </row>
    <row r="462" spans="3:72" ht="11.25" customHeight="1">
      <c r="C462" s="93" t="s">
        <v>358</v>
      </c>
      <c r="E462" s="124"/>
      <c r="F462" s="124"/>
      <c r="G462" s="124"/>
      <c r="H462" s="124"/>
      <c r="I462" s="94">
        <f t="shared" ref="I462:AC462" si="1052">IFERROR(I461/E461-1,"NA  ")</f>
        <v>0.22388059701492535</v>
      </c>
      <c r="J462" s="94">
        <f t="shared" si="1052"/>
        <v>4.5333333333333332</v>
      </c>
      <c r="K462" s="94">
        <f t="shared" si="1052"/>
        <v>1.0769230769230771</v>
      </c>
      <c r="L462" s="94">
        <f t="shared" si="1052"/>
        <v>6.0000000000000053E-2</v>
      </c>
      <c r="M462" s="94">
        <f t="shared" si="1052"/>
        <v>8.5365853658536661E-2</v>
      </c>
      <c r="N462" s="94">
        <f t="shared" si="1052"/>
        <v>-0.22891566265060237</v>
      </c>
      <c r="O462" s="94">
        <f t="shared" si="1052"/>
        <v>-2.4691358024691357E-2</v>
      </c>
      <c r="P462" s="94">
        <f t="shared" si="1052"/>
        <v>-0.13207547169811318</v>
      </c>
      <c r="Q462" s="94">
        <f t="shared" si="1052"/>
        <v>-0.2584269662921348</v>
      </c>
      <c r="R462" s="94">
        <f t="shared" si="1052"/>
        <v>-0.21875</v>
      </c>
      <c r="S462" s="94">
        <f t="shared" si="1052"/>
        <v>-0.68354430379746833</v>
      </c>
      <c r="T462" s="94">
        <f t="shared" si="1052"/>
        <v>-0.60869565217391308</v>
      </c>
      <c r="U462" s="94">
        <f t="shared" si="1052"/>
        <v>-9.0909090909090939E-2</v>
      </c>
      <c r="V462" s="94">
        <f t="shared" si="1052"/>
        <v>-1</v>
      </c>
      <c r="W462" s="94">
        <f t="shared" si="1052"/>
        <v>4.0000000000000036E-2</v>
      </c>
      <c r="X462" s="94">
        <f t="shared" si="1052"/>
        <v>0.5</v>
      </c>
      <c r="Y462" s="94">
        <f t="shared" si="1052"/>
        <v>-6.6666666666666652E-2</v>
      </c>
      <c r="Z462" s="94" t="str">
        <f t="shared" si="1052"/>
        <v xml:space="preserve">NA  </v>
      </c>
      <c r="AA462" s="94">
        <f t="shared" si="1052"/>
        <v>4.0769230769230766</v>
      </c>
      <c r="AB462" s="94">
        <f t="shared" si="1052"/>
        <v>2.7777777777777777</v>
      </c>
      <c r="AC462" s="94">
        <f t="shared" si="1052"/>
        <v>1.0178571428571428</v>
      </c>
      <c r="AD462" s="94">
        <f t="shared" ref="AD462" si="1053">IFERROR(AD461/Z461-1,"NA  ")</f>
        <v>3.6231884057970953E-2</v>
      </c>
      <c r="AE462" s="94">
        <f t="shared" ref="AE462" si="1054">IFERROR(AE461/AA461-1,"NA  ")</f>
        <v>-0.47727272727272729</v>
      </c>
      <c r="AF462" s="94">
        <f t="shared" ref="AF462:AG462" si="1055">IFERROR(AF461/AB461-1,"NA  ")</f>
        <v>-0.76470588235294112</v>
      </c>
      <c r="AG462" s="94">
        <f t="shared" si="1055"/>
        <v>-0.62831858407079644</v>
      </c>
      <c r="AH462" s="94">
        <f t="shared" ref="AH462" si="1056">IFERROR(AH461/AD461-1,"NA  ")</f>
        <v>-0.59402517482517481</v>
      </c>
      <c r="AI462" s="94">
        <f t="shared" ref="AI462" si="1057">IFERROR(AI461/AE461-1,"NA  ")</f>
        <v>-0.27524637681159414</v>
      </c>
      <c r="AJ462" s="94">
        <f t="shared" ref="AJ462" si="1058">IFERROR(AJ461/AF461-1,"NA  ")</f>
        <v>0.76719999999999988</v>
      </c>
      <c r="AK462" s="79"/>
      <c r="AL462" s="124"/>
      <c r="AM462" s="94">
        <f t="shared" ref="AM462:AX462" si="1059">IFERROR(AM461/AL461-1,"NA  ")</f>
        <v>-0.18333333333333335</v>
      </c>
      <c r="AN462" s="94">
        <f t="shared" si="1059"/>
        <v>-0.41836734693877553</v>
      </c>
      <c r="AO462" s="94">
        <f t="shared" si="1059"/>
        <v>0.74853801169590639</v>
      </c>
      <c r="AP462" s="94">
        <f t="shared" si="1059"/>
        <v>-7.0234113712374535E-2</v>
      </c>
      <c r="AQ462" s="94">
        <f t="shared" si="1059"/>
        <v>-0.42805755395683454</v>
      </c>
      <c r="AR462" s="94">
        <f t="shared" si="1059"/>
        <v>-0.28930817610062898</v>
      </c>
      <c r="AS462" s="94">
        <f t="shared" si="1059"/>
        <v>2.7876106194690267</v>
      </c>
      <c r="AT462" s="94">
        <f t="shared" si="1059"/>
        <v>-0.18457943925233644</v>
      </c>
      <c r="AU462" s="94">
        <f t="shared" si="1059"/>
        <v>-0.44849512893982812</v>
      </c>
      <c r="AV462" s="94">
        <f t="shared" si="1059"/>
        <v>3.6866837909507177E-2</v>
      </c>
      <c r="AW462" s="94">
        <f t="shared" si="1059"/>
        <v>1.0000000000000009E-2</v>
      </c>
      <c r="AX462" s="94">
        <f t="shared" si="1059"/>
        <v>9.9999999999997868E-3</v>
      </c>
      <c r="BK462" s="1357" t="s">
        <v>197</v>
      </c>
      <c r="BL462" s="1326"/>
      <c r="BM462" s="1326"/>
      <c r="BN462" s="1326">
        <f>AS505</f>
        <v>0.29203331052867454</v>
      </c>
      <c r="BO462" s="1326">
        <f t="shared" si="1045"/>
        <v>0.20511811023622051</v>
      </c>
      <c r="BP462" s="1326">
        <f t="shared" si="1045"/>
        <v>0.10000000000000009</v>
      </c>
      <c r="BQ462" s="1326">
        <f t="shared" ref="BQ462:BS462" si="1060">BQ456/BP456-1</f>
        <v>5.5308722639660246E-2</v>
      </c>
      <c r="BR462" s="1326">
        <f t="shared" si="1060"/>
        <v>4.1574776336563257E-2</v>
      </c>
      <c r="BS462" s="1326">
        <f t="shared" si="1060"/>
        <v>2.4165798063900068E-2</v>
      </c>
    </row>
    <row r="463" spans="3:72" ht="11.25" customHeight="1">
      <c r="C463" s="93" t="s">
        <v>360</v>
      </c>
      <c r="E463" s="94">
        <f t="shared" ref="E463:AF463" si="1061">E461/E433</f>
        <v>0.10806451612903226</v>
      </c>
      <c r="F463" s="94">
        <f t="shared" si="1061"/>
        <v>2.3696682464454975E-2</v>
      </c>
      <c r="G463" s="94">
        <f t="shared" si="1061"/>
        <v>6.1128526645768025E-2</v>
      </c>
      <c r="H463" s="94">
        <f t="shared" si="1061"/>
        <v>7.7760497667185069E-2</v>
      </c>
      <c r="I463" s="94">
        <f t="shared" si="1061"/>
        <v>0.12238805970149254</v>
      </c>
      <c r="J463" s="94">
        <f t="shared" si="1061"/>
        <v>0.11806543385490754</v>
      </c>
      <c r="K463" s="94">
        <f t="shared" si="1061"/>
        <v>0.11637931034482758</v>
      </c>
      <c r="L463" s="94">
        <f t="shared" si="1061"/>
        <v>8.042488619119878E-2</v>
      </c>
      <c r="M463" s="94">
        <f t="shared" si="1061"/>
        <v>0.12191780821917808</v>
      </c>
      <c r="N463" s="94">
        <f t="shared" si="1061"/>
        <v>9.0267983074753172E-2</v>
      </c>
      <c r="O463" s="94">
        <f t="shared" si="1061"/>
        <v>0.112375533428165</v>
      </c>
      <c r="P463" s="94">
        <f t="shared" si="1061"/>
        <v>6.6763425253991288E-2</v>
      </c>
      <c r="Q463" s="94">
        <f t="shared" si="1061"/>
        <v>0.11148648648648649</v>
      </c>
      <c r="R463" s="94">
        <f t="shared" si="1061"/>
        <v>8.7412587412587409E-2</v>
      </c>
      <c r="S463" s="94">
        <f t="shared" si="1061"/>
        <v>4.6904315196998121E-2</v>
      </c>
      <c r="T463" s="94">
        <f t="shared" si="1061"/>
        <v>3.3707865168539325E-2</v>
      </c>
      <c r="U463" s="94">
        <f t="shared" si="1061"/>
        <v>0.11627906976744186</v>
      </c>
      <c r="V463" s="94">
        <f t="shared" si="1061"/>
        <v>0</v>
      </c>
      <c r="W463" s="94">
        <f t="shared" si="1061"/>
        <v>5.6034482758620691E-2</v>
      </c>
      <c r="X463" s="94">
        <f t="shared" si="1061"/>
        <v>5.7324840764331211E-2</v>
      </c>
      <c r="Y463" s="94">
        <f t="shared" si="1061"/>
        <v>0.10332103321033211</v>
      </c>
      <c r="Z463" s="94">
        <f t="shared" si="1061"/>
        <v>0.20627802690582961</v>
      </c>
      <c r="AA463" s="94">
        <f t="shared" si="1061"/>
        <v>0.19270072992700729</v>
      </c>
      <c r="AB463" s="94">
        <f t="shared" si="1061"/>
        <v>0.14325842696629212</v>
      </c>
      <c r="AC463" s="94">
        <f t="shared" si="1061"/>
        <v>0.15804195804195803</v>
      </c>
      <c r="AD463" s="94">
        <f t="shared" si="1061"/>
        <v>0.18523316062176165</v>
      </c>
      <c r="AE463" s="94">
        <f t="shared" si="1061"/>
        <v>0.10375939849624061</v>
      </c>
      <c r="AF463" s="94">
        <f t="shared" si="1061"/>
        <v>4.2553191489361701E-2</v>
      </c>
      <c r="AG463" s="94">
        <f t="shared" ref="AG463" si="1062">AG461/AG433</f>
        <v>7.1307300509337868E-2</v>
      </c>
      <c r="AH463" s="147">
        <f>+Assumptions!AH89</f>
        <v>0.08</v>
      </c>
      <c r="AI463" s="147">
        <f>+Assumptions!AI89</f>
        <v>0.08</v>
      </c>
      <c r="AJ463" s="147">
        <f>+Assumptions!AJ89</f>
        <v>0.08</v>
      </c>
      <c r="AK463" s="79"/>
      <c r="AL463" s="94">
        <f t="shared" ref="AL463:AU463" si="1063">AL461/AL433</f>
        <v>0.11865524060646011</v>
      </c>
      <c r="AM463" s="94">
        <f t="shared" si="1063"/>
        <v>0.10458911419423693</v>
      </c>
      <c r="AN463" s="94">
        <f t="shared" si="1063"/>
        <v>6.7482241515390687E-2</v>
      </c>
      <c r="AO463" s="94">
        <f t="shared" si="1063"/>
        <v>0.10960410557184751</v>
      </c>
      <c r="AP463" s="94">
        <f t="shared" si="1063"/>
        <v>9.8198516425291413E-2</v>
      </c>
      <c r="AQ463" s="94">
        <f t="shared" si="1063"/>
        <v>7.1268489466606896E-2</v>
      </c>
      <c r="AR463" s="1030">
        <f t="shared" si="1063"/>
        <v>6.1313076505697235E-2</v>
      </c>
      <c r="AS463" s="1030">
        <f t="shared" si="1063"/>
        <v>0.16411042944785276</v>
      </c>
      <c r="AT463" s="94">
        <f t="shared" si="1063"/>
        <v>0.12849779086892488</v>
      </c>
      <c r="AU463" s="94">
        <f t="shared" si="1063"/>
        <v>7.7927075151623129E-2</v>
      </c>
      <c r="AV463" s="147">
        <f>+Assumptions!AV89</f>
        <v>0.08</v>
      </c>
      <c r="AW463" s="147">
        <f>+Assumptions!AW89</f>
        <v>0.08</v>
      </c>
      <c r="AX463" s="147">
        <f>+Assumptions!AX89</f>
        <v>0.08</v>
      </c>
      <c r="BK463" s="27"/>
      <c r="BL463" s="27"/>
      <c r="BM463" s="27"/>
      <c r="BN463" s="67">
        <f>AS506</f>
        <v>0.41508410200759593</v>
      </c>
      <c r="BO463" s="67">
        <f t="shared" si="1045"/>
        <v>6.1000000000000165E-2</v>
      </c>
      <c r="BP463" s="67">
        <f t="shared" si="1045"/>
        <v>2.4802073515551415E-2</v>
      </c>
      <c r="BQ463" s="67">
        <f t="shared" ref="BQ463:BS463" si="1064">BQ457/BP457-1</f>
        <v>5.295710074817328E-2</v>
      </c>
      <c r="BR463" s="67">
        <f t="shared" si="1064"/>
        <v>4.2722969041600001E-2</v>
      </c>
      <c r="BS463" s="67">
        <f t="shared" si="1064"/>
        <v>3.4015364392229852E-2</v>
      </c>
    </row>
    <row r="464" spans="3:72" ht="11.25" customHeight="1">
      <c r="C464" s="93" t="s">
        <v>396</v>
      </c>
      <c r="E464" s="47"/>
      <c r="F464" s="47"/>
      <c r="G464" s="47"/>
      <c r="H464" s="47"/>
      <c r="I464" s="436">
        <f t="shared" ref="I464:AC464" si="1065">IFERROR((I463-E463)*10000,"NA  ")</f>
        <v>143.23543572460281</v>
      </c>
      <c r="J464" s="436">
        <f t="shared" si="1065"/>
        <v>943.68751390452576</v>
      </c>
      <c r="K464" s="436">
        <f t="shared" si="1065"/>
        <v>552.50783699059559</v>
      </c>
      <c r="L464" s="436">
        <f t="shared" si="1065"/>
        <v>26.643885240137109</v>
      </c>
      <c r="M464" s="436">
        <f t="shared" si="1065"/>
        <v>-4.702514823144571</v>
      </c>
      <c r="N464" s="436">
        <f t="shared" si="1065"/>
        <v>-277.97450780154372</v>
      </c>
      <c r="O464" s="436">
        <f t="shared" si="1065"/>
        <v>-40.0377691666258</v>
      </c>
      <c r="P464" s="436">
        <f t="shared" si="1065"/>
        <v>-136.61460937207494</v>
      </c>
      <c r="Q464" s="436">
        <f t="shared" si="1065"/>
        <v>-104.31321732691595</v>
      </c>
      <c r="R464" s="436">
        <f t="shared" si="1065"/>
        <v>-28.553956621657633</v>
      </c>
      <c r="S464" s="436">
        <f t="shared" si="1065"/>
        <v>-654.71218231166893</v>
      </c>
      <c r="T464" s="436">
        <f t="shared" si="1065"/>
        <v>-330.55560085451964</v>
      </c>
      <c r="U464" s="436">
        <f t="shared" si="1065"/>
        <v>47.925832809553732</v>
      </c>
      <c r="V464" s="436">
        <f t="shared" si="1065"/>
        <v>-874.12587412587413</v>
      </c>
      <c r="W464" s="436">
        <f t="shared" si="1065"/>
        <v>91.301675616225694</v>
      </c>
      <c r="X464" s="436">
        <f t="shared" si="1065"/>
        <v>236.16975595791885</v>
      </c>
      <c r="Y464" s="436">
        <f t="shared" si="1065"/>
        <v>-129.58036557109753</v>
      </c>
      <c r="Z464" s="436">
        <f t="shared" si="1065"/>
        <v>2062.7802690582962</v>
      </c>
      <c r="AA464" s="436">
        <f t="shared" si="1065"/>
        <v>1366.662471683866</v>
      </c>
      <c r="AB464" s="436">
        <f t="shared" si="1065"/>
        <v>859.33586201960918</v>
      </c>
      <c r="AC464" s="436">
        <f t="shared" si="1065"/>
        <v>547.20924831625928</v>
      </c>
      <c r="AD464" s="436">
        <f t="shared" ref="AD464" si="1066">IFERROR((AD463-Z463)*10000,"NA  ")</f>
        <v>-210.44866284067959</v>
      </c>
      <c r="AE464" s="436">
        <f t="shared" ref="AE464" si="1067">IFERROR((AE463-AA463)*10000,"NA  ")</f>
        <v>-889.41331430766684</v>
      </c>
      <c r="AF464" s="436">
        <f t="shared" ref="AF464:AG464" si="1068">IFERROR((AF463-AB463)*10000,"NA  ")</f>
        <v>-1007.0523547693042</v>
      </c>
      <c r="AG464" s="436">
        <f t="shared" si="1068"/>
        <v>-867.34657532620167</v>
      </c>
      <c r="AH464" s="436">
        <f t="shared" ref="AH464" si="1069">IFERROR((AH463-AD463)*10000,"NA  ")</f>
        <v>-1052.3316062176166</v>
      </c>
      <c r="AI464" s="436">
        <f t="shared" ref="AI464" si="1070">IFERROR((AI463-AE463)*10000,"NA  ")</f>
        <v>-237.59398496240604</v>
      </c>
      <c r="AJ464" s="436">
        <f t="shared" ref="AJ464" si="1071">IFERROR((AJ463-AF463)*10000,"NA  ")</f>
        <v>374.468085106383</v>
      </c>
      <c r="AK464" s="79"/>
      <c r="AL464" s="443"/>
      <c r="AM464" s="436">
        <f t="shared" ref="AM464:AX464" si="1072">IFERROR((AM463-AL463)*10000,"NA  ")</f>
        <v>-140.66126412223184</v>
      </c>
      <c r="AN464" s="436">
        <f t="shared" si="1072"/>
        <v>-371.06872678846241</v>
      </c>
      <c r="AO464" s="436">
        <f t="shared" si="1072"/>
        <v>421.2186405645682</v>
      </c>
      <c r="AP464" s="436">
        <f t="shared" si="1072"/>
        <v>-114.05589146556095</v>
      </c>
      <c r="AQ464" s="436">
        <f t="shared" si="1072"/>
        <v>-269.30026958684516</v>
      </c>
      <c r="AR464" s="436">
        <f t="shared" si="1072"/>
        <v>-99.554129609096606</v>
      </c>
      <c r="AS464" s="436">
        <f t="shared" si="1072"/>
        <v>1027.9735294215552</v>
      </c>
      <c r="AT464" s="436">
        <f t="shared" si="1072"/>
        <v>-356.1263857892788</v>
      </c>
      <c r="AU464" s="436">
        <f t="shared" si="1072"/>
        <v>-505.70715717301749</v>
      </c>
      <c r="AV464" s="436">
        <f t="shared" si="1072"/>
        <v>20.729248483768725</v>
      </c>
      <c r="AW464" s="436">
        <f t="shared" si="1072"/>
        <v>0</v>
      </c>
      <c r="AX464" s="436">
        <f t="shared" si="1072"/>
        <v>0</v>
      </c>
    </row>
    <row r="465" spans="3:50" ht="11.25" customHeight="1">
      <c r="C465" s="114"/>
      <c r="E465" s="94"/>
      <c r="F465" s="94"/>
      <c r="G465" s="94"/>
      <c r="H465" s="94"/>
      <c r="I465" s="94"/>
      <c r="J465" s="94"/>
      <c r="K465" s="94"/>
      <c r="L465" s="94"/>
      <c r="M465" s="94"/>
      <c r="N465" s="94"/>
      <c r="O465" s="94"/>
      <c r="P465" s="94"/>
      <c r="Q465" s="94"/>
      <c r="R465" s="94"/>
      <c r="AK465" s="79"/>
      <c r="AL465" s="94"/>
      <c r="AM465" s="520"/>
      <c r="AN465" s="520"/>
      <c r="AO465" s="520"/>
      <c r="AP465" s="520"/>
      <c r="AQ465" s="520"/>
      <c r="AR465" s="520"/>
      <c r="AS465" s="520"/>
      <c r="AT465" s="520"/>
      <c r="AU465" s="520"/>
      <c r="AV465" s="520"/>
      <c r="AW465" s="520"/>
      <c r="AX465" s="520"/>
    </row>
    <row r="466" spans="3:50" ht="11.25" customHeight="1" outlineLevel="1">
      <c r="C466" s="43" t="s">
        <v>165</v>
      </c>
      <c r="E466" s="46"/>
      <c r="F466" s="46"/>
      <c r="G466" s="46"/>
      <c r="H466" s="46"/>
      <c r="I466" s="29">
        <v>0</v>
      </c>
      <c r="J466" s="29">
        <v>0</v>
      </c>
      <c r="K466" s="29">
        <v>0</v>
      </c>
      <c r="L466" s="33">
        <f>+AO466-SUM(I466:K466)</f>
        <v>0</v>
      </c>
      <c r="M466" s="29">
        <v>0</v>
      </c>
      <c r="N466" s="29">
        <v>0</v>
      </c>
      <c r="O466" s="29">
        <v>39</v>
      </c>
      <c r="P466" s="33">
        <f>+AP466-SUM(M466:O466)</f>
        <v>-101</v>
      </c>
      <c r="Q466" s="29">
        <v>-10</v>
      </c>
      <c r="R466" s="29">
        <v>0</v>
      </c>
      <c r="S466" s="29">
        <v>-16</v>
      </c>
      <c r="T466" s="33">
        <f>+AQ466-SUM(Q466:S466)</f>
        <v>17</v>
      </c>
      <c r="U466" s="33"/>
      <c r="V466" s="33"/>
      <c r="W466" s="33"/>
      <c r="X466" s="33"/>
      <c r="Y466" s="33"/>
      <c r="Z466" s="33"/>
      <c r="AA466" s="33"/>
      <c r="AB466" s="33"/>
      <c r="AC466" s="33"/>
      <c r="AD466" s="33"/>
      <c r="AE466" s="33"/>
      <c r="AF466" s="33"/>
      <c r="AG466" s="33"/>
      <c r="AH466" s="33"/>
      <c r="AI466" s="33"/>
      <c r="AJ466" s="33"/>
      <c r="AK466" s="79"/>
      <c r="AL466" s="46"/>
      <c r="AM466" s="29">
        <v>-26</v>
      </c>
      <c r="AN466" s="29">
        <v>16</v>
      </c>
      <c r="AO466" s="29">
        <v>0</v>
      </c>
      <c r="AP466" s="29">
        <v>-62</v>
      </c>
      <c r="AQ466" s="29">
        <v>-9</v>
      </c>
      <c r="AR466" s="33"/>
      <c r="AS466" s="28"/>
      <c r="AT466" s="28"/>
      <c r="AU466" s="28"/>
      <c r="AV466" s="28"/>
      <c r="AW466" s="28"/>
      <c r="AX466" s="28"/>
    </row>
    <row r="467" spans="3:50" ht="11.25" customHeight="1" outlineLevel="1">
      <c r="C467" s="43" t="s">
        <v>166</v>
      </c>
      <c r="E467" s="46"/>
      <c r="F467" s="46"/>
      <c r="G467" s="46"/>
      <c r="H467" s="46"/>
      <c r="I467" s="29">
        <v>0</v>
      </c>
      <c r="J467" s="29">
        <v>0</v>
      </c>
      <c r="K467" s="29">
        <v>0</v>
      </c>
      <c r="L467" s="33">
        <f>+AO467-SUM(I467:K467)</f>
        <v>27</v>
      </c>
      <c r="M467" s="29">
        <v>14</v>
      </c>
      <c r="N467" s="29">
        <v>4</v>
      </c>
      <c r="O467" s="29">
        <v>0</v>
      </c>
      <c r="P467" s="33">
        <f>+AP467-SUM(M467:O467)</f>
        <v>43</v>
      </c>
      <c r="Q467" s="29">
        <v>0</v>
      </c>
      <c r="R467" s="29">
        <v>-62</v>
      </c>
      <c r="S467" s="29">
        <v>-80</v>
      </c>
      <c r="T467" s="33">
        <f>+AQ467-SUM(Q467:S467)</f>
        <v>79</v>
      </c>
      <c r="U467" s="33"/>
      <c r="V467" s="33"/>
      <c r="W467" s="33"/>
      <c r="X467" s="33"/>
      <c r="Y467" s="33"/>
      <c r="Z467" s="33"/>
      <c r="AA467" s="33"/>
      <c r="AB467" s="33"/>
      <c r="AC467" s="33"/>
      <c r="AD467" s="33"/>
      <c r="AE467" s="33"/>
      <c r="AF467" s="33"/>
      <c r="AG467" s="33"/>
      <c r="AH467" s="33"/>
      <c r="AI467" s="33"/>
      <c r="AJ467" s="33"/>
      <c r="AK467" s="79"/>
      <c r="AL467" s="46"/>
      <c r="AM467" s="29">
        <v>0</v>
      </c>
      <c r="AN467" s="29">
        <v>0</v>
      </c>
      <c r="AO467" s="29">
        <v>27</v>
      </c>
      <c r="AP467" s="29">
        <v>61</v>
      </c>
      <c r="AQ467" s="29">
        <v>-63</v>
      </c>
      <c r="AR467" s="33"/>
      <c r="AS467" s="28"/>
      <c r="AT467" s="28"/>
      <c r="AU467" s="28"/>
      <c r="AV467" s="28"/>
      <c r="AW467" s="28"/>
      <c r="AX467" s="28"/>
    </row>
    <row r="468" spans="3:50" ht="11.25" customHeight="1" outlineLevel="1">
      <c r="C468" s="43" t="s">
        <v>167</v>
      </c>
      <c r="E468" s="46"/>
      <c r="F468" s="46"/>
      <c r="G468" s="46"/>
      <c r="H468" s="46"/>
      <c r="I468" s="29">
        <v>0</v>
      </c>
      <c r="J468" s="29">
        <v>0</v>
      </c>
      <c r="K468" s="29">
        <v>0</v>
      </c>
      <c r="L468" s="33">
        <f>+AO468-SUM(I468:K468)</f>
        <v>100</v>
      </c>
      <c r="M468" s="29">
        <v>0</v>
      </c>
      <c r="N468" s="29">
        <v>0</v>
      </c>
      <c r="O468" s="29">
        <v>0</v>
      </c>
      <c r="P468" s="33">
        <f>+AP468-SUM(M468:O468)</f>
        <v>0</v>
      </c>
      <c r="Q468" s="29">
        <v>0</v>
      </c>
      <c r="R468" s="29">
        <v>0</v>
      </c>
      <c r="S468" s="29">
        <v>0</v>
      </c>
      <c r="T468" s="33">
        <f>+AQ468-SUM(Q468:S468)</f>
        <v>0</v>
      </c>
      <c r="U468" s="33"/>
      <c r="V468" s="33"/>
      <c r="W468" s="33"/>
      <c r="X468" s="33"/>
      <c r="Y468" s="33"/>
      <c r="Z468" s="33"/>
      <c r="AA468" s="33"/>
      <c r="AB468" s="33"/>
      <c r="AC468" s="33"/>
      <c r="AD468" s="33"/>
      <c r="AE468" s="33"/>
      <c r="AF468" s="33"/>
      <c r="AG468" s="33"/>
      <c r="AH468" s="33"/>
      <c r="AI468" s="33"/>
      <c r="AJ468" s="33"/>
      <c r="AK468" s="79"/>
      <c r="AL468" s="46"/>
      <c r="AM468" s="29">
        <v>-118</v>
      </c>
      <c r="AN468" s="29">
        <v>28</v>
      </c>
      <c r="AO468" s="29">
        <v>100</v>
      </c>
      <c r="AP468" s="29">
        <v>0</v>
      </c>
      <c r="AQ468" s="29">
        <v>0</v>
      </c>
      <c r="AR468" s="33"/>
      <c r="AS468" s="28"/>
      <c r="AT468" s="28"/>
      <c r="AU468" s="28"/>
      <c r="AV468" s="28"/>
      <c r="AW468" s="28"/>
      <c r="AX468" s="28"/>
    </row>
    <row r="469" spans="3:50" ht="11.25" customHeight="1" outlineLevel="1">
      <c r="C469" s="43" t="s">
        <v>711</v>
      </c>
      <c r="E469" s="46"/>
      <c r="F469" s="46"/>
      <c r="G469" s="46"/>
      <c r="H469" s="46"/>
      <c r="I469" s="29">
        <v>12</v>
      </c>
      <c r="J469" s="29">
        <v>53</v>
      </c>
      <c r="K469" s="29">
        <v>36</v>
      </c>
      <c r="L469" s="33">
        <f>+AO469-SUM(I469:K469)</f>
        <v>-56</v>
      </c>
      <c r="M469" s="29">
        <v>0</v>
      </c>
      <c r="N469" s="29">
        <v>-31</v>
      </c>
      <c r="O469" s="29">
        <v>-19</v>
      </c>
      <c r="P469" s="33">
        <f>+AP469-SUM(M469:O469)</f>
        <v>29</v>
      </c>
      <c r="Q469" s="29">
        <v>7</v>
      </c>
      <c r="R469" s="29">
        <v>60</v>
      </c>
      <c r="S469" s="29">
        <f>73-28</f>
        <v>45</v>
      </c>
      <c r="T469" s="33">
        <f>+AQ469-SUM(Q469:S469)</f>
        <v>-112</v>
      </c>
      <c r="U469" s="33"/>
      <c r="V469" s="33"/>
      <c r="W469" s="33"/>
      <c r="X469" s="33"/>
      <c r="Y469" s="33"/>
      <c r="Z469" s="33"/>
      <c r="AA469" s="33"/>
      <c r="AB469" s="33"/>
      <c r="AC469" s="33"/>
      <c r="AD469" s="33"/>
      <c r="AE469" s="33"/>
      <c r="AF469" s="33"/>
      <c r="AG469" s="33"/>
      <c r="AH469" s="33"/>
      <c r="AI469" s="33"/>
      <c r="AJ469" s="33"/>
      <c r="AK469" s="79"/>
      <c r="AL469" s="46"/>
      <c r="AM469" s="29">
        <v>39</v>
      </c>
      <c r="AN469" s="29">
        <v>-181</v>
      </c>
      <c r="AO469" s="29">
        <v>45</v>
      </c>
      <c r="AP469" s="29">
        <v>-21</v>
      </c>
      <c r="AQ469" s="29">
        <v>0</v>
      </c>
      <c r="AR469" s="33"/>
      <c r="AS469" s="28"/>
      <c r="AT469" s="28"/>
      <c r="AU469" s="28"/>
      <c r="AV469" s="28"/>
      <c r="AW469" s="28"/>
      <c r="AX469" s="28"/>
    </row>
    <row r="470" spans="3:50" ht="11.25" customHeight="1" outlineLevel="1">
      <c r="C470" s="45" t="s">
        <v>351</v>
      </c>
      <c r="E470" s="32"/>
      <c r="F470" s="32"/>
      <c r="G470" s="32"/>
      <c r="H470" s="32"/>
      <c r="I470" s="32">
        <f t="shared" ref="I470:T470" si="1073">SUM(I466:I469)</f>
        <v>12</v>
      </c>
      <c r="J470" s="32">
        <f t="shared" si="1073"/>
        <v>53</v>
      </c>
      <c r="K470" s="32">
        <f t="shared" si="1073"/>
        <v>36</v>
      </c>
      <c r="L470" s="32">
        <f t="shared" si="1073"/>
        <v>71</v>
      </c>
      <c r="M470" s="32">
        <f t="shared" si="1073"/>
        <v>14</v>
      </c>
      <c r="N470" s="32">
        <f t="shared" si="1073"/>
        <v>-27</v>
      </c>
      <c r="O470" s="32">
        <f t="shared" si="1073"/>
        <v>20</v>
      </c>
      <c r="P470" s="32">
        <f t="shared" si="1073"/>
        <v>-29</v>
      </c>
      <c r="Q470" s="32">
        <f t="shared" si="1073"/>
        <v>-3</v>
      </c>
      <c r="R470" s="32">
        <f t="shared" si="1073"/>
        <v>-2</v>
      </c>
      <c r="S470" s="32">
        <f t="shared" si="1073"/>
        <v>-51</v>
      </c>
      <c r="T470" s="32">
        <f t="shared" si="1073"/>
        <v>-16</v>
      </c>
      <c r="U470" s="31"/>
      <c r="V470" s="31"/>
      <c r="W470" s="31"/>
      <c r="X470" s="31"/>
      <c r="Y470" s="31"/>
      <c r="Z470" s="31"/>
      <c r="AA470" s="31"/>
      <c r="AB470" s="31"/>
      <c r="AC470" s="31"/>
      <c r="AD470" s="31"/>
      <c r="AE470" s="31"/>
      <c r="AF470" s="31"/>
      <c r="AG470" s="31"/>
      <c r="AH470" s="31"/>
      <c r="AI470" s="31"/>
      <c r="AJ470" s="31"/>
      <c r="AK470" s="79"/>
      <c r="AL470" s="91"/>
      <c r="AM470" s="32">
        <f>SUM(AM466:AM469)</f>
        <v>-105</v>
      </c>
      <c r="AN470" s="32">
        <f>SUM(AN466:AN469)</f>
        <v>-137</v>
      </c>
      <c r="AO470" s="32">
        <f>SUM(AO466:AO469)</f>
        <v>172</v>
      </c>
      <c r="AP470" s="32">
        <f>SUM(AP466:AP469)</f>
        <v>-22</v>
      </c>
      <c r="AQ470" s="32">
        <f>SUM(AQ466:AQ469)</f>
        <v>-72</v>
      </c>
      <c r="AR470" s="31"/>
      <c r="AS470" s="31"/>
      <c r="AT470" s="31"/>
      <c r="AU470" s="31"/>
      <c r="AV470" s="31"/>
      <c r="AW470" s="31"/>
      <c r="AX470" s="31"/>
    </row>
    <row r="471" spans="3:50" ht="5.2" customHeight="1" outlineLevel="1">
      <c r="C471" s="45"/>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79"/>
      <c r="AL471" s="29"/>
      <c r="AM471" s="31"/>
      <c r="AN471" s="31"/>
      <c r="AO471" s="31"/>
      <c r="AP471" s="31"/>
      <c r="AQ471" s="31"/>
      <c r="AR471" s="31"/>
      <c r="AS471" s="31"/>
      <c r="AT471" s="31"/>
      <c r="AU471" s="31"/>
      <c r="AV471" s="31"/>
      <c r="AW471" s="31"/>
      <c r="AX471" s="31"/>
    </row>
    <row r="472" spans="3:50" ht="11.25" customHeight="1" outlineLevel="2">
      <c r="C472" s="113" t="s">
        <v>68</v>
      </c>
      <c r="E472" s="33"/>
      <c r="F472" s="33"/>
      <c r="G472" s="33"/>
      <c r="H472" s="33"/>
      <c r="I472" s="42">
        <f>+I470-(I461-E461)</f>
        <v>-3</v>
      </c>
      <c r="J472" s="42">
        <f t="shared" ref="J472:T472" si="1074">+J470-(J461-F461)</f>
        <v>-15</v>
      </c>
      <c r="K472" s="42">
        <f t="shared" si="1074"/>
        <v>-6</v>
      </c>
      <c r="L472" s="42">
        <f t="shared" si="1074"/>
        <v>68</v>
      </c>
      <c r="M472" s="42">
        <f t="shared" si="1074"/>
        <v>7</v>
      </c>
      <c r="N472" s="42">
        <f t="shared" si="1074"/>
        <v>-8</v>
      </c>
      <c r="O472" s="42">
        <f t="shared" si="1074"/>
        <v>22</v>
      </c>
      <c r="P472" s="42">
        <f t="shared" si="1074"/>
        <v>-22</v>
      </c>
      <c r="Q472" s="42">
        <f t="shared" si="1074"/>
        <v>20</v>
      </c>
      <c r="R472" s="42">
        <f t="shared" si="1074"/>
        <v>12</v>
      </c>
      <c r="S472" s="42">
        <f t="shared" si="1074"/>
        <v>3</v>
      </c>
      <c r="T472" s="42">
        <f t="shared" si="1074"/>
        <v>12</v>
      </c>
      <c r="AK472" s="79"/>
      <c r="AL472" s="33"/>
      <c r="AM472" s="42">
        <f>+AM470-(AM461-AL461)</f>
        <v>-39</v>
      </c>
      <c r="AN472" s="42">
        <f>+AN470-(AN461-AM461)</f>
        <v>-14</v>
      </c>
      <c r="AO472" s="42">
        <f>+AO470-(AO461-AN461)</f>
        <v>44</v>
      </c>
      <c r="AP472" s="42">
        <f>+AP470-(AP461-AO461)</f>
        <v>-1</v>
      </c>
      <c r="AQ472" s="42">
        <f>+AQ470-(AQ461-AP461)</f>
        <v>47</v>
      </c>
      <c r="AR472" s="42"/>
    </row>
    <row r="473" spans="3:50" ht="5.2" customHeight="1" outlineLevel="2">
      <c r="C473" s="111"/>
      <c r="E473" s="33"/>
      <c r="F473" s="33"/>
      <c r="G473" s="33"/>
      <c r="H473" s="33"/>
      <c r="I473" s="42"/>
      <c r="J473" s="42"/>
      <c r="K473" s="42"/>
      <c r="L473" s="42"/>
      <c r="M473" s="42"/>
      <c r="N473" s="42"/>
      <c r="O473" s="42"/>
      <c r="P473" s="42"/>
      <c r="Q473" s="42"/>
      <c r="R473" s="42"/>
      <c r="S473" s="42"/>
      <c r="AK473" s="79"/>
      <c r="AL473" s="33"/>
      <c r="AM473" s="33"/>
      <c r="AN473" s="33"/>
      <c r="AO473" s="33"/>
      <c r="AP473" s="33"/>
    </row>
    <row r="474" spans="3:50" ht="11.25" customHeight="1" outlineLevel="1">
      <c r="C474" s="36" t="s">
        <v>395</v>
      </c>
      <c r="E474" s="29"/>
      <c r="F474" s="29"/>
      <c r="G474" s="29"/>
      <c r="H474" s="29"/>
      <c r="I474" s="29"/>
      <c r="J474" s="29"/>
      <c r="K474" s="29"/>
      <c r="L474" s="29"/>
      <c r="M474" s="29"/>
      <c r="N474" s="29"/>
      <c r="O474" s="29"/>
      <c r="P474" s="29"/>
      <c r="AK474" s="79"/>
      <c r="AL474" s="29"/>
      <c r="AM474" s="29"/>
      <c r="AN474" s="29"/>
      <c r="AO474" s="29"/>
      <c r="AP474" s="29"/>
    </row>
    <row r="475" spans="3:50" ht="11.25" customHeight="1" outlineLevel="1">
      <c r="C475" s="44" t="s">
        <v>165</v>
      </c>
      <c r="E475" s="46"/>
      <c r="F475" s="46"/>
      <c r="G475" s="46"/>
      <c r="H475" s="46"/>
      <c r="I475" s="63">
        <f>I466/E$461</f>
        <v>0</v>
      </c>
      <c r="J475" s="63">
        <f t="shared" ref="J475:O479" si="1075">J466/F$461</f>
        <v>0</v>
      </c>
      <c r="K475" s="63">
        <f t="shared" si="1075"/>
        <v>0</v>
      </c>
      <c r="L475" s="63">
        <f t="shared" si="1075"/>
        <v>0</v>
      </c>
      <c r="M475" s="63">
        <f t="shared" si="1075"/>
        <v>0</v>
      </c>
      <c r="N475" s="63">
        <f t="shared" si="1075"/>
        <v>0</v>
      </c>
      <c r="O475" s="63">
        <f t="shared" si="1075"/>
        <v>0.48148148148148145</v>
      </c>
      <c r="P475" s="63">
        <f t="shared" ref="P475:Q479" si="1076">P466/L$461</f>
        <v>-1.9056603773584906</v>
      </c>
      <c r="Q475" s="63">
        <f t="shared" si="1076"/>
        <v>-0.11235955056179775</v>
      </c>
      <c r="R475" s="63">
        <f t="shared" ref="R475:T479" si="1077">R466/N$461</f>
        <v>0</v>
      </c>
      <c r="S475" s="63">
        <f t="shared" si="1077"/>
        <v>-0.20253164556962025</v>
      </c>
      <c r="T475" s="63">
        <f t="shared" si="1077"/>
        <v>0.36956521739130432</v>
      </c>
      <c r="U475" s="130"/>
      <c r="V475" s="130"/>
      <c r="W475" s="130"/>
      <c r="X475" s="130"/>
      <c r="Y475" s="130"/>
      <c r="Z475" s="130"/>
      <c r="AA475" s="130"/>
      <c r="AB475" s="130"/>
      <c r="AC475" s="130"/>
      <c r="AD475" s="130"/>
      <c r="AE475" s="130"/>
      <c r="AF475" s="130"/>
      <c r="AG475" s="130"/>
      <c r="AH475" s="130"/>
      <c r="AI475" s="130"/>
      <c r="AJ475" s="130"/>
      <c r="AK475" s="79"/>
      <c r="AL475" s="46"/>
      <c r="AM475" s="63">
        <f>AM466/AL$461</f>
        <v>-7.2222222222222215E-2</v>
      </c>
      <c r="AN475" s="63">
        <f>AN466/AM$461</f>
        <v>5.4421768707482991E-2</v>
      </c>
      <c r="AO475" s="63">
        <f>AO466/AN$461</f>
        <v>0</v>
      </c>
      <c r="AP475" s="63">
        <f>AP466/AO$461</f>
        <v>-0.20735785953177258</v>
      </c>
      <c r="AQ475" s="63">
        <f>AQ466/AP$461</f>
        <v>-3.237410071942446E-2</v>
      </c>
      <c r="AR475" s="63"/>
      <c r="AS475" s="130"/>
      <c r="AT475" s="130"/>
      <c r="AU475" s="130"/>
      <c r="AV475" s="130"/>
      <c r="AW475" s="130"/>
      <c r="AX475" s="130"/>
    </row>
    <row r="476" spans="3:50" ht="11.25" customHeight="1" outlineLevel="1">
      <c r="C476" s="44" t="s">
        <v>166</v>
      </c>
      <c r="E476" s="46"/>
      <c r="F476" s="46"/>
      <c r="G476" s="46"/>
      <c r="H476" s="46"/>
      <c r="I476" s="63">
        <f>I467/E$461</f>
        <v>0</v>
      </c>
      <c r="J476" s="63">
        <f t="shared" si="1075"/>
        <v>0</v>
      </c>
      <c r="K476" s="63">
        <f t="shared" si="1075"/>
        <v>0</v>
      </c>
      <c r="L476" s="63">
        <f t="shared" si="1075"/>
        <v>0.54</v>
      </c>
      <c r="M476" s="63">
        <f t="shared" si="1075"/>
        <v>0.17073170731707318</v>
      </c>
      <c r="N476" s="63">
        <f t="shared" si="1075"/>
        <v>4.8192771084337352E-2</v>
      </c>
      <c r="O476" s="63">
        <f t="shared" si="1075"/>
        <v>0</v>
      </c>
      <c r="P476" s="63">
        <f t="shared" si="1076"/>
        <v>0.81132075471698117</v>
      </c>
      <c r="Q476" s="63">
        <f t="shared" si="1076"/>
        <v>0</v>
      </c>
      <c r="R476" s="63">
        <f t="shared" si="1077"/>
        <v>-0.96875</v>
      </c>
      <c r="S476" s="63">
        <f t="shared" si="1077"/>
        <v>-1.0126582278481013</v>
      </c>
      <c r="T476" s="63">
        <f t="shared" si="1077"/>
        <v>1.7173913043478262</v>
      </c>
      <c r="U476" s="130"/>
      <c r="V476" s="130"/>
      <c r="W476" s="130"/>
      <c r="X476" s="130"/>
      <c r="Y476" s="130"/>
      <c r="Z476" s="130"/>
      <c r="AA476" s="130"/>
      <c r="AB476" s="130"/>
      <c r="AC476" s="130"/>
      <c r="AD476" s="130"/>
      <c r="AE476" s="130"/>
      <c r="AF476" s="130"/>
      <c r="AG476" s="130"/>
      <c r="AH476" s="130"/>
      <c r="AI476" s="130"/>
      <c r="AJ476" s="130"/>
      <c r="AK476" s="79"/>
      <c r="AL476" s="46"/>
      <c r="AM476" s="63">
        <f t="shared" ref="AM476:AQ479" si="1078">AM467/AL$461</f>
        <v>0</v>
      </c>
      <c r="AN476" s="63">
        <f t="shared" si="1078"/>
        <v>0</v>
      </c>
      <c r="AO476" s="63">
        <f t="shared" si="1078"/>
        <v>0.15789473684210525</v>
      </c>
      <c r="AP476" s="63">
        <f t="shared" si="1078"/>
        <v>0.20401337792642141</v>
      </c>
      <c r="AQ476" s="63">
        <f t="shared" si="1078"/>
        <v>-0.22661870503597123</v>
      </c>
      <c r="AR476" s="63"/>
      <c r="AS476" s="130"/>
      <c r="AT476" s="130"/>
      <c r="AU476" s="130"/>
      <c r="AV476" s="130"/>
      <c r="AW476" s="130"/>
      <c r="AX476" s="130"/>
    </row>
    <row r="477" spans="3:50" ht="11.25" customHeight="1" outlineLevel="1">
      <c r="C477" s="44" t="s">
        <v>167</v>
      </c>
      <c r="E477" s="46"/>
      <c r="F477" s="46"/>
      <c r="G477" s="46"/>
      <c r="H477" s="46"/>
      <c r="I477" s="63">
        <f>I468/E$461</f>
        <v>0</v>
      </c>
      <c r="J477" s="63">
        <f t="shared" si="1075"/>
        <v>0</v>
      </c>
      <c r="K477" s="63">
        <f t="shared" si="1075"/>
        <v>0</v>
      </c>
      <c r="L477" s="63">
        <f t="shared" si="1075"/>
        <v>2</v>
      </c>
      <c r="M477" s="63">
        <f t="shared" si="1075"/>
        <v>0</v>
      </c>
      <c r="N477" s="63">
        <f t="shared" si="1075"/>
        <v>0</v>
      </c>
      <c r="O477" s="63">
        <f t="shared" si="1075"/>
        <v>0</v>
      </c>
      <c r="P477" s="63">
        <f t="shared" si="1076"/>
        <v>0</v>
      </c>
      <c r="Q477" s="63">
        <f t="shared" si="1076"/>
        <v>0</v>
      </c>
      <c r="R477" s="63">
        <f t="shared" si="1077"/>
        <v>0</v>
      </c>
      <c r="S477" s="63">
        <f t="shared" si="1077"/>
        <v>0</v>
      </c>
      <c r="T477" s="63">
        <f t="shared" si="1077"/>
        <v>0</v>
      </c>
      <c r="U477" s="130"/>
      <c r="V477" s="130"/>
      <c r="W477" s="130"/>
      <c r="X477" s="130"/>
      <c r="Y477" s="130"/>
      <c r="Z477" s="130"/>
      <c r="AA477" s="130"/>
      <c r="AB477" s="130"/>
      <c r="AC477" s="130"/>
      <c r="AD477" s="130"/>
      <c r="AE477" s="130"/>
      <c r="AF477" s="130"/>
      <c r="AG477" s="130"/>
      <c r="AH477" s="130"/>
      <c r="AI477" s="130"/>
      <c r="AJ477" s="130"/>
      <c r="AK477" s="79"/>
      <c r="AL477" s="46"/>
      <c r="AM477" s="63">
        <f t="shared" si="1078"/>
        <v>-0.32777777777777778</v>
      </c>
      <c r="AN477" s="63">
        <f t="shared" si="1078"/>
        <v>9.5238095238095233E-2</v>
      </c>
      <c r="AO477" s="63">
        <f t="shared" si="1078"/>
        <v>0.58479532163742687</v>
      </c>
      <c r="AP477" s="63">
        <f t="shared" si="1078"/>
        <v>0</v>
      </c>
      <c r="AQ477" s="63">
        <f t="shared" si="1078"/>
        <v>0</v>
      </c>
      <c r="AR477" s="63"/>
      <c r="AS477" s="130"/>
      <c r="AT477" s="130"/>
      <c r="AU477" s="130"/>
      <c r="AV477" s="130"/>
      <c r="AW477" s="130"/>
      <c r="AX477" s="130"/>
    </row>
    <row r="478" spans="3:50" ht="11.25" customHeight="1" outlineLevel="1">
      <c r="C478" s="44" t="s">
        <v>711</v>
      </c>
      <c r="E478" s="46"/>
      <c r="F478" s="46"/>
      <c r="G478" s="46"/>
      <c r="H478" s="46"/>
      <c r="I478" s="63">
        <f>I469/E$461</f>
        <v>0.17910447761194029</v>
      </c>
      <c r="J478" s="63">
        <f t="shared" si="1075"/>
        <v>3.5333333333333332</v>
      </c>
      <c r="K478" s="63">
        <f t="shared" si="1075"/>
        <v>0.92307692307692313</v>
      </c>
      <c r="L478" s="63">
        <f t="shared" si="1075"/>
        <v>-1.1200000000000001</v>
      </c>
      <c r="M478" s="63">
        <f t="shared" si="1075"/>
        <v>0</v>
      </c>
      <c r="N478" s="63">
        <f t="shared" si="1075"/>
        <v>-0.37349397590361444</v>
      </c>
      <c r="O478" s="63">
        <f t="shared" si="1075"/>
        <v>-0.23456790123456789</v>
      </c>
      <c r="P478" s="63">
        <f t="shared" si="1076"/>
        <v>0.54716981132075471</v>
      </c>
      <c r="Q478" s="63">
        <f t="shared" si="1076"/>
        <v>7.8651685393258425E-2</v>
      </c>
      <c r="R478" s="63">
        <f t="shared" si="1077"/>
        <v>0.9375</v>
      </c>
      <c r="S478" s="63">
        <f t="shared" si="1077"/>
        <v>0.569620253164557</v>
      </c>
      <c r="T478" s="63">
        <f t="shared" si="1077"/>
        <v>-2.4347826086956523</v>
      </c>
      <c r="U478" s="130"/>
      <c r="V478" s="130"/>
      <c r="W478" s="130"/>
      <c r="X478" s="130"/>
      <c r="Y478" s="130"/>
      <c r="Z478" s="130"/>
      <c r="AA478" s="130"/>
      <c r="AB478" s="130"/>
      <c r="AC478" s="130"/>
      <c r="AD478" s="130"/>
      <c r="AE478" s="130"/>
      <c r="AF478" s="130"/>
      <c r="AG478" s="130"/>
      <c r="AH478" s="130"/>
      <c r="AI478" s="130"/>
      <c r="AJ478" s="130"/>
      <c r="AK478" s="79"/>
      <c r="AL478" s="46"/>
      <c r="AM478" s="63">
        <f t="shared" si="1078"/>
        <v>0.10833333333333334</v>
      </c>
      <c r="AN478" s="63">
        <f t="shared" si="1078"/>
        <v>-0.61564625850340138</v>
      </c>
      <c r="AO478" s="63">
        <f t="shared" si="1078"/>
        <v>0.26315789473684209</v>
      </c>
      <c r="AP478" s="63">
        <f t="shared" si="1078"/>
        <v>-7.0234113712374577E-2</v>
      </c>
      <c r="AQ478" s="63">
        <f t="shared" si="1078"/>
        <v>0</v>
      </c>
      <c r="AR478" s="63"/>
      <c r="AS478" s="130"/>
      <c r="AT478" s="130"/>
      <c r="AU478" s="130"/>
      <c r="AV478" s="130"/>
      <c r="AW478" s="130"/>
      <c r="AX478" s="130"/>
    </row>
    <row r="479" spans="3:50" ht="11.25" customHeight="1" outlineLevel="1">
      <c r="C479" s="111" t="s">
        <v>351</v>
      </c>
      <c r="E479" s="91"/>
      <c r="F479" s="91"/>
      <c r="G479" s="91"/>
      <c r="H479" s="91"/>
      <c r="I479" s="67">
        <f>I470/E$461</f>
        <v>0.17910447761194029</v>
      </c>
      <c r="J479" s="67">
        <f t="shared" si="1075"/>
        <v>3.5333333333333332</v>
      </c>
      <c r="K479" s="67">
        <f t="shared" si="1075"/>
        <v>0.92307692307692313</v>
      </c>
      <c r="L479" s="67">
        <f t="shared" si="1075"/>
        <v>1.42</v>
      </c>
      <c r="M479" s="67">
        <f t="shared" si="1075"/>
        <v>0.17073170731707318</v>
      </c>
      <c r="N479" s="67">
        <f t="shared" si="1075"/>
        <v>-0.3253012048192771</v>
      </c>
      <c r="O479" s="67">
        <f t="shared" si="1075"/>
        <v>0.24691358024691357</v>
      </c>
      <c r="P479" s="67">
        <f t="shared" si="1076"/>
        <v>-0.54716981132075471</v>
      </c>
      <c r="Q479" s="67">
        <f t="shared" si="1076"/>
        <v>-3.3707865168539325E-2</v>
      </c>
      <c r="R479" s="67">
        <f t="shared" si="1077"/>
        <v>-3.125E-2</v>
      </c>
      <c r="S479" s="67">
        <f t="shared" si="1077"/>
        <v>-0.64556962025316456</v>
      </c>
      <c r="T479" s="67">
        <f t="shared" si="1077"/>
        <v>-0.34782608695652173</v>
      </c>
      <c r="U479" s="126"/>
      <c r="V479" s="126"/>
      <c r="W479" s="126"/>
      <c r="X479" s="126"/>
      <c r="Y479" s="126"/>
      <c r="Z479" s="126"/>
      <c r="AA479" s="126"/>
      <c r="AB479" s="126"/>
      <c r="AC479" s="126"/>
      <c r="AD479" s="126"/>
      <c r="AE479" s="126"/>
      <c r="AF479" s="126"/>
      <c r="AG479" s="126"/>
      <c r="AH479" s="126"/>
      <c r="AI479" s="126"/>
      <c r="AJ479" s="126"/>
      <c r="AK479" s="79"/>
      <c r="AL479" s="91"/>
      <c r="AM479" s="67">
        <f t="shared" si="1078"/>
        <v>-0.29166666666666669</v>
      </c>
      <c r="AN479" s="67">
        <f t="shared" si="1078"/>
        <v>-0.46598639455782315</v>
      </c>
      <c r="AO479" s="67">
        <f t="shared" si="1078"/>
        <v>1.0058479532163742</v>
      </c>
      <c r="AP479" s="67">
        <f t="shared" si="1078"/>
        <v>-7.3578595317725759E-2</v>
      </c>
      <c r="AQ479" s="67">
        <f t="shared" si="1078"/>
        <v>-0.25899280575539568</v>
      </c>
      <c r="AR479" s="437"/>
      <c r="AS479" s="126"/>
      <c r="AT479" s="126"/>
      <c r="AU479" s="126"/>
      <c r="AV479" s="126"/>
      <c r="AW479" s="126"/>
      <c r="AX479" s="126"/>
    </row>
    <row r="480" spans="3:50" ht="11.25" customHeight="1" outlineLevel="1">
      <c r="C480" s="114"/>
      <c r="E480" s="94"/>
      <c r="F480" s="94"/>
      <c r="G480" s="94"/>
      <c r="H480" s="94"/>
      <c r="I480" s="94"/>
      <c r="J480" s="94"/>
      <c r="K480" s="94"/>
      <c r="L480" s="94"/>
      <c r="M480" s="94"/>
      <c r="N480" s="94"/>
      <c r="O480" s="94"/>
      <c r="P480" s="94"/>
      <c r="Q480" s="94"/>
      <c r="R480" s="94"/>
      <c r="AK480" s="79"/>
      <c r="AL480" s="94"/>
      <c r="AM480" s="94"/>
      <c r="AN480" s="94"/>
      <c r="AO480" s="94"/>
      <c r="AP480" s="94"/>
    </row>
    <row r="481" spans="3:71" ht="11.25" customHeight="1" outlineLevel="1">
      <c r="C481" s="112" t="s">
        <v>117</v>
      </c>
      <c r="E481" s="29">
        <v>3147</v>
      </c>
      <c r="F481" s="29">
        <v>3118</v>
      </c>
      <c r="G481" s="29">
        <v>3105</v>
      </c>
      <c r="H481" s="29">
        <v>2927</v>
      </c>
      <c r="I481" s="29">
        <v>2971</v>
      </c>
      <c r="J481" s="29">
        <v>2997</v>
      </c>
      <c r="K481" s="29">
        <v>3039</v>
      </c>
      <c r="L481" s="29">
        <v>3000</v>
      </c>
      <c r="M481" s="29">
        <v>3017</v>
      </c>
      <c r="N481" s="29">
        <v>2993</v>
      </c>
      <c r="O481" s="29">
        <v>2996</v>
      </c>
      <c r="P481" s="29">
        <v>2934</v>
      </c>
      <c r="Q481" s="29">
        <v>2890</v>
      </c>
      <c r="R481" s="29">
        <v>2851</v>
      </c>
      <c r="S481" s="29">
        <v>2848</v>
      </c>
      <c r="T481" s="29">
        <v>2775</v>
      </c>
      <c r="U481" s="29">
        <v>2703</v>
      </c>
      <c r="V481" s="29">
        <v>2615</v>
      </c>
      <c r="W481" s="29">
        <v>2616</v>
      </c>
      <c r="X481" s="29">
        <v>2614</v>
      </c>
      <c r="Y481" s="29">
        <v>2643</v>
      </c>
      <c r="Z481" s="29">
        <v>2889</v>
      </c>
      <c r="AA481" s="29">
        <v>2752</v>
      </c>
      <c r="AB481" s="29">
        <v>2703</v>
      </c>
      <c r="AC481" s="29">
        <v>2785</v>
      </c>
      <c r="AD481" s="837">
        <v>0</v>
      </c>
      <c r="AE481" s="837">
        <v>0</v>
      </c>
      <c r="AF481" s="29">
        <v>2695</v>
      </c>
      <c r="AG481" s="29"/>
      <c r="AK481" s="79"/>
      <c r="AL481" s="29">
        <v>3710</v>
      </c>
      <c r="AM481" s="29">
        <v>2930</v>
      </c>
      <c r="AN481" s="33">
        <f>SUMIF($E$7:$AK$7,AN$7,$E481:$AK481)</f>
        <v>2927</v>
      </c>
      <c r="AO481" s="33">
        <f t="shared" ref="AO481:AT481" si="1079">SUMIF($E$7:$AK$7,AO$7,$E481:$AK481)</f>
        <v>3000</v>
      </c>
      <c r="AP481" s="33">
        <f t="shared" si="1079"/>
        <v>2934</v>
      </c>
      <c r="AQ481" s="33">
        <f t="shared" si="1079"/>
        <v>2775</v>
      </c>
      <c r="AR481" s="33">
        <f t="shared" si="1079"/>
        <v>2614</v>
      </c>
      <c r="AS481" s="33">
        <f t="shared" si="1079"/>
        <v>2703</v>
      </c>
      <c r="AT481" s="33">
        <f t="shared" si="1079"/>
        <v>2695</v>
      </c>
    </row>
    <row r="482" spans="3:71" ht="11.25" customHeight="1" outlineLevel="1">
      <c r="C482" s="112" t="s">
        <v>119</v>
      </c>
      <c r="E482" s="33">
        <f>$AN$482*(E899/SUM($E$899:$H$899))</f>
        <v>39.79137931034483</v>
      </c>
      <c r="F482" s="33">
        <f>$AN$482*(F899/SUM($E$899:$H$899))</f>
        <v>38.979310344827589</v>
      </c>
      <c r="G482" s="33">
        <f>$AN$482*(G899/SUM($E$899:$H$899))</f>
        <v>39.25</v>
      </c>
      <c r="H482" s="33">
        <f>$AN$482*(H899/SUM($E$899:$H$899))</f>
        <v>38.979310344827589</v>
      </c>
      <c r="I482" s="33">
        <f>$AO$482*(I899/SUM($I$899:$L$899))</f>
        <v>36.558773424190804</v>
      </c>
      <c r="J482" s="33">
        <f>$AO$482*(J899/SUM($I$899:$L$899))</f>
        <v>37.063032367972738</v>
      </c>
      <c r="K482" s="33">
        <f>$AO$482*(K899/SUM($I$899:$L$899))</f>
        <v>37.315161839863713</v>
      </c>
      <c r="L482" s="33">
        <f>$AO$482*(L899/SUM($I$899:$L$899))</f>
        <v>37.063032367972738</v>
      </c>
      <c r="M482" s="33">
        <f>$AP$482*(M899/SUM($M$899:$P$899))</f>
        <v>38</v>
      </c>
      <c r="N482" s="33">
        <f>$AP$482*(N899/SUM($M$899:$P$899))</f>
        <v>37</v>
      </c>
      <c r="O482" s="33">
        <f>$AP$482*(O899/SUM($M$899:$P$899))</f>
        <v>37.75</v>
      </c>
      <c r="P482" s="33">
        <f>$AP$482*(P899/SUM($M$899:$P$899))</f>
        <v>38.25</v>
      </c>
      <c r="Q482" s="33">
        <f>$AQ$482*(Q899/SUM($Q$899:$T$899))</f>
        <v>25.875613747954176</v>
      </c>
      <c r="R482" s="33">
        <f>$AQ$482*(R899/SUM($Q$899:$T$899))</f>
        <v>26.042553191489361</v>
      </c>
      <c r="S482" s="33">
        <f>$AQ$482*(S899/SUM($Q$899:$T$899))</f>
        <v>25.20785597381342</v>
      </c>
      <c r="T482" s="33">
        <f>$AQ$482*(T899/SUM($Q$899:$T$899))</f>
        <v>24.873977086743047</v>
      </c>
      <c r="U482" s="33">
        <f>$AR482*(U$899/SUM($U$899:$X$899))</f>
        <v>24.458188153310104</v>
      </c>
      <c r="V482" s="33">
        <f>$AR482*(V$899/SUM($U$899:$X$899))</f>
        <v>24.810104529616726</v>
      </c>
      <c r="W482" s="33">
        <f>$AR482*(W$899/SUM($U$899:$X$899))</f>
        <v>26.217770034843202</v>
      </c>
      <c r="X482" s="33">
        <f>$AR482*(X$899/SUM($U$899:$X$899))</f>
        <v>25.513937282229964</v>
      </c>
      <c r="Y482" s="33">
        <f>$AS482*(Y$899/SUM($Y$899:$AB$899))</f>
        <v>28.249070631970259</v>
      </c>
      <c r="Z482" s="33">
        <f>$AS482*(Z$899/SUM($Y$899:$AB$899))</f>
        <v>26.542750929368029</v>
      </c>
      <c r="AA482" s="33">
        <f>$AS482*(AA$899/SUM($Y$899:$AB$899))</f>
        <v>24.078066914498141</v>
      </c>
      <c r="AB482" s="33">
        <f>$AS482*(AB$899/SUM($Y$899:$AB$899))</f>
        <v>23.130111524163571</v>
      </c>
      <c r="AC482" s="33">
        <f>$AT482*(AC$899/SUM($AC$899:$AF$899))</f>
        <v>26.381551362683435</v>
      </c>
      <c r="AD482" s="33">
        <f>$AT482*(AD$899/SUM($AC$899:$AF$899))</f>
        <v>26.59958071278826</v>
      </c>
      <c r="AE482" s="33">
        <f>$AT482*(AE$899/SUM($AC$899:$AF$899))</f>
        <v>25.509433962264151</v>
      </c>
      <c r="AF482" s="33">
        <f>$AT482*(AF$899/SUM($AC$899:$AF$899))</f>
        <v>25.509433962264151</v>
      </c>
      <c r="AG482" s="33">
        <f>$AT482*(AG$899/SUM($AC$899:$AF$899))</f>
        <v>30.742138364779873</v>
      </c>
      <c r="AH482" s="33">
        <f t="shared" ref="AH482:AJ482" si="1080">+AH$899*AH904</f>
        <v>27.50080164212012</v>
      </c>
      <c r="AI482" s="33">
        <f t="shared" si="1080"/>
        <v>27.852260613185866</v>
      </c>
      <c r="AJ482" s="33">
        <f t="shared" si="1080"/>
        <v>28.203719584251608</v>
      </c>
      <c r="AK482" s="79"/>
      <c r="AL482" s="29">
        <v>92</v>
      </c>
      <c r="AM482" s="29">
        <v>149</v>
      </c>
      <c r="AN482" s="29">
        <v>157</v>
      </c>
      <c r="AO482" s="29">
        <v>148</v>
      </c>
      <c r="AP482" s="29">
        <v>151</v>
      </c>
      <c r="AQ482" s="98">
        <v>102</v>
      </c>
      <c r="AR482" s="98">
        <v>101</v>
      </c>
      <c r="AS482" s="98">
        <v>102</v>
      </c>
      <c r="AT482" s="98">
        <v>104</v>
      </c>
      <c r="AU482" s="33">
        <f t="shared" ref="AU482" si="1081">SUMIF($E$6:$AK$6,AU$6,$E482:$AK482)</f>
        <v>114.29892020433746</v>
      </c>
      <c r="AV482" s="33">
        <f>+AV$899*AV904</f>
        <v>114.99016664717206</v>
      </c>
      <c r="AW482" s="33">
        <f>+AW$899*AW904</f>
        <v>117.24307416403893</v>
      </c>
      <c r="AX482" s="33">
        <f>+AX$899*AX904</f>
        <v>121.48384125461185</v>
      </c>
    </row>
    <row r="483" spans="3:71" ht="11.25" customHeight="1" outlineLevel="1">
      <c r="C483" s="112" t="s">
        <v>120</v>
      </c>
      <c r="E483" s="46"/>
      <c r="F483" s="46"/>
      <c r="G483" s="46"/>
      <c r="H483" s="46"/>
      <c r="I483" s="46"/>
      <c r="J483" s="46"/>
      <c r="K483" s="46"/>
      <c r="L483" s="46"/>
      <c r="M483" s="46"/>
      <c r="N483" s="46"/>
      <c r="O483" s="46"/>
      <c r="P483" s="46"/>
      <c r="Q483" s="46"/>
      <c r="R483" s="46"/>
      <c r="S483" s="46"/>
      <c r="T483" s="46"/>
      <c r="AK483" s="79"/>
      <c r="AL483" s="29">
        <v>188</v>
      </c>
      <c r="AM483" s="29">
        <v>139</v>
      </c>
      <c r="AN483" s="29">
        <v>128</v>
      </c>
      <c r="AO483" s="29">
        <v>116</v>
      </c>
      <c r="AP483" s="29">
        <v>137</v>
      </c>
      <c r="AQ483" s="29">
        <v>98</v>
      </c>
      <c r="AR483" s="29">
        <v>84</v>
      </c>
      <c r="AS483" s="29">
        <v>124</v>
      </c>
      <c r="AT483" s="29">
        <v>98</v>
      </c>
    </row>
    <row r="484" spans="3:71" ht="11.25" customHeight="1" outlineLevel="1">
      <c r="C484" s="43"/>
      <c r="E484" s="29"/>
      <c r="F484" s="29"/>
      <c r="G484" s="29"/>
      <c r="H484" s="29"/>
      <c r="I484" s="29"/>
      <c r="J484" s="29"/>
      <c r="K484" s="29"/>
      <c r="L484" s="29"/>
      <c r="M484" s="29"/>
      <c r="N484" s="29"/>
      <c r="O484" s="29"/>
      <c r="P484" s="29"/>
      <c r="Q484" s="29"/>
      <c r="R484" s="29"/>
      <c r="AK484" s="79"/>
      <c r="AL484" s="29"/>
      <c r="AM484" s="29"/>
      <c r="AN484" s="29"/>
      <c r="AO484" s="29"/>
      <c r="AP484" s="29"/>
    </row>
    <row r="485" spans="3:71" ht="11.25" customHeight="1">
      <c r="C485" s="45" t="s">
        <v>617</v>
      </c>
      <c r="E485" s="31">
        <f>E461+E482</f>
        <v>106.79137931034484</v>
      </c>
      <c r="F485" s="31">
        <f t="shared" ref="F485:X485" si="1082">F461+F482</f>
        <v>53.979310344827589</v>
      </c>
      <c r="G485" s="31">
        <f t="shared" si="1082"/>
        <v>78.25</v>
      </c>
      <c r="H485" s="31">
        <f t="shared" si="1082"/>
        <v>88.979310344827582</v>
      </c>
      <c r="I485" s="31">
        <f t="shared" si="1082"/>
        <v>118.5587734241908</v>
      </c>
      <c r="J485" s="31">
        <f t="shared" si="1082"/>
        <v>120.06303236797274</v>
      </c>
      <c r="K485" s="31">
        <f t="shared" si="1082"/>
        <v>118.31516183986372</v>
      </c>
      <c r="L485" s="31">
        <f t="shared" si="1082"/>
        <v>90.063032367972738</v>
      </c>
      <c r="M485" s="31">
        <f t="shared" si="1082"/>
        <v>127</v>
      </c>
      <c r="N485" s="31">
        <f t="shared" si="1082"/>
        <v>101</v>
      </c>
      <c r="O485" s="31">
        <f t="shared" si="1082"/>
        <v>116.75</v>
      </c>
      <c r="P485" s="31">
        <f t="shared" si="1082"/>
        <v>84.25</v>
      </c>
      <c r="Q485" s="31">
        <f t="shared" si="1082"/>
        <v>91.875613747954176</v>
      </c>
      <c r="R485" s="31">
        <f t="shared" si="1082"/>
        <v>76.042553191489361</v>
      </c>
      <c r="S485" s="31">
        <f t="shared" si="1082"/>
        <v>50.207855973813423</v>
      </c>
      <c r="T485" s="31">
        <f>T461+T482</f>
        <v>42.873977086743047</v>
      </c>
      <c r="U485" s="31">
        <f t="shared" si="1082"/>
        <v>84.458188153310104</v>
      </c>
      <c r="V485" s="31">
        <f t="shared" si="1082"/>
        <v>24.810104529616726</v>
      </c>
      <c r="W485" s="31">
        <f t="shared" si="1082"/>
        <v>52.217770034843198</v>
      </c>
      <c r="X485" s="31">
        <f t="shared" si="1082"/>
        <v>52.513937282229961</v>
      </c>
      <c r="Y485" s="31">
        <f t="shared" ref="Y485:AC485" si="1083">Y461+Y482</f>
        <v>84.249070631970255</v>
      </c>
      <c r="Z485" s="31">
        <f t="shared" si="1083"/>
        <v>164.54275092936803</v>
      </c>
      <c r="AA485" s="31">
        <f t="shared" si="1083"/>
        <v>156.07806691449815</v>
      </c>
      <c r="AB485" s="31">
        <f t="shared" si="1083"/>
        <v>125.13011152416357</v>
      </c>
      <c r="AC485" s="31">
        <f t="shared" si="1083"/>
        <v>139.38155136268344</v>
      </c>
      <c r="AD485" s="31">
        <f t="shared" ref="AD485:AF485" si="1084">AD461+AD482</f>
        <v>169.59958071278825</v>
      </c>
      <c r="AE485" s="31">
        <f t="shared" si="1084"/>
        <v>94.509433962264154</v>
      </c>
      <c r="AF485" s="31">
        <f t="shared" si="1084"/>
        <v>49.509433962264154</v>
      </c>
      <c r="AG485" s="31">
        <f t="shared" ref="AG485" si="1085">AG461+AG482</f>
        <v>72.742138364779876</v>
      </c>
      <c r="AH485" s="31">
        <f t="shared" ref="AH485:AJ485" si="1086">AH461+AH482</f>
        <v>85.55520164212011</v>
      </c>
      <c r="AI485" s="31">
        <f t="shared" si="1086"/>
        <v>77.860260613185872</v>
      </c>
      <c r="AJ485" s="31">
        <f t="shared" si="1086"/>
        <v>70.616519584251606</v>
      </c>
      <c r="AK485" s="79"/>
      <c r="AL485" s="31">
        <f t="shared" ref="AL485:AR485" si="1087">AL461+AL482</f>
        <v>452</v>
      </c>
      <c r="AM485" s="31">
        <f t="shared" si="1087"/>
        <v>443</v>
      </c>
      <c r="AN485" s="31">
        <f t="shared" si="1087"/>
        <v>328</v>
      </c>
      <c r="AO485" s="31">
        <f t="shared" si="1087"/>
        <v>447</v>
      </c>
      <c r="AP485" s="31">
        <f t="shared" si="1087"/>
        <v>429</v>
      </c>
      <c r="AQ485" s="31">
        <f t="shared" si="1087"/>
        <v>261</v>
      </c>
      <c r="AR485" s="31">
        <f t="shared" si="1087"/>
        <v>214</v>
      </c>
      <c r="AS485" s="31">
        <f t="shared" ref="AS485:AX485" si="1088">AS461+AS482</f>
        <v>530</v>
      </c>
      <c r="AT485" s="31">
        <f t="shared" si="1088"/>
        <v>453</v>
      </c>
      <c r="AU485" s="31">
        <f t="shared" si="1088"/>
        <v>306.77412020433746</v>
      </c>
      <c r="AV485" s="31">
        <f t="shared" si="1088"/>
        <v>314.56131864717202</v>
      </c>
      <c r="AW485" s="31">
        <f t="shared" si="1088"/>
        <v>318.80993768403891</v>
      </c>
      <c r="AX485" s="31">
        <f t="shared" si="1088"/>
        <v>325.06637340981177</v>
      </c>
    </row>
    <row r="486" spans="3:71" ht="11.25" customHeight="1" outlineLevel="1">
      <c r="C486" s="93" t="s">
        <v>358</v>
      </c>
      <c r="E486" s="124"/>
      <c r="F486" s="124"/>
      <c r="G486" s="124"/>
      <c r="H486" s="124"/>
      <c r="I486" s="94">
        <f t="shared" ref="I486:AC486" si="1089">IFERROR(I485/E485-1,"NA  ")</f>
        <v>0.11019048718950364</v>
      </c>
      <c r="J486" s="94">
        <f t="shared" si="1089"/>
        <v>1.2242416881763187</v>
      </c>
      <c r="K486" s="94">
        <f t="shared" si="1089"/>
        <v>0.51201484779378559</v>
      </c>
      <c r="L486" s="94">
        <f t="shared" si="1089"/>
        <v>1.2179483286005821E-2</v>
      </c>
      <c r="M486" s="94">
        <f t="shared" si="1089"/>
        <v>7.119866655171414E-2</v>
      </c>
      <c r="N486" s="94">
        <f t="shared" si="1089"/>
        <v>-0.15877520325780037</v>
      </c>
      <c r="O486" s="94">
        <f t="shared" si="1089"/>
        <v>-1.322875120588618E-2</v>
      </c>
      <c r="P486" s="94">
        <f t="shared" si="1089"/>
        <v>-6.454404448900064E-2</v>
      </c>
      <c r="Q486" s="94">
        <f t="shared" si="1089"/>
        <v>-0.27656997048854981</v>
      </c>
      <c r="R486" s="94">
        <f t="shared" si="1089"/>
        <v>-0.24710343374763011</v>
      </c>
      <c r="S486" s="94">
        <f t="shared" si="1089"/>
        <v>-0.56995412442129822</v>
      </c>
      <c r="T486" s="94">
        <f t="shared" si="1089"/>
        <v>-0.49111006425230808</v>
      </c>
      <c r="U486" s="94">
        <f t="shared" si="1089"/>
        <v>-8.0733344704423726E-2</v>
      </c>
      <c r="V486" s="94">
        <f t="shared" si="1089"/>
        <v>-0.67373393595635522</v>
      </c>
      <c r="W486" s="94">
        <f t="shared" si="1089"/>
        <v>4.0031863979176352E-2</v>
      </c>
      <c r="X486" s="94">
        <f t="shared" si="1089"/>
        <v>0.22484408609873663</v>
      </c>
      <c r="Y486" s="94">
        <f t="shared" si="1089"/>
        <v>-2.4759887219016896E-3</v>
      </c>
      <c r="Z486" s="94">
        <f t="shared" si="1089"/>
        <v>5.6320861620291582</v>
      </c>
      <c r="AA486" s="94">
        <f t="shared" si="1089"/>
        <v>1.9889837656865161</v>
      </c>
      <c r="AB486" s="94">
        <f t="shared" si="1089"/>
        <v>1.3827981294121319</v>
      </c>
      <c r="AC486" s="94">
        <f t="shared" si="1089"/>
        <v>0.65439868139971979</v>
      </c>
      <c r="AD486" s="94">
        <f t="shared" ref="AD486" si="1090">IFERROR(AD485/Z485-1,"NA  ")</f>
        <v>3.0732619667887651E-2</v>
      </c>
      <c r="AE486" s="94">
        <f t="shared" ref="AE486" si="1091">IFERROR(AE485/AA485-1,"NA  ")</f>
        <v>-0.39447331818866127</v>
      </c>
      <c r="AF486" s="94">
        <f t="shared" ref="AF486:AG486" si="1092">IFERROR(AF485/AB485-1,"NA  ")</f>
        <v>-0.60433637148398522</v>
      </c>
      <c r="AG486" s="94">
        <f t="shared" si="1092"/>
        <v>-0.47810784387455818</v>
      </c>
      <c r="AH486" s="94">
        <f t="shared" ref="AH486" si="1093">IFERROR(AH485/AD485-1,"NA  ")</f>
        <v>-0.49554591301139328</v>
      </c>
      <c r="AI486" s="94">
        <f t="shared" ref="AI486" si="1094">IFERROR(AI485/AE485-1,"NA  ")</f>
        <v>-0.17616414204454955</v>
      </c>
      <c r="AJ486" s="94">
        <f t="shared" ref="AJ486" si="1095">IFERROR(AJ485/AF485-1,"NA  ")</f>
        <v>0.42632451904166735</v>
      </c>
      <c r="AK486" s="79"/>
      <c r="AL486" s="124"/>
      <c r="AM486" s="94">
        <f t="shared" ref="AM486:AX486" si="1096">IFERROR(AM485/AL485-1,"NA  ")</f>
        <v>-1.9911504424778736E-2</v>
      </c>
      <c r="AN486" s="94">
        <f t="shared" si="1096"/>
        <v>-0.2595936794582393</v>
      </c>
      <c r="AO486" s="94">
        <f t="shared" si="1096"/>
        <v>0.36280487804878048</v>
      </c>
      <c r="AP486" s="94">
        <f t="shared" si="1096"/>
        <v>-4.0268456375838979E-2</v>
      </c>
      <c r="AQ486" s="94">
        <f t="shared" si="1096"/>
        <v>-0.39160839160839156</v>
      </c>
      <c r="AR486" s="94">
        <f t="shared" si="1096"/>
        <v>-0.18007662835249039</v>
      </c>
      <c r="AS486" s="94">
        <f t="shared" si="1096"/>
        <v>1.4766355140186915</v>
      </c>
      <c r="AT486" s="94">
        <f t="shared" si="1096"/>
        <v>-0.1452830188679245</v>
      </c>
      <c r="AU486" s="94">
        <f t="shared" si="1096"/>
        <v>-0.32279443663501661</v>
      </c>
      <c r="AV486" s="94">
        <f t="shared" si="1096"/>
        <v>2.5384144000307529E-2</v>
      </c>
      <c r="AW486" s="94">
        <f t="shared" si="1096"/>
        <v>1.350648914856678E-2</v>
      </c>
      <c r="AX486" s="94">
        <f t="shared" si="1096"/>
        <v>1.9624343491994267E-2</v>
      </c>
      <c r="BL486" s="1338">
        <v>2015</v>
      </c>
      <c r="BM486" s="1338">
        <f>BL486+1</f>
        <v>2016</v>
      </c>
      <c r="BN486" s="1338">
        <f t="shared" ref="BN486:BS486" si="1097">BM486+1</f>
        <v>2017</v>
      </c>
      <c r="BO486" s="1338">
        <f t="shared" si="1097"/>
        <v>2018</v>
      </c>
      <c r="BP486" s="1338">
        <f t="shared" si="1097"/>
        <v>2019</v>
      </c>
      <c r="BQ486" s="1338">
        <f t="shared" si="1097"/>
        <v>2020</v>
      </c>
      <c r="BR486" s="1338">
        <f t="shared" si="1097"/>
        <v>2021</v>
      </c>
      <c r="BS486" s="1338">
        <f t="shared" si="1097"/>
        <v>2022</v>
      </c>
    </row>
    <row r="487" spans="3:71" ht="11.25" customHeight="1" outlineLevel="1">
      <c r="C487" s="93" t="s">
        <v>360</v>
      </c>
      <c r="E487" s="94">
        <f t="shared" ref="E487:AJ487" si="1098">E485/E433</f>
        <v>0.17224416017797553</v>
      </c>
      <c r="F487" s="94">
        <f t="shared" si="1098"/>
        <v>8.5275371792776597E-2</v>
      </c>
      <c r="G487" s="94">
        <f t="shared" si="1098"/>
        <v>0.12264890282131662</v>
      </c>
      <c r="H487" s="94">
        <f t="shared" si="1098"/>
        <v>0.13838150908993402</v>
      </c>
      <c r="I487" s="94">
        <f t="shared" si="1098"/>
        <v>0.17695339317043404</v>
      </c>
      <c r="J487" s="94">
        <f t="shared" si="1098"/>
        <v>0.17078667477663262</v>
      </c>
      <c r="K487" s="94">
        <f t="shared" si="1098"/>
        <v>0.16999304862049386</v>
      </c>
      <c r="L487" s="94">
        <f t="shared" si="1098"/>
        <v>0.13666620996657472</v>
      </c>
      <c r="M487" s="94">
        <f t="shared" si="1098"/>
        <v>0.17397260273972603</v>
      </c>
      <c r="N487" s="94">
        <f t="shared" si="1098"/>
        <v>0.14245416078984485</v>
      </c>
      <c r="O487" s="94">
        <f t="shared" si="1098"/>
        <v>0.16607396870554766</v>
      </c>
      <c r="P487" s="94">
        <f t="shared" si="1098"/>
        <v>0.12227866473149492</v>
      </c>
      <c r="Q487" s="94">
        <f t="shared" si="1098"/>
        <v>0.15519529349316583</v>
      </c>
      <c r="R487" s="94">
        <f t="shared" si="1098"/>
        <v>0.13294152655854782</v>
      </c>
      <c r="S487" s="94">
        <f t="shared" si="1098"/>
        <v>9.4198604078449197E-2</v>
      </c>
      <c r="T487" s="94">
        <f t="shared" si="1098"/>
        <v>8.0288346604387731E-2</v>
      </c>
      <c r="U487" s="94">
        <f t="shared" si="1098"/>
        <v>0.1636786592118413</v>
      </c>
      <c r="V487" s="94">
        <f t="shared" si="1098"/>
        <v>6.3291082983716135E-2</v>
      </c>
      <c r="W487" s="94">
        <f t="shared" si="1098"/>
        <v>0.1125382974888862</v>
      </c>
      <c r="X487" s="94">
        <f t="shared" si="1098"/>
        <v>0.11149455898562624</v>
      </c>
      <c r="Y487" s="94">
        <f t="shared" si="1098"/>
        <v>0.15544108972688239</v>
      </c>
      <c r="Z487" s="94">
        <f t="shared" si="1098"/>
        <v>0.24595328987947387</v>
      </c>
      <c r="AA487" s="94">
        <f t="shared" si="1098"/>
        <v>0.22785119257590972</v>
      </c>
      <c r="AB487" s="94">
        <f t="shared" si="1098"/>
        <v>0.17574453865753309</v>
      </c>
      <c r="AC487" s="94">
        <f t="shared" si="1098"/>
        <v>0.19493923267508173</v>
      </c>
      <c r="AD487" s="94">
        <f t="shared" si="1098"/>
        <v>0.21968857605283451</v>
      </c>
      <c r="AE487" s="94">
        <f t="shared" si="1098"/>
        <v>0.14211944956731451</v>
      </c>
      <c r="AF487" s="94">
        <f t="shared" si="1098"/>
        <v>8.7782684330255586E-2</v>
      </c>
      <c r="AG487" s="94">
        <f t="shared" ref="AG487" si="1099">AG485/AG433</f>
        <v>0.12350108381117127</v>
      </c>
      <c r="AH487" s="94">
        <f t="shared" si="1098"/>
        <v>0.11789659580272312</v>
      </c>
      <c r="AI487" s="94">
        <f t="shared" si="1098"/>
        <v>0.12455648794302651</v>
      </c>
      <c r="AJ487" s="94">
        <f t="shared" si="1098"/>
        <v>0.13319850532716843</v>
      </c>
      <c r="AK487" s="79"/>
      <c r="AL487" s="94">
        <f t="shared" ref="AL487:AX487" si="1100">AL485/AL433</f>
        <v>0.14897824653922215</v>
      </c>
      <c r="AM487" s="94">
        <f t="shared" si="1100"/>
        <v>0.1575951618641053</v>
      </c>
      <c r="AN487" s="94">
        <f t="shared" si="1100"/>
        <v>0.12943962115232832</v>
      </c>
      <c r="AO487" s="94">
        <f t="shared" si="1100"/>
        <v>0.16385630498533724</v>
      </c>
      <c r="AP487" s="94">
        <f t="shared" si="1100"/>
        <v>0.15153655951960437</v>
      </c>
      <c r="AQ487" s="94">
        <f t="shared" si="1100"/>
        <v>0.11698789780367548</v>
      </c>
      <c r="AR487" s="94">
        <f t="shared" si="1100"/>
        <v>0.11611502984264786</v>
      </c>
      <c r="AS487" s="94">
        <f t="shared" si="1100"/>
        <v>0.20322085889570551</v>
      </c>
      <c r="AT487" s="94">
        <f t="shared" si="1100"/>
        <v>0.16678939617083946</v>
      </c>
      <c r="AU487" s="94">
        <f t="shared" si="1100"/>
        <v>0.12420306574424379</v>
      </c>
      <c r="AV487" s="94">
        <f t="shared" si="1100"/>
        <v>0.12609490519839142</v>
      </c>
      <c r="AW487" s="94">
        <f t="shared" si="1100"/>
        <v>0.12653267788826045</v>
      </c>
      <c r="AX487" s="94">
        <f t="shared" si="1100"/>
        <v>0.12773841447732828</v>
      </c>
      <c r="BJ487" s="1434"/>
      <c r="BK487" s="1434" t="s">
        <v>1664</v>
      </c>
      <c r="BL487" s="66">
        <v>-0.34972963544392111</v>
      </c>
      <c r="BM487" s="66">
        <v>0.52414163090128763</v>
      </c>
      <c r="BN487" s="66">
        <v>0.17687434002111946</v>
      </c>
      <c r="BO487" s="66">
        <v>-0.19545386570958589</v>
      </c>
      <c r="BP487" s="66">
        <v>0.19516728624535307</v>
      </c>
      <c r="BQ487" s="66">
        <v>-0.36080870917573871</v>
      </c>
      <c r="BR487" s="66">
        <v>0.71776155717761547</v>
      </c>
      <c r="BS487" s="66">
        <v>0.42634560906515606</v>
      </c>
    </row>
    <row r="488" spans="3:71" ht="11.25" customHeight="1" outlineLevel="1">
      <c r="C488" s="93" t="s">
        <v>396</v>
      </c>
      <c r="E488" s="47"/>
      <c r="F488" s="47"/>
      <c r="G488" s="47"/>
      <c r="H488" s="47"/>
      <c r="I488" s="436">
        <f t="shared" ref="I488:AC488" si="1101">IFERROR((I487-E487)*10000,"NA  ")</f>
        <v>47.092329924585115</v>
      </c>
      <c r="J488" s="436">
        <f t="shared" si="1101"/>
        <v>855.11302983856024</v>
      </c>
      <c r="K488" s="436">
        <f t="shared" si="1101"/>
        <v>473.44145799177244</v>
      </c>
      <c r="L488" s="436">
        <f t="shared" si="1101"/>
        <v>-17.152991233592985</v>
      </c>
      <c r="M488" s="436">
        <f t="shared" si="1101"/>
        <v>-29.807904307080079</v>
      </c>
      <c r="N488" s="436">
        <f t="shared" si="1101"/>
        <v>-283.32513986787768</v>
      </c>
      <c r="O488" s="436">
        <f t="shared" si="1101"/>
        <v>-39.190799149461938</v>
      </c>
      <c r="P488" s="436">
        <f t="shared" si="1101"/>
        <v>-143.87545235079804</v>
      </c>
      <c r="Q488" s="436">
        <f t="shared" si="1101"/>
        <v>-187.77309246560208</v>
      </c>
      <c r="R488" s="436">
        <f t="shared" si="1101"/>
        <v>-95.126342312970294</v>
      </c>
      <c r="S488" s="436">
        <f t="shared" si="1101"/>
        <v>-718.75364627098463</v>
      </c>
      <c r="T488" s="436">
        <f t="shared" si="1101"/>
        <v>-419.90318127107184</v>
      </c>
      <c r="U488" s="436">
        <f t="shared" si="1101"/>
        <v>84.833657186754735</v>
      </c>
      <c r="V488" s="436">
        <f t="shared" si="1101"/>
        <v>-696.50443574831684</v>
      </c>
      <c r="W488" s="436">
        <f t="shared" si="1101"/>
        <v>183.39693410437008</v>
      </c>
      <c r="X488" s="436">
        <f t="shared" si="1101"/>
        <v>312.0621238123851</v>
      </c>
      <c r="Y488" s="436">
        <f t="shared" si="1101"/>
        <v>-82.375694849589067</v>
      </c>
      <c r="Z488" s="436">
        <f t="shared" si="1101"/>
        <v>1826.6220689575773</v>
      </c>
      <c r="AA488" s="436">
        <f t="shared" si="1101"/>
        <v>1153.128950870235</v>
      </c>
      <c r="AB488" s="436">
        <f t="shared" si="1101"/>
        <v>642.49979671906851</v>
      </c>
      <c r="AC488" s="436">
        <f t="shared" si="1101"/>
        <v>394.98142948199336</v>
      </c>
      <c r="AD488" s="436">
        <f t="shared" ref="AD488" si="1102">IFERROR((AD487-Z487)*10000,"NA  ")</f>
        <v>-262.64713826639365</v>
      </c>
      <c r="AE488" s="436">
        <f t="shared" ref="AE488" si="1103">IFERROR((AE487-AA487)*10000,"NA  ")</f>
        <v>-857.31743008595208</v>
      </c>
      <c r="AF488" s="436">
        <f t="shared" ref="AF488:AG488" si="1104">IFERROR((AF487-AB487)*10000,"NA  ")</f>
        <v>-879.61854327277501</v>
      </c>
      <c r="AG488" s="436">
        <f t="shared" si="1104"/>
        <v>-714.38148863910465</v>
      </c>
      <c r="AH488" s="436">
        <f t="shared" ref="AH488" si="1105">IFERROR((AH487-AD487)*10000,"NA  ")</f>
        <v>-1017.919802501114</v>
      </c>
      <c r="AI488" s="436">
        <f t="shared" ref="AI488" si="1106">IFERROR((AI487-AE487)*10000,"NA  ")</f>
        <v>-175.62961624287999</v>
      </c>
      <c r="AJ488" s="436">
        <f t="shared" ref="AJ488" si="1107">IFERROR((AJ487-AF487)*10000,"NA  ")</f>
        <v>454.15820996912839</v>
      </c>
      <c r="AK488" s="79"/>
      <c r="AL488" s="443"/>
      <c r="AM488" s="436">
        <f t="shared" ref="AM488:AX488" si="1108">IFERROR((AM487-AL487)*10000,"NA  ")</f>
        <v>86.169153248831506</v>
      </c>
      <c r="AN488" s="436">
        <f t="shared" si="1108"/>
        <v>-281.55540711776979</v>
      </c>
      <c r="AO488" s="436">
        <f t="shared" si="1108"/>
        <v>344.16683833008915</v>
      </c>
      <c r="AP488" s="436">
        <f t="shared" si="1108"/>
        <v>-123.19745465732862</v>
      </c>
      <c r="AQ488" s="436">
        <f t="shared" si="1108"/>
        <v>-345.48661715928893</v>
      </c>
      <c r="AR488" s="436">
        <f t="shared" si="1108"/>
        <v>-8.7286796102761794</v>
      </c>
      <c r="AS488" s="436">
        <f t="shared" si="1108"/>
        <v>871.05829053057653</v>
      </c>
      <c r="AT488" s="436">
        <f t="shared" si="1108"/>
        <v>-364.31462724866054</v>
      </c>
      <c r="AU488" s="436">
        <f t="shared" si="1108"/>
        <v>-425.86330426595669</v>
      </c>
      <c r="AV488" s="436">
        <f t="shared" si="1108"/>
        <v>18.918394541476285</v>
      </c>
      <c r="AW488" s="436">
        <f t="shared" si="1108"/>
        <v>4.3777268986902591</v>
      </c>
      <c r="AX488" s="436">
        <f t="shared" si="1108"/>
        <v>12.057365890678351</v>
      </c>
      <c r="BJ488" s="1435"/>
      <c r="BK488" s="1435" t="s">
        <v>18</v>
      </c>
      <c r="BL488" s="437">
        <f t="shared" ref="BL488:BS488" si="1109">AM434</f>
        <v>-7.3500329597890546E-2</v>
      </c>
      <c r="BM488" s="437">
        <f t="shared" si="1109"/>
        <v>-9.8541444325862648E-2</v>
      </c>
      <c r="BN488" s="437">
        <f t="shared" si="1109"/>
        <v>7.6558800315706499E-2</v>
      </c>
      <c r="BO488" s="437">
        <f t="shared" si="1109"/>
        <v>3.7756598240469286E-2</v>
      </c>
      <c r="BP488" s="437">
        <f t="shared" si="1109"/>
        <v>-0.21193924408336273</v>
      </c>
      <c r="BQ488" s="437">
        <f t="shared" si="1109"/>
        <v>-0.17391304347826086</v>
      </c>
      <c r="BR488" s="437">
        <f t="shared" si="1109"/>
        <v>0.41508410200759638</v>
      </c>
      <c r="BS488" s="437">
        <f t="shared" si="1109"/>
        <v>4.141104294478537E-2</v>
      </c>
    </row>
    <row r="489" spans="3:71" ht="11.25" customHeight="1" outlineLevel="1">
      <c r="C489" s="43"/>
      <c r="E489" s="29"/>
      <c r="F489" s="29"/>
      <c r="G489" s="29"/>
      <c r="H489" s="29"/>
      <c r="I489" s="29"/>
      <c r="J489" s="29"/>
      <c r="K489" s="29"/>
      <c r="L489" s="29"/>
      <c r="M489" s="29"/>
      <c r="N489" s="29"/>
      <c r="O489" s="29"/>
      <c r="P489" s="29"/>
      <c r="Q489" s="29"/>
      <c r="R489" s="29"/>
      <c r="AK489" s="79"/>
      <c r="AL489" s="29"/>
      <c r="AM489" s="29"/>
      <c r="AN489" s="29"/>
      <c r="AO489" s="29"/>
      <c r="AP489" s="29"/>
      <c r="AQ489" s="29"/>
      <c r="AR489" s="29"/>
      <c r="AS489" s="29"/>
      <c r="AT489" s="29"/>
      <c r="BJ489" s="1435"/>
      <c r="BK489" s="1435" t="s">
        <v>472</v>
      </c>
      <c r="BL489" s="437">
        <f>AM486</f>
        <v>-1.9911504424778736E-2</v>
      </c>
      <c r="BM489" s="437">
        <f t="shared" ref="BM489:BS489" si="1110">AN486</f>
        <v>-0.2595936794582393</v>
      </c>
      <c r="BN489" s="437">
        <f t="shared" si="1110"/>
        <v>0.36280487804878048</v>
      </c>
      <c r="BO489" s="437">
        <f t="shared" si="1110"/>
        <v>-4.0268456375838979E-2</v>
      </c>
      <c r="BP489" s="437">
        <f t="shared" si="1110"/>
        <v>-0.39160839160839156</v>
      </c>
      <c r="BQ489" s="437">
        <f t="shared" si="1110"/>
        <v>-0.18007662835249039</v>
      </c>
      <c r="BR489" s="437">
        <f t="shared" si="1110"/>
        <v>1.4766355140186915</v>
      </c>
      <c r="BS489" s="437">
        <f t="shared" si="1110"/>
        <v>-0.1452830188679245</v>
      </c>
    </row>
    <row r="490" spans="3:71" ht="11.25" customHeight="1">
      <c r="C490" s="26" t="s">
        <v>1673</v>
      </c>
      <c r="AK490" s="79"/>
      <c r="AM490" s="63">
        <f t="shared" ref="AM490:AT490" si="1111">(AM499+AM299+AM300)/AM11</f>
        <v>0.13210820895522388</v>
      </c>
      <c r="AN490" s="63">
        <f t="shared" si="1111"/>
        <v>0.1314864564831261</v>
      </c>
      <c r="AO490" s="63">
        <f t="shared" si="1111"/>
        <v>0.15009215624672742</v>
      </c>
      <c r="AP490" s="63">
        <f t="shared" si="1111"/>
        <v>0.16715298985321644</v>
      </c>
      <c r="AQ490" s="63">
        <f t="shared" si="1111"/>
        <v>0.15753585678852583</v>
      </c>
      <c r="AR490" s="63">
        <f t="shared" si="1111"/>
        <v>0.16416027381092885</v>
      </c>
      <c r="AS490" s="63">
        <f t="shared" si="1111"/>
        <v>0.17613974799541809</v>
      </c>
      <c r="AT490" s="63">
        <f t="shared" si="1111"/>
        <v>0.18313705103969755</v>
      </c>
    </row>
    <row r="491" spans="3:71" ht="11.25" customHeight="1">
      <c r="C491" s="43" t="s">
        <v>195</v>
      </c>
      <c r="E491" s="47"/>
      <c r="F491" s="47"/>
      <c r="G491" s="47"/>
      <c r="H491" s="47"/>
      <c r="I491" s="47"/>
      <c r="J491" s="47"/>
      <c r="K491" s="47"/>
      <c r="L491" s="47"/>
      <c r="M491" s="47"/>
      <c r="N491" s="47"/>
      <c r="O491" s="47"/>
      <c r="P491" s="47"/>
      <c r="Q491" s="47"/>
      <c r="R491" s="47"/>
      <c r="AK491" s="79"/>
      <c r="AL491" s="66">
        <v>0.78</v>
      </c>
      <c r="AM491" s="66">
        <v>0.65</v>
      </c>
      <c r="AN491" s="66">
        <v>0.65</v>
      </c>
      <c r="AO491" s="66">
        <v>0.64</v>
      </c>
      <c r="AP491" s="66">
        <v>0.6</v>
      </c>
      <c r="AQ491" s="66">
        <v>0.59</v>
      </c>
      <c r="AR491" s="66">
        <v>0.56999999999999995</v>
      </c>
      <c r="AS491" s="66">
        <v>0.56999999999999995</v>
      </c>
      <c r="AT491" s="66">
        <v>0.56000000000000005</v>
      </c>
      <c r="BJ491" s="27"/>
      <c r="BK491" s="27"/>
      <c r="BL491" s="27"/>
      <c r="BM491" s="27"/>
    </row>
    <row r="492" spans="3:71" ht="11.25" customHeight="1">
      <c r="C492" s="43" t="s">
        <v>196</v>
      </c>
      <c r="E492" s="47"/>
      <c r="F492" s="47"/>
      <c r="G492" s="47"/>
      <c r="H492" s="47"/>
      <c r="I492" s="47"/>
      <c r="J492" s="47"/>
      <c r="K492" s="47"/>
      <c r="L492" s="47"/>
      <c r="M492" s="47"/>
      <c r="N492" s="47"/>
      <c r="O492" s="47"/>
      <c r="P492" s="47"/>
      <c r="Q492" s="47"/>
      <c r="R492" s="47"/>
      <c r="AK492" s="79"/>
      <c r="AL492" s="66">
        <v>0.21</v>
      </c>
      <c r="AM492" s="66">
        <v>0.2</v>
      </c>
      <c r="AN492" s="66">
        <v>0.2</v>
      </c>
      <c r="AO492" s="66">
        <v>0.19</v>
      </c>
      <c r="AP492" s="66">
        <v>0.2</v>
      </c>
      <c r="AQ492" s="66">
        <v>0.21</v>
      </c>
      <c r="AR492" s="66">
        <v>0.2</v>
      </c>
      <c r="AS492" s="66">
        <v>0.22</v>
      </c>
      <c r="AT492" s="66">
        <v>0.2</v>
      </c>
      <c r="BJ492" s="27"/>
      <c r="BK492" s="27"/>
      <c r="BL492" s="27"/>
      <c r="BM492" s="27"/>
    </row>
    <row r="493" spans="3:71" ht="11.25" customHeight="1">
      <c r="C493" s="43" t="s">
        <v>197</v>
      </c>
      <c r="E493" s="47"/>
      <c r="F493" s="47"/>
      <c r="G493" s="47"/>
      <c r="H493" s="47"/>
      <c r="I493" s="47"/>
      <c r="J493" s="47"/>
      <c r="K493" s="47"/>
      <c r="L493" s="47"/>
      <c r="M493" s="47"/>
      <c r="N493" s="47"/>
      <c r="O493" s="47"/>
      <c r="P493" s="47"/>
      <c r="Q493" s="47"/>
      <c r="R493" s="47"/>
      <c r="AK493" s="79"/>
      <c r="AL493" s="66">
        <v>0.01</v>
      </c>
      <c r="AM493" s="66">
        <v>0.15</v>
      </c>
      <c r="AN493" s="66">
        <v>0.15</v>
      </c>
      <c r="AO493" s="66">
        <v>0.17</v>
      </c>
      <c r="AP493" s="66">
        <v>0.2</v>
      </c>
      <c r="AQ493" s="66">
        <v>0.2</v>
      </c>
      <c r="AR493" s="66">
        <v>0.23</v>
      </c>
      <c r="AS493" s="66">
        <v>0.21</v>
      </c>
      <c r="AT493" s="66">
        <v>0.24</v>
      </c>
      <c r="BJ493" s="27"/>
      <c r="BK493" s="27"/>
      <c r="BL493" s="27"/>
      <c r="BM493" s="27"/>
    </row>
    <row r="494" spans="3:71" s="27" customFormat="1" ht="11.25" customHeight="1">
      <c r="C494" s="45" t="s">
        <v>168</v>
      </c>
      <c r="E494" s="61"/>
      <c r="F494" s="61"/>
      <c r="G494" s="61"/>
      <c r="H494" s="61"/>
      <c r="I494" s="61"/>
      <c r="J494" s="61"/>
      <c r="K494" s="61"/>
      <c r="L494" s="61"/>
      <c r="M494" s="61"/>
      <c r="N494" s="61"/>
      <c r="O494" s="61"/>
      <c r="P494" s="61"/>
      <c r="Q494" s="61"/>
      <c r="R494" s="61"/>
      <c r="AK494" s="79"/>
      <c r="AL494" s="67">
        <f t="shared" ref="AL494:AQ494" si="1112">+SUM(AL491:AL493)</f>
        <v>1</v>
      </c>
      <c r="AM494" s="67">
        <f t="shared" si="1112"/>
        <v>1</v>
      </c>
      <c r="AN494" s="67">
        <f t="shared" si="1112"/>
        <v>1</v>
      </c>
      <c r="AO494" s="67">
        <f t="shared" si="1112"/>
        <v>1</v>
      </c>
      <c r="AP494" s="67">
        <f t="shared" si="1112"/>
        <v>1</v>
      </c>
      <c r="AQ494" s="67">
        <f t="shared" si="1112"/>
        <v>1</v>
      </c>
      <c r="AR494" s="67">
        <f t="shared" ref="AR494:AS494" si="1113">+SUM(AR491:AR493)</f>
        <v>1</v>
      </c>
      <c r="AS494" s="67">
        <f t="shared" si="1113"/>
        <v>0.99999999999999989</v>
      </c>
      <c r="AT494" s="67">
        <f t="shared" ref="AT494" si="1114">+SUM(AT491:AT493)</f>
        <v>1</v>
      </c>
      <c r="AY494" s="1"/>
    </row>
    <row r="495" spans="3:71" s="27" customFormat="1" ht="11.25" customHeight="1">
      <c r="C495" s="45"/>
      <c r="E495" s="61"/>
      <c r="F495" s="61"/>
      <c r="G495" s="61"/>
      <c r="H495" s="61"/>
      <c r="I495" s="61"/>
      <c r="J495" s="61"/>
      <c r="K495" s="61"/>
      <c r="L495" s="61"/>
      <c r="M495" s="61"/>
      <c r="N495" s="61"/>
      <c r="O495" s="61"/>
      <c r="P495" s="61"/>
      <c r="Q495" s="61"/>
      <c r="R495" s="61"/>
      <c r="AK495" s="79"/>
      <c r="AL495" s="437"/>
      <c r="AM495" s="437"/>
      <c r="AN495" s="437"/>
      <c r="AO495" s="437"/>
      <c r="AP495" s="437"/>
      <c r="AQ495" s="437"/>
      <c r="AR495" s="437"/>
      <c r="AS495" s="437"/>
      <c r="AT495" s="437"/>
      <c r="AY495" s="1"/>
    </row>
    <row r="496" spans="3:71" ht="11.25" customHeight="1">
      <c r="C496" s="26" t="s">
        <v>1673</v>
      </c>
      <c r="AK496" s="79"/>
      <c r="BJ496" s="27"/>
      <c r="BK496" s="27"/>
      <c r="BL496" s="27"/>
      <c r="BM496" s="27"/>
    </row>
    <row r="497" spans="2:71" ht="11.25" customHeight="1">
      <c r="C497" s="43" t="str">
        <f>+C491</f>
        <v>Intermediates</v>
      </c>
      <c r="E497" s="47"/>
      <c r="F497" s="47"/>
      <c r="G497" s="47"/>
      <c r="H497" s="47"/>
      <c r="I497" s="47"/>
      <c r="J497" s="47"/>
      <c r="K497" s="47"/>
      <c r="L497" s="47"/>
      <c r="M497" s="47"/>
      <c r="N497" s="47"/>
      <c r="O497" s="47"/>
      <c r="P497" s="47"/>
      <c r="Q497" s="47"/>
      <c r="R497" s="47"/>
      <c r="AK497" s="79">
        <f>AL497-AT497</f>
        <v>845.56</v>
      </c>
      <c r="AL497" s="28">
        <f t="shared" ref="AL497:AT497" si="1115">+AL491*AL$433</f>
        <v>2366.52</v>
      </c>
      <c r="AM497" s="28">
        <f t="shared" si="1115"/>
        <v>1827.15</v>
      </c>
      <c r="AN497" s="28">
        <f t="shared" si="1115"/>
        <v>1647.1000000000001</v>
      </c>
      <c r="AO497" s="28">
        <f t="shared" si="1115"/>
        <v>1745.92</v>
      </c>
      <c r="AP497" s="28">
        <f t="shared" si="1115"/>
        <v>1698.6</v>
      </c>
      <c r="AQ497" s="28">
        <f t="shared" si="1115"/>
        <v>1316.29</v>
      </c>
      <c r="AR497" s="28">
        <f t="shared" si="1115"/>
        <v>1050.51</v>
      </c>
      <c r="AS497" s="28">
        <f t="shared" si="1115"/>
        <v>1486.56</v>
      </c>
      <c r="AT497" s="28">
        <f t="shared" si="1115"/>
        <v>1520.96</v>
      </c>
      <c r="AU497" s="28">
        <f>(AU503+1)*AT497</f>
        <v>1525.8959780821915</v>
      </c>
      <c r="AV497" s="28">
        <f t="shared" ref="AV497:AX497" si="1116">(AV503+1)*AU497</f>
        <v>1606.6388707945202</v>
      </c>
      <c r="AW497" s="28">
        <f t="shared" si="1116"/>
        <v>1671.9266645391779</v>
      </c>
      <c r="AX497" s="28">
        <f t="shared" si="1116"/>
        <v>1726.8742636053039</v>
      </c>
      <c r="BJ497" s="27"/>
      <c r="BK497" s="27"/>
      <c r="BL497" s="27"/>
      <c r="BM497" s="27"/>
    </row>
    <row r="498" spans="2:71" ht="11.25" customHeight="1">
      <c r="C498" s="43" t="str">
        <f>+C492</f>
        <v>Plasticizers</v>
      </c>
      <c r="E498" s="47"/>
      <c r="F498" s="47"/>
      <c r="G498" s="47"/>
      <c r="H498" s="47"/>
      <c r="I498" s="47"/>
      <c r="J498" s="47"/>
      <c r="K498" s="47"/>
      <c r="L498" s="47"/>
      <c r="M498" s="47"/>
      <c r="N498" s="47"/>
      <c r="O498" s="47"/>
      <c r="P498" s="47"/>
      <c r="Q498" s="47"/>
      <c r="R498" s="47"/>
      <c r="AK498" s="79">
        <f t="shared" ref="AK498:AK500" si="1117">AL498-AT498</f>
        <v>93.939999999999941</v>
      </c>
      <c r="AL498" s="28">
        <f t="shared" ref="AL498:AT498" si="1118">+AL492*AL$433</f>
        <v>637.14</v>
      </c>
      <c r="AM498" s="28">
        <f t="shared" si="1118"/>
        <v>562.20000000000005</v>
      </c>
      <c r="AN498" s="28">
        <f t="shared" si="1118"/>
        <v>506.8</v>
      </c>
      <c r="AO498" s="28">
        <f t="shared" si="1118"/>
        <v>518.32000000000005</v>
      </c>
      <c r="AP498" s="28">
        <f t="shared" si="1118"/>
        <v>566.20000000000005</v>
      </c>
      <c r="AQ498" s="28">
        <f t="shared" si="1118"/>
        <v>468.51</v>
      </c>
      <c r="AR498" s="28">
        <f t="shared" si="1118"/>
        <v>368.6</v>
      </c>
      <c r="AS498" s="28">
        <f t="shared" si="1118"/>
        <v>573.76</v>
      </c>
      <c r="AT498" s="28">
        <f t="shared" si="1118"/>
        <v>543.20000000000005</v>
      </c>
      <c r="AU498" s="28">
        <f t="shared" ref="AU498:AX498" si="1119">(AU504+1)*AT498</f>
        <v>540.41059459459461</v>
      </c>
      <c r="AV498" s="28">
        <f t="shared" si="1119"/>
        <v>567.4311243243244</v>
      </c>
      <c r="AW498" s="28">
        <f t="shared" si="1119"/>
        <v>595.80268054054079</v>
      </c>
      <c r="AX498" s="28">
        <f t="shared" si="1119"/>
        <v>625.59281456756787</v>
      </c>
    </row>
    <row r="499" spans="2:71" ht="11.25" customHeight="1">
      <c r="C499" s="43" t="str">
        <f>+C493</f>
        <v>Functional Amines</v>
      </c>
      <c r="E499" s="47"/>
      <c r="F499" s="47"/>
      <c r="G499" s="47"/>
      <c r="H499" s="47"/>
      <c r="I499" s="47"/>
      <c r="J499" s="47"/>
      <c r="K499" s="47"/>
      <c r="L499" s="47"/>
      <c r="M499" s="47"/>
      <c r="N499" s="47"/>
      <c r="O499" s="47"/>
      <c r="P499" s="47"/>
      <c r="Q499" s="47"/>
      <c r="R499" s="47"/>
      <c r="AK499" s="79">
        <f t="shared" si="1117"/>
        <v>-621.5</v>
      </c>
      <c r="AL499" s="28">
        <f t="shared" ref="AL499:AT499" si="1120">+AL493*AL$433</f>
        <v>30.34</v>
      </c>
      <c r="AM499" s="28">
        <f t="shared" si="1120"/>
        <v>421.65</v>
      </c>
      <c r="AN499" s="28">
        <f t="shared" si="1120"/>
        <v>380.09999999999997</v>
      </c>
      <c r="AO499" s="28">
        <f t="shared" si="1120"/>
        <v>463.76000000000005</v>
      </c>
      <c r="AP499" s="28">
        <f t="shared" si="1120"/>
        <v>566.20000000000005</v>
      </c>
      <c r="AQ499" s="28">
        <f t="shared" si="1120"/>
        <v>446.20000000000005</v>
      </c>
      <c r="AR499" s="28">
        <f t="shared" si="1120"/>
        <v>423.89000000000004</v>
      </c>
      <c r="AS499" s="28">
        <f t="shared" si="1120"/>
        <v>547.67999999999995</v>
      </c>
      <c r="AT499" s="28">
        <f t="shared" si="1120"/>
        <v>651.84</v>
      </c>
      <c r="AU499" s="28">
        <f t="shared" ref="AU499:AX499" si="1121">(AU505+1)*AT499</f>
        <v>717.02400000000011</v>
      </c>
      <c r="AV499" s="28">
        <f t="shared" si="1121"/>
        <v>756.68168154197986</v>
      </c>
      <c r="AW499" s="28">
        <f t="shared" si="1121"/>
        <v>788.14055321006231</v>
      </c>
      <c r="AX499" s="28">
        <f t="shared" si="1121"/>
        <v>807.18659866490714</v>
      </c>
    </row>
    <row r="500" spans="2:71" s="27" customFormat="1" ht="11.25" customHeight="1">
      <c r="C500" s="45" t="s">
        <v>168</v>
      </c>
      <c r="E500" s="61"/>
      <c r="F500" s="61"/>
      <c r="G500" s="61"/>
      <c r="H500" s="61"/>
      <c r="I500" s="61"/>
      <c r="J500" s="61"/>
      <c r="K500" s="61"/>
      <c r="L500" s="61"/>
      <c r="M500" s="61"/>
      <c r="N500" s="61"/>
      <c r="O500" s="61"/>
      <c r="P500" s="61"/>
      <c r="Q500" s="61"/>
      <c r="R500" s="61"/>
      <c r="AK500" s="79">
        <f t="shared" si="1117"/>
        <v>318</v>
      </c>
      <c r="AL500" s="35">
        <f t="shared" ref="AL500:AP500" si="1122">+SUM(AL497:AL499)</f>
        <v>3034</v>
      </c>
      <c r="AM500" s="35">
        <f t="shared" si="1122"/>
        <v>2811.0000000000005</v>
      </c>
      <c r="AN500" s="35">
        <f t="shared" si="1122"/>
        <v>2534</v>
      </c>
      <c r="AO500" s="35">
        <f t="shared" si="1122"/>
        <v>2728.0000000000005</v>
      </c>
      <c r="AP500" s="35">
        <f t="shared" si="1122"/>
        <v>2831</v>
      </c>
      <c r="AQ500" s="35">
        <f>+SUM(AQ497:AQ499)</f>
        <v>2231</v>
      </c>
      <c r="AR500" s="35">
        <f t="shared" ref="AR500" si="1123">+SUM(AR497:AR499)</f>
        <v>1843.0000000000002</v>
      </c>
      <c r="AS500" s="35">
        <f t="shared" ref="AS500:AX500" si="1124">+SUM(AS497:AS499)</f>
        <v>2607.9999999999995</v>
      </c>
      <c r="AT500" s="35">
        <f t="shared" si="1124"/>
        <v>2716</v>
      </c>
      <c r="AU500" s="35">
        <f t="shared" si="1124"/>
        <v>2783.3305726767867</v>
      </c>
      <c r="AV500" s="35">
        <f t="shared" si="1124"/>
        <v>2930.7516766608242</v>
      </c>
      <c r="AW500" s="35">
        <f t="shared" si="1124"/>
        <v>3055.8698982897813</v>
      </c>
      <c r="AX500" s="35">
        <f t="shared" si="1124"/>
        <v>3159.6536768377791</v>
      </c>
      <c r="AY500" s="24"/>
    </row>
    <row r="501" spans="2:71" s="27" customFormat="1" ht="11.25" customHeight="1">
      <c r="C501" s="45"/>
      <c r="AK501" s="79"/>
      <c r="AM501" s="30"/>
      <c r="AN501" s="30"/>
      <c r="AO501" s="30"/>
      <c r="AP501" s="30"/>
      <c r="AU501" s="127">
        <f>AU433</f>
        <v>2469.9399999999996</v>
      </c>
      <c r="AV501" s="127">
        <f t="shared" ref="AV501:AX501" si="1125">AV433</f>
        <v>2494.6393999999996</v>
      </c>
      <c r="AW501" s="127">
        <f t="shared" si="1125"/>
        <v>2519.5857939999996</v>
      </c>
      <c r="AX501" s="127">
        <f t="shared" si="1125"/>
        <v>2544.7816519399994</v>
      </c>
      <c r="AY501" s="1"/>
    </row>
    <row r="502" spans="2:71" s="27" customFormat="1" ht="11.25" customHeight="1">
      <c r="C502" s="26" t="s">
        <v>1669</v>
      </c>
      <c r="AK502" s="79"/>
      <c r="AM502" s="30"/>
      <c r="AN502" s="30"/>
      <c r="AO502" s="30"/>
      <c r="AP502" s="30"/>
      <c r="AY502" s="24"/>
    </row>
    <row r="503" spans="2:71" s="27" customFormat="1" ht="11.25" customHeight="1">
      <c r="C503" s="43" t="str">
        <f>+C497</f>
        <v>Intermediates</v>
      </c>
      <c r="AK503" s="79"/>
      <c r="AM503" s="88">
        <f t="shared" ref="AM503:AT504" si="1126">AM497/AL497-1</f>
        <v>-0.22791694133157547</v>
      </c>
      <c r="AN503" s="88">
        <f t="shared" si="1126"/>
        <v>-9.8541444325862648E-2</v>
      </c>
      <c r="AO503" s="88">
        <f t="shared" si="1126"/>
        <v>5.9996357233926156E-2</v>
      </c>
      <c r="AP503" s="88">
        <f t="shared" si="1126"/>
        <v>-2.7103189149560225E-2</v>
      </c>
      <c r="AQ503" s="88">
        <f t="shared" si="1126"/>
        <v>-0.22507359001530669</v>
      </c>
      <c r="AR503" s="88">
        <f t="shared" si="1126"/>
        <v>-0.2019159911569639</v>
      </c>
      <c r="AS503" s="88">
        <f t="shared" si="1126"/>
        <v>0.41508410200759638</v>
      </c>
      <c r="AT503" s="88">
        <f t="shared" si="1126"/>
        <v>2.3140673770315479E-2</v>
      </c>
      <c r="AU503" s="1387">
        <f>BP460</f>
        <v>3.2453043355455957E-3</v>
      </c>
      <c r="AV503" s="1387">
        <f t="shared" ref="AV503:AX503" si="1127">BQ460</f>
        <v>5.2915070143778609E-2</v>
      </c>
      <c r="AW503" s="1387">
        <f t="shared" si="1127"/>
        <v>4.0636259293522103E-2</v>
      </c>
      <c r="AX503" s="1387">
        <f t="shared" si="1127"/>
        <v>3.2864838052732992E-2</v>
      </c>
      <c r="AY503" s="24"/>
    </row>
    <row r="504" spans="2:71" s="27" customFormat="1" ht="11.25" customHeight="1">
      <c r="C504" s="43" t="str">
        <f>+C498</f>
        <v>Plasticizers</v>
      </c>
      <c r="AK504" s="79"/>
      <c r="AM504" s="88">
        <f t="shared" si="1126"/>
        <v>-0.11761936152180041</v>
      </c>
      <c r="AN504" s="88">
        <f t="shared" si="1126"/>
        <v>-9.8541444325862759E-2</v>
      </c>
      <c r="AO504" s="88">
        <f t="shared" si="1126"/>
        <v>2.2730860299921218E-2</v>
      </c>
      <c r="AP504" s="88">
        <f t="shared" si="1126"/>
        <v>9.2375366568914874E-2</v>
      </c>
      <c r="AQ504" s="88">
        <f t="shared" si="1126"/>
        <v>-0.17253620628753097</v>
      </c>
      <c r="AR504" s="88">
        <f t="shared" si="1126"/>
        <v>-0.21325051759834357</v>
      </c>
      <c r="AS504" s="88">
        <f t="shared" si="1126"/>
        <v>0.55659251220835593</v>
      </c>
      <c r="AT504" s="88">
        <f t="shared" si="1126"/>
        <v>-5.32626882320133E-2</v>
      </c>
      <c r="AU504" s="1387">
        <f t="shared" ref="AU504:AU505" si="1128">BP461</f>
        <v>-5.1351351351351937E-3</v>
      </c>
      <c r="AV504" s="1387">
        <f t="shared" ref="AV504:AV505" si="1129">BQ461</f>
        <v>5.0000000000000044E-2</v>
      </c>
      <c r="AW504" s="1387">
        <f t="shared" ref="AW504:AW505" si="1130">BR461</f>
        <v>5.0000000000000266E-2</v>
      </c>
      <c r="AX504" s="1387">
        <f t="shared" ref="AX504:AX505" si="1131">BS461</f>
        <v>5.0000000000000044E-2</v>
      </c>
      <c r="AY504" s="24"/>
    </row>
    <row r="505" spans="2:71" s="27" customFormat="1" ht="11.25" customHeight="1">
      <c r="C505" s="43" t="str">
        <f>+C499</f>
        <v>Functional Amines</v>
      </c>
      <c r="AK505" s="79"/>
      <c r="AM505" s="88"/>
      <c r="AN505" s="88">
        <f t="shared" ref="AN505:AT506" si="1132">AN499/AM499-1</f>
        <v>-9.8541444325862759E-2</v>
      </c>
      <c r="AO505" s="88">
        <f t="shared" si="1132"/>
        <v>0.22009997369113421</v>
      </c>
      <c r="AP505" s="88">
        <f t="shared" si="1132"/>
        <v>0.22089011557702265</v>
      </c>
      <c r="AQ505" s="88">
        <f t="shared" si="1132"/>
        <v>-0.21193924408336273</v>
      </c>
      <c r="AR505" s="88">
        <f t="shared" si="1132"/>
        <v>-5.0000000000000044E-2</v>
      </c>
      <c r="AS505" s="88">
        <f t="shared" si="1132"/>
        <v>0.29203331052867454</v>
      </c>
      <c r="AT505" s="88">
        <f t="shared" si="1132"/>
        <v>0.19018404907975484</v>
      </c>
      <c r="AU505" s="1387">
        <f t="shared" si="1128"/>
        <v>0.10000000000000009</v>
      </c>
      <c r="AV505" s="1387">
        <f t="shared" si="1129"/>
        <v>5.5308722639660246E-2</v>
      </c>
      <c r="AW505" s="1387">
        <f t="shared" si="1130"/>
        <v>4.1574776336563257E-2</v>
      </c>
      <c r="AX505" s="1387">
        <f t="shared" si="1131"/>
        <v>2.4165798063900068E-2</v>
      </c>
      <c r="AY505" s="1"/>
    </row>
    <row r="506" spans="2:71" s="27" customFormat="1" ht="11.25" customHeight="1">
      <c r="C506" s="45" t="s">
        <v>168</v>
      </c>
      <c r="AK506" s="79"/>
      <c r="AM506" s="655">
        <f>AM500/AL500-1</f>
        <v>-7.3500329597890435E-2</v>
      </c>
      <c r="AN506" s="655">
        <f t="shared" si="1132"/>
        <v>-9.854144432586287E-2</v>
      </c>
      <c r="AO506" s="655">
        <f t="shared" si="1132"/>
        <v>7.6558800315706499E-2</v>
      </c>
      <c r="AP506" s="655">
        <f t="shared" si="1132"/>
        <v>3.7756598240469064E-2</v>
      </c>
      <c r="AQ506" s="655">
        <f t="shared" si="1132"/>
        <v>-0.21193924408336273</v>
      </c>
      <c r="AR506" s="655">
        <f t="shared" si="1132"/>
        <v>-0.17391304347826075</v>
      </c>
      <c r="AS506" s="655">
        <f t="shared" si="1132"/>
        <v>0.41508410200759593</v>
      </c>
      <c r="AT506" s="655">
        <f t="shared" si="1132"/>
        <v>4.141104294478537E-2</v>
      </c>
      <c r="AU506" s="655">
        <f t="shared" ref="AU506:AX506" si="1133">AU500/AT500-1</f>
        <v>2.4790343400878712E-2</v>
      </c>
      <c r="AV506" s="655">
        <f t="shared" si="1133"/>
        <v>5.296571863623778E-2</v>
      </c>
      <c r="AW506" s="655">
        <f t="shared" si="1133"/>
        <v>4.2691512428481015E-2</v>
      </c>
      <c r="AX506" s="655">
        <f t="shared" si="1133"/>
        <v>3.3962106373075729E-2</v>
      </c>
      <c r="AY506" s="1"/>
    </row>
    <row r="507" spans="2:71" s="27" customFormat="1" ht="11.25" customHeight="1">
      <c r="C507" s="45"/>
      <c r="AK507" s="79"/>
      <c r="AM507" s="1274"/>
      <c r="AN507" s="1274"/>
      <c r="AO507" s="1274"/>
      <c r="AP507" s="1274"/>
      <c r="AQ507" s="1274"/>
      <c r="AR507" s="1274"/>
      <c r="AS507" s="1274"/>
      <c r="AT507" s="1274"/>
      <c r="AV507" s="437"/>
      <c r="AY507" s="1"/>
    </row>
    <row r="508" spans="2:71" s="27" customFormat="1" ht="11.25" customHeight="1">
      <c r="C508" s="45"/>
      <c r="AK508" s="79"/>
      <c r="AM508" s="1274"/>
      <c r="AN508" s="1274"/>
      <c r="AO508" s="1274"/>
      <c r="AP508" s="1274"/>
      <c r="AQ508" s="1274"/>
      <c r="AR508" s="1274"/>
      <c r="AS508" s="1274"/>
      <c r="AT508" s="1274"/>
      <c r="AV508" s="437"/>
      <c r="AY508" s="1"/>
    </row>
    <row r="509" spans="2:71" s="27" customFormat="1" ht="5.2" customHeight="1">
      <c r="C509" s="45"/>
      <c r="AK509" s="79"/>
      <c r="AM509" s="30"/>
      <c r="AN509" s="30"/>
      <c r="AO509" s="30"/>
      <c r="AP509" s="30"/>
      <c r="AY509" s="1"/>
    </row>
    <row r="510" spans="2:71" s="1256" customFormat="1" ht="2.2000000000000002" customHeight="1">
      <c r="B510" s="1257"/>
      <c r="C510" s="1267"/>
      <c r="E510" s="1268"/>
      <c r="F510" s="1268"/>
      <c r="G510" s="1268"/>
      <c r="H510" s="1268"/>
      <c r="I510" s="1268"/>
      <c r="J510" s="1268"/>
      <c r="K510" s="1268"/>
      <c r="L510" s="1268"/>
      <c r="M510" s="1268"/>
      <c r="N510" s="1268"/>
      <c r="O510" s="1268"/>
      <c r="P510" s="1268"/>
      <c r="Q510" s="1268"/>
      <c r="R510" s="1268"/>
      <c r="AK510" s="1260"/>
      <c r="AL510" s="1268"/>
      <c r="AM510" s="1268"/>
      <c r="AN510" s="1268"/>
      <c r="AO510" s="1268"/>
      <c r="AP510" s="1268"/>
      <c r="AY510" s="1262"/>
    </row>
    <row r="511" spans="2:71" ht="5.2" customHeight="1">
      <c r="C511" s="43"/>
      <c r="E511" s="29"/>
      <c r="F511" s="29"/>
      <c r="G511" s="29"/>
      <c r="H511" s="29"/>
      <c r="I511" s="29"/>
      <c r="J511" s="29"/>
      <c r="K511" s="29"/>
      <c r="L511" s="29"/>
      <c r="M511" s="29"/>
      <c r="N511" s="29"/>
      <c r="O511" s="29"/>
      <c r="P511" s="29"/>
      <c r="Q511" s="29"/>
      <c r="R511" s="29"/>
      <c r="AK511" s="79"/>
      <c r="AL511" s="29"/>
      <c r="AM511" s="29"/>
      <c r="AN511" s="29"/>
      <c r="AO511" s="29"/>
      <c r="AP511" s="29"/>
    </row>
    <row r="512" spans="2:71" ht="11.25" customHeight="1">
      <c r="B512" s="27" t="s">
        <v>14</v>
      </c>
      <c r="C512" s="26" t="s">
        <v>107</v>
      </c>
      <c r="E512" s="29"/>
      <c r="F512" s="66"/>
      <c r="G512" s="66"/>
      <c r="H512" s="66"/>
      <c r="I512" s="66"/>
      <c r="J512" s="66"/>
      <c r="K512" s="66"/>
      <c r="L512" s="66"/>
      <c r="M512" s="66"/>
      <c r="N512" s="66"/>
      <c r="O512" s="66"/>
      <c r="P512" s="66"/>
      <c r="Q512" s="66"/>
      <c r="R512" s="66"/>
      <c r="S512" s="360"/>
      <c r="AF512" s="135"/>
      <c r="AG512" s="135"/>
      <c r="AK512" s="79"/>
      <c r="AL512" s="29"/>
      <c r="AM512" s="29"/>
      <c r="AN512" s="29"/>
      <c r="AO512" s="29"/>
      <c r="AP512" s="29"/>
      <c r="BK512" s="1347" t="s">
        <v>1705</v>
      </c>
      <c r="BL512" s="1304"/>
      <c r="BM512" s="13" t="s">
        <v>1665</v>
      </c>
      <c r="BN512" s="1333">
        <v>2021</v>
      </c>
      <c r="BO512" s="1333">
        <v>2022</v>
      </c>
      <c r="BP512" s="1333">
        <f>BO512+1</f>
        <v>2023</v>
      </c>
      <c r="BQ512" s="1333">
        <f t="shared" ref="BQ512:BS512" si="1134">BP512+1</f>
        <v>2024</v>
      </c>
      <c r="BR512" s="1333">
        <f t="shared" si="1134"/>
        <v>2025</v>
      </c>
      <c r="BS512" s="1333">
        <f t="shared" si="1134"/>
        <v>2026</v>
      </c>
    </row>
    <row r="513" spans="2:72" ht="11.25" customHeight="1">
      <c r="C513" s="36" t="s">
        <v>18</v>
      </c>
      <c r="E513" s="82">
        <v>280</v>
      </c>
      <c r="F513" s="82">
        <v>234</v>
      </c>
      <c r="G513" s="82">
        <v>248</v>
      </c>
      <c r="H513" s="82">
        <v>230</v>
      </c>
      <c r="I513" s="82">
        <v>213</v>
      </c>
      <c r="J513" s="82">
        <v>215</v>
      </c>
      <c r="K513" s="82">
        <v>224</v>
      </c>
      <c r="L513" s="82">
        <v>200</v>
      </c>
      <c r="M513" s="82">
        <v>245</v>
      </c>
      <c r="N513" s="82">
        <v>241</v>
      </c>
      <c r="O513" s="82">
        <v>220</v>
      </c>
      <c r="P513" s="82">
        <v>212</v>
      </c>
      <c r="Q513" s="82">
        <v>213</v>
      </c>
      <c r="R513" s="82">
        <v>213</v>
      </c>
      <c r="S513" s="665">
        <v>217</v>
      </c>
      <c r="T513" s="665">
        <v>226</v>
      </c>
      <c r="U513" s="665">
        <v>212</v>
      </c>
      <c r="V513" s="665">
        <v>211</v>
      </c>
      <c r="W513" s="665">
        <v>206</v>
      </c>
      <c r="X513" s="665">
        <v>208</v>
      </c>
      <c r="Y513" s="665">
        <v>217</v>
      </c>
      <c r="Z513" s="665">
        <v>223</v>
      </c>
      <c r="AA513" s="665">
        <v>222</v>
      </c>
      <c r="AB513" s="665">
        <v>238</v>
      </c>
      <c r="AC513" s="665">
        <v>213</v>
      </c>
      <c r="AD513" s="665">
        <v>242</v>
      </c>
      <c r="AE513" s="665">
        <v>250</v>
      </c>
      <c r="AF513" s="665">
        <v>317</v>
      </c>
      <c r="AG513" s="665">
        <v>303</v>
      </c>
      <c r="AH513" s="360">
        <f t="shared" ref="AH513:AJ513" si="1135">AD513+AH520</f>
        <v>273.45999999999998</v>
      </c>
      <c r="AI513" s="360">
        <f t="shared" si="1135"/>
        <v>280</v>
      </c>
      <c r="AJ513" s="360">
        <f t="shared" si="1135"/>
        <v>323.33999999999997</v>
      </c>
      <c r="AK513" s="79"/>
      <c r="AL513" s="82">
        <v>1457</v>
      </c>
      <c r="AM513" s="82">
        <v>1219</v>
      </c>
      <c r="AN513" s="31">
        <f t="shared" ref="AN513:AS513" si="1136">SUMIF($E$6:$AK$6,AN$6,$E513:$AK513)</f>
        <v>992</v>
      </c>
      <c r="AO513" s="31">
        <f t="shared" si="1136"/>
        <v>852</v>
      </c>
      <c r="AP513" s="31">
        <f t="shared" si="1136"/>
        <v>918</v>
      </c>
      <c r="AQ513" s="31">
        <f t="shared" si="1136"/>
        <v>869</v>
      </c>
      <c r="AR513" s="31">
        <f t="shared" si="1136"/>
        <v>837</v>
      </c>
      <c r="AS513" s="31">
        <f t="shared" si="1136"/>
        <v>900</v>
      </c>
      <c r="AT513" s="31">
        <f>SUMIF($E$6:$AK$6,AT$6,$E513:$AK513)</f>
        <v>1022</v>
      </c>
      <c r="AU513" s="31">
        <f>SUMIF($E$6:$AK$6,AU$6,$E513:$AK513)</f>
        <v>1179.8</v>
      </c>
      <c r="AV513" s="30">
        <f>+AU513+AV520</f>
        <v>1197.4969999999998</v>
      </c>
      <c r="AW513" s="30">
        <f>+AV513+AW520</f>
        <v>1215.4594549999999</v>
      </c>
      <c r="AX513" s="30">
        <f>+AW513+AX520</f>
        <v>1233.691346825</v>
      </c>
      <c r="BK513" s="1356" t="s">
        <v>1681</v>
      </c>
      <c r="BL513" s="1309"/>
      <c r="BM513" s="1308">
        <v>0.8</v>
      </c>
      <c r="BN513" s="1311">
        <f>BM513*$AS$513</f>
        <v>720</v>
      </c>
      <c r="BO513" s="1311">
        <f t="shared" ref="BO513:BP516" si="1137">+BN513*(1+BO520)</f>
        <v>817.2</v>
      </c>
      <c r="BP513" s="1311">
        <f t="shared" si="1137"/>
        <v>882.57600000000014</v>
      </c>
      <c r="BQ513" s="1311">
        <f t="shared" ref="BQ513:BS513" si="1138">+BP513*(1+BQ520)</f>
        <v>904.64040000000011</v>
      </c>
      <c r="BR513" s="1311">
        <f t="shared" si="1138"/>
        <v>927.25641000000007</v>
      </c>
      <c r="BS513" s="1311">
        <f t="shared" si="1138"/>
        <v>950.43782024999996</v>
      </c>
    </row>
    <row r="514" spans="2:72" ht="11.25" customHeight="1" outlineLevel="1">
      <c r="C514" s="107" t="s">
        <v>358</v>
      </c>
      <c r="E514" s="90"/>
      <c r="F514" s="90"/>
      <c r="G514" s="90"/>
      <c r="H514" s="90"/>
      <c r="I514" s="94">
        <f t="shared" ref="I514:AC514" si="1139">IFERROR(I513/E513-1,"NA  ")</f>
        <v>-0.23928571428571432</v>
      </c>
      <c r="J514" s="94">
        <f t="shared" si="1139"/>
        <v>-8.1196581196581241E-2</v>
      </c>
      <c r="K514" s="94">
        <f t="shared" si="1139"/>
        <v>-9.6774193548387122E-2</v>
      </c>
      <c r="L514" s="94">
        <f t="shared" si="1139"/>
        <v>-0.13043478260869568</v>
      </c>
      <c r="M514" s="94">
        <f t="shared" si="1139"/>
        <v>0.15023474178403751</v>
      </c>
      <c r="N514" s="94">
        <f t="shared" si="1139"/>
        <v>0.12093023255813962</v>
      </c>
      <c r="O514" s="94">
        <f t="shared" si="1139"/>
        <v>-1.7857142857142905E-2</v>
      </c>
      <c r="P514" s="94">
        <f t="shared" si="1139"/>
        <v>6.0000000000000053E-2</v>
      </c>
      <c r="Q514" s="94">
        <f t="shared" si="1139"/>
        <v>-0.1306122448979592</v>
      </c>
      <c r="R514" s="94">
        <f t="shared" si="1139"/>
        <v>-0.11618257261410792</v>
      </c>
      <c r="S514" s="94">
        <f t="shared" si="1139"/>
        <v>-1.3636363636363669E-2</v>
      </c>
      <c r="T514" s="94">
        <f t="shared" si="1139"/>
        <v>6.60377358490567E-2</v>
      </c>
      <c r="U514" s="94">
        <f t="shared" si="1139"/>
        <v>-4.6948356807511304E-3</v>
      </c>
      <c r="V514" s="94">
        <f t="shared" si="1139"/>
        <v>-9.3896713615023719E-3</v>
      </c>
      <c r="W514" s="94">
        <f t="shared" si="1139"/>
        <v>-5.0691244239631339E-2</v>
      </c>
      <c r="X514" s="94">
        <f t="shared" si="1139"/>
        <v>-7.9646017699115057E-2</v>
      </c>
      <c r="Y514" s="94">
        <f t="shared" si="1139"/>
        <v>2.3584905660377409E-2</v>
      </c>
      <c r="Z514" s="94">
        <f t="shared" si="1139"/>
        <v>5.6872037914691864E-2</v>
      </c>
      <c r="AA514" s="94">
        <f t="shared" si="1139"/>
        <v>7.7669902912621325E-2</v>
      </c>
      <c r="AB514" s="94">
        <f t="shared" si="1139"/>
        <v>0.14423076923076916</v>
      </c>
      <c r="AC514" s="94">
        <f t="shared" si="1139"/>
        <v>-1.8433179723502335E-2</v>
      </c>
      <c r="AD514" s="94">
        <f t="shared" ref="AD514" si="1140">IFERROR(AD513/Z513-1,"NA  ")</f>
        <v>8.5201793721973118E-2</v>
      </c>
      <c r="AE514" s="94">
        <f t="shared" ref="AE514" si="1141">IFERROR(AE513/AA513-1,"NA  ")</f>
        <v>0.12612612612612617</v>
      </c>
      <c r="AF514" s="94">
        <f t="shared" ref="AF514:AG514" si="1142">IFERROR(AF513/AB513-1,"NA  ")</f>
        <v>0.33193277310924363</v>
      </c>
      <c r="AG514" s="94">
        <f t="shared" si="1142"/>
        <v>0.42253521126760574</v>
      </c>
      <c r="AH514" s="94">
        <f t="shared" ref="AH514" si="1143">IFERROR(AH513/AD513-1,"NA  ")</f>
        <v>0.12999999999999989</v>
      </c>
      <c r="AI514" s="94">
        <f t="shared" ref="AI514" si="1144">IFERROR(AI513/AE513-1,"NA  ")</f>
        <v>0.12000000000000011</v>
      </c>
      <c r="AJ514" s="94">
        <f t="shared" ref="AJ514" si="1145">IFERROR(AJ513/AF513-1,"NA  ")</f>
        <v>2.0000000000000018E-2</v>
      </c>
      <c r="AK514" s="79"/>
      <c r="AL514" s="47"/>
      <c r="AM514" s="94">
        <f t="shared" ref="AM514:AX514" si="1146">IFERROR(AM513/AL513-1,"NA  ")</f>
        <v>-0.16334934797529166</v>
      </c>
      <c r="AN514" s="94">
        <f t="shared" si="1146"/>
        <v>-0.18621821164889252</v>
      </c>
      <c r="AO514" s="94">
        <f t="shared" si="1146"/>
        <v>-0.1411290322580645</v>
      </c>
      <c r="AP514" s="94">
        <f t="shared" si="1146"/>
        <v>7.7464788732394263E-2</v>
      </c>
      <c r="AQ514" s="94">
        <f t="shared" si="1146"/>
        <v>-5.3376906318082784E-2</v>
      </c>
      <c r="AR514" s="94">
        <f t="shared" si="1146"/>
        <v>-3.6823935558112808E-2</v>
      </c>
      <c r="AS514" s="94">
        <f t="shared" si="1146"/>
        <v>7.5268817204301008E-2</v>
      </c>
      <c r="AT514" s="94">
        <f t="shared" si="1146"/>
        <v>0.13555555555555565</v>
      </c>
      <c r="AU514" s="94">
        <f t="shared" si="1146"/>
        <v>0.15440313111545989</v>
      </c>
      <c r="AV514" s="94">
        <f t="shared" si="1146"/>
        <v>1.4999999999999902E-2</v>
      </c>
      <c r="AW514" s="94">
        <f t="shared" si="1146"/>
        <v>1.5000000000000124E-2</v>
      </c>
      <c r="AX514" s="94">
        <f t="shared" si="1146"/>
        <v>1.5000000000000124E-2</v>
      </c>
      <c r="BK514" s="1346" t="s">
        <v>1672</v>
      </c>
      <c r="BL514" s="1303"/>
      <c r="BM514" s="1298">
        <v>7.0000000000000007E-2</v>
      </c>
      <c r="BN514" s="1301">
        <f t="shared" ref="BN514:BN516" si="1147">BM514*$AS$513</f>
        <v>63.000000000000007</v>
      </c>
      <c r="BO514" s="1301">
        <f t="shared" si="1137"/>
        <v>71.50500000000001</v>
      </c>
      <c r="BP514" s="1301">
        <f t="shared" si="1137"/>
        <v>75.080250000000007</v>
      </c>
      <c r="BQ514" s="1301">
        <f t="shared" ref="BQ514:BS514" si="1148">+BP514*(1+BQ521)</f>
        <v>82.58827500000001</v>
      </c>
      <c r="BR514" s="1301">
        <f t="shared" si="1148"/>
        <v>90.84710250000002</v>
      </c>
      <c r="BS514" s="1301">
        <f t="shared" si="1148"/>
        <v>97.66063518750002</v>
      </c>
    </row>
    <row r="515" spans="2:72" ht="11.25" customHeight="1" outlineLevel="1">
      <c r="C515" s="107" t="s">
        <v>641</v>
      </c>
      <c r="E515" s="94">
        <f t="shared" ref="E515:AJ515" si="1149">IFERROR(E513/E$619,"NA  ")</f>
        <v>0.12522361359570661</v>
      </c>
      <c r="F515" s="94">
        <f t="shared" si="1149"/>
        <v>0.10187200696560732</v>
      </c>
      <c r="G515" s="94">
        <f t="shared" si="1149"/>
        <v>0.10843900306077832</v>
      </c>
      <c r="H515" s="94">
        <f t="shared" si="1149"/>
        <v>0.10511882998171847</v>
      </c>
      <c r="I515" s="94">
        <f t="shared" si="1149"/>
        <v>9.2488059053408594E-2</v>
      </c>
      <c r="J515" s="94">
        <f t="shared" si="1149"/>
        <v>8.8879702356345597E-2</v>
      </c>
      <c r="K515" s="94">
        <f t="shared" si="1149"/>
        <v>9.0872210953346855E-2</v>
      </c>
      <c r="L515" s="94">
        <f t="shared" si="1149"/>
        <v>8.4674005080440304E-2</v>
      </c>
      <c r="M515" s="94">
        <f t="shared" si="1149"/>
        <v>9.3977752205600312E-2</v>
      </c>
      <c r="N515" s="94">
        <f t="shared" si="1149"/>
        <v>9.1949637542922555E-2</v>
      </c>
      <c r="O515" s="94">
        <f t="shared" si="1149"/>
        <v>8.6376128778955633E-2</v>
      </c>
      <c r="P515" s="94">
        <f t="shared" si="1149"/>
        <v>8.9225589225589222E-2</v>
      </c>
      <c r="Q515" s="94">
        <f t="shared" si="1149"/>
        <v>8.9495798319327732E-2</v>
      </c>
      <c r="R515" s="94">
        <f t="shared" si="1149"/>
        <v>9.013965298349555E-2</v>
      </c>
      <c r="S515" s="95">
        <f t="shared" si="1149"/>
        <v>9.3333333333333338E-2</v>
      </c>
      <c r="T515" s="95">
        <f t="shared" si="1149"/>
        <v>0.1029143897996357</v>
      </c>
      <c r="U515" s="95">
        <f t="shared" si="1149"/>
        <v>9.4600624721106655E-2</v>
      </c>
      <c r="V515" s="95">
        <f t="shared" si="1149"/>
        <v>0.10966735966735967</v>
      </c>
      <c r="W515" s="95">
        <f t="shared" si="1149"/>
        <v>9.7078228086710655E-2</v>
      </c>
      <c r="X515" s="95">
        <f t="shared" si="1149"/>
        <v>9.5150960658737418E-2</v>
      </c>
      <c r="Y515" s="95">
        <f t="shared" si="1149"/>
        <v>9.0078870900788713E-2</v>
      </c>
      <c r="Z515" s="95">
        <f t="shared" si="1149"/>
        <v>8.4055785902751604E-2</v>
      </c>
      <c r="AA515" s="95">
        <f t="shared" si="1149"/>
        <v>8.1617647058823531E-2</v>
      </c>
      <c r="AB515" s="95">
        <f t="shared" si="1149"/>
        <v>8.8344469190794361E-2</v>
      </c>
      <c r="AC515" s="95">
        <f t="shared" si="1149"/>
        <v>7.8481945467944E-2</v>
      </c>
      <c r="AD515" s="95">
        <f t="shared" si="1149"/>
        <v>8.6925287356321837E-2</v>
      </c>
      <c r="AE515" s="95">
        <f t="shared" si="1149"/>
        <v>9.2284976005906239E-2</v>
      </c>
      <c r="AF515" s="95">
        <f t="shared" si="1149"/>
        <v>0.13358617783396545</v>
      </c>
      <c r="AG515" s="95">
        <f t="shared" ref="AG515" si="1150">IFERROR(AG513/AG$619,"NA  ")</f>
        <v>0.12562189054726369</v>
      </c>
      <c r="AH515" s="95">
        <f t="shared" si="1149"/>
        <v>0.10108530111930919</v>
      </c>
      <c r="AI515" s="95">
        <f t="shared" si="1149"/>
        <v>0.10377980889689475</v>
      </c>
      <c r="AJ515" s="95">
        <f t="shared" si="1149"/>
        <v>0.13451314180166235</v>
      </c>
      <c r="AK515" s="79"/>
      <c r="AL515" s="94">
        <f t="shared" ref="AL515:AX515" si="1151">IFERROR(AL513/AL$619,"NA  ")</f>
        <v>0.15293376718799201</v>
      </c>
      <c r="AM515" s="94">
        <f t="shared" si="1151"/>
        <v>0.1263474295190713</v>
      </c>
      <c r="AN515" s="94">
        <f t="shared" si="1151"/>
        <v>0.11012433392539965</v>
      </c>
      <c r="AO515" s="94">
        <f t="shared" si="1151"/>
        <v>8.9224002513352177E-2</v>
      </c>
      <c r="AP515" s="94">
        <f t="shared" si="1151"/>
        <v>9.0434439956654511E-2</v>
      </c>
      <c r="AQ515" s="95">
        <f t="shared" si="1151"/>
        <v>9.3803972366148528E-2</v>
      </c>
      <c r="AR515" s="95">
        <f t="shared" si="1151"/>
        <v>9.8784373893544206E-2</v>
      </c>
      <c r="AS515" s="95">
        <f t="shared" si="1151"/>
        <v>8.5910652920962199E-2</v>
      </c>
      <c r="AT515" s="95">
        <f t="shared" si="1151"/>
        <v>9.6597353497164459E-2</v>
      </c>
      <c r="AU515" s="95">
        <f t="shared" si="1151"/>
        <v>0.11545115783870108</v>
      </c>
      <c r="AV515" s="95">
        <f t="shared" si="1151"/>
        <v>0.11306745202807449</v>
      </c>
      <c r="AW515" s="95">
        <f t="shared" si="1151"/>
        <v>0.11138435372746729</v>
      </c>
      <c r="AX515" s="95">
        <f t="shared" si="1151"/>
        <v>0.1102514688252174</v>
      </c>
      <c r="BK515" s="1335" t="s">
        <v>1677</v>
      </c>
      <c r="BL515" s="1303"/>
      <c r="BM515" s="1298">
        <v>7.0000000000000007E-2</v>
      </c>
      <c r="BN515" s="1301">
        <f t="shared" si="1147"/>
        <v>63.000000000000007</v>
      </c>
      <c r="BO515" s="1301">
        <f t="shared" si="1137"/>
        <v>71.50500000000001</v>
      </c>
      <c r="BP515" s="1301">
        <f t="shared" si="1137"/>
        <v>75.080250000000007</v>
      </c>
      <c r="BQ515" s="1301">
        <f t="shared" ref="BQ515:BS515" si="1152">+BP515*(1+BQ522)</f>
        <v>82.58827500000001</v>
      </c>
      <c r="BR515" s="1301">
        <f t="shared" si="1152"/>
        <v>90.84710250000002</v>
      </c>
      <c r="BS515" s="1301">
        <f t="shared" si="1152"/>
        <v>97.66063518750002</v>
      </c>
    </row>
    <row r="516" spans="2:72" ht="11.25" customHeight="1" outlineLevel="1">
      <c r="C516" s="36"/>
      <c r="E516" s="82"/>
      <c r="F516" s="82"/>
      <c r="G516" s="82"/>
      <c r="H516" s="82"/>
      <c r="I516" s="82"/>
      <c r="J516" s="82"/>
      <c r="K516" s="82"/>
      <c r="L516" s="82"/>
      <c r="M516" s="82"/>
      <c r="N516" s="82"/>
      <c r="O516" s="82"/>
      <c r="P516" s="82"/>
      <c r="Q516" s="82"/>
      <c r="R516" s="82"/>
      <c r="AK516" s="79"/>
      <c r="AL516" s="82"/>
      <c r="AM516" s="82"/>
      <c r="AN516" s="31"/>
      <c r="AO516" s="31"/>
      <c r="AP516" s="31"/>
      <c r="AQ516" s="31"/>
      <c r="BK516" s="1345" t="s">
        <v>1385</v>
      </c>
      <c r="BL516" s="1300"/>
      <c r="BM516" s="1297">
        <v>0.06</v>
      </c>
      <c r="BN516" s="1299">
        <f t="shared" si="1147"/>
        <v>54</v>
      </c>
      <c r="BO516" s="1299">
        <f t="shared" si="1137"/>
        <v>61.29</v>
      </c>
      <c r="BP516" s="1299">
        <f t="shared" si="1137"/>
        <v>61.29</v>
      </c>
      <c r="BQ516" s="1299">
        <f t="shared" ref="BQ516:BS516" si="1153">+BP516*(1+BQ523)</f>
        <v>61.29</v>
      </c>
      <c r="BR516" s="1299">
        <f t="shared" si="1153"/>
        <v>61.29</v>
      </c>
      <c r="BS516" s="1299">
        <f t="shared" si="1153"/>
        <v>61.29</v>
      </c>
    </row>
    <row r="517" spans="2:72" ht="11.25" customHeight="1">
      <c r="C517" s="43" t="s">
        <v>165</v>
      </c>
      <c r="E517" s="46"/>
      <c r="F517" s="46"/>
      <c r="G517" s="46"/>
      <c r="H517" s="46"/>
      <c r="I517" s="29">
        <v>-40</v>
      </c>
      <c r="J517" s="29">
        <v>5</v>
      </c>
      <c r="K517" s="29">
        <v>-5</v>
      </c>
      <c r="L517" s="33">
        <f>+AO517-SUM(I517:K517)</f>
        <v>-13</v>
      </c>
      <c r="M517" s="29">
        <v>38</v>
      </c>
      <c r="N517" s="29">
        <v>34</v>
      </c>
      <c r="O517" s="29">
        <v>6</v>
      </c>
      <c r="P517" s="33">
        <f>+AP517-SUM(M517:O517)</f>
        <v>17</v>
      </c>
      <c r="Q517" s="29">
        <v>-26</v>
      </c>
      <c r="R517" s="29">
        <v>-26</v>
      </c>
      <c r="S517" s="29">
        <v>-4</v>
      </c>
      <c r="T517" s="33">
        <f>+AQ517-SUM(Q517:S517)</f>
        <v>18</v>
      </c>
      <c r="U517" s="29">
        <v>3</v>
      </c>
      <c r="V517" s="29">
        <v>1</v>
      </c>
      <c r="W517" s="29">
        <v>-7</v>
      </c>
      <c r="X517" s="33">
        <f>+AR517-SUM(U517:W517)</f>
        <v>-15</v>
      </c>
      <c r="Y517" s="29">
        <v>6</v>
      </c>
      <c r="Z517" s="29">
        <v>15</v>
      </c>
      <c r="AA517" s="29">
        <v>14</v>
      </c>
      <c r="AB517" s="33">
        <f>+AS517-SUM(Y517:AA517)</f>
        <v>22</v>
      </c>
      <c r="AC517" s="29">
        <v>-20</v>
      </c>
      <c r="AD517" s="29">
        <v>-6</v>
      </c>
      <c r="AE517" s="29">
        <v>-5</v>
      </c>
      <c r="AF517" s="33">
        <f>+AT517-SUM(AC517:AE517)</f>
        <v>21</v>
      </c>
      <c r="AG517" s="33">
        <v>6</v>
      </c>
      <c r="AH517" s="28">
        <f t="shared" ref="AH517:AH520" si="1154">AH525*AD$513</f>
        <v>7.26</v>
      </c>
      <c r="AI517" s="28">
        <f t="shared" ref="AI517:AI520" si="1155">AI525*AE$513</f>
        <v>5</v>
      </c>
      <c r="AJ517" s="28">
        <f t="shared" ref="AJ517:AJ520" si="1156">AJ525*AF$513</f>
        <v>3.17</v>
      </c>
      <c r="AK517" s="79"/>
      <c r="AL517" s="46"/>
      <c r="AM517" s="29">
        <v>-219</v>
      </c>
      <c r="AN517" s="29">
        <v>-150</v>
      </c>
      <c r="AO517" s="29">
        <v>-53</v>
      </c>
      <c r="AP517" s="29">
        <v>95</v>
      </c>
      <c r="AQ517" s="29">
        <v>-38</v>
      </c>
      <c r="AR517" s="29">
        <v>-18</v>
      </c>
      <c r="AS517" s="29">
        <v>57</v>
      </c>
      <c r="AT517" s="29">
        <v>-10</v>
      </c>
      <c r="AU517" s="28">
        <f t="shared" ref="AU517:AU519" si="1157">SUMIF($E$6:$AK$6,AU$6,$E517:$AK517)</f>
        <v>21.43</v>
      </c>
      <c r="AV517" s="28">
        <f>AU$513*AV525</f>
        <v>5.899</v>
      </c>
      <c r="AW517" s="28">
        <f>AV$513*AW525</f>
        <v>5.9874849999999995</v>
      </c>
      <c r="AX517" s="28">
        <f>AW$513*AX525</f>
        <v>6.0772972749999994</v>
      </c>
      <c r="BK517" s="427"/>
      <c r="BM517" s="67">
        <f>SUM(BM513:BM516)</f>
        <v>1.0000000000000002</v>
      </c>
      <c r="BN517" s="35">
        <f>SUM(BN513:BN516)</f>
        <v>900</v>
      </c>
      <c r="BO517" s="35">
        <f t="shared" ref="BO517:BP517" si="1158">SUM(BO513:BO516)</f>
        <v>1021.5</v>
      </c>
      <c r="BP517" s="35">
        <f t="shared" si="1158"/>
        <v>1094.0265000000002</v>
      </c>
      <c r="BQ517" s="35">
        <f t="shared" ref="BQ517" si="1159">SUM(BQ513:BQ516)</f>
        <v>1131.1069500000001</v>
      </c>
      <c r="BR517" s="35">
        <f t="shared" ref="BR517" si="1160">SUM(BR513:BR516)</f>
        <v>1170.2406150000002</v>
      </c>
      <c r="BS517" s="35">
        <f t="shared" ref="BS517" si="1161">SUM(BS513:BS516)</f>
        <v>1207.049090625</v>
      </c>
    </row>
    <row r="518" spans="2:72" ht="11.25" customHeight="1">
      <c r="C518" s="43" t="s">
        <v>166</v>
      </c>
      <c r="E518" s="46"/>
      <c r="F518" s="46"/>
      <c r="G518" s="46"/>
      <c r="H518" s="46"/>
      <c r="I518" s="29">
        <v>-26</v>
      </c>
      <c r="J518" s="29">
        <v>-24</v>
      </c>
      <c r="K518" s="29">
        <v>-19</v>
      </c>
      <c r="L518" s="33">
        <f>+AO518-SUM(I518:K518)</f>
        <v>-17</v>
      </c>
      <c r="M518" s="29">
        <v>-7</v>
      </c>
      <c r="N518" s="29">
        <v>-9</v>
      </c>
      <c r="O518" s="29">
        <v>-10</v>
      </c>
      <c r="P518" s="33">
        <f>+AP518-SUM(M518:O518)</f>
        <v>-4</v>
      </c>
      <c r="Q518" s="29">
        <v>-5</v>
      </c>
      <c r="R518" s="29">
        <v>-1</v>
      </c>
      <c r="S518" s="29">
        <v>2</v>
      </c>
      <c r="T518" s="33">
        <f>+AQ518-SUM(Q518:S518)</f>
        <v>-3</v>
      </c>
      <c r="U518" s="29">
        <v>-4</v>
      </c>
      <c r="V518" s="29">
        <v>-2</v>
      </c>
      <c r="W518" s="29">
        <v>-4</v>
      </c>
      <c r="X518" s="33">
        <f>+AR518-SUM(U518:W518)</f>
        <v>-4</v>
      </c>
      <c r="Y518" s="29">
        <v>-1</v>
      </c>
      <c r="Z518" s="29">
        <v>-5</v>
      </c>
      <c r="AA518" s="29">
        <v>2</v>
      </c>
      <c r="AB518" s="33">
        <f>+AS518-SUM(Y518:AA518)</f>
        <v>6</v>
      </c>
      <c r="AC518" s="29">
        <v>17</v>
      </c>
      <c r="AD518" s="29">
        <v>27</v>
      </c>
      <c r="AE518" s="29">
        <v>35</v>
      </c>
      <c r="AF518" s="33">
        <f t="shared" ref="AF518:AF519" si="1162">+AT518-SUM(AC518:AE518)</f>
        <v>60</v>
      </c>
      <c r="AG518" s="33">
        <v>86</v>
      </c>
      <c r="AH518" s="28">
        <f t="shared" si="1154"/>
        <v>24.200000000000003</v>
      </c>
      <c r="AI518" s="28">
        <f t="shared" si="1155"/>
        <v>25</v>
      </c>
      <c r="AJ518" s="28">
        <f t="shared" si="1156"/>
        <v>3.17</v>
      </c>
      <c r="AK518" s="79"/>
      <c r="AL518" s="46"/>
      <c r="AM518" s="29">
        <v>-10</v>
      </c>
      <c r="AN518" s="29">
        <v>-74</v>
      </c>
      <c r="AO518" s="29">
        <v>-86</v>
      </c>
      <c r="AP518" s="29">
        <v>-30</v>
      </c>
      <c r="AQ518" s="29">
        <v>-7</v>
      </c>
      <c r="AR518" s="29">
        <v>-14</v>
      </c>
      <c r="AS518" s="29">
        <v>2</v>
      </c>
      <c r="AT518" s="29">
        <v>139</v>
      </c>
      <c r="AU518" s="28">
        <f t="shared" si="1157"/>
        <v>138.36999999999998</v>
      </c>
      <c r="AV518" s="28">
        <f t="shared" ref="AV518:AX520" si="1163">AU$513*AV526</f>
        <v>11.798</v>
      </c>
      <c r="AW518" s="28">
        <f t="shared" si="1163"/>
        <v>11.974969999999999</v>
      </c>
      <c r="AX518" s="28">
        <f t="shared" si="1163"/>
        <v>12.154594549999999</v>
      </c>
      <c r="BK518" s="427"/>
      <c r="BM518" s="1296"/>
    </row>
    <row r="519" spans="2:72" ht="11.25" customHeight="1">
      <c r="C519" s="43" t="s">
        <v>167</v>
      </c>
      <c r="E519" s="46"/>
      <c r="F519" s="46"/>
      <c r="G519" s="46"/>
      <c r="H519" s="46"/>
      <c r="I519" s="29">
        <v>-1</v>
      </c>
      <c r="J519" s="29">
        <v>0</v>
      </c>
      <c r="K519" s="29">
        <v>0</v>
      </c>
      <c r="L519" s="33">
        <f>+AO519-SUM(I519:K519)</f>
        <v>0</v>
      </c>
      <c r="M519" s="29">
        <v>1</v>
      </c>
      <c r="N519" s="29">
        <v>1</v>
      </c>
      <c r="O519" s="29">
        <v>0</v>
      </c>
      <c r="P519" s="33">
        <f>+AP519-SUM(M519:O519)</f>
        <v>-1</v>
      </c>
      <c r="Q519" s="29">
        <v>-1</v>
      </c>
      <c r="R519" s="29">
        <v>-1</v>
      </c>
      <c r="S519" s="29">
        <v>-1</v>
      </c>
      <c r="T519" s="33">
        <f>+AQ519-SUM(Q519:S519)</f>
        <v>-1</v>
      </c>
      <c r="U519" s="28">
        <v>0</v>
      </c>
      <c r="V519" s="29">
        <v>-1</v>
      </c>
      <c r="W519" s="28">
        <v>0</v>
      </c>
      <c r="X519" s="33">
        <f>+AR519-SUM(U519:W519)</f>
        <v>1</v>
      </c>
      <c r="Y519" s="29">
        <v>0</v>
      </c>
      <c r="Z519" s="29">
        <v>2</v>
      </c>
      <c r="AA519" s="28">
        <v>0</v>
      </c>
      <c r="AB519" s="33">
        <f>+AS519-SUM(Y519:AA519)</f>
        <v>2</v>
      </c>
      <c r="AC519" s="29">
        <v>-1</v>
      </c>
      <c r="AD519" s="29">
        <v>-2</v>
      </c>
      <c r="AE519" s="29">
        <v>-2</v>
      </c>
      <c r="AF519" s="33">
        <f t="shared" si="1162"/>
        <v>-2</v>
      </c>
      <c r="AG519" s="33">
        <v>-2</v>
      </c>
      <c r="AH519" s="28">
        <f t="shared" si="1154"/>
        <v>0</v>
      </c>
      <c r="AI519" s="28">
        <f t="shared" si="1155"/>
        <v>0</v>
      </c>
      <c r="AJ519" s="28">
        <f t="shared" si="1156"/>
        <v>0</v>
      </c>
      <c r="AK519" s="79"/>
      <c r="AL519" s="46"/>
      <c r="AM519" s="29">
        <v>-9</v>
      </c>
      <c r="AN519" s="29">
        <v>-3</v>
      </c>
      <c r="AO519" s="29">
        <v>-1</v>
      </c>
      <c r="AP519" s="29">
        <v>1</v>
      </c>
      <c r="AQ519" s="29">
        <v>-4</v>
      </c>
      <c r="AR519" s="33">
        <v>0</v>
      </c>
      <c r="AS519" s="29">
        <v>4</v>
      </c>
      <c r="AT519" s="29">
        <v>-7</v>
      </c>
      <c r="AU519" s="28">
        <f t="shared" si="1157"/>
        <v>-2</v>
      </c>
      <c r="AV519" s="28">
        <f t="shared" si="1163"/>
        <v>0</v>
      </c>
      <c r="AW519" s="28">
        <f t="shared" si="1163"/>
        <v>0</v>
      </c>
      <c r="AX519" s="28">
        <f t="shared" si="1163"/>
        <v>0</v>
      </c>
      <c r="BK519" s="1337" t="s">
        <v>1669</v>
      </c>
      <c r="BL519" s="1336"/>
      <c r="BM519" s="1337"/>
      <c r="BN519" s="1337"/>
      <c r="BO519" s="1338">
        <v>2022</v>
      </c>
      <c r="BP519" s="1338">
        <f>BO519+1</f>
        <v>2023</v>
      </c>
      <c r="BQ519" s="1338">
        <f t="shared" ref="BQ519:BS519" si="1164">BP519+1</f>
        <v>2024</v>
      </c>
      <c r="BR519" s="1338">
        <f t="shared" si="1164"/>
        <v>2025</v>
      </c>
      <c r="BS519" s="1338">
        <f t="shared" si="1164"/>
        <v>2026</v>
      </c>
      <c r="BT519" s="1116"/>
    </row>
    <row r="520" spans="2:72" ht="11.25" customHeight="1">
      <c r="C520" s="45" t="s">
        <v>351</v>
      </c>
      <c r="E520" s="32">
        <f t="shared" ref="E520:S520" si="1165">+SUM(E517:E519)</f>
        <v>0</v>
      </c>
      <c r="F520" s="32">
        <f t="shared" si="1165"/>
        <v>0</v>
      </c>
      <c r="G520" s="32">
        <f t="shared" si="1165"/>
        <v>0</v>
      </c>
      <c r="H520" s="32">
        <f t="shared" si="1165"/>
        <v>0</v>
      </c>
      <c r="I520" s="32">
        <f t="shared" si="1165"/>
        <v>-67</v>
      </c>
      <c r="J520" s="32">
        <f t="shared" si="1165"/>
        <v>-19</v>
      </c>
      <c r="K520" s="32">
        <f t="shared" si="1165"/>
        <v>-24</v>
      </c>
      <c r="L520" s="32">
        <f t="shared" si="1165"/>
        <v>-30</v>
      </c>
      <c r="M520" s="32">
        <f t="shared" si="1165"/>
        <v>32</v>
      </c>
      <c r="N520" s="32">
        <f t="shared" si="1165"/>
        <v>26</v>
      </c>
      <c r="O520" s="32">
        <f t="shared" si="1165"/>
        <v>-4</v>
      </c>
      <c r="P520" s="32">
        <f t="shared" si="1165"/>
        <v>12</v>
      </c>
      <c r="Q520" s="32">
        <f t="shared" si="1165"/>
        <v>-32</v>
      </c>
      <c r="R520" s="32">
        <f t="shared" si="1165"/>
        <v>-28</v>
      </c>
      <c r="S520" s="32">
        <f t="shared" si="1165"/>
        <v>-3</v>
      </c>
      <c r="T520" s="32">
        <f t="shared" ref="T520:AC520" si="1166">+SUM(T517:T519)</f>
        <v>14</v>
      </c>
      <c r="U520" s="32">
        <f t="shared" si="1166"/>
        <v>-1</v>
      </c>
      <c r="V520" s="32">
        <f t="shared" si="1166"/>
        <v>-2</v>
      </c>
      <c r="W520" s="32">
        <f t="shared" si="1166"/>
        <v>-11</v>
      </c>
      <c r="X520" s="32">
        <f>+SUM(X517:X519)</f>
        <v>-18</v>
      </c>
      <c r="Y520" s="32">
        <f t="shared" si="1166"/>
        <v>5</v>
      </c>
      <c r="Z520" s="32">
        <f t="shared" si="1166"/>
        <v>12</v>
      </c>
      <c r="AA520" s="32">
        <f t="shared" si="1166"/>
        <v>16</v>
      </c>
      <c r="AB520" s="32">
        <f t="shared" si="1166"/>
        <v>30</v>
      </c>
      <c r="AC520" s="32">
        <f t="shared" si="1166"/>
        <v>-4</v>
      </c>
      <c r="AD520" s="32">
        <f t="shared" ref="AD520:AF520" si="1167">+SUM(AD517:AD519)</f>
        <v>19</v>
      </c>
      <c r="AE520" s="32">
        <f t="shared" si="1167"/>
        <v>28</v>
      </c>
      <c r="AF520" s="32">
        <f t="shared" si="1167"/>
        <v>79</v>
      </c>
      <c r="AG520" s="32">
        <f t="shared" ref="AG520" si="1168">+SUM(AG517:AG519)</f>
        <v>90</v>
      </c>
      <c r="AH520" s="35">
        <f t="shared" si="1154"/>
        <v>31.46</v>
      </c>
      <c r="AI520" s="35">
        <f t="shared" si="1155"/>
        <v>30.000000000000004</v>
      </c>
      <c r="AJ520" s="35">
        <f t="shared" si="1156"/>
        <v>6.34</v>
      </c>
      <c r="AK520" s="79"/>
      <c r="AL520" s="32"/>
      <c r="AM520" s="32">
        <f t="shared" ref="AM520:AT520" si="1169">+SUM(AM517:AM519)</f>
        <v>-238</v>
      </c>
      <c r="AN520" s="32">
        <f t="shared" si="1169"/>
        <v>-227</v>
      </c>
      <c r="AO520" s="32">
        <f t="shared" si="1169"/>
        <v>-140</v>
      </c>
      <c r="AP520" s="32">
        <f t="shared" si="1169"/>
        <v>66</v>
      </c>
      <c r="AQ520" s="32">
        <f t="shared" si="1169"/>
        <v>-49</v>
      </c>
      <c r="AR520" s="32">
        <f t="shared" si="1169"/>
        <v>-32</v>
      </c>
      <c r="AS520" s="32">
        <f t="shared" si="1169"/>
        <v>63</v>
      </c>
      <c r="AT520" s="32">
        <f t="shared" si="1169"/>
        <v>122</v>
      </c>
      <c r="AU520" s="32">
        <f t="shared" ref="AU520" si="1170">+SUM(AU517:AU519)</f>
        <v>157.79999999999998</v>
      </c>
      <c r="AV520" s="35">
        <f t="shared" si="1163"/>
        <v>17.696999999999999</v>
      </c>
      <c r="AW520" s="35">
        <f t="shared" si="1163"/>
        <v>17.962454999999999</v>
      </c>
      <c r="AX520" s="35">
        <f t="shared" si="1163"/>
        <v>18.231891824999998</v>
      </c>
      <c r="BK520" s="1367" t="s">
        <v>1681</v>
      </c>
      <c r="BL520" s="1367"/>
      <c r="BM520" s="1367"/>
      <c r="BN520" s="1367"/>
      <c r="BO520" s="1370">
        <v>0.13500000000000001</v>
      </c>
      <c r="BP520" s="1370">
        <v>0.08</v>
      </c>
      <c r="BQ520" s="1370">
        <v>2.5000000000000001E-2</v>
      </c>
      <c r="BR520" s="1370">
        <v>2.5000000000000001E-2</v>
      </c>
      <c r="BS520" s="1370">
        <v>2.5000000000000001E-2</v>
      </c>
      <c r="BT520" s="1116"/>
    </row>
    <row r="521" spans="2:72" ht="11.25" customHeight="1" outlineLevel="1">
      <c r="C521" s="111"/>
      <c r="E521" s="31"/>
      <c r="F521" s="31"/>
      <c r="G521" s="31"/>
      <c r="H521" s="31"/>
      <c r="I521" s="31"/>
      <c r="J521" s="31"/>
      <c r="K521" s="31"/>
      <c r="L521" s="31"/>
      <c r="M521" s="31"/>
      <c r="N521" s="31"/>
      <c r="O521" s="31"/>
      <c r="P521" s="31"/>
      <c r="Q521" s="31"/>
      <c r="R521" s="31"/>
      <c r="AK521" s="79"/>
      <c r="AL521" s="29"/>
      <c r="AM521" s="31"/>
      <c r="AN521" s="31"/>
      <c r="AO521" s="31"/>
      <c r="AP521" s="31"/>
      <c r="BK521" s="1351" t="s">
        <v>1672</v>
      </c>
      <c r="BL521" s="1351"/>
      <c r="BM521" s="1351"/>
      <c r="BN521" s="1351"/>
      <c r="BO521" s="1344">
        <v>0.13500000000000001</v>
      </c>
      <c r="BP521" s="1344">
        <v>0.05</v>
      </c>
      <c r="BQ521" s="1344">
        <v>0.1</v>
      </c>
      <c r="BR521" s="1344">
        <v>0.1</v>
      </c>
      <c r="BS521" s="1344">
        <v>7.4999999999999997E-2</v>
      </c>
      <c r="BT521" s="1116"/>
    </row>
    <row r="522" spans="2:72" s="41" customFormat="1" ht="11.25" customHeight="1" outlineLevel="1">
      <c r="B522" s="37"/>
      <c r="C522" s="113" t="s">
        <v>68</v>
      </c>
      <c r="E522" s="46"/>
      <c r="F522" s="46"/>
      <c r="G522" s="46"/>
      <c r="H522" s="46"/>
      <c r="I522" s="42">
        <f>ROUND(+I520-(I513-E513),1)</f>
        <v>0</v>
      </c>
      <c r="J522" s="42">
        <f t="shared" ref="J522:Y522" si="1171">ROUND(+J520-(J513-F513),1)</f>
        <v>0</v>
      </c>
      <c r="K522" s="42">
        <f t="shared" si="1171"/>
        <v>0</v>
      </c>
      <c r="L522" s="42">
        <f t="shared" si="1171"/>
        <v>0</v>
      </c>
      <c r="M522" s="42">
        <f t="shared" si="1171"/>
        <v>0</v>
      </c>
      <c r="N522" s="42">
        <f t="shared" si="1171"/>
        <v>0</v>
      </c>
      <c r="O522" s="42">
        <f t="shared" si="1171"/>
        <v>0</v>
      </c>
      <c r="P522" s="42">
        <f t="shared" si="1171"/>
        <v>0</v>
      </c>
      <c r="Q522" s="42">
        <f t="shared" si="1171"/>
        <v>0</v>
      </c>
      <c r="R522" s="42">
        <f t="shared" si="1171"/>
        <v>0</v>
      </c>
      <c r="S522" s="42">
        <f t="shared" si="1171"/>
        <v>0</v>
      </c>
      <c r="T522" s="42">
        <f t="shared" si="1171"/>
        <v>0</v>
      </c>
      <c r="U522" s="42">
        <f t="shared" si="1171"/>
        <v>0</v>
      </c>
      <c r="V522" s="42">
        <f t="shared" si="1171"/>
        <v>0</v>
      </c>
      <c r="W522" s="42">
        <f t="shared" si="1171"/>
        <v>0</v>
      </c>
      <c r="X522" s="42">
        <f t="shared" si="1171"/>
        <v>0</v>
      </c>
      <c r="Y522" s="42">
        <f t="shared" si="1171"/>
        <v>0</v>
      </c>
      <c r="Z522" s="42">
        <f t="shared" ref="Z522:AC522" si="1172">ROUND(+Z520-(Z513-V513),1)</f>
        <v>0</v>
      </c>
      <c r="AA522" s="42">
        <f t="shared" si="1172"/>
        <v>0</v>
      </c>
      <c r="AB522" s="42">
        <f t="shared" si="1172"/>
        <v>0</v>
      </c>
      <c r="AC522" s="42">
        <f t="shared" si="1172"/>
        <v>0</v>
      </c>
      <c r="AD522" s="42">
        <f t="shared" ref="AD522" si="1173">ROUND(+AD520-(AD513-Z513),1)</f>
        <v>0</v>
      </c>
      <c r="AE522" s="42">
        <f t="shared" ref="AE522" si="1174">ROUND(+AE520-(AE513-AA513),1)</f>
        <v>0</v>
      </c>
      <c r="AF522" s="42">
        <f t="shared" ref="AF522:AG522" si="1175">ROUND(+AF520-(AF513-AB513),1)</f>
        <v>0</v>
      </c>
      <c r="AG522" s="42">
        <f t="shared" si="1175"/>
        <v>0</v>
      </c>
      <c r="AH522" s="42">
        <f t="shared" ref="AH522" si="1176">ROUND(+AH520-(AH513-AD513),1)</f>
        <v>0</v>
      </c>
      <c r="AI522" s="42">
        <f t="shared" ref="AI522" si="1177">ROUND(+AI520-(AI513-AE513),1)</f>
        <v>0</v>
      </c>
      <c r="AJ522" s="42">
        <f t="shared" ref="AJ522" si="1178">ROUND(+AJ520-(AJ513-AF513),1)</f>
        <v>0</v>
      </c>
      <c r="AK522" s="79"/>
      <c r="AL522" s="92"/>
      <c r="AM522" s="42">
        <f>ROUND(+AM520-(AM513-AL513),1)</f>
        <v>0</v>
      </c>
      <c r="AN522" s="42">
        <f t="shared" ref="AN522:AX522" si="1179">ROUND(+AN520-(AN513-AM513),1)</f>
        <v>0</v>
      </c>
      <c r="AO522" s="42">
        <f t="shared" si="1179"/>
        <v>0</v>
      </c>
      <c r="AP522" s="42">
        <f t="shared" si="1179"/>
        <v>0</v>
      </c>
      <c r="AQ522" s="42">
        <f t="shared" si="1179"/>
        <v>0</v>
      </c>
      <c r="AR522" s="42">
        <f t="shared" si="1179"/>
        <v>0</v>
      </c>
      <c r="AS522" s="42">
        <f t="shared" si="1179"/>
        <v>0</v>
      </c>
      <c r="AT522" s="42">
        <f t="shared" si="1179"/>
        <v>0</v>
      </c>
      <c r="AU522" s="42">
        <f t="shared" si="1179"/>
        <v>0</v>
      </c>
      <c r="AV522" s="42">
        <f t="shared" si="1179"/>
        <v>0</v>
      </c>
      <c r="AW522" s="42">
        <f t="shared" si="1179"/>
        <v>0</v>
      </c>
      <c r="AX522" s="42">
        <f t="shared" si="1179"/>
        <v>0</v>
      </c>
      <c r="AY522" s="1"/>
      <c r="BK522" s="1342" t="s">
        <v>1677</v>
      </c>
      <c r="BL522" s="1342"/>
      <c r="BM522" s="1342"/>
      <c r="BN522" s="1342"/>
      <c r="BO522" s="1344">
        <v>0.13500000000000001</v>
      </c>
      <c r="BP522" s="1344">
        <v>0.05</v>
      </c>
      <c r="BQ522" s="1344">
        <v>0.1</v>
      </c>
      <c r="BR522" s="1344">
        <v>0.1</v>
      </c>
      <c r="BS522" s="1344">
        <v>7.4999999999999997E-2</v>
      </c>
      <c r="BT522" s="826"/>
    </row>
    <row r="523" spans="2:72" ht="11.25" customHeight="1" outlineLevel="1">
      <c r="C523" s="43"/>
      <c r="E523" s="29"/>
      <c r="F523" s="29"/>
      <c r="G523" s="29"/>
      <c r="H523" s="29"/>
      <c r="I523" s="29"/>
      <c r="J523" s="29"/>
      <c r="K523" s="29"/>
      <c r="L523" s="29"/>
      <c r="M523" s="29"/>
      <c r="N523" s="29"/>
      <c r="O523" s="29"/>
      <c r="P523" s="29"/>
      <c r="AK523" s="79"/>
      <c r="AL523" s="29"/>
      <c r="AM523" s="29"/>
      <c r="AN523" s="29"/>
      <c r="AO523" s="29"/>
      <c r="AP523" s="29"/>
      <c r="BK523" s="1348" t="s">
        <v>1385</v>
      </c>
      <c r="BL523" s="1348"/>
      <c r="BM523" s="1348"/>
      <c r="BN523" s="1348"/>
      <c r="BO523" s="1341">
        <v>0.13500000000000001</v>
      </c>
      <c r="BP523" s="1341">
        <v>0</v>
      </c>
      <c r="BQ523" s="1341">
        <v>0</v>
      </c>
      <c r="BR523" s="1341">
        <v>0</v>
      </c>
      <c r="BS523" s="1341">
        <v>0</v>
      </c>
      <c r="BT523" s="1116"/>
    </row>
    <row r="524" spans="2:72" ht="11.25" customHeight="1">
      <c r="C524" s="36" t="s">
        <v>395</v>
      </c>
      <c r="E524" s="29"/>
      <c r="F524" s="29"/>
      <c r="G524" s="29"/>
      <c r="H524" s="29"/>
      <c r="I524" s="29"/>
      <c r="J524" s="29"/>
      <c r="K524" s="29"/>
      <c r="L524" s="29"/>
      <c r="M524" s="29"/>
      <c r="N524" s="29"/>
      <c r="O524" s="29"/>
      <c r="P524" s="29"/>
      <c r="AK524" s="79"/>
      <c r="AL524" s="29"/>
      <c r="AM524" s="29"/>
      <c r="AN524" s="29"/>
      <c r="AO524" s="29"/>
      <c r="AP524" s="29"/>
      <c r="BO524" s="67"/>
      <c r="BP524" s="67"/>
      <c r="BQ524" s="67"/>
      <c r="BR524" s="67"/>
      <c r="BS524" s="67"/>
      <c r="BT524" s="1116"/>
    </row>
    <row r="525" spans="2:72" ht="11.25" customHeight="1">
      <c r="C525" s="43" t="s">
        <v>165</v>
      </c>
      <c r="E525" s="46"/>
      <c r="F525" s="46"/>
      <c r="G525" s="46"/>
      <c r="H525" s="46"/>
      <c r="I525" s="63">
        <f>I517/$E$513</f>
        <v>-0.14285714285714285</v>
      </c>
      <c r="J525" s="63">
        <f>J517/$F$513</f>
        <v>2.1367521367521368E-2</v>
      </c>
      <c r="K525" s="63">
        <f>K517/$G$513</f>
        <v>-2.0161290322580645E-2</v>
      </c>
      <c r="L525" s="63">
        <f>L517/$H$513</f>
        <v>-5.6521739130434782E-2</v>
      </c>
      <c r="M525" s="63">
        <f>M517/$I$513</f>
        <v>0.17840375586854459</v>
      </c>
      <c r="N525" s="63">
        <f>N517/$J$513</f>
        <v>0.15813953488372093</v>
      </c>
      <c r="O525" s="63">
        <f>O517/$K$513</f>
        <v>2.6785714285714284E-2</v>
      </c>
      <c r="P525" s="63">
        <f>P517/$L$513</f>
        <v>8.5000000000000006E-2</v>
      </c>
      <c r="Q525" s="63">
        <f>Q517/$M$513</f>
        <v>-0.10612244897959183</v>
      </c>
      <c r="R525" s="63">
        <f>R517/$N$513</f>
        <v>-0.1078838174273859</v>
      </c>
      <c r="S525" s="63">
        <f>S517/$O$513</f>
        <v>-1.8181818181818181E-2</v>
      </c>
      <c r="T525" s="63">
        <f>T517/$P$513</f>
        <v>8.4905660377358486E-2</v>
      </c>
      <c r="U525" s="63">
        <f t="shared" ref="U525:AC525" si="1180">U517/$P$513</f>
        <v>1.4150943396226415E-2</v>
      </c>
      <c r="V525" s="63">
        <f t="shared" si="1180"/>
        <v>4.7169811320754715E-3</v>
      </c>
      <c r="W525" s="63">
        <f t="shared" si="1180"/>
        <v>-3.3018867924528301E-2</v>
      </c>
      <c r="X525" s="63">
        <f t="shared" si="1180"/>
        <v>-7.0754716981132074E-2</v>
      </c>
      <c r="Y525" s="63">
        <f t="shared" si="1180"/>
        <v>2.8301886792452831E-2</v>
      </c>
      <c r="Z525" s="63">
        <f t="shared" si="1180"/>
        <v>7.0754716981132074E-2</v>
      </c>
      <c r="AA525" s="63">
        <f t="shared" si="1180"/>
        <v>6.6037735849056603E-2</v>
      </c>
      <c r="AB525" s="63">
        <f t="shared" si="1180"/>
        <v>0.10377358490566038</v>
      </c>
      <c r="AC525" s="63">
        <f t="shared" si="1180"/>
        <v>-9.4339622641509441E-2</v>
      </c>
      <c r="AD525" s="63">
        <f t="shared" ref="AD525:AF525" si="1181">AD517/$P$513</f>
        <v>-2.8301886792452831E-2</v>
      </c>
      <c r="AE525" s="63">
        <f t="shared" si="1181"/>
        <v>-2.358490566037736E-2</v>
      </c>
      <c r="AF525" s="63">
        <f t="shared" si="1181"/>
        <v>9.9056603773584911E-2</v>
      </c>
      <c r="AG525" s="63">
        <f t="shared" ref="AG525" si="1182">AG517/$P$513</f>
        <v>2.8301886792452831E-2</v>
      </c>
      <c r="AH525" s="130">
        <f>+Assumptions!AH96</f>
        <v>0.03</v>
      </c>
      <c r="AI525" s="130">
        <f>+Assumptions!AI96</f>
        <v>0.02</v>
      </c>
      <c r="AJ525" s="130">
        <f>+Assumptions!AJ96</f>
        <v>0.01</v>
      </c>
      <c r="AK525" s="79"/>
      <c r="AL525" s="46"/>
      <c r="AM525" s="63">
        <f>AM517/AL$513</f>
        <v>-0.15030885380919698</v>
      </c>
      <c r="AN525" s="63">
        <f t="shared" ref="AN525:AU525" si="1183">AN517/AM$513</f>
        <v>-0.12305168170631665</v>
      </c>
      <c r="AO525" s="63">
        <f t="shared" si="1183"/>
        <v>-5.3427419354838711E-2</v>
      </c>
      <c r="AP525" s="63">
        <f t="shared" si="1183"/>
        <v>0.11150234741784038</v>
      </c>
      <c r="AQ525" s="63">
        <f t="shared" si="1183"/>
        <v>-4.1394335511982572E-2</v>
      </c>
      <c r="AR525" s="63">
        <f t="shared" si="1183"/>
        <v>-2.0713463751438434E-2</v>
      </c>
      <c r="AS525" s="63">
        <f t="shared" si="1183"/>
        <v>6.8100358422939072E-2</v>
      </c>
      <c r="AT525" s="63">
        <f t="shared" si="1183"/>
        <v>-1.1111111111111112E-2</v>
      </c>
      <c r="AU525" s="63">
        <f t="shared" si="1183"/>
        <v>2.0968688845401175E-2</v>
      </c>
      <c r="AV525" s="130">
        <f>+Assumptions!AV96</f>
        <v>5.0000000000000001E-3</v>
      </c>
      <c r="AW525" s="130">
        <f>+Assumptions!AW96</f>
        <v>5.0000000000000001E-3</v>
      </c>
      <c r="AX525" s="130">
        <f>+Assumptions!AX96</f>
        <v>5.0000000000000001E-3</v>
      </c>
      <c r="BT525" s="1116"/>
    </row>
    <row r="526" spans="2:72" ht="11.25" customHeight="1">
      <c r="C526" s="43" t="s">
        <v>166</v>
      </c>
      <c r="E526" s="46"/>
      <c r="F526" s="46"/>
      <c r="G526" s="46"/>
      <c r="H526" s="46"/>
      <c r="I526" s="63">
        <f>I518/$E$513</f>
        <v>-9.285714285714286E-2</v>
      </c>
      <c r="J526" s="63">
        <f>J518/$F$513</f>
        <v>-0.10256410256410256</v>
      </c>
      <c r="K526" s="63">
        <f>K518/$G$513</f>
        <v>-7.6612903225806453E-2</v>
      </c>
      <c r="L526" s="63">
        <f>L518/$H$513</f>
        <v>-7.3913043478260873E-2</v>
      </c>
      <c r="M526" s="63">
        <f>M518/$I$513</f>
        <v>-3.2863849765258218E-2</v>
      </c>
      <c r="N526" s="63">
        <f>N518/$J$513</f>
        <v>-4.1860465116279069E-2</v>
      </c>
      <c r="O526" s="63">
        <f>O518/$K$513</f>
        <v>-4.4642857142857144E-2</v>
      </c>
      <c r="P526" s="63">
        <f>P518/$L$513</f>
        <v>-0.02</v>
      </c>
      <c r="Q526" s="63">
        <f>Q518/$M$513</f>
        <v>-2.0408163265306121E-2</v>
      </c>
      <c r="R526" s="63">
        <f>R518/$N$513</f>
        <v>-4.1493775933609959E-3</v>
      </c>
      <c r="S526" s="63">
        <f>S518/$O$513</f>
        <v>9.0909090909090905E-3</v>
      </c>
      <c r="T526" s="63">
        <f>T518/$P$513</f>
        <v>-1.4150943396226415E-2</v>
      </c>
      <c r="U526" s="63">
        <f t="shared" ref="U526:AC526" si="1184">U518/$P$513</f>
        <v>-1.8867924528301886E-2</v>
      </c>
      <c r="V526" s="63">
        <f t="shared" si="1184"/>
        <v>-9.433962264150943E-3</v>
      </c>
      <c r="W526" s="63">
        <f t="shared" si="1184"/>
        <v>-1.8867924528301886E-2</v>
      </c>
      <c r="X526" s="63">
        <f t="shared" si="1184"/>
        <v>-1.8867924528301886E-2</v>
      </c>
      <c r="Y526" s="63">
        <f t="shared" si="1184"/>
        <v>-4.7169811320754715E-3</v>
      </c>
      <c r="Z526" s="63">
        <f t="shared" si="1184"/>
        <v>-2.358490566037736E-2</v>
      </c>
      <c r="AA526" s="63">
        <f t="shared" si="1184"/>
        <v>9.433962264150943E-3</v>
      </c>
      <c r="AB526" s="63">
        <f t="shared" si="1184"/>
        <v>2.8301886792452831E-2</v>
      </c>
      <c r="AC526" s="63">
        <f t="shared" si="1184"/>
        <v>8.0188679245283015E-2</v>
      </c>
      <c r="AD526" s="63">
        <f t="shared" ref="AD526:AF526" si="1185">AD518/$P$513</f>
        <v>0.12735849056603774</v>
      </c>
      <c r="AE526" s="63">
        <f t="shared" si="1185"/>
        <v>0.1650943396226415</v>
      </c>
      <c r="AF526" s="63">
        <f t="shared" si="1185"/>
        <v>0.28301886792452829</v>
      </c>
      <c r="AG526" s="63">
        <f t="shared" ref="AG526" si="1186">AG518/$P$513</f>
        <v>0.40566037735849059</v>
      </c>
      <c r="AH526" s="130">
        <f>+Assumptions!AH101</f>
        <v>0.1</v>
      </c>
      <c r="AI526" s="130">
        <f>+Assumptions!AI101</f>
        <v>0.1</v>
      </c>
      <c r="AJ526" s="130">
        <f>+Assumptions!AJ101</f>
        <v>0.01</v>
      </c>
      <c r="AK526" s="79"/>
      <c r="AL526" s="46"/>
      <c r="AM526" s="63">
        <f t="shared" ref="AM526:AU528" si="1187">AM518/AL$513</f>
        <v>-6.8634179821551134E-3</v>
      </c>
      <c r="AN526" s="63">
        <f t="shared" si="1187"/>
        <v>-6.0705496308449548E-2</v>
      </c>
      <c r="AO526" s="63">
        <f t="shared" si="1187"/>
        <v>-8.669354838709678E-2</v>
      </c>
      <c r="AP526" s="63">
        <f t="shared" si="1187"/>
        <v>-3.5211267605633804E-2</v>
      </c>
      <c r="AQ526" s="63">
        <f t="shared" si="1187"/>
        <v>-7.6252723311546842E-3</v>
      </c>
      <c r="AR526" s="63">
        <f t="shared" si="1187"/>
        <v>-1.611047180667434E-2</v>
      </c>
      <c r="AS526" s="63">
        <f t="shared" si="1187"/>
        <v>2.3894862604540022E-3</v>
      </c>
      <c r="AT526" s="63">
        <f t="shared" si="1187"/>
        <v>0.15444444444444444</v>
      </c>
      <c r="AU526" s="63">
        <f t="shared" si="1187"/>
        <v>0.1353913894324853</v>
      </c>
      <c r="AV526" s="130">
        <f>+Assumptions!AV101</f>
        <v>0.01</v>
      </c>
      <c r="AW526" s="130">
        <f>+Assumptions!AW101</f>
        <v>0.01</v>
      </c>
      <c r="AX526" s="130">
        <f>+Assumptions!AX101</f>
        <v>0.01</v>
      </c>
      <c r="BK526" s="1347" t="s">
        <v>1704</v>
      </c>
      <c r="BL526" s="1304"/>
      <c r="BM526" s="1304"/>
      <c r="BN526" s="1333">
        <v>2021</v>
      </c>
      <c r="BO526" s="1333">
        <v>2022</v>
      </c>
      <c r="BP526" s="1333">
        <f>BO526+1</f>
        <v>2023</v>
      </c>
      <c r="BQ526" s="1333">
        <f t="shared" ref="BQ526:BS526" si="1188">BP526+1</f>
        <v>2024</v>
      </c>
      <c r="BR526" s="1333">
        <f t="shared" si="1188"/>
        <v>2025</v>
      </c>
      <c r="BS526" s="1333">
        <f t="shared" si="1188"/>
        <v>2026</v>
      </c>
      <c r="BT526" s="1116"/>
    </row>
    <row r="527" spans="2:72" ht="11.25" customHeight="1">
      <c r="C527" s="43" t="s">
        <v>167</v>
      </c>
      <c r="E527" s="46"/>
      <c r="F527" s="46"/>
      <c r="G527" s="46"/>
      <c r="H527" s="46"/>
      <c r="I527" s="63">
        <f>I519/$E$513</f>
        <v>-3.5714285714285713E-3</v>
      </c>
      <c r="J527" s="63">
        <f>J519/$F$513</f>
        <v>0</v>
      </c>
      <c r="K527" s="63">
        <f>K519/$G$513</f>
        <v>0</v>
      </c>
      <c r="L527" s="63">
        <f>L519/$H$513</f>
        <v>0</v>
      </c>
      <c r="M527" s="63">
        <f>M519/$I$513</f>
        <v>4.6948356807511738E-3</v>
      </c>
      <c r="N527" s="63">
        <f>N519/$J$513</f>
        <v>4.6511627906976744E-3</v>
      </c>
      <c r="O527" s="63">
        <f>O519/$K$513</f>
        <v>0</v>
      </c>
      <c r="P527" s="63">
        <f>P519/$L$513</f>
        <v>-5.0000000000000001E-3</v>
      </c>
      <c r="Q527" s="63">
        <f>Q519/$M$513</f>
        <v>-4.0816326530612249E-3</v>
      </c>
      <c r="R527" s="63">
        <f>R519/$N$513</f>
        <v>-4.1493775933609959E-3</v>
      </c>
      <c r="S527" s="63">
        <f>S519/$O$513</f>
        <v>-4.5454545454545452E-3</v>
      </c>
      <c r="T527" s="63">
        <f>T519/$P$513</f>
        <v>-4.7169811320754715E-3</v>
      </c>
      <c r="U527" s="63">
        <f t="shared" ref="U527:AC527" si="1189">U519/$P$513</f>
        <v>0</v>
      </c>
      <c r="V527" s="63">
        <f t="shared" si="1189"/>
        <v>-4.7169811320754715E-3</v>
      </c>
      <c r="W527" s="63">
        <f t="shared" si="1189"/>
        <v>0</v>
      </c>
      <c r="X527" s="63">
        <f t="shared" si="1189"/>
        <v>4.7169811320754715E-3</v>
      </c>
      <c r="Y527" s="63">
        <f t="shared" si="1189"/>
        <v>0</v>
      </c>
      <c r="Z527" s="63">
        <f t="shared" si="1189"/>
        <v>9.433962264150943E-3</v>
      </c>
      <c r="AA527" s="63">
        <f t="shared" si="1189"/>
        <v>0</v>
      </c>
      <c r="AB527" s="63">
        <f t="shared" si="1189"/>
        <v>9.433962264150943E-3</v>
      </c>
      <c r="AC527" s="63">
        <f t="shared" si="1189"/>
        <v>-4.7169811320754715E-3</v>
      </c>
      <c r="AD527" s="63">
        <f t="shared" ref="AD527:AF527" si="1190">AD519/$P$513</f>
        <v>-9.433962264150943E-3</v>
      </c>
      <c r="AE527" s="63">
        <f t="shared" si="1190"/>
        <v>-9.433962264150943E-3</v>
      </c>
      <c r="AF527" s="63">
        <f t="shared" si="1190"/>
        <v>-9.433962264150943E-3</v>
      </c>
      <c r="AG527" s="63">
        <f t="shared" ref="AG527" si="1191">AG519/$P$513</f>
        <v>-9.433962264150943E-3</v>
      </c>
      <c r="AH527" s="130">
        <f>+Assumptions!AH106</f>
        <v>0</v>
      </c>
      <c r="AI527" s="130">
        <f>+Assumptions!AI106</f>
        <v>0</v>
      </c>
      <c r="AJ527" s="130">
        <f>+Assumptions!AJ106</f>
        <v>0</v>
      </c>
      <c r="AK527" s="79"/>
      <c r="AL527" s="46"/>
      <c r="AM527" s="63">
        <f t="shared" si="1187"/>
        <v>-6.1770761839396015E-3</v>
      </c>
      <c r="AN527" s="63">
        <f t="shared" si="1187"/>
        <v>-2.4610336341263331E-3</v>
      </c>
      <c r="AO527" s="63">
        <f t="shared" si="1187"/>
        <v>-1.0080645161290322E-3</v>
      </c>
      <c r="AP527" s="63">
        <f t="shared" si="1187"/>
        <v>1.1737089201877935E-3</v>
      </c>
      <c r="AQ527" s="63">
        <f t="shared" si="1187"/>
        <v>-4.3572984749455342E-3</v>
      </c>
      <c r="AR527" s="63">
        <f t="shared" si="1187"/>
        <v>0</v>
      </c>
      <c r="AS527" s="63">
        <f t="shared" si="1187"/>
        <v>4.7789725209080045E-3</v>
      </c>
      <c r="AT527" s="63">
        <f t="shared" si="1187"/>
        <v>-7.7777777777777776E-3</v>
      </c>
      <c r="AU527" s="63">
        <f t="shared" si="1187"/>
        <v>-1.9569471624266144E-3</v>
      </c>
      <c r="AV527" s="130">
        <f>+Assumptions!AV106</f>
        <v>0</v>
      </c>
      <c r="AW527" s="130">
        <f>+Assumptions!AW106</f>
        <v>0</v>
      </c>
      <c r="AX527" s="130">
        <f>+Assumptions!AX106</f>
        <v>0</v>
      </c>
      <c r="BK527" s="1356" t="s">
        <v>198</v>
      </c>
      <c r="BL527" s="1309"/>
      <c r="BM527" s="1309"/>
      <c r="BN527" s="1311">
        <f>BN513*0.8</f>
        <v>576</v>
      </c>
      <c r="BO527" s="1311">
        <f>BO513*0.8</f>
        <v>653.7600000000001</v>
      </c>
      <c r="BP527" s="1311">
        <f>BP513*0.8</f>
        <v>706.0608000000002</v>
      </c>
      <c r="BQ527" s="1311">
        <f t="shared" ref="BQ527:BS527" si="1192">BQ513*0.8</f>
        <v>723.71232000000009</v>
      </c>
      <c r="BR527" s="1311">
        <f t="shared" si="1192"/>
        <v>741.80512800000008</v>
      </c>
      <c r="BS527" s="1311">
        <f t="shared" si="1192"/>
        <v>760.35025619999999</v>
      </c>
      <c r="BT527" s="1116"/>
    </row>
    <row r="528" spans="2:72" ht="11.25" customHeight="1">
      <c r="C528" s="45" t="s">
        <v>351</v>
      </c>
      <c r="E528" s="91"/>
      <c r="F528" s="91"/>
      <c r="G528" s="91"/>
      <c r="H528" s="91"/>
      <c r="I528" s="67">
        <f>I520/$E$513</f>
        <v>-0.2392857142857143</v>
      </c>
      <c r="J528" s="67">
        <f>J520/$F$513</f>
        <v>-8.11965811965812E-2</v>
      </c>
      <c r="K528" s="67">
        <f>K520/$G$513</f>
        <v>-9.6774193548387094E-2</v>
      </c>
      <c r="L528" s="67">
        <f>L520/$H$513</f>
        <v>-0.13043478260869565</v>
      </c>
      <c r="M528" s="67">
        <f>M520/$I$513</f>
        <v>0.15023474178403756</v>
      </c>
      <c r="N528" s="67">
        <f>N520/$J$513</f>
        <v>0.12093023255813953</v>
      </c>
      <c r="O528" s="67">
        <f>O520/$K$513</f>
        <v>-1.7857142857142856E-2</v>
      </c>
      <c r="P528" s="67">
        <f>P520/$L$513</f>
        <v>0.06</v>
      </c>
      <c r="Q528" s="67">
        <f>Q520/$M$513</f>
        <v>-0.1306122448979592</v>
      </c>
      <c r="R528" s="67">
        <f>R520/$N$513</f>
        <v>-0.11618257261410789</v>
      </c>
      <c r="S528" s="67">
        <f>S520/$O$513</f>
        <v>-1.3636363636363636E-2</v>
      </c>
      <c r="T528" s="67">
        <f>T520/$P$513</f>
        <v>6.6037735849056603E-2</v>
      </c>
      <c r="U528" s="67">
        <f t="shared" ref="U528:AC528" si="1193">U520/$P$513</f>
        <v>-4.7169811320754715E-3</v>
      </c>
      <c r="V528" s="67">
        <f t="shared" si="1193"/>
        <v>-9.433962264150943E-3</v>
      </c>
      <c r="W528" s="67">
        <f t="shared" si="1193"/>
        <v>-5.1886792452830191E-2</v>
      </c>
      <c r="X528" s="67">
        <f t="shared" si="1193"/>
        <v>-8.4905660377358486E-2</v>
      </c>
      <c r="Y528" s="67">
        <f t="shared" si="1193"/>
        <v>2.358490566037736E-2</v>
      </c>
      <c r="Z528" s="67">
        <f t="shared" si="1193"/>
        <v>5.6603773584905662E-2</v>
      </c>
      <c r="AA528" s="67">
        <f t="shared" si="1193"/>
        <v>7.5471698113207544E-2</v>
      </c>
      <c r="AB528" s="67">
        <f t="shared" si="1193"/>
        <v>0.14150943396226415</v>
      </c>
      <c r="AC528" s="67">
        <f t="shared" si="1193"/>
        <v>-1.8867924528301886E-2</v>
      </c>
      <c r="AD528" s="67">
        <f t="shared" ref="AD528:AF528" si="1194">AD520/$P$513</f>
        <v>8.9622641509433956E-2</v>
      </c>
      <c r="AE528" s="67">
        <f t="shared" si="1194"/>
        <v>0.13207547169811321</v>
      </c>
      <c r="AF528" s="67">
        <f t="shared" si="1194"/>
        <v>0.37264150943396224</v>
      </c>
      <c r="AG528" s="67">
        <f t="shared" ref="AG528" si="1195">AG520/$P$513</f>
        <v>0.42452830188679247</v>
      </c>
      <c r="AH528" s="125">
        <f t="shared" ref="AH528:AJ528" si="1196">SUM(AH525:AH527)</f>
        <v>0.13</v>
      </c>
      <c r="AI528" s="125">
        <f t="shared" si="1196"/>
        <v>0.12000000000000001</v>
      </c>
      <c r="AJ528" s="125">
        <f t="shared" si="1196"/>
        <v>0.02</v>
      </c>
      <c r="AK528" s="79"/>
      <c r="AL528" s="91"/>
      <c r="AM528" s="67">
        <f t="shared" si="1187"/>
        <v>-0.16334934797529169</v>
      </c>
      <c r="AN528" s="67">
        <f t="shared" si="1187"/>
        <v>-0.18621821164889255</v>
      </c>
      <c r="AO528" s="67">
        <f t="shared" si="1187"/>
        <v>-0.14112903225806453</v>
      </c>
      <c r="AP528" s="67">
        <f t="shared" si="1187"/>
        <v>7.746478873239436E-2</v>
      </c>
      <c r="AQ528" s="67">
        <f t="shared" si="1187"/>
        <v>-5.3376906318082791E-2</v>
      </c>
      <c r="AR528" s="67">
        <f t="shared" si="1187"/>
        <v>-3.6823935558112773E-2</v>
      </c>
      <c r="AS528" s="67">
        <f t="shared" si="1187"/>
        <v>7.5268817204301078E-2</v>
      </c>
      <c r="AT528" s="67">
        <f t="shared" si="1187"/>
        <v>0.13555555555555557</v>
      </c>
      <c r="AU528" s="67">
        <f t="shared" si="1187"/>
        <v>0.15440313111545986</v>
      </c>
      <c r="AV528" s="125">
        <f>SUM(AV525:AV527)</f>
        <v>1.4999999999999999E-2</v>
      </c>
      <c r="AW528" s="125">
        <f>SUM(AW525:AW527)</f>
        <v>1.4999999999999999E-2</v>
      </c>
      <c r="AX528" s="125">
        <f>SUM(AX525:AX527)</f>
        <v>1.4999999999999999E-2</v>
      </c>
      <c r="BK528" s="1356" t="s">
        <v>199</v>
      </c>
      <c r="BL528" s="1309"/>
      <c r="BM528" s="1309"/>
      <c r="BN528" s="1311">
        <f>BN513*0.2</f>
        <v>144</v>
      </c>
      <c r="BO528" s="1311">
        <f>BO513*0.2</f>
        <v>163.44000000000003</v>
      </c>
      <c r="BP528" s="1311">
        <f>BP513*0.2</f>
        <v>176.51520000000005</v>
      </c>
      <c r="BQ528" s="1311">
        <f t="shared" ref="BQ528:BS528" si="1197">BQ513*0.2</f>
        <v>180.92808000000002</v>
      </c>
      <c r="BR528" s="1311">
        <f t="shared" si="1197"/>
        <v>185.45128200000002</v>
      </c>
      <c r="BS528" s="1311">
        <f t="shared" si="1197"/>
        <v>190.08756405</v>
      </c>
      <c r="BT528" s="1116"/>
    </row>
    <row r="529" spans="3:72" ht="11.25" customHeight="1">
      <c r="C529" s="43"/>
      <c r="E529" s="29"/>
      <c r="F529" s="29"/>
      <c r="G529" s="29"/>
      <c r="H529" s="29"/>
      <c r="I529" s="29"/>
      <c r="J529" s="29"/>
      <c r="K529" s="29"/>
      <c r="L529" s="29"/>
      <c r="M529" s="29"/>
      <c r="N529" s="29"/>
      <c r="O529" s="29"/>
      <c r="P529" s="29"/>
      <c r="AK529" s="79"/>
      <c r="AL529" s="29"/>
      <c r="AM529" s="29"/>
      <c r="AN529" s="29"/>
      <c r="AO529" s="29"/>
      <c r="AP529" s="29"/>
      <c r="BK529" s="1346" t="s">
        <v>200</v>
      </c>
      <c r="BL529" s="1302"/>
      <c r="BM529" s="1302"/>
      <c r="BN529" s="1330">
        <f>SUM(BN514:BN515)</f>
        <v>126.00000000000001</v>
      </c>
      <c r="BO529" s="1330">
        <f>SUM(BO514:BO515)</f>
        <v>143.01000000000002</v>
      </c>
      <c r="BP529" s="1330">
        <f>SUM(BP514:BP515)</f>
        <v>150.16050000000001</v>
      </c>
      <c r="BQ529" s="1330">
        <f t="shared" ref="BQ529:BS529" si="1198">SUM(BQ514:BQ515)</f>
        <v>165.17655000000002</v>
      </c>
      <c r="BR529" s="1330">
        <f t="shared" si="1198"/>
        <v>181.69420500000004</v>
      </c>
      <c r="BS529" s="1330">
        <f t="shared" si="1198"/>
        <v>195.32127037500004</v>
      </c>
      <c r="BT529" s="1116"/>
    </row>
    <row r="530" spans="3:72" ht="11.25" customHeight="1">
      <c r="C530" s="36" t="s">
        <v>110</v>
      </c>
      <c r="E530" s="82">
        <v>86</v>
      </c>
      <c r="F530" s="82">
        <v>72</v>
      </c>
      <c r="G530" s="82">
        <v>79</v>
      </c>
      <c r="H530" s="82">
        <v>73</v>
      </c>
      <c r="I530" s="82">
        <v>52</v>
      </c>
      <c r="J530" s="82">
        <v>56</v>
      </c>
      <c r="K530" s="82">
        <v>68</v>
      </c>
      <c r="L530" s="82">
        <v>5</v>
      </c>
      <c r="M530" s="82">
        <v>43</v>
      </c>
      <c r="N530" s="82">
        <v>83</v>
      </c>
      <c r="O530" s="82">
        <v>84</v>
      </c>
      <c r="P530" s="82">
        <v>47</v>
      </c>
      <c r="Q530" s="82">
        <v>42</v>
      </c>
      <c r="R530" s="82">
        <v>51</v>
      </c>
      <c r="S530" s="82">
        <v>51</v>
      </c>
      <c r="T530" s="82">
        <v>50</v>
      </c>
      <c r="U530" s="82">
        <v>53</v>
      </c>
      <c r="V530" s="82">
        <v>46</v>
      </c>
      <c r="W530" s="82">
        <v>41</v>
      </c>
      <c r="X530" s="82">
        <v>40</v>
      </c>
      <c r="Y530" s="82">
        <v>45</v>
      </c>
      <c r="Z530" s="82">
        <v>37</v>
      </c>
      <c r="AA530" s="82">
        <v>32</v>
      </c>
      <c r="AB530" s="82">
        <v>28</v>
      </c>
      <c r="AC530" s="82">
        <v>24</v>
      </c>
      <c r="AD530" s="82">
        <v>37</v>
      </c>
      <c r="AE530" s="82">
        <v>21</v>
      </c>
      <c r="AF530" s="82">
        <v>49</v>
      </c>
      <c r="AG530" s="82">
        <v>65</v>
      </c>
      <c r="AH530" s="30">
        <f t="shared" ref="AH530:AJ530" si="1199">+AH539-SUM(AH535:AH538)</f>
        <v>73.834199999999996</v>
      </c>
      <c r="AI530" s="30">
        <f t="shared" si="1199"/>
        <v>75.600000000000009</v>
      </c>
      <c r="AJ530" s="30">
        <f t="shared" si="1199"/>
        <v>87.3018</v>
      </c>
      <c r="AK530" s="79"/>
      <c r="AL530" s="82">
        <v>474</v>
      </c>
      <c r="AM530" s="82">
        <v>292</v>
      </c>
      <c r="AN530" s="31">
        <f t="shared" ref="AN530:AU530" si="1200">SUMIF($E$6:$AK$6,AN$6,$E530:$AK530)</f>
        <v>310</v>
      </c>
      <c r="AO530" s="31">
        <f t="shared" si="1200"/>
        <v>181</v>
      </c>
      <c r="AP530" s="31">
        <f t="shared" si="1200"/>
        <v>257</v>
      </c>
      <c r="AQ530" s="31">
        <f t="shared" si="1200"/>
        <v>194</v>
      </c>
      <c r="AR530" s="31">
        <f t="shared" si="1200"/>
        <v>180</v>
      </c>
      <c r="AS530" s="31">
        <f t="shared" si="1200"/>
        <v>142</v>
      </c>
      <c r="AT530" s="31">
        <f t="shared" si="1200"/>
        <v>131</v>
      </c>
      <c r="AU530" s="31">
        <f t="shared" si="1200"/>
        <v>301.73600000000005</v>
      </c>
      <c r="AV530" s="30">
        <f>+AV539-SUM(AV535:AV538)</f>
        <v>335.29915999999997</v>
      </c>
      <c r="AW530" s="30">
        <f>+AW539-SUM(AW535:AW538)</f>
        <v>340.32864740000002</v>
      </c>
      <c r="AX530" s="30">
        <f>+AX539-SUM(AX535:AX538)</f>
        <v>357.77049057924995</v>
      </c>
      <c r="BK530" s="1345" t="s">
        <v>201</v>
      </c>
      <c r="BL530" s="1300"/>
      <c r="BM530" s="1300"/>
      <c r="BN530" s="1299">
        <f>BN516</f>
        <v>54</v>
      </c>
      <c r="BO530" s="1299">
        <f>BO516</f>
        <v>61.29</v>
      </c>
      <c r="BP530" s="1299">
        <f>BP516</f>
        <v>61.29</v>
      </c>
      <c r="BQ530" s="1299">
        <f t="shared" ref="BQ530:BS530" si="1201">BQ516</f>
        <v>61.29</v>
      </c>
      <c r="BR530" s="1299">
        <f t="shared" si="1201"/>
        <v>61.29</v>
      </c>
      <c r="BS530" s="1299">
        <f t="shared" si="1201"/>
        <v>61.29</v>
      </c>
      <c r="BT530" s="1116"/>
    </row>
    <row r="531" spans="3:72" ht="11.25" customHeight="1">
      <c r="C531" s="107" t="s">
        <v>358</v>
      </c>
      <c r="E531" s="90"/>
      <c r="F531" s="90"/>
      <c r="G531" s="90"/>
      <c r="H531" s="90"/>
      <c r="I531" s="94">
        <f t="shared" ref="I531:AC531" si="1202">IFERROR(I530/E530-1,"NA  ")</f>
        <v>-0.39534883720930236</v>
      </c>
      <c r="J531" s="94">
        <f t="shared" si="1202"/>
        <v>-0.22222222222222221</v>
      </c>
      <c r="K531" s="94">
        <f t="shared" si="1202"/>
        <v>-0.13924050632911389</v>
      </c>
      <c r="L531" s="94">
        <f t="shared" si="1202"/>
        <v>-0.93150684931506844</v>
      </c>
      <c r="M531" s="94">
        <f t="shared" si="1202"/>
        <v>-0.17307692307692313</v>
      </c>
      <c r="N531" s="94">
        <f t="shared" si="1202"/>
        <v>0.48214285714285721</v>
      </c>
      <c r="O531" s="94">
        <f t="shared" si="1202"/>
        <v>0.23529411764705888</v>
      </c>
      <c r="P531" s="94">
        <f t="shared" si="1202"/>
        <v>8.4</v>
      </c>
      <c r="Q531" s="94">
        <f t="shared" si="1202"/>
        <v>-2.3255813953488413E-2</v>
      </c>
      <c r="R531" s="94">
        <f t="shared" si="1202"/>
        <v>-0.38554216867469882</v>
      </c>
      <c r="S531" s="94">
        <f t="shared" si="1202"/>
        <v>-0.3928571428571429</v>
      </c>
      <c r="T531" s="94">
        <f t="shared" si="1202"/>
        <v>6.3829787234042534E-2</v>
      </c>
      <c r="U531" s="94">
        <f t="shared" si="1202"/>
        <v>0.26190476190476186</v>
      </c>
      <c r="V531" s="94">
        <f t="shared" si="1202"/>
        <v>-9.8039215686274495E-2</v>
      </c>
      <c r="W531" s="94">
        <f t="shared" si="1202"/>
        <v>-0.19607843137254899</v>
      </c>
      <c r="X531" s="94">
        <f t="shared" si="1202"/>
        <v>-0.19999999999999996</v>
      </c>
      <c r="Y531" s="94">
        <f t="shared" si="1202"/>
        <v>-0.15094339622641506</v>
      </c>
      <c r="Z531" s="94">
        <f t="shared" si="1202"/>
        <v>-0.19565217391304346</v>
      </c>
      <c r="AA531" s="94">
        <f t="shared" si="1202"/>
        <v>-0.21951219512195119</v>
      </c>
      <c r="AB531" s="94">
        <f t="shared" si="1202"/>
        <v>-0.30000000000000004</v>
      </c>
      <c r="AC531" s="94">
        <f t="shared" si="1202"/>
        <v>-0.46666666666666667</v>
      </c>
      <c r="AD531" s="94">
        <f t="shared" ref="AD531" si="1203">IFERROR(AD530/Z530-1,"NA  ")</f>
        <v>0</v>
      </c>
      <c r="AE531" s="94">
        <f t="shared" ref="AE531" si="1204">IFERROR(AE530/AA530-1,"NA  ")</f>
        <v>-0.34375</v>
      </c>
      <c r="AF531" s="94">
        <f t="shared" ref="AF531:AG531" si="1205">IFERROR(AF530/AB530-1,"NA  ")</f>
        <v>0.75</v>
      </c>
      <c r="AG531" s="94">
        <f t="shared" si="1205"/>
        <v>1.7083333333333335</v>
      </c>
      <c r="AH531" s="94">
        <f t="shared" ref="AH531" si="1206">IFERROR(AH530/AD530-1,"NA  ")</f>
        <v>0.99551891891891886</v>
      </c>
      <c r="AI531" s="94">
        <f t="shared" ref="AI531" si="1207">IFERROR(AI530/AE530-1,"NA  ")</f>
        <v>2.6000000000000005</v>
      </c>
      <c r="AJ531" s="94">
        <f t="shared" ref="AJ531" si="1208">IFERROR(AJ530/AF530-1,"NA  ")</f>
        <v>0.78166938775510197</v>
      </c>
      <c r="AK531" s="79"/>
      <c r="AL531" s="47"/>
      <c r="AM531" s="94">
        <f t="shared" ref="AM531:AX531" si="1209">IFERROR(AM530/AL530-1,"NA  ")</f>
        <v>-0.38396624472573837</v>
      </c>
      <c r="AN531" s="94">
        <f t="shared" si="1209"/>
        <v>6.164383561643838E-2</v>
      </c>
      <c r="AO531" s="94">
        <f t="shared" si="1209"/>
        <v>-0.41612903225806452</v>
      </c>
      <c r="AP531" s="94">
        <f t="shared" si="1209"/>
        <v>0.41988950276243098</v>
      </c>
      <c r="AQ531" s="94">
        <f t="shared" si="1209"/>
        <v>-0.24513618677042803</v>
      </c>
      <c r="AR531" s="94">
        <f t="shared" si="1209"/>
        <v>-7.2164948453608213E-2</v>
      </c>
      <c r="AS531" s="94">
        <f t="shared" si="1209"/>
        <v>-0.21111111111111114</v>
      </c>
      <c r="AT531" s="94">
        <f t="shared" si="1209"/>
        <v>-7.7464788732394374E-2</v>
      </c>
      <c r="AU531" s="94">
        <f t="shared" si="1209"/>
        <v>1.3033282442748093</v>
      </c>
      <c r="AV531" s="94">
        <f t="shared" si="1209"/>
        <v>0.1112335286475592</v>
      </c>
      <c r="AW531" s="94">
        <f t="shared" si="1209"/>
        <v>1.5000000000000124E-2</v>
      </c>
      <c r="AX531" s="94">
        <f t="shared" si="1209"/>
        <v>5.1249999999999796E-2</v>
      </c>
      <c r="BK531" s="427"/>
      <c r="BN531" s="35">
        <f>SUM(BN527:BN530)</f>
        <v>900</v>
      </c>
      <c r="BO531" s="35">
        <f>SUM(BO527:BO530)</f>
        <v>1021.5000000000001</v>
      </c>
      <c r="BP531" s="35">
        <f>SUM(BP527:BP530)</f>
        <v>1094.0265000000002</v>
      </c>
      <c r="BQ531" s="35">
        <f t="shared" ref="BQ531:BS531" si="1210">SUM(BQ527:BQ530)</f>
        <v>1131.1069500000001</v>
      </c>
      <c r="BR531" s="35">
        <f t="shared" si="1210"/>
        <v>1170.2406150000002</v>
      </c>
      <c r="BS531" s="35">
        <f t="shared" si="1210"/>
        <v>1207.049090625</v>
      </c>
      <c r="BT531" s="1116"/>
    </row>
    <row r="532" spans="3:72" ht="11.25" customHeight="1">
      <c r="C532" s="107" t="s">
        <v>360</v>
      </c>
      <c r="E532" s="94">
        <f>E530/E513</f>
        <v>0.30714285714285716</v>
      </c>
      <c r="F532" s="94">
        <f t="shared" ref="F532:R532" si="1211">F530/F513</f>
        <v>0.30769230769230771</v>
      </c>
      <c r="G532" s="94">
        <f t="shared" si="1211"/>
        <v>0.31854838709677419</v>
      </c>
      <c r="H532" s="94">
        <f t="shared" si="1211"/>
        <v>0.31739130434782609</v>
      </c>
      <c r="I532" s="94">
        <f t="shared" si="1211"/>
        <v>0.24413145539906103</v>
      </c>
      <c r="J532" s="94">
        <f t="shared" si="1211"/>
        <v>0.26046511627906976</v>
      </c>
      <c r="K532" s="94">
        <f t="shared" si="1211"/>
        <v>0.30357142857142855</v>
      </c>
      <c r="L532" s="94">
        <f t="shared" si="1211"/>
        <v>2.5000000000000001E-2</v>
      </c>
      <c r="M532" s="94">
        <f t="shared" si="1211"/>
        <v>0.17551020408163265</v>
      </c>
      <c r="N532" s="94">
        <f t="shared" si="1211"/>
        <v>0.34439834024896265</v>
      </c>
      <c r="O532" s="94">
        <f t="shared" si="1211"/>
        <v>0.38181818181818183</v>
      </c>
      <c r="P532" s="94">
        <f t="shared" si="1211"/>
        <v>0.22169811320754718</v>
      </c>
      <c r="Q532" s="94">
        <f t="shared" si="1211"/>
        <v>0.19718309859154928</v>
      </c>
      <c r="R532" s="94">
        <f t="shared" si="1211"/>
        <v>0.23943661971830985</v>
      </c>
      <c r="S532" s="94">
        <f t="shared" ref="S532:X532" si="1212">S530/S513</f>
        <v>0.23502304147465439</v>
      </c>
      <c r="T532" s="94">
        <f t="shared" si="1212"/>
        <v>0.22123893805309736</v>
      </c>
      <c r="U532" s="94">
        <f t="shared" si="1212"/>
        <v>0.25</v>
      </c>
      <c r="V532" s="94">
        <f t="shared" si="1212"/>
        <v>0.21800947867298578</v>
      </c>
      <c r="W532" s="94">
        <f t="shared" si="1212"/>
        <v>0.19902912621359223</v>
      </c>
      <c r="X532" s="94">
        <f t="shared" si="1212"/>
        <v>0.19230769230769232</v>
      </c>
      <c r="Y532" s="94">
        <f t="shared" ref="Y532:AC532" si="1213">Y530/Y513</f>
        <v>0.20737327188940091</v>
      </c>
      <c r="Z532" s="94">
        <f t="shared" si="1213"/>
        <v>0.16591928251121077</v>
      </c>
      <c r="AA532" s="94">
        <f t="shared" si="1213"/>
        <v>0.14414414414414414</v>
      </c>
      <c r="AB532" s="94">
        <f t="shared" si="1213"/>
        <v>0.11764705882352941</v>
      </c>
      <c r="AC532" s="94">
        <f t="shared" si="1213"/>
        <v>0.11267605633802817</v>
      </c>
      <c r="AD532" s="94">
        <f t="shared" ref="AD532:AF532" si="1214">AD530/AD513</f>
        <v>0.15289256198347106</v>
      </c>
      <c r="AE532" s="94">
        <f t="shared" si="1214"/>
        <v>8.4000000000000005E-2</v>
      </c>
      <c r="AF532" s="94">
        <f t="shared" si="1214"/>
        <v>0.15457413249211358</v>
      </c>
      <c r="AG532" s="94">
        <f t="shared" ref="AG532" si="1215">AG530/AG513</f>
        <v>0.21452145214521451</v>
      </c>
      <c r="AH532" s="94">
        <f t="shared" ref="AH532:AJ532" si="1216">AH530/AH513</f>
        <v>0.27</v>
      </c>
      <c r="AI532" s="94">
        <f t="shared" si="1216"/>
        <v>0.27</v>
      </c>
      <c r="AJ532" s="94">
        <f t="shared" si="1216"/>
        <v>0.27</v>
      </c>
      <c r="AK532" s="79"/>
      <c r="AL532" s="94">
        <f t="shared" ref="AL532:AT532" si="1217">AL530/AL513</f>
        <v>0.32532601235415237</v>
      </c>
      <c r="AM532" s="94">
        <f t="shared" si="1217"/>
        <v>0.23954060705496308</v>
      </c>
      <c r="AN532" s="94">
        <f t="shared" si="1217"/>
        <v>0.3125</v>
      </c>
      <c r="AO532" s="94">
        <f t="shared" si="1217"/>
        <v>0.21244131455399062</v>
      </c>
      <c r="AP532" s="94">
        <f t="shared" si="1217"/>
        <v>0.27995642701525053</v>
      </c>
      <c r="AQ532" s="94">
        <f t="shared" si="1217"/>
        <v>0.22324510932105868</v>
      </c>
      <c r="AR532" s="94">
        <f t="shared" si="1217"/>
        <v>0.21505376344086022</v>
      </c>
      <c r="AS532" s="94">
        <f t="shared" si="1217"/>
        <v>0.15777777777777777</v>
      </c>
      <c r="AT532" s="94">
        <f t="shared" si="1217"/>
        <v>0.12818003913894324</v>
      </c>
      <c r="AU532" s="94">
        <f t="shared" ref="AU532" si="1218">AU530/AU513</f>
        <v>0.25575182234277</v>
      </c>
      <c r="AV532" s="94">
        <f t="shared" ref="AV532:AW532" si="1219">AV530/AV513</f>
        <v>0.28000000000000003</v>
      </c>
      <c r="AW532" s="94">
        <f t="shared" si="1219"/>
        <v>0.28000000000000003</v>
      </c>
      <c r="AX532" s="94">
        <f t="shared" ref="AX532" si="1220">AX530/AX513</f>
        <v>0.28999999999999998</v>
      </c>
      <c r="BK532" s="427"/>
      <c r="BT532" s="1116"/>
    </row>
    <row r="533" spans="3:72" ht="11.25" customHeight="1" outlineLevel="1">
      <c r="C533" s="36"/>
      <c r="E533" s="29"/>
      <c r="F533" s="29"/>
      <c r="G533" s="29"/>
      <c r="H533" s="29"/>
      <c r="I533" s="29"/>
      <c r="J533" s="29"/>
      <c r="K533" s="29"/>
      <c r="L533" s="29"/>
      <c r="M533" s="29"/>
      <c r="N533" s="29"/>
      <c r="O533" s="29"/>
      <c r="P533" s="29"/>
      <c r="AK533" s="79"/>
      <c r="AL533" s="29"/>
      <c r="AM533" s="29"/>
      <c r="AN533" s="33"/>
      <c r="AO533" s="33"/>
      <c r="AP533" s="33"/>
      <c r="BK533" s="13" t="s">
        <v>1669</v>
      </c>
      <c r="BL533" s="1304"/>
      <c r="BM533" s="13"/>
      <c r="BN533" s="1333">
        <v>2021</v>
      </c>
      <c r="BO533" s="1333">
        <v>2022</v>
      </c>
      <c r="BP533" s="1333">
        <f>BO533+1</f>
        <v>2023</v>
      </c>
      <c r="BQ533" s="1333">
        <f t="shared" ref="BQ533:BS533" si="1221">BP533+1</f>
        <v>2024</v>
      </c>
      <c r="BR533" s="1333">
        <f t="shared" si="1221"/>
        <v>2025</v>
      </c>
      <c r="BS533" s="1333">
        <f t="shared" si="1221"/>
        <v>2026</v>
      </c>
      <c r="BT533" s="1116"/>
    </row>
    <row r="534" spans="3:72" ht="11.25" customHeight="1" outlineLevel="1">
      <c r="C534" s="43" t="s">
        <v>97</v>
      </c>
      <c r="E534" s="29"/>
      <c r="F534" s="29"/>
      <c r="G534" s="29"/>
      <c r="H534" s="29"/>
      <c r="I534" s="29"/>
      <c r="J534" s="29"/>
      <c r="K534" s="29"/>
      <c r="L534" s="29"/>
      <c r="M534" s="29"/>
      <c r="N534" s="29"/>
      <c r="O534" s="29"/>
      <c r="P534" s="29"/>
      <c r="AK534" s="79"/>
      <c r="AL534" s="29"/>
      <c r="AM534" s="29"/>
      <c r="AN534" s="29"/>
      <c r="AO534" s="29"/>
      <c r="AP534" s="29"/>
      <c r="BK534" s="1356" t="s">
        <v>198</v>
      </c>
      <c r="BL534" s="1329"/>
      <c r="BM534" s="1329"/>
      <c r="BN534" s="1329">
        <f>AS582</f>
        <v>-1.6897081413210446E-2</v>
      </c>
      <c r="BO534" s="1329">
        <f>BO527/BN527-1</f>
        <v>0.13500000000000023</v>
      </c>
      <c r="BP534" s="1329">
        <f>BP527/BO527-1</f>
        <v>8.0000000000000071E-2</v>
      </c>
      <c r="BQ534" s="1329">
        <f t="shared" ref="BQ534:BS534" si="1222">BQ527/BP527-1</f>
        <v>2.4999999999999911E-2</v>
      </c>
      <c r="BR534" s="1329">
        <f t="shared" si="1222"/>
        <v>2.4999999999999911E-2</v>
      </c>
      <c r="BS534" s="1329">
        <f t="shared" si="1222"/>
        <v>2.4999999999999911E-2</v>
      </c>
      <c r="BT534" s="1116"/>
    </row>
    <row r="535" spans="3:72" ht="11.25" customHeight="1" outlineLevel="1">
      <c r="C535" s="43" t="s">
        <v>23</v>
      </c>
      <c r="E535" s="29">
        <v>0</v>
      </c>
      <c r="F535" s="29">
        <v>0</v>
      </c>
      <c r="G535" s="29">
        <v>0</v>
      </c>
      <c r="H535" s="29">
        <v>0</v>
      </c>
      <c r="I535" s="29">
        <v>0</v>
      </c>
      <c r="J535" s="29">
        <v>0</v>
      </c>
      <c r="K535" s="29">
        <v>0</v>
      </c>
      <c r="L535" s="29">
        <v>0</v>
      </c>
      <c r="M535" s="29">
        <v>0</v>
      </c>
      <c r="N535" s="29">
        <v>0</v>
      </c>
      <c r="O535" s="29">
        <v>0</v>
      </c>
      <c r="P535" s="29">
        <v>0</v>
      </c>
      <c r="Q535" s="29">
        <v>0</v>
      </c>
      <c r="R535" s="29">
        <v>0</v>
      </c>
      <c r="S535" s="29">
        <v>0</v>
      </c>
      <c r="T535" s="29">
        <v>0</v>
      </c>
      <c r="U535" s="29">
        <v>0</v>
      </c>
      <c r="V535" s="29">
        <v>0</v>
      </c>
      <c r="W535" s="29">
        <v>0</v>
      </c>
      <c r="X535" s="29">
        <v>0</v>
      </c>
      <c r="Y535" s="29">
        <v>0</v>
      </c>
      <c r="Z535" s="29">
        <v>0</v>
      </c>
      <c r="AA535" s="29">
        <v>0</v>
      </c>
      <c r="AB535" s="29">
        <v>0</v>
      </c>
      <c r="AC535" s="29">
        <v>0</v>
      </c>
      <c r="AD535" s="29">
        <v>0</v>
      </c>
      <c r="AE535" s="29">
        <v>0</v>
      </c>
      <c r="AF535" s="29">
        <v>0</v>
      </c>
      <c r="AG535" s="29">
        <v>6</v>
      </c>
      <c r="AH535" s="29">
        <v>0</v>
      </c>
      <c r="AI535" s="29">
        <v>0</v>
      </c>
      <c r="AJ535" s="29">
        <v>0</v>
      </c>
      <c r="AK535" s="79"/>
      <c r="AL535" s="29">
        <v>0</v>
      </c>
      <c r="AM535" s="29">
        <v>98</v>
      </c>
      <c r="AN535" s="33">
        <f t="shared" ref="AN535:AU538" si="1223">SUMIF($E$6:$AK$6,AN$6,$E535:$AK535)</f>
        <v>0</v>
      </c>
      <c r="AO535" s="33">
        <f t="shared" si="1223"/>
        <v>0</v>
      </c>
      <c r="AP535" s="33">
        <f t="shared" si="1223"/>
        <v>0</v>
      </c>
      <c r="AQ535" s="33">
        <f t="shared" si="1223"/>
        <v>0</v>
      </c>
      <c r="AR535" s="33">
        <f t="shared" si="1223"/>
        <v>0</v>
      </c>
      <c r="AS535" s="33">
        <f t="shared" si="1223"/>
        <v>0</v>
      </c>
      <c r="AT535" s="33">
        <f t="shared" si="1223"/>
        <v>0</v>
      </c>
      <c r="AU535" s="33">
        <f t="shared" si="1223"/>
        <v>6</v>
      </c>
      <c r="AV535" s="29">
        <v>0</v>
      </c>
      <c r="AW535" s="29">
        <v>0</v>
      </c>
      <c r="AX535" s="29">
        <v>0</v>
      </c>
      <c r="BK535" s="1356" t="s">
        <v>199</v>
      </c>
      <c r="BL535" s="1329"/>
      <c r="BM535" s="1329"/>
      <c r="BN535" s="1329">
        <f>AS583</f>
        <v>7.5268817204301008E-2</v>
      </c>
      <c r="BO535" s="1329">
        <f t="shared" ref="BO535:BP535" si="1224">BO528/BN528-1</f>
        <v>0.13500000000000023</v>
      </c>
      <c r="BP535" s="1329">
        <f t="shared" si="1224"/>
        <v>8.0000000000000071E-2</v>
      </c>
      <c r="BQ535" s="1329">
        <f t="shared" ref="BQ535:BS535" si="1225">BQ528/BP528-1</f>
        <v>2.4999999999999911E-2</v>
      </c>
      <c r="BR535" s="1329">
        <f t="shared" si="1225"/>
        <v>2.4999999999999911E-2</v>
      </c>
      <c r="BS535" s="1329">
        <f t="shared" si="1225"/>
        <v>2.4999999999999911E-2</v>
      </c>
      <c r="BT535" s="1116"/>
    </row>
    <row r="536" spans="3:72" ht="11.25" customHeight="1" outlineLevel="1">
      <c r="C536" s="43" t="s">
        <v>71</v>
      </c>
      <c r="E536" s="29">
        <v>0</v>
      </c>
      <c r="F536" s="29">
        <v>0</v>
      </c>
      <c r="G536" s="29">
        <v>0</v>
      </c>
      <c r="H536" s="29">
        <v>0</v>
      </c>
      <c r="I536" s="29">
        <v>0</v>
      </c>
      <c r="J536" s="29">
        <v>0</v>
      </c>
      <c r="K536" s="29">
        <v>0</v>
      </c>
      <c r="L536" s="29">
        <v>0</v>
      </c>
      <c r="M536" s="29">
        <v>0</v>
      </c>
      <c r="N536" s="29">
        <v>0</v>
      </c>
      <c r="O536" s="29">
        <v>0</v>
      </c>
      <c r="P536" s="29">
        <v>0</v>
      </c>
      <c r="Q536" s="29">
        <v>0</v>
      </c>
      <c r="R536" s="29">
        <v>0</v>
      </c>
      <c r="S536" s="29">
        <v>0</v>
      </c>
      <c r="T536" s="29">
        <v>0</v>
      </c>
      <c r="U536" s="29">
        <v>0</v>
      </c>
      <c r="V536" s="29">
        <v>0</v>
      </c>
      <c r="W536" s="29">
        <v>0</v>
      </c>
      <c r="X536" s="29">
        <v>0</v>
      </c>
      <c r="Y536" s="29">
        <v>0</v>
      </c>
      <c r="Z536" s="29">
        <v>0</v>
      </c>
      <c r="AA536" s="29">
        <v>0</v>
      </c>
      <c r="AB536" s="29">
        <v>0</v>
      </c>
      <c r="AC536" s="29">
        <v>0</v>
      </c>
      <c r="AD536" s="29">
        <v>0</v>
      </c>
      <c r="AE536" s="29">
        <v>0</v>
      </c>
      <c r="AF536" s="29">
        <v>9</v>
      </c>
      <c r="AG536" s="29">
        <v>0</v>
      </c>
      <c r="AH536" s="29">
        <v>0</v>
      </c>
      <c r="AI536" s="29">
        <v>0</v>
      </c>
      <c r="AJ536" s="29">
        <v>0</v>
      </c>
      <c r="AK536" s="79"/>
      <c r="AL536" s="29">
        <v>0</v>
      </c>
      <c r="AM536" s="29">
        <v>0</v>
      </c>
      <c r="AN536" s="33">
        <f t="shared" si="1223"/>
        <v>0</v>
      </c>
      <c r="AO536" s="33">
        <f t="shared" si="1223"/>
        <v>0</v>
      </c>
      <c r="AP536" s="33">
        <f t="shared" si="1223"/>
        <v>0</v>
      </c>
      <c r="AQ536" s="33">
        <f t="shared" si="1223"/>
        <v>0</v>
      </c>
      <c r="AR536" s="33">
        <f t="shared" si="1223"/>
        <v>0</v>
      </c>
      <c r="AS536" s="33">
        <f t="shared" si="1223"/>
        <v>0</v>
      </c>
      <c r="AT536" s="33">
        <f t="shared" si="1223"/>
        <v>9</v>
      </c>
      <c r="AU536" s="33">
        <f t="shared" si="1223"/>
        <v>0</v>
      </c>
      <c r="AV536" s="29">
        <v>0</v>
      </c>
      <c r="AW536" s="29">
        <v>0</v>
      </c>
      <c r="AX536" s="29">
        <v>0</v>
      </c>
      <c r="BK536" s="1346" t="s">
        <v>200</v>
      </c>
      <c r="BL536" s="1305"/>
      <c r="BM536" s="1305"/>
      <c r="BN536" s="1305">
        <f>AS584</f>
        <v>0.67264038231780199</v>
      </c>
      <c r="BO536" s="1305">
        <f t="shared" ref="BO536:BP536" si="1226">BO529/BN529-1</f>
        <v>0.13500000000000001</v>
      </c>
      <c r="BP536" s="1305">
        <f t="shared" si="1226"/>
        <v>5.0000000000000044E-2</v>
      </c>
      <c r="BQ536" s="1305">
        <f t="shared" ref="BQ536:BS536" si="1227">BQ529/BP529-1</f>
        <v>0.10000000000000009</v>
      </c>
      <c r="BR536" s="1305">
        <f t="shared" si="1227"/>
        <v>0.10000000000000009</v>
      </c>
      <c r="BS536" s="1305">
        <f t="shared" si="1227"/>
        <v>7.4999999999999956E-2</v>
      </c>
      <c r="BT536" s="1116"/>
    </row>
    <row r="537" spans="3:72" ht="11.25" customHeight="1" outlineLevel="1">
      <c r="C537" s="43" t="s">
        <v>1130</v>
      </c>
      <c r="E537" s="29">
        <v>0</v>
      </c>
      <c r="F537" s="29">
        <v>0</v>
      </c>
      <c r="G537" s="29">
        <v>0</v>
      </c>
      <c r="H537" s="29">
        <v>0</v>
      </c>
      <c r="I537" s="29">
        <v>0</v>
      </c>
      <c r="J537" s="29">
        <v>0</v>
      </c>
      <c r="K537" s="29">
        <v>0</v>
      </c>
      <c r="L537" s="29">
        <v>0</v>
      </c>
      <c r="M537" s="29">
        <v>0</v>
      </c>
      <c r="N537" s="29">
        <v>0</v>
      </c>
      <c r="O537" s="29">
        <v>0</v>
      </c>
      <c r="P537" s="29">
        <v>0</v>
      </c>
      <c r="Q537" s="29">
        <v>0</v>
      </c>
      <c r="R537" s="29">
        <v>0</v>
      </c>
      <c r="S537" s="29">
        <v>0</v>
      </c>
      <c r="T537" s="29">
        <v>0</v>
      </c>
      <c r="U537" s="29">
        <v>0</v>
      </c>
      <c r="V537" s="29">
        <v>0</v>
      </c>
      <c r="W537" s="29">
        <v>0</v>
      </c>
      <c r="X537" s="29">
        <v>0</v>
      </c>
      <c r="Y537" s="29">
        <v>0</v>
      </c>
      <c r="Z537" s="29">
        <v>0</v>
      </c>
      <c r="AA537" s="29">
        <v>0</v>
      </c>
      <c r="AB537" s="29">
        <v>0</v>
      </c>
      <c r="AC537" s="29">
        <v>0</v>
      </c>
      <c r="AD537" s="29">
        <v>0</v>
      </c>
      <c r="AE537" s="29">
        <v>0</v>
      </c>
      <c r="AF537" s="29">
        <v>0</v>
      </c>
      <c r="AG537" s="29">
        <v>23</v>
      </c>
      <c r="AH537" s="29">
        <v>0</v>
      </c>
      <c r="AI537" s="29">
        <v>0</v>
      </c>
      <c r="AJ537" s="29">
        <v>0</v>
      </c>
      <c r="AK537" s="79"/>
      <c r="AL537" s="29">
        <v>0</v>
      </c>
      <c r="AM537" s="29">
        <v>0</v>
      </c>
      <c r="AN537" s="33">
        <f t="shared" si="1223"/>
        <v>0</v>
      </c>
      <c r="AO537" s="33">
        <f t="shared" si="1223"/>
        <v>0</v>
      </c>
      <c r="AP537" s="33">
        <f t="shared" si="1223"/>
        <v>0</v>
      </c>
      <c r="AQ537" s="33">
        <f t="shared" si="1223"/>
        <v>0</v>
      </c>
      <c r="AR537" s="33">
        <f t="shared" si="1223"/>
        <v>0</v>
      </c>
      <c r="AS537" s="33">
        <f t="shared" si="1223"/>
        <v>0</v>
      </c>
      <c r="AT537" s="33">
        <f t="shared" si="1223"/>
        <v>0</v>
      </c>
      <c r="AU537" s="33">
        <f t="shared" si="1223"/>
        <v>23</v>
      </c>
      <c r="AV537" s="29">
        <v>0</v>
      </c>
      <c r="AW537" s="29">
        <v>0</v>
      </c>
      <c r="AX537" s="29">
        <v>0</v>
      </c>
      <c r="BK537" s="1346"/>
      <c r="BL537" s="1305"/>
      <c r="BM537" s="1305"/>
      <c r="BN537" s="1305"/>
      <c r="BO537" s="1305"/>
      <c r="BP537" s="1305"/>
      <c r="BQ537" s="1305"/>
      <c r="BR537" s="1305"/>
      <c r="BS537" s="1305"/>
      <c r="BT537" s="1116"/>
    </row>
    <row r="538" spans="3:72" ht="11.25" customHeight="1" outlineLevel="1">
      <c r="C538" s="43" t="s">
        <v>111</v>
      </c>
      <c r="E538" s="29">
        <v>0</v>
      </c>
      <c r="F538" s="29">
        <v>0</v>
      </c>
      <c r="G538" s="29">
        <v>0</v>
      </c>
      <c r="H538" s="29">
        <v>0</v>
      </c>
      <c r="I538" s="29">
        <v>0</v>
      </c>
      <c r="J538" s="29">
        <v>0</v>
      </c>
      <c r="K538" s="29">
        <v>0</v>
      </c>
      <c r="L538" s="29">
        <v>49</v>
      </c>
      <c r="M538" s="29">
        <v>13</v>
      </c>
      <c r="N538" s="29">
        <v>-25</v>
      </c>
      <c r="O538" s="29">
        <v>-27</v>
      </c>
      <c r="P538" s="29">
        <v>1</v>
      </c>
      <c r="Q538" s="29">
        <v>0</v>
      </c>
      <c r="R538" s="29">
        <v>0</v>
      </c>
      <c r="S538" s="29">
        <v>0</v>
      </c>
      <c r="T538" s="29">
        <v>0</v>
      </c>
      <c r="U538" s="29">
        <v>0</v>
      </c>
      <c r="V538" s="29">
        <v>0</v>
      </c>
      <c r="W538" s="29">
        <v>0</v>
      </c>
      <c r="X538" s="29">
        <v>0</v>
      </c>
      <c r="Y538" s="29">
        <v>0</v>
      </c>
      <c r="Z538" s="29">
        <v>0</v>
      </c>
      <c r="AA538" s="29">
        <v>0</v>
      </c>
      <c r="AB538" s="29">
        <v>0</v>
      </c>
      <c r="AC538" s="29">
        <v>0</v>
      </c>
      <c r="AD538" s="29">
        <v>0</v>
      </c>
      <c r="AE538" s="29">
        <v>0</v>
      </c>
      <c r="AF538" s="29">
        <v>0</v>
      </c>
      <c r="AG538" s="29">
        <v>0</v>
      </c>
      <c r="AH538" s="29">
        <v>0</v>
      </c>
      <c r="AI538" s="29">
        <v>0</v>
      </c>
      <c r="AJ538" s="29">
        <v>0</v>
      </c>
      <c r="AK538" s="79"/>
      <c r="AL538" s="29">
        <v>0</v>
      </c>
      <c r="AM538" s="29">
        <v>0</v>
      </c>
      <c r="AN538" s="33">
        <f t="shared" si="1223"/>
        <v>0</v>
      </c>
      <c r="AO538" s="33">
        <f t="shared" si="1223"/>
        <v>49</v>
      </c>
      <c r="AP538" s="33">
        <f t="shared" si="1223"/>
        <v>-38</v>
      </c>
      <c r="AQ538" s="33">
        <f t="shared" si="1223"/>
        <v>0</v>
      </c>
      <c r="AR538" s="33">
        <f t="shared" si="1223"/>
        <v>0</v>
      </c>
      <c r="AS538" s="33">
        <f t="shared" si="1223"/>
        <v>0</v>
      </c>
      <c r="AT538" s="33">
        <f t="shared" si="1223"/>
        <v>0</v>
      </c>
      <c r="AU538" s="33">
        <f t="shared" si="1223"/>
        <v>0</v>
      </c>
      <c r="AV538" s="29">
        <v>0</v>
      </c>
      <c r="AW538" s="29">
        <v>0</v>
      </c>
      <c r="AX538" s="29">
        <v>0</v>
      </c>
      <c r="BK538" s="1345" t="s">
        <v>201</v>
      </c>
      <c r="BL538" s="1326"/>
      <c r="BM538" s="1326"/>
      <c r="BN538" s="1326">
        <f>AS585</f>
        <v>0.29032258064516125</v>
      </c>
      <c r="BO538" s="1326">
        <f t="shared" ref="BO538:BP538" si="1228">BO530/BN530-1</f>
        <v>0.13500000000000001</v>
      </c>
      <c r="BP538" s="1326">
        <f t="shared" si="1228"/>
        <v>0</v>
      </c>
      <c r="BQ538" s="1326">
        <f t="shared" ref="BQ538:BS538" si="1229">BQ530/BP530-1</f>
        <v>0</v>
      </c>
      <c r="BR538" s="1326">
        <f t="shared" si="1229"/>
        <v>0</v>
      </c>
      <c r="BS538" s="1326">
        <f t="shared" si="1229"/>
        <v>0</v>
      </c>
      <c r="BT538" s="1116"/>
    </row>
    <row r="539" spans="3:72" ht="11.25" customHeight="1">
      <c r="C539" s="45" t="s">
        <v>356</v>
      </c>
      <c r="E539" s="32">
        <f t="shared" ref="E539:K539" si="1230">+E530+SUM(E535:E538)</f>
        <v>86</v>
      </c>
      <c r="F539" s="32">
        <f t="shared" si="1230"/>
        <v>72</v>
      </c>
      <c r="G539" s="32">
        <f t="shared" si="1230"/>
        <v>79</v>
      </c>
      <c r="H539" s="32">
        <f t="shared" si="1230"/>
        <v>73</v>
      </c>
      <c r="I539" s="32">
        <f t="shared" si="1230"/>
        <v>52</v>
      </c>
      <c r="J539" s="32">
        <f t="shared" si="1230"/>
        <v>56</v>
      </c>
      <c r="K539" s="32">
        <f t="shared" si="1230"/>
        <v>68</v>
      </c>
      <c r="L539" s="32">
        <f t="shared" ref="L539:S539" si="1231">+L530+SUM(L535:L538)</f>
        <v>54</v>
      </c>
      <c r="M539" s="32">
        <f t="shared" si="1231"/>
        <v>56</v>
      </c>
      <c r="N539" s="32">
        <f t="shared" si="1231"/>
        <v>58</v>
      </c>
      <c r="O539" s="32">
        <f t="shared" si="1231"/>
        <v>57</v>
      </c>
      <c r="P539" s="32">
        <f t="shared" si="1231"/>
        <v>48</v>
      </c>
      <c r="Q539" s="32">
        <f t="shared" si="1231"/>
        <v>42</v>
      </c>
      <c r="R539" s="32">
        <f t="shared" si="1231"/>
        <v>51</v>
      </c>
      <c r="S539" s="32">
        <f t="shared" si="1231"/>
        <v>51</v>
      </c>
      <c r="T539" s="32">
        <f t="shared" ref="T539:AC539" si="1232">+T530+SUM(T535:T538)</f>
        <v>50</v>
      </c>
      <c r="U539" s="32">
        <f t="shared" si="1232"/>
        <v>53</v>
      </c>
      <c r="V539" s="32">
        <f t="shared" si="1232"/>
        <v>46</v>
      </c>
      <c r="W539" s="32">
        <f t="shared" si="1232"/>
        <v>41</v>
      </c>
      <c r="X539" s="32">
        <f t="shared" si="1232"/>
        <v>40</v>
      </c>
      <c r="Y539" s="32">
        <f t="shared" si="1232"/>
        <v>45</v>
      </c>
      <c r="Z539" s="32">
        <f t="shared" si="1232"/>
        <v>37</v>
      </c>
      <c r="AA539" s="32">
        <f t="shared" si="1232"/>
        <v>32</v>
      </c>
      <c r="AB539" s="32">
        <f t="shared" si="1232"/>
        <v>28</v>
      </c>
      <c r="AC539" s="32">
        <f t="shared" si="1232"/>
        <v>24</v>
      </c>
      <c r="AD539" s="32">
        <f t="shared" ref="AD539:AF539" si="1233">+AD530+SUM(AD535:AD538)</f>
        <v>37</v>
      </c>
      <c r="AE539" s="32">
        <f t="shared" si="1233"/>
        <v>21</v>
      </c>
      <c r="AF539" s="32">
        <f t="shared" si="1233"/>
        <v>58</v>
      </c>
      <c r="AG539" s="32">
        <f t="shared" ref="AG539" si="1234">+AG530+SUM(AG535:AG538)</f>
        <v>94</v>
      </c>
      <c r="AH539" s="35">
        <f t="shared" ref="AH539:AJ539" si="1235">+AH541*AH513</f>
        <v>73.834199999999996</v>
      </c>
      <c r="AI539" s="35">
        <f t="shared" si="1235"/>
        <v>75.600000000000009</v>
      </c>
      <c r="AJ539" s="35">
        <f t="shared" si="1235"/>
        <v>87.3018</v>
      </c>
      <c r="AK539" s="79"/>
      <c r="AL539" s="32">
        <f t="shared" ref="AL539:AR539" si="1236">+AL530+SUM(AL535:AL538)</f>
        <v>474</v>
      </c>
      <c r="AM539" s="32">
        <f t="shared" si="1236"/>
        <v>390</v>
      </c>
      <c r="AN539" s="32">
        <f t="shared" si="1236"/>
        <v>310</v>
      </c>
      <c r="AO539" s="32">
        <f t="shared" si="1236"/>
        <v>230</v>
      </c>
      <c r="AP539" s="32">
        <f t="shared" si="1236"/>
        <v>219</v>
      </c>
      <c r="AQ539" s="32">
        <f t="shared" si="1236"/>
        <v>194</v>
      </c>
      <c r="AR539" s="32">
        <f t="shared" si="1236"/>
        <v>180</v>
      </c>
      <c r="AS539" s="32">
        <f>+AS530+SUM(AS535:AS538)</f>
        <v>142</v>
      </c>
      <c r="AT539" s="32">
        <f>+AT530+SUM(AT535:AT538)</f>
        <v>140</v>
      </c>
      <c r="AU539" s="32">
        <f>+AU530+SUM(AU535:AU538)</f>
        <v>330.73600000000005</v>
      </c>
      <c r="AV539" s="35">
        <f>+AV541*AV513</f>
        <v>335.29915999999997</v>
      </c>
      <c r="AW539" s="35">
        <f>+AW541*AW513</f>
        <v>340.32864740000002</v>
      </c>
      <c r="AX539" s="35">
        <f>+AX541*AX513</f>
        <v>357.77049057924995</v>
      </c>
      <c r="BL539" s="27"/>
      <c r="BM539" s="27"/>
      <c r="BN539" s="67">
        <f>AS586</f>
        <v>7.5268817204301008E-2</v>
      </c>
      <c r="BO539" s="67">
        <f t="shared" ref="BO539:BP539" si="1237">BO531/BN531-1</f>
        <v>0.13500000000000023</v>
      </c>
      <c r="BP539" s="67">
        <f t="shared" si="1237"/>
        <v>7.0999999999999952E-2</v>
      </c>
      <c r="BQ539" s="67">
        <f t="shared" ref="BQ539:BS539" si="1238">BQ531/BP531-1</f>
        <v>3.3893557422969067E-2</v>
      </c>
      <c r="BR539" s="67">
        <f t="shared" si="1238"/>
        <v>3.4597670008127857E-2</v>
      </c>
      <c r="BS539" s="67">
        <f t="shared" si="1238"/>
        <v>3.1453766988765564E-2</v>
      </c>
      <c r="BT539" s="1116"/>
    </row>
    <row r="540" spans="3:72" ht="11.25" customHeight="1">
      <c r="C540" s="93" t="s">
        <v>358</v>
      </c>
      <c r="E540" s="124"/>
      <c r="F540" s="124"/>
      <c r="G540" s="124"/>
      <c r="H540" s="124"/>
      <c r="I540" s="94">
        <f t="shared" ref="I540:AC540" si="1239">IFERROR(I539/E539-1,"NA  ")</f>
        <v>-0.39534883720930236</v>
      </c>
      <c r="J540" s="94">
        <f t="shared" si="1239"/>
        <v>-0.22222222222222221</v>
      </c>
      <c r="K540" s="94">
        <f t="shared" si="1239"/>
        <v>-0.13924050632911389</v>
      </c>
      <c r="L540" s="94">
        <f t="shared" si="1239"/>
        <v>-0.26027397260273977</v>
      </c>
      <c r="M540" s="94">
        <f t="shared" si="1239"/>
        <v>7.6923076923076872E-2</v>
      </c>
      <c r="N540" s="94">
        <f t="shared" si="1239"/>
        <v>3.5714285714285809E-2</v>
      </c>
      <c r="O540" s="94">
        <f t="shared" si="1239"/>
        <v>-0.16176470588235292</v>
      </c>
      <c r="P540" s="94">
        <f t="shared" si="1239"/>
        <v>-0.11111111111111116</v>
      </c>
      <c r="Q540" s="94">
        <f t="shared" si="1239"/>
        <v>-0.25</v>
      </c>
      <c r="R540" s="94">
        <f t="shared" si="1239"/>
        <v>-0.12068965517241381</v>
      </c>
      <c r="S540" s="94">
        <f t="shared" si="1239"/>
        <v>-0.10526315789473684</v>
      </c>
      <c r="T540" s="94">
        <f t="shared" si="1239"/>
        <v>4.1666666666666741E-2</v>
      </c>
      <c r="U540" s="94">
        <f t="shared" si="1239"/>
        <v>0.26190476190476186</v>
      </c>
      <c r="V540" s="94">
        <f t="shared" si="1239"/>
        <v>-9.8039215686274495E-2</v>
      </c>
      <c r="W540" s="94">
        <f t="shared" si="1239"/>
        <v>-0.19607843137254899</v>
      </c>
      <c r="X540" s="94">
        <f t="shared" si="1239"/>
        <v>-0.19999999999999996</v>
      </c>
      <c r="Y540" s="94">
        <f t="shared" si="1239"/>
        <v>-0.15094339622641506</v>
      </c>
      <c r="Z540" s="94">
        <f t="shared" si="1239"/>
        <v>-0.19565217391304346</v>
      </c>
      <c r="AA540" s="94">
        <f t="shared" si="1239"/>
        <v>-0.21951219512195119</v>
      </c>
      <c r="AB540" s="94">
        <f t="shared" si="1239"/>
        <v>-0.30000000000000004</v>
      </c>
      <c r="AC540" s="94">
        <f t="shared" si="1239"/>
        <v>-0.46666666666666667</v>
      </c>
      <c r="AD540" s="94">
        <f t="shared" ref="AD540" si="1240">IFERROR(AD539/Z539-1,"NA  ")</f>
        <v>0</v>
      </c>
      <c r="AE540" s="94">
        <f t="shared" ref="AE540" si="1241">IFERROR(AE539/AA539-1,"NA  ")</f>
        <v>-0.34375</v>
      </c>
      <c r="AF540" s="94">
        <f t="shared" ref="AF540:AG540" si="1242">IFERROR(AF539/AB539-1,"NA  ")</f>
        <v>1.0714285714285716</v>
      </c>
      <c r="AG540" s="94">
        <f t="shared" si="1242"/>
        <v>2.9166666666666665</v>
      </c>
      <c r="AH540" s="94">
        <f t="shared" ref="AH540" si="1243">IFERROR(AH539/AD539-1,"NA  ")</f>
        <v>0.99551891891891886</v>
      </c>
      <c r="AI540" s="94">
        <f t="shared" ref="AI540" si="1244">IFERROR(AI539/AE539-1,"NA  ")</f>
        <v>2.6000000000000005</v>
      </c>
      <c r="AJ540" s="94">
        <f t="shared" ref="AJ540" si="1245">IFERROR(AJ539/AF539-1,"NA  ")</f>
        <v>0.50520344827586205</v>
      </c>
      <c r="AK540" s="79"/>
      <c r="AL540" s="124"/>
      <c r="AM540" s="94">
        <f t="shared" ref="AM540:AX540" si="1246">IFERROR(AM539/AL539-1,"NA  ")</f>
        <v>-0.17721518987341767</v>
      </c>
      <c r="AN540" s="94">
        <f t="shared" si="1246"/>
        <v>-0.20512820512820518</v>
      </c>
      <c r="AO540" s="94">
        <f t="shared" si="1246"/>
        <v>-0.25806451612903225</v>
      </c>
      <c r="AP540" s="94">
        <f t="shared" si="1246"/>
        <v>-4.7826086956521685E-2</v>
      </c>
      <c r="AQ540" s="94">
        <f t="shared" si="1246"/>
        <v>-0.11415525114155256</v>
      </c>
      <c r="AR540" s="94">
        <f t="shared" si="1246"/>
        <v>-7.2164948453608213E-2</v>
      </c>
      <c r="AS540" s="94">
        <f t="shared" si="1246"/>
        <v>-0.21111111111111114</v>
      </c>
      <c r="AT540" s="94">
        <f t="shared" si="1246"/>
        <v>-1.4084507042253502E-2</v>
      </c>
      <c r="AU540" s="94">
        <f t="shared" si="1246"/>
        <v>1.3624000000000005</v>
      </c>
      <c r="AV540" s="95">
        <f t="shared" si="1246"/>
        <v>1.3796986115814258E-2</v>
      </c>
      <c r="AW540" s="95">
        <f t="shared" si="1246"/>
        <v>1.5000000000000124E-2</v>
      </c>
      <c r="AX540" s="95">
        <f t="shared" si="1246"/>
        <v>5.1249999999999796E-2</v>
      </c>
      <c r="BP540" s="63">
        <f>AU514</f>
        <v>0.15440313111545989</v>
      </c>
      <c r="BQ540" s="63">
        <f t="shared" ref="BQ540:BS540" si="1247">AV514</f>
        <v>1.4999999999999902E-2</v>
      </c>
      <c r="BR540" s="63">
        <f t="shared" si="1247"/>
        <v>1.5000000000000124E-2</v>
      </c>
      <c r="BS540" s="63">
        <f t="shared" si="1247"/>
        <v>1.5000000000000124E-2</v>
      </c>
      <c r="BT540" s="1116"/>
    </row>
    <row r="541" spans="3:72" ht="11.25" customHeight="1">
      <c r="C541" s="93" t="s">
        <v>360</v>
      </c>
      <c r="E541" s="94">
        <f>E539/E513</f>
        <v>0.30714285714285716</v>
      </c>
      <c r="F541" s="94">
        <f t="shared" ref="F541:S541" si="1248">F539/F513</f>
        <v>0.30769230769230771</v>
      </c>
      <c r="G541" s="94">
        <f t="shared" si="1248"/>
        <v>0.31854838709677419</v>
      </c>
      <c r="H541" s="94">
        <f t="shared" si="1248"/>
        <v>0.31739130434782609</v>
      </c>
      <c r="I541" s="94">
        <f t="shared" si="1248"/>
        <v>0.24413145539906103</v>
      </c>
      <c r="J541" s="94">
        <f t="shared" si="1248"/>
        <v>0.26046511627906976</v>
      </c>
      <c r="K541" s="94">
        <f t="shared" si="1248"/>
        <v>0.30357142857142855</v>
      </c>
      <c r="L541" s="94">
        <f t="shared" si="1248"/>
        <v>0.27</v>
      </c>
      <c r="M541" s="94">
        <f t="shared" si="1248"/>
        <v>0.22857142857142856</v>
      </c>
      <c r="N541" s="94">
        <f t="shared" si="1248"/>
        <v>0.24066390041493776</v>
      </c>
      <c r="O541" s="94">
        <f t="shared" si="1248"/>
        <v>0.25909090909090909</v>
      </c>
      <c r="P541" s="94">
        <f t="shared" si="1248"/>
        <v>0.22641509433962265</v>
      </c>
      <c r="Q541" s="94">
        <f t="shared" si="1248"/>
        <v>0.19718309859154928</v>
      </c>
      <c r="R541" s="94">
        <f t="shared" si="1248"/>
        <v>0.23943661971830985</v>
      </c>
      <c r="S541" s="94">
        <f t="shared" si="1248"/>
        <v>0.23502304147465439</v>
      </c>
      <c r="T541" s="94">
        <f t="shared" ref="T541:AC541" si="1249">T539/T513</f>
        <v>0.22123893805309736</v>
      </c>
      <c r="U541" s="94">
        <f t="shared" si="1249"/>
        <v>0.25</v>
      </c>
      <c r="V541" s="94">
        <f t="shared" si="1249"/>
        <v>0.21800947867298578</v>
      </c>
      <c r="W541" s="94">
        <f t="shared" si="1249"/>
        <v>0.19902912621359223</v>
      </c>
      <c r="X541" s="94">
        <f t="shared" si="1249"/>
        <v>0.19230769230769232</v>
      </c>
      <c r="Y541" s="94">
        <f t="shared" si="1249"/>
        <v>0.20737327188940091</v>
      </c>
      <c r="Z541" s="94">
        <f t="shared" si="1249"/>
        <v>0.16591928251121077</v>
      </c>
      <c r="AA541" s="94">
        <f t="shared" si="1249"/>
        <v>0.14414414414414414</v>
      </c>
      <c r="AB541" s="94">
        <f t="shared" si="1249"/>
        <v>0.11764705882352941</v>
      </c>
      <c r="AC541" s="94">
        <f t="shared" si="1249"/>
        <v>0.11267605633802817</v>
      </c>
      <c r="AD541" s="94">
        <f t="shared" ref="AD541:AF541" si="1250">AD539/AD513</f>
        <v>0.15289256198347106</v>
      </c>
      <c r="AE541" s="94">
        <f t="shared" si="1250"/>
        <v>8.4000000000000005E-2</v>
      </c>
      <c r="AF541" s="94">
        <f t="shared" si="1250"/>
        <v>0.18296529968454259</v>
      </c>
      <c r="AG541" s="94">
        <f t="shared" ref="AG541" si="1251">AG539/AG513</f>
        <v>0.31023102310231021</v>
      </c>
      <c r="AH541" s="147">
        <f>+Assumptions!AH111</f>
        <v>0.27</v>
      </c>
      <c r="AI541" s="147">
        <f>+Assumptions!AI111</f>
        <v>0.27</v>
      </c>
      <c r="AJ541" s="147">
        <f>+Assumptions!AJ111</f>
        <v>0.27</v>
      </c>
      <c r="AK541" s="79"/>
      <c r="AL541" s="94">
        <f t="shared" ref="AL541:AT541" si="1252">AL539/AL513</f>
        <v>0.32532601235415237</v>
      </c>
      <c r="AM541" s="94">
        <f t="shared" si="1252"/>
        <v>0.31993437243642331</v>
      </c>
      <c r="AN541" s="94">
        <f t="shared" si="1252"/>
        <v>0.3125</v>
      </c>
      <c r="AO541" s="94">
        <f t="shared" si="1252"/>
        <v>0.2699530516431925</v>
      </c>
      <c r="AP541" s="94">
        <f t="shared" si="1252"/>
        <v>0.23856209150326799</v>
      </c>
      <c r="AQ541" s="94">
        <f t="shared" si="1252"/>
        <v>0.22324510932105868</v>
      </c>
      <c r="AR541" s="94">
        <f t="shared" si="1252"/>
        <v>0.21505376344086022</v>
      </c>
      <c r="AS541" s="94">
        <f t="shared" si="1252"/>
        <v>0.15777777777777777</v>
      </c>
      <c r="AT541" s="94">
        <f t="shared" si="1252"/>
        <v>0.13698630136986301</v>
      </c>
      <c r="AU541" s="94">
        <f t="shared" ref="AU541" si="1253">AU539/AU513</f>
        <v>0.28033225970503478</v>
      </c>
      <c r="AV541" s="147">
        <f>+Assumptions!AV111</f>
        <v>0.28000000000000003</v>
      </c>
      <c r="AW541" s="147">
        <f>+Assumptions!AW111</f>
        <v>0.28000000000000003</v>
      </c>
      <c r="AX541" s="147">
        <f>+Assumptions!AX111</f>
        <v>0.28999999999999998</v>
      </c>
      <c r="BK541" s="1354" t="s">
        <v>1665</v>
      </c>
      <c r="BL541" s="1338"/>
      <c r="BM541" s="1338"/>
      <c r="BN541" s="1338">
        <v>2021</v>
      </c>
      <c r="BO541" s="1338">
        <v>2022</v>
      </c>
      <c r="BP541" s="1338">
        <f>BO541+1</f>
        <v>2023</v>
      </c>
      <c r="BQ541" s="1338">
        <f t="shared" ref="BQ541:BS541" si="1254">BP541+1</f>
        <v>2024</v>
      </c>
      <c r="BR541" s="1338">
        <f t="shared" si="1254"/>
        <v>2025</v>
      </c>
      <c r="BS541" s="1338">
        <f t="shared" si="1254"/>
        <v>2026</v>
      </c>
      <c r="BT541" s="1116"/>
    </row>
    <row r="542" spans="3:72" ht="11.25" customHeight="1" outlineLevel="2">
      <c r="C542" s="93" t="s">
        <v>396</v>
      </c>
      <c r="E542" s="47"/>
      <c r="F542" s="47"/>
      <c r="G542" s="47"/>
      <c r="H542" s="47"/>
      <c r="I542" s="436">
        <f t="shared" ref="I542:AC542" si="1255">IFERROR((I541-E541)*10000,"NA  ")</f>
        <v>-630.11401743796125</v>
      </c>
      <c r="J542" s="436">
        <f t="shared" si="1255"/>
        <v>-472.27191413237944</v>
      </c>
      <c r="K542" s="436">
        <f t="shared" si="1255"/>
        <v>-149.7695852534564</v>
      </c>
      <c r="L542" s="436">
        <f t="shared" si="1255"/>
        <v>-473.9130434782607</v>
      </c>
      <c r="M542" s="436">
        <f t="shared" si="1255"/>
        <v>-155.60026827632467</v>
      </c>
      <c r="N542" s="436">
        <f t="shared" si="1255"/>
        <v>-198.01215864131999</v>
      </c>
      <c r="O542" s="436">
        <f t="shared" si="1255"/>
        <v>-444.80519480519456</v>
      </c>
      <c r="P542" s="436">
        <f t="shared" si="1255"/>
        <v>-435.8490566037737</v>
      </c>
      <c r="Q542" s="436">
        <f t="shared" si="1255"/>
        <v>-313.88329979879279</v>
      </c>
      <c r="R542" s="436">
        <f t="shared" si="1255"/>
        <v>-12.272806966279193</v>
      </c>
      <c r="S542" s="436">
        <f t="shared" si="1255"/>
        <v>-240.67867616254708</v>
      </c>
      <c r="T542" s="436">
        <f t="shared" si="1255"/>
        <v>-51.761562865252905</v>
      </c>
      <c r="U542" s="436">
        <f t="shared" si="1255"/>
        <v>528.16901408450713</v>
      </c>
      <c r="V542" s="436">
        <f t="shared" si="1255"/>
        <v>-214.27141045324061</v>
      </c>
      <c r="W542" s="436">
        <f t="shared" si="1255"/>
        <v>-359.93915261062159</v>
      </c>
      <c r="X542" s="436">
        <f t="shared" si="1255"/>
        <v>-289.31245745405039</v>
      </c>
      <c r="Y542" s="436">
        <f t="shared" si="1255"/>
        <v>-426.26728110599089</v>
      </c>
      <c r="Z542" s="436">
        <f t="shared" si="1255"/>
        <v>-520.9019616177502</v>
      </c>
      <c r="AA542" s="436">
        <f t="shared" si="1255"/>
        <v>-548.84982069448085</v>
      </c>
      <c r="AB542" s="436">
        <f t="shared" si="1255"/>
        <v>-746.60633484162906</v>
      </c>
      <c r="AC542" s="436">
        <f t="shared" si="1255"/>
        <v>-946.97215551372744</v>
      </c>
      <c r="AD542" s="436">
        <f t="shared" ref="AD542" si="1256">IFERROR((AD541-Z541)*10000,"NA  ")</f>
        <v>-130.26720527739704</v>
      </c>
      <c r="AE542" s="436">
        <f t="shared" ref="AE542" si="1257">IFERROR((AE541-AA541)*10000,"NA  ")</f>
        <v>-601.44144144144138</v>
      </c>
      <c r="AF542" s="436">
        <f t="shared" ref="AF542:AG542" si="1258">IFERROR((AF541-AB541)*10000,"NA  ")</f>
        <v>653.1824086101318</v>
      </c>
      <c r="AG542" s="436">
        <f t="shared" si="1258"/>
        <v>1975.5496676428202</v>
      </c>
      <c r="AH542" s="436">
        <f t="shared" ref="AH542" si="1259">IFERROR((AH541-AD541)*10000,"NA  ")</f>
        <v>1171.0743801652895</v>
      </c>
      <c r="AI542" s="436">
        <f t="shared" ref="AI542" si="1260">IFERROR((AI541-AE541)*10000,"NA  ")</f>
        <v>1860</v>
      </c>
      <c r="AJ542" s="436">
        <f t="shared" ref="AJ542" si="1261">IFERROR((AJ541-AF541)*10000,"NA  ")</f>
        <v>870.34700315457428</v>
      </c>
      <c r="AK542" s="79"/>
      <c r="AL542" s="443"/>
      <c r="AM542" s="436">
        <f t="shared" ref="AM542:AX542" si="1262">IFERROR((AM541-AL541)*10000,"NA  ")</f>
        <v>-53.916399177290629</v>
      </c>
      <c r="AN542" s="436">
        <f t="shared" si="1262"/>
        <v>-74.343724364233083</v>
      </c>
      <c r="AO542" s="436">
        <f t="shared" si="1262"/>
        <v>-425.46948356807502</v>
      </c>
      <c r="AP542" s="436">
        <f t="shared" si="1262"/>
        <v>-313.9096013992451</v>
      </c>
      <c r="AQ542" s="436">
        <f t="shared" si="1262"/>
        <v>-153.1698218220931</v>
      </c>
      <c r="AR542" s="436">
        <f t="shared" si="1262"/>
        <v>-81.913458801984589</v>
      </c>
      <c r="AS542" s="436">
        <f t="shared" si="1262"/>
        <v>-572.75985663082452</v>
      </c>
      <c r="AT542" s="436">
        <f t="shared" si="1262"/>
        <v>-207.9147640791476</v>
      </c>
      <c r="AU542" s="436">
        <f t="shared" si="1262"/>
        <v>1433.4595833517178</v>
      </c>
      <c r="AV542" s="436">
        <f t="shared" si="1262"/>
        <v>-3.3225970503475422</v>
      </c>
      <c r="AW542" s="436">
        <f t="shared" si="1262"/>
        <v>0</v>
      </c>
      <c r="AX542" s="436">
        <f t="shared" si="1262"/>
        <v>99.999999999999531</v>
      </c>
      <c r="BK542" s="1367" t="s">
        <v>198</v>
      </c>
      <c r="BL542" s="1369"/>
      <c r="BM542" s="1369"/>
      <c r="BN542" s="1369">
        <f>BN513*0.8/BN$531</f>
        <v>0.64</v>
      </c>
      <c r="BO542" s="1369">
        <f t="shared" ref="BO542:BP542" si="1263">BO513*0.8/BO$531</f>
        <v>0.64</v>
      </c>
      <c r="BP542" s="1369">
        <f t="shared" si="1263"/>
        <v>0.64537815126050424</v>
      </c>
      <c r="BQ542" s="1369">
        <f t="shared" ref="BQ542:BS542" si="1264">BQ513*0.8/BQ$531</f>
        <v>0.63982660525602819</v>
      </c>
      <c r="BR542" s="1369">
        <f t="shared" si="1264"/>
        <v>0.63389111477728022</v>
      </c>
      <c r="BS542" s="1369">
        <f t="shared" si="1264"/>
        <v>0.62992488218212983</v>
      </c>
      <c r="BT542" s="1116"/>
    </row>
    <row r="543" spans="3:72" ht="11.55" customHeight="1" outlineLevel="2">
      <c r="C543" s="114"/>
      <c r="E543" s="94"/>
      <c r="F543" s="94"/>
      <c r="G543" s="94"/>
      <c r="H543" s="94"/>
      <c r="I543" s="94"/>
      <c r="J543" s="94"/>
      <c r="K543" s="94"/>
      <c r="L543" s="94"/>
      <c r="M543" s="94"/>
      <c r="N543" s="94"/>
      <c r="O543" s="94"/>
      <c r="P543" s="94"/>
      <c r="Q543" s="559"/>
      <c r="R543" s="559"/>
      <c r="S543" s="559"/>
      <c r="T543" s="559"/>
      <c r="U543" s="559"/>
      <c r="V543" s="559"/>
      <c r="W543" s="559"/>
      <c r="X543" s="559"/>
      <c r="Y543" s="559"/>
      <c r="Z543" s="559"/>
      <c r="AA543" s="559"/>
      <c r="AB543" s="559"/>
      <c r="AC543" s="559"/>
      <c r="AD543" s="559"/>
      <c r="AE543" s="559"/>
      <c r="AF543" s="559"/>
      <c r="AG543" s="559"/>
      <c r="AK543" s="79"/>
      <c r="AL543" s="94"/>
      <c r="AM543" s="520"/>
      <c r="AN543" s="520"/>
      <c r="AO543" s="520"/>
      <c r="AP543" s="520"/>
      <c r="AQ543" s="520"/>
      <c r="AR543" s="520"/>
      <c r="AS543" s="520"/>
      <c r="AT543" s="520"/>
      <c r="AU543" s="520"/>
      <c r="AV543" s="520"/>
      <c r="AW543" s="520"/>
      <c r="AX543" s="520"/>
      <c r="BK543" s="1367"/>
      <c r="BL543" s="1369"/>
      <c r="BM543" s="1369"/>
      <c r="BN543" s="1369"/>
      <c r="BO543" s="1369"/>
      <c r="BP543" s="1369"/>
      <c r="BQ543" s="1369"/>
      <c r="BR543" s="1369"/>
      <c r="BS543" s="1369"/>
      <c r="BT543" s="1116"/>
    </row>
    <row r="544" spans="3:72" ht="11.25" customHeight="1" outlineLevel="1">
      <c r="C544" s="43" t="s">
        <v>165</v>
      </c>
      <c r="E544" s="46"/>
      <c r="F544" s="46"/>
      <c r="G544" s="46"/>
      <c r="H544" s="46"/>
      <c r="I544" s="29">
        <v>-41</v>
      </c>
      <c r="J544" s="29">
        <v>0</v>
      </c>
      <c r="K544" s="29">
        <v>0</v>
      </c>
      <c r="L544" s="453">
        <f>+AO544-SUM(I544:K544)</f>
        <v>41</v>
      </c>
      <c r="M544" s="29">
        <v>9</v>
      </c>
      <c r="N544" s="29">
        <v>1</v>
      </c>
      <c r="O544" s="29">
        <v>-13</v>
      </c>
      <c r="P544" s="33">
        <f>+AP544-SUM(M544:O544)</f>
        <v>-4</v>
      </c>
      <c r="Q544" s="29">
        <v>-16</v>
      </c>
      <c r="R544" s="29">
        <v>-5</v>
      </c>
      <c r="S544" s="29">
        <v>-5</v>
      </c>
      <c r="T544" s="33">
        <f>+AQ544-SUM(Q544:S544)</f>
        <v>2</v>
      </c>
      <c r="U544" s="33"/>
      <c r="V544" s="33"/>
      <c r="W544" s="33"/>
      <c r="X544" s="33"/>
      <c r="Y544" s="33"/>
      <c r="Z544" s="33"/>
      <c r="AA544" s="33"/>
      <c r="AB544" s="33"/>
      <c r="AC544" s="33"/>
      <c r="AD544" s="33"/>
      <c r="AE544" s="33"/>
      <c r="AF544" s="33"/>
      <c r="AG544" s="33"/>
      <c r="AH544" s="33"/>
      <c r="AI544" s="33"/>
      <c r="AJ544" s="33"/>
      <c r="AK544" s="79"/>
      <c r="AL544" s="46"/>
      <c r="AM544" s="29">
        <v>-112</v>
      </c>
      <c r="AN544" s="29">
        <v>-90</v>
      </c>
      <c r="AO544" s="29">
        <v>0</v>
      </c>
      <c r="AP544" s="29">
        <v>-7</v>
      </c>
      <c r="AQ544" s="29">
        <v>-24</v>
      </c>
      <c r="AR544" s="33"/>
      <c r="AS544" s="28"/>
      <c r="AT544" s="28"/>
      <c r="AU544" s="28"/>
      <c r="AV544" s="28"/>
      <c r="AW544" s="28"/>
      <c r="AX544" s="28"/>
      <c r="BK544" s="1351" t="s">
        <v>200</v>
      </c>
      <c r="BL544" s="1343"/>
      <c r="BM544" s="1343"/>
      <c r="BN544" s="1343">
        <f>SUM(BN514:BN515)/BN$531</f>
        <v>0.14000000000000001</v>
      </c>
      <c r="BO544" s="1343">
        <f t="shared" ref="BO544:BP544" si="1265">SUM(BO514:BO515)/BO$531</f>
        <v>0.14000000000000001</v>
      </c>
      <c r="BP544" s="1343">
        <f t="shared" si="1265"/>
        <v>0.1372549019607843</v>
      </c>
      <c r="BQ544" s="1343">
        <f t="shared" ref="BQ544:BS544" si="1266">SUM(BQ514:BQ515)/BQ$531</f>
        <v>0.14603088593876998</v>
      </c>
      <c r="BR544" s="1343">
        <f t="shared" si="1266"/>
        <v>0.15526226202634405</v>
      </c>
      <c r="BS544" s="1343">
        <f t="shared" si="1266"/>
        <v>0.16181717205375989</v>
      </c>
      <c r="BT544" s="1116"/>
    </row>
    <row r="545" spans="3:72" ht="11.25" customHeight="1" outlineLevel="1">
      <c r="C545" s="43" t="s">
        <v>166</v>
      </c>
      <c r="E545" s="46"/>
      <c r="F545" s="46"/>
      <c r="G545" s="46"/>
      <c r="H545" s="46"/>
      <c r="I545" s="29">
        <v>0</v>
      </c>
      <c r="J545" s="29">
        <v>-21</v>
      </c>
      <c r="K545" s="29">
        <v>-18</v>
      </c>
      <c r="L545" s="453">
        <f>+AO545-SUM(I545:K545)</f>
        <v>-64</v>
      </c>
      <c r="M545" s="29">
        <v>0</v>
      </c>
      <c r="N545" s="29">
        <v>0</v>
      </c>
      <c r="O545" s="29">
        <v>0</v>
      </c>
      <c r="P545" s="33">
        <f>+AP545-SUM(M545:O545)</f>
        <v>0</v>
      </c>
      <c r="Q545" s="29">
        <v>0</v>
      </c>
      <c r="R545" s="29">
        <v>0</v>
      </c>
      <c r="S545" s="29">
        <v>0</v>
      </c>
      <c r="T545" s="33">
        <f>+AQ545-SUM(Q545:S545)</f>
        <v>0</v>
      </c>
      <c r="U545" s="33"/>
      <c r="V545" s="33"/>
      <c r="W545" s="33"/>
      <c r="X545" s="33"/>
      <c r="Y545" s="33"/>
      <c r="Z545" s="33"/>
      <c r="AA545" s="33"/>
      <c r="AB545" s="33"/>
      <c r="AC545" s="33"/>
      <c r="AD545" s="33"/>
      <c r="AE545" s="33"/>
      <c r="AF545" s="33"/>
      <c r="AG545" s="33"/>
      <c r="AH545" s="33"/>
      <c r="AI545" s="33"/>
      <c r="AJ545" s="33"/>
      <c r="AK545" s="79"/>
      <c r="AL545" s="46"/>
      <c r="AM545" s="29">
        <v>0</v>
      </c>
      <c r="AN545" s="29">
        <v>0</v>
      </c>
      <c r="AO545" s="29">
        <v>-103</v>
      </c>
      <c r="AP545" s="29">
        <v>0</v>
      </c>
      <c r="AQ545" s="33"/>
      <c r="AR545" s="33"/>
      <c r="AS545" s="28"/>
      <c r="AT545" s="28"/>
      <c r="AU545" s="28"/>
      <c r="AV545" s="28"/>
      <c r="AW545" s="28"/>
      <c r="AX545" s="28"/>
      <c r="BK545" s="1348" t="s">
        <v>201</v>
      </c>
      <c r="BL545" s="1350"/>
      <c r="BM545" s="1350"/>
      <c r="BN545" s="1350">
        <f>BN516/BN$531</f>
        <v>0.06</v>
      </c>
      <c r="BO545" s="1350">
        <f t="shared" ref="BO545:BP545" si="1267">BO516/BO$531</f>
        <v>5.9999999999999991E-2</v>
      </c>
      <c r="BP545" s="1350">
        <f t="shared" si="1267"/>
        <v>5.6022408963585422E-2</v>
      </c>
      <c r="BQ545" s="1350">
        <f t="shared" ref="BQ545:BS545" si="1268">BQ516/BQ$531</f>
        <v>5.418585749119479E-2</v>
      </c>
      <c r="BR545" s="1350">
        <f t="shared" si="1268"/>
        <v>5.2373844502055664E-2</v>
      </c>
      <c r="BS545" s="1350">
        <f t="shared" si="1268"/>
        <v>5.0776725218577935E-2</v>
      </c>
      <c r="BT545" s="1116"/>
    </row>
    <row r="546" spans="3:72" ht="11.25" customHeight="1" outlineLevel="1">
      <c r="C546" s="43" t="s">
        <v>167</v>
      </c>
      <c r="E546" s="46"/>
      <c r="F546" s="46"/>
      <c r="G546" s="46"/>
      <c r="H546" s="46"/>
      <c r="I546" s="29">
        <v>0</v>
      </c>
      <c r="J546" s="29">
        <v>0</v>
      </c>
      <c r="K546" s="29">
        <v>0</v>
      </c>
      <c r="L546" s="453">
        <f>+AO546-SUM(I546:K546)</f>
        <v>0</v>
      </c>
      <c r="M546" s="29">
        <v>0</v>
      </c>
      <c r="N546" s="29">
        <v>0</v>
      </c>
      <c r="O546" s="29">
        <v>0</v>
      </c>
      <c r="P546" s="33">
        <f>+AP546-SUM(M546:O546)</f>
        <v>0</v>
      </c>
      <c r="Q546" s="29">
        <v>0</v>
      </c>
      <c r="R546" s="29">
        <v>0</v>
      </c>
      <c r="S546" s="29">
        <v>0</v>
      </c>
      <c r="T546" s="33">
        <f>+AQ546-SUM(Q546:S546)</f>
        <v>0</v>
      </c>
      <c r="U546" s="33"/>
      <c r="V546" s="33"/>
      <c r="W546" s="33"/>
      <c r="X546" s="33"/>
      <c r="Y546" s="33"/>
      <c r="Z546" s="33"/>
      <c r="AA546" s="33"/>
      <c r="AB546" s="33"/>
      <c r="AC546" s="33"/>
      <c r="AD546" s="33"/>
      <c r="AE546" s="33"/>
      <c r="AF546" s="33"/>
      <c r="AG546" s="33"/>
      <c r="AH546" s="33"/>
      <c r="AI546" s="33"/>
      <c r="AJ546" s="33"/>
      <c r="AK546" s="79"/>
      <c r="AL546" s="46"/>
      <c r="AM546" s="29">
        <v>0</v>
      </c>
      <c r="AN546" s="29">
        <v>0</v>
      </c>
      <c r="AO546" s="29">
        <v>0</v>
      </c>
      <c r="AP546" s="29">
        <v>0</v>
      </c>
      <c r="AQ546" s="33"/>
      <c r="AR546" s="33"/>
      <c r="AS546" s="28"/>
      <c r="AT546" s="28"/>
      <c r="AU546" s="28"/>
      <c r="AV546" s="28"/>
      <c r="AW546" s="28"/>
      <c r="AX546" s="28"/>
    </row>
    <row r="547" spans="3:72" ht="11.25" customHeight="1" outlineLevel="1">
      <c r="C547" s="43" t="s">
        <v>711</v>
      </c>
      <c r="E547" s="46"/>
      <c r="F547" s="46"/>
      <c r="G547" s="46"/>
      <c r="H547" s="46"/>
      <c r="I547" s="29">
        <v>0</v>
      </c>
      <c r="J547" s="29">
        <v>0</v>
      </c>
      <c r="K547" s="29">
        <v>0</v>
      </c>
      <c r="L547" s="453">
        <f>+AO547-SUM(I547:K547)</f>
        <v>0</v>
      </c>
      <c r="M547" s="29">
        <v>-4</v>
      </c>
      <c r="N547" s="29">
        <v>0</v>
      </c>
      <c r="O547" s="29">
        <v>0</v>
      </c>
      <c r="P547" s="33">
        <f>+AP547-SUM(M547:O547)</f>
        <v>4</v>
      </c>
      <c r="Q547" s="29">
        <v>0</v>
      </c>
      <c r="R547" s="29">
        <v>0</v>
      </c>
      <c r="S547" s="29">
        <v>0</v>
      </c>
      <c r="T547" s="33">
        <f>+AQ547-SUM(Q547:S547)</f>
        <v>0</v>
      </c>
      <c r="U547" s="33"/>
      <c r="V547" s="33"/>
      <c r="W547" s="33"/>
      <c r="X547" s="33"/>
      <c r="Y547" s="33"/>
      <c r="Z547" s="33"/>
      <c r="AA547" s="33"/>
      <c r="AB547" s="33"/>
      <c r="AC547" s="33"/>
      <c r="AD547" s="33"/>
      <c r="AE547" s="33"/>
      <c r="AF547" s="33"/>
      <c r="AG547" s="33"/>
      <c r="AH547" s="33"/>
      <c r="AI547" s="33"/>
      <c r="AJ547" s="33"/>
      <c r="AK547" s="79"/>
      <c r="AL547" s="46"/>
      <c r="AM547" s="29">
        <v>10</v>
      </c>
      <c r="AN547" s="29">
        <v>0</v>
      </c>
      <c r="AO547" s="29">
        <v>0</v>
      </c>
      <c r="AP547" s="29">
        <v>0</v>
      </c>
      <c r="AQ547" s="33"/>
      <c r="AR547" s="33"/>
      <c r="AS547" s="28"/>
      <c r="AT547" s="28"/>
      <c r="AU547" s="28"/>
      <c r="AV547" s="28"/>
      <c r="AW547" s="28"/>
      <c r="AX547" s="28"/>
    </row>
    <row r="548" spans="3:72" ht="11.25" customHeight="1" outlineLevel="1">
      <c r="C548" s="45" t="s">
        <v>351</v>
      </c>
      <c r="E548" s="32"/>
      <c r="F548" s="32"/>
      <c r="G548" s="32"/>
      <c r="H548" s="32"/>
      <c r="I548" s="32">
        <f t="shared" ref="I548:T548" si="1269">SUM(I544:I547)</f>
        <v>-41</v>
      </c>
      <c r="J548" s="32">
        <f t="shared" si="1269"/>
        <v>-21</v>
      </c>
      <c r="K548" s="32">
        <f t="shared" si="1269"/>
        <v>-18</v>
      </c>
      <c r="L548" s="32">
        <f t="shared" si="1269"/>
        <v>-23</v>
      </c>
      <c r="M548" s="32">
        <f t="shared" si="1269"/>
        <v>5</v>
      </c>
      <c r="N548" s="32">
        <f t="shared" si="1269"/>
        <v>1</v>
      </c>
      <c r="O548" s="32">
        <f t="shared" si="1269"/>
        <v>-13</v>
      </c>
      <c r="P548" s="32">
        <f t="shared" si="1269"/>
        <v>0</v>
      </c>
      <c r="Q548" s="32">
        <f t="shared" si="1269"/>
        <v>-16</v>
      </c>
      <c r="R548" s="32">
        <f t="shared" si="1269"/>
        <v>-5</v>
      </c>
      <c r="S548" s="32">
        <f t="shared" si="1269"/>
        <v>-5</v>
      </c>
      <c r="T548" s="32">
        <f t="shared" si="1269"/>
        <v>2</v>
      </c>
      <c r="U548" s="31"/>
      <c r="V548" s="31"/>
      <c r="W548" s="31"/>
      <c r="X548" s="31"/>
      <c r="Y548" s="31"/>
      <c r="Z548" s="31"/>
      <c r="AA548" s="31"/>
      <c r="AB548" s="31"/>
      <c r="AC548" s="31"/>
      <c r="AD548" s="31"/>
      <c r="AE548" s="31"/>
      <c r="AF548" s="31"/>
      <c r="AG548" s="31"/>
      <c r="AH548" s="31"/>
      <c r="AI548" s="31"/>
      <c r="AJ548" s="31"/>
      <c r="AK548" s="79"/>
      <c r="AL548" s="91"/>
      <c r="AM548" s="32">
        <f>SUM(AM544:AM547)</f>
        <v>-102</v>
      </c>
      <c r="AN548" s="32">
        <f>SUM(AN544:AN547)</f>
        <v>-90</v>
      </c>
      <c r="AO548" s="32">
        <f>SUM(AO544:AO547)</f>
        <v>-103</v>
      </c>
      <c r="AP548" s="32">
        <f>SUM(AP544:AP547)</f>
        <v>-7</v>
      </c>
      <c r="AQ548" s="32">
        <f>SUM(AQ544:AQ547)</f>
        <v>-24</v>
      </c>
      <c r="AR548" s="31"/>
      <c r="AS548" s="31"/>
      <c r="AT548" s="31"/>
      <c r="AU548" s="31"/>
      <c r="AV548" s="31"/>
      <c r="AW548" s="31"/>
      <c r="AX548" s="31"/>
    </row>
    <row r="549" spans="3:72" ht="5.2" customHeight="1" outlineLevel="1">
      <c r="C549" s="45"/>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79"/>
      <c r="AL549" s="29"/>
      <c r="AM549" s="31"/>
      <c r="AN549" s="31"/>
      <c r="AO549" s="31"/>
      <c r="AP549" s="31"/>
      <c r="AQ549" s="31"/>
      <c r="AR549" s="31"/>
      <c r="AS549" s="31"/>
      <c r="AT549" s="31"/>
      <c r="AU549" s="31"/>
      <c r="AV549" s="31"/>
      <c r="AW549" s="31"/>
      <c r="AX549" s="31"/>
    </row>
    <row r="550" spans="3:72" ht="11.25" customHeight="1" outlineLevel="2">
      <c r="C550" s="113" t="s">
        <v>68</v>
      </c>
      <c r="E550" s="33"/>
      <c r="F550" s="33"/>
      <c r="G550" s="33"/>
      <c r="H550" s="33"/>
      <c r="I550" s="42">
        <f t="shared" ref="I550:T550" si="1270">+I548-(I539-E539)</f>
        <v>-7</v>
      </c>
      <c r="J550" s="42">
        <f t="shared" si="1270"/>
        <v>-5</v>
      </c>
      <c r="K550" s="42">
        <f t="shared" si="1270"/>
        <v>-7</v>
      </c>
      <c r="L550" s="42">
        <f t="shared" si="1270"/>
        <v>-4</v>
      </c>
      <c r="M550" s="42">
        <f t="shared" si="1270"/>
        <v>1</v>
      </c>
      <c r="N550" s="42">
        <f t="shared" si="1270"/>
        <v>-1</v>
      </c>
      <c r="O550" s="42">
        <f t="shared" si="1270"/>
        <v>-2</v>
      </c>
      <c r="P550" s="42">
        <f t="shared" si="1270"/>
        <v>6</v>
      </c>
      <c r="Q550" s="42">
        <f t="shared" si="1270"/>
        <v>-2</v>
      </c>
      <c r="R550" s="42">
        <f t="shared" si="1270"/>
        <v>2</v>
      </c>
      <c r="S550" s="42">
        <f t="shared" si="1270"/>
        <v>1</v>
      </c>
      <c r="T550" s="42">
        <f t="shared" si="1270"/>
        <v>0</v>
      </c>
      <c r="AK550" s="79"/>
      <c r="AL550" s="33"/>
      <c r="AM550" s="42">
        <f>+AM548-(AM539-AL539)</f>
        <v>-18</v>
      </c>
      <c r="AN550" s="42">
        <f>+AN548-(AN539-AM539)</f>
        <v>-10</v>
      </c>
      <c r="AO550" s="42">
        <f>+AO548-(AO539-AN539)</f>
        <v>-23</v>
      </c>
      <c r="AP550" s="42">
        <f>+AP548-(AP539-AO539)</f>
        <v>4</v>
      </c>
      <c r="AQ550" s="42">
        <f>+AQ548-(AQ539-AP539)</f>
        <v>1</v>
      </c>
      <c r="AR550" s="42"/>
    </row>
    <row r="551" spans="3:72" ht="5.2" customHeight="1" outlineLevel="2">
      <c r="C551" s="111"/>
      <c r="E551" s="33"/>
      <c r="F551" s="33"/>
      <c r="G551" s="33"/>
      <c r="H551" s="33"/>
      <c r="I551" s="42"/>
      <c r="J551" s="42"/>
      <c r="K551" s="42"/>
      <c r="L551" s="42"/>
      <c r="M551" s="42"/>
      <c r="N551" s="42"/>
      <c r="O551" s="42"/>
      <c r="P551" s="42"/>
      <c r="Q551" s="42"/>
      <c r="R551" s="42"/>
      <c r="S551" s="42"/>
      <c r="AK551" s="79"/>
      <c r="AL551" s="33"/>
      <c r="AM551" s="33"/>
      <c r="AN551" s="33"/>
      <c r="AO551" s="33"/>
      <c r="AP551" s="33"/>
    </row>
    <row r="552" spans="3:72" ht="11.25" customHeight="1" outlineLevel="1">
      <c r="C552" s="36" t="s">
        <v>395</v>
      </c>
      <c r="E552" s="29"/>
      <c r="F552" s="29"/>
      <c r="G552" s="29"/>
      <c r="H552" s="29"/>
      <c r="I552" s="29"/>
      <c r="J552" s="29"/>
      <c r="K552" s="29"/>
      <c r="L552" s="29"/>
      <c r="M552" s="29"/>
      <c r="N552" s="29"/>
      <c r="O552" s="29"/>
      <c r="P552" s="29"/>
      <c r="AK552" s="79"/>
      <c r="AL552" s="29"/>
      <c r="AM552" s="29"/>
      <c r="AN552" s="29"/>
      <c r="AO552" s="29"/>
      <c r="AP552" s="29"/>
    </row>
    <row r="553" spans="3:72" ht="11.25" customHeight="1" outlineLevel="1">
      <c r="C553" s="44" t="s">
        <v>165</v>
      </c>
      <c r="E553" s="46"/>
      <c r="F553" s="46"/>
      <c r="G553" s="46"/>
      <c r="H553" s="46"/>
      <c r="I553" s="63">
        <f>I544/E$539</f>
        <v>-0.47674418604651164</v>
      </c>
      <c r="J553" s="63">
        <f t="shared" ref="J553:T557" si="1271">J544/F$539</f>
        <v>0</v>
      </c>
      <c r="K553" s="63">
        <f t="shared" si="1271"/>
        <v>0</v>
      </c>
      <c r="L553" s="63">
        <f t="shared" si="1271"/>
        <v>0.56164383561643838</v>
      </c>
      <c r="M553" s="63">
        <f t="shared" si="1271"/>
        <v>0.17307692307692307</v>
      </c>
      <c r="N553" s="63">
        <f t="shared" si="1271"/>
        <v>1.7857142857142856E-2</v>
      </c>
      <c r="O553" s="63">
        <f t="shared" si="1271"/>
        <v>-0.19117647058823528</v>
      </c>
      <c r="P553" s="63">
        <f t="shared" si="1271"/>
        <v>-7.407407407407407E-2</v>
      </c>
      <c r="Q553" s="63">
        <f t="shared" si="1271"/>
        <v>-0.2857142857142857</v>
      </c>
      <c r="R553" s="63">
        <f t="shared" si="1271"/>
        <v>-8.6206896551724144E-2</v>
      </c>
      <c r="S553" s="63">
        <f t="shared" si="1271"/>
        <v>-8.771929824561403E-2</v>
      </c>
      <c r="T553" s="63">
        <f t="shared" si="1271"/>
        <v>4.1666666666666664E-2</v>
      </c>
      <c r="U553" s="130"/>
      <c r="V553" s="130"/>
      <c r="W553" s="130"/>
      <c r="X553" s="130"/>
      <c r="Y553" s="130"/>
      <c r="Z553" s="130"/>
      <c r="AA553" s="130"/>
      <c r="AB553" s="130"/>
      <c r="AC553" s="130"/>
      <c r="AD553" s="130"/>
      <c r="AE553" s="130"/>
      <c r="AF553" s="130"/>
      <c r="AG553" s="130"/>
      <c r="AH553" s="130"/>
      <c r="AI553" s="130"/>
      <c r="AJ553" s="130"/>
      <c r="AK553" s="79"/>
      <c r="AL553" s="46"/>
      <c r="AM553" s="63">
        <f>AM544/AL$539</f>
        <v>-0.23628691983122363</v>
      </c>
      <c r="AN553" s="63">
        <f>AN544/AM$539</f>
        <v>-0.23076923076923078</v>
      </c>
      <c r="AO553" s="63">
        <f>AO544/AN$539</f>
        <v>0</v>
      </c>
      <c r="AP553" s="63">
        <f>AP544/AO$539</f>
        <v>-3.0434782608695653E-2</v>
      </c>
      <c r="AQ553" s="63">
        <f>AQ544/AP$539</f>
        <v>-0.1095890410958904</v>
      </c>
      <c r="AR553" s="63"/>
      <c r="AS553" s="130"/>
      <c r="AT553" s="130"/>
      <c r="AU553" s="130"/>
      <c r="AV553" s="130"/>
      <c r="AW553" s="130"/>
      <c r="AX553" s="130"/>
    </row>
    <row r="554" spans="3:72" ht="11.25" customHeight="1" outlineLevel="1">
      <c r="C554" s="44" t="s">
        <v>166</v>
      </c>
      <c r="E554" s="46"/>
      <c r="F554" s="46"/>
      <c r="G554" s="46"/>
      <c r="H554" s="46"/>
      <c r="I554" s="63">
        <f>I545/E$539</f>
        <v>0</v>
      </c>
      <c r="J554" s="63">
        <f t="shared" si="1271"/>
        <v>-0.29166666666666669</v>
      </c>
      <c r="K554" s="63">
        <f t="shared" si="1271"/>
        <v>-0.22784810126582278</v>
      </c>
      <c r="L554" s="63">
        <f t="shared" si="1271"/>
        <v>-0.87671232876712324</v>
      </c>
      <c r="M554" s="63">
        <f t="shared" si="1271"/>
        <v>0</v>
      </c>
      <c r="N554" s="63">
        <f t="shared" si="1271"/>
        <v>0</v>
      </c>
      <c r="O554" s="63">
        <f t="shared" si="1271"/>
        <v>0</v>
      </c>
      <c r="P554" s="63">
        <f t="shared" si="1271"/>
        <v>0</v>
      </c>
      <c r="Q554" s="63">
        <f t="shared" si="1271"/>
        <v>0</v>
      </c>
      <c r="R554" s="63">
        <f t="shared" si="1271"/>
        <v>0</v>
      </c>
      <c r="S554" s="63">
        <f t="shared" si="1271"/>
        <v>0</v>
      </c>
      <c r="T554" s="63">
        <f t="shared" si="1271"/>
        <v>0</v>
      </c>
      <c r="U554" s="130"/>
      <c r="V554" s="130"/>
      <c r="W554" s="130"/>
      <c r="X554" s="130"/>
      <c r="Y554" s="130"/>
      <c r="Z554" s="130"/>
      <c r="AA554" s="130"/>
      <c r="AB554" s="130"/>
      <c r="AC554" s="130"/>
      <c r="AD554" s="130"/>
      <c r="AE554" s="130"/>
      <c r="AF554" s="130"/>
      <c r="AG554" s="130"/>
      <c r="AH554" s="130"/>
      <c r="AI554" s="130"/>
      <c r="AJ554" s="130"/>
      <c r="AK554" s="79"/>
      <c r="AL554" s="46"/>
      <c r="AM554" s="63">
        <f t="shared" ref="AM554:AQ557" si="1272">AM545/AL$539</f>
        <v>0</v>
      </c>
      <c r="AN554" s="63">
        <f t="shared" si="1272"/>
        <v>0</v>
      </c>
      <c r="AO554" s="63">
        <f t="shared" si="1272"/>
        <v>-0.33225806451612905</v>
      </c>
      <c r="AP554" s="63">
        <f t="shared" si="1272"/>
        <v>0</v>
      </c>
      <c r="AQ554" s="63">
        <f t="shared" si="1272"/>
        <v>0</v>
      </c>
      <c r="AR554" s="63"/>
      <c r="AS554" s="130"/>
      <c r="AT554" s="130"/>
      <c r="AU554" s="130"/>
      <c r="AV554" s="130"/>
      <c r="AW554" s="130"/>
      <c r="AX554" s="130"/>
    </row>
    <row r="555" spans="3:72" ht="11.25" customHeight="1" outlineLevel="1">
      <c r="C555" s="44" t="s">
        <v>167</v>
      </c>
      <c r="E555" s="46"/>
      <c r="F555" s="46"/>
      <c r="G555" s="46"/>
      <c r="H555" s="46"/>
      <c r="I555" s="63">
        <f>I546/E$539</f>
        <v>0</v>
      </c>
      <c r="J555" s="63">
        <f t="shared" si="1271"/>
        <v>0</v>
      </c>
      <c r="K555" s="63">
        <f t="shared" si="1271"/>
        <v>0</v>
      </c>
      <c r="L555" s="63">
        <f t="shared" si="1271"/>
        <v>0</v>
      </c>
      <c r="M555" s="63">
        <f t="shared" si="1271"/>
        <v>0</v>
      </c>
      <c r="N555" s="63">
        <f t="shared" si="1271"/>
        <v>0</v>
      </c>
      <c r="O555" s="63">
        <f t="shared" si="1271"/>
        <v>0</v>
      </c>
      <c r="P555" s="63">
        <f t="shared" si="1271"/>
        <v>0</v>
      </c>
      <c r="Q555" s="63">
        <f t="shared" si="1271"/>
        <v>0</v>
      </c>
      <c r="R555" s="63">
        <f t="shared" si="1271"/>
        <v>0</v>
      </c>
      <c r="S555" s="63">
        <f t="shared" si="1271"/>
        <v>0</v>
      </c>
      <c r="T555" s="63">
        <f t="shared" si="1271"/>
        <v>0</v>
      </c>
      <c r="U555" s="130"/>
      <c r="V555" s="130"/>
      <c r="W555" s="130"/>
      <c r="X555" s="130"/>
      <c r="Y555" s="130"/>
      <c r="Z555" s="130"/>
      <c r="AA555" s="130"/>
      <c r="AB555" s="130"/>
      <c r="AC555" s="130"/>
      <c r="AD555" s="130"/>
      <c r="AE555" s="130"/>
      <c r="AF555" s="130"/>
      <c r="AG555" s="130"/>
      <c r="AH555" s="130"/>
      <c r="AI555" s="130"/>
      <c r="AJ555" s="130"/>
      <c r="AK555" s="79"/>
      <c r="AL555" s="46"/>
      <c r="AM555" s="63">
        <f t="shared" si="1272"/>
        <v>0</v>
      </c>
      <c r="AN555" s="63">
        <f t="shared" si="1272"/>
        <v>0</v>
      </c>
      <c r="AO555" s="63">
        <f t="shared" si="1272"/>
        <v>0</v>
      </c>
      <c r="AP555" s="63">
        <f t="shared" si="1272"/>
        <v>0</v>
      </c>
      <c r="AQ555" s="63">
        <f t="shared" si="1272"/>
        <v>0</v>
      </c>
      <c r="AR555" s="63"/>
      <c r="AS555" s="130"/>
      <c r="AT555" s="130"/>
      <c r="AU555" s="130"/>
      <c r="AV555" s="130"/>
      <c r="AW555" s="130"/>
      <c r="AX555" s="130"/>
    </row>
    <row r="556" spans="3:72" ht="11.25" customHeight="1" outlineLevel="1">
      <c r="C556" s="44" t="s">
        <v>711</v>
      </c>
      <c r="E556" s="46"/>
      <c r="F556" s="46"/>
      <c r="G556" s="46"/>
      <c r="H556" s="46"/>
      <c r="I556" s="63">
        <f>I547/E$539</f>
        <v>0</v>
      </c>
      <c r="J556" s="63">
        <f t="shared" si="1271"/>
        <v>0</v>
      </c>
      <c r="K556" s="63">
        <f t="shared" si="1271"/>
        <v>0</v>
      </c>
      <c r="L556" s="63">
        <f t="shared" si="1271"/>
        <v>0</v>
      </c>
      <c r="M556" s="63">
        <f t="shared" si="1271"/>
        <v>-7.6923076923076927E-2</v>
      </c>
      <c r="N556" s="63">
        <f t="shared" si="1271"/>
        <v>0</v>
      </c>
      <c r="O556" s="63">
        <f t="shared" si="1271"/>
        <v>0</v>
      </c>
      <c r="P556" s="63">
        <f t="shared" si="1271"/>
        <v>7.407407407407407E-2</v>
      </c>
      <c r="Q556" s="63">
        <f t="shared" si="1271"/>
        <v>0</v>
      </c>
      <c r="R556" s="63">
        <f t="shared" si="1271"/>
        <v>0</v>
      </c>
      <c r="S556" s="63">
        <f t="shared" si="1271"/>
        <v>0</v>
      </c>
      <c r="T556" s="63">
        <f t="shared" si="1271"/>
        <v>0</v>
      </c>
      <c r="U556" s="130"/>
      <c r="V556" s="130"/>
      <c r="W556" s="130"/>
      <c r="X556" s="130"/>
      <c r="Y556" s="130"/>
      <c r="Z556" s="130"/>
      <c r="AA556" s="130"/>
      <c r="AB556" s="130"/>
      <c r="AC556" s="130"/>
      <c r="AD556" s="130"/>
      <c r="AE556" s="130"/>
      <c r="AF556" s="130"/>
      <c r="AG556" s="130"/>
      <c r="AH556" s="130"/>
      <c r="AI556" s="130"/>
      <c r="AJ556" s="130"/>
      <c r="AK556" s="79"/>
      <c r="AL556" s="46"/>
      <c r="AM556" s="63">
        <f t="shared" si="1272"/>
        <v>2.1097046413502109E-2</v>
      </c>
      <c r="AN556" s="63">
        <f t="shared" si="1272"/>
        <v>0</v>
      </c>
      <c r="AO556" s="63">
        <f t="shared" si="1272"/>
        <v>0</v>
      </c>
      <c r="AP556" s="63">
        <f t="shared" si="1272"/>
        <v>0</v>
      </c>
      <c r="AQ556" s="63">
        <f t="shared" si="1272"/>
        <v>0</v>
      </c>
      <c r="AR556" s="63"/>
      <c r="AS556" s="130"/>
      <c r="AT556" s="130"/>
      <c r="AU556" s="130"/>
      <c r="AV556" s="130"/>
      <c r="AW556" s="130"/>
      <c r="AX556" s="130"/>
    </row>
    <row r="557" spans="3:72" ht="11.25" customHeight="1" outlineLevel="1">
      <c r="C557" s="111" t="s">
        <v>351</v>
      </c>
      <c r="E557" s="91"/>
      <c r="F557" s="91"/>
      <c r="G557" s="91"/>
      <c r="H557" s="91"/>
      <c r="I557" s="67">
        <f>I548/E$539</f>
        <v>-0.47674418604651164</v>
      </c>
      <c r="J557" s="67">
        <f t="shared" si="1271"/>
        <v>-0.29166666666666669</v>
      </c>
      <c r="K557" s="67">
        <f t="shared" si="1271"/>
        <v>-0.22784810126582278</v>
      </c>
      <c r="L557" s="67">
        <f t="shared" si="1271"/>
        <v>-0.31506849315068491</v>
      </c>
      <c r="M557" s="67">
        <f t="shared" si="1271"/>
        <v>9.6153846153846159E-2</v>
      </c>
      <c r="N557" s="67">
        <f t="shared" si="1271"/>
        <v>1.7857142857142856E-2</v>
      </c>
      <c r="O557" s="67">
        <f t="shared" si="1271"/>
        <v>-0.19117647058823528</v>
      </c>
      <c r="P557" s="67">
        <f t="shared" si="1271"/>
        <v>0</v>
      </c>
      <c r="Q557" s="67">
        <f t="shared" si="1271"/>
        <v>-0.2857142857142857</v>
      </c>
      <c r="R557" s="67">
        <f t="shared" si="1271"/>
        <v>-8.6206896551724144E-2</v>
      </c>
      <c r="S557" s="67">
        <f t="shared" si="1271"/>
        <v>-8.771929824561403E-2</v>
      </c>
      <c r="T557" s="67">
        <f t="shared" si="1271"/>
        <v>4.1666666666666664E-2</v>
      </c>
      <c r="U557" s="126"/>
      <c r="V557" s="126"/>
      <c r="W557" s="126"/>
      <c r="X557" s="126"/>
      <c r="Y557" s="126"/>
      <c r="Z557" s="126"/>
      <c r="AA557" s="126"/>
      <c r="AB557" s="126"/>
      <c r="AC557" s="126"/>
      <c r="AD557" s="126"/>
      <c r="AE557" s="126"/>
      <c r="AF557" s="126"/>
      <c r="AG557" s="126"/>
      <c r="AH557" s="126"/>
      <c r="AI557" s="126"/>
      <c r="AJ557" s="126"/>
      <c r="AK557" s="79"/>
      <c r="AL557" s="91"/>
      <c r="AM557" s="67">
        <f t="shared" si="1272"/>
        <v>-0.21518987341772153</v>
      </c>
      <c r="AN557" s="67">
        <f t="shared" si="1272"/>
        <v>-0.23076923076923078</v>
      </c>
      <c r="AO557" s="67">
        <f t="shared" si="1272"/>
        <v>-0.33225806451612905</v>
      </c>
      <c r="AP557" s="67">
        <f t="shared" si="1272"/>
        <v>-3.0434782608695653E-2</v>
      </c>
      <c r="AQ557" s="67">
        <f t="shared" si="1272"/>
        <v>-0.1095890410958904</v>
      </c>
      <c r="AR557" s="437"/>
      <c r="AS557" s="126"/>
      <c r="AT557" s="126"/>
      <c r="AU557" s="126"/>
      <c r="AV557" s="126"/>
      <c r="AW557" s="126"/>
      <c r="AX557" s="126"/>
    </row>
    <row r="558" spans="3:72" ht="11.25" customHeight="1" outlineLevel="1">
      <c r="C558" s="114"/>
      <c r="E558" s="94"/>
      <c r="F558" s="94"/>
      <c r="G558" s="94"/>
      <c r="H558" s="94"/>
      <c r="I558" s="94"/>
      <c r="J558" s="94"/>
      <c r="K558" s="94"/>
      <c r="L558" s="94"/>
      <c r="M558" s="94"/>
      <c r="N558" s="94"/>
      <c r="O558" s="94"/>
      <c r="P558" s="94"/>
      <c r="Q558" s="94"/>
      <c r="R558" s="94"/>
      <c r="AK558" s="79"/>
      <c r="AL558" s="94"/>
      <c r="AM558" s="94"/>
      <c r="AN558" s="94"/>
      <c r="AO558" s="94"/>
      <c r="AP558" s="94"/>
    </row>
    <row r="559" spans="3:72" ht="11.25" customHeight="1" outlineLevel="1">
      <c r="C559" s="112" t="s">
        <v>117</v>
      </c>
      <c r="E559" s="29">
        <v>768</v>
      </c>
      <c r="F559" s="29">
        <v>765</v>
      </c>
      <c r="G559" s="29">
        <v>775</v>
      </c>
      <c r="H559" s="29">
        <v>920</v>
      </c>
      <c r="I559" s="29">
        <v>955</v>
      </c>
      <c r="J559" s="29">
        <v>950</v>
      </c>
      <c r="K559" s="29">
        <v>947</v>
      </c>
      <c r="L559" s="29">
        <v>929</v>
      </c>
      <c r="M559" s="29">
        <v>999</v>
      </c>
      <c r="N559" s="29">
        <v>1004</v>
      </c>
      <c r="O559" s="29">
        <v>986</v>
      </c>
      <c r="P559" s="29">
        <v>978</v>
      </c>
      <c r="Q559" s="29">
        <v>1050</v>
      </c>
      <c r="R559" s="29">
        <v>1045</v>
      </c>
      <c r="S559" s="29">
        <v>1030</v>
      </c>
      <c r="T559" s="29">
        <v>1014</v>
      </c>
      <c r="U559" s="29">
        <v>1020</v>
      </c>
      <c r="V559" s="29">
        <v>994</v>
      </c>
      <c r="W559" s="29">
        <v>986</v>
      </c>
      <c r="X559" s="29">
        <v>978</v>
      </c>
      <c r="Y559" s="29">
        <v>996</v>
      </c>
      <c r="Z559" s="29">
        <v>991</v>
      </c>
      <c r="AA559" s="29">
        <v>986</v>
      </c>
      <c r="AB559" s="29">
        <v>972</v>
      </c>
      <c r="AC559" s="29">
        <v>1023</v>
      </c>
      <c r="AD559" s="837">
        <v>0</v>
      </c>
      <c r="AE559" s="837">
        <v>0</v>
      </c>
      <c r="AF559" s="837">
        <v>1046</v>
      </c>
      <c r="AG559" s="837"/>
      <c r="AK559" s="79"/>
      <c r="AL559" s="29">
        <v>986</v>
      </c>
      <c r="AM559" s="29">
        <v>969</v>
      </c>
      <c r="AN559" s="33">
        <f>SUMIF($E$7:$AK$7,AN$7,$E559:$AK559)</f>
        <v>920</v>
      </c>
      <c r="AO559" s="33">
        <f t="shared" ref="AO559:AT559" si="1273">SUMIF($E$7:$AK$7,AO$7,$E559:$AK559)</f>
        <v>929</v>
      </c>
      <c r="AP559" s="33">
        <f t="shared" si="1273"/>
        <v>978</v>
      </c>
      <c r="AQ559" s="33">
        <f t="shared" si="1273"/>
        <v>1014</v>
      </c>
      <c r="AR559" s="33">
        <f t="shared" si="1273"/>
        <v>978</v>
      </c>
      <c r="AS559" s="33">
        <f t="shared" si="1273"/>
        <v>972</v>
      </c>
      <c r="AT559" s="33">
        <f t="shared" si="1273"/>
        <v>1046</v>
      </c>
    </row>
    <row r="560" spans="3:72" ht="11.25" customHeight="1" outlineLevel="1">
      <c r="C560" s="112" t="s">
        <v>119</v>
      </c>
      <c r="E560" s="33">
        <f>$AN$560*(E899/SUM($E$899:$H$899))</f>
        <v>12.925862068965518</v>
      </c>
      <c r="F560" s="33">
        <f>$AN$560*(F899/SUM($E$899:$H$899))</f>
        <v>12.662068965517241</v>
      </c>
      <c r="G560" s="33">
        <f>$AN$560*(G899/SUM($E$899:$H$899))</f>
        <v>12.75</v>
      </c>
      <c r="H560" s="33">
        <f>$AN$560*(H899/SUM($E$899:$H$899))</f>
        <v>12.662068965517241</v>
      </c>
      <c r="I560" s="33">
        <f>$AO$560*(I899/SUM($I$899:$L$899))</f>
        <v>14.327086882453152</v>
      </c>
      <c r="J560" s="33">
        <f>$AO$560*(J899/SUM($I$899:$L$899))</f>
        <v>14.524701873935262</v>
      </c>
      <c r="K560" s="33">
        <f>$AO$560*(K899/SUM($I$899:$L$899))</f>
        <v>14.623509369676318</v>
      </c>
      <c r="L560" s="33">
        <f>$AO$560*(L899/SUM($I$899:$L$899))</f>
        <v>14.524701873935262</v>
      </c>
      <c r="M560" s="33">
        <f>$AP$560*(M899/SUM($M$899:$P$899))</f>
        <v>16.105960264900663</v>
      </c>
      <c r="N560" s="33">
        <f>$AP$560*(N899/SUM($M$899:$P$899))</f>
        <v>15.682119205298013</v>
      </c>
      <c r="O560" s="33">
        <f>$AP$560*(O899/SUM($M$899:$P$899))</f>
        <v>16</v>
      </c>
      <c r="P560" s="33">
        <f>$AP$560*(P899/SUM($M$899:$P$899))</f>
        <v>16.211920529801326</v>
      </c>
      <c r="Q560" s="33">
        <f>$AQ$560*(Q899/SUM($Q$899:$T$899))</f>
        <v>16.235679214402619</v>
      </c>
      <c r="R560" s="33">
        <f>$AQ$560*(R899/SUM($Q$899:$T$899))</f>
        <v>16.340425531914892</v>
      </c>
      <c r="S560" s="33">
        <f>$AQ$560*(S899/SUM($Q$899:$T$899))</f>
        <v>15.816693944353519</v>
      </c>
      <c r="T560" s="33">
        <f>$AQ$560*(T899/SUM($Q$899:$T$899))</f>
        <v>15.607201309328969</v>
      </c>
      <c r="U560" s="33">
        <f>$AR560*(U$899/SUM($U$899:$X$899))</f>
        <v>13.560975609756099</v>
      </c>
      <c r="V560" s="33">
        <f>$AR560*(V$899/SUM($U$899:$X$899))</f>
        <v>13.75609756097561</v>
      </c>
      <c r="W560" s="33">
        <f>$AR560*(W$899/SUM($U$899:$X$899))</f>
        <v>14.536585365853657</v>
      </c>
      <c r="X560" s="33">
        <f>$AR560*(X$899/SUM($U$899:$X$899))</f>
        <v>14.146341463414632</v>
      </c>
      <c r="Y560" s="33">
        <f>$AS560*(Y$899/SUM($Y$899:$AB$899))</f>
        <v>16.617100371747213</v>
      </c>
      <c r="Z560" s="33">
        <f>$AS560*(Z$899/SUM($Y$899:$AB$899))</f>
        <v>15.613382899628252</v>
      </c>
      <c r="AA560" s="33">
        <f>$AS560*(AA$899/SUM($Y$899:$AB$899))</f>
        <v>14.163568773234202</v>
      </c>
      <c r="AB560" s="33">
        <f>$AS560*(AB$899/SUM($Y$899:$AB$899))</f>
        <v>13.605947955390334</v>
      </c>
      <c r="AC560" s="33">
        <f>$AT560*(AC$899/SUM($AC$899:$AF$899))</f>
        <v>15.473794549266247</v>
      </c>
      <c r="AD560" s="33">
        <f>$AT560*(AD$899/SUM($AC$899:$AF$899))</f>
        <v>15.601677148846962</v>
      </c>
      <c r="AE560" s="33">
        <f>$AT560*(AE$899/SUM($AC$899:$AF$899))</f>
        <v>14.962264150943396</v>
      </c>
      <c r="AF560" s="33">
        <f>$AT560*(AF$899/SUM($AC$899:$AF$899))</f>
        <v>14.962264150943396</v>
      </c>
      <c r="AG560" s="33">
        <f>$AT560*(AG$899/SUM($AC$899:$AF$899))</f>
        <v>18.031446540880502</v>
      </c>
      <c r="AH560" s="33">
        <f t="shared" ref="AH560:AJ560" si="1274">+AH$899*AH905</f>
        <v>16.13027788624353</v>
      </c>
      <c r="AI560" s="33">
        <f t="shared" si="1274"/>
        <v>16.336422090426321</v>
      </c>
      <c r="AJ560" s="33">
        <f t="shared" si="1274"/>
        <v>16.542566294609113</v>
      </c>
      <c r="AK560" s="79"/>
      <c r="AL560" s="29">
        <v>66</v>
      </c>
      <c r="AM560" s="29">
        <v>55</v>
      </c>
      <c r="AN560" s="29">
        <v>51</v>
      </c>
      <c r="AO560" s="29">
        <v>58</v>
      </c>
      <c r="AP560" s="29">
        <v>64</v>
      </c>
      <c r="AQ560" s="29">
        <v>64</v>
      </c>
      <c r="AR560" s="29">
        <v>56</v>
      </c>
      <c r="AS560" s="29">
        <v>60</v>
      </c>
      <c r="AT560" s="29">
        <v>61</v>
      </c>
      <c r="AU560" s="33">
        <f t="shared" ref="AU560" si="1275">SUMIF($E$6:$AK$6,AU$6,$E560:$AK560)</f>
        <v>67.04071281215947</v>
      </c>
      <c r="AV560" s="33">
        <f>+AV$899*AV905</f>
        <v>67.446155437283608</v>
      </c>
      <c r="AW560" s="33">
        <f>+AW$899*AW905</f>
        <v>68.767572346215147</v>
      </c>
      <c r="AX560" s="33">
        <f>+AX$899*AX905</f>
        <v>71.25494535126272</v>
      </c>
    </row>
    <row r="561" spans="3:62" ht="11.25" customHeight="1" outlineLevel="1">
      <c r="C561" s="112" t="s">
        <v>120</v>
      </c>
      <c r="E561" s="46"/>
      <c r="F561" s="46"/>
      <c r="G561" s="46"/>
      <c r="H561" s="46"/>
      <c r="I561" s="46"/>
      <c r="J561" s="46"/>
      <c r="K561" s="46"/>
      <c r="L561" s="46"/>
      <c r="M561" s="46"/>
      <c r="N561" s="46"/>
      <c r="O561" s="46"/>
      <c r="P561" s="46"/>
      <c r="Q561" s="46"/>
      <c r="R561" s="46"/>
      <c r="S561" s="46"/>
      <c r="T561" s="46"/>
      <c r="AK561" s="79"/>
      <c r="AL561" s="29">
        <v>53</v>
      </c>
      <c r="AM561" s="29">
        <v>57</v>
      </c>
      <c r="AN561" s="29">
        <v>38</v>
      </c>
      <c r="AO561" s="29">
        <v>52</v>
      </c>
      <c r="AP561" s="29">
        <v>50</v>
      </c>
      <c r="AQ561" s="29">
        <v>42</v>
      </c>
      <c r="AR561" s="29">
        <v>31</v>
      </c>
      <c r="AS561" s="29">
        <v>33</v>
      </c>
      <c r="AT561" s="29">
        <v>43</v>
      </c>
    </row>
    <row r="562" spans="3:62" ht="11.25" customHeight="1">
      <c r="C562" s="43"/>
      <c r="E562" s="29"/>
      <c r="F562" s="29"/>
      <c r="G562" s="29"/>
      <c r="H562" s="29"/>
      <c r="I562" s="29"/>
      <c r="J562" s="29"/>
      <c r="K562" s="29"/>
      <c r="L562" s="29"/>
      <c r="M562" s="29"/>
      <c r="N562" s="29"/>
      <c r="O562" s="29"/>
      <c r="P562" s="29"/>
      <c r="Q562" s="29"/>
      <c r="R562" s="29"/>
      <c r="AK562" s="79"/>
      <c r="AL562" s="29"/>
      <c r="AM562" s="29"/>
      <c r="AN562" s="29"/>
      <c r="AO562" s="29"/>
      <c r="AP562" s="29"/>
    </row>
    <row r="563" spans="3:62" ht="11.25" customHeight="1">
      <c r="C563" s="45" t="s">
        <v>617</v>
      </c>
      <c r="E563" s="31">
        <f>E539+E560</f>
        <v>98.925862068965515</v>
      </c>
      <c r="F563" s="31">
        <f t="shared" ref="F563:R563" si="1276">F539+F560</f>
        <v>84.662068965517236</v>
      </c>
      <c r="G563" s="31">
        <f t="shared" si="1276"/>
        <v>91.75</v>
      </c>
      <c r="H563" s="31">
        <f t="shared" si="1276"/>
        <v>85.662068965517236</v>
      </c>
      <c r="I563" s="31">
        <f t="shared" si="1276"/>
        <v>66.327086882453159</v>
      </c>
      <c r="J563" s="31">
        <f t="shared" si="1276"/>
        <v>70.524701873935257</v>
      </c>
      <c r="K563" s="31">
        <f t="shared" si="1276"/>
        <v>82.623509369676313</v>
      </c>
      <c r="L563" s="31">
        <f t="shared" si="1276"/>
        <v>68.524701873935257</v>
      </c>
      <c r="M563" s="31">
        <f t="shared" si="1276"/>
        <v>72.105960264900659</v>
      </c>
      <c r="N563" s="31">
        <f t="shared" si="1276"/>
        <v>73.682119205298008</v>
      </c>
      <c r="O563" s="31">
        <f t="shared" si="1276"/>
        <v>73</v>
      </c>
      <c r="P563" s="31">
        <f t="shared" si="1276"/>
        <v>64.211920529801318</v>
      </c>
      <c r="Q563" s="31">
        <f t="shared" si="1276"/>
        <v>58.235679214402623</v>
      </c>
      <c r="R563" s="31">
        <f t="shared" si="1276"/>
        <v>67.340425531914889</v>
      </c>
      <c r="S563" s="31">
        <f t="shared" ref="S563:X563" si="1277">S539+S560</f>
        <v>66.816693944353517</v>
      </c>
      <c r="T563" s="31">
        <f>T539+T560</f>
        <v>65.607201309328971</v>
      </c>
      <c r="U563" s="31">
        <f t="shared" si="1277"/>
        <v>66.560975609756099</v>
      </c>
      <c r="V563" s="31">
        <f t="shared" si="1277"/>
        <v>59.756097560975611</v>
      </c>
      <c r="W563" s="31">
        <f t="shared" si="1277"/>
        <v>55.536585365853654</v>
      </c>
      <c r="X563" s="31">
        <f t="shared" si="1277"/>
        <v>54.146341463414629</v>
      </c>
      <c r="Y563" s="31">
        <f t="shared" ref="Y563:AC563" si="1278">Y539+Y560</f>
        <v>61.617100371747213</v>
      </c>
      <c r="Z563" s="31">
        <f t="shared" si="1278"/>
        <v>52.613382899628249</v>
      </c>
      <c r="AA563" s="31">
        <f t="shared" si="1278"/>
        <v>46.163568773234203</v>
      </c>
      <c r="AB563" s="31">
        <f t="shared" si="1278"/>
        <v>41.605947955390334</v>
      </c>
      <c r="AC563" s="31">
        <f t="shared" si="1278"/>
        <v>39.473794549266245</v>
      </c>
      <c r="AD563" s="31">
        <f t="shared" ref="AD563:AF563" si="1279">AD539+AD560</f>
        <v>52.60167714884696</v>
      </c>
      <c r="AE563" s="31">
        <f t="shared" si="1279"/>
        <v>35.962264150943398</v>
      </c>
      <c r="AF563" s="31">
        <f t="shared" si="1279"/>
        <v>72.962264150943398</v>
      </c>
      <c r="AG563" s="31">
        <f t="shared" ref="AG563" si="1280">AG539+AG560</f>
        <v>112.03144654088049</v>
      </c>
      <c r="AH563" s="31">
        <f t="shared" ref="AH563:AJ563" si="1281">AH539+AH560</f>
        <v>89.964477886243529</v>
      </c>
      <c r="AI563" s="31">
        <f t="shared" si="1281"/>
        <v>91.936422090426333</v>
      </c>
      <c r="AJ563" s="31">
        <f t="shared" si="1281"/>
        <v>103.84436629460912</v>
      </c>
      <c r="AK563" s="79"/>
      <c r="AL563" s="31">
        <f t="shared" ref="AL563:AR563" si="1282">AL539+AL560</f>
        <v>540</v>
      </c>
      <c r="AM563" s="31">
        <f t="shared" si="1282"/>
        <v>445</v>
      </c>
      <c r="AN563" s="31">
        <f t="shared" si="1282"/>
        <v>361</v>
      </c>
      <c r="AO563" s="31">
        <f t="shared" si="1282"/>
        <v>288</v>
      </c>
      <c r="AP563" s="31">
        <f t="shared" si="1282"/>
        <v>283</v>
      </c>
      <c r="AQ563" s="31">
        <f t="shared" si="1282"/>
        <v>258</v>
      </c>
      <c r="AR563" s="31">
        <f t="shared" si="1282"/>
        <v>236</v>
      </c>
      <c r="AS563" s="31">
        <f t="shared" ref="AS563:AX563" si="1283">AS539+AS560</f>
        <v>202</v>
      </c>
      <c r="AT563" s="31">
        <f t="shared" si="1283"/>
        <v>201</v>
      </c>
      <c r="AU563" s="31">
        <f t="shared" si="1283"/>
        <v>397.77671281215953</v>
      </c>
      <c r="AV563" s="31">
        <f t="shared" si="1283"/>
        <v>402.74531543728358</v>
      </c>
      <c r="AW563" s="31">
        <f t="shared" si="1283"/>
        <v>409.09621974621518</v>
      </c>
      <c r="AX563" s="31">
        <f t="shared" si="1283"/>
        <v>429.02543593051269</v>
      </c>
    </row>
    <row r="564" spans="3:62" ht="11.25" customHeight="1" outlineLevel="1">
      <c r="C564" s="93" t="s">
        <v>358</v>
      </c>
      <c r="E564" s="124"/>
      <c r="F564" s="124"/>
      <c r="G564" s="124"/>
      <c r="H564" s="124"/>
      <c r="I564" s="94">
        <f t="shared" ref="I564:AC564" si="1284">IFERROR(I563/E563-1,"NA  ")</f>
        <v>-0.32952732990879907</v>
      </c>
      <c r="J564" s="94">
        <f t="shared" si="1284"/>
        <v>-0.16698584459753885</v>
      </c>
      <c r="K564" s="94">
        <f t="shared" si="1284"/>
        <v>-9.9471287523963836E-2</v>
      </c>
      <c r="L564" s="94">
        <f t="shared" si="1284"/>
        <v>-0.2000578237081867</v>
      </c>
      <c r="M564" s="94">
        <f t="shared" si="1284"/>
        <v>8.7126898738806302E-2</v>
      </c>
      <c r="N564" s="94">
        <f t="shared" si="1284"/>
        <v>4.4770374740565666E-2</v>
      </c>
      <c r="O564" s="94">
        <f t="shared" si="1284"/>
        <v>-0.11647422680412367</v>
      </c>
      <c r="P564" s="94">
        <f t="shared" si="1284"/>
        <v>-6.2937615577929096E-2</v>
      </c>
      <c r="Q564" s="94">
        <f t="shared" si="1284"/>
        <v>-0.19235970229842059</v>
      </c>
      <c r="R564" s="94">
        <f t="shared" si="1284"/>
        <v>-8.6068285518681509E-2</v>
      </c>
      <c r="S564" s="94">
        <f t="shared" si="1284"/>
        <v>-8.4702822680088774E-2</v>
      </c>
      <c r="T564" s="94">
        <f t="shared" si="1284"/>
        <v>2.1729310819789127E-2</v>
      </c>
      <c r="U564" s="94">
        <f t="shared" si="1284"/>
        <v>0.14295868971842429</v>
      </c>
      <c r="V564" s="94">
        <f t="shared" si="1284"/>
        <v>-0.11262667129040949</v>
      </c>
      <c r="W564" s="94">
        <f t="shared" si="1284"/>
        <v>-0.16882171075231889</v>
      </c>
      <c r="X564" s="94">
        <f t="shared" si="1284"/>
        <v>-0.174689052683073</v>
      </c>
      <c r="Y564" s="94">
        <f t="shared" si="1284"/>
        <v>-7.4275883018821709E-2</v>
      </c>
      <c r="Z564" s="94">
        <f t="shared" si="1284"/>
        <v>-0.1195311433123436</v>
      </c>
      <c r="AA564" s="94">
        <f t="shared" si="1284"/>
        <v>-0.1687719281060156</v>
      </c>
      <c r="AB564" s="94">
        <f t="shared" si="1284"/>
        <v>-0.23160186208513334</v>
      </c>
      <c r="AC564" s="94">
        <f t="shared" si="1284"/>
        <v>-0.35936948815972125</v>
      </c>
      <c r="AD564" s="94">
        <f t="shared" ref="AD564" si="1285">IFERROR(AD563/Z563-1,"NA  ")</f>
        <v>-2.2248618385967145E-4</v>
      </c>
      <c r="AE564" s="94">
        <f t="shared" ref="AE564" si="1286">IFERROR(AE563/AA563-1,"NA  ")</f>
        <v>-0.22098171552554569</v>
      </c>
      <c r="AF564" s="94">
        <f t="shared" ref="AF564:AG564" si="1287">IFERROR(AF563/AB563-1,"NA  ")</f>
        <v>0.75364984422835724</v>
      </c>
      <c r="AG564" s="94">
        <f t="shared" si="1287"/>
        <v>1.838122045780445</v>
      </c>
      <c r="AH564" s="94">
        <f t="shared" ref="AH564" si="1288">IFERROR(AH563/AD563-1,"NA  ")</f>
        <v>0.71029675787087654</v>
      </c>
      <c r="AI564" s="94">
        <f t="shared" ref="AI564" si="1289">IFERROR(AI563/AE563-1,"NA  ")</f>
        <v>1.5564692396603332</v>
      </c>
      <c r="AJ564" s="94">
        <f t="shared" ref="AJ564" si="1290">IFERROR(AJ563/AF563-1,"NA  ")</f>
        <v>0.42326129134064727</v>
      </c>
      <c r="AK564" s="79"/>
      <c r="AL564" s="124"/>
      <c r="AM564" s="94">
        <f t="shared" ref="AM564:AX564" si="1291">IFERROR(AM563/AL563-1,"NA  ")</f>
        <v>-0.17592592592592593</v>
      </c>
      <c r="AN564" s="94">
        <f t="shared" si="1291"/>
        <v>-0.18876404494382026</v>
      </c>
      <c r="AO564" s="94">
        <f t="shared" si="1291"/>
        <v>-0.20221606648199442</v>
      </c>
      <c r="AP564" s="94">
        <f t="shared" si="1291"/>
        <v>-1.736111111111116E-2</v>
      </c>
      <c r="AQ564" s="94">
        <f t="shared" si="1291"/>
        <v>-8.8339222614840951E-2</v>
      </c>
      <c r="AR564" s="94">
        <f t="shared" si="1291"/>
        <v>-8.5271317829457405E-2</v>
      </c>
      <c r="AS564" s="94">
        <f t="shared" si="1291"/>
        <v>-0.14406779661016944</v>
      </c>
      <c r="AT564" s="94">
        <f t="shared" si="1291"/>
        <v>-4.9504950495049549E-3</v>
      </c>
      <c r="AU564" s="94">
        <f t="shared" si="1291"/>
        <v>0.97898862095601746</v>
      </c>
      <c r="AV564" s="94">
        <f t="shared" si="1291"/>
        <v>1.2490933896048162E-2</v>
      </c>
      <c r="AW564" s="94">
        <f t="shared" si="1291"/>
        <v>1.5769033345641947E-2</v>
      </c>
      <c r="AX564" s="94">
        <f t="shared" si="1291"/>
        <v>4.8715229382126024E-2</v>
      </c>
    </row>
    <row r="565" spans="3:62" ht="11.25" customHeight="1" outlineLevel="1">
      <c r="C565" s="93" t="s">
        <v>360</v>
      </c>
      <c r="E565" s="94">
        <f>E563/E513</f>
        <v>0.35330665024630542</v>
      </c>
      <c r="F565" s="94">
        <f t="shared" ref="F565:R565" si="1292">F563/F513</f>
        <v>0.36180371352785146</v>
      </c>
      <c r="G565" s="94">
        <f t="shared" si="1292"/>
        <v>0.36995967741935482</v>
      </c>
      <c r="H565" s="94">
        <f t="shared" si="1292"/>
        <v>0.37244377811094448</v>
      </c>
      <c r="I565" s="94">
        <f t="shared" si="1292"/>
        <v>0.31139477409602423</v>
      </c>
      <c r="J565" s="94">
        <f t="shared" si="1292"/>
        <v>0.32802186918109422</v>
      </c>
      <c r="K565" s="94">
        <f t="shared" si="1292"/>
        <v>0.36885495254319783</v>
      </c>
      <c r="L565" s="94">
        <f t="shared" si="1292"/>
        <v>0.34262350936967628</v>
      </c>
      <c r="M565" s="94">
        <f t="shared" si="1292"/>
        <v>0.29431004189755372</v>
      </c>
      <c r="N565" s="94">
        <f t="shared" si="1292"/>
        <v>0.30573493446181749</v>
      </c>
      <c r="O565" s="94">
        <f t="shared" si="1292"/>
        <v>0.33181818181818185</v>
      </c>
      <c r="P565" s="94">
        <f t="shared" si="1292"/>
        <v>0.30288641759340246</v>
      </c>
      <c r="Q565" s="94">
        <f t="shared" si="1292"/>
        <v>0.27340694466855692</v>
      </c>
      <c r="R565" s="94">
        <f t="shared" si="1292"/>
        <v>0.31615223254420133</v>
      </c>
      <c r="S565" s="94">
        <f t="shared" ref="S565:X565" si="1293">S563/S513</f>
        <v>0.30791103200162911</v>
      </c>
      <c r="T565" s="94">
        <f>T563/T513</f>
        <v>0.29029735092623438</v>
      </c>
      <c r="U565" s="94">
        <f t="shared" si="1293"/>
        <v>0.31396686608375518</v>
      </c>
      <c r="V565" s="94">
        <f t="shared" si="1293"/>
        <v>0.2832042538434863</v>
      </c>
      <c r="W565" s="94">
        <f t="shared" si="1293"/>
        <v>0.2695950745915226</v>
      </c>
      <c r="X565" s="94">
        <f t="shared" si="1293"/>
        <v>0.26031894934333955</v>
      </c>
      <c r="Y565" s="94">
        <f t="shared" ref="Y565:AC565" si="1294">Y563/Y513</f>
        <v>0.28394977129837423</v>
      </c>
      <c r="Z565" s="94">
        <f t="shared" si="1294"/>
        <v>0.23593445246470066</v>
      </c>
      <c r="AA565" s="94">
        <f t="shared" si="1294"/>
        <v>0.20794400348303696</v>
      </c>
      <c r="AB565" s="94">
        <f t="shared" si="1294"/>
        <v>0.17481490737558963</v>
      </c>
      <c r="AC565" s="94">
        <f t="shared" si="1294"/>
        <v>0.18532297910453635</v>
      </c>
      <c r="AD565" s="1030">
        <f t="shared" ref="AD565:AF565" si="1295">AD563/AD513</f>
        <v>0.21736230226796263</v>
      </c>
      <c r="AE565" s="1030">
        <f t="shared" si="1295"/>
        <v>0.14384905660377359</v>
      </c>
      <c r="AF565" s="1030">
        <f t="shared" si="1295"/>
        <v>0.23016487113862272</v>
      </c>
      <c r="AG565" s="1030">
        <f t="shared" ref="AG565" si="1296">AG563/AG513</f>
        <v>0.36974074765967158</v>
      </c>
      <c r="AH565" s="94">
        <f t="shared" ref="AH565:AJ565" si="1297">AH563/AH513</f>
        <v>0.32898587686039471</v>
      </c>
      <c r="AI565" s="94">
        <f t="shared" si="1297"/>
        <v>0.32834436460866545</v>
      </c>
      <c r="AJ565" s="94">
        <f t="shared" si="1297"/>
        <v>0.32116152129216652</v>
      </c>
      <c r="AK565" s="79"/>
      <c r="AL565" s="94">
        <f t="shared" ref="AL565:AT565" si="1298">AL563/AL513</f>
        <v>0.37062457103637614</v>
      </c>
      <c r="AM565" s="94">
        <f t="shared" si="1298"/>
        <v>0.36505332239540605</v>
      </c>
      <c r="AN565" s="94">
        <f t="shared" si="1298"/>
        <v>0.36391129032258063</v>
      </c>
      <c r="AO565" s="94">
        <f t="shared" si="1298"/>
        <v>0.3380281690140845</v>
      </c>
      <c r="AP565" s="94">
        <f t="shared" si="1298"/>
        <v>0.30827886710239649</v>
      </c>
      <c r="AQ565" s="94">
        <f t="shared" si="1298"/>
        <v>0.29689298043728424</v>
      </c>
      <c r="AR565" s="94">
        <f t="shared" si="1298"/>
        <v>0.2819593787335723</v>
      </c>
      <c r="AS565" s="94">
        <f t="shared" si="1298"/>
        <v>0.22444444444444445</v>
      </c>
      <c r="AT565" s="94">
        <f t="shared" si="1298"/>
        <v>0.19667318982387474</v>
      </c>
      <c r="AU565" s="94">
        <f t="shared" ref="AU565" si="1299">AU563/AU513</f>
        <v>0.33715605425678891</v>
      </c>
      <c r="AV565" s="94">
        <f t="shared" ref="AV565:AW565" si="1300">AV563/AV513</f>
        <v>0.33632260910656447</v>
      </c>
      <c r="AW565" s="94">
        <f t="shared" si="1300"/>
        <v>0.33657743009306323</v>
      </c>
      <c r="AX565" s="94">
        <f t="shared" ref="AX565" si="1301">AX563/AX513</f>
        <v>0.34775751409349087</v>
      </c>
    </row>
    <row r="566" spans="3:62" ht="11.25" customHeight="1" outlineLevel="1">
      <c r="C566" s="93" t="s">
        <v>396</v>
      </c>
      <c r="E566" s="47"/>
      <c r="F566" s="47"/>
      <c r="G566" s="47"/>
      <c r="H566" s="47"/>
      <c r="I566" s="436">
        <f t="shared" ref="I566:AC566" si="1302">IFERROR((I565-E565)*10000,"NA  ")</f>
        <v>-419.11876150281194</v>
      </c>
      <c r="J566" s="436">
        <f t="shared" si="1302"/>
        <v>-337.81844346757237</v>
      </c>
      <c r="K566" s="436">
        <f t="shared" si="1302"/>
        <v>-11.047248761569817</v>
      </c>
      <c r="L566" s="436">
        <f t="shared" si="1302"/>
        <v>-298.20268741268194</v>
      </c>
      <c r="M566" s="436">
        <f t="shared" si="1302"/>
        <v>-170.8473219847051</v>
      </c>
      <c r="N566" s="436">
        <f t="shared" si="1302"/>
        <v>-222.86934719276729</v>
      </c>
      <c r="O566" s="436">
        <f t="shared" si="1302"/>
        <v>-370.36770725015987</v>
      </c>
      <c r="P566" s="436">
        <f t="shared" si="1302"/>
        <v>-397.37091776273826</v>
      </c>
      <c r="Q566" s="436">
        <f t="shared" si="1302"/>
        <v>-209.03097228996802</v>
      </c>
      <c r="R566" s="436">
        <f t="shared" si="1302"/>
        <v>104.17298082383842</v>
      </c>
      <c r="S566" s="436">
        <f t="shared" si="1302"/>
        <v>-239.07149816552732</v>
      </c>
      <c r="T566" s="436">
        <f t="shared" si="1302"/>
        <v>-125.8906666716808</v>
      </c>
      <c r="U566" s="436">
        <f t="shared" si="1302"/>
        <v>405.59921415198261</v>
      </c>
      <c r="V566" s="436">
        <f t="shared" si="1302"/>
        <v>-329.47978700715032</v>
      </c>
      <c r="W566" s="436">
        <f t="shared" si="1302"/>
        <v>-383.15957410106518</v>
      </c>
      <c r="X566" s="436">
        <f t="shared" si="1302"/>
        <v>-299.78401582894833</v>
      </c>
      <c r="Y566" s="436">
        <f t="shared" si="1302"/>
        <v>-300.17094785380948</v>
      </c>
      <c r="Z566" s="436">
        <f t="shared" si="1302"/>
        <v>-472.69801378785644</v>
      </c>
      <c r="AA566" s="436">
        <f t="shared" si="1302"/>
        <v>-616.51071108485644</v>
      </c>
      <c r="AB566" s="436">
        <f t="shared" si="1302"/>
        <v>-855.04041967749913</v>
      </c>
      <c r="AC566" s="436">
        <f t="shared" si="1302"/>
        <v>-986.26792193837878</v>
      </c>
      <c r="AD566" s="436">
        <f t="shared" ref="AD566" si="1303">IFERROR((AD565-Z565)*10000,"NA  ")</f>
        <v>-185.72150196738025</v>
      </c>
      <c r="AE566" s="436">
        <f t="shared" ref="AE566" si="1304">IFERROR((AE565-AA565)*10000,"NA  ")</f>
        <v>-640.94946879263375</v>
      </c>
      <c r="AF566" s="436">
        <f t="shared" ref="AF566:AG566" si="1305">IFERROR((AF565-AB565)*10000,"NA  ")</f>
        <v>553.49963763033088</v>
      </c>
      <c r="AG566" s="436">
        <f t="shared" si="1305"/>
        <v>1844.1776855513522</v>
      </c>
      <c r="AH566" s="436">
        <f t="shared" ref="AH566" si="1306">IFERROR((AH565-AD565)*10000,"NA  ")</f>
        <v>1116.2357459243208</v>
      </c>
      <c r="AI566" s="436">
        <f t="shared" ref="AI566" si="1307">IFERROR((AI565-AE565)*10000,"NA  ")</f>
        <v>1844.9530800489185</v>
      </c>
      <c r="AJ566" s="436">
        <f t="shared" ref="AJ566" si="1308">IFERROR((AJ565-AF565)*10000,"NA  ")</f>
        <v>909.96650153543806</v>
      </c>
      <c r="AK566" s="79"/>
      <c r="AL566" s="443"/>
      <c r="AM566" s="436">
        <f t="shared" ref="AM566:AX566" si="1309">IFERROR((AM565-AL565)*10000,"NA  ")</f>
        <v>-55.712486409700837</v>
      </c>
      <c r="AN566" s="436">
        <f t="shared" si="1309"/>
        <v>-11.420320728254275</v>
      </c>
      <c r="AO566" s="436">
        <f t="shared" si="1309"/>
        <v>-258.83121308496129</v>
      </c>
      <c r="AP566" s="436">
        <f t="shared" si="1309"/>
        <v>-297.49301911688008</v>
      </c>
      <c r="AQ566" s="436">
        <f t="shared" si="1309"/>
        <v>-113.85886665112255</v>
      </c>
      <c r="AR566" s="436">
        <f t="shared" si="1309"/>
        <v>-149.3360170371194</v>
      </c>
      <c r="AS566" s="436">
        <f t="shared" si="1309"/>
        <v>-575.14934289127848</v>
      </c>
      <c r="AT566" s="436">
        <f t="shared" si="1309"/>
        <v>-277.71254620569704</v>
      </c>
      <c r="AU566" s="436">
        <f t="shared" si="1309"/>
        <v>1404.8286443291415</v>
      </c>
      <c r="AV566" s="436">
        <f t="shared" si="1309"/>
        <v>-8.3344515022443222</v>
      </c>
      <c r="AW566" s="436">
        <f t="shared" si="1309"/>
        <v>2.548209864987605</v>
      </c>
      <c r="AX566" s="436">
        <f t="shared" si="1309"/>
        <v>111.80084000427637</v>
      </c>
    </row>
    <row r="567" spans="3:62" ht="11.25" customHeight="1" outlineLevel="1">
      <c r="C567" s="114"/>
      <c r="E567" s="94"/>
      <c r="F567" s="94"/>
      <c r="G567" s="94"/>
      <c r="H567" s="94"/>
      <c r="I567" s="94"/>
      <c r="J567" s="94"/>
      <c r="K567" s="94"/>
      <c r="L567" s="94"/>
      <c r="M567" s="94"/>
      <c r="N567" s="94"/>
      <c r="O567" s="94"/>
      <c r="P567" s="94"/>
      <c r="Q567" s="94"/>
      <c r="R567" s="94"/>
      <c r="AK567" s="79"/>
      <c r="AL567" s="94"/>
      <c r="AM567" s="94"/>
      <c r="AN567" s="94"/>
      <c r="AO567" s="94"/>
      <c r="AP567" s="94"/>
    </row>
    <row r="568" spans="3:62" ht="11.25" customHeight="1">
      <c r="C568" s="26" t="s">
        <v>397</v>
      </c>
      <c r="AK568" s="79"/>
    </row>
    <row r="569" spans="3:62" ht="11.25" customHeight="1">
      <c r="C569" s="43" t="s">
        <v>198</v>
      </c>
      <c r="E569" s="47"/>
      <c r="F569" s="47"/>
      <c r="G569" s="47"/>
      <c r="H569" s="47"/>
      <c r="I569" s="47"/>
      <c r="J569" s="47"/>
      <c r="K569" s="47"/>
      <c r="L569" s="47"/>
      <c r="M569" s="47"/>
      <c r="N569" s="47"/>
      <c r="O569" s="47"/>
      <c r="P569" s="47"/>
      <c r="Q569" s="47"/>
      <c r="R569" s="47"/>
      <c r="AK569" s="79"/>
      <c r="AL569" s="66">
        <v>0.79</v>
      </c>
      <c r="AM569" s="66">
        <v>0.78</v>
      </c>
      <c r="AN569" s="66">
        <v>0.8</v>
      </c>
      <c r="AO569" s="66">
        <v>0.77</v>
      </c>
      <c r="AP569" s="66">
        <v>0.69</v>
      </c>
      <c r="AQ569" s="66">
        <v>0.68</v>
      </c>
      <c r="AR569" s="66">
        <v>0.7</v>
      </c>
      <c r="AS569" s="66">
        <v>0.64</v>
      </c>
      <c r="AT569" s="66">
        <v>0.64</v>
      </c>
      <c r="AU569" s="63">
        <f>AU575/AU$579</f>
        <v>0.62511627906976752</v>
      </c>
      <c r="AV569" s="63">
        <f t="shared" ref="AV569:AX569" si="1310">AV575/AV$579</f>
        <v>0.61143224149004505</v>
      </c>
      <c r="AW569" s="63">
        <f t="shared" si="1310"/>
        <v>0.6010022480780618</v>
      </c>
      <c r="AX569" s="63">
        <f t="shared" si="1310"/>
        <v>0.59568598403635098</v>
      </c>
    </row>
    <row r="570" spans="3:62" ht="11.25" customHeight="1">
      <c r="C570" s="43" t="s">
        <v>199</v>
      </c>
      <c r="E570" s="47"/>
      <c r="F570" s="47"/>
      <c r="G570" s="47"/>
      <c r="H570" s="47"/>
      <c r="I570" s="47"/>
      <c r="J570" s="47"/>
      <c r="K570" s="47"/>
      <c r="L570" s="47"/>
      <c r="M570" s="47"/>
      <c r="N570" s="47"/>
      <c r="O570" s="47"/>
      <c r="P570" s="47"/>
      <c r="Q570" s="47"/>
      <c r="R570" s="47"/>
      <c r="AK570" s="79"/>
      <c r="AL570" s="66">
        <v>0.105</v>
      </c>
      <c r="AM570" s="66">
        <v>0.14000000000000001</v>
      </c>
      <c r="AN570" s="66">
        <v>0.13</v>
      </c>
      <c r="AO570" s="66">
        <v>0.15</v>
      </c>
      <c r="AP570" s="66">
        <v>0.15</v>
      </c>
      <c r="AQ570" s="66">
        <v>0.15</v>
      </c>
      <c r="AR570" s="66">
        <v>0.16</v>
      </c>
      <c r="AS570" s="66">
        <v>0.16</v>
      </c>
      <c r="AT570" s="66">
        <v>0.16</v>
      </c>
      <c r="AU570" s="63">
        <f t="shared" ref="AU570:AX572" si="1311">AU576/AU$579</f>
        <v>0.16372093023255813</v>
      </c>
      <c r="AV570" s="63">
        <f t="shared" si="1311"/>
        <v>0.16877185470634412</v>
      </c>
      <c r="AW570" s="63">
        <f t="shared" si="1311"/>
        <v>0.17077209687435313</v>
      </c>
      <c r="AX570" s="63">
        <f t="shared" si="1311"/>
        <v>0.17093736073650384</v>
      </c>
    </row>
    <row r="571" spans="3:62" ht="11.25" customHeight="1">
      <c r="C571" s="43" t="s">
        <v>200</v>
      </c>
      <c r="E571" s="47"/>
      <c r="F571" s="47"/>
      <c r="G571" s="47"/>
      <c r="H571" s="47"/>
      <c r="I571" s="47"/>
      <c r="J571" s="47"/>
      <c r="K571" s="47"/>
      <c r="L571" s="47"/>
      <c r="M571" s="47"/>
      <c r="N571" s="47"/>
      <c r="O571" s="47"/>
      <c r="P571" s="47"/>
      <c r="Q571" s="47"/>
      <c r="R571" s="47"/>
      <c r="AK571" s="79"/>
      <c r="AL571" s="66">
        <v>0.105</v>
      </c>
      <c r="AM571" s="66">
        <v>0.08</v>
      </c>
      <c r="AN571" s="66">
        <v>7.0000000000000007E-2</v>
      </c>
      <c r="AO571" s="66">
        <v>0.08</v>
      </c>
      <c r="AP571" s="66">
        <v>0.1</v>
      </c>
      <c r="AQ571" s="66">
        <v>0.12</v>
      </c>
      <c r="AR571" s="66">
        <v>0.09</v>
      </c>
      <c r="AS571" s="66">
        <v>0.14000000000000001</v>
      </c>
      <c r="AT571" s="66">
        <v>0.14000000000000001</v>
      </c>
      <c r="AU571" s="63">
        <f t="shared" si="1311"/>
        <v>0.14976744186046512</v>
      </c>
      <c r="AV571" s="63">
        <f t="shared" si="1311"/>
        <v>0.15797830585884537</v>
      </c>
      <c r="AW571" s="63">
        <f t="shared" si="1311"/>
        <v>0.16746256011322228</v>
      </c>
      <c r="AX571" s="63">
        <f t="shared" si="1311"/>
        <v>0.1725547571046217</v>
      </c>
    </row>
    <row r="572" spans="3:62" ht="11.25" customHeight="1">
      <c r="C572" s="43" t="s">
        <v>201</v>
      </c>
      <c r="E572" s="47"/>
      <c r="F572" s="47"/>
      <c r="G572" s="47"/>
      <c r="H572" s="47"/>
      <c r="I572" s="47"/>
      <c r="J572" s="47"/>
      <c r="K572" s="47"/>
      <c r="L572" s="47"/>
      <c r="M572" s="47"/>
      <c r="N572" s="47"/>
      <c r="O572" s="47"/>
      <c r="P572" s="47"/>
      <c r="Q572" s="47"/>
      <c r="R572" s="47"/>
      <c r="AK572" s="79"/>
      <c r="AL572" s="66">
        <v>0</v>
      </c>
      <c r="AM572" s="66">
        <v>0</v>
      </c>
      <c r="AN572" s="66">
        <v>0</v>
      </c>
      <c r="AO572" s="66">
        <v>0</v>
      </c>
      <c r="AP572" s="66">
        <v>0.06</v>
      </c>
      <c r="AQ572" s="66">
        <v>0.05</v>
      </c>
      <c r="AR572" s="66">
        <v>0.05</v>
      </c>
      <c r="AS572" s="66">
        <v>0.06</v>
      </c>
      <c r="AT572" s="66">
        <v>0.06</v>
      </c>
      <c r="AU572" s="63">
        <f t="shared" si="1311"/>
        <v>6.1395348837209311E-2</v>
      </c>
      <c r="AV572" s="63">
        <f t="shared" si="1311"/>
        <v>6.1817597944765587E-2</v>
      </c>
      <c r="AW572" s="63">
        <f t="shared" si="1311"/>
        <v>6.0763094934362868E-2</v>
      </c>
      <c r="AX572" s="63">
        <f t="shared" si="1311"/>
        <v>6.082189812252347E-2</v>
      </c>
    </row>
    <row r="573" spans="3:62" s="27" customFormat="1" ht="11.25" customHeight="1">
      <c r="C573" s="45" t="s">
        <v>168</v>
      </c>
      <c r="E573" s="61"/>
      <c r="F573" s="61"/>
      <c r="G573" s="61"/>
      <c r="H573" s="61"/>
      <c r="I573" s="61"/>
      <c r="J573" s="61"/>
      <c r="K573" s="61"/>
      <c r="L573" s="61"/>
      <c r="M573" s="61"/>
      <c r="N573" s="61"/>
      <c r="O573" s="61"/>
      <c r="P573" s="61"/>
      <c r="Q573" s="61"/>
      <c r="R573" s="61"/>
      <c r="AL573" s="67">
        <f t="shared" ref="AL573:AQ573" si="1312">+SUM(AL569:AL572)</f>
        <v>1</v>
      </c>
      <c r="AM573" s="67">
        <f t="shared" si="1312"/>
        <v>1</v>
      </c>
      <c r="AN573" s="67">
        <f t="shared" si="1312"/>
        <v>1</v>
      </c>
      <c r="AO573" s="67">
        <f t="shared" si="1312"/>
        <v>1</v>
      </c>
      <c r="AP573" s="67">
        <f t="shared" si="1312"/>
        <v>1</v>
      </c>
      <c r="AQ573" s="67">
        <f t="shared" si="1312"/>
        <v>1</v>
      </c>
      <c r="AR573" s="67">
        <f t="shared" ref="AR573" si="1313">+SUM(AR569:AR572)</f>
        <v>1</v>
      </c>
      <c r="AS573" s="67">
        <f t="shared" ref="AS573:AU573" si="1314">+SUM(AS569:AS572)</f>
        <v>1</v>
      </c>
      <c r="AT573" s="67">
        <f t="shared" si="1314"/>
        <v>1</v>
      </c>
      <c r="AU573" s="67">
        <f t="shared" si="1314"/>
        <v>1</v>
      </c>
      <c r="AV573" s="67">
        <f t="shared" ref="AV573:AX573" si="1315">+SUM(AV569:AV572)</f>
        <v>1</v>
      </c>
      <c r="AW573" s="67">
        <f t="shared" si="1315"/>
        <v>1</v>
      </c>
      <c r="AX573" s="67">
        <f t="shared" si="1315"/>
        <v>1</v>
      </c>
      <c r="AY573" s="1"/>
      <c r="BH573" s="24"/>
      <c r="BI573" s="24"/>
      <c r="BJ573" s="24"/>
    </row>
    <row r="574" spans="3:62" ht="11.25" customHeight="1">
      <c r="C574" s="25"/>
      <c r="AY574" s="1432"/>
      <c r="BB574" s="1376" t="s">
        <v>1719</v>
      </c>
      <c r="BC574" s="1375">
        <v>2021</v>
      </c>
      <c r="BD574" s="1376">
        <v>2022</v>
      </c>
    </row>
    <row r="575" spans="3:62" ht="11.25" customHeight="1">
      <c r="C575" s="43" t="str">
        <f>+C569</f>
        <v>Acetate Tow</v>
      </c>
      <c r="E575" s="47"/>
      <c r="F575" s="47"/>
      <c r="G575" s="47"/>
      <c r="H575" s="47"/>
      <c r="I575" s="47"/>
      <c r="J575" s="47"/>
      <c r="K575" s="47"/>
      <c r="L575" s="47"/>
      <c r="M575" s="47"/>
      <c r="N575" s="47"/>
      <c r="O575" s="47"/>
      <c r="P575" s="47"/>
      <c r="Q575" s="47"/>
      <c r="R575" s="47"/>
      <c r="AL575" s="28">
        <f t="shared" ref="AL575:AT575" si="1316">+AL569*AL$513</f>
        <v>1151.03</v>
      </c>
      <c r="AM575" s="28">
        <f t="shared" si="1316"/>
        <v>950.82</v>
      </c>
      <c r="AN575" s="28">
        <f t="shared" si="1316"/>
        <v>793.6</v>
      </c>
      <c r="AO575" s="28">
        <f t="shared" si="1316"/>
        <v>656.04</v>
      </c>
      <c r="AP575" s="28">
        <f t="shared" si="1316"/>
        <v>633.41999999999996</v>
      </c>
      <c r="AQ575" s="28">
        <f t="shared" si="1316"/>
        <v>590.92000000000007</v>
      </c>
      <c r="AR575" s="28">
        <f t="shared" si="1316"/>
        <v>585.9</v>
      </c>
      <c r="AS575" s="28">
        <f t="shared" si="1316"/>
        <v>576</v>
      </c>
      <c r="AT575" s="28">
        <f t="shared" si="1316"/>
        <v>654.08000000000004</v>
      </c>
      <c r="AU575" s="28">
        <f>(AU582+1)*AT575</f>
        <v>686.78400000000011</v>
      </c>
      <c r="AV575" s="28">
        <f t="shared" ref="AV575:AX575" si="1317">(AV582+1)*AU575</f>
        <v>700.51968000000011</v>
      </c>
      <c r="AW575" s="28">
        <f t="shared" si="1317"/>
        <v>714.53007360000015</v>
      </c>
      <c r="AX575" s="28">
        <f t="shared" si="1317"/>
        <v>721.67537433600012</v>
      </c>
      <c r="AY575" s="63">
        <f>RATE(8,,-AL575,AT575)</f>
        <v>-6.8210036330855289E-2</v>
      </c>
      <c r="AZ575" s="1385" t="s">
        <v>1721</v>
      </c>
      <c r="BB575" s="1377" t="s">
        <v>493</v>
      </c>
      <c r="BC575" s="1380">
        <v>2195</v>
      </c>
      <c r="BD575" s="1382">
        <v>2566</v>
      </c>
      <c r="BF575" s="63">
        <f>BD575/BC575-1</f>
        <v>0.16902050113895206</v>
      </c>
    </row>
    <row r="576" spans="3:62" ht="11.25" customHeight="1">
      <c r="C576" s="43" t="str">
        <f>+C570</f>
        <v>Acetyl Chemical Products</v>
      </c>
      <c r="E576" s="47"/>
      <c r="F576" s="47"/>
      <c r="G576" s="47"/>
      <c r="H576" s="47"/>
      <c r="I576" s="47"/>
      <c r="J576" s="47"/>
      <c r="K576" s="47"/>
      <c r="L576" s="47"/>
      <c r="M576" s="47"/>
      <c r="N576" s="47"/>
      <c r="O576" s="47"/>
      <c r="P576" s="47"/>
      <c r="Q576" s="47"/>
      <c r="R576" s="47"/>
      <c r="AK576" s="79"/>
      <c r="AL576" s="28">
        <f t="shared" ref="AL576:AT576" si="1318">+AL570*AL$513</f>
        <v>152.98499999999999</v>
      </c>
      <c r="AM576" s="28">
        <f t="shared" si="1318"/>
        <v>170.66000000000003</v>
      </c>
      <c r="AN576" s="28">
        <f t="shared" si="1318"/>
        <v>128.96</v>
      </c>
      <c r="AO576" s="28">
        <f t="shared" si="1318"/>
        <v>127.8</v>
      </c>
      <c r="AP576" s="28">
        <f t="shared" si="1318"/>
        <v>137.69999999999999</v>
      </c>
      <c r="AQ576" s="28">
        <f t="shared" si="1318"/>
        <v>130.35</v>
      </c>
      <c r="AR576" s="28">
        <f t="shared" si="1318"/>
        <v>133.92000000000002</v>
      </c>
      <c r="AS576" s="28">
        <f t="shared" si="1318"/>
        <v>144</v>
      </c>
      <c r="AT576" s="28">
        <f t="shared" si="1318"/>
        <v>163.52000000000001</v>
      </c>
      <c r="AU576" s="28">
        <f t="shared" ref="AU576:AX576" si="1319">(AU583+1)*AT576</f>
        <v>179.87200000000001</v>
      </c>
      <c r="AV576" s="28">
        <f t="shared" si="1319"/>
        <v>193.36240000000001</v>
      </c>
      <c r="AW576" s="28">
        <f t="shared" si="1319"/>
        <v>203.03052000000002</v>
      </c>
      <c r="AX576" s="28">
        <f t="shared" si="1319"/>
        <v>207.09113040000003</v>
      </c>
      <c r="AY576" s="63">
        <f>RATE(8,,-AL576,AT576)</f>
        <v>8.3591731049982628E-3</v>
      </c>
      <c r="AZ576" s="1385" t="s">
        <v>1722</v>
      </c>
      <c r="BB576" s="1378" t="s">
        <v>472</v>
      </c>
      <c r="BC576" s="1381">
        <v>363</v>
      </c>
      <c r="BD576" s="1383">
        <v>242</v>
      </c>
      <c r="BE576" s="29">
        <f>AVERAGE(320,420)</f>
        <v>370</v>
      </c>
      <c r="BF576" s="63">
        <f>BD576/BC576-1</f>
        <v>-0.33333333333333337</v>
      </c>
      <c r="BG576" s="63">
        <f>BE576/BD576-1</f>
        <v>0.52892561983471076</v>
      </c>
    </row>
    <row r="577" spans="2:62" ht="11.25" customHeight="1">
      <c r="C577" s="43" t="str">
        <f>+C571</f>
        <v>Acetate Yarn</v>
      </c>
      <c r="E577" s="47"/>
      <c r="F577" s="47"/>
      <c r="G577" s="47"/>
      <c r="H577" s="47"/>
      <c r="I577" s="47"/>
      <c r="J577" s="47"/>
      <c r="K577" s="47"/>
      <c r="L577" s="47"/>
      <c r="M577" s="47"/>
      <c r="N577" s="47"/>
      <c r="O577" s="47"/>
      <c r="P577" s="47"/>
      <c r="Q577" s="47"/>
      <c r="R577" s="47"/>
      <c r="AK577" s="79"/>
      <c r="AL577" s="28">
        <f t="shared" ref="AL577:AT577" si="1320">+AL571*AL$513</f>
        <v>152.98499999999999</v>
      </c>
      <c r="AM577" s="28">
        <f t="shared" si="1320"/>
        <v>97.52</v>
      </c>
      <c r="AN577" s="28">
        <f t="shared" si="1320"/>
        <v>69.440000000000012</v>
      </c>
      <c r="AO577" s="28">
        <f t="shared" si="1320"/>
        <v>68.16</v>
      </c>
      <c r="AP577" s="28">
        <f t="shared" si="1320"/>
        <v>91.800000000000011</v>
      </c>
      <c r="AQ577" s="28">
        <f t="shared" si="1320"/>
        <v>104.28</v>
      </c>
      <c r="AR577" s="28">
        <f t="shared" si="1320"/>
        <v>75.33</v>
      </c>
      <c r="AS577" s="28">
        <f t="shared" si="1320"/>
        <v>126.00000000000001</v>
      </c>
      <c r="AT577" s="28">
        <f t="shared" si="1320"/>
        <v>143.08000000000001</v>
      </c>
      <c r="AU577" s="28">
        <f t="shared" ref="AU577:AX577" si="1321">(AU584+1)*AT577</f>
        <v>164.542</v>
      </c>
      <c r="AV577" s="28">
        <f t="shared" si="1321"/>
        <v>180.99620000000002</v>
      </c>
      <c r="AW577" s="28">
        <f t="shared" si="1321"/>
        <v>199.09582000000003</v>
      </c>
      <c r="AX577" s="28">
        <f t="shared" si="1321"/>
        <v>209.05061100000003</v>
      </c>
      <c r="AY577" s="63">
        <f>RATE(8,,-AL577,AT577)</f>
        <v>-8.3320894869921541E-3</v>
      </c>
      <c r="AZ577" s="1385" t="s">
        <v>1723</v>
      </c>
      <c r="BB577" s="1379" t="s">
        <v>1720</v>
      </c>
      <c r="BC577" s="1374">
        <f>BC576/BC575</f>
        <v>0.16537585421412301</v>
      </c>
      <c r="BD577" s="1384">
        <f>BD576/BD575</f>
        <v>9.4310210444271236E-2</v>
      </c>
      <c r="BE577" s="66"/>
    </row>
    <row r="578" spans="2:62" ht="11.25" customHeight="1">
      <c r="C578" s="43" t="str">
        <f>+C572</f>
        <v>Nonwovens</v>
      </c>
      <c r="E578" s="47"/>
      <c r="F578" s="47"/>
      <c r="G578" s="47"/>
      <c r="H578" s="47"/>
      <c r="I578" s="47"/>
      <c r="J578" s="47"/>
      <c r="K578" s="47"/>
      <c r="L578" s="47"/>
      <c r="M578" s="47"/>
      <c r="N578" s="47"/>
      <c r="O578" s="47"/>
      <c r="P578" s="47"/>
      <c r="Q578" s="47"/>
      <c r="R578" s="47"/>
      <c r="AK578" s="79"/>
      <c r="AL578" s="28">
        <f t="shared" ref="AL578:AT578" si="1322">+AL572*AL$513</f>
        <v>0</v>
      </c>
      <c r="AM578" s="28">
        <f t="shared" si="1322"/>
        <v>0</v>
      </c>
      <c r="AN578" s="28">
        <f t="shared" si="1322"/>
        <v>0</v>
      </c>
      <c r="AO578" s="28">
        <f t="shared" si="1322"/>
        <v>0</v>
      </c>
      <c r="AP578" s="28">
        <f t="shared" si="1322"/>
        <v>55.08</v>
      </c>
      <c r="AQ578" s="28">
        <f t="shared" si="1322"/>
        <v>43.45</v>
      </c>
      <c r="AR578" s="28">
        <f t="shared" si="1322"/>
        <v>41.85</v>
      </c>
      <c r="AS578" s="28">
        <f t="shared" si="1322"/>
        <v>54</v>
      </c>
      <c r="AT578" s="28">
        <f t="shared" si="1322"/>
        <v>61.32</v>
      </c>
      <c r="AU578" s="28">
        <f t="shared" ref="AU578:AX578" si="1323">(AU585+1)*AT578</f>
        <v>67.452000000000012</v>
      </c>
      <c r="AV578" s="28">
        <f t="shared" si="1323"/>
        <v>70.824600000000018</v>
      </c>
      <c r="AW578" s="28">
        <f t="shared" si="1323"/>
        <v>72.241092000000023</v>
      </c>
      <c r="AX578" s="28">
        <f t="shared" si="1323"/>
        <v>73.685913840000026</v>
      </c>
      <c r="AY578" s="63"/>
      <c r="BD578" s="63">
        <f>BD577-BC577</f>
        <v>-7.1065643769851777E-2</v>
      </c>
    </row>
    <row r="579" spans="2:62" s="27" customFormat="1" ht="11.25" customHeight="1">
      <c r="C579" s="45" t="s">
        <v>168</v>
      </c>
      <c r="E579" s="61"/>
      <c r="F579" s="61"/>
      <c r="G579" s="61"/>
      <c r="H579" s="61"/>
      <c r="I579" s="61"/>
      <c r="J579" s="61"/>
      <c r="K579" s="61"/>
      <c r="L579" s="61"/>
      <c r="M579" s="61"/>
      <c r="N579" s="61"/>
      <c r="O579" s="61"/>
      <c r="P579" s="61"/>
      <c r="Q579" s="61"/>
      <c r="R579" s="61"/>
      <c r="AK579" s="79"/>
      <c r="AL579" s="35">
        <f t="shared" ref="AL579:AQ579" si="1324">+SUM(AL575:AL578)</f>
        <v>1456.9999999999998</v>
      </c>
      <c r="AM579" s="35">
        <f t="shared" si="1324"/>
        <v>1219</v>
      </c>
      <c r="AN579" s="35">
        <f t="shared" si="1324"/>
        <v>992.00000000000011</v>
      </c>
      <c r="AO579" s="35">
        <f t="shared" si="1324"/>
        <v>851.99999999999989</v>
      </c>
      <c r="AP579" s="35">
        <f t="shared" si="1324"/>
        <v>917.99999999999989</v>
      </c>
      <c r="AQ579" s="35">
        <f t="shared" si="1324"/>
        <v>869.00000000000011</v>
      </c>
      <c r="AR579" s="35">
        <f t="shared" ref="AR579" si="1325">+SUM(AR575:AR578)</f>
        <v>837</v>
      </c>
      <c r="AS579" s="35">
        <f t="shared" ref="AS579:AX579" si="1326">+SUM(AS575:AS578)</f>
        <v>900</v>
      </c>
      <c r="AT579" s="35">
        <f t="shared" si="1326"/>
        <v>1022.0000000000001</v>
      </c>
      <c r="AU579" s="35">
        <f t="shared" si="1326"/>
        <v>1098.6500000000001</v>
      </c>
      <c r="AV579" s="35">
        <f t="shared" si="1326"/>
        <v>1145.7028800000001</v>
      </c>
      <c r="AW579" s="35">
        <f t="shared" si="1326"/>
        <v>1188.8975056000002</v>
      </c>
      <c r="AX579" s="35">
        <f t="shared" si="1326"/>
        <v>1211.5030295760002</v>
      </c>
      <c r="AY579" s="63">
        <f>RATE(8,,-AL579,AT579)</f>
        <v>-4.3359158710679212E-2</v>
      </c>
      <c r="BH579" s="24"/>
      <c r="BI579" s="24"/>
      <c r="BJ579" s="24"/>
    </row>
    <row r="580" spans="2:62" s="27" customFormat="1" ht="11.25" customHeight="1">
      <c r="C580" s="45"/>
      <c r="E580" s="61"/>
      <c r="F580" s="61"/>
      <c r="G580" s="61"/>
      <c r="H580" s="61"/>
      <c r="I580" s="61"/>
      <c r="J580" s="61"/>
      <c r="K580" s="61"/>
      <c r="L580" s="61"/>
      <c r="M580" s="61"/>
      <c r="N580" s="61"/>
      <c r="O580" s="61"/>
      <c r="P580" s="61"/>
      <c r="Q580" s="61"/>
      <c r="R580" s="61"/>
      <c r="AK580" s="79"/>
      <c r="AL580" s="30"/>
      <c r="AM580" s="30"/>
      <c r="AN580" s="30"/>
      <c r="AO580" s="30"/>
      <c r="AP580" s="30"/>
      <c r="AQ580" s="30"/>
      <c r="AR580" s="30"/>
      <c r="AS580" s="30"/>
      <c r="AT580" s="30"/>
      <c r="AU580" s="79">
        <f>AU513</f>
        <v>1179.8</v>
      </c>
      <c r="AV580" s="79">
        <f t="shared" ref="AV580:AX580" si="1327">AV513</f>
        <v>1197.4969999999998</v>
      </c>
      <c r="AW580" s="79">
        <f t="shared" si="1327"/>
        <v>1215.4594549999999</v>
      </c>
      <c r="AX580" s="79">
        <f t="shared" si="1327"/>
        <v>1233.691346825</v>
      </c>
      <c r="AY580" s="1"/>
      <c r="AZ580" s="566" t="s">
        <v>1769</v>
      </c>
      <c r="BH580" s="24"/>
      <c r="BI580" s="24"/>
      <c r="BJ580" s="24"/>
    </row>
    <row r="581" spans="2:62" s="27" customFormat="1" ht="11.25" customHeight="1">
      <c r="C581" s="26" t="s">
        <v>1669</v>
      </c>
      <c r="E581" s="61"/>
      <c r="F581" s="61"/>
      <c r="G581" s="61"/>
      <c r="H581" s="61"/>
      <c r="I581" s="61"/>
      <c r="J581" s="61"/>
      <c r="K581" s="61"/>
      <c r="L581" s="61"/>
      <c r="M581" s="61"/>
      <c r="N581" s="61"/>
      <c r="O581" s="61"/>
      <c r="P581" s="61"/>
      <c r="Q581" s="61"/>
      <c r="R581" s="61"/>
      <c r="AK581" s="79"/>
      <c r="AL581" s="30"/>
      <c r="AM581" s="30"/>
      <c r="AN581" s="30"/>
      <c r="AO581" s="30"/>
      <c r="AP581" s="30"/>
      <c r="AQ581" s="30"/>
      <c r="AR581" s="30"/>
      <c r="AS581" s="30"/>
      <c r="AT581" s="30"/>
      <c r="AV581" s="63"/>
      <c r="AY581" s="1"/>
      <c r="BH581" s="24"/>
      <c r="BI581" s="24"/>
      <c r="BJ581" s="24"/>
    </row>
    <row r="582" spans="2:62" s="27" customFormat="1" ht="11.25" customHeight="1">
      <c r="C582" s="43" t="str">
        <f>+C575</f>
        <v>Acetate Tow</v>
      </c>
      <c r="E582" s="61"/>
      <c r="F582" s="61"/>
      <c r="G582" s="61"/>
      <c r="H582" s="61"/>
      <c r="I582" s="61"/>
      <c r="J582" s="61"/>
      <c r="K582" s="61"/>
      <c r="L582" s="61"/>
      <c r="M582" s="61"/>
      <c r="N582" s="61"/>
      <c r="O582" s="61"/>
      <c r="P582" s="61"/>
      <c r="Q582" s="61"/>
      <c r="R582" s="61"/>
      <c r="AK582" s="79"/>
      <c r="AL582" s="30"/>
      <c r="AM582" s="88">
        <f t="shared" ref="AM582:AT582" si="1328">AM575/AL575-1</f>
        <v>-0.17393986255788285</v>
      </c>
      <c r="AN582" s="88">
        <f t="shared" si="1328"/>
        <v>-0.16535201194758209</v>
      </c>
      <c r="AO582" s="88">
        <f t="shared" si="1328"/>
        <v>-0.17333669354838721</v>
      </c>
      <c r="AP582" s="88">
        <f t="shared" si="1328"/>
        <v>-3.4479604902140082E-2</v>
      </c>
      <c r="AQ582" s="88">
        <f t="shared" si="1328"/>
        <v>-6.7096081588835066E-2</v>
      </c>
      <c r="AR582" s="88">
        <f t="shared" si="1328"/>
        <v>-8.4952277804103415E-3</v>
      </c>
      <c r="AS582" s="88">
        <f t="shared" si="1328"/>
        <v>-1.6897081413210446E-2</v>
      </c>
      <c r="AT582" s="88">
        <f t="shared" si="1328"/>
        <v>0.13555555555555565</v>
      </c>
      <c r="AU582" s="1295">
        <v>0.05</v>
      </c>
      <c r="AV582" s="1295">
        <v>0.02</v>
      </c>
      <c r="AW582" s="1295">
        <v>0.02</v>
      </c>
      <c r="AX582" s="1295">
        <v>0.01</v>
      </c>
      <c r="AY582" s="1"/>
      <c r="BH582" s="24"/>
      <c r="BI582" s="24"/>
      <c r="BJ582" s="24"/>
    </row>
    <row r="583" spans="2:62" s="27" customFormat="1" ht="11.25" customHeight="1">
      <c r="C583" s="43" t="str">
        <f>+C576</f>
        <v>Acetyl Chemical Products</v>
      </c>
      <c r="E583" s="61"/>
      <c r="F583" s="61"/>
      <c r="G583" s="61"/>
      <c r="H583" s="61"/>
      <c r="I583" s="61"/>
      <c r="J583" s="61"/>
      <c r="K583" s="61"/>
      <c r="L583" s="61"/>
      <c r="M583" s="61"/>
      <c r="N583" s="61"/>
      <c r="O583" s="61"/>
      <c r="P583" s="61"/>
      <c r="Q583" s="61"/>
      <c r="R583" s="61"/>
      <c r="AK583" s="79"/>
      <c r="AL583" s="30"/>
      <c r="AM583" s="88">
        <f t="shared" ref="AM583:AT583" si="1329">AM576/AL576-1</f>
        <v>0.11553420269961134</v>
      </c>
      <c r="AN583" s="88">
        <f t="shared" si="1329"/>
        <v>-0.24434548224540031</v>
      </c>
      <c r="AO583" s="88">
        <f t="shared" si="1329"/>
        <v>-8.9950372208437157E-3</v>
      </c>
      <c r="AP583" s="88">
        <f t="shared" si="1329"/>
        <v>7.7464788732394263E-2</v>
      </c>
      <c r="AQ583" s="88">
        <f t="shared" si="1329"/>
        <v>-5.3376906318082784E-2</v>
      </c>
      <c r="AR583" s="88">
        <f t="shared" si="1329"/>
        <v>2.7387802071346501E-2</v>
      </c>
      <c r="AS583" s="88">
        <f t="shared" si="1329"/>
        <v>7.5268817204301008E-2</v>
      </c>
      <c r="AT583" s="88">
        <f t="shared" si="1329"/>
        <v>0.13555555555555565</v>
      </c>
      <c r="AU583" s="1295">
        <v>0.1</v>
      </c>
      <c r="AV583" s="1295">
        <v>7.4999999999999997E-2</v>
      </c>
      <c r="AW583" s="1295">
        <v>0.05</v>
      </c>
      <c r="AX583" s="1295">
        <v>0.02</v>
      </c>
      <c r="AY583" s="1"/>
      <c r="BH583" s="24"/>
      <c r="BI583" s="24"/>
      <c r="BJ583" s="24"/>
    </row>
    <row r="584" spans="2:62" s="27" customFormat="1" ht="11.25" customHeight="1">
      <c r="C584" s="43" t="str">
        <f>+C577</f>
        <v>Acetate Yarn</v>
      </c>
      <c r="E584" s="61"/>
      <c r="F584" s="61"/>
      <c r="G584" s="61"/>
      <c r="H584" s="61"/>
      <c r="I584" s="61"/>
      <c r="J584" s="61"/>
      <c r="K584" s="61"/>
      <c r="L584" s="61"/>
      <c r="M584" s="61"/>
      <c r="N584" s="61"/>
      <c r="O584" s="61"/>
      <c r="P584" s="61"/>
      <c r="Q584" s="61"/>
      <c r="R584" s="61"/>
      <c r="AK584" s="79"/>
      <c r="AL584" s="30"/>
      <c r="AM584" s="88">
        <f t="shared" ref="AM584:AT584" si="1330">AM577/AL577-1</f>
        <v>-0.36255188417165074</v>
      </c>
      <c r="AN584" s="88">
        <f t="shared" si="1330"/>
        <v>-0.28794093519278086</v>
      </c>
      <c r="AO584" s="88">
        <f t="shared" si="1330"/>
        <v>-1.8433179723502557E-2</v>
      </c>
      <c r="AP584" s="88">
        <f t="shared" si="1330"/>
        <v>0.34683098591549322</v>
      </c>
      <c r="AQ584" s="88">
        <f t="shared" si="1330"/>
        <v>0.13594771241830061</v>
      </c>
      <c r="AR584" s="88">
        <f t="shared" si="1330"/>
        <v>-0.27761795166858461</v>
      </c>
      <c r="AS584" s="88">
        <f t="shared" si="1330"/>
        <v>0.67264038231780199</v>
      </c>
      <c r="AT584" s="88">
        <f t="shared" si="1330"/>
        <v>0.13555555555555543</v>
      </c>
      <c r="AU584" s="1295">
        <v>0.15</v>
      </c>
      <c r="AV584" s="1295">
        <v>0.1</v>
      </c>
      <c r="AW584" s="1295">
        <v>0.1</v>
      </c>
      <c r="AX584" s="1295">
        <v>0.05</v>
      </c>
      <c r="AY584" s="1"/>
      <c r="AZ584" s="24"/>
      <c r="BH584" s="24"/>
      <c r="BI584" s="24"/>
      <c r="BJ584" s="24"/>
    </row>
    <row r="585" spans="2:62" s="27" customFormat="1" ht="11.25" customHeight="1">
      <c r="C585" s="43" t="str">
        <f>+C578</f>
        <v>Nonwovens</v>
      </c>
      <c r="E585" s="61"/>
      <c r="F585" s="61"/>
      <c r="G585" s="61"/>
      <c r="H585" s="61"/>
      <c r="I585" s="61"/>
      <c r="J585" s="61"/>
      <c r="K585" s="61"/>
      <c r="L585" s="61"/>
      <c r="M585" s="61"/>
      <c r="N585" s="61"/>
      <c r="O585" s="61"/>
      <c r="P585" s="61"/>
      <c r="Q585" s="61"/>
      <c r="R585" s="61"/>
      <c r="AK585" s="79"/>
      <c r="AL585" s="30"/>
      <c r="AM585" s="1271"/>
      <c r="AN585" s="1271"/>
      <c r="AO585" s="1271"/>
      <c r="AP585" s="1271"/>
      <c r="AQ585" s="88">
        <f t="shared" ref="AQ585:AT585" si="1331">AQ578/AP578-1</f>
        <v>-0.21114742193173563</v>
      </c>
      <c r="AR585" s="88">
        <f t="shared" si="1331"/>
        <v>-3.6823935558112808E-2</v>
      </c>
      <c r="AS585" s="88">
        <f t="shared" si="1331"/>
        <v>0.29032258064516125</v>
      </c>
      <c r="AT585" s="88">
        <f t="shared" si="1331"/>
        <v>0.13555555555555565</v>
      </c>
      <c r="AU585" s="1295">
        <v>0.1</v>
      </c>
      <c r="AV585" s="1295">
        <v>0.05</v>
      </c>
      <c r="AW585" s="1295">
        <v>0.02</v>
      </c>
      <c r="AX585" s="1295">
        <v>0.02</v>
      </c>
      <c r="AY585" s="1"/>
      <c r="AZ585" s="24"/>
    </row>
    <row r="586" spans="2:62" s="27" customFormat="1" ht="11.25" customHeight="1">
      <c r="C586" s="45" t="s">
        <v>168</v>
      </c>
      <c r="E586" s="61"/>
      <c r="F586" s="61"/>
      <c r="G586" s="61"/>
      <c r="H586" s="61"/>
      <c r="I586" s="61"/>
      <c r="J586" s="61"/>
      <c r="K586" s="61"/>
      <c r="L586" s="61"/>
      <c r="M586" s="61"/>
      <c r="N586" s="61"/>
      <c r="O586" s="61"/>
      <c r="P586" s="61"/>
      <c r="Q586" s="61"/>
      <c r="R586" s="61"/>
      <c r="AK586" s="79"/>
      <c r="AL586" s="30"/>
      <c r="AM586" s="655">
        <f t="shared" ref="AM586:AT586" si="1332">AM579/AL579-1</f>
        <v>-0.16334934797529155</v>
      </c>
      <c r="AN586" s="655">
        <f t="shared" si="1332"/>
        <v>-0.18621821164889241</v>
      </c>
      <c r="AO586" s="655">
        <f t="shared" si="1332"/>
        <v>-0.14112903225806472</v>
      </c>
      <c r="AP586" s="655">
        <f t="shared" si="1332"/>
        <v>7.7464788732394485E-2</v>
      </c>
      <c r="AQ586" s="655">
        <f t="shared" si="1332"/>
        <v>-5.3376906318082562E-2</v>
      </c>
      <c r="AR586" s="655">
        <f t="shared" si="1332"/>
        <v>-3.6823935558112919E-2</v>
      </c>
      <c r="AS586" s="655">
        <f t="shared" si="1332"/>
        <v>7.5268817204301008E-2</v>
      </c>
      <c r="AT586" s="655">
        <f t="shared" si="1332"/>
        <v>0.13555555555555565</v>
      </c>
      <c r="AU586" s="655">
        <f t="shared" ref="AU586" si="1333">AU579/AT579-1</f>
        <v>7.4999999999999956E-2</v>
      </c>
      <c r="AV586" s="655">
        <f t="shared" ref="AV586" si="1334">AV579/AU579-1</f>
        <v>4.2827906976744101E-2</v>
      </c>
      <c r="AW586" s="655">
        <f t="shared" ref="AW586" si="1335">AW579/AV579-1</f>
        <v>3.7701420109897965E-2</v>
      </c>
      <c r="AX586" s="655">
        <f t="shared" ref="AX586" si="1336">AX579/AW579-1</f>
        <v>1.9013854322616153E-2</v>
      </c>
      <c r="AY586" s="1"/>
      <c r="AZ586" s="24"/>
    </row>
    <row r="587" spans="2:62" s="27" customFormat="1" ht="11.25" customHeight="1">
      <c r="C587" s="45"/>
      <c r="E587" s="61"/>
      <c r="F587" s="61"/>
      <c r="G587" s="61"/>
      <c r="H587" s="61"/>
      <c r="I587" s="61"/>
      <c r="J587" s="61"/>
      <c r="K587" s="61"/>
      <c r="L587" s="61"/>
      <c r="M587" s="61"/>
      <c r="N587" s="61"/>
      <c r="O587" s="61"/>
      <c r="P587" s="61"/>
      <c r="Q587" s="61"/>
      <c r="R587" s="61"/>
      <c r="AK587" s="79"/>
      <c r="AL587" s="30"/>
      <c r="AM587" s="30"/>
      <c r="AN587" s="30"/>
      <c r="AO587" s="30"/>
      <c r="AP587" s="30"/>
      <c r="AQ587" s="30"/>
      <c r="AR587" s="30"/>
      <c r="AS587" s="30"/>
      <c r="AT587" s="30"/>
      <c r="AV587" s="63"/>
      <c r="AY587" s="1"/>
      <c r="AZ587" s="24"/>
    </row>
    <row r="588" spans="2:62" s="27" customFormat="1" ht="5.2" customHeight="1">
      <c r="C588" s="45"/>
      <c r="E588" s="61"/>
      <c r="F588" s="61"/>
      <c r="G588" s="61"/>
      <c r="H588" s="61"/>
      <c r="I588" s="61"/>
      <c r="J588" s="61"/>
      <c r="K588" s="61"/>
      <c r="L588" s="61"/>
      <c r="M588" s="61"/>
      <c r="N588" s="61"/>
      <c r="O588" s="61"/>
      <c r="P588" s="61"/>
      <c r="Q588" s="61"/>
      <c r="R588" s="61"/>
      <c r="AK588" s="79"/>
      <c r="AM588" s="30"/>
      <c r="AN588" s="30"/>
      <c r="AO588" s="30"/>
      <c r="AP588" s="30"/>
      <c r="AQ588" s="30"/>
      <c r="AR588" s="30"/>
      <c r="AS588" s="30"/>
      <c r="AT588" s="30"/>
      <c r="AY588" s="1"/>
      <c r="AZ588" s="24"/>
    </row>
    <row r="589" spans="2:62" s="1257" customFormat="1" ht="2.2000000000000002" customHeight="1">
      <c r="C589" s="1269"/>
      <c r="AK589" s="1260"/>
      <c r="AM589" s="1270"/>
      <c r="AN589" s="1270"/>
      <c r="AO589" s="1270"/>
      <c r="AP589" s="1270"/>
      <c r="AQ589" s="1270"/>
      <c r="AR589" s="1270"/>
      <c r="AS589" s="1270"/>
      <c r="AT589" s="1270"/>
      <c r="AY589" s="1262"/>
      <c r="AZ589" s="1262"/>
    </row>
    <row r="590" spans="2:62" ht="11.25" customHeight="1">
      <c r="C590" s="114"/>
      <c r="E590" s="94"/>
      <c r="F590" s="94"/>
      <c r="G590" s="94"/>
      <c r="H590" s="94"/>
      <c r="I590" s="94"/>
      <c r="J590" s="94"/>
      <c r="K590" s="94"/>
      <c r="L590" s="94"/>
      <c r="M590" s="94"/>
      <c r="N590" s="94"/>
      <c r="O590" s="94"/>
      <c r="P590" s="94"/>
      <c r="Q590" s="94"/>
      <c r="R590" s="94"/>
      <c r="AK590" s="79"/>
      <c r="AL590" s="94"/>
      <c r="AM590" s="94"/>
      <c r="AN590" s="94"/>
      <c r="AO590" s="94"/>
      <c r="AP590" s="94"/>
    </row>
    <row r="591" spans="2:62" ht="11.25" customHeight="1">
      <c r="B591" s="27" t="s">
        <v>14</v>
      </c>
      <c r="C591" s="26" t="s">
        <v>108</v>
      </c>
      <c r="E591" s="29"/>
      <c r="F591" s="29"/>
      <c r="G591" s="29"/>
      <c r="H591" s="29"/>
      <c r="I591" s="29"/>
      <c r="J591" s="29"/>
      <c r="K591" s="29"/>
      <c r="L591" s="29"/>
      <c r="M591" s="29"/>
      <c r="N591" s="29"/>
      <c r="O591" s="29"/>
      <c r="P591" s="29"/>
      <c r="AK591" s="79"/>
      <c r="AL591" s="29"/>
      <c r="AM591" s="29"/>
      <c r="AN591" s="29"/>
      <c r="AO591" s="29"/>
      <c r="AP591" s="29"/>
    </row>
    <row r="592" spans="2:62" s="27" customFormat="1" ht="11.25" customHeight="1">
      <c r="C592" s="36" t="s">
        <v>18</v>
      </c>
      <c r="E592" s="82">
        <v>10</v>
      </c>
      <c r="F592" s="82">
        <v>14</v>
      </c>
      <c r="G592" s="82">
        <v>11</v>
      </c>
      <c r="H592" s="82">
        <v>11</v>
      </c>
      <c r="I592" s="82">
        <v>13</v>
      </c>
      <c r="J592" s="82">
        <v>14</v>
      </c>
      <c r="K592" s="82">
        <v>13</v>
      </c>
      <c r="L592" s="82">
        <v>14</v>
      </c>
      <c r="M592" s="82">
        <v>0</v>
      </c>
      <c r="N592" s="82">
        <v>0</v>
      </c>
      <c r="O592" s="82">
        <v>0</v>
      </c>
      <c r="P592" s="82">
        <v>0</v>
      </c>
      <c r="Q592" s="82">
        <v>268</v>
      </c>
      <c r="R592" s="82">
        <v>264</v>
      </c>
      <c r="S592" s="82">
        <v>259</v>
      </c>
      <c r="T592" s="82">
        <v>230</v>
      </c>
      <c r="U592" s="82">
        <v>262</v>
      </c>
      <c r="V592" s="82">
        <v>187</v>
      </c>
      <c r="W592" s="82">
        <v>233</v>
      </c>
      <c r="X592" s="82">
        <v>245</v>
      </c>
      <c r="Y592" s="82">
        <v>262</v>
      </c>
      <c r="Z592" s="82">
        <v>270</v>
      </c>
      <c r="AA592" s="82">
        <v>268</v>
      </c>
      <c r="AB592" s="82">
        <v>192</v>
      </c>
      <c r="AC592" s="82">
        <v>160</v>
      </c>
      <c r="AD592" s="82">
        <v>0</v>
      </c>
      <c r="AE592" s="82">
        <v>0</v>
      </c>
      <c r="AF592" s="82">
        <v>0</v>
      </c>
      <c r="AG592" s="82">
        <v>1</v>
      </c>
      <c r="AH592" s="82">
        <v>0</v>
      </c>
      <c r="AI592" s="82">
        <v>0</v>
      </c>
      <c r="AJ592" s="82">
        <v>0</v>
      </c>
      <c r="AK592" s="79"/>
      <c r="AL592" s="82">
        <v>18</v>
      </c>
      <c r="AM592" s="82">
        <v>45</v>
      </c>
      <c r="AN592" s="31">
        <f t="shared" ref="AN592:AU592" si="1337">SUMIF($E$6:$AK$6,AN$6,$E592:$AK592)</f>
        <v>46</v>
      </c>
      <c r="AO592" s="31">
        <f t="shared" si="1337"/>
        <v>54</v>
      </c>
      <c r="AP592" s="31">
        <f t="shared" si="1337"/>
        <v>0</v>
      </c>
      <c r="AQ592" s="31">
        <f t="shared" si="1337"/>
        <v>1021</v>
      </c>
      <c r="AR592" s="31">
        <f t="shared" si="1337"/>
        <v>927</v>
      </c>
      <c r="AS592" s="31">
        <f t="shared" si="1337"/>
        <v>992</v>
      </c>
      <c r="AT592" s="31">
        <f t="shared" si="1337"/>
        <v>160</v>
      </c>
      <c r="AU592" s="31">
        <f t="shared" si="1337"/>
        <v>1</v>
      </c>
      <c r="AV592" s="82">
        <v>0</v>
      </c>
      <c r="AW592" s="82">
        <v>0</v>
      </c>
      <c r="AX592" s="82">
        <v>0</v>
      </c>
      <c r="AY592" s="1"/>
      <c r="AZ592" s="24"/>
      <c r="BA592" s="24"/>
      <c r="BB592" s="24"/>
      <c r="BC592" s="24"/>
    </row>
    <row r="593" spans="2:55" ht="11.25" customHeight="1" outlineLevel="1">
      <c r="C593" s="107" t="s">
        <v>358</v>
      </c>
      <c r="E593" s="90"/>
      <c r="F593" s="90"/>
      <c r="G593" s="90"/>
      <c r="H593" s="90"/>
      <c r="I593" s="94">
        <f>IFERROR(I592/E592-1,"NA  ")</f>
        <v>0.30000000000000004</v>
      </c>
      <c r="J593" s="94">
        <f>IFERROR(J592/F592-1,"NA  ")</f>
        <v>0</v>
      </c>
      <c r="K593" s="94">
        <f>IFERROR(K592/G592-1,"NA  ")</f>
        <v>0.18181818181818188</v>
      </c>
      <c r="L593" s="94">
        <f>IFERROR(L592/H592-1,"NA  ")</f>
        <v>0.27272727272727271</v>
      </c>
      <c r="M593" s="96"/>
      <c r="N593" s="96"/>
      <c r="O593" s="96"/>
      <c r="P593" s="96"/>
      <c r="Q593" s="96"/>
      <c r="R593" s="96"/>
      <c r="S593" s="96"/>
      <c r="T593" s="96"/>
      <c r="V593" s="63"/>
      <c r="AK593" s="79"/>
      <c r="AL593" s="47"/>
      <c r="AM593" s="94">
        <f>IFERROR(AM592/AL592-1,"NA  ")</f>
        <v>1.5</v>
      </c>
      <c r="AN593" s="94">
        <f>IFERROR(AN592/AM592-1,"NA  ")</f>
        <v>2.2222222222222143E-2</v>
      </c>
      <c r="AO593" s="94">
        <f>IFERROR(AO592/AN592-1,"NA  ")</f>
        <v>0.17391304347826098</v>
      </c>
      <c r="AP593" s="96"/>
      <c r="AQ593" s="96"/>
      <c r="AR593" s="96"/>
      <c r="AT593" s="135">
        <f>AT592-AS592</f>
        <v>-832</v>
      </c>
    </row>
    <row r="594" spans="2:55" ht="11.25" customHeight="1" outlineLevel="1">
      <c r="C594" s="107" t="s">
        <v>641</v>
      </c>
      <c r="E594" s="94">
        <f t="shared" ref="E594:L594" si="1338">E592/E$619</f>
        <v>4.4722719141323791E-3</v>
      </c>
      <c r="F594" s="94">
        <f t="shared" si="1338"/>
        <v>6.0949063996517195E-3</v>
      </c>
      <c r="G594" s="94">
        <f t="shared" si="1338"/>
        <v>4.809794490599038E-3</v>
      </c>
      <c r="H594" s="94">
        <f t="shared" si="1338"/>
        <v>5.0274223034734921E-3</v>
      </c>
      <c r="I594" s="94">
        <f t="shared" si="1338"/>
        <v>5.6448111159357363E-3</v>
      </c>
      <c r="J594" s="94">
        <f t="shared" si="1338"/>
        <v>5.7875155022736671E-3</v>
      </c>
      <c r="K594" s="94">
        <f t="shared" si="1338"/>
        <v>5.2738336713995942E-3</v>
      </c>
      <c r="L594" s="94">
        <f t="shared" si="1338"/>
        <v>5.9271803556308214E-3</v>
      </c>
      <c r="M594" s="96"/>
      <c r="N594" s="96"/>
      <c r="O594" s="96"/>
      <c r="P594" s="96"/>
      <c r="Q594" s="96"/>
      <c r="R594" s="96"/>
      <c r="S594" s="96"/>
      <c r="T594" s="96"/>
      <c r="V594" s="63"/>
      <c r="AK594" s="79"/>
      <c r="AL594" s="94">
        <f>AL592/AL$619</f>
        <v>1.8893670620342186E-3</v>
      </c>
      <c r="AM594" s="94">
        <f>AM592/AM$619</f>
        <v>4.6641791044776115E-3</v>
      </c>
      <c r="AN594" s="94">
        <f>AN592/AN$619</f>
        <v>5.1065719360568387E-3</v>
      </c>
      <c r="AO594" s="94">
        <f>AO592/AO$619</f>
        <v>5.6550424128180964E-3</v>
      </c>
      <c r="AP594" s="96"/>
      <c r="AQ594" s="96"/>
      <c r="AR594" s="96"/>
    </row>
    <row r="595" spans="2:55" ht="5.2" customHeight="1" outlineLevel="1">
      <c r="C595" s="43"/>
      <c r="E595" s="29"/>
      <c r="F595" s="29"/>
      <c r="G595" s="29"/>
      <c r="H595" s="29"/>
      <c r="I595" s="29"/>
      <c r="J595" s="29"/>
      <c r="K595" s="29"/>
      <c r="L595" s="29"/>
      <c r="M595" s="29"/>
      <c r="N595" s="29"/>
      <c r="O595" s="29"/>
      <c r="P595" s="29"/>
      <c r="Q595" s="127">
        <v>-43</v>
      </c>
      <c r="R595" s="127">
        <v>-35</v>
      </c>
      <c r="S595" s="127">
        <v>-21</v>
      </c>
      <c r="T595" s="127">
        <v>-158</v>
      </c>
      <c r="U595" s="127">
        <v>-8</v>
      </c>
      <c r="V595" s="127">
        <v>-20</v>
      </c>
      <c r="W595" s="127">
        <v>-65</v>
      </c>
      <c r="X595" s="127">
        <v>-251</v>
      </c>
      <c r="Y595" s="127">
        <v>-6</v>
      </c>
      <c r="Z595" s="127">
        <v>-12</v>
      </c>
      <c r="AA595" s="127">
        <v>-8</v>
      </c>
      <c r="AB595" s="127">
        <v>255</v>
      </c>
      <c r="AK595" s="79"/>
      <c r="AL595" s="29"/>
      <c r="AM595" s="29"/>
      <c r="AN595" s="29"/>
      <c r="AO595" s="29"/>
      <c r="AP595" s="29"/>
      <c r="AQ595" s="29"/>
      <c r="AR595" s="29"/>
    </row>
    <row r="596" spans="2:55" ht="11.25" customHeight="1">
      <c r="C596" s="36" t="s">
        <v>110</v>
      </c>
      <c r="E596" s="82">
        <v>-15</v>
      </c>
      <c r="F596" s="82">
        <v>-11</v>
      </c>
      <c r="G596" s="82">
        <v>-63</v>
      </c>
      <c r="H596" s="82">
        <v>-81</v>
      </c>
      <c r="I596" s="82">
        <v>-7</v>
      </c>
      <c r="J596" s="82">
        <v>-17</v>
      </c>
      <c r="K596" s="82">
        <v>-16</v>
      </c>
      <c r="L596" s="82">
        <v>-2</v>
      </c>
      <c r="M596" s="82">
        <v>-15</v>
      </c>
      <c r="N596" s="82">
        <v>-19</v>
      </c>
      <c r="O596" s="82">
        <v>-15</v>
      </c>
      <c r="P596" s="82">
        <v>-112</v>
      </c>
      <c r="Q596" s="82">
        <v>-9</v>
      </c>
      <c r="R596" s="82">
        <v>3</v>
      </c>
      <c r="S596" s="82">
        <v>14</v>
      </c>
      <c r="T596" s="82">
        <v>-137</v>
      </c>
      <c r="U596" s="82">
        <v>21</v>
      </c>
      <c r="V596" s="82">
        <v>-158</v>
      </c>
      <c r="W596" s="82">
        <v>-47</v>
      </c>
      <c r="X596" s="82">
        <v>-230</v>
      </c>
      <c r="Y596" s="82">
        <v>22</v>
      </c>
      <c r="Z596" s="82">
        <v>-494</v>
      </c>
      <c r="AA596" s="82">
        <v>-50</v>
      </c>
      <c r="AB596" s="82">
        <v>234</v>
      </c>
      <c r="AC596" s="82">
        <v>-31</v>
      </c>
      <c r="AD596" s="838">
        <v>-54</v>
      </c>
      <c r="AE596" s="838">
        <v>-39</v>
      </c>
      <c r="AF596" s="838">
        <v>-116</v>
      </c>
      <c r="AG596" s="838">
        <v>-71</v>
      </c>
      <c r="AH596" s="30">
        <f>+AH609-SUM(AH599:AH608)</f>
        <v>-13.526199999999999</v>
      </c>
      <c r="AI596" s="30">
        <f>+AI609-SUM(AI599:AI608)</f>
        <v>-13.4901</v>
      </c>
      <c r="AJ596" s="30">
        <f>+AJ609-SUM(AJ599:AJ608)</f>
        <v>-12.018900000000002</v>
      </c>
      <c r="AK596" s="79"/>
      <c r="AL596" s="82">
        <v>-402</v>
      </c>
      <c r="AM596" s="82">
        <v>-246</v>
      </c>
      <c r="AN596" s="31">
        <f t="shared" ref="AN596:AU596" si="1339">SUMIF($E$6:$AK$6,AN$6,$E596:$AK596)</f>
        <v>-170</v>
      </c>
      <c r="AO596" s="31">
        <f t="shared" si="1339"/>
        <v>-42</v>
      </c>
      <c r="AP596" s="31">
        <f t="shared" si="1339"/>
        <v>-161</v>
      </c>
      <c r="AQ596" s="31">
        <f t="shared" si="1339"/>
        <v>-129</v>
      </c>
      <c r="AR596" s="31">
        <f t="shared" si="1339"/>
        <v>-414</v>
      </c>
      <c r="AS596" s="31">
        <f t="shared" si="1339"/>
        <v>-288</v>
      </c>
      <c r="AT596" s="31">
        <f t="shared" si="1339"/>
        <v>-240</v>
      </c>
      <c r="AU596" s="31">
        <f t="shared" si="1339"/>
        <v>-110.0352</v>
      </c>
      <c r="AV596" s="30">
        <f>+AV609-SUM(AV599:AV608)</f>
        <v>-52.954982999999991</v>
      </c>
      <c r="AW596" s="30">
        <f>+AW609-SUM(AW599:AW608)</f>
        <v>-54.561498735000008</v>
      </c>
      <c r="AX596" s="30">
        <f>+AX609-SUM(AX599:AX608)</f>
        <v>-55.948975554274995</v>
      </c>
    </row>
    <row r="597" spans="2:55" ht="5.2" customHeight="1">
      <c r="C597" s="36"/>
      <c r="E597" s="82"/>
      <c r="F597" s="82"/>
      <c r="G597" s="82"/>
      <c r="H597" s="82"/>
      <c r="I597" s="82"/>
      <c r="J597" s="82"/>
      <c r="K597" s="82"/>
      <c r="L597" s="82"/>
      <c r="M597" s="82"/>
      <c r="N597" s="82"/>
      <c r="O597" s="82"/>
      <c r="P597" s="82"/>
      <c r="Q597" s="82"/>
      <c r="R597" s="82"/>
      <c r="AA597" s="742"/>
      <c r="AK597" s="79"/>
      <c r="AL597" s="82"/>
      <c r="AM597" s="82"/>
      <c r="AN597" s="31"/>
      <c r="AO597" s="31"/>
      <c r="AP597" s="31"/>
      <c r="AQ597" s="31"/>
      <c r="AR597" s="31"/>
    </row>
    <row r="598" spans="2:55" ht="11.25" customHeight="1">
      <c r="C598" s="43" t="s">
        <v>97</v>
      </c>
      <c r="E598" s="28"/>
      <c r="F598" s="28"/>
      <c r="G598" s="28"/>
      <c r="H598" s="28"/>
      <c r="I598" s="28"/>
      <c r="J598" s="28"/>
      <c r="K598" s="28"/>
      <c r="L598" s="29"/>
      <c r="M598" s="28"/>
      <c r="N598" s="28"/>
      <c r="O598" s="28"/>
      <c r="P598" s="29"/>
      <c r="AK598" s="79"/>
      <c r="AL598" s="29"/>
      <c r="AM598" s="29"/>
      <c r="AN598" s="29"/>
      <c r="AO598" s="29"/>
      <c r="AP598" s="29"/>
      <c r="AQ598" s="29"/>
      <c r="AR598" s="29"/>
    </row>
    <row r="599" spans="2:55" ht="11.25" customHeight="1">
      <c r="C599" s="43" t="s">
        <v>100</v>
      </c>
      <c r="E599" s="29">
        <v>0</v>
      </c>
      <c r="F599" s="29">
        <v>0</v>
      </c>
      <c r="G599" s="29">
        <v>30</v>
      </c>
      <c r="H599" s="29">
        <v>67</v>
      </c>
      <c r="I599" s="29">
        <v>0</v>
      </c>
      <c r="J599" s="29">
        <v>0</v>
      </c>
      <c r="K599" s="29">
        <v>0</v>
      </c>
      <c r="L599" s="29">
        <v>-21</v>
      </c>
      <c r="M599" s="29">
        <v>0</v>
      </c>
      <c r="N599" s="29">
        <v>0</v>
      </c>
      <c r="O599" s="29">
        <v>0</v>
      </c>
      <c r="P599" s="29">
        <v>99</v>
      </c>
      <c r="Q599" s="29">
        <v>0</v>
      </c>
      <c r="R599" s="29">
        <v>0</v>
      </c>
      <c r="S599" s="29">
        <v>0</v>
      </c>
      <c r="T599" s="29">
        <v>143</v>
      </c>
      <c r="U599" s="29">
        <v>0</v>
      </c>
      <c r="V599" s="29">
        <v>0</v>
      </c>
      <c r="W599" s="29">
        <v>0</v>
      </c>
      <c r="X599" s="29">
        <v>240</v>
      </c>
      <c r="Y599" s="29">
        <v>0</v>
      </c>
      <c r="Z599" s="29">
        <v>0</v>
      </c>
      <c r="AA599" s="29">
        <v>0</v>
      </c>
      <c r="AB599" s="29">
        <v>-267</v>
      </c>
      <c r="AC599" s="29">
        <v>0</v>
      </c>
      <c r="AD599" s="837">
        <v>0</v>
      </c>
      <c r="AE599" s="837">
        <v>0</v>
      </c>
      <c r="AF599" s="837">
        <v>0</v>
      </c>
      <c r="AG599" s="837">
        <v>0</v>
      </c>
      <c r="AH599" s="29">
        <v>0</v>
      </c>
      <c r="AI599" s="29">
        <v>0</v>
      </c>
      <c r="AJ599" s="29">
        <v>0</v>
      </c>
      <c r="AK599" s="79"/>
      <c r="AL599" s="29">
        <v>304</v>
      </c>
      <c r="AM599" s="29">
        <v>115</v>
      </c>
      <c r="AN599" s="33">
        <f t="shared" ref="AN599:AU608" si="1340">SUMIF($E$6:$AK$6,AN$6,$E599:$AK599)</f>
        <v>97</v>
      </c>
      <c r="AO599" s="33">
        <f t="shared" si="1340"/>
        <v>-21</v>
      </c>
      <c r="AP599" s="33">
        <f t="shared" si="1340"/>
        <v>99</v>
      </c>
      <c r="AQ599" s="33">
        <f t="shared" si="1340"/>
        <v>143</v>
      </c>
      <c r="AR599" s="33">
        <f t="shared" si="1340"/>
        <v>240</v>
      </c>
      <c r="AS599" s="33">
        <f t="shared" si="1340"/>
        <v>-267</v>
      </c>
      <c r="AT599" s="33">
        <f t="shared" si="1340"/>
        <v>0</v>
      </c>
      <c r="AU599" s="33">
        <f t="shared" si="1340"/>
        <v>0</v>
      </c>
      <c r="AV599" s="29">
        <v>0</v>
      </c>
      <c r="AW599" s="29">
        <v>0</v>
      </c>
      <c r="AX599" s="29">
        <v>0</v>
      </c>
    </row>
    <row r="600" spans="2:55" ht="11.25" customHeight="1">
      <c r="C600" s="43" t="s">
        <v>1201</v>
      </c>
      <c r="E600" s="29">
        <v>0</v>
      </c>
      <c r="F600" s="29">
        <v>0</v>
      </c>
      <c r="G600" s="29">
        <v>0</v>
      </c>
      <c r="H600" s="29">
        <v>0</v>
      </c>
      <c r="I600" s="29">
        <v>0</v>
      </c>
      <c r="J600" s="29">
        <v>0</v>
      </c>
      <c r="K600" s="29">
        <v>0</v>
      </c>
      <c r="L600" s="29">
        <v>0</v>
      </c>
      <c r="M600" s="29">
        <v>0</v>
      </c>
      <c r="N600" s="29">
        <v>0</v>
      </c>
      <c r="O600" s="29">
        <v>0</v>
      </c>
      <c r="P600" s="29">
        <v>0</v>
      </c>
      <c r="Q600" s="29">
        <v>0</v>
      </c>
      <c r="R600" s="29">
        <v>0</v>
      </c>
      <c r="S600" s="29">
        <v>0</v>
      </c>
      <c r="T600" s="29">
        <v>0</v>
      </c>
      <c r="U600" s="29">
        <v>0</v>
      </c>
      <c r="V600" s="29">
        <v>0</v>
      </c>
      <c r="W600" s="29">
        <v>0</v>
      </c>
      <c r="X600" s="29">
        <v>0</v>
      </c>
      <c r="Y600" s="29">
        <v>0</v>
      </c>
      <c r="Z600" s="29">
        <v>0</v>
      </c>
      <c r="AA600" s="29">
        <v>0</v>
      </c>
      <c r="AB600" s="29">
        <v>0</v>
      </c>
      <c r="AC600" s="29">
        <v>0</v>
      </c>
      <c r="AD600" s="837">
        <v>15</v>
      </c>
      <c r="AE600" s="837">
        <v>0</v>
      </c>
      <c r="AF600" s="837">
        <v>0</v>
      </c>
      <c r="AG600" s="837">
        <v>0</v>
      </c>
      <c r="AH600" s="29">
        <v>0</v>
      </c>
      <c r="AI600" s="29">
        <v>0</v>
      </c>
      <c r="AJ600" s="29">
        <v>0</v>
      </c>
      <c r="AK600" s="79"/>
      <c r="AL600" s="29">
        <v>0</v>
      </c>
      <c r="AM600" s="29">
        <v>0</v>
      </c>
      <c r="AN600" s="33">
        <f t="shared" si="1340"/>
        <v>0</v>
      </c>
      <c r="AO600" s="33">
        <f t="shared" si="1340"/>
        <v>0</v>
      </c>
      <c r="AP600" s="33">
        <f t="shared" si="1340"/>
        <v>0</v>
      </c>
      <c r="AQ600" s="33">
        <f t="shared" si="1340"/>
        <v>0</v>
      </c>
      <c r="AR600" s="33">
        <f t="shared" si="1340"/>
        <v>0</v>
      </c>
      <c r="AS600" s="33">
        <f t="shared" si="1340"/>
        <v>0</v>
      </c>
      <c r="AT600" s="33">
        <f t="shared" si="1340"/>
        <v>15</v>
      </c>
      <c r="AU600" s="33">
        <f t="shared" si="1340"/>
        <v>0</v>
      </c>
      <c r="AV600" s="29">
        <v>0</v>
      </c>
      <c r="AW600" s="29">
        <v>0</v>
      </c>
      <c r="AX600" s="29">
        <v>0</v>
      </c>
    </row>
    <row r="601" spans="2:55" ht="11.25" customHeight="1">
      <c r="C601" s="43" t="s">
        <v>1202</v>
      </c>
      <c r="E601" s="29">
        <v>0</v>
      </c>
      <c r="F601" s="29">
        <v>0</v>
      </c>
      <c r="G601" s="29">
        <v>0</v>
      </c>
      <c r="H601" s="29">
        <v>0</v>
      </c>
      <c r="I601" s="29">
        <v>0</v>
      </c>
      <c r="J601" s="29">
        <v>0</v>
      </c>
      <c r="K601" s="29">
        <v>0</v>
      </c>
      <c r="L601" s="29">
        <v>0</v>
      </c>
      <c r="M601" s="29">
        <v>0</v>
      </c>
      <c r="N601" s="29">
        <v>0</v>
      </c>
      <c r="O601" s="29">
        <v>0</v>
      </c>
      <c r="P601" s="29">
        <v>0</v>
      </c>
      <c r="Q601" s="29">
        <v>0</v>
      </c>
      <c r="R601" s="29">
        <v>0</v>
      </c>
      <c r="S601" s="29">
        <v>0</v>
      </c>
      <c r="T601" s="29">
        <v>0</v>
      </c>
      <c r="U601" s="29">
        <v>0</v>
      </c>
      <c r="V601" s="29">
        <v>0</v>
      </c>
      <c r="W601" s="29">
        <v>0</v>
      </c>
      <c r="X601" s="29">
        <v>0</v>
      </c>
      <c r="Y601" s="29">
        <v>0</v>
      </c>
      <c r="Z601" s="29">
        <v>0</v>
      </c>
      <c r="AA601" s="29">
        <v>0</v>
      </c>
      <c r="AB601" s="29">
        <v>0</v>
      </c>
      <c r="AC601" s="29">
        <v>0</v>
      </c>
      <c r="AD601" s="837">
        <v>-3</v>
      </c>
      <c r="AE601" s="837">
        <v>0</v>
      </c>
      <c r="AF601" s="837">
        <v>22</v>
      </c>
      <c r="AG601" s="837">
        <v>0</v>
      </c>
      <c r="AH601" s="29">
        <v>0</v>
      </c>
      <c r="AI601" s="29">
        <v>0</v>
      </c>
      <c r="AJ601" s="29">
        <v>0</v>
      </c>
      <c r="AK601" s="79"/>
      <c r="AL601" s="29">
        <v>0</v>
      </c>
      <c r="AM601" s="29">
        <v>0</v>
      </c>
      <c r="AN601" s="33">
        <f t="shared" si="1340"/>
        <v>0</v>
      </c>
      <c r="AO601" s="33">
        <f t="shared" si="1340"/>
        <v>0</v>
      </c>
      <c r="AP601" s="33">
        <f t="shared" si="1340"/>
        <v>0</v>
      </c>
      <c r="AQ601" s="33">
        <f t="shared" si="1340"/>
        <v>0</v>
      </c>
      <c r="AR601" s="33">
        <f t="shared" si="1340"/>
        <v>0</v>
      </c>
      <c r="AS601" s="33">
        <f t="shared" si="1340"/>
        <v>0</v>
      </c>
      <c r="AT601" s="33">
        <f t="shared" si="1340"/>
        <v>19</v>
      </c>
      <c r="AU601" s="33">
        <f t="shared" si="1340"/>
        <v>0</v>
      </c>
      <c r="AV601" s="29">
        <v>0</v>
      </c>
      <c r="AW601" s="29">
        <v>0</v>
      </c>
      <c r="AX601" s="29">
        <v>0</v>
      </c>
    </row>
    <row r="602" spans="2:55" ht="11.25" customHeight="1">
      <c r="C602" s="43" t="s">
        <v>115</v>
      </c>
      <c r="E602" s="29">
        <v>9</v>
      </c>
      <c r="F602" s="29">
        <v>0</v>
      </c>
      <c r="G602" s="29">
        <v>0</v>
      </c>
      <c r="H602" s="29">
        <v>0</v>
      </c>
      <c r="I602" s="29">
        <v>0</v>
      </c>
      <c r="J602" s="29">
        <v>0</v>
      </c>
      <c r="K602" s="29">
        <v>0</v>
      </c>
      <c r="L602" s="29">
        <v>0</v>
      </c>
      <c r="M602" s="29">
        <v>0</v>
      </c>
      <c r="N602" s="29">
        <v>0</v>
      </c>
      <c r="O602" s="29">
        <v>0</v>
      </c>
      <c r="P602" s="29">
        <v>0</v>
      </c>
      <c r="Q602" s="29">
        <v>0</v>
      </c>
      <c r="R602" s="29">
        <v>0</v>
      </c>
      <c r="S602" s="29">
        <v>0</v>
      </c>
      <c r="T602" s="29">
        <v>0</v>
      </c>
      <c r="U602" s="29">
        <v>0</v>
      </c>
      <c r="V602" s="29">
        <v>0</v>
      </c>
      <c r="W602" s="29">
        <v>0</v>
      </c>
      <c r="X602" s="29">
        <v>0</v>
      </c>
      <c r="Y602" s="29">
        <v>0</v>
      </c>
      <c r="Z602" s="29">
        <v>0</v>
      </c>
      <c r="AA602" s="29">
        <v>0</v>
      </c>
      <c r="AB602" s="29">
        <v>0</v>
      </c>
      <c r="AC602" s="29">
        <v>0</v>
      </c>
      <c r="AD602" s="837">
        <v>0</v>
      </c>
      <c r="AE602" s="837">
        <v>0</v>
      </c>
      <c r="AF602" s="837">
        <v>0</v>
      </c>
      <c r="AG602" s="837">
        <v>0</v>
      </c>
      <c r="AH602" s="29">
        <v>0</v>
      </c>
      <c r="AI602" s="29">
        <v>0</v>
      </c>
      <c r="AJ602" s="29">
        <v>0</v>
      </c>
      <c r="AK602" s="79"/>
      <c r="AL602" s="29">
        <v>46</v>
      </c>
      <c r="AM602" s="29">
        <v>28</v>
      </c>
      <c r="AN602" s="33">
        <f t="shared" si="1340"/>
        <v>9</v>
      </c>
      <c r="AO602" s="33">
        <f t="shared" si="1340"/>
        <v>0</v>
      </c>
      <c r="AP602" s="33">
        <f t="shared" si="1340"/>
        <v>0</v>
      </c>
      <c r="AQ602" s="33">
        <f t="shared" si="1340"/>
        <v>0</v>
      </c>
      <c r="AR602" s="33">
        <f t="shared" si="1340"/>
        <v>0</v>
      </c>
      <c r="AS602" s="33">
        <f t="shared" si="1340"/>
        <v>0</v>
      </c>
      <c r="AT602" s="33">
        <f t="shared" si="1340"/>
        <v>0</v>
      </c>
      <c r="AU602" s="33">
        <f t="shared" si="1340"/>
        <v>0</v>
      </c>
      <c r="AV602" s="29">
        <v>0</v>
      </c>
      <c r="AW602" s="29">
        <v>0</v>
      </c>
      <c r="AX602" s="29">
        <v>0</v>
      </c>
    </row>
    <row r="603" spans="2:55" ht="11.25" customHeight="1">
      <c r="C603" s="43" t="s">
        <v>112</v>
      </c>
      <c r="E603" s="29">
        <v>0</v>
      </c>
      <c r="F603" s="29">
        <v>0</v>
      </c>
      <c r="G603" s="29">
        <v>0</v>
      </c>
      <c r="H603" s="29">
        <v>0</v>
      </c>
      <c r="I603" s="29">
        <v>0</v>
      </c>
      <c r="J603" s="29">
        <v>0</v>
      </c>
      <c r="K603" s="29">
        <v>0</v>
      </c>
      <c r="L603" s="29">
        <v>9</v>
      </c>
      <c r="M603" s="29">
        <v>0</v>
      </c>
      <c r="N603" s="29">
        <v>0</v>
      </c>
      <c r="O603" s="29">
        <v>0</v>
      </c>
      <c r="P603" s="29">
        <v>0</v>
      </c>
      <c r="Q603" s="29">
        <v>0</v>
      </c>
      <c r="R603" s="29">
        <v>0</v>
      </c>
      <c r="S603" s="29">
        <v>0</v>
      </c>
      <c r="T603" s="29">
        <v>0</v>
      </c>
      <c r="U603" s="29">
        <v>0</v>
      </c>
      <c r="V603" s="29">
        <v>0</v>
      </c>
      <c r="W603" s="29">
        <v>0</v>
      </c>
      <c r="X603" s="29">
        <v>0</v>
      </c>
      <c r="Y603" s="29">
        <v>0</v>
      </c>
      <c r="Z603" s="29">
        <v>0</v>
      </c>
      <c r="AA603" s="29">
        <v>0</v>
      </c>
      <c r="AB603" s="29">
        <v>0</v>
      </c>
      <c r="AC603" s="29">
        <v>0</v>
      </c>
      <c r="AD603" s="837">
        <v>0</v>
      </c>
      <c r="AE603" s="837">
        <v>0</v>
      </c>
      <c r="AF603" s="837">
        <v>0</v>
      </c>
      <c r="AG603" s="837">
        <v>0</v>
      </c>
      <c r="AH603" s="29">
        <v>0</v>
      </c>
      <c r="AI603" s="29">
        <v>0</v>
      </c>
      <c r="AJ603" s="29">
        <v>0</v>
      </c>
      <c r="AK603" s="79"/>
      <c r="AL603" s="29">
        <v>0</v>
      </c>
      <c r="AM603" s="29">
        <v>0</v>
      </c>
      <c r="AN603" s="33">
        <f t="shared" si="1340"/>
        <v>0</v>
      </c>
      <c r="AO603" s="33">
        <f t="shared" si="1340"/>
        <v>9</v>
      </c>
      <c r="AP603" s="33">
        <f t="shared" si="1340"/>
        <v>0</v>
      </c>
      <c r="AQ603" s="33">
        <f t="shared" si="1340"/>
        <v>0</v>
      </c>
      <c r="AR603" s="33">
        <f t="shared" si="1340"/>
        <v>0</v>
      </c>
      <c r="AS603" s="33">
        <f t="shared" si="1340"/>
        <v>0</v>
      </c>
      <c r="AT603" s="33">
        <f t="shared" si="1340"/>
        <v>0</v>
      </c>
      <c r="AU603" s="33">
        <f t="shared" si="1340"/>
        <v>0</v>
      </c>
      <c r="AV603" s="29">
        <v>0</v>
      </c>
      <c r="AW603" s="29">
        <v>0</v>
      </c>
      <c r="AX603" s="29">
        <v>0</v>
      </c>
    </row>
    <row r="604" spans="2:55" s="742" customFormat="1" ht="11.25" customHeight="1">
      <c r="B604" s="741"/>
      <c r="C604" s="64" t="s">
        <v>23</v>
      </c>
      <c r="E604" s="29">
        <v>0</v>
      </c>
      <c r="F604" s="29">
        <v>0</v>
      </c>
      <c r="G604" s="29">
        <v>30</v>
      </c>
      <c r="H604" s="29">
        <v>5</v>
      </c>
      <c r="I604" s="29">
        <v>0</v>
      </c>
      <c r="J604" s="29">
        <v>0</v>
      </c>
      <c r="K604" s="29">
        <v>0</v>
      </c>
      <c r="L604" s="29">
        <v>5</v>
      </c>
      <c r="M604" s="29">
        <v>2</v>
      </c>
      <c r="N604" s="29">
        <v>4</v>
      </c>
      <c r="O604" s="29">
        <v>0</v>
      </c>
      <c r="P604" s="29">
        <v>0</v>
      </c>
      <c r="Q604" s="29">
        <v>28</v>
      </c>
      <c r="R604" s="29">
        <v>18</v>
      </c>
      <c r="S604" s="29">
        <v>2</v>
      </c>
      <c r="T604" s="29">
        <v>1</v>
      </c>
      <c r="U604" s="29">
        <v>4</v>
      </c>
      <c r="V604" s="29">
        <v>139</v>
      </c>
      <c r="W604" s="29">
        <v>55</v>
      </c>
      <c r="X604" s="29">
        <v>8</v>
      </c>
      <c r="Y604" s="29">
        <v>0</v>
      </c>
      <c r="Z604" s="29">
        <v>4</v>
      </c>
      <c r="AA604" s="29">
        <v>1</v>
      </c>
      <c r="AB604" s="29">
        <v>12</v>
      </c>
      <c r="AC604" s="29">
        <v>25</v>
      </c>
      <c r="AD604" s="837">
        <v>18</v>
      </c>
      <c r="AE604" s="837">
        <v>0</v>
      </c>
      <c r="AF604" s="837">
        <v>17</v>
      </c>
      <c r="AG604" s="837">
        <v>16</v>
      </c>
      <c r="AH604" s="29">
        <f>+AH30</f>
        <v>0</v>
      </c>
      <c r="AI604" s="29">
        <f>+AI30</f>
        <v>0</v>
      </c>
      <c r="AJ604" s="29">
        <f>+AJ30</f>
        <v>0</v>
      </c>
      <c r="AK604" s="79"/>
      <c r="AL604" s="29">
        <v>-1</v>
      </c>
      <c r="AM604" s="29">
        <v>67</v>
      </c>
      <c r="AN604" s="33">
        <f t="shared" si="1340"/>
        <v>35</v>
      </c>
      <c r="AO604" s="33">
        <f t="shared" si="1340"/>
        <v>5</v>
      </c>
      <c r="AP604" s="33">
        <f t="shared" si="1340"/>
        <v>6</v>
      </c>
      <c r="AQ604" s="33">
        <f t="shared" si="1340"/>
        <v>49</v>
      </c>
      <c r="AR604" s="33">
        <f t="shared" si="1340"/>
        <v>206</v>
      </c>
      <c r="AS604" s="33">
        <f t="shared" si="1340"/>
        <v>17</v>
      </c>
      <c r="AT604" s="33">
        <f t="shared" si="1340"/>
        <v>60</v>
      </c>
      <c r="AU604" s="33">
        <f t="shared" si="1340"/>
        <v>16</v>
      </c>
      <c r="AV604" s="29">
        <v>0</v>
      </c>
      <c r="AW604" s="29">
        <v>0</v>
      </c>
      <c r="AX604" s="29">
        <v>0</v>
      </c>
      <c r="AY604" s="1"/>
      <c r="AZ604" s="24"/>
      <c r="BA604" s="24"/>
      <c r="BB604" s="24"/>
      <c r="BC604" s="24"/>
    </row>
    <row r="605" spans="2:55" s="742" customFormat="1" ht="11.25" customHeight="1">
      <c r="B605" s="741"/>
      <c r="C605" s="64" t="s">
        <v>1126</v>
      </c>
      <c r="E605" s="29">
        <v>0</v>
      </c>
      <c r="F605" s="29">
        <v>0</v>
      </c>
      <c r="G605" s="29">
        <v>0</v>
      </c>
      <c r="H605" s="29">
        <v>0</v>
      </c>
      <c r="I605" s="29">
        <v>0</v>
      </c>
      <c r="J605" s="29">
        <v>0</v>
      </c>
      <c r="K605" s="29">
        <v>0</v>
      </c>
      <c r="L605" s="29">
        <v>0</v>
      </c>
      <c r="M605" s="29">
        <v>0</v>
      </c>
      <c r="N605" s="29">
        <v>0</v>
      </c>
      <c r="O605" s="29">
        <v>0</v>
      </c>
      <c r="P605" s="29">
        <v>0</v>
      </c>
      <c r="Q605" s="29">
        <v>0</v>
      </c>
      <c r="R605" s="29">
        <v>0</v>
      </c>
      <c r="S605" s="29">
        <v>0</v>
      </c>
      <c r="T605" s="29">
        <v>0</v>
      </c>
      <c r="U605" s="29">
        <v>0</v>
      </c>
      <c r="V605" s="29">
        <v>0</v>
      </c>
      <c r="W605" s="29">
        <v>0</v>
      </c>
      <c r="X605" s="29">
        <v>0</v>
      </c>
      <c r="Y605" s="29">
        <v>2</v>
      </c>
      <c r="Z605" s="29">
        <v>495</v>
      </c>
      <c r="AA605" s="29">
        <v>68</v>
      </c>
      <c r="AB605" s="29">
        <v>7</v>
      </c>
      <c r="AC605" s="29">
        <v>6</v>
      </c>
      <c r="AD605" s="837">
        <v>-5</v>
      </c>
      <c r="AE605" s="837">
        <v>7</v>
      </c>
      <c r="AF605" s="837">
        <v>47</v>
      </c>
      <c r="AG605" s="837">
        <v>0</v>
      </c>
      <c r="AH605" s="29"/>
      <c r="AI605" s="29"/>
      <c r="AJ605" s="29"/>
      <c r="AK605" s="79"/>
      <c r="AL605" s="29">
        <v>0</v>
      </c>
      <c r="AM605" s="29">
        <v>0</v>
      </c>
      <c r="AN605" s="33">
        <f t="shared" si="1340"/>
        <v>0</v>
      </c>
      <c r="AO605" s="33">
        <f t="shared" si="1340"/>
        <v>0</v>
      </c>
      <c r="AP605" s="33">
        <f t="shared" si="1340"/>
        <v>0</v>
      </c>
      <c r="AQ605" s="33">
        <f t="shared" si="1340"/>
        <v>0</v>
      </c>
      <c r="AR605" s="33">
        <f t="shared" si="1340"/>
        <v>0</v>
      </c>
      <c r="AS605" s="33">
        <f t="shared" si="1340"/>
        <v>572</v>
      </c>
      <c r="AT605" s="33">
        <f t="shared" si="1340"/>
        <v>55</v>
      </c>
      <c r="AU605" s="33">
        <f t="shared" si="1340"/>
        <v>0</v>
      </c>
      <c r="AV605" s="29">
        <v>0</v>
      </c>
      <c r="AW605" s="29">
        <v>0</v>
      </c>
      <c r="AX605" s="29">
        <v>0</v>
      </c>
      <c r="AY605" s="1"/>
    </row>
    <row r="606" spans="2:55" s="742" customFormat="1" ht="11.25" customHeight="1">
      <c r="B606" s="741"/>
      <c r="C606" s="64" t="s">
        <v>1784</v>
      </c>
      <c r="E606" s="29">
        <v>0</v>
      </c>
      <c r="F606" s="29">
        <v>0</v>
      </c>
      <c r="G606" s="29">
        <v>0</v>
      </c>
      <c r="H606" s="29">
        <v>0</v>
      </c>
      <c r="I606" s="29">
        <v>0</v>
      </c>
      <c r="J606" s="29">
        <v>0</v>
      </c>
      <c r="K606" s="29">
        <v>0</v>
      </c>
      <c r="L606" s="29">
        <v>0</v>
      </c>
      <c r="M606" s="29">
        <v>0</v>
      </c>
      <c r="N606" s="29">
        <v>0</v>
      </c>
      <c r="O606" s="29">
        <v>0</v>
      </c>
      <c r="P606" s="29">
        <v>0</v>
      </c>
      <c r="Q606" s="29">
        <v>0</v>
      </c>
      <c r="R606" s="29">
        <v>0</v>
      </c>
      <c r="S606" s="29">
        <v>0</v>
      </c>
      <c r="T606" s="29">
        <v>0</v>
      </c>
      <c r="U606" s="29">
        <v>0</v>
      </c>
      <c r="V606" s="29">
        <v>0</v>
      </c>
      <c r="W606" s="29">
        <v>0</v>
      </c>
      <c r="X606" s="29">
        <v>0</v>
      </c>
      <c r="Y606" s="29">
        <v>0</v>
      </c>
      <c r="Z606" s="29">
        <v>0</v>
      </c>
      <c r="AA606" s="29">
        <v>0</v>
      </c>
      <c r="AB606" s="29">
        <v>0</v>
      </c>
      <c r="AC606" s="29">
        <v>0</v>
      </c>
      <c r="AD606" s="29">
        <v>0</v>
      </c>
      <c r="AE606" s="29">
        <v>0</v>
      </c>
      <c r="AF606" s="29">
        <v>0</v>
      </c>
      <c r="AG606" s="29">
        <v>-8</v>
      </c>
      <c r="AH606" s="29">
        <v>0</v>
      </c>
      <c r="AI606" s="29">
        <v>0</v>
      </c>
      <c r="AJ606" s="29">
        <v>0</v>
      </c>
      <c r="AK606" s="79"/>
      <c r="AL606" s="29">
        <v>0</v>
      </c>
      <c r="AM606" s="29">
        <v>0</v>
      </c>
      <c r="AN606" s="33">
        <f t="shared" si="1340"/>
        <v>0</v>
      </c>
      <c r="AO606" s="33">
        <f t="shared" si="1340"/>
        <v>0</v>
      </c>
      <c r="AP606" s="33">
        <f t="shared" si="1340"/>
        <v>0</v>
      </c>
      <c r="AQ606" s="33">
        <f t="shared" si="1340"/>
        <v>0</v>
      </c>
      <c r="AR606" s="33">
        <f t="shared" si="1340"/>
        <v>0</v>
      </c>
      <c r="AS606" s="33">
        <f t="shared" si="1340"/>
        <v>0</v>
      </c>
      <c r="AT606" s="33">
        <f t="shared" si="1340"/>
        <v>0</v>
      </c>
      <c r="AU606" s="33">
        <f t="shared" si="1340"/>
        <v>-8</v>
      </c>
      <c r="AV606" s="29">
        <v>0</v>
      </c>
      <c r="AW606" s="29">
        <v>0</v>
      </c>
      <c r="AX606" s="29">
        <v>0</v>
      </c>
      <c r="AY606" s="1"/>
    </row>
    <row r="607" spans="2:55" ht="11.25" customHeight="1">
      <c r="C607" s="43" t="s">
        <v>116</v>
      </c>
      <c r="E607" s="29">
        <v>0</v>
      </c>
      <c r="F607" s="29">
        <v>0</v>
      </c>
      <c r="G607" s="29">
        <v>0</v>
      </c>
      <c r="H607" s="29">
        <v>0</v>
      </c>
      <c r="I607" s="29">
        <v>0</v>
      </c>
      <c r="J607" s="29">
        <v>0</v>
      </c>
      <c r="K607" s="29">
        <v>0</v>
      </c>
      <c r="L607" s="29">
        <v>0</v>
      </c>
      <c r="M607" s="29">
        <v>0</v>
      </c>
      <c r="N607" s="29">
        <v>0</v>
      </c>
      <c r="O607" s="29">
        <v>0</v>
      </c>
      <c r="P607" s="29">
        <v>0</v>
      </c>
      <c r="Q607" s="29">
        <v>0</v>
      </c>
      <c r="R607" s="29">
        <v>0</v>
      </c>
      <c r="S607" s="29">
        <v>0</v>
      </c>
      <c r="T607" s="29">
        <v>0</v>
      </c>
      <c r="U607" s="29">
        <v>0</v>
      </c>
      <c r="V607" s="29">
        <v>0</v>
      </c>
      <c r="W607" s="29">
        <v>0</v>
      </c>
      <c r="X607" s="29">
        <v>0</v>
      </c>
      <c r="Y607" s="29">
        <v>0</v>
      </c>
      <c r="Z607" s="29">
        <v>0</v>
      </c>
      <c r="AA607" s="29">
        <v>0</v>
      </c>
      <c r="AB607" s="29">
        <v>0</v>
      </c>
      <c r="AC607" s="29">
        <v>0</v>
      </c>
      <c r="AD607" s="837">
        <v>0</v>
      </c>
      <c r="AE607" s="837">
        <v>0</v>
      </c>
      <c r="AF607" s="837">
        <v>0</v>
      </c>
      <c r="AG607" s="837">
        <v>0</v>
      </c>
      <c r="AH607" s="29">
        <v>0</v>
      </c>
      <c r="AI607" s="29">
        <v>0</v>
      </c>
      <c r="AJ607" s="29">
        <v>0</v>
      </c>
      <c r="AK607" s="79"/>
      <c r="AL607" s="29">
        <v>0</v>
      </c>
      <c r="AM607" s="29">
        <v>0</v>
      </c>
      <c r="AN607" s="33">
        <f t="shared" si="1340"/>
        <v>0</v>
      </c>
      <c r="AO607" s="33">
        <f t="shared" si="1340"/>
        <v>0</v>
      </c>
      <c r="AP607" s="33">
        <f t="shared" si="1340"/>
        <v>0</v>
      </c>
      <c r="AQ607" s="33">
        <f t="shared" si="1340"/>
        <v>0</v>
      </c>
      <c r="AR607" s="33">
        <f t="shared" si="1340"/>
        <v>0</v>
      </c>
      <c r="AS607" s="33">
        <f t="shared" si="1340"/>
        <v>0</v>
      </c>
      <c r="AT607" s="33">
        <f t="shared" si="1340"/>
        <v>0</v>
      </c>
      <c r="AU607" s="33">
        <f t="shared" si="1340"/>
        <v>0</v>
      </c>
      <c r="AV607" s="29">
        <v>0</v>
      </c>
      <c r="AW607" s="29">
        <v>0</v>
      </c>
      <c r="AX607" s="29">
        <v>0</v>
      </c>
    </row>
    <row r="608" spans="2:55" ht="11.25" customHeight="1">
      <c r="C608" s="43" t="s">
        <v>113</v>
      </c>
      <c r="E608" s="29">
        <v>0</v>
      </c>
      <c r="F608" s="29">
        <v>0</v>
      </c>
      <c r="G608" s="29">
        <v>0</v>
      </c>
      <c r="H608" s="29">
        <v>0</v>
      </c>
      <c r="I608" s="29">
        <v>0</v>
      </c>
      <c r="J608" s="29">
        <v>0</v>
      </c>
      <c r="K608" s="29">
        <v>0</v>
      </c>
      <c r="L608" s="29">
        <v>0</v>
      </c>
      <c r="M608" s="29">
        <v>11</v>
      </c>
      <c r="N608" s="29">
        <v>8</v>
      </c>
      <c r="O608" s="29">
        <v>1</v>
      </c>
      <c r="P608" s="29">
        <v>0</v>
      </c>
      <c r="Q608" s="29">
        <v>0</v>
      </c>
      <c r="R608" s="29">
        <v>0</v>
      </c>
      <c r="S608" s="29">
        <v>0</v>
      </c>
      <c r="T608" s="29">
        <v>0</v>
      </c>
      <c r="U608" s="29">
        <v>0</v>
      </c>
      <c r="V608" s="29">
        <v>0</v>
      </c>
      <c r="W608" s="29">
        <v>0</v>
      </c>
      <c r="X608" s="29">
        <v>0</v>
      </c>
      <c r="Y608" s="29">
        <v>0</v>
      </c>
      <c r="Z608" s="29">
        <v>0</v>
      </c>
      <c r="AA608" s="29">
        <v>0</v>
      </c>
      <c r="AB608" s="29">
        <v>0</v>
      </c>
      <c r="AC608" s="29">
        <v>0</v>
      </c>
      <c r="AD608" s="837">
        <v>0</v>
      </c>
      <c r="AE608" s="837">
        <v>0</v>
      </c>
      <c r="AF608" s="837">
        <v>0</v>
      </c>
      <c r="AG608" s="837">
        <v>0</v>
      </c>
      <c r="AH608" s="29">
        <v>0</v>
      </c>
      <c r="AI608" s="29">
        <v>0</v>
      </c>
      <c r="AJ608" s="29">
        <v>0</v>
      </c>
      <c r="AK608" s="79"/>
      <c r="AL608" s="29">
        <v>0</v>
      </c>
      <c r="AM608" s="29">
        <v>0</v>
      </c>
      <c r="AN608" s="33">
        <f t="shared" si="1340"/>
        <v>0</v>
      </c>
      <c r="AO608" s="33">
        <f t="shared" si="1340"/>
        <v>0</v>
      </c>
      <c r="AP608" s="33">
        <f t="shared" si="1340"/>
        <v>20</v>
      </c>
      <c r="AQ608" s="33">
        <f t="shared" si="1340"/>
        <v>0</v>
      </c>
      <c r="AR608" s="33">
        <f t="shared" si="1340"/>
        <v>0</v>
      </c>
      <c r="AS608" s="33">
        <f t="shared" si="1340"/>
        <v>0</v>
      </c>
      <c r="AT608" s="33">
        <f t="shared" si="1340"/>
        <v>0</v>
      </c>
      <c r="AU608" s="33">
        <f t="shared" si="1340"/>
        <v>0</v>
      </c>
      <c r="AV608" s="29">
        <v>0</v>
      </c>
      <c r="AW608" s="29">
        <v>0</v>
      </c>
      <c r="AX608" s="29">
        <v>0</v>
      </c>
    </row>
    <row r="609" spans="2:51" ht="11.25" customHeight="1">
      <c r="C609" s="45" t="s">
        <v>356</v>
      </c>
      <c r="E609" s="32">
        <f t="shared" ref="E609:AF609" si="1341">+E596+SUM(E599:E608)</f>
        <v>-6</v>
      </c>
      <c r="F609" s="32">
        <f t="shared" si="1341"/>
        <v>-11</v>
      </c>
      <c r="G609" s="32">
        <f t="shared" si="1341"/>
        <v>-3</v>
      </c>
      <c r="H609" s="32">
        <f t="shared" si="1341"/>
        <v>-9</v>
      </c>
      <c r="I609" s="32">
        <f t="shared" si="1341"/>
        <v>-7</v>
      </c>
      <c r="J609" s="32">
        <f t="shared" si="1341"/>
        <v>-17</v>
      </c>
      <c r="K609" s="32">
        <f t="shared" si="1341"/>
        <v>-16</v>
      </c>
      <c r="L609" s="32">
        <f t="shared" si="1341"/>
        <v>-9</v>
      </c>
      <c r="M609" s="32">
        <f t="shared" si="1341"/>
        <v>-2</v>
      </c>
      <c r="N609" s="32">
        <f t="shared" si="1341"/>
        <v>-7</v>
      </c>
      <c r="O609" s="32">
        <f t="shared" si="1341"/>
        <v>-14</v>
      </c>
      <c r="P609" s="32">
        <f t="shared" si="1341"/>
        <v>-13</v>
      </c>
      <c r="Q609" s="32">
        <f t="shared" si="1341"/>
        <v>19</v>
      </c>
      <c r="R609" s="32">
        <f t="shared" si="1341"/>
        <v>21</v>
      </c>
      <c r="S609" s="32">
        <f t="shared" si="1341"/>
        <v>16</v>
      </c>
      <c r="T609" s="32">
        <f t="shared" si="1341"/>
        <v>7</v>
      </c>
      <c r="U609" s="32">
        <f t="shared" si="1341"/>
        <v>25</v>
      </c>
      <c r="V609" s="32">
        <f t="shared" si="1341"/>
        <v>-19</v>
      </c>
      <c r="W609" s="32">
        <f t="shared" si="1341"/>
        <v>8</v>
      </c>
      <c r="X609" s="32">
        <f t="shared" si="1341"/>
        <v>18</v>
      </c>
      <c r="Y609" s="32">
        <f t="shared" si="1341"/>
        <v>24</v>
      </c>
      <c r="Z609" s="32">
        <f t="shared" si="1341"/>
        <v>5</v>
      </c>
      <c r="AA609" s="32">
        <f t="shared" si="1341"/>
        <v>19</v>
      </c>
      <c r="AB609" s="32">
        <f t="shared" si="1341"/>
        <v>-14</v>
      </c>
      <c r="AC609" s="32">
        <f t="shared" si="1341"/>
        <v>0</v>
      </c>
      <c r="AD609" s="32">
        <f t="shared" si="1341"/>
        <v>-29</v>
      </c>
      <c r="AE609" s="32">
        <f t="shared" si="1341"/>
        <v>-32</v>
      </c>
      <c r="AF609" s="32">
        <f t="shared" si="1341"/>
        <v>-30</v>
      </c>
      <c r="AG609" s="32">
        <f t="shared" ref="AG609" si="1342">+AG596+SUM(AG599:AG608)</f>
        <v>-63</v>
      </c>
      <c r="AH609" s="32">
        <f>+AH11*AH611</f>
        <v>-13.526199999999999</v>
      </c>
      <c r="AI609" s="32">
        <f>+AI11*AI611</f>
        <v>-13.4901</v>
      </c>
      <c r="AJ609" s="32">
        <f>+AJ11*AJ611</f>
        <v>-12.018900000000002</v>
      </c>
      <c r="AK609" s="79"/>
      <c r="AL609" s="32">
        <f t="shared" ref="AL609:AU609" si="1343">+AL596+SUM(AL599:AL608)</f>
        <v>-53</v>
      </c>
      <c r="AM609" s="32">
        <f t="shared" si="1343"/>
        <v>-36</v>
      </c>
      <c r="AN609" s="32">
        <f t="shared" si="1343"/>
        <v>-29</v>
      </c>
      <c r="AO609" s="32">
        <f t="shared" si="1343"/>
        <v>-49</v>
      </c>
      <c r="AP609" s="32">
        <f t="shared" si="1343"/>
        <v>-36</v>
      </c>
      <c r="AQ609" s="32">
        <f t="shared" si="1343"/>
        <v>63</v>
      </c>
      <c r="AR609" s="32">
        <f t="shared" si="1343"/>
        <v>32</v>
      </c>
      <c r="AS609" s="32">
        <f t="shared" si="1343"/>
        <v>34</v>
      </c>
      <c r="AT609" s="32">
        <f t="shared" si="1343"/>
        <v>-91</v>
      </c>
      <c r="AU609" s="32">
        <f t="shared" si="1343"/>
        <v>-102.0352</v>
      </c>
      <c r="AV609" s="32">
        <f>+AV11*AV611</f>
        <v>-52.954982999999991</v>
      </c>
      <c r="AW609" s="32">
        <f>+AW11*AW611</f>
        <v>-54.561498735000008</v>
      </c>
      <c r="AX609" s="32">
        <f>+AX11*AX611</f>
        <v>-55.948975554274995</v>
      </c>
    </row>
    <row r="610" spans="2:51" ht="11.25" customHeight="1" outlineLevel="1">
      <c r="C610" s="93" t="s">
        <v>358</v>
      </c>
      <c r="E610" s="124"/>
      <c r="F610" s="124"/>
      <c r="G610" s="124"/>
      <c r="H610" s="124"/>
      <c r="I610" s="94">
        <f t="shared" ref="I610:AC610" si="1344">IFERROR(I609/E609-1,"NA  ")</f>
        <v>0.16666666666666674</v>
      </c>
      <c r="J610" s="94">
        <f t="shared" si="1344"/>
        <v>0.54545454545454541</v>
      </c>
      <c r="K610" s="94">
        <f t="shared" si="1344"/>
        <v>4.333333333333333</v>
      </c>
      <c r="L610" s="94">
        <f t="shared" si="1344"/>
        <v>0</v>
      </c>
      <c r="M610" s="94">
        <f t="shared" si="1344"/>
        <v>-0.7142857142857143</v>
      </c>
      <c r="N610" s="94">
        <f t="shared" si="1344"/>
        <v>-0.58823529411764708</v>
      </c>
      <c r="O610" s="94">
        <f t="shared" si="1344"/>
        <v>-0.125</v>
      </c>
      <c r="P610" s="94">
        <f t="shared" si="1344"/>
        <v>0.44444444444444442</v>
      </c>
      <c r="Q610" s="94">
        <f t="shared" si="1344"/>
        <v>-10.5</v>
      </c>
      <c r="R610" s="94">
        <f t="shared" si="1344"/>
        <v>-4</v>
      </c>
      <c r="S610" s="94">
        <f t="shared" si="1344"/>
        <v>-2.1428571428571428</v>
      </c>
      <c r="T610" s="94">
        <f t="shared" si="1344"/>
        <v>-1.5384615384615383</v>
      </c>
      <c r="U610" s="94">
        <f t="shared" si="1344"/>
        <v>0.31578947368421062</v>
      </c>
      <c r="V610" s="94">
        <f t="shared" si="1344"/>
        <v>-1.9047619047619047</v>
      </c>
      <c r="W610" s="94">
        <f t="shared" si="1344"/>
        <v>-0.5</v>
      </c>
      <c r="X610" s="94">
        <f t="shared" si="1344"/>
        <v>1.5714285714285716</v>
      </c>
      <c r="Y610" s="94">
        <f t="shared" si="1344"/>
        <v>-4.0000000000000036E-2</v>
      </c>
      <c r="Z610" s="94">
        <f t="shared" si="1344"/>
        <v>-1.263157894736842</v>
      </c>
      <c r="AA610" s="94">
        <f t="shared" si="1344"/>
        <v>1.375</v>
      </c>
      <c r="AB610" s="94">
        <f t="shared" si="1344"/>
        <v>-1.7777777777777777</v>
      </c>
      <c r="AC610" s="94">
        <f t="shared" si="1344"/>
        <v>-1</v>
      </c>
      <c r="AD610" s="94">
        <f t="shared" ref="AD610" si="1345">IFERROR(AD609/Z609-1,"NA  ")</f>
        <v>-6.8</v>
      </c>
      <c r="AE610" s="94">
        <f t="shared" ref="AE610" si="1346">IFERROR(AE609/AA609-1,"NA  ")</f>
        <v>-2.6842105263157894</v>
      </c>
      <c r="AF610" s="94">
        <f t="shared" ref="AF610:AG610" si="1347">IFERROR(AF609/AB609-1,"NA  ")</f>
        <v>1.1428571428571428</v>
      </c>
      <c r="AG610" s="94" t="str">
        <f t="shared" si="1347"/>
        <v xml:space="preserve">NA  </v>
      </c>
      <c r="AH610" s="94">
        <f t="shared" ref="AH610" si="1348">IFERROR(AH609/AD609-1,"NA  ")</f>
        <v>-0.53357931034482764</v>
      </c>
      <c r="AI610" s="94">
        <f t="shared" ref="AI610" si="1349">IFERROR(AI609/AE609-1,"NA  ")</f>
        <v>-0.57843437500000006</v>
      </c>
      <c r="AJ610" s="94">
        <f t="shared" ref="AJ610" si="1350">IFERROR(AJ609/AF609-1,"NA  ")</f>
        <v>-0.59936999999999996</v>
      </c>
      <c r="AK610" s="79"/>
      <c r="AL610" s="124"/>
      <c r="AM610" s="94">
        <f t="shared" ref="AM610:AX610" si="1351">IFERROR(AM609/AL609-1,"NA  ")</f>
        <v>-0.32075471698113212</v>
      </c>
      <c r="AN610" s="94">
        <f t="shared" si="1351"/>
        <v>-0.19444444444444442</v>
      </c>
      <c r="AO610" s="94">
        <f t="shared" si="1351"/>
        <v>0.68965517241379315</v>
      </c>
      <c r="AP610" s="94">
        <f t="shared" si="1351"/>
        <v>-0.26530612244897955</v>
      </c>
      <c r="AQ610" s="94">
        <f t="shared" si="1351"/>
        <v>-2.75</v>
      </c>
      <c r="AR610" s="94">
        <f t="shared" si="1351"/>
        <v>-0.49206349206349209</v>
      </c>
      <c r="AS610" s="94">
        <f t="shared" si="1351"/>
        <v>6.25E-2</v>
      </c>
      <c r="AT610" s="94">
        <f t="shared" si="1351"/>
        <v>-3.6764705882352939</v>
      </c>
      <c r="AU610" s="94">
        <f t="shared" si="1351"/>
        <v>0.12126593406593411</v>
      </c>
      <c r="AV610" s="94">
        <f t="shared" si="1351"/>
        <v>-0.48101260153358849</v>
      </c>
      <c r="AW610" s="94">
        <f t="shared" si="1351"/>
        <v>3.0337385529894734E-2</v>
      </c>
      <c r="AX610" s="94">
        <f t="shared" si="1351"/>
        <v>2.5429595070579625E-2</v>
      </c>
    </row>
    <row r="611" spans="2:51" ht="11.25" customHeight="1" outlineLevel="1">
      <c r="C611" s="93" t="s">
        <v>360</v>
      </c>
      <c r="E611" s="94">
        <f t="shared" ref="E611:AG611" si="1352">IFERROR(E609/E11,"NA  ")</f>
        <v>-2.6833631484794273E-3</v>
      </c>
      <c r="F611" s="94">
        <f t="shared" si="1352"/>
        <v>-4.7888550282977798E-3</v>
      </c>
      <c r="G611" s="94">
        <f t="shared" si="1352"/>
        <v>-1.3117621337997377E-3</v>
      </c>
      <c r="H611" s="94">
        <f t="shared" si="1352"/>
        <v>-4.1133455210237658E-3</v>
      </c>
      <c r="I611" s="94">
        <f t="shared" si="1352"/>
        <v>-3.0395136778115501E-3</v>
      </c>
      <c r="J611" s="94">
        <f t="shared" si="1352"/>
        <v>-7.0276973956180239E-3</v>
      </c>
      <c r="K611" s="94">
        <f t="shared" si="1352"/>
        <v>-6.4908722109533468E-3</v>
      </c>
      <c r="L611" s="94">
        <f t="shared" si="1352"/>
        <v>-3.8103302286198138E-3</v>
      </c>
      <c r="M611" s="94">
        <f t="shared" si="1352"/>
        <v>-7.6716532412734941E-4</v>
      </c>
      <c r="N611" s="94">
        <f t="shared" si="1352"/>
        <v>-2.6707363601678751E-3</v>
      </c>
      <c r="O611" s="94">
        <f t="shared" si="1352"/>
        <v>-5.4966627404789952E-3</v>
      </c>
      <c r="P611" s="94">
        <f t="shared" si="1352"/>
        <v>-5.4713804713804716E-3</v>
      </c>
      <c r="Q611" s="94">
        <f t="shared" si="1352"/>
        <v>7.9831932773109238E-3</v>
      </c>
      <c r="R611" s="94">
        <f t="shared" si="1352"/>
        <v>8.8870080406263218E-3</v>
      </c>
      <c r="S611" s="94">
        <f t="shared" si="1352"/>
        <v>6.8817204301075269E-3</v>
      </c>
      <c r="T611" s="94">
        <f t="shared" si="1352"/>
        <v>3.1746031746031746E-3</v>
      </c>
      <c r="U611" s="94">
        <f t="shared" si="1352"/>
        <v>1.1155734047300312E-2</v>
      </c>
      <c r="V611" s="94">
        <f t="shared" si="1352"/>
        <v>-9.8752598752598758E-3</v>
      </c>
      <c r="W611" s="94">
        <f t="shared" si="1352"/>
        <v>3.770028275212064E-3</v>
      </c>
      <c r="X611" s="94">
        <f t="shared" si="1352"/>
        <v>8.2342177493138144E-3</v>
      </c>
      <c r="Y611" s="94">
        <f t="shared" si="1352"/>
        <v>9.9626400996264009E-3</v>
      </c>
      <c r="Z611" s="94">
        <f t="shared" si="1352"/>
        <v>1.8846588767433095E-3</v>
      </c>
      <c r="AA611" s="94">
        <f t="shared" si="1352"/>
        <v>6.9852941176470592E-3</v>
      </c>
      <c r="AB611" s="94">
        <f t="shared" si="1352"/>
        <v>-5.196733481811433E-3</v>
      </c>
      <c r="AC611" s="94">
        <f t="shared" si="1352"/>
        <v>0</v>
      </c>
      <c r="AD611" s="94">
        <f t="shared" si="1352"/>
        <v>-1.0416666666666666E-2</v>
      </c>
      <c r="AE611" s="94">
        <f t="shared" si="1352"/>
        <v>-1.1812476928755998E-2</v>
      </c>
      <c r="AF611" s="94">
        <f t="shared" si="1352"/>
        <v>-1.2642225031605562E-2</v>
      </c>
      <c r="AG611" s="94">
        <f t="shared" si="1352"/>
        <v>-2.6119402985074626E-2</v>
      </c>
      <c r="AH611" s="147">
        <v>-5.0000000000000001E-3</v>
      </c>
      <c r="AI611" s="147">
        <v>-5.0000000000000001E-3</v>
      </c>
      <c r="AJ611" s="147">
        <v>-5.0000000000000001E-3</v>
      </c>
      <c r="AK611" s="79"/>
      <c r="AL611" s="94">
        <f t="shared" ref="AL611:AU611" si="1353">IFERROR(AL609/AL11,"NA  ")</f>
        <v>-5.5631363493229766E-3</v>
      </c>
      <c r="AM611" s="94">
        <f t="shared" si="1353"/>
        <v>-3.7313432835820895E-3</v>
      </c>
      <c r="AN611" s="94">
        <f t="shared" si="1353"/>
        <v>-3.2193605683836588E-3</v>
      </c>
      <c r="AO611" s="94">
        <f t="shared" si="1353"/>
        <v>-5.1314273745941986E-3</v>
      </c>
      <c r="AP611" s="94">
        <f t="shared" si="1353"/>
        <v>-3.5464486257511577E-3</v>
      </c>
      <c r="AQ611" s="94">
        <f t="shared" si="1353"/>
        <v>6.7939178259462957E-3</v>
      </c>
      <c r="AR611" s="94">
        <f t="shared" si="1353"/>
        <v>3.7767024666587987E-3</v>
      </c>
      <c r="AS611" s="94">
        <f t="shared" si="1353"/>
        <v>3.2455135547919053E-3</v>
      </c>
      <c r="AT611" s="94">
        <f t="shared" si="1353"/>
        <v>-8.6011342155009451E-3</v>
      </c>
      <c r="AU611" s="94">
        <f t="shared" si="1353"/>
        <v>-9.984812663420441E-3</v>
      </c>
      <c r="AV611" s="147">
        <f>+Assumptions!AV118</f>
        <v>-5.0000000000000001E-3</v>
      </c>
      <c r="AW611" s="147">
        <f>+Assumptions!AW118</f>
        <v>-5.0000000000000001E-3</v>
      </c>
      <c r="AX611" s="147">
        <f>+Assumptions!AX118</f>
        <v>-5.0000000000000001E-3</v>
      </c>
    </row>
    <row r="612" spans="2:51" ht="5.2" customHeight="1" outlineLevel="1">
      <c r="C612" s="114"/>
      <c r="E612" s="94"/>
      <c r="F612" s="94"/>
      <c r="G612" s="94"/>
      <c r="H612" s="94"/>
      <c r="I612" s="94"/>
      <c r="J612" s="94"/>
      <c r="K612" s="94"/>
      <c r="L612" s="94"/>
      <c r="M612" s="94"/>
      <c r="N612" s="94"/>
      <c r="O612" s="94"/>
      <c r="P612" s="94"/>
      <c r="Q612" s="94"/>
      <c r="R612" s="94"/>
      <c r="AK612" s="79"/>
      <c r="AL612" s="94"/>
      <c r="AM612" s="94"/>
      <c r="AN612" s="94"/>
      <c r="AO612" s="94"/>
      <c r="AP612" s="94"/>
    </row>
    <row r="613" spans="2:51" ht="11.25" customHeight="1">
      <c r="C613" s="112" t="s">
        <v>117</v>
      </c>
      <c r="E613" s="29">
        <v>892</v>
      </c>
      <c r="F613" s="29">
        <v>990</v>
      </c>
      <c r="G613" s="29">
        <v>969</v>
      </c>
      <c r="H613" s="29">
        <v>1108</v>
      </c>
      <c r="I613" s="29">
        <v>1114</v>
      </c>
      <c r="J613" s="29">
        <v>1138</v>
      </c>
      <c r="K613" s="29">
        <v>1066</v>
      </c>
      <c r="L613" s="29">
        <v>1043</v>
      </c>
      <c r="M613" s="29">
        <v>1011</v>
      </c>
      <c r="N613" s="29">
        <v>1048</v>
      </c>
      <c r="O613" s="29">
        <v>1098</v>
      </c>
      <c r="P613" s="29">
        <v>1082</v>
      </c>
      <c r="Q613" s="29">
        <v>1250</v>
      </c>
      <c r="R613" s="29">
        <v>1247</v>
      </c>
      <c r="S613" s="29">
        <v>1290</v>
      </c>
      <c r="T613" s="29">
        <v>1417</v>
      </c>
      <c r="U613" s="29">
        <v>1938</v>
      </c>
      <c r="V613" s="29">
        <v>1983</v>
      </c>
      <c r="W613" s="29">
        <v>1907</v>
      </c>
      <c r="X613" s="29">
        <v>1908</v>
      </c>
      <c r="Y613" s="29">
        <v>1860</v>
      </c>
      <c r="Z613" s="29">
        <v>1944</v>
      </c>
      <c r="AA613" s="29">
        <v>1970</v>
      </c>
      <c r="AB613" s="29">
        <v>2995</v>
      </c>
      <c r="AC613" s="29">
        <v>2878</v>
      </c>
      <c r="AD613" s="837">
        <v>0</v>
      </c>
      <c r="AE613" s="837">
        <v>0</v>
      </c>
      <c r="AF613" s="837">
        <v>1832</v>
      </c>
      <c r="AG613" s="837">
        <v>0</v>
      </c>
      <c r="AK613" s="79"/>
      <c r="AL613" s="29">
        <v>1230</v>
      </c>
      <c r="AM613" s="29">
        <v>1084</v>
      </c>
      <c r="AN613" s="33">
        <f>SUMIF($E$7:$AK$7,AN$7,$E613:$AK613)</f>
        <v>1108</v>
      </c>
      <c r="AO613" s="33">
        <f t="shared" ref="AO613:AT613" si="1354">SUMIF($E$7:$AK$7,AO$7,$E613:$AK613)</f>
        <v>1043</v>
      </c>
      <c r="AP613" s="33">
        <f t="shared" si="1354"/>
        <v>1082</v>
      </c>
      <c r="AQ613" s="33">
        <f t="shared" si="1354"/>
        <v>1417</v>
      </c>
      <c r="AR613" s="33">
        <f t="shared" si="1354"/>
        <v>1908</v>
      </c>
      <c r="AS613" s="33">
        <f t="shared" si="1354"/>
        <v>2995</v>
      </c>
      <c r="AT613" s="33">
        <f t="shared" si="1354"/>
        <v>1832</v>
      </c>
    </row>
    <row r="614" spans="2:51" ht="11.25" customHeight="1">
      <c r="C614" s="112" t="s">
        <v>119</v>
      </c>
      <c r="E614" s="33">
        <f>$AN$614*(E899/SUM($E$899:$H$899))</f>
        <v>1.0137931034482759</v>
      </c>
      <c r="F614" s="33">
        <f>$AN$614*(F899/SUM($E$899:$H$899))</f>
        <v>0.99310344827586206</v>
      </c>
      <c r="G614" s="33">
        <f>$AN$614*(G899/SUM($E$899:$H$899))</f>
        <v>1</v>
      </c>
      <c r="H614" s="33">
        <f>$AN$614*(H899/SUM($E$899:$H$899))</f>
        <v>0.99310344827586206</v>
      </c>
      <c r="I614" s="33">
        <f>$AO$614*(I899/SUM($I$899:$L$899))</f>
        <v>0.98807495741056217</v>
      </c>
      <c r="J614" s="33">
        <f>$AO$614*(J899/SUM($I$899:$L$899))</f>
        <v>1.0017035775127767</v>
      </c>
      <c r="K614" s="33">
        <f>$AO$614*(K899/SUM($I$899:$L$899))</f>
        <v>1.0085178875638841</v>
      </c>
      <c r="L614" s="33">
        <f>$AO$614*(L899/SUM($I$899:$L$899))</f>
        <v>1.0017035775127767</v>
      </c>
      <c r="M614" s="33">
        <f>$AP$614*(M899/SUM($M$899:$P$899))</f>
        <v>0.25165562913907286</v>
      </c>
      <c r="N614" s="33">
        <f>$AP$614*(N899/SUM($M$899:$P$899))</f>
        <v>0.24503311258278146</v>
      </c>
      <c r="O614" s="33">
        <f>$AP$614*(O899/SUM($M$899:$P$899))</f>
        <v>0.25</v>
      </c>
      <c r="P614" s="33">
        <f>$AP$614*(P899/SUM($M$899:$P$899))</f>
        <v>0.25331125827814571</v>
      </c>
      <c r="Q614" s="33">
        <f>$AQ$614*(Q899/SUM($Q$899:$T$899))</f>
        <v>1.7757774140752864</v>
      </c>
      <c r="R614" s="33">
        <f>$AQ$614*(R899/SUM($Q$899:$T$899))</f>
        <v>1.7872340425531914</v>
      </c>
      <c r="S614" s="33">
        <f>$AQ$614*(S899/SUM($Q$899:$T$899))</f>
        <v>1.7299509001636661</v>
      </c>
      <c r="T614" s="33">
        <f>$AQ$614*(T899/SUM($Q$899:$T$899))</f>
        <v>1.707037643207856</v>
      </c>
      <c r="U614" s="33">
        <f>$AR614*(U$899/SUM($U$899:$X$899))</f>
        <v>0.72648083623693382</v>
      </c>
      <c r="V614" s="33">
        <f>$AR614*(V$899/SUM($U$899:$X$899))</f>
        <v>0.73693379790940772</v>
      </c>
      <c r="W614" s="33">
        <f>$AR614*(W$899/SUM($U$899:$X$899))</f>
        <v>0.77874564459930307</v>
      </c>
      <c r="X614" s="33">
        <f>$AR614*(X$899/SUM($U$899:$X$899))</f>
        <v>0.75783972125435528</v>
      </c>
      <c r="Y614" s="33">
        <f>$AS614*(Y$899/SUM($Y$899:$AB$899))</f>
        <v>1.1078066914498141</v>
      </c>
      <c r="Z614" s="33">
        <f>$AS614*(Z$899/SUM($Y$899:$AB$899))</f>
        <v>1.0408921933085502</v>
      </c>
      <c r="AA614" s="33">
        <f>$AS614*(AA$899/SUM($Y$899:$AB$899))</f>
        <v>0.94423791821561343</v>
      </c>
      <c r="AB614" s="33">
        <f>$AS614*(AB$899/SUM($Y$899:$AB$899))</f>
        <v>0.90706319702602234</v>
      </c>
      <c r="AC614" s="33">
        <f>$AT$614*(AC$899/SUM($AC$899:$AF$899))</f>
        <v>1.7756813417190775</v>
      </c>
      <c r="AD614" s="33">
        <f>$AT$614*(AD$899/SUM($AC$899:$AF$899))</f>
        <v>1.7903563941299792</v>
      </c>
      <c r="AE614" s="33">
        <f>$AT$614*(AE$899/SUM($AC$899:$AF$899))</f>
        <v>1.7169811320754718</v>
      </c>
      <c r="AF614" s="33">
        <f>$AT$614*(AF$899/SUM($AC$899:$AF$899))</f>
        <v>1.7169811320754718</v>
      </c>
      <c r="AG614" s="33">
        <f>$AT$614*(AG$899/SUM($AC$899:$AF$899))</f>
        <v>2.0691823899371067</v>
      </c>
      <c r="AH614" s="33">
        <f t="shared" ref="AH614:AJ614" si="1355">+AH$899*AH906</f>
        <v>1.8510154951427003</v>
      </c>
      <c r="AI614" s="33">
        <f t="shared" si="1355"/>
        <v>1.8746713874259717</v>
      </c>
      <c r="AJ614" s="33">
        <f t="shared" si="1355"/>
        <v>1.8983272797092428</v>
      </c>
      <c r="AK614" s="79"/>
      <c r="AL614" s="29">
        <v>2</v>
      </c>
      <c r="AM614" s="29">
        <v>3</v>
      </c>
      <c r="AN614" s="29">
        <v>4</v>
      </c>
      <c r="AO614" s="29">
        <v>4</v>
      </c>
      <c r="AP614" s="29">
        <v>1</v>
      </c>
      <c r="AQ614" s="29">
        <v>7</v>
      </c>
      <c r="AR614" s="29">
        <v>3</v>
      </c>
      <c r="AS614" s="29">
        <v>4</v>
      </c>
      <c r="AT614" s="29">
        <v>7</v>
      </c>
      <c r="AU614" s="33">
        <f t="shared" ref="AU614" si="1356">SUMIF($E$6:$AK$6,AU$6,$E614:$AK614)</f>
        <v>7.6931965522150207</v>
      </c>
      <c r="AV614" s="33">
        <f>+AV$899*AV906</f>
        <v>7.7397227550981187</v>
      </c>
      <c r="AW614" s="33">
        <f>+AW$899*AW906</f>
        <v>7.8913607610410805</v>
      </c>
      <c r="AX614" s="33">
        <f>+AX$899*AX906</f>
        <v>8.1767970075219498</v>
      </c>
    </row>
    <row r="615" spans="2:51" ht="11.25" customHeight="1">
      <c r="C615" s="112" t="s">
        <v>120</v>
      </c>
      <c r="E615" s="46"/>
      <c r="F615" s="46"/>
      <c r="G615" s="46"/>
      <c r="H615" s="46"/>
      <c r="I615" s="46"/>
      <c r="J615" s="46"/>
      <c r="K615" s="46"/>
      <c r="L615" s="46"/>
      <c r="M615" s="46"/>
      <c r="N615" s="46"/>
      <c r="O615" s="46"/>
      <c r="P615" s="46"/>
      <c r="Q615" s="46"/>
      <c r="R615" s="46"/>
      <c r="S615" s="46"/>
      <c r="T615" s="46"/>
      <c r="AK615" s="79"/>
      <c r="AL615" s="29">
        <v>8</v>
      </c>
      <c r="AM615" s="29">
        <v>4</v>
      </c>
      <c r="AN615" s="29">
        <v>4</v>
      </c>
      <c r="AO615" s="29">
        <v>4</v>
      </c>
      <c r="AP615" s="29">
        <v>4</v>
      </c>
      <c r="AQ615" s="29">
        <v>3</v>
      </c>
      <c r="AR615" s="29">
        <v>2</v>
      </c>
      <c r="AS615" s="29">
        <v>1</v>
      </c>
      <c r="AT615" s="29">
        <v>44</v>
      </c>
    </row>
    <row r="616" spans="2:51" ht="11.25" customHeight="1">
      <c r="C616" s="43"/>
      <c r="E616" s="29"/>
      <c r="F616" s="29"/>
      <c r="G616" s="29"/>
      <c r="H616" s="29"/>
      <c r="I616" s="29"/>
      <c r="J616" s="29"/>
      <c r="K616" s="29"/>
      <c r="L616" s="29"/>
      <c r="M616" s="29"/>
      <c r="N616" s="29"/>
      <c r="O616" s="29"/>
      <c r="P616" s="29"/>
      <c r="Q616" s="29"/>
      <c r="R616" s="29"/>
      <c r="AK616" s="79"/>
      <c r="AL616" s="28"/>
      <c r="AM616" s="29"/>
      <c r="AN616" s="29"/>
      <c r="AO616" s="29"/>
      <c r="AP616" s="29"/>
    </row>
    <row r="617" spans="2:51" ht="11.25" customHeight="1">
      <c r="C617" s="45" t="s">
        <v>617</v>
      </c>
      <c r="E617" s="31">
        <f>E609+E614</f>
        <v>-4.9862068965517246</v>
      </c>
      <c r="F617" s="31">
        <f t="shared" ref="F617:X617" si="1357">F609+F614</f>
        <v>-10.006896551724138</v>
      </c>
      <c r="G617" s="31">
        <f t="shared" si="1357"/>
        <v>-2</v>
      </c>
      <c r="H617" s="31">
        <f t="shared" si="1357"/>
        <v>-8.0068965517241377</v>
      </c>
      <c r="I617" s="31">
        <f t="shared" si="1357"/>
        <v>-6.0119250425894375</v>
      </c>
      <c r="J617" s="31">
        <f t="shared" si="1357"/>
        <v>-15.998296422487224</v>
      </c>
      <c r="K617" s="31">
        <f t="shared" si="1357"/>
        <v>-14.991482112436117</v>
      </c>
      <c r="L617" s="31">
        <f t="shared" si="1357"/>
        <v>-7.9982964224872237</v>
      </c>
      <c r="M617" s="31">
        <f t="shared" si="1357"/>
        <v>-1.7483443708609272</v>
      </c>
      <c r="N617" s="31">
        <f t="shared" si="1357"/>
        <v>-6.7549668874172184</v>
      </c>
      <c r="O617" s="31">
        <f t="shared" si="1357"/>
        <v>-13.75</v>
      </c>
      <c r="P617" s="31">
        <f t="shared" si="1357"/>
        <v>-12.746688741721854</v>
      </c>
      <c r="Q617" s="31">
        <f t="shared" si="1357"/>
        <v>20.775777414075286</v>
      </c>
      <c r="R617" s="31">
        <f t="shared" si="1357"/>
        <v>22.787234042553191</v>
      </c>
      <c r="S617" s="31">
        <f t="shared" si="1357"/>
        <v>17.729950900163665</v>
      </c>
      <c r="T617" s="31">
        <f>T609+T614</f>
        <v>8.7070376432078564</v>
      </c>
      <c r="U617" s="31">
        <f t="shared" si="1357"/>
        <v>25.726480836236934</v>
      </c>
      <c r="V617" s="31">
        <f t="shared" si="1357"/>
        <v>-18.263066202090592</v>
      </c>
      <c r="W617" s="31">
        <f t="shared" si="1357"/>
        <v>8.7787456445993026</v>
      </c>
      <c r="X617" s="31">
        <f t="shared" si="1357"/>
        <v>18.757839721254356</v>
      </c>
      <c r="Y617" s="31">
        <f t="shared" ref="Y617:AC617" si="1358">Y609+Y614</f>
        <v>25.107806691449813</v>
      </c>
      <c r="Z617" s="31">
        <f t="shared" si="1358"/>
        <v>6.04089219330855</v>
      </c>
      <c r="AA617" s="31">
        <f t="shared" si="1358"/>
        <v>19.944237918215613</v>
      </c>
      <c r="AB617" s="31">
        <f t="shared" si="1358"/>
        <v>-13.092936802973977</v>
      </c>
      <c r="AC617" s="31">
        <f t="shared" si="1358"/>
        <v>1.7756813417190775</v>
      </c>
      <c r="AD617" s="31">
        <f t="shared" ref="AD617:AF617" si="1359">AD609+AD614</f>
        <v>-27.209643605870021</v>
      </c>
      <c r="AE617" s="31">
        <f t="shared" si="1359"/>
        <v>-30.283018867924529</v>
      </c>
      <c r="AF617" s="31">
        <f t="shared" si="1359"/>
        <v>-28.283018867924529</v>
      </c>
      <c r="AG617" s="31">
        <f t="shared" ref="AG617" si="1360">AG609+AG614</f>
        <v>-60.930817610062896</v>
      </c>
      <c r="AH617" s="31">
        <f t="shared" ref="AH617:AJ617" si="1361">AH609+AH614</f>
        <v>-11.675184504857299</v>
      </c>
      <c r="AI617" s="31">
        <f t="shared" si="1361"/>
        <v>-11.615428612574028</v>
      </c>
      <c r="AJ617" s="31">
        <f t="shared" si="1361"/>
        <v>-10.12057272029076</v>
      </c>
      <c r="AK617" s="79"/>
      <c r="AL617" s="31">
        <f t="shared" ref="AL617:AT617" si="1362">AL609+AL614</f>
        <v>-51</v>
      </c>
      <c r="AM617" s="31">
        <f t="shared" si="1362"/>
        <v>-33</v>
      </c>
      <c r="AN617" s="31">
        <f t="shared" si="1362"/>
        <v>-25</v>
      </c>
      <c r="AO617" s="31">
        <f t="shared" si="1362"/>
        <v>-45</v>
      </c>
      <c r="AP617" s="31">
        <f t="shared" si="1362"/>
        <v>-35</v>
      </c>
      <c r="AQ617" s="31">
        <f t="shared" si="1362"/>
        <v>70</v>
      </c>
      <c r="AR617" s="31">
        <f t="shared" si="1362"/>
        <v>35</v>
      </c>
      <c r="AS617" s="31">
        <f t="shared" si="1362"/>
        <v>38</v>
      </c>
      <c r="AT617" s="31">
        <f t="shared" si="1362"/>
        <v>-84</v>
      </c>
      <c r="AU617" s="31">
        <f t="shared" ref="AU617" si="1363">AU609+AU614</f>
        <v>-94.342003447784975</v>
      </c>
      <c r="AV617" s="31">
        <f t="shared" ref="AV617:AW617" si="1364">AV609+AV614</f>
        <v>-45.21526024490187</v>
      </c>
      <c r="AW617" s="31">
        <f t="shared" si="1364"/>
        <v>-46.67013797395893</v>
      </c>
      <c r="AX617" s="31">
        <f t="shared" ref="AX617" si="1365">AX609+AX614</f>
        <v>-47.772178546753047</v>
      </c>
    </row>
    <row r="618" spans="2:51" ht="11.25" customHeight="1">
      <c r="C618" s="43"/>
      <c r="E618" s="29"/>
      <c r="F618" s="29"/>
      <c r="G618" s="29"/>
      <c r="H618" s="29"/>
      <c r="I618" s="29"/>
      <c r="J618" s="29"/>
      <c r="K618" s="29"/>
      <c r="L618" s="29"/>
      <c r="M618" s="29"/>
      <c r="N618" s="29"/>
      <c r="O618" s="29"/>
      <c r="P618" s="29"/>
      <c r="Q618" s="29"/>
      <c r="R618" s="29"/>
      <c r="AK618" s="79"/>
      <c r="AL618" s="28"/>
      <c r="AM618" s="29"/>
      <c r="AN618" s="29"/>
      <c r="AO618" s="29"/>
      <c r="AP618" s="29"/>
    </row>
    <row r="619" spans="2:51" ht="10.5">
      <c r="C619" s="45" t="s">
        <v>109</v>
      </c>
      <c r="E619" s="30">
        <f t="shared" ref="E619:AJ619" si="1366">+E250+E352+E433+E513+E592</f>
        <v>2236</v>
      </c>
      <c r="F619" s="30">
        <f t="shared" si="1366"/>
        <v>2297</v>
      </c>
      <c r="G619" s="30">
        <f t="shared" si="1366"/>
        <v>2287</v>
      </c>
      <c r="H619" s="30">
        <f t="shared" si="1366"/>
        <v>2188</v>
      </c>
      <c r="I619" s="30">
        <f t="shared" si="1366"/>
        <v>2303</v>
      </c>
      <c r="J619" s="30">
        <f t="shared" si="1366"/>
        <v>2419</v>
      </c>
      <c r="K619" s="30">
        <f t="shared" si="1366"/>
        <v>2465</v>
      </c>
      <c r="L619" s="30">
        <f t="shared" si="1366"/>
        <v>2362</v>
      </c>
      <c r="M619" s="30">
        <f t="shared" si="1366"/>
        <v>2607</v>
      </c>
      <c r="N619" s="30">
        <f t="shared" si="1366"/>
        <v>2621</v>
      </c>
      <c r="O619" s="30">
        <f t="shared" si="1366"/>
        <v>2547</v>
      </c>
      <c r="P619" s="30">
        <f t="shared" si="1366"/>
        <v>2376</v>
      </c>
      <c r="Q619" s="30">
        <f t="shared" si="1366"/>
        <v>2380</v>
      </c>
      <c r="R619" s="30">
        <f t="shared" si="1366"/>
        <v>2363</v>
      </c>
      <c r="S619" s="30">
        <f t="shared" si="1366"/>
        <v>2325</v>
      </c>
      <c r="T619" s="30">
        <f t="shared" si="1366"/>
        <v>2196</v>
      </c>
      <c r="U619" s="30">
        <f t="shared" si="1366"/>
        <v>2241</v>
      </c>
      <c r="V619" s="30">
        <f t="shared" si="1366"/>
        <v>1924</v>
      </c>
      <c r="W619" s="30">
        <f t="shared" si="1366"/>
        <v>2122</v>
      </c>
      <c r="X619" s="30">
        <f t="shared" si="1366"/>
        <v>2186</v>
      </c>
      <c r="Y619" s="30">
        <f t="shared" si="1366"/>
        <v>2409</v>
      </c>
      <c r="Z619" s="30">
        <f t="shared" si="1366"/>
        <v>2653</v>
      </c>
      <c r="AA619" s="30">
        <f t="shared" si="1366"/>
        <v>2720</v>
      </c>
      <c r="AB619" s="30">
        <f t="shared" si="1366"/>
        <v>2694</v>
      </c>
      <c r="AC619" s="30">
        <f t="shared" si="1366"/>
        <v>2714</v>
      </c>
      <c r="AD619" s="30">
        <f t="shared" si="1366"/>
        <v>2784</v>
      </c>
      <c r="AE619" s="30">
        <f t="shared" si="1366"/>
        <v>2709</v>
      </c>
      <c r="AF619" s="30">
        <f t="shared" si="1366"/>
        <v>2373</v>
      </c>
      <c r="AG619" s="30">
        <f t="shared" ref="AG619" si="1367">+AG250+AG352+AG433+AG513+AG592</f>
        <v>2412</v>
      </c>
      <c r="AH619" s="30">
        <f t="shared" si="1366"/>
        <v>2705.24</v>
      </c>
      <c r="AI619" s="30">
        <f t="shared" si="1366"/>
        <v>2698.02</v>
      </c>
      <c r="AJ619" s="30">
        <f t="shared" si="1366"/>
        <v>2403.7800000000002</v>
      </c>
      <c r="AK619" s="79"/>
      <c r="AL619" s="30">
        <f>+AL250+AL352+AL433+AL513+AL592</f>
        <v>9527</v>
      </c>
      <c r="AM619" s="30">
        <f>+AM250+AM352+AM433+AM513+AM592</f>
        <v>9648</v>
      </c>
      <c r="AN619" s="31">
        <f t="shared" ref="AN619:AU619" si="1368">SUMIF($E$6:$AK$6,AN$6,$E619:$AK619)</f>
        <v>9008</v>
      </c>
      <c r="AO619" s="31">
        <f t="shared" si="1368"/>
        <v>9549</v>
      </c>
      <c r="AP619" s="31">
        <f t="shared" si="1368"/>
        <v>10151</v>
      </c>
      <c r="AQ619" s="31">
        <f t="shared" si="1368"/>
        <v>9264</v>
      </c>
      <c r="AR619" s="31">
        <f t="shared" si="1368"/>
        <v>8473</v>
      </c>
      <c r="AS619" s="30">
        <f t="shared" si="1368"/>
        <v>10476</v>
      </c>
      <c r="AT619" s="30">
        <f t="shared" si="1368"/>
        <v>10580</v>
      </c>
      <c r="AU619" s="30">
        <f t="shared" si="1368"/>
        <v>10219.040000000001</v>
      </c>
      <c r="AV619" s="30">
        <f>+AV250+AV352+AV433+AV513+AV592</f>
        <v>10590.996599999999</v>
      </c>
      <c r="AW619" s="30">
        <f>+AW250+AW352+AW433+AW513+AW592</f>
        <v>10912.299747000001</v>
      </c>
      <c r="AX619" s="30">
        <f>+AX250+AX352+AX433+AX513+AX592</f>
        <v>11189.795110854999</v>
      </c>
    </row>
    <row r="620" spans="2:51" ht="11.25" customHeight="1" outlineLevel="1">
      <c r="C620" s="114" t="s">
        <v>358</v>
      </c>
      <c r="E620" s="124"/>
      <c r="F620" s="124"/>
      <c r="G620" s="124"/>
      <c r="H620" s="124"/>
      <c r="I620" s="94">
        <f t="shared" ref="I620:AC620" si="1369">IFERROR(I619/E619-1,"NA  ")</f>
        <v>2.9964221824686943E-2</v>
      </c>
      <c r="J620" s="94">
        <f t="shared" si="1369"/>
        <v>5.3112755768393471E-2</v>
      </c>
      <c r="K620" s="94">
        <f t="shared" si="1369"/>
        <v>7.7831219938784502E-2</v>
      </c>
      <c r="L620" s="94">
        <f t="shared" si="1369"/>
        <v>7.9524680073126186E-2</v>
      </c>
      <c r="M620" s="94">
        <f t="shared" si="1369"/>
        <v>0.13200173686495864</v>
      </c>
      <c r="N620" s="94">
        <f t="shared" si="1369"/>
        <v>8.3505580818520109E-2</v>
      </c>
      <c r="O620" s="94">
        <f t="shared" si="1369"/>
        <v>3.326572008113593E-2</v>
      </c>
      <c r="P620" s="94">
        <f t="shared" si="1369"/>
        <v>5.92718035563089E-3</v>
      </c>
      <c r="Q620" s="94">
        <f t="shared" si="1369"/>
        <v>-8.7073264288454189E-2</v>
      </c>
      <c r="R620" s="94">
        <f t="shared" si="1369"/>
        <v>-9.8435711560473149E-2</v>
      </c>
      <c r="S620" s="94">
        <f t="shared" si="1369"/>
        <v>-8.7161366313309729E-2</v>
      </c>
      <c r="T620" s="94">
        <f t="shared" si="1369"/>
        <v>-7.5757575757575801E-2</v>
      </c>
      <c r="U620" s="94">
        <f t="shared" si="1369"/>
        <v>-5.840336134453783E-2</v>
      </c>
      <c r="V620" s="94">
        <f t="shared" si="1369"/>
        <v>-0.1857807871349979</v>
      </c>
      <c r="W620" s="94">
        <f t="shared" si="1369"/>
        <v>-8.7311827956989219E-2</v>
      </c>
      <c r="X620" s="94">
        <f t="shared" si="1369"/>
        <v>-4.5537340619308253E-3</v>
      </c>
      <c r="Y620" s="94">
        <f t="shared" si="1369"/>
        <v>7.4966532797858143E-2</v>
      </c>
      <c r="Z620" s="94">
        <f t="shared" si="1369"/>
        <v>0.37889812889812879</v>
      </c>
      <c r="AA620" s="94">
        <f t="shared" si="1369"/>
        <v>0.28180961357210177</v>
      </c>
      <c r="AB620" s="94">
        <f t="shared" si="1369"/>
        <v>0.23238792314730095</v>
      </c>
      <c r="AC620" s="94">
        <f t="shared" si="1369"/>
        <v>0.1266085512660855</v>
      </c>
      <c r="AD620" s="94">
        <f t="shared" ref="AD620" si="1370">IFERROR(AD619/Z619-1,"NA  ")</f>
        <v>4.9378062570674786E-2</v>
      </c>
      <c r="AE620" s="94">
        <f t="shared" ref="AE620" si="1371">IFERROR(AE619/AA619-1,"NA  ")</f>
        <v>-4.0441176470588092E-3</v>
      </c>
      <c r="AF620" s="94">
        <f t="shared" ref="AF620:AG620" si="1372">IFERROR(AF619/AB619-1,"NA  ")</f>
        <v>-0.11915367483296213</v>
      </c>
      <c r="AG620" s="94">
        <f t="shared" si="1372"/>
        <v>-0.11127487103905676</v>
      </c>
      <c r="AH620" s="94">
        <f t="shared" ref="AH620" si="1373">IFERROR(AH619/AD619-1,"NA  ")</f>
        <v>-2.8290229885057583E-2</v>
      </c>
      <c r="AI620" s="94">
        <f t="shared" ref="AI620" si="1374">IFERROR(AI619/AE619-1,"NA  ")</f>
        <v>-4.0531561461794041E-3</v>
      </c>
      <c r="AJ620" s="94">
        <f t="shared" ref="AJ620" si="1375">IFERROR(AJ619/AF619-1,"NA  ")</f>
        <v>1.2970922882427294E-2</v>
      </c>
      <c r="AK620" s="79"/>
      <c r="AL620" s="124"/>
      <c r="AM620" s="94">
        <f t="shared" ref="AM620:AX620" si="1376">IFERROR(AM619/AL619-1,"NA  ")</f>
        <v>1.270074525034115E-2</v>
      </c>
      <c r="AN620" s="94">
        <f t="shared" si="1376"/>
        <v>-6.6334991708126068E-2</v>
      </c>
      <c r="AO620" s="94">
        <f t="shared" si="1376"/>
        <v>6.0057726465364114E-2</v>
      </c>
      <c r="AP620" s="94">
        <f t="shared" si="1376"/>
        <v>6.3043250602157208E-2</v>
      </c>
      <c r="AQ620" s="94">
        <f t="shared" si="1376"/>
        <v>-8.7380553640035497E-2</v>
      </c>
      <c r="AR620" s="94">
        <f t="shared" si="1376"/>
        <v>-8.5384283246977555E-2</v>
      </c>
      <c r="AS620" s="94">
        <f t="shared" si="1376"/>
        <v>0.23639797002242413</v>
      </c>
      <c r="AT620" s="94">
        <f t="shared" si="1376"/>
        <v>9.9274532264221893E-3</v>
      </c>
      <c r="AU620" s="94">
        <f t="shared" si="1376"/>
        <v>-3.4117202268430957E-2</v>
      </c>
      <c r="AV620" s="94">
        <f t="shared" si="1376"/>
        <v>3.6398389672610998E-2</v>
      </c>
      <c r="AW620" s="94">
        <f t="shared" si="1376"/>
        <v>3.0337385529894512E-2</v>
      </c>
      <c r="AX620" s="94">
        <f t="shared" si="1376"/>
        <v>2.5429595070579625E-2</v>
      </c>
    </row>
    <row r="621" spans="2:51" s="41" customFormat="1" ht="11.25" customHeight="1" outlineLevel="1">
      <c r="B621" s="37"/>
      <c r="C621" s="361" t="s">
        <v>68</v>
      </c>
      <c r="E621" s="42">
        <f t="shared" ref="E621:AJ621" si="1377">+E619-E11</f>
        <v>0</v>
      </c>
      <c r="F621" s="42">
        <f t="shared" si="1377"/>
        <v>0</v>
      </c>
      <c r="G621" s="42">
        <f t="shared" si="1377"/>
        <v>0</v>
      </c>
      <c r="H621" s="42">
        <f t="shared" si="1377"/>
        <v>0</v>
      </c>
      <c r="I621" s="42">
        <f t="shared" si="1377"/>
        <v>0</v>
      </c>
      <c r="J621" s="42">
        <f t="shared" si="1377"/>
        <v>0</v>
      </c>
      <c r="K621" s="42">
        <f t="shared" si="1377"/>
        <v>0</v>
      </c>
      <c r="L621" s="42">
        <f t="shared" si="1377"/>
        <v>0</v>
      </c>
      <c r="M621" s="42">
        <f t="shared" si="1377"/>
        <v>0</v>
      </c>
      <c r="N621" s="42">
        <f t="shared" si="1377"/>
        <v>0</v>
      </c>
      <c r="O621" s="42">
        <f t="shared" si="1377"/>
        <v>0</v>
      </c>
      <c r="P621" s="42">
        <f t="shared" si="1377"/>
        <v>0</v>
      </c>
      <c r="Q621" s="42">
        <f t="shared" si="1377"/>
        <v>0</v>
      </c>
      <c r="R621" s="42">
        <f t="shared" si="1377"/>
        <v>0</v>
      </c>
      <c r="S621" s="42">
        <f t="shared" si="1377"/>
        <v>0</v>
      </c>
      <c r="T621" s="42">
        <f t="shared" si="1377"/>
        <v>-9</v>
      </c>
      <c r="U621" s="42">
        <f t="shared" si="1377"/>
        <v>0</v>
      </c>
      <c r="V621" s="42">
        <f t="shared" si="1377"/>
        <v>0</v>
      </c>
      <c r="W621" s="42">
        <f t="shared" si="1377"/>
        <v>0</v>
      </c>
      <c r="X621" s="42">
        <f t="shared" si="1377"/>
        <v>0</v>
      </c>
      <c r="Y621" s="42">
        <f t="shared" si="1377"/>
        <v>0</v>
      </c>
      <c r="Z621" s="42">
        <f t="shared" si="1377"/>
        <v>0</v>
      </c>
      <c r="AA621" s="42">
        <f t="shared" si="1377"/>
        <v>0</v>
      </c>
      <c r="AB621" s="42">
        <f t="shared" si="1377"/>
        <v>0</v>
      </c>
      <c r="AC621" s="42">
        <f t="shared" si="1377"/>
        <v>0</v>
      </c>
      <c r="AD621" s="42">
        <f t="shared" si="1377"/>
        <v>0</v>
      </c>
      <c r="AE621" s="42">
        <f t="shared" si="1377"/>
        <v>0</v>
      </c>
      <c r="AF621" s="42">
        <f t="shared" si="1377"/>
        <v>0</v>
      </c>
      <c r="AG621" s="42">
        <f t="shared" si="1377"/>
        <v>0</v>
      </c>
      <c r="AH621" s="42">
        <f t="shared" si="1377"/>
        <v>0</v>
      </c>
      <c r="AI621" s="42">
        <f t="shared" si="1377"/>
        <v>0</v>
      </c>
      <c r="AJ621" s="42">
        <f t="shared" si="1377"/>
        <v>0</v>
      </c>
      <c r="AK621" s="79"/>
      <c r="AL621" s="42">
        <f t="shared" ref="AL621:AX621" si="1378">+AL619-AL11</f>
        <v>0</v>
      </c>
      <c r="AM621" s="42">
        <f t="shared" si="1378"/>
        <v>0</v>
      </c>
      <c r="AN621" s="42">
        <f t="shared" si="1378"/>
        <v>0</v>
      </c>
      <c r="AO621" s="42">
        <f t="shared" si="1378"/>
        <v>0</v>
      </c>
      <c r="AP621" s="42">
        <f t="shared" si="1378"/>
        <v>0</v>
      </c>
      <c r="AQ621" s="42">
        <f t="shared" si="1378"/>
        <v>-9</v>
      </c>
      <c r="AR621" s="42">
        <f t="shared" si="1378"/>
        <v>0</v>
      </c>
      <c r="AS621" s="42">
        <f t="shared" si="1378"/>
        <v>0</v>
      </c>
      <c r="AT621" s="42">
        <f t="shared" si="1378"/>
        <v>0</v>
      </c>
      <c r="AU621" s="42">
        <f t="shared" si="1378"/>
        <v>0</v>
      </c>
      <c r="AV621" s="42">
        <f t="shared" si="1378"/>
        <v>0</v>
      </c>
      <c r="AW621" s="42">
        <f t="shared" si="1378"/>
        <v>0</v>
      </c>
      <c r="AX621" s="42">
        <f t="shared" si="1378"/>
        <v>0</v>
      </c>
      <c r="AY621" s="1"/>
    </row>
    <row r="622" spans="2:51" ht="5.2" customHeight="1" outlineLevel="1">
      <c r="C622" s="44"/>
      <c r="E622" s="28"/>
      <c r="F622" s="28"/>
      <c r="G622" s="28"/>
      <c r="H622" s="28"/>
      <c r="I622" s="28"/>
      <c r="J622" s="28"/>
      <c r="K622" s="28"/>
      <c r="L622" s="28"/>
      <c r="M622" s="28"/>
      <c r="N622" s="28"/>
      <c r="O622" s="28"/>
      <c r="P622" s="28"/>
      <c r="AK622" s="79"/>
      <c r="AL622" s="28"/>
      <c r="AM622" s="28"/>
      <c r="AN622" s="28"/>
      <c r="AO622" s="28"/>
      <c r="AP622" s="28"/>
    </row>
    <row r="623" spans="2:51" ht="11.25" customHeight="1">
      <c r="C623" s="45" t="s">
        <v>114</v>
      </c>
      <c r="E623" s="30">
        <f t="shared" ref="E623:AJ623" si="1379">+E530+E452+E371+E269+E596</f>
        <v>399</v>
      </c>
      <c r="F623" s="30">
        <f t="shared" si="1379"/>
        <v>376</v>
      </c>
      <c r="G623" s="30">
        <f t="shared" si="1379"/>
        <v>356</v>
      </c>
      <c r="H623" s="30">
        <f t="shared" si="1379"/>
        <v>252</v>
      </c>
      <c r="I623" s="30">
        <f t="shared" si="1379"/>
        <v>401</v>
      </c>
      <c r="J623" s="30">
        <f t="shared" si="1379"/>
        <v>420</v>
      </c>
      <c r="K623" s="30">
        <f t="shared" si="1379"/>
        <v>464</v>
      </c>
      <c r="L623" s="30">
        <f t="shared" si="1379"/>
        <v>245</v>
      </c>
      <c r="M623" s="30">
        <f t="shared" si="1379"/>
        <v>409</v>
      </c>
      <c r="N623" s="30">
        <f t="shared" si="1379"/>
        <v>491</v>
      </c>
      <c r="O623" s="30">
        <f t="shared" si="1379"/>
        <v>517</v>
      </c>
      <c r="P623" s="30">
        <f t="shared" si="1379"/>
        <v>135</v>
      </c>
      <c r="Q623" s="30">
        <f t="shared" si="1379"/>
        <v>320</v>
      </c>
      <c r="R623" s="30">
        <f t="shared" si="1379"/>
        <v>371</v>
      </c>
      <c r="S623" s="30">
        <f t="shared" si="1379"/>
        <v>367</v>
      </c>
      <c r="T623" s="30">
        <f t="shared" si="1379"/>
        <v>62</v>
      </c>
      <c r="U623" s="30">
        <f t="shared" si="1379"/>
        <v>368</v>
      </c>
      <c r="V623" s="30">
        <f t="shared" si="1379"/>
        <v>54</v>
      </c>
      <c r="W623" s="30">
        <f t="shared" si="1379"/>
        <v>243</v>
      </c>
      <c r="X623" s="30">
        <f t="shared" si="1379"/>
        <v>76</v>
      </c>
      <c r="Y623" s="30">
        <f t="shared" si="1379"/>
        <v>389</v>
      </c>
      <c r="Z623" s="30">
        <f t="shared" si="1379"/>
        <v>-61</v>
      </c>
      <c r="AA623" s="30">
        <f t="shared" si="1379"/>
        <v>367</v>
      </c>
      <c r="AB623" s="30">
        <f t="shared" si="1379"/>
        <v>571</v>
      </c>
      <c r="AC623" s="30">
        <f t="shared" si="1379"/>
        <v>333</v>
      </c>
      <c r="AD623" s="30">
        <f t="shared" si="1379"/>
        <v>426</v>
      </c>
      <c r="AE623" s="30">
        <f t="shared" si="1379"/>
        <v>324</v>
      </c>
      <c r="AF623" s="30">
        <f t="shared" si="1379"/>
        <v>76</v>
      </c>
      <c r="AG623" s="30">
        <f t="shared" ref="AG623" si="1380">+AG530+AG452+AG371+AG269+AG596</f>
        <v>246</v>
      </c>
      <c r="AH623" s="30">
        <f t="shared" si="1379"/>
        <v>382.96299999999997</v>
      </c>
      <c r="AI623" s="30">
        <f t="shared" si="1379"/>
        <v>408.39790000000005</v>
      </c>
      <c r="AJ623" s="30">
        <f t="shared" si="1379"/>
        <v>341.23170000000005</v>
      </c>
      <c r="AK623" s="79"/>
      <c r="AL623" s="30">
        <f>+AL530+AL452+AL371+AL269+AL596</f>
        <v>1162</v>
      </c>
      <c r="AM623" s="30">
        <f>+AM530+AM452+AM371+AM269+AM596</f>
        <v>1384</v>
      </c>
      <c r="AN623" s="31">
        <f t="shared" ref="AN623:AU623" si="1381">SUMIF($E$6:$AK$6,AN$6,$E623:$AK623)</f>
        <v>1383</v>
      </c>
      <c r="AO623" s="31">
        <f t="shared" si="1381"/>
        <v>1530</v>
      </c>
      <c r="AP623" s="31">
        <f t="shared" si="1381"/>
        <v>1552</v>
      </c>
      <c r="AQ623" s="31">
        <f t="shared" si="1381"/>
        <v>1120</v>
      </c>
      <c r="AR623" s="31">
        <f t="shared" si="1381"/>
        <v>741</v>
      </c>
      <c r="AS623" s="30">
        <f t="shared" si="1381"/>
        <v>1266</v>
      </c>
      <c r="AT623" s="30">
        <f t="shared" si="1381"/>
        <v>1159</v>
      </c>
      <c r="AU623" s="30">
        <f t="shared" si="1381"/>
        <v>1378.5926000000002</v>
      </c>
      <c r="AV623" s="30">
        <f>+AV530+AV452+AV371+AV269+AV596</f>
        <v>1516.7443589999998</v>
      </c>
      <c r="AW623" s="30">
        <f>+AW530+AW452+AW371+AW269+AW596</f>
        <v>1598.1947735649999</v>
      </c>
      <c r="AX623" s="30">
        <f>+AX530+AX452+AX371+AX269+AX596</f>
        <v>1691.2155851145751</v>
      </c>
    </row>
    <row r="624" spans="2:51" ht="11.25" customHeight="1" outlineLevel="1">
      <c r="C624" s="114" t="s">
        <v>358</v>
      </c>
      <c r="E624" s="124"/>
      <c r="F624" s="124"/>
      <c r="G624" s="124"/>
      <c r="H624" s="124"/>
      <c r="I624" s="94">
        <f t="shared" ref="I624:AC624" si="1382">IFERROR(I623/E623-1,"NA  ")</f>
        <v>5.0125313283209127E-3</v>
      </c>
      <c r="J624" s="94">
        <f t="shared" si="1382"/>
        <v>0.11702127659574457</v>
      </c>
      <c r="K624" s="94">
        <f t="shared" si="1382"/>
        <v>0.30337078651685401</v>
      </c>
      <c r="L624" s="94">
        <f t="shared" si="1382"/>
        <v>-2.777777777777779E-2</v>
      </c>
      <c r="M624" s="94">
        <f t="shared" si="1382"/>
        <v>1.9950124688279391E-2</v>
      </c>
      <c r="N624" s="94">
        <f t="shared" si="1382"/>
        <v>0.16904761904761911</v>
      </c>
      <c r="O624" s="94">
        <f t="shared" si="1382"/>
        <v>0.11422413793103448</v>
      </c>
      <c r="P624" s="94">
        <f t="shared" si="1382"/>
        <v>-0.44897959183673475</v>
      </c>
      <c r="Q624" s="94">
        <f t="shared" si="1382"/>
        <v>-0.21760391198044005</v>
      </c>
      <c r="R624" s="94">
        <f t="shared" si="1382"/>
        <v>-0.24439918533604887</v>
      </c>
      <c r="S624" s="94">
        <f t="shared" si="1382"/>
        <v>-0.29013539651837528</v>
      </c>
      <c r="T624" s="94">
        <f t="shared" si="1382"/>
        <v>-0.54074074074074074</v>
      </c>
      <c r="U624" s="94">
        <f t="shared" si="1382"/>
        <v>0.14999999999999991</v>
      </c>
      <c r="V624" s="94">
        <f t="shared" si="1382"/>
        <v>-0.85444743935309975</v>
      </c>
      <c r="W624" s="94">
        <f t="shared" si="1382"/>
        <v>-0.33787465940054495</v>
      </c>
      <c r="X624" s="94">
        <f t="shared" si="1382"/>
        <v>0.22580645161290325</v>
      </c>
      <c r="Y624" s="94">
        <f t="shared" si="1382"/>
        <v>5.7065217391304435E-2</v>
      </c>
      <c r="Z624" s="94">
        <f t="shared" si="1382"/>
        <v>-2.1296296296296298</v>
      </c>
      <c r="AA624" s="94">
        <f t="shared" si="1382"/>
        <v>0.5102880658436213</v>
      </c>
      <c r="AB624" s="94">
        <f t="shared" si="1382"/>
        <v>6.5131578947368425</v>
      </c>
      <c r="AC624" s="94">
        <f t="shared" si="1382"/>
        <v>-0.14395886889460152</v>
      </c>
      <c r="AD624" s="94">
        <f t="shared" ref="AD624" si="1383">IFERROR(AD623/Z623-1,"NA  ")</f>
        <v>-7.9836065573770494</v>
      </c>
      <c r="AE624" s="94">
        <f t="shared" ref="AE624" si="1384">IFERROR(AE623/AA623-1,"NA  ")</f>
        <v>-0.1171662125340599</v>
      </c>
      <c r="AF624" s="94">
        <f t="shared" ref="AF624:AG624" si="1385">IFERROR(AF623/AB623-1,"NA  ")</f>
        <v>-0.86690017513134854</v>
      </c>
      <c r="AG624" s="94">
        <f t="shared" si="1385"/>
        <v>-0.26126126126126126</v>
      </c>
      <c r="AH624" s="94">
        <f t="shared" ref="AH624" si="1386">IFERROR(AH623/AD623-1,"NA  ")</f>
        <v>-0.10102582159624418</v>
      </c>
      <c r="AI624" s="94">
        <f t="shared" ref="AI624" si="1387">IFERROR(AI623/AE623-1,"NA  ")</f>
        <v>0.26048734567901244</v>
      </c>
      <c r="AJ624" s="94">
        <f t="shared" ref="AJ624" si="1388">IFERROR(AJ623/AF623-1,"NA  ")</f>
        <v>3.4898907894736846</v>
      </c>
      <c r="AK624" s="79"/>
      <c r="AL624" s="124"/>
      <c r="AM624" s="94">
        <f t="shared" ref="AM624:AR624" si="1389">IFERROR(AM623/AL623-1,"NA  ")</f>
        <v>0.1910499139414803</v>
      </c>
      <c r="AN624" s="94">
        <f t="shared" si="1389"/>
        <v>-7.2254335260113489E-4</v>
      </c>
      <c r="AO624" s="94">
        <f t="shared" si="1389"/>
        <v>0.10629067245119317</v>
      </c>
      <c r="AP624" s="94">
        <f t="shared" si="1389"/>
        <v>1.437908496732021E-2</v>
      </c>
      <c r="AQ624" s="94">
        <f t="shared" si="1389"/>
        <v>-0.27835051546391754</v>
      </c>
      <c r="AR624" s="94">
        <f t="shared" si="1389"/>
        <v>-0.33839285714285716</v>
      </c>
      <c r="AS624" s="94">
        <f t="shared" ref="AS624:AX624" si="1390">IFERROR(AS623/AO623-1,"NA  ")</f>
        <v>-0.17254901960784319</v>
      </c>
      <c r="AT624" s="94">
        <f t="shared" si="1390"/>
        <v>-0.25322164948453607</v>
      </c>
      <c r="AU624" s="94">
        <f t="shared" si="1390"/>
        <v>0.23088625000000018</v>
      </c>
      <c r="AV624" s="94">
        <f t="shared" si="1390"/>
        <v>1.0468884736842101</v>
      </c>
      <c r="AW624" s="94">
        <f t="shared" si="1390"/>
        <v>0.26239713551737753</v>
      </c>
      <c r="AX624" s="94">
        <f t="shared" si="1390"/>
        <v>0.45920240303242021</v>
      </c>
    </row>
    <row r="625" spans="2:51" ht="11.25" customHeight="1" outlineLevel="1">
      <c r="C625" s="114" t="s">
        <v>360</v>
      </c>
      <c r="E625" s="94">
        <f>IFERROR(E623/E619,"NA  ")</f>
        <v>0.17844364937388194</v>
      </c>
      <c r="F625" s="94">
        <f t="shared" ref="F625:R625" si="1391">IFERROR(F623/F619,"NA  ")</f>
        <v>0.16369177187636047</v>
      </c>
      <c r="G625" s="94">
        <f t="shared" si="1391"/>
        <v>0.15566243987756886</v>
      </c>
      <c r="H625" s="94">
        <f t="shared" si="1391"/>
        <v>0.11517367458866545</v>
      </c>
      <c r="I625" s="94">
        <f t="shared" si="1391"/>
        <v>0.17412071211463309</v>
      </c>
      <c r="J625" s="94">
        <f t="shared" si="1391"/>
        <v>0.17362546506821</v>
      </c>
      <c r="K625" s="94">
        <f t="shared" si="1391"/>
        <v>0.18823529411764706</v>
      </c>
      <c r="L625" s="94">
        <f t="shared" si="1391"/>
        <v>0.10372565622353937</v>
      </c>
      <c r="M625" s="94">
        <f t="shared" si="1391"/>
        <v>0.15688530878404297</v>
      </c>
      <c r="N625" s="94">
        <f t="shared" si="1391"/>
        <v>0.18733307897748952</v>
      </c>
      <c r="O625" s="94">
        <f t="shared" si="1391"/>
        <v>0.20298390263054575</v>
      </c>
      <c r="P625" s="94">
        <f t="shared" si="1391"/>
        <v>5.6818181818181816E-2</v>
      </c>
      <c r="Q625" s="94">
        <f t="shared" si="1391"/>
        <v>0.13445378151260504</v>
      </c>
      <c r="R625" s="94">
        <f t="shared" si="1391"/>
        <v>0.1570038087177317</v>
      </c>
      <c r="S625" s="94">
        <f t="shared" ref="S625:X625" si="1392">IFERROR(S623/S619,"NA  ")</f>
        <v>0.15784946236559139</v>
      </c>
      <c r="T625" s="94">
        <f>IFERROR(T623/T619,"NA  ")</f>
        <v>2.8233151183970857E-2</v>
      </c>
      <c r="U625" s="94">
        <f t="shared" si="1392"/>
        <v>0.1642124051762606</v>
      </c>
      <c r="V625" s="94">
        <f t="shared" si="1392"/>
        <v>2.8066528066528068E-2</v>
      </c>
      <c r="W625" s="94">
        <f t="shared" si="1392"/>
        <v>0.11451460885956645</v>
      </c>
      <c r="X625" s="94">
        <f t="shared" si="1392"/>
        <v>3.4766697163769442E-2</v>
      </c>
      <c r="Y625" s="94">
        <f t="shared" ref="Y625:AC625" si="1393">IFERROR(Y623/Y619,"NA  ")</f>
        <v>0.1614777916147779</v>
      </c>
      <c r="Z625" s="94">
        <f t="shared" si="1393"/>
        <v>-2.2992838296268376E-2</v>
      </c>
      <c r="AA625" s="94">
        <f t="shared" si="1393"/>
        <v>0.13492647058823529</v>
      </c>
      <c r="AB625" s="94">
        <f t="shared" si="1393"/>
        <v>0.2119524870081663</v>
      </c>
      <c r="AC625" s="94">
        <f t="shared" si="1393"/>
        <v>0.12269712601326456</v>
      </c>
      <c r="AD625" s="94">
        <f t="shared" ref="AD625:AF625" si="1394">IFERROR(AD623/AD619,"NA  ")</f>
        <v>0.15301724137931033</v>
      </c>
      <c r="AE625" s="94">
        <f t="shared" si="1394"/>
        <v>0.11960132890365449</v>
      </c>
      <c r="AF625" s="94">
        <f t="shared" si="1394"/>
        <v>3.2026970080067427E-2</v>
      </c>
      <c r="AG625" s="94">
        <f t="shared" ref="AG625" si="1395">IFERROR(AG623/AG619,"NA  ")</f>
        <v>0.10199004975124377</v>
      </c>
      <c r="AH625" s="94">
        <f t="shared" ref="AH625:AJ625" si="1396">IFERROR(AH623/AH619,"NA  ")</f>
        <v>0.14156341027043812</v>
      </c>
      <c r="AI625" s="94">
        <f t="shared" si="1396"/>
        <v>0.15136948577104695</v>
      </c>
      <c r="AJ625" s="94">
        <f t="shared" si="1396"/>
        <v>0.1419562938372064</v>
      </c>
      <c r="AK625" s="79"/>
      <c r="AL625" s="94">
        <f t="shared" ref="AL625:AT625" si="1397">IFERROR(AL623/AL619,"NA  ")</f>
        <v>0.12196914033798678</v>
      </c>
      <c r="AM625" s="94">
        <f t="shared" si="1397"/>
        <v>0.14344941956882257</v>
      </c>
      <c r="AN625" s="94">
        <f t="shared" si="1397"/>
        <v>0.15353019538188278</v>
      </c>
      <c r="AO625" s="94">
        <f t="shared" si="1397"/>
        <v>0.16022620169651272</v>
      </c>
      <c r="AP625" s="94">
        <f t="shared" si="1397"/>
        <v>0.15289134075460545</v>
      </c>
      <c r="AQ625" s="94">
        <f t="shared" si="1397"/>
        <v>0.12089810017271158</v>
      </c>
      <c r="AR625" s="94">
        <f t="shared" si="1397"/>
        <v>8.74542664935678E-2</v>
      </c>
      <c r="AS625" s="94">
        <f t="shared" si="1397"/>
        <v>0.12084765177548683</v>
      </c>
      <c r="AT625" s="94">
        <f t="shared" si="1397"/>
        <v>0.10954631379962193</v>
      </c>
      <c r="AU625" s="94">
        <f t="shared" ref="AU625" si="1398">IFERROR(AU623/AU619,"NA  ")</f>
        <v>0.13490431586528676</v>
      </c>
      <c r="AV625" s="94">
        <f t="shared" ref="AV625:AW625" si="1399">IFERROR(AV623/AV619,"NA  ")</f>
        <v>0.14321073042361282</v>
      </c>
      <c r="AW625" s="94">
        <f t="shared" si="1399"/>
        <v>0.14645810787999788</v>
      </c>
      <c r="AX625" s="94">
        <f t="shared" ref="AX625" si="1400">IFERROR(AX623/AX619,"NA  ")</f>
        <v>0.15113910204432254</v>
      </c>
    </row>
    <row r="626" spans="2:51" s="41" customFormat="1" ht="11.25" customHeight="1" outlineLevel="1">
      <c r="B626" s="37"/>
      <c r="C626" s="361" t="s">
        <v>68</v>
      </c>
      <c r="E626" s="97">
        <f t="shared" ref="E626:AJ626" si="1401">+E623-E34</f>
        <v>0</v>
      </c>
      <c r="F626" s="97">
        <f t="shared" si="1401"/>
        <v>0</v>
      </c>
      <c r="G626" s="97">
        <f t="shared" si="1401"/>
        <v>0</v>
      </c>
      <c r="H626" s="97">
        <f t="shared" si="1401"/>
        <v>0</v>
      </c>
      <c r="I626" s="97">
        <f t="shared" si="1401"/>
        <v>0</v>
      </c>
      <c r="J626" s="97">
        <f t="shared" si="1401"/>
        <v>0</v>
      </c>
      <c r="K626" s="97">
        <f t="shared" si="1401"/>
        <v>0</v>
      </c>
      <c r="L626" s="97">
        <f t="shared" si="1401"/>
        <v>0</v>
      </c>
      <c r="M626" s="97">
        <f t="shared" si="1401"/>
        <v>0</v>
      </c>
      <c r="N626" s="97">
        <f t="shared" si="1401"/>
        <v>0</v>
      </c>
      <c r="O626" s="97">
        <f t="shared" si="1401"/>
        <v>0</v>
      </c>
      <c r="P626" s="97">
        <f t="shared" si="1401"/>
        <v>0</v>
      </c>
      <c r="Q626" s="97">
        <f t="shared" si="1401"/>
        <v>0</v>
      </c>
      <c r="R626" s="97">
        <f t="shared" si="1401"/>
        <v>0</v>
      </c>
      <c r="S626" s="97">
        <f t="shared" si="1401"/>
        <v>0</v>
      </c>
      <c r="T626" s="97">
        <f t="shared" si="1401"/>
        <v>0</v>
      </c>
      <c r="U626" s="97">
        <f t="shared" si="1401"/>
        <v>0</v>
      </c>
      <c r="V626" s="97">
        <f t="shared" si="1401"/>
        <v>0</v>
      </c>
      <c r="W626" s="97">
        <f t="shared" si="1401"/>
        <v>0</v>
      </c>
      <c r="X626" s="97">
        <f t="shared" si="1401"/>
        <v>0</v>
      </c>
      <c r="Y626" s="97">
        <f t="shared" si="1401"/>
        <v>0</v>
      </c>
      <c r="Z626" s="97">
        <f t="shared" si="1401"/>
        <v>-5</v>
      </c>
      <c r="AA626" s="97">
        <f t="shared" si="1401"/>
        <v>-3</v>
      </c>
      <c r="AB626" s="97">
        <f t="shared" si="1401"/>
        <v>-7</v>
      </c>
      <c r="AC626" s="97">
        <f t="shared" si="1401"/>
        <v>0</v>
      </c>
      <c r="AD626" s="97">
        <f t="shared" si="1401"/>
        <v>0</v>
      </c>
      <c r="AE626" s="97">
        <f t="shared" si="1401"/>
        <v>0</v>
      </c>
      <c r="AF626" s="97">
        <f t="shared" si="1401"/>
        <v>0</v>
      </c>
      <c r="AG626" s="97">
        <f t="shared" si="1401"/>
        <v>0</v>
      </c>
      <c r="AH626" s="97">
        <f t="shared" si="1401"/>
        <v>0</v>
      </c>
      <c r="AI626" s="97">
        <f t="shared" si="1401"/>
        <v>0</v>
      </c>
      <c r="AJ626" s="97">
        <f t="shared" si="1401"/>
        <v>0</v>
      </c>
      <c r="AK626" s="79"/>
      <c r="AL626" s="97">
        <f t="shared" ref="AL626:AX626" si="1402">+AL623-AL34</f>
        <v>0</v>
      </c>
      <c r="AM626" s="97">
        <f t="shared" si="1402"/>
        <v>0</v>
      </c>
      <c r="AN626" s="97">
        <f t="shared" si="1402"/>
        <v>0</v>
      </c>
      <c r="AO626" s="97">
        <f t="shared" si="1402"/>
        <v>0</v>
      </c>
      <c r="AP626" s="97">
        <f t="shared" si="1402"/>
        <v>0</v>
      </c>
      <c r="AQ626" s="97">
        <f t="shared" si="1402"/>
        <v>0</v>
      </c>
      <c r="AR626" s="97">
        <f t="shared" si="1402"/>
        <v>0</v>
      </c>
      <c r="AS626" s="97">
        <f t="shared" si="1402"/>
        <v>-15</v>
      </c>
      <c r="AT626" s="97">
        <f t="shared" si="1402"/>
        <v>0</v>
      </c>
      <c r="AU626" s="97">
        <f t="shared" si="1402"/>
        <v>0</v>
      </c>
      <c r="AV626" s="97">
        <f t="shared" si="1402"/>
        <v>0</v>
      </c>
      <c r="AW626" s="97">
        <f t="shared" si="1402"/>
        <v>0</v>
      </c>
      <c r="AX626" s="97">
        <f t="shared" si="1402"/>
        <v>0</v>
      </c>
      <c r="AY626" s="1"/>
    </row>
    <row r="627" spans="2:51" ht="5.2" customHeight="1" outlineLevel="1">
      <c r="C627" s="44"/>
      <c r="E627" s="28"/>
      <c r="F627" s="28"/>
      <c r="G627" s="28"/>
      <c r="H627" s="28"/>
      <c r="I627" s="28"/>
      <c r="J627" s="28"/>
      <c r="K627" s="28"/>
      <c r="L627" s="28"/>
      <c r="M627" s="28"/>
      <c r="N627" s="28"/>
      <c r="O627" s="28"/>
      <c r="P627" s="28"/>
      <c r="AK627" s="79"/>
      <c r="AL627" s="28"/>
      <c r="AM627" s="28"/>
      <c r="AN627" s="28"/>
      <c r="AO627" s="28"/>
      <c r="AP627" s="28"/>
      <c r="AQ627" s="28"/>
      <c r="AR627" s="28"/>
    </row>
    <row r="628" spans="2:51" ht="11.25" customHeight="1">
      <c r="C628" s="45" t="s">
        <v>357</v>
      </c>
      <c r="E628" s="30">
        <f t="shared" ref="E628:AJ628" si="1403">+E609+E539+E461+E380+E278</f>
        <v>406</v>
      </c>
      <c r="F628" s="30">
        <f t="shared" si="1403"/>
        <v>376</v>
      </c>
      <c r="G628" s="30">
        <f t="shared" si="1403"/>
        <v>416</v>
      </c>
      <c r="H628" s="30">
        <f t="shared" si="1403"/>
        <v>336</v>
      </c>
      <c r="I628" s="30">
        <f t="shared" si="1403"/>
        <v>401</v>
      </c>
      <c r="J628" s="30">
        <f t="shared" si="1403"/>
        <v>420</v>
      </c>
      <c r="K628" s="30">
        <f t="shared" si="1403"/>
        <v>461</v>
      </c>
      <c r="L628" s="30">
        <f t="shared" si="1403"/>
        <v>353</v>
      </c>
      <c r="M628" s="30">
        <f t="shared" si="1403"/>
        <v>459</v>
      </c>
      <c r="N628" s="30">
        <f t="shared" si="1403"/>
        <v>447</v>
      </c>
      <c r="O628" s="30">
        <f t="shared" si="1403"/>
        <v>451</v>
      </c>
      <c r="P628" s="30">
        <f t="shared" si="1403"/>
        <v>276</v>
      </c>
      <c r="Q628" s="30">
        <f t="shared" si="1403"/>
        <v>352</v>
      </c>
      <c r="R628" s="30">
        <f t="shared" si="1403"/>
        <v>389</v>
      </c>
      <c r="S628" s="30">
        <f t="shared" si="1403"/>
        <v>369</v>
      </c>
      <c r="T628" s="30">
        <f t="shared" si="1403"/>
        <v>279</v>
      </c>
      <c r="U628" s="30">
        <f t="shared" si="1403"/>
        <v>382</v>
      </c>
      <c r="V628" s="30">
        <f t="shared" si="1403"/>
        <v>195</v>
      </c>
      <c r="W628" s="30">
        <f t="shared" si="1403"/>
        <v>310</v>
      </c>
      <c r="X628" s="30">
        <f t="shared" si="1403"/>
        <v>329</v>
      </c>
      <c r="Y628" s="30">
        <f t="shared" si="1403"/>
        <v>400</v>
      </c>
      <c r="Z628" s="30">
        <f t="shared" si="1403"/>
        <v>449</v>
      </c>
      <c r="AA628" s="30">
        <f t="shared" si="1403"/>
        <v>442</v>
      </c>
      <c r="AB628" s="30">
        <f t="shared" si="1403"/>
        <v>329</v>
      </c>
      <c r="AC628" s="30">
        <f t="shared" si="1403"/>
        <v>366</v>
      </c>
      <c r="AD628" s="30">
        <f t="shared" si="1403"/>
        <v>469</v>
      </c>
      <c r="AE628" s="30">
        <f t="shared" si="1403"/>
        <v>333</v>
      </c>
      <c r="AF628" s="30">
        <f t="shared" si="1403"/>
        <v>171</v>
      </c>
      <c r="AG628" s="30">
        <f t="shared" ref="AG628" si="1404">+AG609+AG539+AG461+AG380+AG278</f>
        <v>283</v>
      </c>
      <c r="AH628" s="30">
        <f t="shared" si="1403"/>
        <v>382.96299999999997</v>
      </c>
      <c r="AI628" s="30">
        <f t="shared" si="1403"/>
        <v>408.39790000000005</v>
      </c>
      <c r="AJ628" s="30">
        <f t="shared" si="1403"/>
        <v>341.23169999999999</v>
      </c>
      <c r="AK628" s="79"/>
      <c r="AL628" s="30">
        <f>+AL609+AL539+AL461+AL380+AL278</f>
        <v>1613</v>
      </c>
      <c r="AM628" s="30">
        <f>+AM609+AM539+AM461+AM380+AM278</f>
        <v>1692</v>
      </c>
      <c r="AN628" s="31">
        <f t="shared" ref="AN628:AU628" si="1405">SUMIF($E$6:$AK$6,AN$6,$E628:$AK628)</f>
        <v>1534</v>
      </c>
      <c r="AO628" s="31">
        <f t="shared" si="1405"/>
        <v>1635</v>
      </c>
      <c r="AP628" s="31">
        <f t="shared" si="1405"/>
        <v>1633</v>
      </c>
      <c r="AQ628" s="31">
        <f t="shared" si="1405"/>
        <v>1389</v>
      </c>
      <c r="AR628" s="31">
        <f t="shared" si="1405"/>
        <v>1216</v>
      </c>
      <c r="AS628" s="30">
        <f t="shared" si="1405"/>
        <v>1620</v>
      </c>
      <c r="AT628" s="30">
        <f t="shared" si="1405"/>
        <v>1339</v>
      </c>
      <c r="AU628" s="30">
        <f t="shared" si="1405"/>
        <v>1415.5926000000002</v>
      </c>
      <c r="AV628" s="30">
        <f>+AV609+AV539+AV461+AV380+AV278</f>
        <v>1516.7443589999998</v>
      </c>
      <c r="AW628" s="30">
        <f>+AW609+AW539+AW461+AW380+AW278</f>
        <v>1598.1947735649999</v>
      </c>
      <c r="AX628" s="30">
        <f>+AX609+AX539+AX461+AX380+AX278</f>
        <v>1691.2155851145749</v>
      </c>
    </row>
    <row r="629" spans="2:51" ht="11.25" customHeight="1" outlineLevel="1">
      <c r="C629" s="114" t="s">
        <v>358</v>
      </c>
      <c r="E629" s="124"/>
      <c r="F629" s="124"/>
      <c r="G629" s="124"/>
      <c r="H629" s="124"/>
      <c r="I629" s="94">
        <f t="shared" ref="I629:AC629" si="1406">IFERROR(I628/E628-1,"NA  ")</f>
        <v>-1.2315270935960632E-2</v>
      </c>
      <c r="J629" s="94">
        <f t="shared" si="1406"/>
        <v>0.11702127659574457</v>
      </c>
      <c r="K629" s="94">
        <f t="shared" si="1406"/>
        <v>0.10817307692307687</v>
      </c>
      <c r="L629" s="94">
        <f t="shared" si="1406"/>
        <v>5.0595238095238138E-2</v>
      </c>
      <c r="M629" s="94">
        <f t="shared" si="1406"/>
        <v>0.14463840399002503</v>
      </c>
      <c r="N629" s="94">
        <f t="shared" si="1406"/>
        <v>6.4285714285714279E-2</v>
      </c>
      <c r="O629" s="94">
        <f t="shared" si="1406"/>
        <v>-2.1691973969631184E-2</v>
      </c>
      <c r="P629" s="94">
        <f t="shared" si="1406"/>
        <v>-0.21813031161473084</v>
      </c>
      <c r="Q629" s="94">
        <f t="shared" si="1406"/>
        <v>-0.23311546840958608</v>
      </c>
      <c r="R629" s="94">
        <f t="shared" si="1406"/>
        <v>-0.12975391498881428</v>
      </c>
      <c r="S629" s="94">
        <f t="shared" si="1406"/>
        <v>-0.18181818181818177</v>
      </c>
      <c r="T629" s="94">
        <f t="shared" si="1406"/>
        <v>1.0869565217391353E-2</v>
      </c>
      <c r="U629" s="94">
        <f t="shared" si="1406"/>
        <v>8.5227272727272707E-2</v>
      </c>
      <c r="V629" s="94">
        <f t="shared" si="1406"/>
        <v>-0.49871465295629824</v>
      </c>
      <c r="W629" s="94">
        <f t="shared" si="1406"/>
        <v>-0.15989159891598914</v>
      </c>
      <c r="X629" s="94">
        <f t="shared" si="1406"/>
        <v>0.17921146953405009</v>
      </c>
      <c r="Y629" s="94">
        <f t="shared" si="1406"/>
        <v>4.7120418848167533E-2</v>
      </c>
      <c r="Z629" s="94">
        <f t="shared" si="1406"/>
        <v>1.3025641025641024</v>
      </c>
      <c r="AA629" s="94">
        <f t="shared" si="1406"/>
        <v>0.4258064516129032</v>
      </c>
      <c r="AB629" s="94">
        <f t="shared" si="1406"/>
        <v>0</v>
      </c>
      <c r="AC629" s="94">
        <f t="shared" si="1406"/>
        <v>-8.4999999999999964E-2</v>
      </c>
      <c r="AD629" s="94">
        <f t="shared" ref="AD629" si="1407">IFERROR(AD628/Z628-1,"NA  ")</f>
        <v>4.4543429844098092E-2</v>
      </c>
      <c r="AE629" s="94">
        <f t="shared" ref="AE629" si="1408">IFERROR(AE628/AA628-1,"NA  ")</f>
        <v>-0.24660633484162897</v>
      </c>
      <c r="AF629" s="94">
        <f t="shared" ref="AF629:AG629" si="1409">IFERROR(AF628/AB628-1,"NA  ")</f>
        <v>-0.48024316109422494</v>
      </c>
      <c r="AG629" s="94">
        <f t="shared" si="1409"/>
        <v>-0.22677595628415304</v>
      </c>
      <c r="AH629" s="94">
        <f t="shared" ref="AH629" si="1410">IFERROR(AH628/AD628-1,"NA  ")</f>
        <v>-0.18344776119402995</v>
      </c>
      <c r="AI629" s="94">
        <f t="shared" ref="AI629" si="1411">IFERROR(AI628/AE628-1,"NA  ")</f>
        <v>0.22642012012012036</v>
      </c>
      <c r="AJ629" s="94">
        <f t="shared" ref="AJ629" si="1412">IFERROR(AJ628/AF628-1,"NA  ")</f>
        <v>0.99550701754385962</v>
      </c>
      <c r="AK629" s="79"/>
      <c r="AL629" s="124"/>
      <c r="AM629" s="94">
        <f t="shared" ref="AM629:AR629" si="1413">IFERROR(AM628/AL628-1,"NA  ")</f>
        <v>4.897706137631741E-2</v>
      </c>
      <c r="AN629" s="94">
        <f t="shared" si="1413"/>
        <v>-9.338061465721037E-2</v>
      </c>
      <c r="AO629" s="94">
        <f t="shared" si="1413"/>
        <v>6.5840938722294684E-2</v>
      </c>
      <c r="AP629" s="94">
        <f t="shared" si="1413"/>
        <v>-1.2232415902140303E-3</v>
      </c>
      <c r="AQ629" s="94">
        <f t="shared" si="1413"/>
        <v>-0.14941824862216779</v>
      </c>
      <c r="AR629" s="94">
        <f t="shared" si="1413"/>
        <v>-0.12455003599712022</v>
      </c>
      <c r="AS629" s="94">
        <f t="shared" ref="AS629:AX629" si="1414">IFERROR(AS628/AO628-1,"NA  ")</f>
        <v>-9.1743119266054496E-3</v>
      </c>
      <c r="AT629" s="94">
        <f t="shared" si="1414"/>
        <v>-0.18003674219228416</v>
      </c>
      <c r="AU629" s="94">
        <f t="shared" si="1414"/>
        <v>1.9145140388769022E-2</v>
      </c>
      <c r="AV629" s="94">
        <f t="shared" si="1414"/>
        <v>0.24732266365131572</v>
      </c>
      <c r="AW629" s="94">
        <f t="shared" si="1414"/>
        <v>-1.346001631790128E-2</v>
      </c>
      <c r="AX629" s="94">
        <f t="shared" si="1414"/>
        <v>0.26304375288616488</v>
      </c>
    </row>
    <row r="630" spans="2:51" ht="11.25" customHeight="1" outlineLevel="1">
      <c r="C630" s="114" t="s">
        <v>360</v>
      </c>
      <c r="E630" s="94">
        <f>IFERROR(E628/E619,"NA  ")</f>
        <v>0.18157423971377459</v>
      </c>
      <c r="F630" s="94">
        <f t="shared" ref="F630:R630" si="1415">IFERROR(F628/F619,"NA  ")</f>
        <v>0.16369177187636047</v>
      </c>
      <c r="G630" s="94">
        <f t="shared" si="1415"/>
        <v>0.18189768255356362</v>
      </c>
      <c r="H630" s="94">
        <f t="shared" si="1415"/>
        <v>0.15356489945155394</v>
      </c>
      <c r="I630" s="94">
        <f t="shared" si="1415"/>
        <v>0.17412071211463309</v>
      </c>
      <c r="J630" s="94">
        <f t="shared" si="1415"/>
        <v>0.17362546506821</v>
      </c>
      <c r="K630" s="94">
        <f t="shared" si="1415"/>
        <v>0.18701825557809332</v>
      </c>
      <c r="L630" s="94">
        <f t="shared" si="1415"/>
        <v>0.14944961896697714</v>
      </c>
      <c r="M630" s="94">
        <f t="shared" si="1415"/>
        <v>0.1760644418872267</v>
      </c>
      <c r="N630" s="94">
        <f t="shared" si="1415"/>
        <v>0.17054559328500574</v>
      </c>
      <c r="O630" s="94">
        <f t="shared" si="1415"/>
        <v>0.17707106399685904</v>
      </c>
      <c r="P630" s="94">
        <f t="shared" si="1415"/>
        <v>0.11616161616161616</v>
      </c>
      <c r="Q630" s="94">
        <f t="shared" si="1415"/>
        <v>0.14789915966386555</v>
      </c>
      <c r="R630" s="94">
        <f t="shared" si="1415"/>
        <v>0.1646212441811257</v>
      </c>
      <c r="S630" s="94">
        <f t="shared" ref="S630:X630" si="1416">IFERROR(S628/S619,"NA  ")</f>
        <v>0.15870967741935485</v>
      </c>
      <c r="T630" s="94">
        <f>IFERROR(T628/T619,"NA  ")</f>
        <v>0.12704918032786885</v>
      </c>
      <c r="U630" s="94">
        <f t="shared" si="1416"/>
        <v>0.17045961624274877</v>
      </c>
      <c r="V630" s="94">
        <f t="shared" si="1416"/>
        <v>0.10135135135135136</v>
      </c>
      <c r="W630" s="94">
        <f t="shared" si="1416"/>
        <v>0.1460885956644675</v>
      </c>
      <c r="X630" s="94">
        <f t="shared" si="1416"/>
        <v>0.15050320219579141</v>
      </c>
      <c r="Y630" s="94">
        <f t="shared" ref="Y630:AC630" si="1417">IFERROR(Y628/Y619,"NA  ")</f>
        <v>0.16604400166044</v>
      </c>
      <c r="Z630" s="94">
        <f t="shared" si="1417"/>
        <v>0.16924236713154919</v>
      </c>
      <c r="AA630" s="94">
        <f t="shared" si="1417"/>
        <v>0.16250000000000001</v>
      </c>
      <c r="AB630" s="94">
        <f t="shared" si="1417"/>
        <v>0.12212323682256868</v>
      </c>
      <c r="AC630" s="94">
        <f t="shared" si="1417"/>
        <v>0.13485630066322771</v>
      </c>
      <c r="AD630" s="94">
        <f t="shared" ref="AD630:AF630" si="1418">IFERROR(AD628/AD619,"NA  ")</f>
        <v>0.16846264367816091</v>
      </c>
      <c r="AE630" s="94">
        <f t="shared" si="1418"/>
        <v>0.12292358803986711</v>
      </c>
      <c r="AF630" s="94">
        <f t="shared" si="1418"/>
        <v>7.2060682680151714E-2</v>
      </c>
      <c r="AG630" s="94">
        <f t="shared" ref="AG630" si="1419">IFERROR(AG628/AG619,"NA  ")</f>
        <v>0.11733001658374792</v>
      </c>
      <c r="AH630" s="94">
        <f t="shared" ref="AH630:AJ630" si="1420">IFERROR(AH628/AH619,"NA  ")</f>
        <v>0.14156341027043812</v>
      </c>
      <c r="AI630" s="94">
        <f t="shared" si="1420"/>
        <v>0.15136948577104695</v>
      </c>
      <c r="AJ630" s="94">
        <f t="shared" si="1420"/>
        <v>0.14195629383720637</v>
      </c>
      <c r="AK630" s="79"/>
      <c r="AL630" s="94">
        <f t="shared" ref="AL630:AT630" si="1421">IFERROR(AL628/AL619,"NA  ")</f>
        <v>0.16930828172562193</v>
      </c>
      <c r="AM630" s="94">
        <f t="shared" si="1421"/>
        <v>0.17537313432835822</v>
      </c>
      <c r="AN630" s="94">
        <f t="shared" si="1421"/>
        <v>0.17029307282415632</v>
      </c>
      <c r="AO630" s="94">
        <f t="shared" si="1421"/>
        <v>0.17122211749921457</v>
      </c>
      <c r="AP630" s="94">
        <f t="shared" si="1421"/>
        <v>0.16087085016254557</v>
      </c>
      <c r="AQ630" s="94">
        <f t="shared" si="1421"/>
        <v>0.14993523316062177</v>
      </c>
      <c r="AR630" s="94">
        <f t="shared" si="1421"/>
        <v>0.14351469373303435</v>
      </c>
      <c r="AS630" s="94">
        <f t="shared" si="1421"/>
        <v>0.15463917525773196</v>
      </c>
      <c r="AT630" s="94">
        <f t="shared" si="1421"/>
        <v>0.12655954631379962</v>
      </c>
      <c r="AU630" s="94">
        <f t="shared" ref="AU630" si="1422">IFERROR(AU628/AU619,"NA  ")</f>
        <v>0.13852500821995023</v>
      </c>
      <c r="AV630" s="94">
        <f t="shared" ref="AV630:AW630" si="1423">IFERROR(AV628/AV619,"NA  ")</f>
        <v>0.14321073042361282</v>
      </c>
      <c r="AW630" s="94">
        <f t="shared" si="1423"/>
        <v>0.14645810787999788</v>
      </c>
      <c r="AX630" s="94">
        <f t="shared" ref="AX630" si="1424">IFERROR(AX628/AX619,"NA  ")</f>
        <v>0.15113910204432252</v>
      </c>
    </row>
    <row r="631" spans="2:51" s="41" customFormat="1" ht="11.25" customHeight="1" outlineLevel="1">
      <c r="B631" s="37"/>
      <c r="C631" s="361" t="s">
        <v>68</v>
      </c>
      <c r="E631" s="97">
        <f t="shared" ref="E631:AJ631" si="1425">+E628-E96</f>
        <v>0</v>
      </c>
      <c r="F631" s="97">
        <f t="shared" si="1425"/>
        <v>0</v>
      </c>
      <c r="G631" s="97">
        <f t="shared" si="1425"/>
        <v>0</v>
      </c>
      <c r="H631" s="97">
        <f t="shared" si="1425"/>
        <v>0</v>
      </c>
      <c r="I631" s="97">
        <f t="shared" si="1425"/>
        <v>0</v>
      </c>
      <c r="J631" s="97">
        <f t="shared" si="1425"/>
        <v>0</v>
      </c>
      <c r="K631" s="97">
        <f t="shared" si="1425"/>
        <v>0</v>
      </c>
      <c r="L631" s="97">
        <f t="shared" si="1425"/>
        <v>0</v>
      </c>
      <c r="M631" s="97">
        <f t="shared" si="1425"/>
        <v>0</v>
      </c>
      <c r="N631" s="97">
        <f t="shared" si="1425"/>
        <v>0</v>
      </c>
      <c r="O631" s="97">
        <f t="shared" si="1425"/>
        <v>0</v>
      </c>
      <c r="P631" s="97">
        <f t="shared" si="1425"/>
        <v>0</v>
      </c>
      <c r="Q631" s="97">
        <f t="shared" si="1425"/>
        <v>0</v>
      </c>
      <c r="R631" s="97">
        <f t="shared" si="1425"/>
        <v>0</v>
      </c>
      <c r="S631" s="97">
        <f t="shared" si="1425"/>
        <v>0</v>
      </c>
      <c r="T631" s="97">
        <f t="shared" si="1425"/>
        <v>0</v>
      </c>
      <c r="U631" s="97">
        <f t="shared" si="1425"/>
        <v>0</v>
      </c>
      <c r="V631" s="97">
        <f t="shared" si="1425"/>
        <v>0</v>
      </c>
      <c r="W631" s="97">
        <f t="shared" si="1425"/>
        <v>0</v>
      </c>
      <c r="X631" s="97">
        <f t="shared" si="1425"/>
        <v>0</v>
      </c>
      <c r="Y631" s="97">
        <f t="shared" si="1425"/>
        <v>0</v>
      </c>
      <c r="Z631" s="97">
        <f t="shared" si="1425"/>
        <v>-5</v>
      </c>
      <c r="AA631" s="97">
        <f t="shared" si="1425"/>
        <v>-3</v>
      </c>
      <c r="AB631" s="97">
        <f t="shared" si="1425"/>
        <v>-7</v>
      </c>
      <c r="AC631" s="97">
        <f t="shared" si="1425"/>
        <v>0</v>
      </c>
      <c r="AD631" s="97">
        <f t="shared" si="1425"/>
        <v>0</v>
      </c>
      <c r="AE631" s="97">
        <f t="shared" si="1425"/>
        <v>0</v>
      </c>
      <c r="AF631" s="97">
        <f t="shared" si="1425"/>
        <v>0</v>
      </c>
      <c r="AG631" s="97">
        <f t="shared" si="1425"/>
        <v>0</v>
      </c>
      <c r="AH631" s="97">
        <f t="shared" si="1425"/>
        <v>0</v>
      </c>
      <c r="AI631" s="97">
        <f t="shared" si="1425"/>
        <v>0</v>
      </c>
      <c r="AJ631" s="97">
        <f t="shared" si="1425"/>
        <v>0</v>
      </c>
      <c r="AK631" s="79"/>
      <c r="AL631" s="664">
        <f t="shared" ref="AL631:AX631" si="1426">+AL628-AL96</f>
        <v>-15</v>
      </c>
      <c r="AM631" s="664">
        <f t="shared" si="1426"/>
        <v>-33</v>
      </c>
      <c r="AN631" s="97">
        <f t="shared" si="1426"/>
        <v>0</v>
      </c>
      <c r="AO631" s="97">
        <f t="shared" si="1426"/>
        <v>0</v>
      </c>
      <c r="AP631" s="97">
        <f t="shared" si="1426"/>
        <v>0</v>
      </c>
      <c r="AQ631" s="97">
        <f t="shared" si="1426"/>
        <v>0</v>
      </c>
      <c r="AR631" s="97">
        <f t="shared" si="1426"/>
        <v>0</v>
      </c>
      <c r="AS631" s="97">
        <f t="shared" si="1426"/>
        <v>-15</v>
      </c>
      <c r="AT631" s="97">
        <f t="shared" si="1426"/>
        <v>0</v>
      </c>
      <c r="AU631" s="97">
        <f t="shared" si="1426"/>
        <v>0</v>
      </c>
      <c r="AV631" s="97">
        <f t="shared" si="1426"/>
        <v>0</v>
      </c>
      <c r="AW631" s="97">
        <f t="shared" si="1426"/>
        <v>0</v>
      </c>
      <c r="AX631" s="97">
        <f t="shared" si="1426"/>
        <v>0</v>
      </c>
      <c r="AY631" s="1"/>
    </row>
    <row r="632" spans="2:51" ht="5.2" customHeight="1" outlineLevel="1">
      <c r="C632" s="93"/>
      <c r="E632" s="88"/>
      <c r="F632" s="88"/>
      <c r="G632" s="88"/>
      <c r="H632" s="88"/>
      <c r="I632" s="88"/>
      <c r="J632" s="88"/>
      <c r="K632" s="88"/>
      <c r="L632" s="88"/>
      <c r="M632" s="88"/>
      <c r="N632" s="88"/>
      <c r="O632" s="88"/>
      <c r="P632" s="88"/>
      <c r="Q632" s="88"/>
      <c r="R632" s="88"/>
      <c r="AK632" s="79"/>
      <c r="AL632" s="88"/>
      <c r="AM632" s="88"/>
      <c r="AN632" s="88"/>
      <c r="AO632" s="88"/>
      <c r="AP632" s="88"/>
    </row>
    <row r="633" spans="2:51" ht="11.25" customHeight="1">
      <c r="C633" s="45" t="s">
        <v>118</v>
      </c>
      <c r="E633" s="30">
        <f t="shared" ref="E633:AF633" si="1427">+E613+E559+E481+E400+E345</f>
        <v>15616</v>
      </c>
      <c r="F633" s="30">
        <f t="shared" si="1427"/>
        <v>15582</v>
      </c>
      <c r="G633" s="30">
        <f t="shared" si="1427"/>
        <v>15489</v>
      </c>
      <c r="H633" s="30">
        <f t="shared" si="1427"/>
        <v>15457</v>
      </c>
      <c r="I633" s="30">
        <f t="shared" si="1427"/>
        <v>15755</v>
      </c>
      <c r="J633" s="30">
        <f t="shared" si="1427"/>
        <v>15964</v>
      </c>
      <c r="K633" s="30">
        <f t="shared" si="1427"/>
        <v>16024</v>
      </c>
      <c r="L633" s="30">
        <f t="shared" si="1427"/>
        <v>15999</v>
      </c>
      <c r="M633" s="30">
        <f t="shared" si="1427"/>
        <v>16366</v>
      </c>
      <c r="N633" s="30">
        <f t="shared" si="1427"/>
        <v>16260</v>
      </c>
      <c r="O633" s="30">
        <f t="shared" si="1427"/>
        <v>16362</v>
      </c>
      <c r="P633" s="30">
        <f t="shared" si="1427"/>
        <v>15995</v>
      </c>
      <c r="Q633" s="30">
        <f t="shared" si="1427"/>
        <v>16361</v>
      </c>
      <c r="R633" s="30">
        <f t="shared" si="1427"/>
        <v>16256</v>
      </c>
      <c r="S633" s="30">
        <f t="shared" si="1427"/>
        <v>16137</v>
      </c>
      <c r="T633" s="30">
        <f t="shared" si="1427"/>
        <v>16008</v>
      </c>
      <c r="U633" s="30">
        <f t="shared" si="1427"/>
        <v>16465</v>
      </c>
      <c r="V633" s="30">
        <f t="shared" si="1427"/>
        <v>15973</v>
      </c>
      <c r="W633" s="30">
        <f t="shared" si="1427"/>
        <v>16009</v>
      </c>
      <c r="X633" s="30">
        <f t="shared" si="1427"/>
        <v>16083</v>
      </c>
      <c r="Y633" s="30">
        <f t="shared" si="1427"/>
        <v>16195</v>
      </c>
      <c r="Z633" s="30">
        <f t="shared" si="1427"/>
        <v>16098</v>
      </c>
      <c r="AA633" s="30">
        <f t="shared" si="1427"/>
        <v>16259</v>
      </c>
      <c r="AB633" s="30">
        <f t="shared" si="1427"/>
        <v>15519</v>
      </c>
      <c r="AC633" s="30">
        <f t="shared" si="1427"/>
        <v>15806</v>
      </c>
      <c r="AD633" s="30">
        <f t="shared" si="1427"/>
        <v>0</v>
      </c>
      <c r="AE633" s="30">
        <f t="shared" si="1427"/>
        <v>0</v>
      </c>
      <c r="AF633" s="30">
        <f t="shared" si="1427"/>
        <v>14667</v>
      </c>
      <c r="AG633" s="30">
        <f t="shared" ref="AG633" si="1428">+AG613+AG559+AG481+AG400+AG345</f>
        <v>0</v>
      </c>
      <c r="AK633" s="79"/>
      <c r="AL633" s="30">
        <f>+AL613+AL559+AL481+AL400+AL345</f>
        <v>16072</v>
      </c>
      <c r="AM633" s="30">
        <f>+AM613+AM559+AM481+AM400+AM345</f>
        <v>15580</v>
      </c>
      <c r="AN633" s="30">
        <f>H633</f>
        <v>15457</v>
      </c>
      <c r="AO633" s="30">
        <f>L633</f>
        <v>15999</v>
      </c>
      <c r="AP633" s="30">
        <f>P633</f>
        <v>15995</v>
      </c>
    </row>
    <row r="634" spans="2:51" ht="11.25" customHeight="1" outlineLevel="1">
      <c r="C634" s="114" t="s">
        <v>358</v>
      </c>
      <c r="E634" s="124"/>
      <c r="F634" s="124"/>
      <c r="G634" s="124"/>
      <c r="H634" s="124"/>
      <c r="I634" s="94">
        <f t="shared" ref="I634:AC634" si="1429">IFERROR(I633/E633-1,"NA  ")</f>
        <v>8.9011270491803351E-3</v>
      </c>
      <c r="J634" s="94">
        <f t="shared" si="1429"/>
        <v>2.4515466563984178E-2</v>
      </c>
      <c r="K634" s="94">
        <f t="shared" si="1429"/>
        <v>3.4540641745754996E-2</v>
      </c>
      <c r="L634" s="94">
        <f t="shared" si="1429"/>
        <v>3.5065019085204208E-2</v>
      </c>
      <c r="M634" s="94">
        <f t="shared" si="1429"/>
        <v>3.8781339257378589E-2</v>
      </c>
      <c r="N634" s="94">
        <f t="shared" si="1429"/>
        <v>1.8541718867451706E-2</v>
      </c>
      <c r="O634" s="94">
        <f t="shared" si="1429"/>
        <v>2.109335996006001E-2</v>
      </c>
      <c r="P634" s="94">
        <f t="shared" si="1429"/>
        <v>-2.5001562597659621E-4</v>
      </c>
      <c r="Q634" s="94">
        <f t="shared" si="1429"/>
        <v>-3.0551142612733617E-4</v>
      </c>
      <c r="R634" s="94">
        <f t="shared" si="1429"/>
        <v>-2.4600246002459691E-4</v>
      </c>
      <c r="S634" s="94">
        <f t="shared" si="1429"/>
        <v>-1.3751375137513788E-2</v>
      </c>
      <c r="T634" s="94">
        <f t="shared" si="1429"/>
        <v>8.1275398562041801E-4</v>
      </c>
      <c r="U634" s="94">
        <f t="shared" si="1429"/>
        <v>6.3565796711693157E-3</v>
      </c>
      <c r="V634" s="94">
        <f t="shared" si="1429"/>
        <v>-1.7408956692913424E-2</v>
      </c>
      <c r="W634" s="94">
        <f t="shared" si="1429"/>
        <v>-7.9320815517134324E-3</v>
      </c>
      <c r="X634" s="94">
        <f t="shared" si="1429"/>
        <v>4.6851574212893876E-3</v>
      </c>
      <c r="Y634" s="94">
        <f t="shared" si="1429"/>
        <v>-1.6398420892802967E-2</v>
      </c>
      <c r="Z634" s="94">
        <f t="shared" si="1429"/>
        <v>7.8257058786701528E-3</v>
      </c>
      <c r="AA634" s="94">
        <f t="shared" si="1429"/>
        <v>1.5616215878568207E-2</v>
      </c>
      <c r="AB634" s="94">
        <f t="shared" si="1429"/>
        <v>-3.50680843126282E-2</v>
      </c>
      <c r="AC634" s="94">
        <f t="shared" si="1429"/>
        <v>-2.4019759184933598E-2</v>
      </c>
      <c r="AD634" s="94">
        <f t="shared" ref="AD634" si="1430">IFERROR(AD633/Z633-1,"NA  ")</f>
        <v>-1</v>
      </c>
      <c r="AE634" s="94">
        <f t="shared" ref="AE634" si="1431">IFERROR(AE633/AA633-1,"NA  ")</f>
        <v>-1</v>
      </c>
      <c r="AF634" s="94">
        <f t="shared" ref="AF634:AG634" si="1432">IFERROR(AF633/AB633-1,"NA  ")</f>
        <v>-5.4900444616276856E-2</v>
      </c>
      <c r="AG634" s="94">
        <f t="shared" si="1432"/>
        <v>-1</v>
      </c>
      <c r="AK634" s="79"/>
      <c r="AL634" s="124"/>
      <c r="AM634" s="94">
        <f>IFERROR(AM633/AL633-1,"NA  ")</f>
        <v>-3.0612244897959218E-2</v>
      </c>
      <c r="AN634" s="94">
        <f>IFERROR(AN633/AM633-1,"NA  ")</f>
        <v>-7.8947368421052877E-3</v>
      </c>
      <c r="AO634" s="94">
        <f>IFERROR(AO633/AN633-1,"NA  ")</f>
        <v>3.5065019085204208E-2</v>
      </c>
      <c r="AP634" s="94">
        <f>IFERROR(AP633/AO633-1,"NA  ")</f>
        <v>-2.5001562597659621E-4</v>
      </c>
    </row>
    <row r="635" spans="2:51" s="41" customFormat="1" ht="11.25" customHeight="1" outlineLevel="1">
      <c r="B635" s="37"/>
      <c r="C635" s="361" t="s">
        <v>68</v>
      </c>
      <c r="E635" s="42">
        <f t="shared" ref="E635:AF635" si="1433">+E633-E753</f>
        <v>0</v>
      </c>
      <c r="F635" s="42">
        <f t="shared" si="1433"/>
        <v>0</v>
      </c>
      <c r="G635" s="42">
        <f t="shared" si="1433"/>
        <v>0</v>
      </c>
      <c r="H635" s="42">
        <f t="shared" si="1433"/>
        <v>0</v>
      </c>
      <c r="I635" s="42">
        <f t="shared" si="1433"/>
        <v>0</v>
      </c>
      <c r="J635" s="42">
        <f t="shared" si="1433"/>
        <v>0</v>
      </c>
      <c r="K635" s="42">
        <f t="shared" si="1433"/>
        <v>0</v>
      </c>
      <c r="L635" s="42">
        <f t="shared" si="1433"/>
        <v>0</v>
      </c>
      <c r="M635" s="42">
        <f t="shared" si="1433"/>
        <v>0</v>
      </c>
      <c r="N635" s="42">
        <f t="shared" si="1433"/>
        <v>0</v>
      </c>
      <c r="O635" s="42">
        <f t="shared" si="1433"/>
        <v>0</v>
      </c>
      <c r="P635" s="42">
        <f t="shared" si="1433"/>
        <v>0</v>
      </c>
      <c r="Q635" s="42">
        <f t="shared" si="1433"/>
        <v>0</v>
      </c>
      <c r="R635" s="42">
        <f t="shared" si="1433"/>
        <v>0</v>
      </c>
      <c r="S635" s="42">
        <f t="shared" si="1433"/>
        <v>0</v>
      </c>
      <c r="T635" s="42">
        <f t="shared" si="1433"/>
        <v>0</v>
      </c>
      <c r="U635" s="42">
        <f t="shared" si="1433"/>
        <v>0</v>
      </c>
      <c r="V635" s="42">
        <f t="shared" si="1433"/>
        <v>0</v>
      </c>
      <c r="W635" s="42">
        <f t="shared" si="1433"/>
        <v>0</v>
      </c>
      <c r="X635" s="42">
        <f t="shared" si="1433"/>
        <v>0</v>
      </c>
      <c r="Y635" s="42">
        <f t="shared" si="1433"/>
        <v>0</v>
      </c>
      <c r="Z635" s="42">
        <f t="shared" si="1433"/>
        <v>0</v>
      </c>
      <c r="AA635" s="42">
        <f t="shared" si="1433"/>
        <v>0</v>
      </c>
      <c r="AB635" s="42">
        <f t="shared" si="1433"/>
        <v>0</v>
      </c>
      <c r="AC635" s="42">
        <f t="shared" si="1433"/>
        <v>0</v>
      </c>
      <c r="AD635" s="42">
        <f t="shared" si="1433"/>
        <v>-14875</v>
      </c>
      <c r="AE635" s="42">
        <f t="shared" si="1433"/>
        <v>-14985</v>
      </c>
      <c r="AF635" s="42">
        <f t="shared" si="1433"/>
        <v>0</v>
      </c>
      <c r="AG635" s="42">
        <f t="shared" ref="AG635" si="1434">+AG633-AG753</f>
        <v>-14983</v>
      </c>
      <c r="AK635" s="79"/>
      <c r="AL635" s="42">
        <f>+AL633-AL753</f>
        <v>0</v>
      </c>
      <c r="AM635" s="42">
        <f>+AM633-AM753</f>
        <v>0</v>
      </c>
      <c r="AN635" s="42">
        <f>+AN633-AN753</f>
        <v>0</v>
      </c>
      <c r="AO635" s="42">
        <f>+AO633-AO753</f>
        <v>0</v>
      </c>
      <c r="AP635" s="42">
        <f>+AP633-AP753</f>
        <v>0</v>
      </c>
      <c r="AY635" s="1"/>
    </row>
    <row r="636" spans="2:51" ht="5.2" customHeight="1" outlineLevel="1">
      <c r="C636" s="44"/>
      <c r="AK636" s="79"/>
      <c r="AL636" s="28"/>
      <c r="AM636" s="28"/>
      <c r="AN636" s="28"/>
      <c r="AO636" s="28"/>
      <c r="AP636" s="28"/>
    </row>
    <row r="637" spans="2:51" ht="11.25" customHeight="1">
      <c r="C637" s="45" t="s">
        <v>121</v>
      </c>
      <c r="E637" s="360">
        <f t="shared" ref="E637:AJ637" si="1435">E614+E560+E482+E401+E346</f>
        <v>147</v>
      </c>
      <c r="F637" s="360">
        <f t="shared" si="1435"/>
        <v>144</v>
      </c>
      <c r="G637" s="360">
        <f t="shared" si="1435"/>
        <v>145</v>
      </c>
      <c r="H637" s="360">
        <f t="shared" si="1435"/>
        <v>144</v>
      </c>
      <c r="I637" s="360">
        <f t="shared" si="1435"/>
        <v>145</v>
      </c>
      <c r="J637" s="360">
        <f t="shared" si="1435"/>
        <v>146.99999999999997</v>
      </c>
      <c r="K637" s="360">
        <f t="shared" si="1435"/>
        <v>148</v>
      </c>
      <c r="L637" s="360">
        <f t="shared" si="1435"/>
        <v>146.99999999999997</v>
      </c>
      <c r="M637" s="360">
        <f t="shared" si="1435"/>
        <v>152</v>
      </c>
      <c r="N637" s="360">
        <f t="shared" si="1435"/>
        <v>148</v>
      </c>
      <c r="O637" s="360">
        <f t="shared" si="1435"/>
        <v>151</v>
      </c>
      <c r="P637" s="360">
        <f t="shared" si="1435"/>
        <v>153</v>
      </c>
      <c r="Q637" s="30">
        <f t="shared" si="1435"/>
        <v>132.16857610474634</v>
      </c>
      <c r="R637" s="30">
        <f t="shared" si="1435"/>
        <v>133.02127659574467</v>
      </c>
      <c r="S637" s="30">
        <f t="shared" si="1435"/>
        <v>128.75777414075287</v>
      </c>
      <c r="T637" s="30">
        <f t="shared" si="1435"/>
        <v>127.05237315875615</v>
      </c>
      <c r="U637" s="30">
        <f t="shared" si="1435"/>
        <v>115.99477351916376</v>
      </c>
      <c r="V637" s="30">
        <f t="shared" si="1435"/>
        <v>117.66376306620209</v>
      </c>
      <c r="W637" s="30">
        <f t="shared" si="1435"/>
        <v>124.3397212543554</v>
      </c>
      <c r="X637" s="30">
        <f t="shared" si="1435"/>
        <v>121.00174216027872</v>
      </c>
      <c r="Y637" s="30">
        <f t="shared" si="1435"/>
        <v>134.04460966542752</v>
      </c>
      <c r="Z637" s="30">
        <f t="shared" si="1435"/>
        <v>125.94795539033458</v>
      </c>
      <c r="AA637" s="30">
        <f t="shared" si="1435"/>
        <v>114.25278810408923</v>
      </c>
      <c r="AB637" s="30">
        <f t="shared" si="1435"/>
        <v>109.75464684014871</v>
      </c>
      <c r="AC637" s="30">
        <f t="shared" si="1435"/>
        <v>120.99999999999999</v>
      </c>
      <c r="AD637" s="30">
        <f t="shared" si="1435"/>
        <v>122.00000000000001</v>
      </c>
      <c r="AE637" s="30">
        <f t="shared" si="1435"/>
        <v>117</v>
      </c>
      <c r="AF637" s="30">
        <f t="shared" si="1435"/>
        <v>117</v>
      </c>
      <c r="AG637" s="30">
        <f t="shared" ref="AG637" si="1436">AG614+AG560+AG482+AG401+AG346</f>
        <v>141</v>
      </c>
      <c r="AH637" s="30">
        <f t="shared" si="1435"/>
        <v>126.13348445472401</v>
      </c>
      <c r="AI637" s="30">
        <f t="shared" si="1435"/>
        <v>127.74546454316979</v>
      </c>
      <c r="AJ637" s="30">
        <f t="shared" si="1435"/>
        <v>129.35744463161555</v>
      </c>
      <c r="AK637" s="79"/>
      <c r="AL637" s="30">
        <f t="shared" ref="AL637:AS637" si="1437">+AL614+AL560+AL482+AL401+AL346</f>
        <v>450</v>
      </c>
      <c r="AM637" s="30">
        <f t="shared" si="1437"/>
        <v>571</v>
      </c>
      <c r="AN637" s="30">
        <f t="shared" si="1437"/>
        <v>580</v>
      </c>
      <c r="AO637" s="30">
        <f t="shared" si="1437"/>
        <v>587</v>
      </c>
      <c r="AP637" s="30">
        <f t="shared" si="1437"/>
        <v>604</v>
      </c>
      <c r="AQ637" s="30">
        <f t="shared" si="1437"/>
        <v>521</v>
      </c>
      <c r="AR637" s="30">
        <f t="shared" si="1437"/>
        <v>479</v>
      </c>
      <c r="AS637" s="30">
        <f t="shared" si="1437"/>
        <v>484</v>
      </c>
      <c r="AT637" s="30">
        <f>AT614+AT560+AT482+AT401+AT346</f>
        <v>477</v>
      </c>
      <c r="AU637" s="30">
        <f>AU614+AU560+AU482+AU401+AU346</f>
        <v>524.23639362950939</v>
      </c>
      <c r="AV637" s="30">
        <f>+AV917</f>
        <v>520.61599999999999</v>
      </c>
      <c r="AW637" s="30">
        <f>+AW917</f>
        <v>530.81600000000003</v>
      </c>
      <c r="AX637" s="30">
        <f>+AX917</f>
        <v>550.01600000000008</v>
      </c>
    </row>
    <row r="638" spans="2:51" s="41" customFormat="1" ht="11.25" customHeight="1" outlineLevel="1">
      <c r="B638" s="37"/>
      <c r="C638" s="361" t="s">
        <v>68</v>
      </c>
      <c r="E638" s="42">
        <f t="shared" ref="E638:AJ638" si="1438">E637-E899</f>
        <v>0</v>
      </c>
      <c r="F638" s="42">
        <f t="shared" si="1438"/>
        <v>0</v>
      </c>
      <c r="G638" s="42">
        <f t="shared" si="1438"/>
        <v>0</v>
      </c>
      <c r="H638" s="42">
        <f t="shared" si="1438"/>
        <v>0</v>
      </c>
      <c r="I638" s="42">
        <f t="shared" si="1438"/>
        <v>0</v>
      </c>
      <c r="J638" s="42">
        <f t="shared" si="1438"/>
        <v>0</v>
      </c>
      <c r="K638" s="42">
        <f t="shared" si="1438"/>
        <v>0</v>
      </c>
      <c r="L638" s="42">
        <f t="shared" si="1438"/>
        <v>0</v>
      </c>
      <c r="M638" s="42">
        <f t="shared" si="1438"/>
        <v>0</v>
      </c>
      <c r="N638" s="42">
        <f t="shared" si="1438"/>
        <v>0</v>
      </c>
      <c r="O638" s="42">
        <f t="shared" si="1438"/>
        <v>0</v>
      </c>
      <c r="P638" s="42">
        <f t="shared" si="1438"/>
        <v>0</v>
      </c>
      <c r="Q638" s="42">
        <f t="shared" si="1438"/>
        <v>-22.831423895253664</v>
      </c>
      <c r="R638" s="42">
        <f t="shared" si="1438"/>
        <v>-22.978723404255334</v>
      </c>
      <c r="S638" s="42">
        <f t="shared" si="1438"/>
        <v>-22.242225859247128</v>
      </c>
      <c r="T638" s="42">
        <f t="shared" si="1438"/>
        <v>-21.947626841243846</v>
      </c>
      <c r="U638" s="42">
        <f t="shared" si="1438"/>
        <v>-23.005226480836242</v>
      </c>
      <c r="V638" s="42">
        <f t="shared" si="1438"/>
        <v>-23.336236933797906</v>
      </c>
      <c r="W638" s="42">
        <f t="shared" si="1438"/>
        <v>-24.660278745644604</v>
      </c>
      <c r="X638" s="42">
        <f t="shared" si="1438"/>
        <v>-23.998257839721276</v>
      </c>
      <c r="Y638" s="42">
        <f t="shared" si="1438"/>
        <v>-14.955390334572485</v>
      </c>
      <c r="Z638" s="42">
        <f t="shared" si="1438"/>
        <v>-14.052044609665415</v>
      </c>
      <c r="AA638" s="42">
        <f t="shared" si="1438"/>
        <v>-12.747211895910766</v>
      </c>
      <c r="AB638" s="42">
        <f t="shared" si="1438"/>
        <v>-12.245353159851291</v>
      </c>
      <c r="AC638" s="42">
        <f t="shared" si="1438"/>
        <v>0</v>
      </c>
      <c r="AD638" s="42">
        <f t="shared" si="1438"/>
        <v>0</v>
      </c>
      <c r="AE638" s="42">
        <f t="shared" si="1438"/>
        <v>0</v>
      </c>
      <c r="AF638" s="42">
        <f t="shared" si="1438"/>
        <v>0</v>
      </c>
      <c r="AG638" s="42">
        <f t="shared" ref="AG638" si="1439">AG637-AG899</f>
        <v>0</v>
      </c>
      <c r="AH638" s="42">
        <f t="shared" si="1438"/>
        <v>0</v>
      </c>
      <c r="AI638" s="42">
        <f t="shared" si="1438"/>
        <v>0</v>
      </c>
      <c r="AJ638" s="42">
        <f t="shared" si="1438"/>
        <v>0</v>
      </c>
      <c r="AK638" s="79"/>
      <c r="AL638" s="42">
        <f t="shared" ref="AL638:AX638" si="1440">AL637-AL899</f>
        <v>0</v>
      </c>
      <c r="AM638" s="42">
        <f t="shared" si="1440"/>
        <v>0</v>
      </c>
      <c r="AN638" s="42">
        <f t="shared" si="1440"/>
        <v>0</v>
      </c>
      <c r="AO638" s="42">
        <f t="shared" si="1440"/>
        <v>0</v>
      </c>
      <c r="AP638" s="42">
        <f t="shared" si="1440"/>
        <v>0</v>
      </c>
      <c r="AQ638" s="42">
        <f t="shared" si="1440"/>
        <v>-90</v>
      </c>
      <c r="AR638" s="42">
        <f t="shared" si="1440"/>
        <v>-95</v>
      </c>
      <c r="AS638" s="42">
        <f t="shared" si="1440"/>
        <v>-54</v>
      </c>
      <c r="AT638" s="42">
        <f t="shared" si="1440"/>
        <v>0</v>
      </c>
      <c r="AU638" s="42">
        <f t="shared" si="1440"/>
        <v>6.7500000000001137</v>
      </c>
      <c r="AV638" s="42">
        <f t="shared" si="1440"/>
        <v>0</v>
      </c>
      <c r="AW638" s="42">
        <f t="shared" si="1440"/>
        <v>0</v>
      </c>
      <c r="AX638" s="42">
        <f t="shared" si="1440"/>
        <v>0</v>
      </c>
      <c r="AY638" s="1"/>
    </row>
    <row r="639" spans="2:51" s="41" customFormat="1" ht="5.2" customHeight="1" outlineLevel="1">
      <c r="B639" s="37"/>
      <c r="C639" s="113"/>
      <c r="AK639" s="79"/>
      <c r="AM639" s="42"/>
      <c r="AN639" s="42"/>
      <c r="AO639" s="42"/>
      <c r="AP639" s="42"/>
      <c r="AY639" s="1"/>
    </row>
    <row r="640" spans="2:51" ht="11.25" customHeight="1">
      <c r="C640" s="45" t="s">
        <v>122</v>
      </c>
      <c r="E640" s="47"/>
      <c r="F640" s="136"/>
      <c r="G640" s="136"/>
      <c r="H640" s="136"/>
      <c r="I640" s="136"/>
      <c r="J640" s="136"/>
      <c r="K640" s="136"/>
      <c r="L640" s="136"/>
      <c r="M640" s="136"/>
      <c r="N640" s="136"/>
      <c r="O640" s="136"/>
      <c r="P640" s="136"/>
      <c r="Q640" s="136"/>
      <c r="R640" s="136"/>
      <c r="S640" s="136"/>
      <c r="T640" s="136"/>
      <c r="AK640" s="79"/>
      <c r="AL640" s="30">
        <f t="shared" ref="AL640:AT640" si="1441">+AL615+AL561+AL483+AL402+AL347</f>
        <v>593</v>
      </c>
      <c r="AM640" s="30">
        <f t="shared" si="1441"/>
        <v>652</v>
      </c>
      <c r="AN640" s="30">
        <f t="shared" si="1441"/>
        <v>626</v>
      </c>
      <c r="AO640" s="30">
        <f t="shared" si="1441"/>
        <v>649</v>
      </c>
      <c r="AP640" s="30">
        <f t="shared" si="1441"/>
        <v>528</v>
      </c>
      <c r="AQ640" s="30">
        <f t="shared" si="1441"/>
        <v>425</v>
      </c>
      <c r="AR640" s="30">
        <f t="shared" si="1441"/>
        <v>396</v>
      </c>
      <c r="AS640" s="30">
        <f t="shared" si="1441"/>
        <v>578</v>
      </c>
      <c r="AT640" s="30">
        <f t="shared" si="1441"/>
        <v>624</v>
      </c>
      <c r="AU640" s="30"/>
      <c r="AV640" s="30"/>
      <c r="AW640" s="30"/>
      <c r="AX640" s="30"/>
    </row>
    <row r="641" spans="2:79" s="41" customFormat="1" ht="11.25" customHeight="1" outlineLevel="1">
      <c r="B641" s="37"/>
      <c r="C641" s="361" t="s">
        <v>68</v>
      </c>
      <c r="E641" s="47"/>
      <c r="F641" s="47"/>
      <c r="G641" s="47"/>
      <c r="H641" s="47"/>
      <c r="I641" s="47"/>
      <c r="J641" s="47"/>
      <c r="K641" s="47"/>
      <c r="L641" s="47"/>
      <c r="M641" s="47"/>
      <c r="N641" s="47"/>
      <c r="O641" s="47"/>
      <c r="P641" s="47"/>
      <c r="Q641" s="47"/>
      <c r="R641" s="47"/>
      <c r="S641" s="47"/>
      <c r="T641" s="47"/>
      <c r="AK641" s="79"/>
      <c r="AL641" s="42">
        <f t="shared" ref="AL641:AT641" si="1442">+AL640+AL934</f>
        <v>0</v>
      </c>
      <c r="AM641" s="42">
        <f t="shared" si="1442"/>
        <v>0</v>
      </c>
      <c r="AN641" s="42">
        <f t="shared" si="1442"/>
        <v>0</v>
      </c>
      <c r="AO641" s="42">
        <f t="shared" si="1442"/>
        <v>0</v>
      </c>
      <c r="AP641" s="42">
        <f t="shared" si="1442"/>
        <v>0</v>
      </c>
      <c r="AQ641" s="42">
        <f t="shared" si="1442"/>
        <v>0</v>
      </c>
      <c r="AR641" s="42">
        <f t="shared" si="1442"/>
        <v>0</v>
      </c>
      <c r="AS641" s="42">
        <f t="shared" si="1442"/>
        <v>0</v>
      </c>
      <c r="AT641" s="42">
        <f t="shared" si="1442"/>
        <v>0</v>
      </c>
      <c r="AU641" s="42"/>
      <c r="AV641" s="42"/>
      <c r="AW641" s="42"/>
      <c r="AX641" s="42"/>
      <c r="AY641" s="1"/>
    </row>
    <row r="642" spans="2:79" ht="5.2" customHeight="1" outlineLevel="1">
      <c r="AK642" s="79"/>
    </row>
    <row r="643" spans="2:79" ht="11.25" customHeight="1">
      <c r="C643" s="45" t="s">
        <v>853</v>
      </c>
      <c r="E643" s="360">
        <f t="shared" ref="E643:AJ643" si="1443">+E617+E563+E485+E404+E283</f>
        <v>553</v>
      </c>
      <c r="F643" s="360">
        <f t="shared" si="1443"/>
        <v>520</v>
      </c>
      <c r="G643" s="360">
        <f t="shared" si="1443"/>
        <v>561</v>
      </c>
      <c r="H643" s="360">
        <f t="shared" si="1443"/>
        <v>480</v>
      </c>
      <c r="I643" s="360">
        <f t="shared" si="1443"/>
        <v>546</v>
      </c>
      <c r="J643" s="360">
        <f t="shared" si="1443"/>
        <v>567</v>
      </c>
      <c r="K643" s="360">
        <f t="shared" si="1443"/>
        <v>609</v>
      </c>
      <c r="L643" s="360">
        <f t="shared" si="1443"/>
        <v>500</v>
      </c>
      <c r="M643" s="360">
        <f t="shared" si="1443"/>
        <v>611</v>
      </c>
      <c r="N643" s="360">
        <f t="shared" si="1443"/>
        <v>595</v>
      </c>
      <c r="O643" s="360">
        <f t="shared" si="1443"/>
        <v>602</v>
      </c>
      <c r="P643" s="360">
        <f t="shared" si="1443"/>
        <v>429</v>
      </c>
      <c r="Q643" s="360">
        <f t="shared" si="1443"/>
        <v>484.16857610474631</v>
      </c>
      <c r="R643" s="360">
        <f t="shared" si="1443"/>
        <v>522.02127659574467</v>
      </c>
      <c r="S643" s="360">
        <f t="shared" si="1443"/>
        <v>497.75777414075287</v>
      </c>
      <c r="T643" s="360">
        <f t="shared" si="1443"/>
        <v>406.05237315875615</v>
      </c>
      <c r="U643" s="360">
        <f t="shared" si="1443"/>
        <v>497.9947735191638</v>
      </c>
      <c r="V643" s="360">
        <f t="shared" si="1443"/>
        <v>312.66376306620208</v>
      </c>
      <c r="W643" s="360">
        <f t="shared" si="1443"/>
        <v>434.33972125435537</v>
      </c>
      <c r="X643" s="360">
        <f t="shared" si="1443"/>
        <v>450.0017421602787</v>
      </c>
      <c r="Y643" s="360">
        <f t="shared" si="1443"/>
        <v>534.04460966542752</v>
      </c>
      <c r="Z643" s="360">
        <f t="shared" si="1443"/>
        <v>574.94795539033453</v>
      </c>
      <c r="AA643" s="360">
        <f t="shared" si="1443"/>
        <v>556.25278810408918</v>
      </c>
      <c r="AB643" s="360">
        <f t="shared" si="1443"/>
        <v>438.75464684014867</v>
      </c>
      <c r="AC643" s="360">
        <f t="shared" si="1443"/>
        <v>487.00000000000006</v>
      </c>
      <c r="AD643" s="360">
        <f t="shared" si="1443"/>
        <v>591</v>
      </c>
      <c r="AE643" s="360">
        <f t="shared" si="1443"/>
        <v>450</v>
      </c>
      <c r="AF643" s="360">
        <f t="shared" si="1443"/>
        <v>288</v>
      </c>
      <c r="AG643" s="360">
        <f t="shared" ref="AG643" si="1444">+AG617+AG563+AG485+AG404+AG283</f>
        <v>424</v>
      </c>
      <c r="AH643" s="360">
        <f t="shared" si="1443"/>
        <v>509.09648445472396</v>
      </c>
      <c r="AI643" s="360">
        <f t="shared" si="1443"/>
        <v>536.14336454316981</v>
      </c>
      <c r="AJ643" s="360">
        <f t="shared" si="1443"/>
        <v>470.58914463161557</v>
      </c>
      <c r="AK643" s="79"/>
      <c r="AL643" s="360">
        <f t="shared" ref="AL643:AX643" si="1445">+AL617+AL563+AL485+AL404+AL283</f>
        <v>2063</v>
      </c>
      <c r="AM643" s="360">
        <f t="shared" si="1445"/>
        <v>2263</v>
      </c>
      <c r="AN643" s="360">
        <f t="shared" si="1445"/>
        <v>2114</v>
      </c>
      <c r="AO643" s="360">
        <f t="shared" si="1445"/>
        <v>2222</v>
      </c>
      <c r="AP643" s="360">
        <f t="shared" si="1445"/>
        <v>2237</v>
      </c>
      <c r="AQ643" s="360">
        <f t="shared" si="1445"/>
        <v>1910</v>
      </c>
      <c r="AR643" s="360">
        <f t="shared" si="1445"/>
        <v>1695</v>
      </c>
      <c r="AS643" s="360">
        <f t="shared" si="1445"/>
        <v>2104</v>
      </c>
      <c r="AT643" s="360">
        <f t="shared" si="1445"/>
        <v>1816</v>
      </c>
      <c r="AU643" s="360">
        <f t="shared" si="1445"/>
        <v>1939.8289936295093</v>
      </c>
      <c r="AV643" s="360">
        <f t="shared" si="1445"/>
        <v>2044.1511810259717</v>
      </c>
      <c r="AW643" s="360">
        <f t="shared" si="1445"/>
        <v>2135.9346425673707</v>
      </c>
      <c r="AX643" s="360">
        <f t="shared" si="1445"/>
        <v>2248.4058954842849</v>
      </c>
    </row>
    <row r="644" spans="2:79" ht="11.25" customHeight="1" outlineLevel="1">
      <c r="C644" s="361" t="s">
        <v>68</v>
      </c>
      <c r="E644" s="42">
        <f t="shared" ref="E644:AJ644" si="1446">+E643-E119</f>
        <v>0</v>
      </c>
      <c r="F644" s="42">
        <f t="shared" si="1446"/>
        <v>0</v>
      </c>
      <c r="G644" s="42">
        <f t="shared" si="1446"/>
        <v>0</v>
      </c>
      <c r="H644" s="42">
        <f t="shared" si="1446"/>
        <v>0</v>
      </c>
      <c r="I644" s="42">
        <f t="shared" si="1446"/>
        <v>0</v>
      </c>
      <c r="J644" s="42">
        <f t="shared" si="1446"/>
        <v>0</v>
      </c>
      <c r="K644" s="42">
        <f t="shared" si="1446"/>
        <v>0</v>
      </c>
      <c r="L644" s="42">
        <f t="shared" si="1446"/>
        <v>0</v>
      </c>
      <c r="M644" s="42">
        <f t="shared" si="1446"/>
        <v>0</v>
      </c>
      <c r="N644" s="42">
        <f t="shared" si="1446"/>
        <v>0</v>
      </c>
      <c r="O644" s="42">
        <f t="shared" si="1446"/>
        <v>0</v>
      </c>
      <c r="P644" s="42">
        <f t="shared" si="1446"/>
        <v>0</v>
      </c>
      <c r="Q644" s="42">
        <f t="shared" si="1446"/>
        <v>-22.831423895253693</v>
      </c>
      <c r="R644" s="42">
        <f t="shared" si="1446"/>
        <v>-22.978723404255334</v>
      </c>
      <c r="S644" s="42">
        <f t="shared" si="1446"/>
        <v>-22.242225859247128</v>
      </c>
      <c r="T644" s="42">
        <f t="shared" si="1446"/>
        <v>-21.947626841243846</v>
      </c>
      <c r="U644" s="42">
        <f t="shared" si="1446"/>
        <v>-23.0052264808362</v>
      </c>
      <c r="V644" s="42">
        <f t="shared" si="1446"/>
        <v>-23.33623693379792</v>
      </c>
      <c r="W644" s="42">
        <f t="shared" si="1446"/>
        <v>-24.660278745644632</v>
      </c>
      <c r="X644" s="42">
        <f t="shared" si="1446"/>
        <v>-23.998257839721305</v>
      </c>
      <c r="Y644" s="42">
        <f t="shared" si="1446"/>
        <v>-14.955390334572485</v>
      </c>
      <c r="Z644" s="42">
        <f t="shared" si="1446"/>
        <v>-19.052044609665472</v>
      </c>
      <c r="AA644" s="42">
        <f t="shared" si="1446"/>
        <v>-15.747211895910823</v>
      </c>
      <c r="AB644" s="42">
        <f t="shared" si="1446"/>
        <v>-19.245353159851334</v>
      </c>
      <c r="AC644" s="42">
        <f t="shared" si="1446"/>
        <v>0</v>
      </c>
      <c r="AD644" s="42">
        <f t="shared" si="1446"/>
        <v>0</v>
      </c>
      <c r="AE644" s="42">
        <f t="shared" si="1446"/>
        <v>0</v>
      </c>
      <c r="AF644" s="42">
        <f t="shared" si="1446"/>
        <v>0</v>
      </c>
      <c r="AG644" s="42">
        <f t="shared" si="1446"/>
        <v>0</v>
      </c>
      <c r="AH644" s="42">
        <f t="shared" si="1446"/>
        <v>0</v>
      </c>
      <c r="AI644" s="42">
        <f t="shared" si="1446"/>
        <v>0</v>
      </c>
      <c r="AJ644" s="42">
        <f t="shared" si="1446"/>
        <v>0</v>
      </c>
      <c r="AK644" s="79"/>
      <c r="AL644" s="42">
        <f t="shared" ref="AL644:AX644" si="1447">+AL643-AL119</f>
        <v>0</v>
      </c>
      <c r="AM644" s="42">
        <f t="shared" si="1447"/>
        <v>0</v>
      </c>
      <c r="AN644" s="42">
        <f t="shared" si="1447"/>
        <v>0</v>
      </c>
      <c r="AO644" s="42">
        <f t="shared" si="1447"/>
        <v>0</v>
      </c>
      <c r="AP644" s="42">
        <f t="shared" si="1447"/>
        <v>0</v>
      </c>
      <c r="AQ644" s="42">
        <f t="shared" si="1447"/>
        <v>-90</v>
      </c>
      <c r="AR644" s="42">
        <f t="shared" si="1447"/>
        <v>-95</v>
      </c>
      <c r="AS644" s="42">
        <f t="shared" si="1447"/>
        <v>-69</v>
      </c>
      <c r="AT644" s="42">
        <f t="shared" si="1447"/>
        <v>0</v>
      </c>
      <c r="AU644" s="42">
        <f t="shared" si="1447"/>
        <v>0</v>
      </c>
      <c r="AV644" s="42">
        <f t="shared" si="1447"/>
        <v>6.7908220259719201</v>
      </c>
      <c r="AW644" s="42">
        <f t="shared" si="1447"/>
        <v>6.9238690023707932</v>
      </c>
      <c r="AX644" s="42">
        <f t="shared" si="1447"/>
        <v>7.1743103697099286</v>
      </c>
    </row>
    <row r="645" spans="2:79" ht="5.2" customHeight="1" outlineLevel="1">
      <c r="AK645" s="79"/>
    </row>
    <row r="646" spans="2:79" s="5" customFormat="1" ht="10.5">
      <c r="B646" s="687" t="s">
        <v>14</v>
      </c>
      <c r="C646" s="20" t="s">
        <v>392</v>
      </c>
      <c r="D646" s="20"/>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79"/>
      <c r="AL646" s="19"/>
      <c r="AM646" s="19"/>
      <c r="AN646" s="19"/>
      <c r="AO646" s="19"/>
      <c r="AP646" s="19"/>
      <c r="AQ646" s="19"/>
      <c r="AR646" s="19"/>
      <c r="AS646" s="19"/>
      <c r="AT646" s="19"/>
      <c r="AU646" s="19"/>
      <c r="AV646" s="19"/>
      <c r="AW646" s="19"/>
      <c r="AX646" s="19"/>
      <c r="AY646" s="1"/>
      <c r="AZ646" s="19"/>
      <c r="BA646" s="19"/>
      <c r="BB646" s="19"/>
      <c r="BC646" s="19"/>
      <c r="BD646" s="19"/>
      <c r="BE646" s="19"/>
      <c r="BF646" s="19"/>
      <c r="BG646" s="19"/>
      <c r="BH646" s="19"/>
      <c r="BI646" s="19"/>
      <c r="BJ646" s="19"/>
      <c r="BK646" s="19"/>
      <c r="BL646" s="19"/>
      <c r="BM646" s="19"/>
      <c r="BY646" s="829"/>
      <c r="BZ646" s="829"/>
      <c r="CA646" s="829"/>
    </row>
    <row r="647" spans="2:79" s="5" customFormat="1" ht="10.5"/>
    <row r="648" spans="2:79" s="5" customFormat="1" ht="10.5">
      <c r="B648" s="49"/>
      <c r="C648" s="21" t="s">
        <v>1670</v>
      </c>
      <c r="D648" s="21"/>
      <c r="AK648" s="79"/>
      <c r="AY648" s="1"/>
      <c r="BY648" s="829"/>
      <c r="BZ648" s="829"/>
      <c r="CA648" s="829"/>
    </row>
    <row r="649" spans="2:79" s="41" customFormat="1" ht="10.5" customHeight="1">
      <c r="B649" s="37"/>
      <c r="C649" s="26" t="s">
        <v>393</v>
      </c>
      <c r="E649" s="48"/>
      <c r="F649" s="48"/>
      <c r="G649" s="48"/>
      <c r="H649" s="48"/>
      <c r="I649" s="48"/>
      <c r="J649" s="48"/>
      <c r="K649" s="48"/>
      <c r="L649" s="48"/>
      <c r="M649" s="48"/>
      <c r="N649" s="48"/>
      <c r="O649" s="48"/>
      <c r="P649" s="48"/>
      <c r="Q649" s="48"/>
      <c r="R649" s="48"/>
      <c r="AK649" s="79"/>
      <c r="AM649" s="42"/>
      <c r="AN649" s="42"/>
      <c r="AO649" s="42"/>
      <c r="AP649" s="42"/>
      <c r="AY649" s="1"/>
    </row>
    <row r="650" spans="2:79" s="41" customFormat="1" ht="10.5" customHeight="1">
      <c r="B650" s="37"/>
      <c r="C650" s="64" t="s">
        <v>159</v>
      </c>
      <c r="E650" s="48"/>
      <c r="F650" s="48"/>
      <c r="G650" s="48"/>
      <c r="H650" s="48"/>
      <c r="I650" s="48"/>
      <c r="J650" s="48"/>
      <c r="K650" s="48"/>
      <c r="L650" s="48"/>
      <c r="M650" s="48"/>
      <c r="N650" s="48"/>
      <c r="O650" s="48"/>
      <c r="P650" s="48"/>
      <c r="Q650" s="48"/>
      <c r="R650" s="48"/>
      <c r="AK650" s="79"/>
      <c r="AL650" s="66">
        <v>0.41</v>
      </c>
      <c r="AM650" s="66">
        <v>0.38</v>
      </c>
      <c r="AN650" s="66">
        <v>0.37</v>
      </c>
      <c r="AO650" s="66">
        <v>0.35</v>
      </c>
      <c r="AP650" s="66">
        <v>0.36</v>
      </c>
      <c r="AQ650" s="66">
        <v>0.37</v>
      </c>
      <c r="AR650" s="66">
        <v>0.38</v>
      </c>
      <c r="AS650" s="66">
        <v>0.39</v>
      </c>
      <c r="AT650" s="66">
        <v>0.39</v>
      </c>
      <c r="AY650" s="1"/>
    </row>
    <row r="651" spans="2:79" s="41" customFormat="1" ht="10.5" customHeight="1">
      <c r="B651" s="37"/>
      <c r="C651" s="64" t="s">
        <v>160</v>
      </c>
      <c r="E651" s="48"/>
      <c r="F651" s="48"/>
      <c r="G651" s="48"/>
      <c r="H651" s="48"/>
      <c r="I651" s="48"/>
      <c r="J651" s="48"/>
      <c r="K651" s="48"/>
      <c r="L651" s="48"/>
      <c r="M651" s="48"/>
      <c r="N651" s="48"/>
      <c r="O651" s="48"/>
      <c r="P651" s="48"/>
      <c r="Q651" s="48"/>
      <c r="R651" s="48"/>
      <c r="AK651" s="79"/>
      <c r="AL651" s="66">
        <v>0.24</v>
      </c>
      <c r="AM651" s="66">
        <v>0.21</v>
      </c>
      <c r="AN651" s="66">
        <v>0.21</v>
      </c>
      <c r="AO651" s="66">
        <v>0.23</v>
      </c>
      <c r="AP651" s="66">
        <v>0.24</v>
      </c>
      <c r="AQ651" s="66">
        <v>0.24</v>
      </c>
      <c r="AR651" s="66">
        <v>0.24</v>
      </c>
      <c r="AS651" s="66">
        <v>0.24</v>
      </c>
      <c r="AT651" s="66">
        <v>0.24</v>
      </c>
      <c r="AY651" s="1"/>
    </row>
    <row r="652" spans="2:79" s="41" customFormat="1" ht="10.5" customHeight="1">
      <c r="B652" s="37"/>
      <c r="C652" s="64" t="s">
        <v>161</v>
      </c>
      <c r="E652" s="48"/>
      <c r="F652" s="48"/>
      <c r="G652" s="48"/>
      <c r="H652" s="48"/>
      <c r="I652" s="48"/>
      <c r="J652" s="48"/>
      <c r="K652" s="48"/>
      <c r="L652" s="48"/>
      <c r="M652" s="48"/>
      <c r="N652" s="48"/>
      <c r="O652" s="48"/>
      <c r="P652" s="48"/>
      <c r="Q652" s="48"/>
      <c r="R652" s="48"/>
      <c r="AK652" s="79"/>
      <c r="AL652" s="66">
        <v>0.28999999999999998</v>
      </c>
      <c r="AM652" s="66">
        <v>0.35</v>
      </c>
      <c r="AN652" s="66">
        <v>0.35</v>
      </c>
      <c r="AO652" s="66">
        <v>0.36</v>
      </c>
      <c r="AP652" s="66">
        <v>0.34</v>
      </c>
      <c r="AQ652" s="66">
        <v>0.33</v>
      </c>
      <c r="AR652" s="66">
        <v>0.32</v>
      </c>
      <c r="AS652" s="66">
        <v>0.31</v>
      </c>
      <c r="AT652" s="66">
        <v>0.31</v>
      </c>
      <c r="AV652" s="28"/>
      <c r="AY652" s="1"/>
    </row>
    <row r="653" spans="2:79" s="41" customFormat="1" ht="10.5" customHeight="1">
      <c r="B653" s="37"/>
      <c r="C653" s="64" t="s">
        <v>162</v>
      </c>
      <c r="E653" s="48"/>
      <c r="F653" s="48"/>
      <c r="G653" s="48"/>
      <c r="H653" s="48"/>
      <c r="I653" s="48"/>
      <c r="J653" s="48"/>
      <c r="K653" s="48"/>
      <c r="L653" s="48"/>
      <c r="M653" s="48"/>
      <c r="N653" s="48"/>
      <c r="O653" s="48"/>
      <c r="P653" s="48"/>
      <c r="Q653" s="48"/>
      <c r="R653" s="48"/>
      <c r="AK653" s="79"/>
      <c r="AL653" s="66">
        <v>0.06</v>
      </c>
      <c r="AM653" s="66">
        <v>0.06</v>
      </c>
      <c r="AN653" s="66">
        <v>7.0000000000000007E-2</v>
      </c>
      <c r="AO653" s="66">
        <v>0.06</v>
      </c>
      <c r="AP653" s="66">
        <v>0.06</v>
      </c>
      <c r="AQ653" s="66">
        <v>0.06</v>
      </c>
      <c r="AR653" s="66">
        <v>0.06</v>
      </c>
      <c r="AS653" s="66">
        <v>0.06</v>
      </c>
      <c r="AT653" s="66">
        <v>0.06</v>
      </c>
      <c r="AY653" s="1"/>
    </row>
    <row r="654" spans="2:79" s="41" customFormat="1" ht="10.5" customHeight="1">
      <c r="B654" s="37"/>
      <c r="C654" s="123" t="s">
        <v>168</v>
      </c>
      <c r="E654" s="48"/>
      <c r="F654" s="48"/>
      <c r="G654" s="48"/>
      <c r="H654" s="48"/>
      <c r="I654" s="48"/>
      <c r="J654" s="48"/>
      <c r="K654" s="48"/>
      <c r="L654" s="48"/>
      <c r="M654" s="48"/>
      <c r="N654" s="48"/>
      <c r="O654" s="48"/>
      <c r="P654" s="48"/>
      <c r="Q654" s="48"/>
      <c r="R654" s="48"/>
      <c r="AK654" s="79"/>
      <c r="AL654" s="67">
        <f t="shared" ref="AL654:AQ654" si="1448">SUM(AL650:AL653)</f>
        <v>1</v>
      </c>
      <c r="AM654" s="67">
        <f t="shared" si="1448"/>
        <v>1</v>
      </c>
      <c r="AN654" s="67">
        <f t="shared" si="1448"/>
        <v>1</v>
      </c>
      <c r="AO654" s="67">
        <f t="shared" si="1448"/>
        <v>1</v>
      </c>
      <c r="AP654" s="67">
        <f t="shared" si="1448"/>
        <v>1</v>
      </c>
      <c r="AQ654" s="67">
        <f t="shared" si="1448"/>
        <v>1</v>
      </c>
      <c r="AR654" s="67">
        <f t="shared" ref="AR654" si="1449">SUM(AR650:AR653)</f>
        <v>1</v>
      </c>
      <c r="AS654" s="67">
        <f t="shared" ref="AS654:AT654" si="1450">SUM(AS650:AS653)</f>
        <v>1</v>
      </c>
      <c r="AT654" s="67">
        <f t="shared" si="1450"/>
        <v>1</v>
      </c>
      <c r="AY654" s="1"/>
    </row>
    <row r="655" spans="2:79" s="41" customFormat="1" ht="10.5" customHeight="1">
      <c r="B655" s="37"/>
      <c r="C655" s="55"/>
      <c r="AK655" s="79"/>
      <c r="AM655" s="66"/>
      <c r="AN655" s="66"/>
      <c r="AO655" s="66"/>
      <c r="AP655" s="66"/>
      <c r="AY655" s="1"/>
    </row>
    <row r="656" spans="2:79" s="41" customFormat="1" ht="11.25" customHeight="1">
      <c r="B656" s="37"/>
      <c r="C656" s="64" t="s">
        <v>159</v>
      </c>
      <c r="E656" s="48"/>
      <c r="F656" s="48"/>
      <c r="G656" s="48"/>
      <c r="H656" s="48"/>
      <c r="I656" s="48"/>
      <c r="J656" s="48"/>
      <c r="K656" s="48"/>
      <c r="L656" s="48"/>
      <c r="M656" s="48"/>
      <c r="N656" s="48"/>
      <c r="O656" s="48"/>
      <c r="P656" s="48"/>
      <c r="Q656" s="48"/>
      <c r="R656" s="48"/>
      <c r="AK656" s="79"/>
      <c r="AL656" s="28">
        <f t="shared" ref="AL656:AQ656" si="1451">AL650*AL$250</f>
        <v>1082.3999999999999</v>
      </c>
      <c r="AM656" s="28">
        <f t="shared" si="1451"/>
        <v>1200.42</v>
      </c>
      <c r="AN656" s="28">
        <f t="shared" si="1451"/>
        <v>1102.23</v>
      </c>
      <c r="AO656" s="28">
        <f t="shared" si="1451"/>
        <v>1170.05</v>
      </c>
      <c r="AP656" s="28">
        <f t="shared" si="1451"/>
        <v>1312.9199999999998</v>
      </c>
      <c r="AQ656" s="28">
        <f t="shared" si="1451"/>
        <v>908.35</v>
      </c>
      <c r="AR656" s="28">
        <f t="shared" ref="AR656:AS656" si="1452">AR650*AR$250</f>
        <v>889.96</v>
      </c>
      <c r="AS656" s="28">
        <f t="shared" si="1452"/>
        <v>1150.1100000000001</v>
      </c>
      <c r="AT656" s="28">
        <f t="shared" ref="AT656" si="1453">AT650*AT$250</f>
        <v>1355.25</v>
      </c>
      <c r="AY656" s="1"/>
    </row>
    <row r="657" spans="2:51" s="41" customFormat="1" ht="11.25" customHeight="1">
      <c r="B657" s="37"/>
      <c r="C657" s="64" t="s">
        <v>160</v>
      </c>
      <c r="E657" s="48"/>
      <c r="F657" s="48"/>
      <c r="G657" s="48"/>
      <c r="H657" s="48"/>
      <c r="I657" s="48"/>
      <c r="J657" s="48"/>
      <c r="K657" s="48"/>
      <c r="L657" s="48"/>
      <c r="M657" s="48"/>
      <c r="N657" s="48"/>
      <c r="O657" s="48"/>
      <c r="P657" s="48"/>
      <c r="Q657" s="48"/>
      <c r="R657" s="48"/>
      <c r="AK657" s="79"/>
      <c r="AL657" s="28">
        <f>AL651*AL$250</f>
        <v>633.6</v>
      </c>
      <c r="AM657" s="28">
        <f t="shared" ref="AM657:AN659" si="1454">AM651*AM$250</f>
        <v>663.39</v>
      </c>
      <c r="AN657" s="28">
        <f t="shared" si="1454"/>
        <v>625.59</v>
      </c>
      <c r="AO657" s="28">
        <f t="shared" ref="AO657:AQ659" si="1455">AO651*AO$250</f>
        <v>768.89</v>
      </c>
      <c r="AP657" s="28">
        <f t="shared" si="1455"/>
        <v>875.28</v>
      </c>
      <c r="AQ657" s="28">
        <f t="shared" si="1455"/>
        <v>589.19999999999993</v>
      </c>
      <c r="AR657" s="28">
        <f t="shared" ref="AR657:AS657" si="1456">AR651*AR$250</f>
        <v>562.07999999999993</v>
      </c>
      <c r="AS657" s="28">
        <f t="shared" si="1456"/>
        <v>707.76</v>
      </c>
      <c r="AT657" s="28">
        <f t="shared" ref="AT657" si="1457">AT651*AT$250</f>
        <v>834</v>
      </c>
      <c r="AY657" s="1"/>
    </row>
    <row r="658" spans="2:51" s="41" customFormat="1" ht="11.25" customHeight="1">
      <c r="B658" s="37"/>
      <c r="C658" s="64" t="s">
        <v>161</v>
      </c>
      <c r="E658" s="48"/>
      <c r="F658" s="48"/>
      <c r="G658" s="48"/>
      <c r="H658" s="48"/>
      <c r="I658" s="48"/>
      <c r="J658" s="48"/>
      <c r="K658" s="48"/>
      <c r="L658" s="48"/>
      <c r="M658" s="48"/>
      <c r="N658" s="48"/>
      <c r="O658" s="48"/>
      <c r="P658" s="48"/>
      <c r="Q658" s="48"/>
      <c r="R658" s="48"/>
      <c r="AK658" s="79"/>
      <c r="AL658" s="28">
        <f>AL652*AL$250</f>
        <v>765.59999999999991</v>
      </c>
      <c r="AM658" s="28">
        <f t="shared" si="1454"/>
        <v>1105.6499999999999</v>
      </c>
      <c r="AN658" s="28">
        <f t="shared" si="1454"/>
        <v>1042.6499999999999</v>
      </c>
      <c r="AO658" s="28">
        <f t="shared" si="1455"/>
        <v>1203.48</v>
      </c>
      <c r="AP658" s="28">
        <f t="shared" si="1455"/>
        <v>1239.98</v>
      </c>
      <c r="AQ658" s="28">
        <f t="shared" si="1455"/>
        <v>810.15000000000009</v>
      </c>
      <c r="AR658" s="28">
        <f t="shared" ref="AR658:AS658" si="1458">AR652*AR$250</f>
        <v>749.44</v>
      </c>
      <c r="AS658" s="28">
        <f t="shared" si="1458"/>
        <v>914.18999999999994</v>
      </c>
      <c r="AT658" s="28">
        <f t="shared" ref="AT658" si="1459">AT652*AT$250</f>
        <v>1077.25</v>
      </c>
      <c r="AY658" s="1"/>
    </row>
    <row r="659" spans="2:51" s="41" customFormat="1" ht="11.25" customHeight="1">
      <c r="B659" s="37"/>
      <c r="C659" s="64" t="s">
        <v>162</v>
      </c>
      <c r="E659" s="48"/>
      <c r="F659" s="48"/>
      <c r="G659" s="48"/>
      <c r="H659" s="48"/>
      <c r="I659" s="48"/>
      <c r="J659" s="48"/>
      <c r="K659" s="48"/>
      <c r="L659" s="48"/>
      <c r="M659" s="48"/>
      <c r="N659" s="48"/>
      <c r="O659" s="48"/>
      <c r="P659" s="48"/>
      <c r="Q659" s="48"/>
      <c r="R659" s="48"/>
      <c r="AK659" s="79"/>
      <c r="AL659" s="28">
        <f>AL653*AL$250</f>
        <v>158.4</v>
      </c>
      <c r="AM659" s="28">
        <f t="shared" si="1454"/>
        <v>189.54</v>
      </c>
      <c r="AN659" s="28">
        <f t="shared" si="1454"/>
        <v>208.53000000000003</v>
      </c>
      <c r="AO659" s="28">
        <f t="shared" si="1455"/>
        <v>200.57999999999998</v>
      </c>
      <c r="AP659" s="28">
        <f t="shared" si="1455"/>
        <v>218.82</v>
      </c>
      <c r="AQ659" s="28">
        <f t="shared" si="1455"/>
        <v>147.29999999999998</v>
      </c>
      <c r="AR659" s="28">
        <f t="shared" ref="AR659:AS659" si="1460">AR653*AR$250</f>
        <v>140.51999999999998</v>
      </c>
      <c r="AS659" s="28">
        <f t="shared" si="1460"/>
        <v>176.94</v>
      </c>
      <c r="AT659" s="28">
        <f t="shared" ref="AT659" si="1461">AT653*AT$250</f>
        <v>208.5</v>
      </c>
      <c r="AY659" s="1"/>
    </row>
    <row r="660" spans="2:51" s="41" customFormat="1" ht="11.25" customHeight="1">
      <c r="B660" s="37"/>
      <c r="C660" s="123" t="s">
        <v>168</v>
      </c>
      <c r="E660" s="48"/>
      <c r="F660" s="48"/>
      <c r="G660" s="48"/>
      <c r="H660" s="48"/>
      <c r="I660" s="48"/>
      <c r="J660" s="48"/>
      <c r="K660" s="48"/>
      <c r="L660" s="48"/>
      <c r="M660" s="48"/>
      <c r="N660" s="48"/>
      <c r="O660" s="48"/>
      <c r="P660" s="48"/>
      <c r="Q660" s="48"/>
      <c r="R660" s="48"/>
      <c r="AK660" s="79"/>
      <c r="AL660" s="35">
        <f t="shared" ref="AL660:AQ660" si="1462">+SUM(AL656:AL659)</f>
        <v>2640</v>
      </c>
      <c r="AM660" s="35">
        <f t="shared" si="1462"/>
        <v>3159</v>
      </c>
      <c r="AN660" s="35">
        <f t="shared" si="1462"/>
        <v>2979.0000000000005</v>
      </c>
      <c r="AO660" s="35">
        <f t="shared" si="1462"/>
        <v>3343</v>
      </c>
      <c r="AP660" s="35">
        <f t="shared" si="1462"/>
        <v>3647</v>
      </c>
      <c r="AQ660" s="35">
        <f t="shared" si="1462"/>
        <v>2455</v>
      </c>
      <c r="AR660" s="35">
        <f t="shared" ref="AR660" si="1463">+SUM(AR656:AR659)</f>
        <v>2342</v>
      </c>
      <c r="AS660" s="35">
        <f t="shared" ref="AS660:AT660" si="1464">+SUM(AS656:AS659)</f>
        <v>2949</v>
      </c>
      <c r="AT660" s="35">
        <f t="shared" si="1464"/>
        <v>3475</v>
      </c>
      <c r="AY660" s="1"/>
    </row>
    <row r="661" spans="2:51" s="41" customFormat="1" ht="5.2" customHeight="1">
      <c r="B661" s="37"/>
      <c r="C661" s="123"/>
      <c r="AK661" s="79"/>
      <c r="AM661" s="30"/>
      <c r="AN661" s="30"/>
      <c r="AO661" s="30"/>
      <c r="AP661" s="30"/>
      <c r="AY661" s="1"/>
    </row>
    <row r="662" spans="2:51" s="41" customFormat="1" ht="11.25" customHeight="1" outlineLevel="1">
      <c r="B662" s="37"/>
      <c r="C662" s="113" t="s">
        <v>68</v>
      </c>
      <c r="F662" s="41" t="s">
        <v>394</v>
      </c>
      <c r="AK662" s="79"/>
      <c r="AL662" s="42">
        <f t="shared" ref="AL662:AQ662" si="1465">AL660-AL$250</f>
        <v>0</v>
      </c>
      <c r="AM662" s="127">
        <f t="shared" si="1465"/>
        <v>0</v>
      </c>
      <c r="AN662" s="127">
        <f t="shared" si="1465"/>
        <v>0</v>
      </c>
      <c r="AO662" s="127">
        <f t="shared" si="1465"/>
        <v>0</v>
      </c>
      <c r="AP662" s="127">
        <f t="shared" si="1465"/>
        <v>0</v>
      </c>
      <c r="AQ662" s="127">
        <f t="shared" si="1465"/>
        <v>0</v>
      </c>
      <c r="AR662" s="127">
        <f t="shared" ref="AR662:AS662" si="1466">AR660-AR$250</f>
        <v>0</v>
      </c>
      <c r="AS662" s="127">
        <f t="shared" si="1466"/>
        <v>0</v>
      </c>
      <c r="AT662" s="127">
        <f t="shared" ref="AT662" si="1467">AT660-AT$250</f>
        <v>0</v>
      </c>
      <c r="AY662" s="1"/>
    </row>
    <row r="663" spans="2:51" s="41" customFormat="1" ht="5.2" customHeight="1" outlineLevel="1">
      <c r="B663" s="37"/>
      <c r="C663" s="55"/>
      <c r="AK663" s="79"/>
      <c r="AM663" s="30"/>
      <c r="AN663" s="30"/>
      <c r="AO663" s="30"/>
      <c r="AP663" s="30"/>
      <c r="AY663" s="1"/>
    </row>
    <row r="664" spans="2:51" ht="11.25" customHeight="1">
      <c r="B664" s="27" t="s">
        <v>14</v>
      </c>
      <c r="C664" s="83" t="str">
        <f>+C351</f>
        <v>Advanced Materials</v>
      </c>
      <c r="AK664" s="79"/>
      <c r="AM664" s="63"/>
      <c r="AN664" s="63"/>
      <c r="AO664" s="63"/>
      <c r="AP664" s="63"/>
      <c r="AQ664" s="63"/>
      <c r="AR664" s="63"/>
      <c r="AS664" s="63"/>
      <c r="AT664" s="63"/>
    </row>
    <row r="665" spans="2:51" ht="5.2" customHeight="1">
      <c r="C665" s="83"/>
      <c r="AK665" s="79"/>
    </row>
    <row r="666" spans="2:51" s="41" customFormat="1" ht="11.25" customHeight="1">
      <c r="B666" s="37"/>
      <c r="C666" s="26" t="s">
        <v>393</v>
      </c>
      <c r="AK666" s="79"/>
      <c r="AL666" s="1035">
        <f t="shared" ref="AL666:AT666" si="1468">AL416/AL11</f>
        <v>0.13478744620552116</v>
      </c>
      <c r="AM666" s="1035">
        <f t="shared" si="1468"/>
        <v>0.12760572139303483</v>
      </c>
      <c r="AN666" s="1035">
        <f t="shared" si="1468"/>
        <v>0.13637877442273535</v>
      </c>
      <c r="AO666" s="1035">
        <f t="shared" si="1468"/>
        <v>0.13736726358781023</v>
      </c>
      <c r="AP666" s="1035">
        <f t="shared" si="1468"/>
        <v>0.13298689784257708</v>
      </c>
      <c r="AQ666" s="1035">
        <f t="shared" si="1468"/>
        <v>0.14203817534778387</v>
      </c>
      <c r="AR666" s="1035">
        <f t="shared" si="1468"/>
        <v>0.15192257759943351</v>
      </c>
      <c r="AS666" s="1035">
        <f t="shared" si="1468"/>
        <v>0.14736254295532647</v>
      </c>
      <c r="AT666" s="1035">
        <f t="shared" si="1468"/>
        <v>0.1545907372400756</v>
      </c>
      <c r="AY666" s="1"/>
    </row>
    <row r="667" spans="2:51" s="41" customFormat="1" ht="11.25" customHeight="1">
      <c r="B667" s="37"/>
      <c r="C667" s="64" t="s">
        <v>159</v>
      </c>
      <c r="E667" s="48"/>
      <c r="F667" s="48"/>
      <c r="G667" s="48"/>
      <c r="H667" s="48"/>
      <c r="I667" s="48"/>
      <c r="J667" s="48"/>
      <c r="K667" s="48"/>
      <c r="L667" s="48"/>
      <c r="M667" s="48"/>
      <c r="N667" s="48"/>
      <c r="O667" s="48"/>
      <c r="P667" s="48"/>
      <c r="Q667" s="48"/>
      <c r="R667" s="48"/>
      <c r="AK667" s="79"/>
      <c r="AL667" s="66">
        <v>0.36</v>
      </c>
      <c r="AM667" s="66">
        <v>0.38</v>
      </c>
      <c r="AN667" s="66">
        <v>0.37</v>
      </c>
      <c r="AO667" s="66">
        <v>0.36</v>
      </c>
      <c r="AP667" s="66">
        <v>0.35</v>
      </c>
      <c r="AQ667" s="66">
        <v>0.34</v>
      </c>
      <c r="AR667" s="66">
        <v>0.34</v>
      </c>
      <c r="AS667" s="66">
        <v>0.3</v>
      </c>
      <c r="AT667" s="66">
        <v>0.33</v>
      </c>
      <c r="AY667" s="1"/>
    </row>
    <row r="668" spans="2:51" s="41" customFormat="1" ht="11.25" customHeight="1">
      <c r="B668" s="37"/>
      <c r="C668" s="64" t="s">
        <v>160</v>
      </c>
      <c r="E668" s="48"/>
      <c r="F668" s="48"/>
      <c r="G668" s="48"/>
      <c r="H668" s="48"/>
      <c r="I668" s="48"/>
      <c r="J668" s="48"/>
      <c r="K668" s="48"/>
      <c r="L668" s="48"/>
      <c r="M668" s="48"/>
      <c r="N668" s="48"/>
      <c r="O668" s="48"/>
      <c r="P668" s="48"/>
      <c r="Q668" s="48"/>
      <c r="R668" s="48"/>
      <c r="AK668" s="79"/>
      <c r="AL668" s="66">
        <v>0.3</v>
      </c>
      <c r="AM668" s="66">
        <v>0.31</v>
      </c>
      <c r="AN668" s="66">
        <v>0.32</v>
      </c>
      <c r="AO668" s="66">
        <v>0.33</v>
      </c>
      <c r="AP668" s="66">
        <v>0.33</v>
      </c>
      <c r="AQ668" s="66">
        <v>0.32</v>
      </c>
      <c r="AR668" s="66">
        <v>0.33</v>
      </c>
      <c r="AS668" s="759">
        <v>0.38</v>
      </c>
      <c r="AT668" s="759">
        <v>0.35</v>
      </c>
      <c r="AY668" s="1"/>
    </row>
    <row r="669" spans="2:51" s="41" customFormat="1" ht="11.25" customHeight="1">
      <c r="B669" s="37"/>
      <c r="C669" s="64" t="s">
        <v>161</v>
      </c>
      <c r="E669" s="48"/>
      <c r="F669" s="48"/>
      <c r="G669" s="48"/>
      <c r="H669" s="48"/>
      <c r="I669" s="48"/>
      <c r="J669" s="48"/>
      <c r="K669" s="48"/>
      <c r="L669" s="48"/>
      <c r="M669" s="48"/>
      <c r="N669" s="48"/>
      <c r="O669" s="48"/>
      <c r="P669" s="48"/>
      <c r="Q669" s="48"/>
      <c r="R669" s="48"/>
      <c r="AK669" s="79"/>
      <c r="AL669" s="66">
        <v>0.28000000000000003</v>
      </c>
      <c r="AM669" s="66">
        <v>0.26</v>
      </c>
      <c r="AN669" s="66">
        <v>0.26</v>
      </c>
      <c r="AO669" s="66">
        <v>0.26</v>
      </c>
      <c r="AP669" s="66">
        <v>0.27</v>
      </c>
      <c r="AQ669" s="66">
        <v>0.28000000000000003</v>
      </c>
      <c r="AR669" s="66">
        <v>0.27</v>
      </c>
      <c r="AS669" s="66">
        <v>0.27</v>
      </c>
      <c r="AT669" s="66">
        <v>0.26</v>
      </c>
      <c r="AY669" s="1"/>
    </row>
    <row r="670" spans="2:51" s="41" customFormat="1" ht="11.25" customHeight="1">
      <c r="B670" s="37"/>
      <c r="C670" s="64" t="s">
        <v>162</v>
      </c>
      <c r="E670" s="48"/>
      <c r="F670" s="48"/>
      <c r="G670" s="48"/>
      <c r="H670" s="48"/>
      <c r="I670" s="48"/>
      <c r="J670" s="48"/>
      <c r="K670" s="48"/>
      <c r="L670" s="48"/>
      <c r="M670" s="48"/>
      <c r="N670" s="48"/>
      <c r="O670" s="48"/>
      <c r="P670" s="48"/>
      <c r="Q670" s="48"/>
      <c r="R670" s="48"/>
      <c r="AK670" s="79"/>
      <c r="AL670" s="66">
        <v>0.06</v>
      </c>
      <c r="AM670" s="66">
        <v>0.05</v>
      </c>
      <c r="AN670" s="66">
        <v>0.05</v>
      </c>
      <c r="AO670" s="66">
        <v>0.05</v>
      </c>
      <c r="AP670" s="66">
        <v>0.05</v>
      </c>
      <c r="AQ670" s="66">
        <v>0.06</v>
      </c>
      <c r="AR670" s="66">
        <v>0.06</v>
      </c>
      <c r="AS670" s="66">
        <v>0.05</v>
      </c>
      <c r="AT670" s="66">
        <v>0.06</v>
      </c>
      <c r="AY670" s="1"/>
    </row>
    <row r="671" spans="2:51" s="41" customFormat="1" ht="11.25" customHeight="1">
      <c r="B671" s="37"/>
      <c r="C671" s="123" t="s">
        <v>168</v>
      </c>
      <c r="E671" s="48"/>
      <c r="F671" s="48"/>
      <c r="G671" s="48"/>
      <c r="H671" s="48"/>
      <c r="I671" s="48"/>
      <c r="J671" s="48"/>
      <c r="K671" s="48"/>
      <c r="L671" s="48"/>
      <c r="M671" s="48"/>
      <c r="N671" s="48"/>
      <c r="O671" s="48"/>
      <c r="P671" s="48"/>
      <c r="Q671" s="48"/>
      <c r="R671" s="48"/>
      <c r="AK671" s="79"/>
      <c r="AL671" s="67">
        <f t="shared" ref="AL671:AQ671" si="1469">+SUM(AL667:AL670)</f>
        <v>1</v>
      </c>
      <c r="AM671" s="67">
        <f t="shared" si="1469"/>
        <v>1</v>
      </c>
      <c r="AN671" s="67">
        <f t="shared" si="1469"/>
        <v>1</v>
      </c>
      <c r="AO671" s="67">
        <f t="shared" si="1469"/>
        <v>1</v>
      </c>
      <c r="AP671" s="67">
        <f t="shared" si="1469"/>
        <v>1</v>
      </c>
      <c r="AQ671" s="67">
        <f t="shared" si="1469"/>
        <v>1</v>
      </c>
      <c r="AR671" s="67">
        <f t="shared" ref="AR671" si="1470">+SUM(AR667:AR670)</f>
        <v>1</v>
      </c>
      <c r="AS671" s="67">
        <f t="shared" ref="AS671:AT671" si="1471">+SUM(AS667:AS670)</f>
        <v>1</v>
      </c>
      <c r="AT671" s="67">
        <f t="shared" si="1471"/>
        <v>1</v>
      </c>
      <c r="AY671" s="1"/>
    </row>
    <row r="672" spans="2:51" ht="5.2" customHeight="1">
      <c r="C672" s="25"/>
      <c r="AK672" s="79"/>
    </row>
    <row r="673" spans="2:51" ht="11.25" customHeight="1">
      <c r="C673" s="64" t="s">
        <v>159</v>
      </c>
      <c r="E673" s="47"/>
      <c r="F673" s="47"/>
      <c r="G673" s="47"/>
      <c r="H673" s="47"/>
      <c r="I673" s="47"/>
      <c r="J673" s="47"/>
      <c r="K673" s="47"/>
      <c r="L673" s="47"/>
      <c r="M673" s="47"/>
      <c r="N673" s="47"/>
      <c r="O673" s="47"/>
      <c r="P673" s="47"/>
      <c r="Q673" s="47"/>
      <c r="R673" s="47"/>
      <c r="AK673" s="79"/>
      <c r="AL673" s="28">
        <f t="shared" ref="AL673:AQ676" si="1472">AL667*AL$352</f>
        <v>856.07999999999993</v>
      </c>
      <c r="AM673" s="28">
        <f t="shared" si="1472"/>
        <v>917.32</v>
      </c>
      <c r="AN673" s="28">
        <f t="shared" si="1472"/>
        <v>909.09</v>
      </c>
      <c r="AO673" s="28">
        <f t="shared" si="1472"/>
        <v>925.92</v>
      </c>
      <c r="AP673" s="28">
        <f t="shared" si="1472"/>
        <v>964.24999999999989</v>
      </c>
      <c r="AQ673" s="28">
        <f t="shared" si="1472"/>
        <v>913.92000000000007</v>
      </c>
      <c r="AR673" s="28">
        <f t="shared" ref="AR673:AS673" si="1473">AR667*AR$352</f>
        <v>858.16000000000008</v>
      </c>
      <c r="AS673" s="28">
        <f t="shared" si="1473"/>
        <v>908.1</v>
      </c>
      <c r="AT673" s="28">
        <f t="shared" ref="AT673" si="1474">AT667*AT$352</f>
        <v>1058.31</v>
      </c>
    </row>
    <row r="674" spans="2:51" ht="11.25" customHeight="1">
      <c r="C674" s="64" t="s">
        <v>160</v>
      </c>
      <c r="E674" s="47"/>
      <c r="F674" s="47"/>
      <c r="G674" s="47"/>
      <c r="H674" s="47"/>
      <c r="I674" s="47"/>
      <c r="J674" s="47"/>
      <c r="K674" s="47"/>
      <c r="L674" s="47"/>
      <c r="M674" s="47"/>
      <c r="N674" s="47"/>
      <c r="O674" s="47"/>
      <c r="P674" s="47"/>
      <c r="Q674" s="47"/>
      <c r="R674" s="47"/>
      <c r="AK674" s="79"/>
      <c r="AL674" s="28">
        <f t="shared" si="1472"/>
        <v>713.4</v>
      </c>
      <c r="AM674" s="28">
        <f t="shared" si="1472"/>
        <v>748.34</v>
      </c>
      <c r="AN674" s="28">
        <f t="shared" si="1472"/>
        <v>786.24</v>
      </c>
      <c r="AO674" s="28">
        <f t="shared" si="1472"/>
        <v>848.76</v>
      </c>
      <c r="AP674" s="28">
        <f t="shared" si="1472"/>
        <v>909.15000000000009</v>
      </c>
      <c r="AQ674" s="28">
        <f t="shared" si="1472"/>
        <v>860.16</v>
      </c>
      <c r="AR674" s="28">
        <f t="shared" ref="AR674:AS674" si="1475">AR668*AR$352</f>
        <v>832.92000000000007</v>
      </c>
      <c r="AS674" s="28">
        <f t="shared" si="1475"/>
        <v>1150.26</v>
      </c>
      <c r="AT674" s="28">
        <f t="shared" ref="AT674" si="1476">AT668*AT$352</f>
        <v>1122.4499999999998</v>
      </c>
    </row>
    <row r="675" spans="2:51" ht="11.25" customHeight="1">
      <c r="C675" s="64" t="s">
        <v>161</v>
      </c>
      <c r="E675" s="47"/>
      <c r="F675" s="47"/>
      <c r="G675" s="47"/>
      <c r="H675" s="47"/>
      <c r="I675" s="47"/>
      <c r="J675" s="47"/>
      <c r="K675" s="47"/>
      <c r="L675" s="47"/>
      <c r="M675" s="47"/>
      <c r="N675" s="47"/>
      <c r="O675" s="47"/>
      <c r="P675" s="47"/>
      <c r="Q675" s="47"/>
      <c r="R675" s="47"/>
      <c r="AK675" s="79"/>
      <c r="AL675" s="28">
        <f t="shared" si="1472"/>
        <v>665.84</v>
      </c>
      <c r="AM675" s="28">
        <f t="shared" si="1472"/>
        <v>627.64</v>
      </c>
      <c r="AN675" s="28">
        <f t="shared" si="1472"/>
        <v>638.82000000000005</v>
      </c>
      <c r="AO675" s="28">
        <f t="shared" si="1472"/>
        <v>668.72</v>
      </c>
      <c r="AP675" s="28">
        <f t="shared" si="1472"/>
        <v>743.85</v>
      </c>
      <c r="AQ675" s="28">
        <f t="shared" si="1472"/>
        <v>752.6400000000001</v>
      </c>
      <c r="AR675" s="28">
        <f t="shared" ref="AR675:AS675" si="1477">AR669*AR$352</f>
        <v>681.48</v>
      </c>
      <c r="AS675" s="28">
        <f t="shared" si="1477"/>
        <v>817.29000000000008</v>
      </c>
      <c r="AT675" s="28">
        <f t="shared" ref="AT675" si="1478">AT669*AT$352</f>
        <v>833.82</v>
      </c>
    </row>
    <row r="676" spans="2:51" ht="11.25" customHeight="1">
      <c r="C676" s="64" t="s">
        <v>162</v>
      </c>
      <c r="E676" s="47"/>
      <c r="F676" s="47"/>
      <c r="G676" s="47"/>
      <c r="H676" s="47"/>
      <c r="I676" s="47"/>
      <c r="J676" s="47"/>
      <c r="K676" s="47"/>
      <c r="L676" s="47"/>
      <c r="M676" s="47"/>
      <c r="N676" s="47"/>
      <c r="O676" s="47"/>
      <c r="P676" s="47"/>
      <c r="Q676" s="47"/>
      <c r="R676" s="47"/>
      <c r="AK676" s="79"/>
      <c r="AL676" s="28">
        <f t="shared" si="1472"/>
        <v>142.68</v>
      </c>
      <c r="AM676" s="28">
        <f t="shared" si="1472"/>
        <v>120.7</v>
      </c>
      <c r="AN676" s="28">
        <f t="shared" si="1472"/>
        <v>122.85000000000001</v>
      </c>
      <c r="AO676" s="28">
        <f t="shared" si="1472"/>
        <v>128.6</v>
      </c>
      <c r="AP676" s="28">
        <f t="shared" si="1472"/>
        <v>137.75</v>
      </c>
      <c r="AQ676" s="28">
        <f t="shared" si="1472"/>
        <v>161.28</v>
      </c>
      <c r="AR676" s="28">
        <f t="shared" ref="AR676:AS676" si="1479">AR670*AR$352</f>
        <v>151.44</v>
      </c>
      <c r="AS676" s="28">
        <f t="shared" si="1479"/>
        <v>151.35</v>
      </c>
      <c r="AT676" s="28">
        <f t="shared" ref="AT676" si="1480">AT670*AT$352</f>
        <v>192.42</v>
      </c>
    </row>
    <row r="677" spans="2:51" ht="11.25" customHeight="1">
      <c r="C677" s="123" t="s">
        <v>168</v>
      </c>
      <c r="E677" s="47"/>
      <c r="F677" s="47"/>
      <c r="G677" s="47"/>
      <c r="H677" s="47"/>
      <c r="I677" s="47"/>
      <c r="J677" s="47"/>
      <c r="K677" s="47"/>
      <c r="L677" s="47"/>
      <c r="M677" s="47"/>
      <c r="N677" s="47"/>
      <c r="O677" s="47"/>
      <c r="P677" s="47"/>
      <c r="Q677" s="47"/>
      <c r="R677" s="47"/>
      <c r="AK677" s="79"/>
      <c r="AL677" s="35">
        <f t="shared" ref="AL677:AQ677" si="1481">+SUM(AL673:AL676)</f>
        <v>2378</v>
      </c>
      <c r="AM677" s="35">
        <f t="shared" si="1481"/>
        <v>2414</v>
      </c>
      <c r="AN677" s="35">
        <f t="shared" si="1481"/>
        <v>2457</v>
      </c>
      <c r="AO677" s="35">
        <f t="shared" si="1481"/>
        <v>2571.9999999999995</v>
      </c>
      <c r="AP677" s="35">
        <f t="shared" si="1481"/>
        <v>2755</v>
      </c>
      <c r="AQ677" s="35">
        <f t="shared" si="1481"/>
        <v>2688.0000000000005</v>
      </c>
      <c r="AR677" s="35">
        <f t="shared" ref="AR677" si="1482">+SUM(AR673:AR676)</f>
        <v>2524.0000000000005</v>
      </c>
      <c r="AS677" s="35">
        <f t="shared" ref="AS677:AT677" si="1483">+SUM(AS673:AS676)</f>
        <v>3027</v>
      </c>
      <c r="AT677" s="35">
        <f t="shared" si="1483"/>
        <v>3207</v>
      </c>
    </row>
    <row r="678" spans="2:51" ht="5.2" customHeight="1">
      <c r="C678" s="25"/>
      <c r="AK678" s="79"/>
    </row>
    <row r="679" spans="2:51" ht="11.25" customHeight="1" outlineLevel="1">
      <c r="C679" s="113" t="s">
        <v>68</v>
      </c>
      <c r="AK679" s="79"/>
      <c r="AL679" s="42">
        <f t="shared" ref="AL679:AT679" si="1484">AL677-AL352</f>
        <v>0</v>
      </c>
      <c r="AM679" s="42">
        <f t="shared" si="1484"/>
        <v>0</v>
      </c>
      <c r="AN679" s="42">
        <f t="shared" si="1484"/>
        <v>0</v>
      </c>
      <c r="AO679" s="42">
        <f t="shared" si="1484"/>
        <v>0</v>
      </c>
      <c r="AP679" s="42">
        <f t="shared" si="1484"/>
        <v>0</v>
      </c>
      <c r="AQ679" s="42">
        <f t="shared" si="1484"/>
        <v>0</v>
      </c>
      <c r="AR679" s="42">
        <f t="shared" si="1484"/>
        <v>0</v>
      </c>
      <c r="AS679" s="42">
        <f t="shared" si="1484"/>
        <v>0</v>
      </c>
      <c r="AT679" s="42">
        <f t="shared" si="1484"/>
        <v>0</v>
      </c>
    </row>
    <row r="680" spans="2:51" ht="5.2" customHeight="1" outlineLevel="1">
      <c r="C680" s="62"/>
      <c r="AK680" s="79"/>
      <c r="AM680" s="42"/>
      <c r="AN680" s="42"/>
      <c r="AO680" s="42"/>
      <c r="AP680" s="42"/>
    </row>
    <row r="681" spans="2:51" ht="11.25" customHeight="1">
      <c r="B681" s="27" t="s">
        <v>14</v>
      </c>
      <c r="C681" s="26" t="str">
        <f>+C432</f>
        <v>Chemical Intermediates</v>
      </c>
      <c r="AK681" s="79"/>
      <c r="AL681" s="63">
        <f t="shared" ref="AL681:AT681" si="1485">(AL417+AL418)/AL11</f>
        <v>0.11481893565655507</v>
      </c>
      <c r="AM681" s="63">
        <f t="shared" si="1485"/>
        <v>0.12260157545605307</v>
      </c>
      <c r="AN681" s="63">
        <f t="shared" si="1485"/>
        <v>0.13637877442273535</v>
      </c>
      <c r="AO681" s="63">
        <f t="shared" si="1485"/>
        <v>0.13198031207456279</v>
      </c>
      <c r="AP681" s="63">
        <f t="shared" si="1485"/>
        <v>0.13841493448921291</v>
      </c>
      <c r="AQ681" s="63">
        <f t="shared" si="1485"/>
        <v>0.1478356518925914</v>
      </c>
      <c r="AR681" s="63">
        <f t="shared" si="1485"/>
        <v>0.14596482945827924</v>
      </c>
      <c r="AS681" s="63">
        <f t="shared" si="1485"/>
        <v>0.14158361970217639</v>
      </c>
      <c r="AT681" s="63">
        <f t="shared" si="1485"/>
        <v>0.14852835538752363</v>
      </c>
    </row>
    <row r="682" spans="2:51" ht="5.2" customHeight="1">
      <c r="C682" s="26"/>
      <c r="AK682" s="79"/>
    </row>
    <row r="683" spans="2:51" s="41" customFormat="1" ht="11.25" customHeight="1" outlineLevel="1">
      <c r="B683" s="37"/>
      <c r="C683" s="113" t="s">
        <v>68</v>
      </c>
      <c r="AK683" s="79"/>
      <c r="AL683" s="42">
        <f t="shared" ref="AL683:AT683" si="1486">+AL500-AL433</f>
        <v>0</v>
      </c>
      <c r="AM683" s="42">
        <f t="shared" si="1486"/>
        <v>0</v>
      </c>
      <c r="AN683" s="42">
        <f t="shared" si="1486"/>
        <v>0</v>
      </c>
      <c r="AO683" s="42">
        <f t="shared" si="1486"/>
        <v>0</v>
      </c>
      <c r="AP683" s="42">
        <f t="shared" si="1486"/>
        <v>0</v>
      </c>
      <c r="AQ683" s="42">
        <f t="shared" si="1486"/>
        <v>0</v>
      </c>
      <c r="AR683" s="42">
        <f t="shared" si="1486"/>
        <v>0</v>
      </c>
      <c r="AS683" s="42">
        <f t="shared" si="1486"/>
        <v>0</v>
      </c>
      <c r="AT683" s="42">
        <f t="shared" si="1486"/>
        <v>0</v>
      </c>
      <c r="AY683" s="1"/>
    </row>
    <row r="684" spans="2:51" s="41" customFormat="1" ht="5.2" customHeight="1" outlineLevel="1">
      <c r="B684" s="37"/>
      <c r="C684" s="55"/>
      <c r="AK684" s="79"/>
      <c r="AM684" s="42"/>
      <c r="AN684" s="42"/>
      <c r="AO684" s="42"/>
      <c r="AP684" s="42"/>
      <c r="AY684" s="1"/>
    </row>
    <row r="685" spans="2:51" s="41" customFormat="1" ht="11.25" customHeight="1">
      <c r="B685" s="37"/>
      <c r="C685" s="26" t="s">
        <v>393</v>
      </c>
      <c r="AK685" s="79"/>
      <c r="AM685" s="1035"/>
      <c r="AN685" s="1035"/>
      <c r="AO685" s="1035"/>
      <c r="AP685" s="1035"/>
      <c r="AQ685" s="1035"/>
      <c r="AR685" s="1035"/>
      <c r="AS685" s="1035"/>
      <c r="AT685" s="1035"/>
      <c r="AY685" s="1"/>
    </row>
    <row r="686" spans="2:51" s="41" customFormat="1" ht="11.25" customHeight="1">
      <c r="B686" s="37"/>
      <c r="C686" s="64" t="s">
        <v>159</v>
      </c>
      <c r="E686" s="48"/>
      <c r="F686" s="48"/>
      <c r="G686" s="48"/>
      <c r="H686" s="48"/>
      <c r="I686" s="48"/>
      <c r="J686" s="48"/>
      <c r="K686" s="48"/>
      <c r="L686" s="48"/>
      <c r="M686" s="48"/>
      <c r="N686" s="48"/>
      <c r="O686" s="48"/>
      <c r="P686" s="48"/>
      <c r="Q686" s="48"/>
      <c r="R686" s="48"/>
      <c r="AK686" s="79"/>
      <c r="AL686" s="66">
        <v>0.72</v>
      </c>
      <c r="AM686" s="66">
        <v>0.69</v>
      </c>
      <c r="AN686" s="66">
        <v>0.69</v>
      </c>
      <c r="AO686" s="66">
        <v>0.68</v>
      </c>
      <c r="AP686" s="66">
        <v>0.64</v>
      </c>
      <c r="AQ686" s="66">
        <v>0.64</v>
      </c>
      <c r="AR686" s="66">
        <v>0.65</v>
      </c>
      <c r="AS686" s="66">
        <v>0.7</v>
      </c>
      <c r="AT686" s="66">
        <v>0.7</v>
      </c>
      <c r="AY686" s="1"/>
    </row>
    <row r="687" spans="2:51" s="41" customFormat="1" ht="11.25" customHeight="1">
      <c r="B687" s="37"/>
      <c r="C687" s="64" t="s">
        <v>160</v>
      </c>
      <c r="E687" s="48"/>
      <c r="F687" s="48"/>
      <c r="G687" s="48"/>
      <c r="H687" s="48"/>
      <c r="I687" s="48"/>
      <c r="J687" s="48"/>
      <c r="K687" s="48"/>
      <c r="L687" s="48"/>
      <c r="M687" s="48"/>
      <c r="N687" s="48"/>
      <c r="O687" s="48"/>
      <c r="P687" s="48"/>
      <c r="Q687" s="48"/>
      <c r="R687" s="48"/>
      <c r="AK687" s="79"/>
      <c r="AL687" s="66">
        <v>0.13</v>
      </c>
      <c r="AM687" s="66">
        <v>0.12</v>
      </c>
      <c r="AN687" s="66">
        <v>0.12</v>
      </c>
      <c r="AO687" s="66">
        <v>0.14000000000000001</v>
      </c>
      <c r="AP687" s="66">
        <v>0.15</v>
      </c>
      <c r="AQ687" s="66">
        <v>0.14000000000000001</v>
      </c>
      <c r="AR687" s="66">
        <v>0.13</v>
      </c>
      <c r="AS687" s="66">
        <v>0.08</v>
      </c>
      <c r="AT687" s="66">
        <v>7.0000000000000007E-2</v>
      </c>
      <c r="AY687" s="1"/>
    </row>
    <row r="688" spans="2:51" s="41" customFormat="1" ht="11.25" customHeight="1">
      <c r="B688" s="37"/>
      <c r="C688" s="64" t="s">
        <v>161</v>
      </c>
      <c r="E688" s="48"/>
      <c r="F688" s="48"/>
      <c r="G688" s="48"/>
      <c r="H688" s="48"/>
      <c r="I688" s="48"/>
      <c r="J688" s="48"/>
      <c r="K688" s="48"/>
      <c r="L688" s="48"/>
      <c r="M688" s="48"/>
      <c r="N688" s="48"/>
      <c r="O688" s="48"/>
      <c r="P688" s="48"/>
      <c r="Q688" s="48"/>
      <c r="R688" s="48"/>
      <c r="AK688" s="79"/>
      <c r="AL688" s="66">
        <v>0.1</v>
      </c>
      <c r="AM688" s="66">
        <v>0.13</v>
      </c>
      <c r="AN688" s="66">
        <v>0.13</v>
      </c>
      <c r="AO688" s="66">
        <v>0.12</v>
      </c>
      <c r="AP688" s="66">
        <v>0.15</v>
      </c>
      <c r="AQ688" s="66">
        <v>0.15</v>
      </c>
      <c r="AR688" s="66">
        <v>0.16</v>
      </c>
      <c r="AS688" s="66">
        <v>0.16</v>
      </c>
      <c r="AT688" s="66">
        <v>0.17</v>
      </c>
      <c r="AY688" s="1"/>
    </row>
    <row r="689" spans="2:51" ht="11.25" customHeight="1">
      <c r="C689" s="64" t="s">
        <v>162</v>
      </c>
      <c r="E689" s="47"/>
      <c r="F689" s="47"/>
      <c r="G689" s="47"/>
      <c r="H689" s="47"/>
      <c r="I689" s="47"/>
      <c r="J689" s="47"/>
      <c r="K689" s="47"/>
      <c r="L689" s="47"/>
      <c r="M689" s="47"/>
      <c r="N689" s="47"/>
      <c r="O689" s="47"/>
      <c r="P689" s="47"/>
      <c r="Q689" s="47"/>
      <c r="R689" s="47"/>
      <c r="AK689" s="79"/>
      <c r="AL689" s="66">
        <v>0.05</v>
      </c>
      <c r="AM689" s="66">
        <v>0.06</v>
      </c>
      <c r="AN689" s="66">
        <v>0.06</v>
      </c>
      <c r="AO689" s="66">
        <v>0.06</v>
      </c>
      <c r="AP689" s="66">
        <v>0.06</v>
      </c>
      <c r="AQ689" s="66">
        <v>7.0000000000000007E-2</v>
      </c>
      <c r="AR689" s="66">
        <v>0.06</v>
      </c>
      <c r="AS689" s="66">
        <v>0.06</v>
      </c>
      <c r="AT689" s="66">
        <v>0.06</v>
      </c>
    </row>
    <row r="690" spans="2:51" ht="11.25" customHeight="1">
      <c r="C690" s="123" t="s">
        <v>168</v>
      </c>
      <c r="E690" s="47"/>
      <c r="F690" s="47"/>
      <c r="G690" s="47"/>
      <c r="H690" s="47"/>
      <c r="I690" s="47"/>
      <c r="J690" s="47"/>
      <c r="K690" s="47"/>
      <c r="L690" s="47"/>
      <c r="M690" s="47"/>
      <c r="N690" s="47"/>
      <c r="O690" s="47"/>
      <c r="P690" s="47"/>
      <c r="Q690" s="47"/>
      <c r="R690" s="47"/>
      <c r="AK690" s="79"/>
      <c r="AL690" s="67">
        <f t="shared" ref="AL690:AQ690" si="1487">+SUM(AL686:AL689)</f>
        <v>1</v>
      </c>
      <c r="AM690" s="67">
        <f t="shared" si="1487"/>
        <v>1</v>
      </c>
      <c r="AN690" s="67">
        <f t="shared" si="1487"/>
        <v>1</v>
      </c>
      <c r="AO690" s="67">
        <f t="shared" si="1487"/>
        <v>1</v>
      </c>
      <c r="AP690" s="67">
        <f t="shared" si="1487"/>
        <v>1</v>
      </c>
      <c r="AQ690" s="67">
        <f t="shared" si="1487"/>
        <v>1</v>
      </c>
      <c r="AR690" s="67">
        <f t="shared" ref="AR690" si="1488">+SUM(AR686:AR689)</f>
        <v>1</v>
      </c>
      <c r="AS690" s="67">
        <f t="shared" ref="AS690:AT690" si="1489">+SUM(AS686:AS689)</f>
        <v>1</v>
      </c>
      <c r="AT690" s="67">
        <f t="shared" si="1489"/>
        <v>1</v>
      </c>
    </row>
    <row r="691" spans="2:51" ht="5.2" customHeight="1">
      <c r="C691" s="25"/>
      <c r="AK691" s="79"/>
    </row>
    <row r="692" spans="2:51" ht="11.25" customHeight="1">
      <c r="C692" s="64" t="s">
        <v>159</v>
      </c>
      <c r="E692" s="47"/>
      <c r="F692" s="47"/>
      <c r="G692" s="47"/>
      <c r="H692" s="47"/>
      <c r="I692" s="47"/>
      <c r="J692" s="47"/>
      <c r="K692" s="47"/>
      <c r="L692" s="47"/>
      <c r="M692" s="47"/>
      <c r="N692" s="47"/>
      <c r="O692" s="47"/>
      <c r="P692" s="47"/>
      <c r="Q692" s="47"/>
      <c r="R692" s="47"/>
      <c r="AK692" s="79"/>
      <c r="AL692" s="28">
        <f t="shared" ref="AL692:AQ692" si="1490">AL686*AL$433</f>
        <v>2184.48</v>
      </c>
      <c r="AM692" s="28">
        <f t="shared" si="1490"/>
        <v>1939.59</v>
      </c>
      <c r="AN692" s="28">
        <f t="shared" si="1490"/>
        <v>1748.4599999999998</v>
      </c>
      <c r="AO692" s="28">
        <f t="shared" si="1490"/>
        <v>1855.0400000000002</v>
      </c>
      <c r="AP692" s="28">
        <f t="shared" si="1490"/>
        <v>1811.8400000000001</v>
      </c>
      <c r="AQ692" s="28">
        <f t="shared" si="1490"/>
        <v>1427.84</v>
      </c>
      <c r="AR692" s="28">
        <f t="shared" ref="AR692:AS692" si="1491">AR686*AR$433</f>
        <v>1197.95</v>
      </c>
      <c r="AS692" s="28">
        <f t="shared" si="1491"/>
        <v>1825.6</v>
      </c>
      <c r="AT692" s="28">
        <f t="shared" ref="AT692" si="1492">AT686*AT$433</f>
        <v>1901.1999999999998</v>
      </c>
    </row>
    <row r="693" spans="2:51" ht="11.25" customHeight="1">
      <c r="C693" s="64" t="s">
        <v>160</v>
      </c>
      <c r="E693" s="47"/>
      <c r="F693" s="47"/>
      <c r="G693" s="47"/>
      <c r="H693" s="47"/>
      <c r="I693" s="47"/>
      <c r="J693" s="47"/>
      <c r="K693" s="47"/>
      <c r="L693" s="47"/>
      <c r="M693" s="47"/>
      <c r="N693" s="47"/>
      <c r="O693" s="47"/>
      <c r="P693" s="47"/>
      <c r="Q693" s="47"/>
      <c r="R693" s="47"/>
      <c r="AK693" s="79"/>
      <c r="AL693" s="28">
        <f>AL687*AL$433</f>
        <v>394.42</v>
      </c>
      <c r="AM693" s="28">
        <f t="shared" ref="AM693:AP695" si="1493">AM687*AM$433</f>
        <v>337.32</v>
      </c>
      <c r="AN693" s="28">
        <f t="shared" si="1493"/>
        <v>304.08</v>
      </c>
      <c r="AO693" s="28">
        <f t="shared" si="1493"/>
        <v>381.92</v>
      </c>
      <c r="AP693" s="28">
        <f t="shared" si="1493"/>
        <v>424.65</v>
      </c>
      <c r="AQ693" s="28">
        <f>AQ687*AQ$433</f>
        <v>312.34000000000003</v>
      </c>
      <c r="AR693" s="28">
        <f t="shared" ref="AR693:AS693" si="1494">AR687*AR$433</f>
        <v>239.59</v>
      </c>
      <c r="AS693" s="28">
        <f t="shared" si="1494"/>
        <v>208.64000000000001</v>
      </c>
      <c r="AT693" s="28">
        <f t="shared" ref="AT693" si="1495">AT687*AT$433</f>
        <v>190.12</v>
      </c>
    </row>
    <row r="694" spans="2:51" ht="11.25" customHeight="1">
      <c r="C694" s="64" t="s">
        <v>161</v>
      </c>
      <c r="E694" s="47"/>
      <c r="F694" s="47"/>
      <c r="G694" s="47"/>
      <c r="H694" s="47"/>
      <c r="I694" s="47"/>
      <c r="J694" s="47"/>
      <c r="K694" s="47"/>
      <c r="L694" s="47"/>
      <c r="M694" s="47"/>
      <c r="N694" s="47"/>
      <c r="O694" s="47"/>
      <c r="P694" s="47"/>
      <c r="Q694" s="47"/>
      <c r="R694" s="47"/>
      <c r="AK694" s="79"/>
      <c r="AL694" s="28">
        <f>AL688*AL$433</f>
        <v>303.40000000000003</v>
      </c>
      <c r="AM694" s="28">
        <f t="shared" si="1493"/>
        <v>365.43</v>
      </c>
      <c r="AN694" s="28">
        <f t="shared" si="1493"/>
        <v>329.42</v>
      </c>
      <c r="AO694" s="28">
        <f t="shared" si="1493"/>
        <v>327.36</v>
      </c>
      <c r="AP694" s="28">
        <f t="shared" si="1493"/>
        <v>424.65</v>
      </c>
      <c r="AQ694" s="28">
        <f>AQ688*AQ$433</f>
        <v>334.65</v>
      </c>
      <c r="AR694" s="28">
        <f t="shared" ref="AR694:AS694" si="1496">AR688*AR$433</f>
        <v>294.88</v>
      </c>
      <c r="AS694" s="28">
        <f t="shared" si="1496"/>
        <v>417.28000000000003</v>
      </c>
      <c r="AT694" s="28">
        <f t="shared" ref="AT694" si="1497">AT688*AT$433</f>
        <v>461.72</v>
      </c>
    </row>
    <row r="695" spans="2:51" ht="11.25" customHeight="1">
      <c r="C695" s="64" t="s">
        <v>162</v>
      </c>
      <c r="E695" s="47"/>
      <c r="F695" s="47"/>
      <c r="G695" s="47"/>
      <c r="H695" s="47"/>
      <c r="I695" s="47"/>
      <c r="J695" s="47"/>
      <c r="K695" s="47"/>
      <c r="L695" s="47"/>
      <c r="M695" s="47"/>
      <c r="N695" s="47"/>
      <c r="O695" s="47"/>
      <c r="P695" s="47"/>
      <c r="Q695" s="47"/>
      <c r="R695" s="47"/>
      <c r="AK695" s="79"/>
      <c r="AL695" s="28">
        <f>AL689*AL$433</f>
        <v>151.70000000000002</v>
      </c>
      <c r="AM695" s="28">
        <f t="shared" si="1493"/>
        <v>168.66</v>
      </c>
      <c r="AN695" s="28">
        <f t="shared" si="1493"/>
        <v>152.04</v>
      </c>
      <c r="AO695" s="28">
        <f t="shared" si="1493"/>
        <v>163.68</v>
      </c>
      <c r="AP695" s="28">
        <f t="shared" si="1493"/>
        <v>169.85999999999999</v>
      </c>
      <c r="AQ695" s="28">
        <f>AQ689*AQ$433</f>
        <v>156.17000000000002</v>
      </c>
      <c r="AR695" s="28">
        <f t="shared" ref="AR695:AS695" si="1498">AR689*AR$433</f>
        <v>110.58</v>
      </c>
      <c r="AS695" s="28">
        <f t="shared" si="1498"/>
        <v>156.47999999999999</v>
      </c>
      <c r="AT695" s="28">
        <f t="shared" ref="AT695" si="1499">AT689*AT$433</f>
        <v>162.96</v>
      </c>
    </row>
    <row r="696" spans="2:51" ht="11.25" customHeight="1">
      <c r="C696" s="123" t="s">
        <v>168</v>
      </c>
      <c r="AK696" s="79"/>
      <c r="AL696" s="35">
        <f t="shared" ref="AL696:AQ696" si="1500">SUM(AL692:AL695)</f>
        <v>3034</v>
      </c>
      <c r="AM696" s="35">
        <f t="shared" si="1500"/>
        <v>2810.9999999999995</v>
      </c>
      <c r="AN696" s="35">
        <f t="shared" si="1500"/>
        <v>2534</v>
      </c>
      <c r="AO696" s="35">
        <f t="shared" si="1500"/>
        <v>2728</v>
      </c>
      <c r="AP696" s="35">
        <f t="shared" si="1500"/>
        <v>2831.0000000000005</v>
      </c>
      <c r="AQ696" s="35">
        <f t="shared" si="1500"/>
        <v>2231</v>
      </c>
      <c r="AR696" s="35">
        <f t="shared" ref="AR696" si="1501">SUM(AR692:AR695)</f>
        <v>1843</v>
      </c>
      <c r="AS696" s="35">
        <f t="shared" ref="AS696:AT696" si="1502">SUM(AS692:AS695)</f>
        <v>2608</v>
      </c>
      <c r="AT696" s="35">
        <f t="shared" si="1502"/>
        <v>2716</v>
      </c>
    </row>
    <row r="697" spans="2:51" ht="5.2" customHeight="1">
      <c r="C697" s="25"/>
      <c r="AK697" s="79"/>
    </row>
    <row r="698" spans="2:51" ht="11.25" customHeight="1" outlineLevel="1">
      <c r="C698" s="113" t="s">
        <v>68</v>
      </c>
      <c r="AK698" s="79"/>
      <c r="AL698" s="42">
        <f t="shared" ref="AL698:AQ698" si="1503">AL696-AL$433</f>
        <v>0</v>
      </c>
      <c r="AM698" s="42">
        <f t="shared" si="1503"/>
        <v>0</v>
      </c>
      <c r="AN698" s="42">
        <f t="shared" si="1503"/>
        <v>0</v>
      </c>
      <c r="AO698" s="42">
        <f t="shared" si="1503"/>
        <v>0</v>
      </c>
      <c r="AP698" s="42">
        <f t="shared" si="1503"/>
        <v>0</v>
      </c>
      <c r="AQ698" s="42">
        <f t="shared" si="1503"/>
        <v>0</v>
      </c>
      <c r="AR698" s="42">
        <f t="shared" ref="AR698:AS698" si="1504">AR696-AR$433</f>
        <v>0</v>
      </c>
      <c r="AS698" s="42">
        <f t="shared" si="1504"/>
        <v>0</v>
      </c>
      <c r="AT698" s="42">
        <f t="shared" ref="AT698" si="1505">AT696-AT$433</f>
        <v>0</v>
      </c>
    </row>
    <row r="699" spans="2:51" ht="5.2" customHeight="1" outlineLevel="1">
      <c r="C699" s="55"/>
      <c r="AK699" s="79"/>
      <c r="AL699" s="42"/>
      <c r="AM699" s="42"/>
      <c r="AN699" s="42"/>
      <c r="AO699" s="42"/>
      <c r="AP699" s="42"/>
    </row>
    <row r="700" spans="2:51" ht="11.25" customHeight="1">
      <c r="B700" s="27" t="s">
        <v>14</v>
      </c>
      <c r="C700" s="26" t="str">
        <f>+C512</f>
        <v>Fiber</v>
      </c>
      <c r="AK700" s="79"/>
    </row>
    <row r="701" spans="2:51" ht="5.2" customHeight="1">
      <c r="C701" s="26"/>
      <c r="AK701" s="79"/>
    </row>
    <row r="702" spans="2:51" s="41" customFormat="1" ht="11.25" customHeight="1" outlineLevel="1">
      <c r="B702" s="37"/>
      <c r="C702" s="113" t="s">
        <v>68</v>
      </c>
      <c r="AK702" s="79"/>
      <c r="AL702" s="42">
        <f t="shared" ref="AL702:AT702" si="1506">+AL579-AL513</f>
        <v>0</v>
      </c>
      <c r="AM702" s="42">
        <f t="shared" si="1506"/>
        <v>0</v>
      </c>
      <c r="AN702" s="42">
        <f t="shared" si="1506"/>
        <v>0</v>
      </c>
      <c r="AO702" s="42">
        <f t="shared" si="1506"/>
        <v>0</v>
      </c>
      <c r="AP702" s="42">
        <f t="shared" si="1506"/>
        <v>0</v>
      </c>
      <c r="AQ702" s="42">
        <f t="shared" si="1506"/>
        <v>0</v>
      </c>
      <c r="AR702" s="42">
        <f t="shared" si="1506"/>
        <v>0</v>
      </c>
      <c r="AS702" s="42">
        <f t="shared" si="1506"/>
        <v>0</v>
      </c>
      <c r="AT702" s="42">
        <f t="shared" si="1506"/>
        <v>0</v>
      </c>
      <c r="AY702" s="1"/>
    </row>
    <row r="703" spans="2:51" s="41" customFormat="1" ht="5.2" customHeight="1" outlineLevel="1">
      <c r="B703" s="37"/>
      <c r="C703" s="55"/>
      <c r="AK703" s="79"/>
      <c r="AM703" s="42"/>
      <c r="AN703" s="42"/>
      <c r="AO703" s="42"/>
      <c r="AP703" s="42"/>
      <c r="AY703" s="1"/>
    </row>
    <row r="704" spans="2:51" s="41" customFormat="1" ht="11.25" customHeight="1">
      <c r="B704" s="37"/>
      <c r="C704" s="26" t="s">
        <v>393</v>
      </c>
      <c r="AK704" s="79"/>
      <c r="AM704" s="42"/>
      <c r="AN704" s="42"/>
      <c r="AO704" s="42"/>
      <c r="AP704" s="42"/>
      <c r="AY704" s="1"/>
    </row>
    <row r="705" spans="2:79" s="41" customFormat="1" ht="11.25" customHeight="1">
      <c r="B705" s="37"/>
      <c r="C705" s="64" t="s">
        <v>159</v>
      </c>
      <c r="E705" s="48"/>
      <c r="F705" s="48"/>
      <c r="G705" s="48"/>
      <c r="H705" s="48"/>
      <c r="I705" s="48"/>
      <c r="J705" s="48"/>
      <c r="K705" s="48"/>
      <c r="L705" s="48"/>
      <c r="M705" s="48"/>
      <c r="N705" s="48"/>
      <c r="O705" s="48"/>
      <c r="P705" s="48"/>
      <c r="Q705" s="48"/>
      <c r="R705" s="48"/>
      <c r="AK705" s="79"/>
      <c r="AL705" s="66">
        <v>0.19</v>
      </c>
      <c r="AM705" s="66">
        <v>0.21</v>
      </c>
      <c r="AN705" s="66">
        <v>0.21</v>
      </c>
      <c r="AO705" s="66">
        <v>0.22</v>
      </c>
      <c r="AP705" s="66">
        <v>0.26</v>
      </c>
      <c r="AQ705" s="66">
        <v>0.25</v>
      </c>
      <c r="AR705" s="66">
        <v>0.26</v>
      </c>
      <c r="AS705" s="66">
        <v>0.25</v>
      </c>
      <c r="AT705" s="66">
        <v>0.25</v>
      </c>
      <c r="AY705" s="1"/>
    </row>
    <row r="706" spans="2:79" s="41" customFormat="1" ht="11.25" customHeight="1">
      <c r="B706" s="37"/>
      <c r="C706" s="64" t="s">
        <v>160</v>
      </c>
      <c r="E706" s="48"/>
      <c r="F706" s="48"/>
      <c r="G706" s="48"/>
      <c r="H706" s="48"/>
      <c r="I706" s="48"/>
      <c r="J706" s="48"/>
      <c r="K706" s="48"/>
      <c r="L706" s="48"/>
      <c r="M706" s="48"/>
      <c r="N706" s="48"/>
      <c r="O706" s="48"/>
      <c r="P706" s="48"/>
      <c r="Q706" s="48"/>
      <c r="R706" s="48"/>
      <c r="AK706" s="79"/>
      <c r="AL706" s="66">
        <v>0.53</v>
      </c>
      <c r="AM706" s="66">
        <v>0.49</v>
      </c>
      <c r="AN706" s="66">
        <v>0.44</v>
      </c>
      <c r="AO706" s="66">
        <v>0.37</v>
      </c>
      <c r="AP706" s="66">
        <v>0.33</v>
      </c>
      <c r="AQ706" s="66">
        <v>0.32</v>
      </c>
      <c r="AR706" s="66">
        <v>0.32</v>
      </c>
      <c r="AS706" s="66">
        <v>0.35</v>
      </c>
      <c r="AT706" s="66">
        <v>0.35</v>
      </c>
      <c r="AY706" s="1"/>
    </row>
    <row r="707" spans="2:79" s="41" customFormat="1" ht="11.25" customHeight="1">
      <c r="B707" s="37"/>
      <c r="C707" s="64" t="s">
        <v>161</v>
      </c>
      <c r="E707" s="48"/>
      <c r="F707" s="48"/>
      <c r="G707" s="48"/>
      <c r="H707" s="48"/>
      <c r="I707" s="48"/>
      <c r="J707" s="48"/>
      <c r="K707" s="48"/>
      <c r="L707" s="48"/>
      <c r="M707" s="48"/>
      <c r="N707" s="48"/>
      <c r="O707" s="48"/>
      <c r="P707" s="48"/>
      <c r="Q707" s="48"/>
      <c r="R707" s="48"/>
      <c r="AK707" s="79"/>
      <c r="AL707" s="66">
        <v>0.24</v>
      </c>
      <c r="AM707" s="66">
        <v>0.26</v>
      </c>
      <c r="AN707" s="66">
        <v>0.28999999999999998</v>
      </c>
      <c r="AO707" s="66">
        <v>0.37</v>
      </c>
      <c r="AP707" s="66">
        <v>0.37</v>
      </c>
      <c r="AQ707" s="66">
        <v>0.39</v>
      </c>
      <c r="AR707" s="66">
        <v>0.39</v>
      </c>
      <c r="AS707" s="66">
        <v>0.37</v>
      </c>
      <c r="AT707" s="66">
        <v>0.37</v>
      </c>
      <c r="AY707" s="1"/>
    </row>
    <row r="708" spans="2:79" s="41" customFormat="1" ht="11.25" customHeight="1">
      <c r="B708" s="37"/>
      <c r="C708" s="64" t="s">
        <v>162</v>
      </c>
      <c r="E708" s="48"/>
      <c r="F708" s="48"/>
      <c r="G708" s="48"/>
      <c r="H708" s="48"/>
      <c r="I708" s="48"/>
      <c r="J708" s="48"/>
      <c r="K708" s="48"/>
      <c r="L708" s="48"/>
      <c r="M708" s="48"/>
      <c r="N708" s="48"/>
      <c r="O708" s="48"/>
      <c r="P708" s="48"/>
      <c r="Q708" s="48"/>
      <c r="R708" s="48"/>
      <c r="AK708" s="79"/>
      <c r="AL708" s="66">
        <v>0.04</v>
      </c>
      <c r="AM708" s="66">
        <v>0.04</v>
      </c>
      <c r="AN708" s="66">
        <v>0.06</v>
      </c>
      <c r="AO708" s="66">
        <v>0.04</v>
      </c>
      <c r="AP708" s="66">
        <v>0.04</v>
      </c>
      <c r="AQ708" s="66">
        <v>0.04</v>
      </c>
      <c r="AR708" s="66">
        <v>0.03</v>
      </c>
      <c r="AS708" s="66">
        <v>0.03</v>
      </c>
      <c r="AT708" s="66">
        <v>0.03</v>
      </c>
      <c r="AY708" s="1"/>
    </row>
    <row r="709" spans="2:79" s="41" customFormat="1" ht="11.25" customHeight="1">
      <c r="B709" s="37"/>
      <c r="C709" s="123" t="s">
        <v>168</v>
      </c>
      <c r="E709" s="48"/>
      <c r="F709" s="48"/>
      <c r="G709" s="48"/>
      <c r="H709" s="48"/>
      <c r="I709" s="48"/>
      <c r="J709" s="48"/>
      <c r="K709" s="48"/>
      <c r="L709" s="48"/>
      <c r="M709" s="48"/>
      <c r="N709" s="48"/>
      <c r="O709" s="48"/>
      <c r="P709" s="48"/>
      <c r="Q709" s="48"/>
      <c r="R709" s="48"/>
      <c r="AK709" s="79"/>
      <c r="AL709" s="125">
        <f t="shared" ref="AL709:AQ709" si="1507">SUM(AL705:AL708)</f>
        <v>1</v>
      </c>
      <c r="AM709" s="125">
        <f t="shared" si="1507"/>
        <v>1</v>
      </c>
      <c r="AN709" s="125">
        <f t="shared" si="1507"/>
        <v>1</v>
      </c>
      <c r="AO709" s="125">
        <f t="shared" si="1507"/>
        <v>1</v>
      </c>
      <c r="AP709" s="125">
        <f t="shared" si="1507"/>
        <v>1</v>
      </c>
      <c r="AQ709" s="125">
        <f t="shared" si="1507"/>
        <v>1</v>
      </c>
      <c r="AR709" s="125">
        <f t="shared" ref="AR709" si="1508">SUM(AR705:AR708)</f>
        <v>1</v>
      </c>
      <c r="AS709" s="125">
        <f t="shared" ref="AS709:AT709" si="1509">SUM(AS705:AS708)</f>
        <v>1</v>
      </c>
      <c r="AT709" s="125">
        <f t="shared" si="1509"/>
        <v>1</v>
      </c>
      <c r="AY709" s="1"/>
    </row>
    <row r="710" spans="2:79" s="41" customFormat="1" ht="5.2" customHeight="1">
      <c r="B710" s="37"/>
      <c r="C710" s="123"/>
      <c r="E710" s="48"/>
      <c r="F710" s="48"/>
      <c r="G710" s="48"/>
      <c r="H710" s="48"/>
      <c r="I710" s="48"/>
      <c r="J710" s="48"/>
      <c r="K710" s="48"/>
      <c r="L710" s="48"/>
      <c r="M710" s="48"/>
      <c r="N710" s="48"/>
      <c r="O710" s="48"/>
      <c r="P710" s="48"/>
      <c r="Q710" s="48"/>
      <c r="R710" s="48"/>
      <c r="AK710" s="79"/>
      <c r="AM710" s="126"/>
      <c r="AN710" s="126"/>
      <c r="AO710" s="126"/>
      <c r="AP710" s="126"/>
      <c r="AQ710" s="126"/>
      <c r="AR710" s="126"/>
      <c r="AS710" s="126"/>
      <c r="AT710" s="126"/>
      <c r="AY710" s="1"/>
    </row>
    <row r="711" spans="2:79" s="41" customFormat="1" ht="11.25" customHeight="1">
      <c r="B711" s="37"/>
      <c r="C711" s="64" t="s">
        <v>159</v>
      </c>
      <c r="E711" s="48"/>
      <c r="F711" s="48"/>
      <c r="G711" s="48"/>
      <c r="H711" s="48"/>
      <c r="I711" s="48"/>
      <c r="J711" s="48"/>
      <c r="K711" s="48"/>
      <c r="L711" s="48"/>
      <c r="M711" s="48"/>
      <c r="N711" s="48"/>
      <c r="O711" s="48"/>
      <c r="P711" s="48"/>
      <c r="Q711" s="48"/>
      <c r="R711" s="48"/>
      <c r="AK711" s="79"/>
      <c r="AL711" s="28">
        <f t="shared" ref="AL711:AQ714" si="1510">AL705*AL$513</f>
        <v>276.83</v>
      </c>
      <c r="AM711" s="28">
        <f t="shared" si="1510"/>
        <v>255.98999999999998</v>
      </c>
      <c r="AN711" s="28">
        <f t="shared" si="1510"/>
        <v>208.32</v>
      </c>
      <c r="AO711" s="28">
        <f t="shared" si="1510"/>
        <v>187.44</v>
      </c>
      <c r="AP711" s="28">
        <f t="shared" si="1510"/>
        <v>238.68</v>
      </c>
      <c r="AQ711" s="28">
        <f t="shared" si="1510"/>
        <v>217.25</v>
      </c>
      <c r="AR711" s="28">
        <f t="shared" ref="AR711:AS711" si="1511">AR705*AR$513</f>
        <v>217.62</v>
      </c>
      <c r="AS711" s="28">
        <f t="shared" si="1511"/>
        <v>225</v>
      </c>
      <c r="AT711" s="28">
        <f t="shared" ref="AT711" si="1512">AT705*AT$513</f>
        <v>255.5</v>
      </c>
      <c r="AY711" s="1"/>
    </row>
    <row r="712" spans="2:79" s="41" customFormat="1" ht="11.25" customHeight="1">
      <c r="B712" s="37"/>
      <c r="C712" s="64" t="s">
        <v>160</v>
      </c>
      <c r="E712" s="48"/>
      <c r="F712" s="48"/>
      <c r="G712" s="48"/>
      <c r="H712" s="48"/>
      <c r="I712" s="48"/>
      <c r="J712" s="48"/>
      <c r="K712" s="48"/>
      <c r="L712" s="48"/>
      <c r="M712" s="48"/>
      <c r="N712" s="48"/>
      <c r="O712" s="48"/>
      <c r="P712" s="48"/>
      <c r="Q712" s="48"/>
      <c r="R712" s="48"/>
      <c r="AK712" s="79"/>
      <c r="AL712" s="28">
        <f t="shared" si="1510"/>
        <v>772.21</v>
      </c>
      <c r="AM712" s="28">
        <f t="shared" si="1510"/>
        <v>597.30999999999995</v>
      </c>
      <c r="AN712" s="28">
        <f t="shared" si="1510"/>
        <v>436.48</v>
      </c>
      <c r="AO712" s="28">
        <f t="shared" si="1510"/>
        <v>315.24</v>
      </c>
      <c r="AP712" s="28">
        <f t="shared" si="1510"/>
        <v>302.94</v>
      </c>
      <c r="AQ712" s="28">
        <f t="shared" si="1510"/>
        <v>278.08</v>
      </c>
      <c r="AR712" s="28">
        <f t="shared" ref="AR712:AS712" si="1513">AR706*AR$513</f>
        <v>267.84000000000003</v>
      </c>
      <c r="AS712" s="28">
        <f t="shared" si="1513"/>
        <v>315</v>
      </c>
      <c r="AT712" s="28">
        <f t="shared" ref="AT712" si="1514">AT706*AT$513</f>
        <v>357.7</v>
      </c>
      <c r="AY712" s="1"/>
    </row>
    <row r="713" spans="2:79" s="41" customFormat="1" ht="11.25" customHeight="1">
      <c r="B713" s="37"/>
      <c r="C713" s="64" t="s">
        <v>161</v>
      </c>
      <c r="E713" s="48"/>
      <c r="F713" s="48"/>
      <c r="G713" s="48"/>
      <c r="H713" s="48"/>
      <c r="I713" s="48"/>
      <c r="J713" s="48"/>
      <c r="K713" s="48"/>
      <c r="L713" s="48"/>
      <c r="M713" s="48"/>
      <c r="N713" s="48"/>
      <c r="O713" s="48"/>
      <c r="P713" s="48"/>
      <c r="Q713" s="48"/>
      <c r="R713" s="48"/>
      <c r="AK713" s="79"/>
      <c r="AL713" s="28">
        <f t="shared" si="1510"/>
        <v>349.68</v>
      </c>
      <c r="AM713" s="28">
        <f t="shared" si="1510"/>
        <v>316.94</v>
      </c>
      <c r="AN713" s="28">
        <f t="shared" si="1510"/>
        <v>287.68</v>
      </c>
      <c r="AO713" s="28">
        <f t="shared" si="1510"/>
        <v>315.24</v>
      </c>
      <c r="AP713" s="28">
        <f t="shared" si="1510"/>
        <v>339.65999999999997</v>
      </c>
      <c r="AQ713" s="28">
        <f t="shared" si="1510"/>
        <v>338.91</v>
      </c>
      <c r="AR713" s="28">
        <f t="shared" ref="AR713:AS713" si="1515">AR707*AR$513</f>
        <v>326.43</v>
      </c>
      <c r="AS713" s="28">
        <f t="shared" si="1515"/>
        <v>333</v>
      </c>
      <c r="AT713" s="28">
        <f t="shared" ref="AT713" si="1516">AT707*AT$513</f>
        <v>378.14</v>
      </c>
      <c r="AY713" s="1"/>
    </row>
    <row r="714" spans="2:79" s="41" customFormat="1" ht="11.25" customHeight="1">
      <c r="B714" s="37"/>
      <c r="C714" s="64" t="s">
        <v>162</v>
      </c>
      <c r="AK714" s="79"/>
      <c r="AL714" s="28">
        <f t="shared" si="1510"/>
        <v>58.28</v>
      </c>
      <c r="AM714" s="28">
        <f t="shared" si="1510"/>
        <v>48.76</v>
      </c>
      <c r="AN714" s="28">
        <f t="shared" si="1510"/>
        <v>59.519999999999996</v>
      </c>
      <c r="AO714" s="28">
        <f t="shared" si="1510"/>
        <v>34.08</v>
      </c>
      <c r="AP714" s="28">
        <f t="shared" si="1510"/>
        <v>36.72</v>
      </c>
      <c r="AQ714" s="28">
        <f t="shared" si="1510"/>
        <v>34.76</v>
      </c>
      <c r="AR714" s="28">
        <f t="shared" ref="AR714:AS714" si="1517">AR708*AR$513</f>
        <v>25.11</v>
      </c>
      <c r="AS714" s="28">
        <f t="shared" si="1517"/>
        <v>27</v>
      </c>
      <c r="AT714" s="28">
        <f t="shared" ref="AT714" si="1518">AT708*AT$513</f>
        <v>30.66</v>
      </c>
      <c r="AY714" s="1"/>
    </row>
    <row r="715" spans="2:79" s="41" customFormat="1" ht="11.25" customHeight="1">
      <c r="B715" s="37"/>
      <c r="C715" s="123" t="s">
        <v>168</v>
      </c>
      <c r="AK715" s="79"/>
      <c r="AL715" s="32">
        <f t="shared" ref="AL715:AQ715" si="1519">SUM(AL711:AL714)</f>
        <v>1457</v>
      </c>
      <c r="AM715" s="32">
        <f t="shared" si="1519"/>
        <v>1219</v>
      </c>
      <c r="AN715" s="32">
        <f t="shared" si="1519"/>
        <v>992</v>
      </c>
      <c r="AO715" s="32">
        <f t="shared" si="1519"/>
        <v>852.00000000000011</v>
      </c>
      <c r="AP715" s="32">
        <f t="shared" si="1519"/>
        <v>918</v>
      </c>
      <c r="AQ715" s="32">
        <f t="shared" si="1519"/>
        <v>869</v>
      </c>
      <c r="AR715" s="32">
        <f t="shared" ref="AR715" si="1520">SUM(AR711:AR714)</f>
        <v>837.00000000000011</v>
      </c>
      <c r="AS715" s="32">
        <f t="shared" ref="AS715:AT715" si="1521">SUM(AS711:AS714)</f>
        <v>900</v>
      </c>
      <c r="AT715" s="32">
        <f t="shared" si="1521"/>
        <v>1022</v>
      </c>
      <c r="AY715" s="1"/>
    </row>
    <row r="716" spans="2:79" s="41" customFormat="1" ht="5.2" customHeight="1">
      <c r="B716" s="37"/>
      <c r="C716" s="419"/>
      <c r="AK716" s="79"/>
      <c r="AM716" s="31"/>
      <c r="AN716" s="31"/>
      <c r="AO716" s="31"/>
      <c r="AP716" s="31"/>
      <c r="AQ716" s="31"/>
      <c r="AR716" s="31"/>
      <c r="AS716" s="31"/>
      <c r="AT716" s="31"/>
      <c r="AY716" s="1"/>
    </row>
    <row r="717" spans="2:79" s="41" customFormat="1" ht="11.25" customHeight="1" outlineLevel="1">
      <c r="B717" s="37"/>
      <c r="C717" s="113" t="s">
        <v>68</v>
      </c>
      <c r="AK717" s="79"/>
      <c r="AL717" s="42">
        <f t="shared" ref="AL717:AQ717" si="1522">AL715-AL$513</f>
        <v>0</v>
      </c>
      <c r="AM717" s="42">
        <f t="shared" si="1522"/>
        <v>0</v>
      </c>
      <c r="AN717" s="42">
        <f t="shared" si="1522"/>
        <v>0</v>
      </c>
      <c r="AO717" s="42">
        <f t="shared" si="1522"/>
        <v>0</v>
      </c>
      <c r="AP717" s="42">
        <f t="shared" si="1522"/>
        <v>0</v>
      </c>
      <c r="AQ717" s="42">
        <f t="shared" si="1522"/>
        <v>0</v>
      </c>
      <c r="AR717" s="42">
        <f t="shared" ref="AR717:AS717" si="1523">AR715-AR$513</f>
        <v>0</v>
      </c>
      <c r="AS717" s="42">
        <f t="shared" si="1523"/>
        <v>0</v>
      </c>
      <c r="AT717" s="42">
        <f t="shared" ref="AT717" si="1524">AT715-AT$513</f>
        <v>0</v>
      </c>
      <c r="AY717" s="1"/>
    </row>
    <row r="718" spans="2:79" ht="5.2" customHeight="1" outlineLevel="1">
      <c r="AK718" s="79"/>
    </row>
    <row r="719" spans="2:79" s="5" customFormat="1" ht="10.5">
      <c r="B719" s="687" t="s">
        <v>14</v>
      </c>
      <c r="C719" s="20" t="s">
        <v>158</v>
      </c>
      <c r="D719" s="20"/>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79"/>
      <c r="AL719" s="19"/>
      <c r="AM719" s="19"/>
      <c r="AN719" s="19"/>
      <c r="AO719" s="19"/>
      <c r="AP719" s="19"/>
      <c r="AQ719" s="19"/>
      <c r="AR719" s="19"/>
      <c r="AS719" s="19"/>
      <c r="AT719" s="19"/>
      <c r="AU719" s="19"/>
      <c r="AV719" s="19"/>
      <c r="AW719" s="19"/>
      <c r="AX719" s="19"/>
      <c r="AY719" s="1"/>
      <c r="AZ719" s="19"/>
      <c r="BA719" s="19"/>
      <c r="BB719" s="19"/>
      <c r="BC719" s="19"/>
      <c r="BD719" s="19"/>
      <c r="BE719" s="19"/>
      <c r="BF719" s="19"/>
      <c r="BG719" s="19"/>
      <c r="BH719" s="19"/>
      <c r="BI719" s="19"/>
      <c r="BJ719" s="19"/>
      <c r="BK719" s="19"/>
      <c r="BL719" s="19"/>
      <c r="BM719" s="19"/>
      <c r="BY719" s="829"/>
      <c r="BZ719" s="829"/>
      <c r="CA719" s="829"/>
    </row>
    <row r="720" spans="2:79" ht="11.25" customHeight="1">
      <c r="I720" s="63"/>
      <c r="J720" s="63"/>
      <c r="K720" s="63"/>
      <c r="L720" s="63"/>
      <c r="M720" s="63"/>
      <c r="N720" s="63"/>
      <c r="O720" s="63"/>
      <c r="P720" s="63"/>
      <c r="Q720" s="63"/>
      <c r="R720" s="63"/>
      <c r="AK720" s="79"/>
    </row>
    <row r="721" spans="2:79" ht="11.25" customHeight="1">
      <c r="C721" s="43" t="s">
        <v>159</v>
      </c>
      <c r="E721" s="29">
        <v>1006</v>
      </c>
      <c r="F721" s="29">
        <v>1030</v>
      </c>
      <c r="G721" s="29">
        <v>1028</v>
      </c>
      <c r="H721" s="29">
        <v>961</v>
      </c>
      <c r="I721" s="29">
        <v>1066</v>
      </c>
      <c r="J721" s="29">
        <v>1088</v>
      </c>
      <c r="K721" s="29">
        <v>1057</v>
      </c>
      <c r="L721" s="29">
        <v>978</v>
      </c>
      <c r="M721" s="29">
        <v>1100</v>
      </c>
      <c r="N721" s="29">
        <v>1108</v>
      </c>
      <c r="O721" s="29">
        <v>1083</v>
      </c>
      <c r="P721" s="29">
        <v>1012</v>
      </c>
      <c r="Q721" s="29">
        <v>1000</v>
      </c>
      <c r="R721" s="29">
        <v>995</v>
      </c>
      <c r="S721" s="29">
        <v>966</v>
      </c>
      <c r="T721" s="29">
        <v>924</v>
      </c>
      <c r="U721" s="29">
        <v>980</v>
      </c>
      <c r="V721" s="29">
        <v>786</v>
      </c>
      <c r="W721" s="29">
        <v>894</v>
      </c>
      <c r="X721" s="29">
        <v>919</v>
      </c>
      <c r="Y721" s="29">
        <v>1004</v>
      </c>
      <c r="Z721" s="29">
        <v>1197</v>
      </c>
      <c r="AA721" s="29">
        <v>1197</v>
      </c>
      <c r="AB721" s="29">
        <v>1180</v>
      </c>
      <c r="AC721" s="29">
        <v>1198</v>
      </c>
      <c r="AD721" s="29">
        <v>1304</v>
      </c>
      <c r="AE721" s="29">
        <v>1202</v>
      </c>
      <c r="AF721" s="29">
        <v>1034</v>
      </c>
      <c r="AG721" s="29">
        <v>1065</v>
      </c>
      <c r="AH721" s="47"/>
      <c r="AI721" s="47"/>
      <c r="AJ721" s="47"/>
      <c r="AK721" s="79"/>
      <c r="AL721" s="29">
        <v>4384</v>
      </c>
      <c r="AM721" s="29">
        <v>4350</v>
      </c>
      <c r="AN721" s="33">
        <f>SUMIF($E$6:$AK$6,AN$6,$E721:$AK721)</f>
        <v>4025</v>
      </c>
      <c r="AO721" s="33">
        <f t="shared" ref="AO721:AT721" si="1525">SUMIF($E$6:$AK$6,AO$6,$E721:$AK721)</f>
        <v>4189</v>
      </c>
      <c r="AP721" s="33">
        <f t="shared" si="1525"/>
        <v>4303</v>
      </c>
      <c r="AQ721" s="33">
        <f t="shared" si="1525"/>
        <v>3885</v>
      </c>
      <c r="AR721" s="33">
        <f t="shared" si="1525"/>
        <v>3579</v>
      </c>
      <c r="AS721" s="33">
        <f t="shared" si="1525"/>
        <v>4578</v>
      </c>
      <c r="AT721" s="33">
        <f t="shared" si="1525"/>
        <v>4738</v>
      </c>
      <c r="AU721" s="47"/>
      <c r="AV721" s="47"/>
      <c r="AW721" s="47"/>
      <c r="AX721" s="47"/>
    </row>
    <row r="722" spans="2:79" ht="11.25" customHeight="1">
      <c r="C722" s="43" t="s">
        <v>160</v>
      </c>
      <c r="E722" s="29">
        <v>495</v>
      </c>
      <c r="F722" s="29">
        <v>530</v>
      </c>
      <c r="G722" s="29">
        <v>576</v>
      </c>
      <c r="H722" s="29">
        <v>562</v>
      </c>
      <c r="I722" s="29">
        <v>512</v>
      </c>
      <c r="J722" s="29">
        <v>581</v>
      </c>
      <c r="K722" s="29">
        <v>612</v>
      </c>
      <c r="L722" s="29">
        <v>601</v>
      </c>
      <c r="M722" s="29">
        <v>642</v>
      </c>
      <c r="N722" s="29">
        <v>639</v>
      </c>
      <c r="O722" s="29">
        <v>665</v>
      </c>
      <c r="P722" s="29">
        <v>558</v>
      </c>
      <c r="Q722" s="29">
        <v>553</v>
      </c>
      <c r="R722" s="29">
        <v>574</v>
      </c>
      <c r="S722" s="29">
        <v>602</v>
      </c>
      <c r="T722" s="29">
        <v>549</v>
      </c>
      <c r="U722" s="29">
        <v>495</v>
      </c>
      <c r="V722" s="29">
        <v>523</v>
      </c>
      <c r="W722" s="29">
        <v>547</v>
      </c>
      <c r="X722" s="29">
        <v>586</v>
      </c>
      <c r="Y722" s="29">
        <v>656</v>
      </c>
      <c r="Z722" s="29">
        <v>611</v>
      </c>
      <c r="AA722" s="29">
        <v>658</v>
      </c>
      <c r="AB722" s="29">
        <v>693</v>
      </c>
      <c r="AC722" s="29">
        <v>745</v>
      </c>
      <c r="AD722" s="29">
        <v>681</v>
      </c>
      <c r="AE722" s="29">
        <v>680</v>
      </c>
      <c r="AF722" s="29">
        <v>677</v>
      </c>
      <c r="AG722" s="29">
        <v>709</v>
      </c>
      <c r="AH722" s="47"/>
      <c r="AI722" s="47"/>
      <c r="AJ722" s="47"/>
      <c r="AK722" s="79"/>
      <c r="AL722" s="29">
        <v>2540</v>
      </c>
      <c r="AM722" s="29">
        <v>2333</v>
      </c>
      <c r="AN722" s="33">
        <f t="shared" ref="AN722:AT724" si="1526">SUMIF($E$6:$AK$6,AN$6,$E722:$AK722)</f>
        <v>2163</v>
      </c>
      <c r="AO722" s="33">
        <f t="shared" si="1526"/>
        <v>2306</v>
      </c>
      <c r="AP722" s="33">
        <f t="shared" si="1526"/>
        <v>2504</v>
      </c>
      <c r="AQ722" s="33">
        <f t="shared" si="1526"/>
        <v>2278</v>
      </c>
      <c r="AR722" s="33">
        <f t="shared" si="1526"/>
        <v>2151</v>
      </c>
      <c r="AS722" s="33">
        <f t="shared" si="1526"/>
        <v>2618</v>
      </c>
      <c r="AT722" s="33">
        <f t="shared" si="1526"/>
        <v>2783</v>
      </c>
      <c r="AU722" s="47"/>
      <c r="AV722" s="47"/>
      <c r="AW722" s="47"/>
      <c r="AX722" s="47"/>
    </row>
    <row r="723" spans="2:79" ht="11.25" customHeight="1">
      <c r="C723" s="43" t="s">
        <v>161</v>
      </c>
      <c r="E723" s="29">
        <v>612</v>
      </c>
      <c r="F723" s="29">
        <v>603</v>
      </c>
      <c r="G723" s="29">
        <v>545</v>
      </c>
      <c r="H723" s="29">
        <v>545</v>
      </c>
      <c r="I723" s="29">
        <v>600</v>
      </c>
      <c r="J723" s="29">
        <v>624</v>
      </c>
      <c r="K723" s="29">
        <v>658</v>
      </c>
      <c r="L723" s="29">
        <v>657</v>
      </c>
      <c r="M723" s="29">
        <v>727</v>
      </c>
      <c r="N723" s="29">
        <v>725</v>
      </c>
      <c r="O723" s="29">
        <v>649</v>
      </c>
      <c r="P723" s="29">
        <v>655</v>
      </c>
      <c r="Q723" s="29">
        <v>689</v>
      </c>
      <c r="R723" s="29">
        <v>649</v>
      </c>
      <c r="S723" s="29">
        <v>611</v>
      </c>
      <c r="T723" s="29">
        <v>595</v>
      </c>
      <c r="U723" s="29">
        <v>631</v>
      </c>
      <c r="V723" s="29">
        <v>526</v>
      </c>
      <c r="W723" s="29">
        <v>556</v>
      </c>
      <c r="X723" s="29">
        <v>546</v>
      </c>
      <c r="Y723" s="29">
        <v>608</v>
      </c>
      <c r="Z723" s="29">
        <v>688</v>
      </c>
      <c r="AA723" s="29">
        <v>698</v>
      </c>
      <c r="AB723" s="29">
        <v>672</v>
      </c>
      <c r="AC723" s="29">
        <v>612</v>
      </c>
      <c r="AD723" s="29">
        <v>638</v>
      </c>
      <c r="AE723" s="29">
        <v>662</v>
      </c>
      <c r="AF723" s="29">
        <v>531</v>
      </c>
      <c r="AG723" s="29">
        <v>521</v>
      </c>
      <c r="AH723" s="47"/>
      <c r="AI723" s="47"/>
      <c r="AJ723" s="47"/>
      <c r="AK723" s="79"/>
      <c r="AL723" s="29">
        <v>2091</v>
      </c>
      <c r="AM723" s="29">
        <v>2422</v>
      </c>
      <c r="AN723" s="33">
        <f t="shared" si="1526"/>
        <v>2305</v>
      </c>
      <c r="AO723" s="33">
        <f t="shared" si="1526"/>
        <v>2539</v>
      </c>
      <c r="AP723" s="33">
        <f t="shared" si="1526"/>
        <v>2756</v>
      </c>
      <c r="AQ723" s="33">
        <f t="shared" si="1526"/>
        <v>2544</v>
      </c>
      <c r="AR723" s="33">
        <f t="shared" si="1526"/>
        <v>2259</v>
      </c>
      <c r="AS723" s="33">
        <f t="shared" si="1526"/>
        <v>2666</v>
      </c>
      <c r="AT723" s="33">
        <f t="shared" si="1526"/>
        <v>2443</v>
      </c>
      <c r="AU723" s="47"/>
      <c r="AV723" s="47"/>
      <c r="AW723" s="47"/>
      <c r="AX723" s="47"/>
    </row>
    <row r="724" spans="2:79" ht="11.25" customHeight="1">
      <c r="C724" s="43" t="s">
        <v>162</v>
      </c>
      <c r="E724" s="29">
        <v>123</v>
      </c>
      <c r="F724" s="29">
        <v>134</v>
      </c>
      <c r="G724" s="29">
        <v>138</v>
      </c>
      <c r="H724" s="29">
        <v>120</v>
      </c>
      <c r="I724" s="29">
        <v>125</v>
      </c>
      <c r="J724" s="29">
        <v>126</v>
      </c>
      <c r="K724" s="29">
        <v>138</v>
      </c>
      <c r="L724" s="29">
        <v>126</v>
      </c>
      <c r="M724" s="29">
        <v>138</v>
      </c>
      <c r="N724" s="29">
        <v>149</v>
      </c>
      <c r="O724" s="29">
        <v>150</v>
      </c>
      <c r="P724" s="29">
        <v>151</v>
      </c>
      <c r="Q724" s="29">
        <v>138</v>
      </c>
      <c r="R724" s="29">
        <v>145</v>
      </c>
      <c r="S724" s="29">
        <v>146</v>
      </c>
      <c r="T724" s="29">
        <v>137</v>
      </c>
      <c r="U724" s="29">
        <v>135</v>
      </c>
      <c r="V724" s="29">
        <v>89</v>
      </c>
      <c r="W724" s="29">
        <v>125</v>
      </c>
      <c r="X724" s="29">
        <v>135</v>
      </c>
      <c r="Y724" s="29">
        <v>141</v>
      </c>
      <c r="Z724" s="29">
        <v>157</v>
      </c>
      <c r="AA724" s="29">
        <v>167</v>
      </c>
      <c r="AB724" s="29">
        <v>149</v>
      </c>
      <c r="AC724" s="29">
        <v>159</v>
      </c>
      <c r="AD724" s="29">
        <v>161</v>
      </c>
      <c r="AE724" s="29">
        <v>165</v>
      </c>
      <c r="AF724" s="29">
        <v>131</v>
      </c>
      <c r="AG724" s="29">
        <v>117</v>
      </c>
      <c r="AH724" s="47"/>
      <c r="AI724" s="47"/>
      <c r="AJ724" s="47"/>
      <c r="AK724" s="79"/>
      <c r="AL724" s="29">
        <v>512</v>
      </c>
      <c r="AM724" s="29">
        <v>543</v>
      </c>
      <c r="AN724" s="33">
        <f t="shared" si="1526"/>
        <v>515</v>
      </c>
      <c r="AO724" s="33">
        <f t="shared" si="1526"/>
        <v>515</v>
      </c>
      <c r="AP724" s="33">
        <f t="shared" si="1526"/>
        <v>588</v>
      </c>
      <c r="AQ724" s="33">
        <f t="shared" si="1526"/>
        <v>566</v>
      </c>
      <c r="AR724" s="33">
        <f t="shared" si="1526"/>
        <v>484</v>
      </c>
      <c r="AS724" s="33">
        <f t="shared" si="1526"/>
        <v>614</v>
      </c>
      <c r="AT724" s="33">
        <f t="shared" si="1526"/>
        <v>616</v>
      </c>
      <c r="AU724" s="47"/>
      <c r="AV724" s="47"/>
      <c r="AW724" s="47"/>
      <c r="AX724" s="47"/>
    </row>
    <row r="725" spans="2:79" s="27" customFormat="1" ht="11.25" customHeight="1">
      <c r="C725" s="45" t="s">
        <v>109</v>
      </c>
      <c r="E725" s="35">
        <f t="shared" ref="E725:N725" si="1527">+SUM(E721:E724)</f>
        <v>2236</v>
      </c>
      <c r="F725" s="35">
        <f t="shared" si="1527"/>
        <v>2297</v>
      </c>
      <c r="G725" s="35">
        <f t="shared" si="1527"/>
        <v>2287</v>
      </c>
      <c r="H725" s="35">
        <f t="shared" si="1527"/>
        <v>2188</v>
      </c>
      <c r="I725" s="35">
        <f t="shared" si="1527"/>
        <v>2303</v>
      </c>
      <c r="J725" s="35">
        <f t="shared" si="1527"/>
        <v>2419</v>
      </c>
      <c r="K725" s="35">
        <f t="shared" si="1527"/>
        <v>2465</v>
      </c>
      <c r="L725" s="35">
        <f t="shared" si="1527"/>
        <v>2362</v>
      </c>
      <c r="M725" s="35">
        <f t="shared" si="1527"/>
        <v>2607</v>
      </c>
      <c r="N725" s="35">
        <f t="shared" si="1527"/>
        <v>2621</v>
      </c>
      <c r="O725" s="35">
        <f t="shared" ref="O725:T725" si="1528">+SUM(O721:O724)</f>
        <v>2547</v>
      </c>
      <c r="P725" s="35">
        <f t="shared" si="1528"/>
        <v>2376</v>
      </c>
      <c r="Q725" s="35">
        <f t="shared" si="1528"/>
        <v>2380</v>
      </c>
      <c r="R725" s="35">
        <f t="shared" si="1528"/>
        <v>2363</v>
      </c>
      <c r="S725" s="35">
        <f t="shared" si="1528"/>
        <v>2325</v>
      </c>
      <c r="T725" s="35">
        <f t="shared" si="1528"/>
        <v>2205</v>
      </c>
      <c r="U725" s="35">
        <f t="shared" ref="U725:AC725" si="1529">+SUM(U721:U724)</f>
        <v>2241</v>
      </c>
      <c r="V725" s="35">
        <f t="shared" si="1529"/>
        <v>1924</v>
      </c>
      <c r="W725" s="35">
        <f t="shared" si="1529"/>
        <v>2122</v>
      </c>
      <c r="X725" s="35">
        <f t="shared" si="1529"/>
        <v>2186</v>
      </c>
      <c r="Y725" s="35">
        <f t="shared" si="1529"/>
        <v>2409</v>
      </c>
      <c r="Z725" s="35">
        <f t="shared" si="1529"/>
        <v>2653</v>
      </c>
      <c r="AA725" s="35">
        <f t="shared" si="1529"/>
        <v>2720</v>
      </c>
      <c r="AB725" s="35">
        <f t="shared" si="1529"/>
        <v>2694</v>
      </c>
      <c r="AC725" s="35">
        <f t="shared" si="1529"/>
        <v>2714</v>
      </c>
      <c r="AD725" s="35">
        <f t="shared" ref="AD725:AF725" si="1530">+SUM(AD721:AD724)</f>
        <v>2784</v>
      </c>
      <c r="AE725" s="35">
        <f t="shared" si="1530"/>
        <v>2709</v>
      </c>
      <c r="AF725" s="35">
        <f t="shared" si="1530"/>
        <v>2373</v>
      </c>
      <c r="AG725" s="35">
        <f t="shared" ref="AG725" si="1531">+SUM(AG721:AG724)</f>
        <v>2412</v>
      </c>
      <c r="AH725" s="61"/>
      <c r="AI725" s="61"/>
      <c r="AJ725" s="61"/>
      <c r="AK725" s="79"/>
      <c r="AL725" s="35">
        <f t="shared" ref="AL725:AP725" si="1532">+SUM(AL721:AL724)</f>
        <v>9527</v>
      </c>
      <c r="AM725" s="35">
        <f t="shared" si="1532"/>
        <v>9648</v>
      </c>
      <c r="AN725" s="35">
        <f t="shared" si="1532"/>
        <v>9008</v>
      </c>
      <c r="AO725" s="35">
        <f t="shared" si="1532"/>
        <v>9549</v>
      </c>
      <c r="AP725" s="35">
        <f t="shared" si="1532"/>
        <v>10151</v>
      </c>
      <c r="AQ725" s="35">
        <f>+SUM(AQ721:AQ724)</f>
        <v>9273</v>
      </c>
      <c r="AR725" s="35">
        <f>+SUM(AR721:AR724)</f>
        <v>8473</v>
      </c>
      <c r="AS725" s="35">
        <f>+SUM(AS721:AS724)</f>
        <v>10476</v>
      </c>
      <c r="AT725" s="35">
        <f>+SUM(AT721:AT724)</f>
        <v>10580</v>
      </c>
      <c r="AU725" s="47"/>
      <c r="AV725" s="61"/>
      <c r="AW725" s="61"/>
      <c r="AX725" s="61"/>
      <c r="AY725" s="1"/>
    </row>
    <row r="726" spans="2:79" s="27" customFormat="1" ht="5.2" customHeight="1">
      <c r="C726" s="26"/>
      <c r="E726" s="30"/>
      <c r="F726" s="30"/>
      <c r="G726" s="30"/>
      <c r="H726" s="30"/>
      <c r="I726" s="30"/>
      <c r="J726" s="30"/>
      <c r="K726" s="30"/>
      <c r="L726" s="30"/>
      <c r="M726" s="30"/>
      <c r="N726" s="30"/>
      <c r="O726" s="30"/>
      <c r="P726" s="30"/>
      <c r="AK726" s="79"/>
      <c r="AL726" s="30"/>
      <c r="AM726" s="30"/>
      <c r="AN726" s="30"/>
      <c r="AO726" s="30"/>
      <c r="AP726" s="30"/>
      <c r="AQ726" s="30"/>
      <c r="AR726" s="30"/>
      <c r="AS726" s="30"/>
      <c r="AT726" s="30"/>
      <c r="AU726" s="30"/>
      <c r="AY726" s="1"/>
    </row>
    <row r="727" spans="2:79" s="41" customFormat="1" ht="11.25" customHeight="1" outlineLevel="1">
      <c r="B727" s="37"/>
      <c r="C727" s="113" t="s">
        <v>68</v>
      </c>
      <c r="E727" s="42">
        <f t="shared" ref="E727:AG727" si="1533">+E725-E11</f>
        <v>0</v>
      </c>
      <c r="F727" s="42">
        <f t="shared" si="1533"/>
        <v>0</v>
      </c>
      <c r="G727" s="42">
        <f t="shared" si="1533"/>
        <v>0</v>
      </c>
      <c r="H727" s="42">
        <f t="shared" si="1533"/>
        <v>0</v>
      </c>
      <c r="I727" s="42">
        <f t="shared" si="1533"/>
        <v>0</v>
      </c>
      <c r="J727" s="42">
        <f t="shared" si="1533"/>
        <v>0</v>
      </c>
      <c r="K727" s="42">
        <f t="shared" si="1533"/>
        <v>0</v>
      </c>
      <c r="L727" s="42">
        <f t="shared" si="1533"/>
        <v>0</v>
      </c>
      <c r="M727" s="42">
        <f t="shared" si="1533"/>
        <v>0</v>
      </c>
      <c r="N727" s="42">
        <f t="shared" si="1533"/>
        <v>0</v>
      </c>
      <c r="O727" s="42">
        <f t="shared" si="1533"/>
        <v>0</v>
      </c>
      <c r="P727" s="42">
        <f t="shared" si="1533"/>
        <v>0</v>
      </c>
      <c r="Q727" s="42">
        <f t="shared" si="1533"/>
        <v>0</v>
      </c>
      <c r="R727" s="42">
        <f t="shared" si="1533"/>
        <v>0</v>
      </c>
      <c r="S727" s="42">
        <f t="shared" si="1533"/>
        <v>0</v>
      </c>
      <c r="T727" s="42">
        <f t="shared" si="1533"/>
        <v>0</v>
      </c>
      <c r="U727" s="42">
        <f t="shared" si="1533"/>
        <v>0</v>
      </c>
      <c r="V727" s="42">
        <f t="shared" si="1533"/>
        <v>0</v>
      </c>
      <c r="W727" s="42">
        <f t="shared" si="1533"/>
        <v>0</v>
      </c>
      <c r="X727" s="42">
        <f t="shared" si="1533"/>
        <v>0</v>
      </c>
      <c r="Y727" s="42">
        <f t="shared" si="1533"/>
        <v>0</v>
      </c>
      <c r="Z727" s="42">
        <f t="shared" si="1533"/>
        <v>0</v>
      </c>
      <c r="AA727" s="42">
        <f t="shared" si="1533"/>
        <v>0</v>
      </c>
      <c r="AB727" s="42">
        <f t="shared" si="1533"/>
        <v>0</v>
      </c>
      <c r="AC727" s="42">
        <f t="shared" si="1533"/>
        <v>0</v>
      </c>
      <c r="AD727" s="42">
        <f t="shared" si="1533"/>
        <v>0</v>
      </c>
      <c r="AE727" s="42">
        <f t="shared" si="1533"/>
        <v>0</v>
      </c>
      <c r="AF727" s="42">
        <f t="shared" si="1533"/>
        <v>0</v>
      </c>
      <c r="AG727" s="42">
        <f t="shared" si="1533"/>
        <v>0</v>
      </c>
      <c r="AK727" s="79"/>
      <c r="AL727" s="42">
        <f t="shared" ref="AL727:AT727" si="1534">+AL725-AL11</f>
        <v>0</v>
      </c>
      <c r="AM727" s="42">
        <f t="shared" si="1534"/>
        <v>0</v>
      </c>
      <c r="AN727" s="42">
        <f t="shared" si="1534"/>
        <v>0</v>
      </c>
      <c r="AO727" s="42">
        <f t="shared" si="1534"/>
        <v>0</v>
      </c>
      <c r="AP727" s="42">
        <f t="shared" si="1534"/>
        <v>0</v>
      </c>
      <c r="AQ727" s="42">
        <f t="shared" si="1534"/>
        <v>0</v>
      </c>
      <c r="AR727" s="42">
        <f t="shared" si="1534"/>
        <v>0</v>
      </c>
      <c r="AS727" s="42">
        <f t="shared" si="1534"/>
        <v>0</v>
      </c>
      <c r="AT727" s="42">
        <f t="shared" si="1534"/>
        <v>0</v>
      </c>
      <c r="AU727" s="42"/>
      <c r="AY727" s="1"/>
    </row>
    <row r="728" spans="2:79" ht="5.2" customHeight="1" outlineLevel="1">
      <c r="AK728" s="79"/>
    </row>
    <row r="729" spans="2:79" ht="11.25" customHeight="1" outlineLevel="1">
      <c r="C729" s="36" t="s">
        <v>688</v>
      </c>
      <c r="AK729" s="79"/>
    </row>
    <row r="730" spans="2:79" ht="11.25" customHeight="1">
      <c r="C730" s="43" t="s">
        <v>159</v>
      </c>
      <c r="E730" s="63">
        <f>E721/E$725</f>
        <v>0.44991055456171736</v>
      </c>
      <c r="F730" s="63">
        <f t="shared" ref="F730:R730" si="1535">F721/F$725</f>
        <v>0.44841097083151937</v>
      </c>
      <c r="G730" s="63">
        <f t="shared" si="1535"/>
        <v>0.44949715784871008</v>
      </c>
      <c r="H730" s="63">
        <f t="shared" si="1535"/>
        <v>0.43921389396709326</v>
      </c>
      <c r="I730" s="63">
        <f t="shared" si="1535"/>
        <v>0.46287451150673037</v>
      </c>
      <c r="J730" s="63">
        <f t="shared" si="1535"/>
        <v>0.44977263331955353</v>
      </c>
      <c r="K730" s="63">
        <f t="shared" si="1535"/>
        <v>0.42880324543610548</v>
      </c>
      <c r="L730" s="63">
        <f t="shared" si="1535"/>
        <v>0.41405588484335309</v>
      </c>
      <c r="M730" s="63">
        <f t="shared" si="1535"/>
        <v>0.4219409282700422</v>
      </c>
      <c r="N730" s="63">
        <f t="shared" si="1535"/>
        <v>0.42273941243800078</v>
      </c>
      <c r="O730" s="63">
        <f t="shared" si="1535"/>
        <v>0.42520612485276799</v>
      </c>
      <c r="P730" s="63">
        <f t="shared" si="1535"/>
        <v>0.42592592592592593</v>
      </c>
      <c r="Q730" s="63">
        <f t="shared" si="1535"/>
        <v>0.42016806722689076</v>
      </c>
      <c r="R730" s="63">
        <f t="shared" si="1535"/>
        <v>0.42107490478205672</v>
      </c>
      <c r="S730" s="63">
        <f t="shared" ref="S730:T733" si="1536">S721/S$725</f>
        <v>0.41548387096774192</v>
      </c>
      <c r="T730" s="63">
        <f t="shared" si="1536"/>
        <v>0.41904761904761906</v>
      </c>
      <c r="U730" s="63">
        <f t="shared" ref="U730:AC730" si="1537">U721/U$725</f>
        <v>0.43730477465417222</v>
      </c>
      <c r="V730" s="63">
        <f t="shared" si="1537"/>
        <v>0.40852390852390852</v>
      </c>
      <c r="W730" s="63">
        <f t="shared" si="1537"/>
        <v>0.42130065975494818</v>
      </c>
      <c r="X730" s="63">
        <f t="shared" si="1537"/>
        <v>0.4204025617566331</v>
      </c>
      <c r="Y730" s="63">
        <f t="shared" si="1537"/>
        <v>0.41677044416770442</v>
      </c>
      <c r="Z730" s="63">
        <f t="shared" si="1537"/>
        <v>0.45118733509234826</v>
      </c>
      <c r="AA730" s="63">
        <f t="shared" si="1537"/>
        <v>0.4400735294117647</v>
      </c>
      <c r="AB730" s="63">
        <f t="shared" si="1537"/>
        <v>0.43801039346696363</v>
      </c>
      <c r="AC730" s="63">
        <f t="shared" si="1537"/>
        <v>0.44141488577745025</v>
      </c>
      <c r="AD730" s="63">
        <f t="shared" ref="AD730:AF730" si="1538">AD721/AD$725</f>
        <v>0.46839080459770116</v>
      </c>
      <c r="AE730" s="63">
        <f t="shared" si="1538"/>
        <v>0.44370616463639717</v>
      </c>
      <c r="AF730" s="63">
        <f t="shared" si="1538"/>
        <v>0.43573535608933839</v>
      </c>
      <c r="AG730" s="63">
        <f t="shared" ref="AG730" si="1539">AG721/AG$725</f>
        <v>0.44154228855721395</v>
      </c>
      <c r="AH730" s="47"/>
      <c r="AI730" s="47"/>
      <c r="AJ730" s="47"/>
      <c r="AK730" s="79"/>
      <c r="AL730" s="63">
        <f t="shared" ref="AL730:AQ733" si="1540">AL721/AL$725</f>
        <v>0.46016584444211189</v>
      </c>
      <c r="AM730" s="63">
        <f t="shared" si="1540"/>
        <v>0.45087064676616917</v>
      </c>
      <c r="AN730" s="63">
        <f t="shared" si="1540"/>
        <v>0.44682504440497334</v>
      </c>
      <c r="AO730" s="63">
        <f t="shared" si="1540"/>
        <v>0.43868467902398156</v>
      </c>
      <c r="AP730" s="63">
        <f t="shared" si="1540"/>
        <v>0.42389912323908974</v>
      </c>
      <c r="AQ730" s="63">
        <f t="shared" si="1540"/>
        <v>0.41895826593335489</v>
      </c>
      <c r="AR730" s="63">
        <f t="shared" ref="AR730:AS733" si="1541">AR721/AR$725</f>
        <v>0.42240056650537</v>
      </c>
      <c r="AS730" s="63">
        <f t="shared" si="1541"/>
        <v>0.43699885452462772</v>
      </c>
      <c r="AT730" s="63">
        <f t="shared" ref="AT730" si="1542">AT721/AT$725</f>
        <v>0.44782608695652176</v>
      </c>
      <c r="AU730" s="47"/>
      <c r="AV730" s="47"/>
      <c r="AW730" s="47"/>
      <c r="AX730" s="47"/>
    </row>
    <row r="731" spans="2:79" ht="11.25" customHeight="1">
      <c r="C731" s="43" t="s">
        <v>160</v>
      </c>
      <c r="E731" s="63">
        <f>E722/E$725</f>
        <v>0.22137745974955278</v>
      </c>
      <c r="F731" s="63">
        <f t="shared" ref="F731:R731" si="1543">F722/F$725</f>
        <v>0.23073574227252938</v>
      </c>
      <c r="G731" s="63">
        <f t="shared" si="1543"/>
        <v>0.25185832968954963</v>
      </c>
      <c r="H731" s="63">
        <f t="shared" si="1543"/>
        <v>0.25685557586837293</v>
      </c>
      <c r="I731" s="63">
        <f t="shared" si="1543"/>
        <v>0.22231871471993053</v>
      </c>
      <c r="J731" s="63">
        <f t="shared" si="1543"/>
        <v>0.24018189334435716</v>
      </c>
      <c r="K731" s="63">
        <f t="shared" si="1543"/>
        <v>0.24827586206896551</v>
      </c>
      <c r="L731" s="63">
        <f t="shared" si="1543"/>
        <v>0.25444538526672311</v>
      </c>
      <c r="M731" s="63">
        <f t="shared" si="1543"/>
        <v>0.24626006904487918</v>
      </c>
      <c r="N731" s="63">
        <f t="shared" si="1543"/>
        <v>0.24380007630675316</v>
      </c>
      <c r="O731" s="63">
        <f t="shared" si="1543"/>
        <v>0.26109148017275224</v>
      </c>
      <c r="P731" s="63">
        <f t="shared" si="1543"/>
        <v>0.23484848484848486</v>
      </c>
      <c r="Q731" s="63">
        <f t="shared" si="1543"/>
        <v>0.2323529411764706</v>
      </c>
      <c r="R731" s="63">
        <f t="shared" si="1543"/>
        <v>0.24291155311045282</v>
      </c>
      <c r="S731" s="63">
        <f t="shared" si="1536"/>
        <v>0.25892473118279569</v>
      </c>
      <c r="T731" s="63">
        <f t="shared" si="1536"/>
        <v>0.24897959183673468</v>
      </c>
      <c r="U731" s="63">
        <f t="shared" ref="U731:AC731" si="1544">U722/U$725</f>
        <v>0.22088353413654618</v>
      </c>
      <c r="V731" s="63">
        <f t="shared" si="1544"/>
        <v>0.2718295218295218</v>
      </c>
      <c r="W731" s="63">
        <f t="shared" si="1544"/>
        <v>0.2577756833176249</v>
      </c>
      <c r="X731" s="63">
        <f t="shared" si="1544"/>
        <v>0.26806953339432754</v>
      </c>
      <c r="Y731" s="63">
        <f t="shared" si="1544"/>
        <v>0.27231216272312164</v>
      </c>
      <c r="Z731" s="63">
        <f t="shared" si="1544"/>
        <v>0.23030531473803242</v>
      </c>
      <c r="AA731" s="63">
        <f t="shared" si="1544"/>
        <v>0.24191176470588235</v>
      </c>
      <c r="AB731" s="63">
        <f t="shared" si="1544"/>
        <v>0.25723830734966591</v>
      </c>
      <c r="AC731" s="63">
        <f t="shared" si="1544"/>
        <v>0.27450257921886512</v>
      </c>
      <c r="AD731" s="63">
        <f t="shared" ref="AD731:AF731" si="1545">AD722/AD$725</f>
        <v>0.24461206896551724</v>
      </c>
      <c r="AE731" s="63">
        <f t="shared" si="1545"/>
        <v>0.25101513473606496</v>
      </c>
      <c r="AF731" s="63">
        <f t="shared" si="1545"/>
        <v>0.28529287821323218</v>
      </c>
      <c r="AG731" s="63">
        <f t="shared" ref="AG731" si="1546">AG722/AG$725</f>
        <v>0.29394693200663352</v>
      </c>
      <c r="AH731" s="47"/>
      <c r="AI731" s="47"/>
      <c r="AJ731" s="47"/>
      <c r="AK731" s="79"/>
      <c r="AL731" s="63">
        <f t="shared" si="1540"/>
        <v>0.26661068542038419</v>
      </c>
      <c r="AM731" s="63">
        <f t="shared" si="1540"/>
        <v>0.24181177446102819</v>
      </c>
      <c r="AN731" s="63">
        <f t="shared" si="1540"/>
        <v>0.24011989342806395</v>
      </c>
      <c r="AO731" s="63">
        <f t="shared" si="1540"/>
        <v>0.24149125562886167</v>
      </c>
      <c r="AP731" s="63">
        <f t="shared" si="1540"/>
        <v>0.2466752044133583</v>
      </c>
      <c r="AQ731" s="63">
        <f t="shared" si="1540"/>
        <v>0.24565944138897874</v>
      </c>
      <c r="AR731" s="63">
        <f t="shared" si="1541"/>
        <v>0.25386521893072111</v>
      </c>
      <c r="AS731" s="63">
        <f t="shared" si="1541"/>
        <v>0.24990454371897672</v>
      </c>
      <c r="AT731" s="63">
        <f t="shared" ref="AT731" si="1547">AT722/AT$725</f>
        <v>0.26304347826086955</v>
      </c>
      <c r="AU731" s="47"/>
      <c r="AV731" s="47"/>
      <c r="AW731" s="47"/>
      <c r="AX731" s="47"/>
    </row>
    <row r="732" spans="2:79" ht="11.25" customHeight="1">
      <c r="C732" s="43" t="s">
        <v>161</v>
      </c>
      <c r="E732" s="63">
        <f>E723/E$725</f>
        <v>0.27370304114490163</v>
      </c>
      <c r="F732" s="63">
        <f t="shared" ref="F732:R732" si="1548">F723/F$725</f>
        <v>0.26251632564214195</v>
      </c>
      <c r="G732" s="63">
        <f t="shared" si="1548"/>
        <v>0.23830345430695235</v>
      </c>
      <c r="H732" s="63">
        <f t="shared" si="1548"/>
        <v>0.24908592321755027</v>
      </c>
      <c r="I732" s="63">
        <f t="shared" si="1548"/>
        <v>0.26052974381241856</v>
      </c>
      <c r="J732" s="63">
        <f t="shared" si="1548"/>
        <v>0.25795783381562631</v>
      </c>
      <c r="K732" s="63">
        <f t="shared" si="1548"/>
        <v>0.26693711967545641</v>
      </c>
      <c r="L732" s="63">
        <f t="shared" si="1548"/>
        <v>0.27815410668924639</v>
      </c>
      <c r="M732" s="63">
        <f t="shared" si="1548"/>
        <v>0.27886459532029151</v>
      </c>
      <c r="N732" s="63">
        <f t="shared" si="1548"/>
        <v>0.27661198016024419</v>
      </c>
      <c r="O732" s="63">
        <f t="shared" si="1548"/>
        <v>0.25480957989791914</v>
      </c>
      <c r="P732" s="63">
        <f t="shared" si="1548"/>
        <v>0.27567340067340068</v>
      </c>
      <c r="Q732" s="63">
        <f t="shared" si="1548"/>
        <v>0.28949579831932776</v>
      </c>
      <c r="R732" s="63">
        <f t="shared" si="1548"/>
        <v>0.27465086754126111</v>
      </c>
      <c r="S732" s="63">
        <f t="shared" si="1536"/>
        <v>0.2627956989247312</v>
      </c>
      <c r="T732" s="63">
        <f t="shared" si="1536"/>
        <v>0.26984126984126983</v>
      </c>
      <c r="U732" s="63">
        <f t="shared" ref="U732:AC732" si="1549">U723/U$725</f>
        <v>0.28157072735385991</v>
      </c>
      <c r="V732" s="63">
        <f t="shared" si="1549"/>
        <v>0.27338877338877338</v>
      </c>
      <c r="W732" s="63">
        <f t="shared" si="1549"/>
        <v>0.26201696512723843</v>
      </c>
      <c r="X732" s="63">
        <f t="shared" si="1549"/>
        <v>0.24977127172918573</v>
      </c>
      <c r="Y732" s="63">
        <f t="shared" si="1549"/>
        <v>0.25238688252386882</v>
      </c>
      <c r="Z732" s="63">
        <f t="shared" si="1549"/>
        <v>0.25932906143987938</v>
      </c>
      <c r="AA732" s="63">
        <f t="shared" si="1549"/>
        <v>0.25661764705882351</v>
      </c>
      <c r="AB732" s="63">
        <f t="shared" si="1549"/>
        <v>0.24944320712694878</v>
      </c>
      <c r="AC732" s="63">
        <f t="shared" si="1549"/>
        <v>0.22549742078113486</v>
      </c>
      <c r="AD732" s="63">
        <f t="shared" ref="AD732:AF732" si="1550">AD723/AD$725</f>
        <v>0.22916666666666666</v>
      </c>
      <c r="AE732" s="63">
        <f t="shared" si="1550"/>
        <v>0.24437061646363972</v>
      </c>
      <c r="AF732" s="63">
        <f t="shared" si="1550"/>
        <v>0.22376738305941846</v>
      </c>
      <c r="AG732" s="63">
        <f t="shared" ref="AG732" si="1551">AG723/AG$725</f>
        <v>0.21600331674958539</v>
      </c>
      <c r="AH732" s="47"/>
      <c r="AI732" s="47"/>
      <c r="AJ732" s="47"/>
      <c r="AK732" s="79"/>
      <c r="AL732" s="63">
        <f t="shared" si="1540"/>
        <v>0.21948147370630838</v>
      </c>
      <c r="AM732" s="63">
        <f t="shared" si="1540"/>
        <v>0.25103648424543945</v>
      </c>
      <c r="AN732" s="63">
        <f t="shared" si="1540"/>
        <v>0.25588365896980464</v>
      </c>
      <c r="AO732" s="63">
        <f t="shared" si="1540"/>
        <v>0.26589171641009529</v>
      </c>
      <c r="AP732" s="63">
        <f t="shared" si="1540"/>
        <v>0.2715003447936164</v>
      </c>
      <c r="AQ732" s="63">
        <f t="shared" si="1540"/>
        <v>0.27434487220964088</v>
      </c>
      <c r="AR732" s="63">
        <f t="shared" si="1541"/>
        <v>0.26661158975569454</v>
      </c>
      <c r="AS732" s="63">
        <f t="shared" si="1541"/>
        <v>0.25448644520809471</v>
      </c>
      <c r="AT732" s="63">
        <f t="shared" ref="AT732" si="1552">AT723/AT$725</f>
        <v>0.23090737240075615</v>
      </c>
      <c r="AU732" s="47"/>
      <c r="AV732" s="47"/>
      <c r="AW732" s="47"/>
      <c r="AX732" s="47"/>
    </row>
    <row r="733" spans="2:79" ht="11.25" customHeight="1">
      <c r="C733" s="43" t="s">
        <v>162</v>
      </c>
      <c r="E733" s="63">
        <f>E724/E$725</f>
        <v>5.5008944543828264E-2</v>
      </c>
      <c r="F733" s="63">
        <f t="shared" ref="F733:R733" si="1553">F724/F$725</f>
        <v>5.8336961253809314E-2</v>
      </c>
      <c r="G733" s="63">
        <f t="shared" si="1553"/>
        <v>6.0341058154787929E-2</v>
      </c>
      <c r="H733" s="63">
        <f t="shared" si="1553"/>
        <v>5.4844606946983544E-2</v>
      </c>
      <c r="I733" s="63">
        <f t="shared" si="1553"/>
        <v>5.4277029960920535E-2</v>
      </c>
      <c r="J733" s="63">
        <f t="shared" si="1553"/>
        <v>5.2087639520463004E-2</v>
      </c>
      <c r="K733" s="63">
        <f t="shared" si="1553"/>
        <v>5.5983772819472616E-2</v>
      </c>
      <c r="L733" s="63">
        <f t="shared" si="1553"/>
        <v>5.3344623200677392E-2</v>
      </c>
      <c r="M733" s="63">
        <f t="shared" si="1553"/>
        <v>5.2934407364787113E-2</v>
      </c>
      <c r="N733" s="63">
        <f t="shared" si="1553"/>
        <v>5.684853109500191E-2</v>
      </c>
      <c r="O733" s="63">
        <f t="shared" si="1553"/>
        <v>5.8892815076560662E-2</v>
      </c>
      <c r="P733" s="63">
        <f t="shared" si="1553"/>
        <v>6.3552188552188554E-2</v>
      </c>
      <c r="Q733" s="63">
        <f t="shared" si="1553"/>
        <v>5.7983193277310927E-2</v>
      </c>
      <c r="R733" s="63">
        <f t="shared" si="1553"/>
        <v>6.1362674566229368E-2</v>
      </c>
      <c r="S733" s="63">
        <f t="shared" si="1536"/>
        <v>6.2795698924731178E-2</v>
      </c>
      <c r="T733" s="63">
        <f t="shared" si="1536"/>
        <v>6.2131519274376421E-2</v>
      </c>
      <c r="U733" s="63">
        <f t="shared" ref="U733:AC733" si="1554">U724/U$725</f>
        <v>6.0240963855421686E-2</v>
      </c>
      <c r="V733" s="63">
        <f t="shared" si="1554"/>
        <v>4.625779625779626E-2</v>
      </c>
      <c r="W733" s="63">
        <f t="shared" si="1554"/>
        <v>5.8906691800188503E-2</v>
      </c>
      <c r="X733" s="63">
        <f t="shared" si="1554"/>
        <v>6.1756633119853611E-2</v>
      </c>
      <c r="Y733" s="63">
        <f t="shared" si="1554"/>
        <v>5.8530510585305104E-2</v>
      </c>
      <c r="Z733" s="63">
        <f t="shared" si="1554"/>
        <v>5.9178288729739917E-2</v>
      </c>
      <c r="AA733" s="63">
        <f t="shared" si="1554"/>
        <v>6.1397058823529409E-2</v>
      </c>
      <c r="AB733" s="63">
        <f t="shared" si="1554"/>
        <v>5.5308092056421676E-2</v>
      </c>
      <c r="AC733" s="63">
        <f t="shared" si="1554"/>
        <v>5.8585114222549743E-2</v>
      </c>
      <c r="AD733" s="63">
        <f t="shared" ref="AD733:AF733" si="1555">AD724/AD$725</f>
        <v>5.7830459770114945E-2</v>
      </c>
      <c r="AE733" s="63">
        <f t="shared" si="1555"/>
        <v>6.0908084163898119E-2</v>
      </c>
      <c r="AF733" s="63">
        <f t="shared" si="1555"/>
        <v>5.520438263801096E-2</v>
      </c>
      <c r="AG733" s="63">
        <f t="shared" ref="AG733" si="1556">AG724/AG$725</f>
        <v>4.8507462686567165E-2</v>
      </c>
      <c r="AH733" s="47"/>
      <c r="AI733" s="47"/>
      <c r="AJ733" s="47"/>
      <c r="AK733" s="79"/>
      <c r="AL733" s="63">
        <f t="shared" si="1540"/>
        <v>5.3741996431195552E-2</v>
      </c>
      <c r="AM733" s="63">
        <f t="shared" si="1540"/>
        <v>5.6281094527363185E-2</v>
      </c>
      <c r="AN733" s="63">
        <f t="shared" si="1540"/>
        <v>5.7171403197158084E-2</v>
      </c>
      <c r="AO733" s="63">
        <f t="shared" si="1540"/>
        <v>5.3932348937061475E-2</v>
      </c>
      <c r="AP733" s="63">
        <f t="shared" si="1540"/>
        <v>5.792532755393557E-2</v>
      </c>
      <c r="AQ733" s="63">
        <f t="shared" si="1540"/>
        <v>6.1037420468025454E-2</v>
      </c>
      <c r="AR733" s="63">
        <f t="shared" si="1541"/>
        <v>5.7122624808214326E-2</v>
      </c>
      <c r="AS733" s="63">
        <f t="shared" si="1541"/>
        <v>5.861015654830088E-2</v>
      </c>
      <c r="AT733" s="63">
        <f t="shared" ref="AT733" si="1557">AT724/AT$725</f>
        <v>5.8223062381852549E-2</v>
      </c>
      <c r="AU733" s="47"/>
      <c r="AV733" s="47"/>
      <c r="AW733" s="47"/>
      <c r="AX733" s="47"/>
    </row>
    <row r="734" spans="2:79" ht="11.25" customHeight="1">
      <c r="C734" s="45" t="s">
        <v>109</v>
      </c>
      <c r="E734" s="67">
        <f>SUM(E730:E733)</f>
        <v>1</v>
      </c>
      <c r="F734" s="67">
        <f t="shared" ref="F734:R734" si="1558">SUM(F730:F733)</f>
        <v>0.99999999999999989</v>
      </c>
      <c r="G734" s="67">
        <f t="shared" si="1558"/>
        <v>1</v>
      </c>
      <c r="H734" s="67">
        <f t="shared" si="1558"/>
        <v>1</v>
      </c>
      <c r="I734" s="67">
        <f t="shared" si="1558"/>
        <v>1</v>
      </c>
      <c r="J734" s="67">
        <f t="shared" si="1558"/>
        <v>1</v>
      </c>
      <c r="K734" s="67">
        <f t="shared" si="1558"/>
        <v>1</v>
      </c>
      <c r="L734" s="67">
        <f t="shared" si="1558"/>
        <v>1</v>
      </c>
      <c r="M734" s="67">
        <f t="shared" si="1558"/>
        <v>1</v>
      </c>
      <c r="N734" s="67">
        <f t="shared" si="1558"/>
        <v>1.0000000000000002</v>
      </c>
      <c r="O734" s="67">
        <f t="shared" si="1558"/>
        <v>1</v>
      </c>
      <c r="P734" s="67">
        <f t="shared" si="1558"/>
        <v>1</v>
      </c>
      <c r="Q734" s="67">
        <f t="shared" si="1558"/>
        <v>1</v>
      </c>
      <c r="R734" s="67">
        <f t="shared" si="1558"/>
        <v>1</v>
      </c>
      <c r="S734" s="67">
        <f>SUM(S730:S733)</f>
        <v>0.99999999999999989</v>
      </c>
      <c r="T734" s="67">
        <f>SUM(T730:T733)</f>
        <v>0.99999999999999989</v>
      </c>
      <c r="U734" s="67">
        <f t="shared" ref="U734:AC734" si="1559">SUM(U730:U733)</f>
        <v>1</v>
      </c>
      <c r="V734" s="67">
        <f t="shared" si="1559"/>
        <v>0.99999999999999989</v>
      </c>
      <c r="W734" s="67">
        <f t="shared" si="1559"/>
        <v>0.99999999999999989</v>
      </c>
      <c r="X734" s="67">
        <f t="shared" si="1559"/>
        <v>1</v>
      </c>
      <c r="Y734" s="67">
        <f t="shared" si="1559"/>
        <v>1</v>
      </c>
      <c r="Z734" s="67">
        <f t="shared" si="1559"/>
        <v>1</v>
      </c>
      <c r="AA734" s="67">
        <f t="shared" si="1559"/>
        <v>1</v>
      </c>
      <c r="AB734" s="67">
        <f t="shared" si="1559"/>
        <v>1</v>
      </c>
      <c r="AC734" s="67">
        <f t="shared" si="1559"/>
        <v>1</v>
      </c>
      <c r="AD734" s="67">
        <f t="shared" ref="AD734:AF734" si="1560">SUM(AD730:AD733)</f>
        <v>0.99999999999999989</v>
      </c>
      <c r="AE734" s="67">
        <f t="shared" si="1560"/>
        <v>0.99999999999999989</v>
      </c>
      <c r="AF734" s="67">
        <f t="shared" si="1560"/>
        <v>1</v>
      </c>
      <c r="AG734" s="67">
        <f t="shared" ref="AG734" si="1561">SUM(AG730:AG733)</f>
        <v>1</v>
      </c>
      <c r="AH734" s="47"/>
      <c r="AI734" s="47"/>
      <c r="AJ734" s="47"/>
      <c r="AK734" s="79"/>
      <c r="AL734" s="67">
        <f t="shared" ref="AL734:AS734" si="1562">SUM(AL730:AL733)</f>
        <v>1</v>
      </c>
      <c r="AM734" s="67">
        <f t="shared" si="1562"/>
        <v>1</v>
      </c>
      <c r="AN734" s="67">
        <f t="shared" si="1562"/>
        <v>0.99999999999999989</v>
      </c>
      <c r="AO734" s="67">
        <f t="shared" si="1562"/>
        <v>0.99999999999999989</v>
      </c>
      <c r="AP734" s="67">
        <f t="shared" si="1562"/>
        <v>1</v>
      </c>
      <c r="AQ734" s="67">
        <f t="shared" si="1562"/>
        <v>0.99999999999999989</v>
      </c>
      <c r="AR734" s="67">
        <f t="shared" si="1562"/>
        <v>1</v>
      </c>
      <c r="AS734" s="67">
        <f t="shared" si="1562"/>
        <v>1</v>
      </c>
      <c r="AT734" s="67">
        <f t="shared" ref="AT734" si="1563">SUM(AT730:AT733)</f>
        <v>1</v>
      </c>
      <c r="AU734" s="47"/>
      <c r="AV734" s="47"/>
      <c r="AW734" s="47"/>
      <c r="AX734" s="47"/>
    </row>
    <row r="735" spans="2:79" ht="11.25" customHeight="1">
      <c r="AK735" s="79"/>
    </row>
    <row r="736" spans="2:79" s="5" customFormat="1" ht="10.5">
      <c r="B736" s="687" t="s">
        <v>14</v>
      </c>
      <c r="C736" s="20" t="s">
        <v>37</v>
      </c>
      <c r="D736" s="20"/>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79"/>
      <c r="AL736" s="19"/>
      <c r="AM736" s="19"/>
      <c r="AN736" s="19"/>
      <c r="AO736" s="19"/>
      <c r="AP736" s="19"/>
      <c r="AQ736" s="19"/>
      <c r="AR736" s="19"/>
      <c r="AS736" s="19"/>
      <c r="AT736" s="19"/>
      <c r="AU736" s="19"/>
      <c r="AV736" s="19"/>
      <c r="AW736" s="19"/>
      <c r="AX736" s="19"/>
      <c r="AY736" s="1"/>
      <c r="AZ736" s="19"/>
      <c r="BA736" s="19"/>
      <c r="BB736" s="19"/>
      <c r="BC736" s="19"/>
      <c r="BD736" s="19"/>
      <c r="BE736" s="19"/>
      <c r="BF736" s="19"/>
      <c r="BG736" s="19"/>
      <c r="BH736" s="19"/>
      <c r="BI736" s="19"/>
      <c r="BJ736" s="19"/>
      <c r="BK736" s="19"/>
      <c r="BL736" s="19"/>
      <c r="BM736" s="19"/>
      <c r="BY736" s="829"/>
      <c r="BZ736" s="829"/>
      <c r="CA736" s="829"/>
    </row>
    <row r="737" spans="2:51" ht="11.25" customHeight="1">
      <c r="AK737" s="79"/>
    </row>
    <row r="738" spans="2:51" ht="11.25" customHeight="1">
      <c r="C738" s="43" t="s">
        <v>38</v>
      </c>
      <c r="E738" s="29">
        <v>202</v>
      </c>
      <c r="F738" s="29">
        <v>240</v>
      </c>
      <c r="G738" s="29">
        <v>207</v>
      </c>
      <c r="H738" s="29">
        <v>181</v>
      </c>
      <c r="I738" s="29">
        <v>197</v>
      </c>
      <c r="J738" s="29">
        <v>222</v>
      </c>
      <c r="K738" s="29">
        <v>195</v>
      </c>
      <c r="L738" s="29">
        <v>191</v>
      </c>
      <c r="M738" s="29">
        <v>194</v>
      </c>
      <c r="N738" s="29">
        <v>193</v>
      </c>
      <c r="O738" s="29">
        <v>193</v>
      </c>
      <c r="P738" s="29">
        <v>226</v>
      </c>
      <c r="Q738" s="29">
        <v>195</v>
      </c>
      <c r="R738" s="29">
        <v>186</v>
      </c>
      <c r="S738" s="29">
        <v>207</v>
      </c>
      <c r="T738" s="29">
        <v>204</v>
      </c>
      <c r="U738" s="29">
        <v>680</v>
      </c>
      <c r="V738" s="29">
        <v>704</v>
      </c>
      <c r="W738" s="29">
        <v>650</v>
      </c>
      <c r="X738" s="29">
        <v>564</v>
      </c>
      <c r="Y738" s="29">
        <v>540</v>
      </c>
      <c r="Z738" s="29">
        <v>609</v>
      </c>
      <c r="AA738" s="29">
        <v>717</v>
      </c>
      <c r="AB738" s="29">
        <v>459</v>
      </c>
      <c r="AC738" s="29">
        <v>487</v>
      </c>
      <c r="AD738" s="29">
        <v>456</v>
      </c>
      <c r="AE738" s="29">
        <v>461</v>
      </c>
      <c r="AF738" s="29">
        <v>493</v>
      </c>
      <c r="AG738" s="29">
        <v>599</v>
      </c>
      <c r="AH738" s="28">
        <f ca="1">AH955</f>
        <v>191.82573181773762</v>
      </c>
      <c r="AI738" s="28">
        <f ca="1">AI955</f>
        <v>296.1228643814552</v>
      </c>
      <c r="AJ738" s="28">
        <f ca="1">AJ955</f>
        <v>337.97361067745459</v>
      </c>
      <c r="AK738" s="79"/>
      <c r="AL738" s="29">
        <v>214</v>
      </c>
      <c r="AM738" s="29">
        <v>293</v>
      </c>
      <c r="AN738" s="33">
        <f>SUMIF($E$7:$AK$7,AN$7,$E738:$AK738)</f>
        <v>181</v>
      </c>
      <c r="AO738" s="33">
        <f t="shared" ref="AO738:AU743" si="1564">SUMIF($E$7:$AK$7,AO$7,$E738:$AK738)</f>
        <v>191</v>
      </c>
      <c r="AP738" s="33">
        <f t="shared" si="1564"/>
        <v>226</v>
      </c>
      <c r="AQ738" s="33">
        <f t="shared" si="1564"/>
        <v>204</v>
      </c>
      <c r="AR738" s="33">
        <f t="shared" si="1564"/>
        <v>564</v>
      </c>
      <c r="AS738" s="33">
        <f t="shared" si="1564"/>
        <v>459</v>
      </c>
      <c r="AT738" s="33">
        <f t="shared" si="1564"/>
        <v>493</v>
      </c>
      <c r="AU738" s="33">
        <f ca="1">SUMIF($E$7:$AK$7,AU$7,$E738:$AK738)</f>
        <v>337.97361067745459</v>
      </c>
      <c r="AV738" s="28">
        <f ca="1">AV955</f>
        <v>448.60049652896123</v>
      </c>
      <c r="AW738" s="28">
        <f ca="1">AW955</f>
        <v>110.70360080893829</v>
      </c>
      <c r="AX738" s="28">
        <f ca="1">AX955</f>
        <v>190.17612356724021</v>
      </c>
    </row>
    <row r="739" spans="2:51" ht="11.25" customHeight="1">
      <c r="C739" s="43" t="s">
        <v>39</v>
      </c>
      <c r="E739" s="29">
        <v>951</v>
      </c>
      <c r="F739" s="29">
        <v>951</v>
      </c>
      <c r="G739" s="29">
        <v>905</v>
      </c>
      <c r="H739" s="29">
        <v>812</v>
      </c>
      <c r="I739" s="29">
        <v>982</v>
      </c>
      <c r="J739" s="29">
        <v>1018</v>
      </c>
      <c r="K739" s="29">
        <v>1047</v>
      </c>
      <c r="L739" s="29">
        <v>1026</v>
      </c>
      <c r="M739" s="29">
        <v>1430</v>
      </c>
      <c r="N739" s="29">
        <v>1393</v>
      </c>
      <c r="O739" s="29">
        <v>1404</v>
      </c>
      <c r="P739" s="29">
        <v>1154</v>
      </c>
      <c r="Q739" s="29">
        <v>1297</v>
      </c>
      <c r="R739" s="29">
        <v>1232</v>
      </c>
      <c r="S739" s="29">
        <v>1191</v>
      </c>
      <c r="T739" s="29">
        <v>980</v>
      </c>
      <c r="U739" s="29">
        <v>1045</v>
      </c>
      <c r="V739" s="29">
        <v>904</v>
      </c>
      <c r="W739" s="29">
        <v>1077</v>
      </c>
      <c r="X739" s="29">
        <v>1033</v>
      </c>
      <c r="Y739" s="29">
        <v>1229</v>
      </c>
      <c r="Z739" s="29">
        <v>1293</v>
      </c>
      <c r="AA739" s="29">
        <v>1356</v>
      </c>
      <c r="AB739" s="29">
        <v>1091</v>
      </c>
      <c r="AC739" s="29">
        <v>1187</v>
      </c>
      <c r="AD739" s="29">
        <v>1210</v>
      </c>
      <c r="AE739" s="29">
        <v>1137</v>
      </c>
      <c r="AF739" s="29">
        <v>957</v>
      </c>
      <c r="AG739" s="29">
        <v>1051</v>
      </c>
      <c r="AH739" s="28">
        <f>AH848*SUM(AE11:AH11)/365</f>
        <v>978.00931506849304</v>
      </c>
      <c r="AI739" s="28">
        <f>AI848*SUM(AF11:AI11)/365</f>
        <v>976.95643835616443</v>
      </c>
      <c r="AJ739" s="28">
        <f>AJ848*SUM(AG11:AJ11)/365</f>
        <v>979.90794520547956</v>
      </c>
      <c r="AK739" s="79"/>
      <c r="AL739" s="29">
        <v>936</v>
      </c>
      <c r="AM739" s="29">
        <v>792</v>
      </c>
      <c r="AN739" s="33">
        <f t="shared" ref="AN739:AN743" si="1565">SUMIF($E$7:$AK$7,AN$7,$E739:$AK739)</f>
        <v>812</v>
      </c>
      <c r="AO739" s="33">
        <f t="shared" si="1564"/>
        <v>1026</v>
      </c>
      <c r="AP739" s="33">
        <f t="shared" si="1564"/>
        <v>1154</v>
      </c>
      <c r="AQ739" s="33">
        <f t="shared" si="1564"/>
        <v>980</v>
      </c>
      <c r="AR739" s="33">
        <f t="shared" si="1564"/>
        <v>1033</v>
      </c>
      <c r="AS739" s="33">
        <f t="shared" si="1564"/>
        <v>1091</v>
      </c>
      <c r="AT739" s="33">
        <f t="shared" si="1564"/>
        <v>957</v>
      </c>
      <c r="AU739" s="33">
        <f t="shared" si="1564"/>
        <v>979.90794520547956</v>
      </c>
      <c r="AV739" s="28">
        <f>AV848*AV11/365</f>
        <v>1015.575016438356</v>
      </c>
      <c r="AW739" s="28">
        <f>AW848*AW11/365</f>
        <v>1046.3849072465755</v>
      </c>
      <c r="AX739" s="28">
        <f>AX848*AX11/365</f>
        <v>1072.9940517258217</v>
      </c>
    </row>
    <row r="740" spans="2:51" ht="11.25" customHeight="1">
      <c r="C740" s="43" t="s">
        <v>40</v>
      </c>
      <c r="E740" s="29">
        <v>155</v>
      </c>
      <c r="F740" s="29">
        <v>226</v>
      </c>
      <c r="G740" s="29">
        <v>258</v>
      </c>
      <c r="H740" s="29">
        <v>399</v>
      </c>
      <c r="I740" s="29">
        <v>423</v>
      </c>
      <c r="J740" s="29">
        <v>419</v>
      </c>
      <c r="K740" s="29">
        <v>378</v>
      </c>
      <c r="L740" s="29">
        <v>360</v>
      </c>
      <c r="M740" s="29">
        <v>319</v>
      </c>
      <c r="N740" s="29">
        <v>314</v>
      </c>
      <c r="O740" s="29">
        <v>368</v>
      </c>
      <c r="P740" s="29">
        <v>329</v>
      </c>
      <c r="Q740" s="29">
        <v>285</v>
      </c>
      <c r="R740" s="29">
        <v>286</v>
      </c>
      <c r="S740" s="29">
        <v>279</v>
      </c>
      <c r="T740" s="29">
        <v>395</v>
      </c>
      <c r="U740" s="29">
        <v>391</v>
      </c>
      <c r="V740" s="29">
        <v>422</v>
      </c>
      <c r="W740" s="29">
        <v>377</v>
      </c>
      <c r="X740" s="29">
        <v>482</v>
      </c>
      <c r="Y740" s="29">
        <v>440</v>
      </c>
      <c r="Z740" s="29">
        <v>447</v>
      </c>
      <c r="AA740" s="29">
        <v>351</v>
      </c>
      <c r="AB740" s="29">
        <v>489</v>
      </c>
      <c r="AC740" s="29">
        <v>461</v>
      </c>
      <c r="AD740" s="29">
        <v>425</v>
      </c>
      <c r="AE740" s="29">
        <v>457</v>
      </c>
      <c r="AF740" s="29">
        <v>320</v>
      </c>
      <c r="AG740" s="29">
        <v>286</v>
      </c>
      <c r="AH740" s="133">
        <f t="shared" ref="AH740:AJ740" si="1566">AG740</f>
        <v>286</v>
      </c>
      <c r="AI740" s="133">
        <f t="shared" si="1566"/>
        <v>286</v>
      </c>
      <c r="AJ740" s="133">
        <f t="shared" si="1566"/>
        <v>286</v>
      </c>
      <c r="AK740" s="79"/>
      <c r="AL740" s="29">
        <v>264</v>
      </c>
      <c r="AM740" s="29">
        <v>246</v>
      </c>
      <c r="AN740" s="33">
        <f t="shared" si="1565"/>
        <v>399</v>
      </c>
      <c r="AO740" s="33">
        <f t="shared" si="1564"/>
        <v>360</v>
      </c>
      <c r="AP740" s="33">
        <f t="shared" si="1564"/>
        <v>329</v>
      </c>
      <c r="AQ740" s="33">
        <f t="shared" si="1564"/>
        <v>395</v>
      </c>
      <c r="AR740" s="33">
        <f t="shared" si="1564"/>
        <v>482</v>
      </c>
      <c r="AS740" s="33">
        <f t="shared" si="1564"/>
        <v>489</v>
      </c>
      <c r="AT740" s="1118">
        <f t="shared" si="1564"/>
        <v>320</v>
      </c>
      <c r="AU740" s="33">
        <f t="shared" si="1564"/>
        <v>286</v>
      </c>
      <c r="AV740" s="133">
        <f>AU740</f>
        <v>286</v>
      </c>
      <c r="AW740" s="133">
        <f>AV740</f>
        <v>286</v>
      </c>
      <c r="AX740" s="133">
        <f>AW740</f>
        <v>286</v>
      </c>
    </row>
    <row r="741" spans="2:51" ht="11.25" customHeight="1">
      <c r="C741" s="43" t="s">
        <v>41</v>
      </c>
      <c r="E741" s="29">
        <v>1493</v>
      </c>
      <c r="F741" s="29">
        <v>1445</v>
      </c>
      <c r="G741" s="29">
        <v>1471</v>
      </c>
      <c r="H741" s="29">
        <v>1404</v>
      </c>
      <c r="I741" s="29">
        <v>1495</v>
      </c>
      <c r="J741" s="29">
        <v>1540</v>
      </c>
      <c r="K741" s="29">
        <v>1576</v>
      </c>
      <c r="L741" s="29">
        <v>1509</v>
      </c>
      <c r="M741" s="29">
        <v>1476</v>
      </c>
      <c r="N741" s="29">
        <v>1532</v>
      </c>
      <c r="O741" s="29">
        <v>1625</v>
      </c>
      <c r="P741" s="29">
        <v>1583</v>
      </c>
      <c r="Q741" s="29">
        <v>1704</v>
      </c>
      <c r="R741" s="29">
        <v>1730</v>
      </c>
      <c r="S741" s="29">
        <v>1695</v>
      </c>
      <c r="T741" s="29">
        <v>1662</v>
      </c>
      <c r="U741" s="29">
        <v>1659</v>
      </c>
      <c r="V741" s="29">
        <v>1419</v>
      </c>
      <c r="W741" s="29">
        <v>1338</v>
      </c>
      <c r="X741" s="29">
        <v>1379</v>
      </c>
      <c r="Y741" s="29">
        <v>1505</v>
      </c>
      <c r="Z741" s="29">
        <v>1501</v>
      </c>
      <c r="AA741" s="29">
        <v>1630</v>
      </c>
      <c r="AB741" s="29">
        <v>1504</v>
      </c>
      <c r="AC741" s="29">
        <v>1671</v>
      </c>
      <c r="AD741" s="29">
        <v>1826</v>
      </c>
      <c r="AE741" s="29">
        <v>1975</v>
      </c>
      <c r="AF741" s="29">
        <v>1894</v>
      </c>
      <c r="AG741" s="29">
        <v>1944</v>
      </c>
      <c r="AH741" s="28">
        <f>AH849*SUM(AE14:AH14)/365</f>
        <v>1723.874607671233</v>
      </c>
      <c r="AI741" s="28">
        <f>AI849*SUM(AF14:AI14)/365</f>
        <v>1668.8135136986302</v>
      </c>
      <c r="AJ741" s="28">
        <f>AJ849*SUM(AG14:AJ14)/365</f>
        <v>1602.30528</v>
      </c>
      <c r="AK741" s="79"/>
      <c r="AL741" s="29">
        <v>1509</v>
      </c>
      <c r="AM741" s="29">
        <v>1479</v>
      </c>
      <c r="AN741" s="33">
        <f t="shared" si="1565"/>
        <v>1404</v>
      </c>
      <c r="AO741" s="33">
        <f t="shared" si="1564"/>
        <v>1509</v>
      </c>
      <c r="AP741" s="33">
        <f t="shared" si="1564"/>
        <v>1583</v>
      </c>
      <c r="AQ741" s="33">
        <f t="shared" si="1564"/>
        <v>1662</v>
      </c>
      <c r="AR741" s="33">
        <f t="shared" si="1564"/>
        <v>1379</v>
      </c>
      <c r="AS741" s="33">
        <f t="shared" si="1564"/>
        <v>1504</v>
      </c>
      <c r="AT741" s="33">
        <f t="shared" si="1564"/>
        <v>1894</v>
      </c>
      <c r="AU741" s="33">
        <f t="shared" si="1564"/>
        <v>1602.30528</v>
      </c>
      <c r="AV741" s="28">
        <f>AV849*AV14/365</f>
        <v>1524.5231818191778</v>
      </c>
      <c r="AW741" s="28">
        <f>AW849*AW14/365</f>
        <v>1615.0203625560002</v>
      </c>
      <c r="AX741" s="28">
        <f>AX849*AX14/365</f>
        <v>1588.0311965542162</v>
      </c>
    </row>
    <row r="742" spans="2:51" ht="11.25" customHeight="1">
      <c r="C742" s="43" t="s">
        <v>42</v>
      </c>
      <c r="E742" s="29">
        <v>62</v>
      </c>
      <c r="F742" s="29">
        <v>68</v>
      </c>
      <c r="G742" s="29">
        <v>59</v>
      </c>
      <c r="H742" s="29">
        <v>70</v>
      </c>
      <c r="I742" s="29">
        <v>68</v>
      </c>
      <c r="J742" s="29">
        <v>63</v>
      </c>
      <c r="K742" s="29">
        <v>49</v>
      </c>
      <c r="L742" s="29">
        <v>57</v>
      </c>
      <c r="M742" s="29">
        <v>64</v>
      </c>
      <c r="N742" s="29">
        <v>66</v>
      </c>
      <c r="O742" s="29">
        <v>57</v>
      </c>
      <c r="P742" s="29">
        <v>73</v>
      </c>
      <c r="Q742" s="29">
        <v>70</v>
      </c>
      <c r="R742" s="29">
        <v>82</v>
      </c>
      <c r="S742" s="29">
        <v>68</v>
      </c>
      <c r="T742" s="29">
        <v>80</v>
      </c>
      <c r="U742" s="29">
        <v>76</v>
      </c>
      <c r="V742" s="29">
        <v>77</v>
      </c>
      <c r="W742" s="29">
        <v>92</v>
      </c>
      <c r="X742" s="29">
        <v>83</v>
      </c>
      <c r="Y742" s="29">
        <v>83</v>
      </c>
      <c r="Z742" s="29">
        <v>95</v>
      </c>
      <c r="AA742" s="29">
        <v>68</v>
      </c>
      <c r="AB742" s="29">
        <v>96</v>
      </c>
      <c r="AC742" s="29">
        <v>93</v>
      </c>
      <c r="AD742" s="29">
        <v>86</v>
      </c>
      <c r="AE742" s="29">
        <v>75</v>
      </c>
      <c r="AF742" s="29">
        <v>114</v>
      </c>
      <c r="AG742" s="29">
        <v>93</v>
      </c>
      <c r="AH742" s="28">
        <f>AH856*SUM(AE11:AH11)</f>
        <v>71.394679999999994</v>
      </c>
      <c r="AI742" s="28">
        <f>AI856*SUM(AF11:AI11)</f>
        <v>71.317819999999998</v>
      </c>
      <c r="AJ742" s="28">
        <f>AJ856*SUM(AG11:AJ11)</f>
        <v>71.533280000000005</v>
      </c>
      <c r="AK742" s="79"/>
      <c r="AL742" s="29">
        <v>250</v>
      </c>
      <c r="AM742" s="29">
        <v>68</v>
      </c>
      <c r="AN742" s="33">
        <f t="shared" si="1565"/>
        <v>70</v>
      </c>
      <c r="AO742" s="33">
        <f t="shared" si="1564"/>
        <v>57</v>
      </c>
      <c r="AP742" s="33">
        <f t="shared" si="1564"/>
        <v>73</v>
      </c>
      <c r="AQ742" s="33">
        <f t="shared" si="1564"/>
        <v>80</v>
      </c>
      <c r="AR742" s="33">
        <f t="shared" si="1564"/>
        <v>83</v>
      </c>
      <c r="AS742" s="33">
        <f t="shared" si="1564"/>
        <v>96</v>
      </c>
      <c r="AT742" s="33">
        <f t="shared" si="1564"/>
        <v>114</v>
      </c>
      <c r="AU742" s="33">
        <f t="shared" si="1564"/>
        <v>71.533280000000005</v>
      </c>
      <c r="AV742" s="28">
        <f>AV856*AV11</f>
        <v>74.136976200000021</v>
      </c>
      <c r="AW742" s="28">
        <f>AW856*AW11</f>
        <v>76.386098229000041</v>
      </c>
      <c r="AX742" s="28">
        <f>AX856*AX11</f>
        <v>78.328565775985027</v>
      </c>
    </row>
    <row r="743" spans="2:51" ht="11.25" customHeight="1">
      <c r="C743" s="43" t="s">
        <v>1128</v>
      </c>
      <c r="E743" s="29">
        <v>0</v>
      </c>
      <c r="F743" s="29">
        <v>0</v>
      </c>
      <c r="G743" s="29">
        <v>0</v>
      </c>
      <c r="H743" s="29">
        <v>0</v>
      </c>
      <c r="I743" s="29">
        <v>0</v>
      </c>
      <c r="J743" s="29">
        <v>0</v>
      </c>
      <c r="K743" s="29">
        <v>0</v>
      </c>
      <c r="L743" s="29">
        <v>0</v>
      </c>
      <c r="M743" s="29">
        <v>0</v>
      </c>
      <c r="N743" s="29">
        <v>0</v>
      </c>
      <c r="O743" s="29">
        <v>0</v>
      </c>
      <c r="P743" s="29">
        <v>0</v>
      </c>
      <c r="Q743" s="29">
        <v>0</v>
      </c>
      <c r="R743" s="29">
        <v>0</v>
      </c>
      <c r="S743" s="29">
        <v>0</v>
      </c>
      <c r="T743" s="29">
        <v>0</v>
      </c>
      <c r="U743" s="29">
        <v>0</v>
      </c>
      <c r="V743" s="29">
        <v>0</v>
      </c>
      <c r="W743" s="29">
        <v>0</v>
      </c>
      <c r="X743" s="29">
        <v>0</v>
      </c>
      <c r="Y743" s="29">
        <v>0</v>
      </c>
      <c r="Z743" s="29">
        <v>793</v>
      </c>
      <c r="AA743" s="29">
        <v>753</v>
      </c>
      <c r="AB743" s="29">
        <v>1007</v>
      </c>
      <c r="AC743" s="29">
        <v>1030</v>
      </c>
      <c r="AD743" s="29">
        <v>0</v>
      </c>
      <c r="AE743" s="29">
        <v>0</v>
      </c>
      <c r="AF743" s="29">
        <v>0</v>
      </c>
      <c r="AG743" s="29">
        <v>0</v>
      </c>
      <c r="AH743" s="133">
        <f t="shared" ref="AH743:AJ743" si="1567">AG743</f>
        <v>0</v>
      </c>
      <c r="AI743" s="133">
        <f t="shared" si="1567"/>
        <v>0</v>
      </c>
      <c r="AJ743" s="133">
        <f t="shared" si="1567"/>
        <v>0</v>
      </c>
      <c r="AK743" s="79"/>
      <c r="AL743" s="29">
        <v>0</v>
      </c>
      <c r="AM743" s="29">
        <v>0</v>
      </c>
      <c r="AN743" s="33">
        <f t="shared" si="1565"/>
        <v>0</v>
      </c>
      <c r="AO743" s="33">
        <f t="shared" si="1564"/>
        <v>0</v>
      </c>
      <c r="AP743" s="33">
        <f t="shared" si="1564"/>
        <v>0</v>
      </c>
      <c r="AQ743" s="33">
        <f t="shared" si="1564"/>
        <v>0</v>
      </c>
      <c r="AR743" s="33">
        <f t="shared" si="1564"/>
        <v>0</v>
      </c>
      <c r="AS743" s="33">
        <f t="shared" si="1564"/>
        <v>1007</v>
      </c>
      <c r="AT743" s="33">
        <f t="shared" si="1564"/>
        <v>0</v>
      </c>
      <c r="AU743" s="33">
        <f t="shared" si="1564"/>
        <v>0</v>
      </c>
      <c r="AV743" s="133">
        <f>AU743</f>
        <v>0</v>
      </c>
      <c r="AW743" s="133">
        <f>AV743</f>
        <v>0</v>
      </c>
      <c r="AX743" s="133">
        <f>AW743</f>
        <v>0</v>
      </c>
    </row>
    <row r="744" spans="2:51" s="27" customFormat="1" ht="11.25" customHeight="1">
      <c r="C744" s="45" t="s">
        <v>43</v>
      </c>
      <c r="E744" s="35">
        <f>SUM(E738:E743)</f>
        <v>2863</v>
      </c>
      <c r="F744" s="35">
        <f t="shared" ref="F744:AD744" si="1568">SUM(F738:F743)</f>
        <v>2930</v>
      </c>
      <c r="G744" s="35">
        <f t="shared" si="1568"/>
        <v>2900</v>
      </c>
      <c r="H744" s="35">
        <f t="shared" si="1568"/>
        <v>2866</v>
      </c>
      <c r="I744" s="35">
        <f t="shared" si="1568"/>
        <v>3165</v>
      </c>
      <c r="J744" s="35">
        <f t="shared" si="1568"/>
        <v>3262</v>
      </c>
      <c r="K744" s="35">
        <f t="shared" si="1568"/>
        <v>3245</v>
      </c>
      <c r="L744" s="35">
        <f t="shared" si="1568"/>
        <v>3143</v>
      </c>
      <c r="M744" s="35">
        <f t="shared" si="1568"/>
        <v>3483</v>
      </c>
      <c r="N744" s="35">
        <f t="shared" si="1568"/>
        <v>3498</v>
      </c>
      <c r="O744" s="35">
        <f t="shared" si="1568"/>
        <v>3647</v>
      </c>
      <c r="P744" s="35">
        <f t="shared" si="1568"/>
        <v>3365</v>
      </c>
      <c r="Q744" s="35">
        <f t="shared" si="1568"/>
        <v>3551</v>
      </c>
      <c r="R744" s="35">
        <f t="shared" si="1568"/>
        <v>3516</v>
      </c>
      <c r="S744" s="35">
        <f t="shared" si="1568"/>
        <v>3440</v>
      </c>
      <c r="T744" s="35">
        <f t="shared" si="1568"/>
        <v>3321</v>
      </c>
      <c r="U744" s="35">
        <f t="shared" si="1568"/>
        <v>3851</v>
      </c>
      <c r="V744" s="35">
        <f t="shared" si="1568"/>
        <v>3526</v>
      </c>
      <c r="W744" s="35">
        <f t="shared" si="1568"/>
        <v>3534</v>
      </c>
      <c r="X744" s="35">
        <f t="shared" si="1568"/>
        <v>3541</v>
      </c>
      <c r="Y744" s="35">
        <f t="shared" si="1568"/>
        <v>3797</v>
      </c>
      <c r="Z744" s="35">
        <f t="shared" si="1568"/>
        <v>4738</v>
      </c>
      <c r="AA744" s="35">
        <f t="shared" si="1568"/>
        <v>4875</v>
      </c>
      <c r="AB744" s="35">
        <f t="shared" si="1568"/>
        <v>4646</v>
      </c>
      <c r="AC744" s="35">
        <f t="shared" si="1568"/>
        <v>4929</v>
      </c>
      <c r="AD744" s="35">
        <f t="shared" si="1568"/>
        <v>4003</v>
      </c>
      <c r="AE744" s="35">
        <f t="shared" ref="AE744:AF744" si="1569">SUM(AE738:AE743)</f>
        <v>4105</v>
      </c>
      <c r="AF744" s="35">
        <f t="shared" si="1569"/>
        <v>3778</v>
      </c>
      <c r="AG744" s="35">
        <f t="shared" ref="AG744" si="1570">SUM(AG738:AG743)</f>
        <v>3973</v>
      </c>
      <c r="AH744" s="35">
        <f ca="1">SUM(AH738:AH743)</f>
        <v>3251.1043345574635</v>
      </c>
      <c r="AI744" s="35">
        <f ca="1">SUM(AI738:AI743)</f>
        <v>3299.2106364362498</v>
      </c>
      <c r="AJ744" s="35">
        <f ca="1">SUM(AJ738:AJ743)</f>
        <v>3277.7201158829344</v>
      </c>
      <c r="AK744" s="79"/>
      <c r="AL744" s="35">
        <f t="shared" ref="AL744:AT744" si="1571">SUM(AL738:AL743)</f>
        <v>3173</v>
      </c>
      <c r="AM744" s="35">
        <f t="shared" si="1571"/>
        <v>2878</v>
      </c>
      <c r="AN744" s="35">
        <f t="shared" si="1571"/>
        <v>2866</v>
      </c>
      <c r="AO744" s="35">
        <f t="shared" si="1571"/>
        <v>3143</v>
      </c>
      <c r="AP744" s="35">
        <f t="shared" si="1571"/>
        <v>3365</v>
      </c>
      <c r="AQ744" s="35">
        <f t="shared" si="1571"/>
        <v>3321</v>
      </c>
      <c r="AR744" s="35">
        <f t="shared" si="1571"/>
        <v>3541</v>
      </c>
      <c r="AS744" s="35">
        <f t="shared" si="1571"/>
        <v>4646</v>
      </c>
      <c r="AT744" s="35">
        <f t="shared" si="1571"/>
        <v>3778</v>
      </c>
      <c r="AU744" s="35">
        <f ca="1">SUM(AU738:AU743)</f>
        <v>3277.7201158829344</v>
      </c>
      <c r="AV744" s="35">
        <f ca="1">SUM(AV738:AV743)</f>
        <v>3348.8356709864952</v>
      </c>
      <c r="AW744" s="35">
        <f ca="1">SUM(AW738:AW743)</f>
        <v>3134.4949688405145</v>
      </c>
      <c r="AX744" s="35">
        <f ca="1">SUM(AX738:AX743)</f>
        <v>3215.5299376232633</v>
      </c>
      <c r="AY744" s="1"/>
    </row>
    <row r="745" spans="2:51" s="27" customFormat="1" ht="5.2" customHeight="1">
      <c r="C745" s="45"/>
      <c r="E745" s="30"/>
      <c r="F745" s="30"/>
      <c r="G745" s="30"/>
      <c r="H745" s="30"/>
      <c r="I745" s="30"/>
      <c r="J745" s="30"/>
      <c r="K745" s="30"/>
      <c r="L745" s="30"/>
      <c r="M745" s="30"/>
      <c r="N745" s="30"/>
      <c r="O745" s="30"/>
      <c r="P745" s="30"/>
      <c r="Q745" s="30"/>
      <c r="R745" s="30"/>
      <c r="AK745" s="79"/>
      <c r="AL745" s="30"/>
      <c r="AM745" s="30"/>
      <c r="AN745" s="30"/>
      <c r="AO745" s="30"/>
      <c r="AP745" s="30"/>
      <c r="AY745" s="1"/>
    </row>
    <row r="746" spans="2:51" s="28" customFormat="1" ht="11.25" customHeight="1">
      <c r="B746" s="30"/>
      <c r="C746" s="743" t="s">
        <v>44</v>
      </c>
      <c r="E746" s="29">
        <v>11395</v>
      </c>
      <c r="F746" s="29">
        <v>11440</v>
      </c>
      <c r="G746" s="29">
        <v>11564</v>
      </c>
      <c r="H746" s="29">
        <v>11699</v>
      </c>
      <c r="I746" s="29">
        <v>11780</v>
      </c>
      <c r="J746" s="29">
        <v>11966</v>
      </c>
      <c r="K746" s="29">
        <v>12145</v>
      </c>
      <c r="L746" s="29">
        <v>12370</v>
      </c>
      <c r="M746" s="29">
        <v>12520</v>
      </c>
      <c r="N746" s="29">
        <v>12513</v>
      </c>
      <c r="O746" s="29">
        <v>12604</v>
      </c>
      <c r="P746" s="29">
        <v>12731</v>
      </c>
      <c r="Q746" s="29">
        <v>12796</v>
      </c>
      <c r="R746" s="29">
        <v>12848</v>
      </c>
      <c r="S746" s="29">
        <v>12898</v>
      </c>
      <c r="T746" s="29">
        <v>12904</v>
      </c>
      <c r="U746" s="29">
        <v>13082</v>
      </c>
      <c r="V746" s="29">
        <v>13175</v>
      </c>
      <c r="W746" s="29">
        <v>13332</v>
      </c>
      <c r="X746" s="29">
        <v>13531</v>
      </c>
      <c r="Y746" s="29">
        <v>13527</v>
      </c>
      <c r="Z746" s="29">
        <v>13079</v>
      </c>
      <c r="AA746" s="29">
        <v>13138</v>
      </c>
      <c r="AB746" s="29">
        <v>12680</v>
      </c>
      <c r="AC746" s="29">
        <v>12753</v>
      </c>
      <c r="AD746" s="29">
        <v>12743</v>
      </c>
      <c r="AE746" s="29">
        <v>12645</v>
      </c>
      <c r="AF746" s="29">
        <v>12942</v>
      </c>
      <c r="AG746" s="29">
        <v>13153</v>
      </c>
      <c r="AH746" s="28">
        <f t="shared" ref="AH746:AJ746" si="1572">AH864</f>
        <v>13353</v>
      </c>
      <c r="AI746" s="28">
        <f t="shared" si="1572"/>
        <v>13553</v>
      </c>
      <c r="AJ746" s="28">
        <f t="shared" si="1572"/>
        <v>13753</v>
      </c>
      <c r="AK746" s="79"/>
      <c r="AL746" s="29">
        <v>11026</v>
      </c>
      <c r="AM746" s="29">
        <v>11234</v>
      </c>
      <c r="AN746" s="33">
        <f t="shared" ref="AN746:AU747" si="1573">SUMIF($E$7:$AK$7,AN$7,$E746:$AK746)</f>
        <v>11699</v>
      </c>
      <c r="AO746" s="33">
        <f t="shared" si="1573"/>
        <v>12370</v>
      </c>
      <c r="AP746" s="33">
        <f t="shared" si="1573"/>
        <v>12731</v>
      </c>
      <c r="AQ746" s="33">
        <f t="shared" si="1573"/>
        <v>12904</v>
      </c>
      <c r="AR746" s="33">
        <f t="shared" si="1573"/>
        <v>13531</v>
      </c>
      <c r="AS746" s="33">
        <f t="shared" si="1573"/>
        <v>12680</v>
      </c>
      <c r="AT746" s="33">
        <f t="shared" si="1573"/>
        <v>12942</v>
      </c>
      <c r="AU746" s="33">
        <f t="shared" si="1573"/>
        <v>13753</v>
      </c>
      <c r="AV746" s="28">
        <f t="shared" ref="AV746:AW747" si="1574">AV864</f>
        <v>14353</v>
      </c>
      <c r="AW746" s="28">
        <f t="shared" si="1574"/>
        <v>14953</v>
      </c>
      <c r="AX746" s="28">
        <f t="shared" ref="AX746" si="1575">AX864</f>
        <v>15453</v>
      </c>
      <c r="AY746" s="1"/>
    </row>
    <row r="747" spans="2:51" ht="11.25" customHeight="1">
      <c r="C747" s="43" t="s">
        <v>45</v>
      </c>
      <c r="E747" s="29">
        <v>6210</v>
      </c>
      <c r="F747" s="29">
        <v>6278</v>
      </c>
      <c r="G747" s="29">
        <v>6367</v>
      </c>
      <c r="H747" s="29">
        <v>6423</v>
      </c>
      <c r="I747" s="29">
        <v>6459</v>
      </c>
      <c r="J747" s="29">
        <v>6563</v>
      </c>
      <c r="K747" s="29">
        <v>6660</v>
      </c>
      <c r="L747" s="29">
        <v>6763</v>
      </c>
      <c r="M747" s="29">
        <v>6888</v>
      </c>
      <c r="N747" s="29">
        <v>6943</v>
      </c>
      <c r="O747" s="29">
        <v>7034</v>
      </c>
      <c r="P747" s="29">
        <v>7131</v>
      </c>
      <c r="Q747" s="29">
        <v>7220</v>
      </c>
      <c r="R747" s="29">
        <v>7298</v>
      </c>
      <c r="S747" s="29">
        <v>7364</v>
      </c>
      <c r="T747" s="29">
        <v>7333</v>
      </c>
      <c r="U747" s="29">
        <v>7584</v>
      </c>
      <c r="V747" s="29">
        <v>7697</v>
      </c>
      <c r="W747" s="29">
        <v>7843</v>
      </c>
      <c r="X747" s="29">
        <v>7982</v>
      </c>
      <c r="Y747" s="29">
        <v>8061</v>
      </c>
      <c r="Z747" s="29">
        <v>7898</v>
      </c>
      <c r="AA747" s="29">
        <v>7966</v>
      </c>
      <c r="AB747" s="29">
        <v>7684</v>
      </c>
      <c r="AC747" s="29">
        <v>7756</v>
      </c>
      <c r="AD747" s="29">
        <v>7784</v>
      </c>
      <c r="AE747" s="29">
        <v>7663</v>
      </c>
      <c r="AF747" s="29">
        <v>7782</v>
      </c>
      <c r="AG747" s="29">
        <v>7895</v>
      </c>
      <c r="AH747" s="28">
        <f t="shared" ref="AH747:AJ747" si="1576">AH865</f>
        <v>7999.8834844547237</v>
      </c>
      <c r="AI747" s="28">
        <f t="shared" si="1576"/>
        <v>8106.3789489978935</v>
      </c>
      <c r="AJ747" s="28">
        <f t="shared" si="1576"/>
        <v>8214.4863936295096</v>
      </c>
      <c r="AK747" s="79"/>
      <c r="AL747" s="29">
        <v>5939</v>
      </c>
      <c r="AM747" s="29">
        <v>6104</v>
      </c>
      <c r="AN747" s="33">
        <f t="shared" si="1573"/>
        <v>6423</v>
      </c>
      <c r="AO747" s="33">
        <f t="shared" si="1573"/>
        <v>6763</v>
      </c>
      <c r="AP747" s="33">
        <f t="shared" si="1573"/>
        <v>7131</v>
      </c>
      <c r="AQ747" s="33">
        <f t="shared" si="1573"/>
        <v>7333</v>
      </c>
      <c r="AR747" s="33">
        <f t="shared" si="1573"/>
        <v>7982</v>
      </c>
      <c r="AS747" s="33">
        <f t="shared" si="1573"/>
        <v>7684</v>
      </c>
      <c r="AT747" s="33">
        <f t="shared" si="1573"/>
        <v>7782</v>
      </c>
      <c r="AU747" s="33">
        <f t="shared" si="1573"/>
        <v>8214.4863936295096</v>
      </c>
      <c r="AV747" s="89">
        <f t="shared" si="1574"/>
        <v>8650.1023936295096</v>
      </c>
      <c r="AW747" s="89">
        <f t="shared" si="1574"/>
        <v>9104.9183936295103</v>
      </c>
      <c r="AX747" s="89">
        <f t="shared" ref="AX747" si="1577">AX865</f>
        <v>9578.9343936295099</v>
      </c>
    </row>
    <row r="748" spans="2:51" s="27" customFormat="1" ht="11.25" customHeight="1">
      <c r="C748" s="45" t="s">
        <v>46</v>
      </c>
      <c r="E748" s="32">
        <f t="shared" ref="E748:N748" si="1578">+E746-E747</f>
        <v>5185</v>
      </c>
      <c r="F748" s="32">
        <f t="shared" si="1578"/>
        <v>5162</v>
      </c>
      <c r="G748" s="32">
        <f t="shared" si="1578"/>
        <v>5197</v>
      </c>
      <c r="H748" s="32">
        <f t="shared" si="1578"/>
        <v>5276</v>
      </c>
      <c r="I748" s="32">
        <f t="shared" si="1578"/>
        <v>5321</v>
      </c>
      <c r="J748" s="32">
        <f t="shared" si="1578"/>
        <v>5403</v>
      </c>
      <c r="K748" s="32">
        <f t="shared" si="1578"/>
        <v>5485</v>
      </c>
      <c r="L748" s="32">
        <f t="shared" si="1578"/>
        <v>5607</v>
      </c>
      <c r="M748" s="32">
        <f t="shared" si="1578"/>
        <v>5632</v>
      </c>
      <c r="N748" s="32">
        <f t="shared" si="1578"/>
        <v>5570</v>
      </c>
      <c r="O748" s="32">
        <f t="shared" ref="O748:T748" si="1579">+O746-O747</f>
        <v>5570</v>
      </c>
      <c r="P748" s="32">
        <f t="shared" si="1579"/>
        <v>5600</v>
      </c>
      <c r="Q748" s="32">
        <f t="shared" si="1579"/>
        <v>5576</v>
      </c>
      <c r="R748" s="32">
        <f t="shared" si="1579"/>
        <v>5550</v>
      </c>
      <c r="S748" s="32">
        <f t="shared" si="1579"/>
        <v>5534</v>
      </c>
      <c r="T748" s="32">
        <f t="shared" si="1579"/>
        <v>5571</v>
      </c>
      <c r="U748" s="32">
        <f t="shared" ref="U748:AC748" si="1580">+U746-U747</f>
        <v>5498</v>
      </c>
      <c r="V748" s="32">
        <f t="shared" si="1580"/>
        <v>5478</v>
      </c>
      <c r="W748" s="32">
        <f t="shared" si="1580"/>
        <v>5489</v>
      </c>
      <c r="X748" s="32">
        <f t="shared" si="1580"/>
        <v>5549</v>
      </c>
      <c r="Y748" s="32">
        <f t="shared" si="1580"/>
        <v>5466</v>
      </c>
      <c r="Z748" s="32">
        <f t="shared" si="1580"/>
        <v>5181</v>
      </c>
      <c r="AA748" s="32">
        <f t="shared" si="1580"/>
        <v>5172</v>
      </c>
      <c r="AB748" s="32">
        <f t="shared" si="1580"/>
        <v>4996</v>
      </c>
      <c r="AC748" s="32">
        <f t="shared" si="1580"/>
        <v>4997</v>
      </c>
      <c r="AD748" s="32">
        <f>+AD746-AD747</f>
        <v>4959</v>
      </c>
      <c r="AE748" s="32">
        <f t="shared" ref="AE748:AF748" si="1581">+AE746-AE747</f>
        <v>4982</v>
      </c>
      <c r="AF748" s="32">
        <f t="shared" si="1581"/>
        <v>5160</v>
      </c>
      <c r="AG748" s="32">
        <f t="shared" ref="AG748" si="1582">+AG746-AG747</f>
        <v>5258</v>
      </c>
      <c r="AH748" s="32">
        <f t="shared" ref="AH748:AJ748" si="1583">+AH746-AH747</f>
        <v>5353.1165155452763</v>
      </c>
      <c r="AI748" s="32">
        <f t="shared" si="1583"/>
        <v>5446.6210510021065</v>
      </c>
      <c r="AJ748" s="32">
        <f t="shared" si="1583"/>
        <v>5538.5136063704904</v>
      </c>
      <c r="AK748" s="79"/>
      <c r="AL748" s="32">
        <f t="shared" ref="AL748:AT748" si="1584">+AL746-AL747</f>
        <v>5087</v>
      </c>
      <c r="AM748" s="32">
        <f t="shared" si="1584"/>
        <v>5130</v>
      </c>
      <c r="AN748" s="32">
        <f t="shared" si="1584"/>
        <v>5276</v>
      </c>
      <c r="AO748" s="32">
        <f t="shared" si="1584"/>
        <v>5607</v>
      </c>
      <c r="AP748" s="32">
        <f t="shared" si="1584"/>
        <v>5600</v>
      </c>
      <c r="AQ748" s="32">
        <f t="shared" si="1584"/>
        <v>5571</v>
      </c>
      <c r="AR748" s="32">
        <f t="shared" si="1584"/>
        <v>5549</v>
      </c>
      <c r="AS748" s="32">
        <f t="shared" si="1584"/>
        <v>4996</v>
      </c>
      <c r="AT748" s="32">
        <f t="shared" si="1584"/>
        <v>5160</v>
      </c>
      <c r="AU748" s="32">
        <f t="shared" ref="AU748" si="1585">+AU746-AU747</f>
        <v>5538.5136063704904</v>
      </c>
      <c r="AV748" s="32">
        <f t="shared" ref="AV748:AW748" si="1586">+AV746-AV747</f>
        <v>5702.8976063704904</v>
      </c>
      <c r="AW748" s="32">
        <f t="shared" si="1586"/>
        <v>5848.0816063704897</v>
      </c>
      <c r="AX748" s="32">
        <f t="shared" ref="AX748" si="1587">+AX746-AX747</f>
        <v>5874.0656063704901</v>
      </c>
      <c r="AY748" s="1"/>
    </row>
    <row r="749" spans="2:51" s="27" customFormat="1" ht="5.2" customHeight="1">
      <c r="C749" s="45"/>
      <c r="E749" s="31"/>
      <c r="F749" s="31"/>
      <c r="G749" s="31"/>
      <c r="H749" s="31"/>
      <c r="I749" s="31"/>
      <c r="J749" s="31"/>
      <c r="K749" s="31"/>
      <c r="L749" s="31"/>
      <c r="M749" s="31"/>
      <c r="N749" s="31"/>
      <c r="O749" s="31"/>
      <c r="P749" s="31"/>
      <c r="Q749" s="31"/>
      <c r="R749" s="31"/>
      <c r="AK749" s="79"/>
      <c r="AL749" s="31"/>
      <c r="AM749" s="31"/>
      <c r="AN749" s="31"/>
      <c r="AO749" s="31"/>
      <c r="AP749" s="31"/>
      <c r="AY749" s="1"/>
    </row>
    <row r="750" spans="2:51" ht="11.25" customHeight="1">
      <c r="C750" s="43" t="s">
        <v>47</v>
      </c>
      <c r="E750" s="29">
        <v>4527</v>
      </c>
      <c r="F750" s="29">
        <v>4520</v>
      </c>
      <c r="G750" s="29">
        <v>4474</v>
      </c>
      <c r="H750" s="29">
        <v>4461</v>
      </c>
      <c r="I750" s="29">
        <v>4484</v>
      </c>
      <c r="J750" s="29">
        <v>4507</v>
      </c>
      <c r="K750" s="29">
        <v>4520</v>
      </c>
      <c r="L750" s="29">
        <v>4527</v>
      </c>
      <c r="M750" s="29">
        <v>4540</v>
      </c>
      <c r="N750" s="29">
        <v>4514</v>
      </c>
      <c r="O750" s="29">
        <v>4509</v>
      </c>
      <c r="P750" s="29">
        <v>4467</v>
      </c>
      <c r="Q750" s="29">
        <v>4477</v>
      </c>
      <c r="R750" s="29">
        <v>4481</v>
      </c>
      <c r="S750" s="29">
        <v>4464</v>
      </c>
      <c r="T750" s="29">
        <v>4431</v>
      </c>
      <c r="U750" s="29">
        <v>4417</v>
      </c>
      <c r="V750" s="29">
        <v>4425</v>
      </c>
      <c r="W750" s="29">
        <v>4443</v>
      </c>
      <c r="X750" s="29">
        <v>4465</v>
      </c>
      <c r="Y750" s="29">
        <v>4446</v>
      </c>
      <c r="Z750" s="29">
        <v>4053</v>
      </c>
      <c r="AA750" s="29">
        <v>4044</v>
      </c>
      <c r="AB750" s="29">
        <v>3641</v>
      </c>
      <c r="AC750" s="29">
        <v>3665</v>
      </c>
      <c r="AD750" s="29">
        <v>3663</v>
      </c>
      <c r="AE750" s="29">
        <v>3644</v>
      </c>
      <c r="AF750" s="29">
        <v>3664</v>
      </c>
      <c r="AG750" s="29">
        <v>3703</v>
      </c>
      <c r="AH750" s="133">
        <f t="shared" ref="AH750:AJ750" si="1588">AG750</f>
        <v>3703</v>
      </c>
      <c r="AI750" s="133">
        <f t="shared" si="1588"/>
        <v>3703</v>
      </c>
      <c r="AJ750" s="133">
        <f t="shared" si="1588"/>
        <v>3703</v>
      </c>
      <c r="AK750" s="79"/>
      <c r="AL750" s="29">
        <v>4486</v>
      </c>
      <c r="AM750" s="29">
        <v>4518</v>
      </c>
      <c r="AN750" s="33">
        <f t="shared" ref="AN750:AU752" si="1589">SUMIF($E$7:$AK$7,AN$7,$E750:$AK750)</f>
        <v>4461</v>
      </c>
      <c r="AO750" s="33">
        <f t="shared" si="1589"/>
        <v>4527</v>
      </c>
      <c r="AP750" s="33">
        <f t="shared" si="1589"/>
        <v>4467</v>
      </c>
      <c r="AQ750" s="33">
        <f t="shared" si="1589"/>
        <v>4431</v>
      </c>
      <c r="AR750" s="33">
        <f t="shared" si="1589"/>
        <v>4465</v>
      </c>
      <c r="AS750" s="33">
        <f t="shared" si="1589"/>
        <v>3641</v>
      </c>
      <c r="AT750" s="33">
        <f t="shared" si="1589"/>
        <v>3664</v>
      </c>
      <c r="AU750" s="33">
        <f t="shared" si="1589"/>
        <v>3703</v>
      </c>
      <c r="AV750" s="133">
        <f>AU750</f>
        <v>3703</v>
      </c>
      <c r="AW750" s="133">
        <f>AV750</f>
        <v>3703</v>
      </c>
      <c r="AX750" s="133">
        <f>AW750</f>
        <v>3703</v>
      </c>
    </row>
    <row r="751" spans="2:51" ht="11.25" customHeight="1">
      <c r="C751" s="43" t="s">
        <v>48</v>
      </c>
      <c r="E751" s="29">
        <v>2637</v>
      </c>
      <c r="F751" s="29">
        <v>2585</v>
      </c>
      <c r="G751" s="29">
        <v>2543</v>
      </c>
      <c r="H751" s="29">
        <v>2469</v>
      </c>
      <c r="I751" s="29">
        <v>2434</v>
      </c>
      <c r="J751" s="29">
        <v>2433</v>
      </c>
      <c r="K751" s="29">
        <v>2404</v>
      </c>
      <c r="L751" s="29">
        <v>2373</v>
      </c>
      <c r="M751" s="29">
        <v>2349</v>
      </c>
      <c r="N751" s="29">
        <v>2278</v>
      </c>
      <c r="O751" s="29">
        <v>2231</v>
      </c>
      <c r="P751" s="29">
        <v>2185</v>
      </c>
      <c r="Q751" s="29">
        <v>2130</v>
      </c>
      <c r="R751" s="29">
        <v>2093</v>
      </c>
      <c r="S751" s="29">
        <v>2034</v>
      </c>
      <c r="T751" s="29">
        <v>2011</v>
      </c>
      <c r="U751" s="29">
        <v>1962</v>
      </c>
      <c r="V751" s="29">
        <v>1817</v>
      </c>
      <c r="W751" s="29">
        <v>1802</v>
      </c>
      <c r="X751" s="29">
        <v>1792</v>
      </c>
      <c r="Y751" s="29">
        <v>1741</v>
      </c>
      <c r="Z751" s="29">
        <v>1390</v>
      </c>
      <c r="AA751" s="29">
        <v>1407</v>
      </c>
      <c r="AB751" s="29">
        <v>1362</v>
      </c>
      <c r="AC751" s="29">
        <v>1303</v>
      </c>
      <c r="AD751" s="29">
        <v>1248</v>
      </c>
      <c r="AE751" s="29">
        <v>1206</v>
      </c>
      <c r="AF751" s="29">
        <v>1210</v>
      </c>
      <c r="AG751" s="29">
        <v>1203</v>
      </c>
      <c r="AH751" s="28">
        <f t="shared" ref="AH751:AJ751" si="1590">AH888</f>
        <v>1181.75</v>
      </c>
      <c r="AI751" s="28">
        <f t="shared" si="1590"/>
        <v>1160.5</v>
      </c>
      <c r="AJ751" s="28">
        <f t="shared" si="1590"/>
        <v>1139.25</v>
      </c>
      <c r="AK751" s="79"/>
      <c r="AL751" s="29">
        <v>2905</v>
      </c>
      <c r="AM751" s="29">
        <v>2650</v>
      </c>
      <c r="AN751" s="33">
        <f t="shared" si="1589"/>
        <v>2469</v>
      </c>
      <c r="AO751" s="33">
        <f t="shared" si="1589"/>
        <v>2373</v>
      </c>
      <c r="AP751" s="33">
        <f t="shared" si="1589"/>
        <v>2185</v>
      </c>
      <c r="AQ751" s="33">
        <f t="shared" si="1589"/>
        <v>2011</v>
      </c>
      <c r="AR751" s="33">
        <f t="shared" si="1589"/>
        <v>1792</v>
      </c>
      <c r="AS751" s="33">
        <f t="shared" si="1589"/>
        <v>1362</v>
      </c>
      <c r="AT751" s="33">
        <f t="shared" si="1589"/>
        <v>1210</v>
      </c>
      <c r="AU751" s="33">
        <f t="shared" si="1589"/>
        <v>1139.25</v>
      </c>
      <c r="AV751" s="28">
        <f>AV893</f>
        <v>1054.25</v>
      </c>
      <c r="AW751" s="28">
        <f>AW893</f>
        <v>978.25</v>
      </c>
      <c r="AX751" s="28">
        <f>AX893</f>
        <v>902.25</v>
      </c>
    </row>
    <row r="752" spans="2:51" ht="11.25" customHeight="1">
      <c r="C752" s="43" t="s">
        <v>49</v>
      </c>
      <c r="E752" s="29">
        <v>404</v>
      </c>
      <c r="F752" s="29">
        <v>385</v>
      </c>
      <c r="G752" s="29">
        <v>375</v>
      </c>
      <c r="H752" s="29">
        <v>385</v>
      </c>
      <c r="I752" s="29">
        <v>351</v>
      </c>
      <c r="J752" s="29">
        <v>359</v>
      </c>
      <c r="K752" s="29">
        <v>370</v>
      </c>
      <c r="L752" s="29">
        <v>349</v>
      </c>
      <c r="M752" s="29">
        <v>362</v>
      </c>
      <c r="N752" s="29">
        <v>400</v>
      </c>
      <c r="O752" s="29">
        <v>405</v>
      </c>
      <c r="P752" s="29">
        <v>378</v>
      </c>
      <c r="Q752" s="29">
        <v>627</v>
      </c>
      <c r="R752" s="29">
        <v>616</v>
      </c>
      <c r="S752" s="29">
        <v>665</v>
      </c>
      <c r="T752" s="29">
        <v>674</v>
      </c>
      <c r="U752" s="29">
        <v>737</v>
      </c>
      <c r="V752" s="29">
        <v>727</v>
      </c>
      <c r="W752" s="29">
        <v>741</v>
      </c>
      <c r="X752" s="29">
        <v>736</v>
      </c>
      <c r="Y752" s="29">
        <v>745</v>
      </c>
      <c r="Z752" s="29">
        <v>736</v>
      </c>
      <c r="AA752" s="29">
        <v>761</v>
      </c>
      <c r="AB752" s="29">
        <v>874</v>
      </c>
      <c r="AC752" s="29">
        <v>912</v>
      </c>
      <c r="AD752" s="29">
        <v>1002</v>
      </c>
      <c r="AE752" s="29">
        <v>1048</v>
      </c>
      <c r="AF752" s="29">
        <v>855</v>
      </c>
      <c r="AG752" s="29">
        <v>846</v>
      </c>
      <c r="AH752" s="133">
        <f t="shared" ref="AH752:AJ752" si="1591">AG752</f>
        <v>846</v>
      </c>
      <c r="AI752" s="133">
        <f t="shared" si="1591"/>
        <v>846</v>
      </c>
      <c r="AJ752" s="133">
        <f t="shared" si="1591"/>
        <v>846</v>
      </c>
      <c r="AK752" s="79"/>
      <c r="AL752" s="29">
        <v>421</v>
      </c>
      <c r="AM752" s="29">
        <v>404</v>
      </c>
      <c r="AN752" s="33">
        <f t="shared" si="1589"/>
        <v>385</v>
      </c>
      <c r="AO752" s="33">
        <f t="shared" si="1589"/>
        <v>349</v>
      </c>
      <c r="AP752" s="33">
        <f t="shared" si="1589"/>
        <v>378</v>
      </c>
      <c r="AQ752" s="33">
        <f t="shared" si="1589"/>
        <v>674</v>
      </c>
      <c r="AR752" s="33">
        <f t="shared" si="1589"/>
        <v>736</v>
      </c>
      <c r="AS752" s="33">
        <f t="shared" si="1589"/>
        <v>874</v>
      </c>
      <c r="AT752" s="33">
        <f t="shared" si="1589"/>
        <v>855</v>
      </c>
      <c r="AU752" s="33">
        <f t="shared" si="1589"/>
        <v>846</v>
      </c>
      <c r="AV752" s="133">
        <f>AU752</f>
        <v>846</v>
      </c>
      <c r="AW752" s="133">
        <f>AV752</f>
        <v>846</v>
      </c>
      <c r="AX752" s="133">
        <f>AW752</f>
        <v>846</v>
      </c>
    </row>
    <row r="753" spans="3:51" s="27" customFormat="1" ht="11.25" customHeight="1">
      <c r="C753" s="45" t="s">
        <v>50</v>
      </c>
      <c r="E753" s="35">
        <f t="shared" ref="E753:P753" si="1592">+E744+E748+SUM(E750:E752)</f>
        <v>15616</v>
      </c>
      <c r="F753" s="35">
        <f t="shared" si="1592"/>
        <v>15582</v>
      </c>
      <c r="G753" s="35">
        <f t="shared" si="1592"/>
        <v>15489</v>
      </c>
      <c r="H753" s="35">
        <f t="shared" si="1592"/>
        <v>15457</v>
      </c>
      <c r="I753" s="35">
        <f t="shared" si="1592"/>
        <v>15755</v>
      </c>
      <c r="J753" s="35">
        <f t="shared" si="1592"/>
        <v>15964</v>
      </c>
      <c r="K753" s="35">
        <f t="shared" si="1592"/>
        <v>16024</v>
      </c>
      <c r="L753" s="35">
        <f t="shared" si="1592"/>
        <v>15999</v>
      </c>
      <c r="M753" s="35">
        <f t="shared" si="1592"/>
        <v>16366</v>
      </c>
      <c r="N753" s="35">
        <f t="shared" si="1592"/>
        <v>16260</v>
      </c>
      <c r="O753" s="35">
        <f t="shared" si="1592"/>
        <v>16362</v>
      </c>
      <c r="P753" s="35">
        <f t="shared" si="1592"/>
        <v>15995</v>
      </c>
      <c r="Q753" s="35">
        <f>+Q744+Q748+SUM(Q750:Q752)</f>
        <v>16361</v>
      </c>
      <c r="R753" s="35">
        <f>+R744+R748+SUM(R750:R752)</f>
        <v>16256</v>
      </c>
      <c r="S753" s="35">
        <f>+S744+S748+SUM(S750:S752)</f>
        <v>16137</v>
      </c>
      <c r="T753" s="35">
        <f>+T744+T748+SUM(T750:T752)</f>
        <v>16008</v>
      </c>
      <c r="U753" s="35">
        <f t="shared" ref="U753:AC753" si="1593">+U744+U748+SUM(U750:U752)</f>
        <v>16465</v>
      </c>
      <c r="V753" s="35">
        <f t="shared" si="1593"/>
        <v>15973</v>
      </c>
      <c r="W753" s="35">
        <f t="shared" si="1593"/>
        <v>16009</v>
      </c>
      <c r="X753" s="35">
        <f t="shared" si="1593"/>
        <v>16083</v>
      </c>
      <c r="Y753" s="35">
        <f t="shared" si="1593"/>
        <v>16195</v>
      </c>
      <c r="Z753" s="35">
        <f t="shared" si="1593"/>
        <v>16098</v>
      </c>
      <c r="AA753" s="35">
        <f t="shared" si="1593"/>
        <v>16259</v>
      </c>
      <c r="AB753" s="35">
        <f t="shared" si="1593"/>
        <v>15519</v>
      </c>
      <c r="AC753" s="35">
        <f t="shared" si="1593"/>
        <v>15806</v>
      </c>
      <c r="AD753" s="35">
        <f>+AD744+AD748+SUM(AD750:AD752)</f>
        <v>14875</v>
      </c>
      <c r="AE753" s="35">
        <f t="shared" ref="AE753:AF753" si="1594">+AE744+AE748+SUM(AE750:AE752)</f>
        <v>14985</v>
      </c>
      <c r="AF753" s="35">
        <f t="shared" si="1594"/>
        <v>14667</v>
      </c>
      <c r="AG753" s="35">
        <f t="shared" ref="AG753" si="1595">+AG744+AG748+SUM(AG750:AG752)</f>
        <v>14983</v>
      </c>
      <c r="AH753" s="35">
        <f ca="1">+AH744+AH748+SUM(AH750:AH752)</f>
        <v>14334.97085010274</v>
      </c>
      <c r="AI753" s="35">
        <f ca="1">+AI744+AI748+SUM(AI750:AI752)</f>
        <v>14455.331687438356</v>
      </c>
      <c r="AJ753" s="35">
        <f ca="1">+AJ744+AJ748+SUM(AJ750:AJ752)</f>
        <v>14504.483722253424</v>
      </c>
      <c r="AK753" s="79"/>
      <c r="AL753" s="35">
        <f t="shared" ref="AL753:AT753" si="1596">+AL744+AL748+SUM(AL750:AL752)</f>
        <v>16072</v>
      </c>
      <c r="AM753" s="35">
        <f t="shared" si="1596"/>
        <v>15580</v>
      </c>
      <c r="AN753" s="35">
        <f t="shared" si="1596"/>
        <v>15457</v>
      </c>
      <c r="AO753" s="35">
        <f t="shared" si="1596"/>
        <v>15999</v>
      </c>
      <c r="AP753" s="35">
        <f t="shared" si="1596"/>
        <v>15995</v>
      </c>
      <c r="AQ753" s="35">
        <f t="shared" si="1596"/>
        <v>16008</v>
      </c>
      <c r="AR753" s="35">
        <f t="shared" si="1596"/>
        <v>16083</v>
      </c>
      <c r="AS753" s="35">
        <f t="shared" si="1596"/>
        <v>15519</v>
      </c>
      <c r="AT753" s="35">
        <f t="shared" si="1596"/>
        <v>14667</v>
      </c>
      <c r="AU753" s="35">
        <f ca="1">+AU744+AU748+SUM(AU750:AU752)</f>
        <v>14504.483722253424</v>
      </c>
      <c r="AV753" s="35">
        <f ca="1">+AV744+AV748+SUM(AV750:AV752)</f>
        <v>14654.983277356985</v>
      </c>
      <c r="AW753" s="35">
        <f ca="1">+AW744+AW748+SUM(AW750:AW752)</f>
        <v>14509.826575211004</v>
      </c>
      <c r="AX753" s="35">
        <f ca="1">+AX744+AX748+SUM(AX750:AX752)</f>
        <v>14540.845543993753</v>
      </c>
      <c r="AY753" s="1"/>
    </row>
    <row r="754" spans="3:51" ht="11.25" customHeight="1">
      <c r="C754" s="43"/>
      <c r="E754" s="28"/>
      <c r="F754" s="28"/>
      <c r="G754" s="28"/>
      <c r="H754" s="28"/>
      <c r="I754" s="28"/>
      <c r="J754" s="28"/>
      <c r="K754" s="28"/>
      <c r="L754" s="28"/>
      <c r="M754" s="28"/>
      <c r="N754" s="28"/>
      <c r="O754" s="28"/>
      <c r="P754" s="28"/>
      <c r="Q754" s="28"/>
      <c r="R754" s="28"/>
      <c r="AK754" s="79"/>
      <c r="AL754" s="28"/>
      <c r="AM754" s="28"/>
      <c r="AN754" s="28"/>
      <c r="AO754" s="28"/>
      <c r="AP754" s="28"/>
    </row>
    <row r="755" spans="3:51" ht="11.25" customHeight="1">
      <c r="C755" s="43" t="s">
        <v>341</v>
      </c>
      <c r="E755" s="29">
        <v>633</v>
      </c>
      <c r="F755" s="29">
        <v>610</v>
      </c>
      <c r="G755" s="29">
        <v>629</v>
      </c>
      <c r="H755" s="29">
        <v>704</v>
      </c>
      <c r="I755" s="29">
        <v>668</v>
      </c>
      <c r="J755" s="29">
        <v>675</v>
      </c>
      <c r="K755" s="29">
        <v>689</v>
      </c>
      <c r="L755" s="29">
        <v>842</v>
      </c>
      <c r="M755" s="29">
        <v>838</v>
      </c>
      <c r="N755" s="29">
        <v>811</v>
      </c>
      <c r="O755" s="29">
        <v>823</v>
      </c>
      <c r="P755" s="29">
        <v>914</v>
      </c>
      <c r="Q755" s="29">
        <v>857</v>
      </c>
      <c r="R755" s="29">
        <v>814</v>
      </c>
      <c r="S755" s="29">
        <v>716</v>
      </c>
      <c r="T755" s="29">
        <v>890</v>
      </c>
      <c r="U755" s="29">
        <v>1420</v>
      </c>
      <c r="V755" s="29">
        <v>1176</v>
      </c>
      <c r="W755" s="29">
        <v>1419</v>
      </c>
      <c r="X755" s="29">
        <v>1689</v>
      </c>
      <c r="Y755" s="29">
        <v>1692</v>
      </c>
      <c r="Z755" s="29">
        <v>1873</v>
      </c>
      <c r="AA755" s="29">
        <v>1970</v>
      </c>
      <c r="AB755" s="29">
        <v>2133</v>
      </c>
      <c r="AC755" s="29">
        <v>2053</v>
      </c>
      <c r="AD755" s="29">
        <v>2169</v>
      </c>
      <c r="AE755" s="29">
        <v>2121</v>
      </c>
      <c r="AF755" s="29">
        <v>2125</v>
      </c>
      <c r="AG755" s="29">
        <v>1957</v>
      </c>
      <c r="AH755" s="28">
        <f>AH850*SUM(AE14:AH14)/365</f>
        <v>2014.9183726027397</v>
      </c>
      <c r="AI755" s="28">
        <f>AI850*SUM(AF14:AI14)/365</f>
        <v>2002.5762164383561</v>
      </c>
      <c r="AJ755" s="28">
        <f>AJ850*SUM(AG14:AJ14)/365</f>
        <v>1975.4448657534249</v>
      </c>
      <c r="AK755" s="79"/>
      <c r="AL755" s="29">
        <v>827</v>
      </c>
      <c r="AM755" s="29">
        <v>699</v>
      </c>
      <c r="AN755" s="33">
        <f t="shared" ref="AN755:AU761" si="1597">SUMIF($E$7:$AK$7,AN$7,$E755:$AK755)</f>
        <v>704</v>
      </c>
      <c r="AO755" s="33">
        <f t="shared" si="1597"/>
        <v>842</v>
      </c>
      <c r="AP755" s="33">
        <f t="shared" si="1597"/>
        <v>914</v>
      </c>
      <c r="AQ755" s="33">
        <f t="shared" si="1597"/>
        <v>890</v>
      </c>
      <c r="AR755" s="33">
        <f t="shared" si="1597"/>
        <v>1689</v>
      </c>
      <c r="AS755" s="33">
        <f t="shared" si="1597"/>
        <v>2133</v>
      </c>
      <c r="AT755" s="33">
        <f t="shared" si="1597"/>
        <v>2125</v>
      </c>
      <c r="AU755" s="33">
        <f t="shared" si="1597"/>
        <v>1975.4448657534249</v>
      </c>
      <c r="AV755" s="28">
        <f>AV850*AV14/365</f>
        <v>1932.494174136986</v>
      </c>
      <c r="AW755" s="28">
        <f>AW850*AW14/365</f>
        <v>1991.1209949320548</v>
      </c>
      <c r="AX755" s="28">
        <f>AX850*AX14/365</f>
        <v>2041.7543955697065</v>
      </c>
    </row>
    <row r="756" spans="3:51" ht="11.25" customHeight="1">
      <c r="C756" s="43" t="s">
        <v>344</v>
      </c>
      <c r="E756" s="29">
        <v>170</v>
      </c>
      <c r="F756" s="29">
        <v>206</v>
      </c>
      <c r="G756" s="29">
        <v>185</v>
      </c>
      <c r="H756" s="29">
        <v>0</v>
      </c>
      <c r="I756" s="29">
        <v>0</v>
      </c>
      <c r="J756" s="29">
        <v>82</v>
      </c>
      <c r="K756" s="29">
        <v>0</v>
      </c>
      <c r="L756" s="29">
        <v>0</v>
      </c>
      <c r="M756" s="29">
        <v>0</v>
      </c>
      <c r="N756" s="29">
        <v>0</v>
      </c>
      <c r="O756" s="29">
        <v>0</v>
      </c>
      <c r="P756" s="29">
        <v>0</v>
      </c>
      <c r="Q756" s="29">
        <v>0</v>
      </c>
      <c r="R756" s="29">
        <v>0</v>
      </c>
      <c r="S756" s="29">
        <v>0</v>
      </c>
      <c r="T756" s="29">
        <v>0</v>
      </c>
      <c r="U756" s="29">
        <v>0</v>
      </c>
      <c r="V756" s="29">
        <v>0</v>
      </c>
      <c r="W756" s="29">
        <v>0</v>
      </c>
      <c r="X756" s="29">
        <v>0</v>
      </c>
      <c r="Y756" s="29">
        <v>0</v>
      </c>
      <c r="Z756" s="29">
        <v>0</v>
      </c>
      <c r="AA756" s="29">
        <v>0</v>
      </c>
      <c r="AB756" s="29">
        <v>0</v>
      </c>
      <c r="AC756" s="29">
        <v>0</v>
      </c>
      <c r="AD756" s="29">
        <v>0</v>
      </c>
      <c r="AE756" s="29">
        <v>0</v>
      </c>
      <c r="AF756" s="29">
        <v>0</v>
      </c>
      <c r="AG756" s="29">
        <v>0</v>
      </c>
      <c r="AH756" s="133">
        <f t="shared" ref="AH756:AJ756" si="1598">AG756</f>
        <v>0</v>
      </c>
      <c r="AI756" s="133">
        <f t="shared" si="1598"/>
        <v>0</v>
      </c>
      <c r="AJ756" s="133">
        <f t="shared" si="1598"/>
        <v>0</v>
      </c>
      <c r="AK756" s="79"/>
      <c r="AL756" s="29">
        <v>227</v>
      </c>
      <c r="AM756" s="29">
        <v>218</v>
      </c>
      <c r="AN756" s="33">
        <f t="shared" si="1597"/>
        <v>0</v>
      </c>
      <c r="AO756" s="33">
        <f t="shared" si="1597"/>
        <v>0</v>
      </c>
      <c r="AP756" s="33">
        <f t="shared" si="1597"/>
        <v>0</v>
      </c>
      <c r="AQ756" s="33">
        <f t="shared" si="1597"/>
        <v>0</v>
      </c>
      <c r="AR756" s="33">
        <f t="shared" si="1597"/>
        <v>0</v>
      </c>
      <c r="AS756" s="33">
        <f t="shared" si="1597"/>
        <v>0</v>
      </c>
      <c r="AT756" s="33">
        <f t="shared" si="1597"/>
        <v>0</v>
      </c>
      <c r="AU756" s="33">
        <f t="shared" si="1597"/>
        <v>0</v>
      </c>
      <c r="AV756" s="133">
        <f>AU756</f>
        <v>0</v>
      </c>
      <c r="AW756" s="133">
        <f>AV756</f>
        <v>0</v>
      </c>
      <c r="AX756" s="133">
        <f>AW756</f>
        <v>0</v>
      </c>
    </row>
    <row r="757" spans="3:51" ht="11.25" customHeight="1">
      <c r="C757" s="43" t="s">
        <v>342</v>
      </c>
      <c r="E757" s="29">
        <v>125</v>
      </c>
      <c r="F757" s="29">
        <v>172</v>
      </c>
      <c r="G757" s="29">
        <v>197</v>
      </c>
      <c r="H757" s="29">
        <v>196</v>
      </c>
      <c r="I757" s="29">
        <v>110</v>
      </c>
      <c r="J757" s="29">
        <v>125</v>
      </c>
      <c r="K757" s="29">
        <v>183</v>
      </c>
      <c r="L757" s="29">
        <v>199</v>
      </c>
      <c r="M757" s="29">
        <v>120</v>
      </c>
      <c r="N757" s="29">
        <v>135</v>
      </c>
      <c r="O757" s="29">
        <v>191</v>
      </c>
      <c r="P757" s="29">
        <v>197</v>
      </c>
      <c r="Q757" s="29">
        <v>115</v>
      </c>
      <c r="R757" s="29">
        <v>116</v>
      </c>
      <c r="S757" s="29">
        <v>163</v>
      </c>
      <c r="T757" s="29">
        <v>176</v>
      </c>
      <c r="U757" s="29">
        <v>0</v>
      </c>
      <c r="V757" s="29">
        <v>0</v>
      </c>
      <c r="W757" s="29">
        <v>0</v>
      </c>
      <c r="X757" s="29">
        <v>0</v>
      </c>
      <c r="Y757" s="29">
        <v>0</v>
      </c>
      <c r="Z757" s="29">
        <v>0</v>
      </c>
      <c r="AA757" s="29">
        <v>0</v>
      </c>
      <c r="AB757" s="29">
        <v>0</v>
      </c>
      <c r="AC757" s="29">
        <v>0</v>
      </c>
      <c r="AD757" s="29">
        <v>0</v>
      </c>
      <c r="AE757" s="29">
        <v>0</v>
      </c>
      <c r="AF757" s="29">
        <v>0</v>
      </c>
      <c r="AG757" s="29">
        <v>0</v>
      </c>
      <c r="AH757" s="28">
        <f>SUM(AE14:AH14)*AH855</f>
        <v>0</v>
      </c>
      <c r="AI757" s="28">
        <f>SUM(AF14:AI14)*AI855</f>
        <v>0</v>
      </c>
      <c r="AJ757" s="28">
        <f>SUM(AG14:AJ14)*AJ855</f>
        <v>0</v>
      </c>
      <c r="AK757" s="79"/>
      <c r="AL757" s="29">
        <v>191</v>
      </c>
      <c r="AM757" s="29">
        <v>227</v>
      </c>
      <c r="AN757" s="33">
        <f t="shared" si="1597"/>
        <v>196</v>
      </c>
      <c r="AO757" s="33">
        <f t="shared" si="1597"/>
        <v>199</v>
      </c>
      <c r="AP757" s="33">
        <f t="shared" si="1597"/>
        <v>197</v>
      </c>
      <c r="AQ757" s="33">
        <f t="shared" si="1597"/>
        <v>176</v>
      </c>
      <c r="AR757" s="33">
        <f t="shared" si="1597"/>
        <v>0</v>
      </c>
      <c r="AS757" s="33">
        <f t="shared" si="1597"/>
        <v>0</v>
      </c>
      <c r="AT757" s="33">
        <f t="shared" si="1597"/>
        <v>0</v>
      </c>
      <c r="AU757" s="33">
        <f t="shared" si="1597"/>
        <v>0</v>
      </c>
      <c r="AV757" s="28">
        <f>AV855*AV14</f>
        <v>0</v>
      </c>
      <c r="AW757" s="28">
        <f>AW855*AW14</f>
        <v>0</v>
      </c>
      <c r="AX757" s="28">
        <f>AX855*AX14</f>
        <v>0</v>
      </c>
    </row>
    <row r="758" spans="3:51" ht="11.25" customHeight="1">
      <c r="C758" s="43" t="s">
        <v>108</v>
      </c>
      <c r="E758" s="29">
        <v>299</v>
      </c>
      <c r="F758" s="29">
        <v>383</v>
      </c>
      <c r="G758" s="29">
        <v>305</v>
      </c>
      <c r="H758" s="29">
        <v>396</v>
      </c>
      <c r="I758" s="29">
        <v>390</v>
      </c>
      <c r="J758" s="29">
        <v>328</v>
      </c>
      <c r="K758" s="29">
        <v>341</v>
      </c>
      <c r="L758" s="29">
        <v>437</v>
      </c>
      <c r="M758" s="29">
        <v>415</v>
      </c>
      <c r="N758" s="29">
        <v>381</v>
      </c>
      <c r="O758" s="29">
        <v>329</v>
      </c>
      <c r="P758" s="29">
        <f>403-80</f>
        <v>323</v>
      </c>
      <c r="Q758" s="29">
        <v>451</v>
      </c>
      <c r="R758" s="29">
        <v>476</v>
      </c>
      <c r="S758" s="29">
        <v>465</v>
      </c>
      <c r="T758" s="29">
        <f>280+90</f>
        <v>370</v>
      </c>
      <c r="U758" s="29">
        <v>0</v>
      </c>
      <c r="V758" s="29">
        <v>0</v>
      </c>
      <c r="W758" s="29">
        <v>0</v>
      </c>
      <c r="X758" s="29">
        <v>0</v>
      </c>
      <c r="Y758" s="29">
        <v>0</v>
      </c>
      <c r="Z758" s="29">
        <v>0</v>
      </c>
      <c r="AA758" s="29">
        <v>0</v>
      </c>
      <c r="AB758" s="29">
        <v>0</v>
      </c>
      <c r="AC758" s="29">
        <v>0</v>
      </c>
      <c r="AD758" s="29">
        <v>0</v>
      </c>
      <c r="AE758" s="29">
        <v>0</v>
      </c>
      <c r="AF758" s="29">
        <v>0</v>
      </c>
      <c r="AG758" s="29">
        <v>0</v>
      </c>
      <c r="AH758" s="133">
        <f t="shared" ref="AH758:AH761" si="1599">AG758</f>
        <v>0</v>
      </c>
      <c r="AI758" s="133">
        <f t="shared" ref="AI758:AI761" si="1600">AH758</f>
        <v>0</v>
      </c>
      <c r="AJ758" s="133">
        <f t="shared" ref="AJ758:AJ761" si="1601">AI758</f>
        <v>0</v>
      </c>
      <c r="AK758" s="79"/>
      <c r="AL758" s="29">
        <v>476</v>
      </c>
      <c r="AM758" s="29">
        <v>281</v>
      </c>
      <c r="AN758" s="33">
        <f t="shared" si="1597"/>
        <v>396</v>
      </c>
      <c r="AO758" s="33">
        <f t="shared" si="1597"/>
        <v>437</v>
      </c>
      <c r="AP758" s="33">
        <f t="shared" si="1597"/>
        <v>323</v>
      </c>
      <c r="AQ758" s="33">
        <f t="shared" si="1597"/>
        <v>370</v>
      </c>
      <c r="AR758" s="33">
        <f t="shared" si="1597"/>
        <v>0</v>
      </c>
      <c r="AS758" s="33">
        <f t="shared" si="1597"/>
        <v>0</v>
      </c>
      <c r="AT758" s="33">
        <f t="shared" si="1597"/>
        <v>0</v>
      </c>
      <c r="AU758" s="33">
        <f t="shared" si="1597"/>
        <v>0</v>
      </c>
      <c r="AV758" s="133">
        <f t="shared" ref="AV758:AX758" si="1602">AU758</f>
        <v>0</v>
      </c>
      <c r="AW758" s="133">
        <f t="shared" si="1602"/>
        <v>0</v>
      </c>
      <c r="AX758" s="133">
        <f t="shared" si="1602"/>
        <v>0</v>
      </c>
    </row>
    <row r="759" spans="3:51" ht="11.25" customHeight="1">
      <c r="C759" s="43" t="s">
        <v>343</v>
      </c>
      <c r="E759" s="29">
        <v>0</v>
      </c>
      <c r="F759" s="29">
        <v>0</v>
      </c>
      <c r="G759" s="29">
        <v>99</v>
      </c>
      <c r="H759" s="29">
        <v>106</v>
      </c>
      <c r="I759" s="29">
        <v>76</v>
      </c>
      <c r="J759" s="29">
        <v>90</v>
      </c>
      <c r="K759" s="29">
        <v>106</v>
      </c>
      <c r="L759" s="29">
        <v>111</v>
      </c>
      <c r="M759" s="29">
        <v>67</v>
      </c>
      <c r="N759" s="29">
        <v>79</v>
      </c>
      <c r="O759" s="29">
        <v>82</v>
      </c>
      <c r="P759" s="29">
        <v>94</v>
      </c>
      <c r="Q759" s="29">
        <v>67</v>
      </c>
      <c r="R759" s="29">
        <v>89</v>
      </c>
      <c r="S759" s="29">
        <v>94</v>
      </c>
      <c r="T759" s="29">
        <v>89</v>
      </c>
      <c r="U759" s="29">
        <v>0</v>
      </c>
      <c r="V759" s="29">
        <v>0</v>
      </c>
      <c r="W759" s="29">
        <v>0</v>
      </c>
      <c r="X759" s="29">
        <v>0</v>
      </c>
      <c r="Y759" s="29">
        <v>0</v>
      </c>
      <c r="Z759" s="29">
        <v>0</v>
      </c>
      <c r="AA759" s="29">
        <v>0</v>
      </c>
      <c r="AB759" s="29">
        <v>0</v>
      </c>
      <c r="AC759" s="29">
        <v>0</v>
      </c>
      <c r="AD759" s="29">
        <v>0</v>
      </c>
      <c r="AE759" s="29">
        <v>0</v>
      </c>
      <c r="AF759" s="29">
        <v>0</v>
      </c>
      <c r="AG759" s="29">
        <v>0</v>
      </c>
      <c r="AH759" s="133">
        <f t="shared" si="1599"/>
        <v>0</v>
      </c>
      <c r="AI759" s="133">
        <f t="shared" si="1600"/>
        <v>0</v>
      </c>
      <c r="AJ759" s="133">
        <f t="shared" si="1601"/>
        <v>0</v>
      </c>
      <c r="AK759" s="79"/>
      <c r="AL759" s="29">
        <v>0</v>
      </c>
      <c r="AM759" s="29">
        <v>80</v>
      </c>
      <c r="AN759" s="33">
        <f t="shared" si="1597"/>
        <v>106</v>
      </c>
      <c r="AO759" s="33">
        <f t="shared" si="1597"/>
        <v>111</v>
      </c>
      <c r="AP759" s="33">
        <f t="shared" si="1597"/>
        <v>94</v>
      </c>
      <c r="AQ759" s="33">
        <f t="shared" si="1597"/>
        <v>89</v>
      </c>
      <c r="AR759" s="33">
        <f t="shared" si="1597"/>
        <v>0</v>
      </c>
      <c r="AS759" s="33">
        <f t="shared" si="1597"/>
        <v>0</v>
      </c>
      <c r="AT759" s="33">
        <f t="shared" si="1597"/>
        <v>0</v>
      </c>
      <c r="AU759" s="33">
        <f t="shared" si="1597"/>
        <v>0</v>
      </c>
      <c r="AV759" s="133">
        <f t="shared" ref="AV759:AX759" si="1603">AU759</f>
        <v>0</v>
      </c>
      <c r="AW759" s="133">
        <f t="shared" si="1603"/>
        <v>0</v>
      </c>
      <c r="AX759" s="133">
        <f t="shared" si="1603"/>
        <v>0</v>
      </c>
    </row>
    <row r="760" spans="3:51" ht="11.25" customHeight="1">
      <c r="C760" s="43" t="s">
        <v>56</v>
      </c>
      <c r="E760" s="29">
        <v>107</v>
      </c>
      <c r="F760" s="29">
        <v>96</v>
      </c>
      <c r="G760" s="29">
        <v>116</v>
      </c>
      <c r="H760" s="29">
        <v>110</v>
      </c>
      <c r="I760" s="29">
        <v>88</v>
      </c>
      <c r="J760" s="29">
        <v>84</v>
      </c>
      <c r="K760" s="29">
        <v>83</v>
      </c>
      <c r="L760" s="29">
        <v>0</v>
      </c>
      <c r="M760" s="29">
        <v>0</v>
      </c>
      <c r="N760" s="29">
        <v>0</v>
      </c>
      <c r="O760" s="29">
        <v>0</v>
      </c>
      <c r="P760" s="29">
        <v>80</v>
      </c>
      <c r="Q760" s="29">
        <v>0</v>
      </c>
      <c r="R760" s="29">
        <v>0</v>
      </c>
      <c r="S760" s="29">
        <v>0</v>
      </c>
      <c r="T760" s="29">
        <v>93</v>
      </c>
      <c r="U760" s="29">
        <v>0</v>
      </c>
      <c r="V760" s="29">
        <v>0</v>
      </c>
      <c r="W760" s="29">
        <v>0</v>
      </c>
      <c r="X760" s="29">
        <v>0</v>
      </c>
      <c r="Y760" s="29">
        <v>0</v>
      </c>
      <c r="Z760" s="29">
        <v>0</v>
      </c>
      <c r="AA760" s="29">
        <v>0</v>
      </c>
      <c r="AB760" s="29">
        <v>0</v>
      </c>
      <c r="AC760" s="29">
        <v>0</v>
      </c>
      <c r="AD760" s="29">
        <v>0</v>
      </c>
      <c r="AE760" s="29">
        <v>0</v>
      </c>
      <c r="AF760" s="29">
        <v>0</v>
      </c>
      <c r="AG760" s="29">
        <v>0</v>
      </c>
      <c r="AH760" s="133">
        <f t="shared" si="1599"/>
        <v>0</v>
      </c>
      <c r="AI760" s="133">
        <f t="shared" si="1600"/>
        <v>0</v>
      </c>
      <c r="AJ760" s="133">
        <f t="shared" si="1601"/>
        <v>0</v>
      </c>
      <c r="AK760" s="79"/>
      <c r="AL760" s="29">
        <v>0</v>
      </c>
      <c r="AM760" s="29">
        <v>120</v>
      </c>
      <c r="AN760" s="33">
        <f t="shared" si="1597"/>
        <v>110</v>
      </c>
      <c r="AO760" s="33">
        <f t="shared" si="1597"/>
        <v>0</v>
      </c>
      <c r="AP760" s="33">
        <f t="shared" si="1597"/>
        <v>80</v>
      </c>
      <c r="AQ760" s="33">
        <f t="shared" si="1597"/>
        <v>93</v>
      </c>
      <c r="AR760" s="33">
        <f t="shared" si="1597"/>
        <v>0</v>
      </c>
      <c r="AS760" s="33">
        <f t="shared" si="1597"/>
        <v>0</v>
      </c>
      <c r="AT760" s="33">
        <f t="shared" si="1597"/>
        <v>0</v>
      </c>
      <c r="AU760" s="33">
        <f t="shared" si="1597"/>
        <v>0</v>
      </c>
      <c r="AV760" s="133">
        <f t="shared" ref="AV760:AX761" si="1604">AU760</f>
        <v>0</v>
      </c>
      <c r="AW760" s="133">
        <f t="shared" si="1604"/>
        <v>0</v>
      </c>
      <c r="AX760" s="133">
        <f t="shared" si="1604"/>
        <v>0</v>
      </c>
    </row>
    <row r="761" spans="3:51" ht="11.25" customHeight="1">
      <c r="C761" s="43" t="s">
        <v>1129</v>
      </c>
      <c r="E761" s="29"/>
      <c r="F761" s="29"/>
      <c r="G761" s="29"/>
      <c r="H761" s="29"/>
      <c r="I761" s="29"/>
      <c r="J761" s="29"/>
      <c r="K761" s="29"/>
      <c r="L761" s="29"/>
      <c r="M761" s="29"/>
      <c r="N761" s="29"/>
      <c r="O761" s="29"/>
      <c r="P761" s="29"/>
      <c r="Q761" s="29"/>
      <c r="R761" s="29"/>
      <c r="S761" s="29"/>
      <c r="T761" s="29"/>
      <c r="U761" s="29"/>
      <c r="V761" s="29"/>
      <c r="W761" s="29"/>
      <c r="X761" s="29"/>
      <c r="Y761" s="29"/>
      <c r="Z761" s="29">
        <v>97</v>
      </c>
      <c r="AA761" s="29">
        <v>97</v>
      </c>
      <c r="AB761" s="29">
        <v>91</v>
      </c>
      <c r="AC761" s="29">
        <v>99</v>
      </c>
      <c r="AD761" s="29">
        <v>0</v>
      </c>
      <c r="AE761" s="29">
        <v>0</v>
      </c>
      <c r="AF761" s="29">
        <v>0</v>
      </c>
      <c r="AG761" s="29">
        <v>0</v>
      </c>
      <c r="AH761" s="133">
        <f t="shared" si="1599"/>
        <v>0</v>
      </c>
      <c r="AI761" s="133">
        <f t="shared" si="1600"/>
        <v>0</v>
      </c>
      <c r="AJ761" s="133">
        <f t="shared" si="1601"/>
        <v>0</v>
      </c>
      <c r="AK761" s="79"/>
      <c r="AL761" s="29"/>
      <c r="AM761" s="29"/>
      <c r="AN761" s="33">
        <f t="shared" si="1597"/>
        <v>0</v>
      </c>
      <c r="AO761" s="33">
        <f t="shared" si="1597"/>
        <v>0</v>
      </c>
      <c r="AP761" s="33">
        <f t="shared" si="1597"/>
        <v>0</v>
      </c>
      <c r="AQ761" s="33">
        <f t="shared" si="1597"/>
        <v>0</v>
      </c>
      <c r="AR761" s="33">
        <f t="shared" si="1597"/>
        <v>0</v>
      </c>
      <c r="AS761" s="33">
        <f t="shared" si="1597"/>
        <v>91</v>
      </c>
      <c r="AT761" s="33">
        <f t="shared" si="1597"/>
        <v>0</v>
      </c>
      <c r="AU761" s="33">
        <f t="shared" si="1597"/>
        <v>0</v>
      </c>
      <c r="AV761" s="133">
        <f t="shared" si="1604"/>
        <v>0</v>
      </c>
      <c r="AW761" s="133">
        <f t="shared" si="1604"/>
        <v>0</v>
      </c>
      <c r="AX761" s="133">
        <f t="shared" si="1604"/>
        <v>0</v>
      </c>
    </row>
    <row r="762" spans="3:51" s="27" customFormat="1" ht="11.25" customHeight="1">
      <c r="C762" s="45" t="s">
        <v>53</v>
      </c>
      <c r="E762" s="35">
        <f>SUM(E755:E761)</f>
        <v>1334</v>
      </c>
      <c r="F762" s="35">
        <f t="shared" ref="F762:AJ762" si="1605">SUM(F755:F761)</f>
        <v>1467</v>
      </c>
      <c r="G762" s="35">
        <f t="shared" si="1605"/>
        <v>1531</v>
      </c>
      <c r="H762" s="35">
        <f t="shared" si="1605"/>
        <v>1512</v>
      </c>
      <c r="I762" s="35">
        <f t="shared" si="1605"/>
        <v>1332</v>
      </c>
      <c r="J762" s="35">
        <f t="shared" si="1605"/>
        <v>1384</v>
      </c>
      <c r="K762" s="35">
        <f t="shared" si="1605"/>
        <v>1402</v>
      </c>
      <c r="L762" s="35">
        <f t="shared" si="1605"/>
        <v>1589</v>
      </c>
      <c r="M762" s="35">
        <f t="shared" si="1605"/>
        <v>1440</v>
      </c>
      <c r="N762" s="35">
        <f t="shared" si="1605"/>
        <v>1406</v>
      </c>
      <c r="O762" s="35">
        <f t="shared" si="1605"/>
        <v>1425</v>
      </c>
      <c r="P762" s="35">
        <f t="shared" si="1605"/>
        <v>1608</v>
      </c>
      <c r="Q762" s="35">
        <f t="shared" si="1605"/>
        <v>1490</v>
      </c>
      <c r="R762" s="35">
        <f t="shared" si="1605"/>
        <v>1495</v>
      </c>
      <c r="S762" s="35">
        <f t="shared" si="1605"/>
        <v>1438</v>
      </c>
      <c r="T762" s="35">
        <f t="shared" si="1605"/>
        <v>1618</v>
      </c>
      <c r="U762" s="35">
        <f t="shared" si="1605"/>
        <v>1420</v>
      </c>
      <c r="V762" s="35">
        <f t="shared" si="1605"/>
        <v>1176</v>
      </c>
      <c r="W762" s="35">
        <f t="shared" si="1605"/>
        <v>1419</v>
      </c>
      <c r="X762" s="35">
        <f t="shared" si="1605"/>
        <v>1689</v>
      </c>
      <c r="Y762" s="35">
        <f t="shared" si="1605"/>
        <v>1692</v>
      </c>
      <c r="Z762" s="35">
        <f t="shared" si="1605"/>
        <v>1970</v>
      </c>
      <c r="AA762" s="35">
        <f t="shared" si="1605"/>
        <v>2067</v>
      </c>
      <c r="AB762" s="35">
        <f t="shared" si="1605"/>
        <v>2224</v>
      </c>
      <c r="AC762" s="35">
        <f t="shared" si="1605"/>
        <v>2152</v>
      </c>
      <c r="AD762" s="35">
        <f t="shared" si="1605"/>
        <v>2169</v>
      </c>
      <c r="AE762" s="35">
        <f t="shared" si="1605"/>
        <v>2121</v>
      </c>
      <c r="AF762" s="35">
        <f t="shared" si="1605"/>
        <v>2125</v>
      </c>
      <c r="AG762" s="35">
        <f t="shared" ref="AG762" si="1606">SUM(AG755:AG761)</f>
        <v>1957</v>
      </c>
      <c r="AH762" s="35">
        <f t="shared" si="1605"/>
        <v>2014.9183726027397</v>
      </c>
      <c r="AI762" s="35">
        <f t="shared" si="1605"/>
        <v>2002.5762164383561</v>
      </c>
      <c r="AJ762" s="35">
        <f t="shared" si="1605"/>
        <v>1975.4448657534249</v>
      </c>
      <c r="AK762" s="79"/>
      <c r="AL762" s="35">
        <f t="shared" ref="AL762" si="1607">SUM(AL755:AL761)</f>
        <v>1721</v>
      </c>
      <c r="AM762" s="35">
        <f t="shared" ref="AM762" si="1608">SUM(AM755:AM761)</f>
        <v>1625</v>
      </c>
      <c r="AN762" s="35">
        <f t="shared" ref="AN762" si="1609">SUM(AN755:AN761)</f>
        <v>1512</v>
      </c>
      <c r="AO762" s="35">
        <f t="shared" ref="AO762" si="1610">SUM(AO755:AO761)</f>
        <v>1589</v>
      </c>
      <c r="AP762" s="35">
        <f t="shared" ref="AP762" si="1611">SUM(AP755:AP761)</f>
        <v>1608</v>
      </c>
      <c r="AQ762" s="35">
        <f t="shared" ref="AQ762" si="1612">SUM(AQ755:AQ761)</f>
        <v>1618</v>
      </c>
      <c r="AR762" s="35">
        <f t="shared" ref="AR762" si="1613">SUM(AR755:AR761)</f>
        <v>1689</v>
      </c>
      <c r="AS762" s="35">
        <f t="shared" ref="AS762" si="1614">SUM(AS755:AS761)</f>
        <v>2224</v>
      </c>
      <c r="AT762" s="35">
        <f t="shared" ref="AT762" si="1615">SUM(AT755:AT761)</f>
        <v>2125</v>
      </c>
      <c r="AU762" s="35">
        <f t="shared" ref="AU762" si="1616">SUM(AU755:AU761)</f>
        <v>1975.4448657534249</v>
      </c>
      <c r="AV762" s="35">
        <f t="shared" ref="AV762" si="1617">SUM(AV755:AV761)</f>
        <v>1932.494174136986</v>
      </c>
      <c r="AW762" s="35">
        <f t="shared" ref="AW762" si="1618">SUM(AW755:AW761)</f>
        <v>1991.1209949320548</v>
      </c>
      <c r="AX762" s="35">
        <f t="shared" ref="AX762" si="1619">SUM(AX755:AX761)</f>
        <v>2041.7543955697065</v>
      </c>
      <c r="AY762" s="1"/>
    </row>
    <row r="763" spans="3:51" s="27" customFormat="1" ht="5.2" customHeight="1">
      <c r="C763" s="45"/>
      <c r="E763" s="30"/>
      <c r="F763" s="30"/>
      <c r="G763" s="30"/>
      <c r="H763" s="30"/>
      <c r="I763" s="30"/>
      <c r="J763" s="30"/>
      <c r="K763" s="30"/>
      <c r="L763" s="30"/>
      <c r="M763" s="30"/>
      <c r="N763" s="30"/>
      <c r="O763" s="30"/>
      <c r="P763" s="30"/>
      <c r="Q763" s="30"/>
      <c r="R763" s="30"/>
      <c r="AK763" s="79"/>
      <c r="AL763" s="437"/>
      <c r="AM763" s="437"/>
      <c r="AN763" s="437"/>
      <c r="AO763" s="437"/>
      <c r="AP763" s="437"/>
      <c r="AQ763" s="437"/>
      <c r="AR763" s="437"/>
      <c r="AS763" s="437"/>
      <c r="AT763" s="437"/>
      <c r="AU763" s="437"/>
      <c r="AY763" s="1"/>
    </row>
    <row r="764" spans="3:51" ht="11.25" customHeight="1" outlineLevel="1">
      <c r="C764" s="44" t="s">
        <v>54</v>
      </c>
      <c r="E764" s="29">
        <v>6565</v>
      </c>
      <c r="F764" s="29">
        <v>6082</v>
      </c>
      <c r="G764" s="29">
        <v>5933</v>
      </c>
      <c r="H764" s="29">
        <v>6311</v>
      </c>
      <c r="I764" s="29">
        <v>6578</v>
      </c>
      <c r="J764" s="29">
        <v>6669</v>
      </c>
      <c r="K764" s="29">
        <v>6325</v>
      </c>
      <c r="L764" s="29">
        <v>6147</v>
      </c>
      <c r="M764" s="29">
        <v>6311</v>
      </c>
      <c r="N764" s="29">
        <v>6033</v>
      </c>
      <c r="O764" s="29">
        <v>5898</v>
      </c>
      <c r="P764" s="29">
        <v>5925</v>
      </c>
      <c r="Q764" s="29">
        <v>5602</v>
      </c>
      <c r="R764" s="29">
        <v>5624</v>
      </c>
      <c r="S764" s="29">
        <v>5567</v>
      </c>
      <c r="T764" s="29">
        <v>5611</v>
      </c>
      <c r="U764" s="29">
        <v>5399</v>
      </c>
      <c r="V764" s="29">
        <v>5431</v>
      </c>
      <c r="W764" s="29">
        <v>5495</v>
      </c>
      <c r="X764" s="29">
        <v>5269</v>
      </c>
      <c r="Y764" s="29">
        <v>5200</v>
      </c>
      <c r="Z764" s="29">
        <v>5223</v>
      </c>
      <c r="AA764" s="29">
        <v>4442</v>
      </c>
      <c r="AB764" s="29">
        <v>4412</v>
      </c>
      <c r="AC764" s="29">
        <v>4379</v>
      </c>
      <c r="AD764" s="29">
        <v>4012</v>
      </c>
      <c r="AE764" s="29">
        <v>3979</v>
      </c>
      <c r="AF764" s="29">
        <v>4025</v>
      </c>
      <c r="AG764" s="29">
        <v>4636</v>
      </c>
      <c r="AH764" s="212">
        <f ca="1">Debt!AA29</f>
        <v>4018</v>
      </c>
      <c r="AI764" s="212">
        <f ca="1">Debt!AB29</f>
        <v>4834</v>
      </c>
      <c r="AJ764" s="212">
        <f ca="1">Debt!AC29</f>
        <v>4834</v>
      </c>
      <c r="AK764" s="79"/>
      <c r="AL764" s="29">
        <v>7248</v>
      </c>
      <c r="AM764" s="29">
        <v>6577</v>
      </c>
      <c r="AN764" s="33">
        <f t="shared" ref="AN764:AU769" si="1620">SUMIF($E$7:$AK$7,AN$7,$E764:$AK764)</f>
        <v>6311</v>
      </c>
      <c r="AO764" s="33">
        <f t="shared" si="1620"/>
        <v>6147</v>
      </c>
      <c r="AP764" s="33">
        <f t="shared" si="1620"/>
        <v>5925</v>
      </c>
      <c r="AQ764" s="33">
        <f t="shared" si="1620"/>
        <v>5611</v>
      </c>
      <c r="AR764" s="33">
        <f t="shared" si="1620"/>
        <v>5269</v>
      </c>
      <c r="AS764" s="33">
        <f t="shared" si="1620"/>
        <v>4412</v>
      </c>
      <c r="AT764" s="33">
        <f t="shared" si="1620"/>
        <v>4025</v>
      </c>
      <c r="AU764" s="33">
        <f ca="1">SUMIF($E$7:$AK$7,AU$7,$E764:$AK764)</f>
        <v>4834</v>
      </c>
      <c r="AV764" s="212">
        <f ca="1">Debt!AM29</f>
        <v>4352</v>
      </c>
      <c r="AW764" s="212">
        <f ca="1">Debt!AN29</f>
        <v>3205</v>
      </c>
      <c r="AX764" s="212">
        <f ca="1">Debt!AO29</f>
        <v>2815</v>
      </c>
    </row>
    <row r="765" spans="3:51" ht="11.25" customHeight="1" outlineLevel="1">
      <c r="C765" s="44" t="s">
        <v>52</v>
      </c>
      <c r="E765" s="29">
        <v>513</v>
      </c>
      <c r="F765" s="29">
        <v>722</v>
      </c>
      <c r="G765" s="29">
        <v>675</v>
      </c>
      <c r="H765" s="29">
        <v>283</v>
      </c>
      <c r="I765" s="29">
        <v>305</v>
      </c>
      <c r="J765" s="29">
        <v>212</v>
      </c>
      <c r="K765" s="29">
        <v>369</v>
      </c>
      <c r="L765" s="29">
        <v>393</v>
      </c>
      <c r="M765" s="29">
        <v>589</v>
      </c>
      <c r="N765" s="29">
        <v>662</v>
      </c>
      <c r="O765" s="29">
        <v>728</v>
      </c>
      <c r="P765" s="29">
        <v>243</v>
      </c>
      <c r="Q765" s="29">
        <v>862</v>
      </c>
      <c r="R765" s="29">
        <v>731</v>
      </c>
      <c r="S765" s="29">
        <v>642</v>
      </c>
      <c r="T765" s="29">
        <v>171</v>
      </c>
      <c r="U765" s="29">
        <v>895</v>
      </c>
      <c r="V765" s="29">
        <v>702</v>
      </c>
      <c r="W765" s="29">
        <v>370</v>
      </c>
      <c r="X765" s="29">
        <v>349</v>
      </c>
      <c r="Y765" s="29">
        <v>324</v>
      </c>
      <c r="Z765" s="29">
        <v>325</v>
      </c>
      <c r="AA765" s="29">
        <v>1046</v>
      </c>
      <c r="AB765" s="29">
        <v>747</v>
      </c>
      <c r="AC765" s="29">
        <v>984</v>
      </c>
      <c r="AD765" s="29">
        <v>979</v>
      </c>
      <c r="AE765" s="29">
        <v>1086</v>
      </c>
      <c r="AF765" s="29">
        <v>1126</v>
      </c>
      <c r="AG765" s="29">
        <v>1014</v>
      </c>
      <c r="AH765" s="1115">
        <f>Debt!AA28</f>
        <v>816</v>
      </c>
      <c r="AI765" s="212">
        <f>Debt!AB28</f>
        <v>0</v>
      </c>
      <c r="AJ765" s="212">
        <f>Debt!AC28</f>
        <v>0</v>
      </c>
      <c r="AK765" s="79"/>
      <c r="AL765" s="29">
        <v>301</v>
      </c>
      <c r="AM765" s="29">
        <v>431</v>
      </c>
      <c r="AN765" s="33">
        <f t="shared" ref="AN765:AT765" si="1621">SUMIF($E$7:$AK$7,AN$7,$E765:$AK765)</f>
        <v>283</v>
      </c>
      <c r="AO765" s="33">
        <f t="shared" si="1621"/>
        <v>393</v>
      </c>
      <c r="AP765" s="33">
        <f t="shared" si="1621"/>
        <v>243</v>
      </c>
      <c r="AQ765" s="33">
        <f t="shared" si="1621"/>
        <v>171</v>
      </c>
      <c r="AR765" s="33">
        <f t="shared" si="1621"/>
        <v>349</v>
      </c>
      <c r="AS765" s="33">
        <f t="shared" si="1621"/>
        <v>747</v>
      </c>
      <c r="AT765" s="33">
        <f t="shared" si="1621"/>
        <v>1126</v>
      </c>
      <c r="AU765" s="33">
        <f>SUMIF($E$7:$AK$7,AU$7,$E765:$AK765)</f>
        <v>0</v>
      </c>
      <c r="AV765" s="212">
        <f>Debt!AM28</f>
        <v>241</v>
      </c>
      <c r="AW765" s="212">
        <f>Debt!AN28</f>
        <v>694</v>
      </c>
      <c r="AX765" s="212">
        <f>Debt!AO28</f>
        <v>542</v>
      </c>
    </row>
    <row r="766" spans="3:51" ht="11.25" customHeight="1">
      <c r="C766" s="43" t="s">
        <v>1770</v>
      </c>
      <c r="E766" s="33">
        <f>SUM(E764:E765)</f>
        <v>7078</v>
      </c>
      <c r="F766" s="33">
        <f t="shared" ref="F766:AU766" si="1622">SUM(F764:F765)</f>
        <v>6804</v>
      </c>
      <c r="G766" s="33">
        <f t="shared" si="1622"/>
        <v>6608</v>
      </c>
      <c r="H766" s="33">
        <f t="shared" si="1622"/>
        <v>6594</v>
      </c>
      <c r="I766" s="33">
        <f t="shared" si="1622"/>
        <v>6883</v>
      </c>
      <c r="J766" s="33">
        <f t="shared" si="1622"/>
        <v>6881</v>
      </c>
      <c r="K766" s="33">
        <f t="shared" si="1622"/>
        <v>6694</v>
      </c>
      <c r="L766" s="33">
        <f t="shared" si="1622"/>
        <v>6540</v>
      </c>
      <c r="M766" s="33">
        <f t="shared" si="1622"/>
        <v>6900</v>
      </c>
      <c r="N766" s="33">
        <f t="shared" si="1622"/>
        <v>6695</v>
      </c>
      <c r="O766" s="33">
        <f t="shared" si="1622"/>
        <v>6626</v>
      </c>
      <c r="P766" s="33">
        <f t="shared" si="1622"/>
        <v>6168</v>
      </c>
      <c r="Q766" s="33">
        <f t="shared" si="1622"/>
        <v>6464</v>
      </c>
      <c r="R766" s="33">
        <f t="shared" si="1622"/>
        <v>6355</v>
      </c>
      <c r="S766" s="33">
        <f t="shared" si="1622"/>
        <v>6209</v>
      </c>
      <c r="T766" s="33">
        <f t="shared" si="1622"/>
        <v>5782</v>
      </c>
      <c r="U766" s="33">
        <f t="shared" si="1622"/>
        <v>6294</v>
      </c>
      <c r="V766" s="33">
        <f t="shared" si="1622"/>
        <v>6133</v>
      </c>
      <c r="W766" s="33">
        <f t="shared" si="1622"/>
        <v>5865</v>
      </c>
      <c r="X766" s="33">
        <f t="shared" si="1622"/>
        <v>5618</v>
      </c>
      <c r="Y766" s="33">
        <f t="shared" si="1622"/>
        <v>5524</v>
      </c>
      <c r="Z766" s="33">
        <f t="shared" si="1622"/>
        <v>5548</v>
      </c>
      <c r="AA766" s="33">
        <f t="shared" si="1622"/>
        <v>5488</v>
      </c>
      <c r="AB766" s="33">
        <f t="shared" si="1622"/>
        <v>5159</v>
      </c>
      <c r="AC766" s="33">
        <f t="shared" si="1622"/>
        <v>5363</v>
      </c>
      <c r="AD766" s="33">
        <f t="shared" si="1622"/>
        <v>4991</v>
      </c>
      <c r="AE766" s="33">
        <f t="shared" si="1622"/>
        <v>5065</v>
      </c>
      <c r="AF766" s="33">
        <f t="shared" si="1622"/>
        <v>5151</v>
      </c>
      <c r="AG766" s="33">
        <f t="shared" ref="AG766" si="1623">SUM(AG764:AG765)</f>
        <v>5650</v>
      </c>
      <c r="AH766" s="212">
        <f ca="1">Debt!AA26</f>
        <v>4834</v>
      </c>
      <c r="AI766" s="212">
        <f ca="1">Debt!AB26</f>
        <v>4834</v>
      </c>
      <c r="AJ766" s="212">
        <f ca="1">Debt!AC26</f>
        <v>4834</v>
      </c>
      <c r="AK766" s="33"/>
      <c r="AL766" s="33">
        <f t="shared" si="1622"/>
        <v>7549</v>
      </c>
      <c r="AM766" s="33">
        <f t="shared" si="1622"/>
        <v>7008</v>
      </c>
      <c r="AN766" s="33">
        <f t="shared" si="1622"/>
        <v>6594</v>
      </c>
      <c r="AO766" s="33">
        <f t="shared" si="1622"/>
        <v>6540</v>
      </c>
      <c r="AP766" s="33">
        <f t="shared" si="1622"/>
        <v>6168</v>
      </c>
      <c r="AQ766" s="33">
        <f t="shared" si="1622"/>
        <v>5782</v>
      </c>
      <c r="AR766" s="33">
        <f t="shared" si="1622"/>
        <v>5618</v>
      </c>
      <c r="AS766" s="33">
        <f t="shared" si="1622"/>
        <v>5159</v>
      </c>
      <c r="AT766" s="33">
        <f t="shared" si="1622"/>
        <v>5151</v>
      </c>
      <c r="AU766" s="33">
        <f t="shared" ca="1" si="1622"/>
        <v>4834</v>
      </c>
      <c r="AV766" s="212">
        <f ca="1">Debt!AM26</f>
        <v>4593</v>
      </c>
      <c r="AW766" s="212">
        <f ca="1">Debt!AN26</f>
        <v>3899</v>
      </c>
      <c r="AX766" s="212">
        <f ca="1">Debt!AO26</f>
        <v>3357</v>
      </c>
    </row>
    <row r="767" spans="3:51" ht="11.25" customHeight="1">
      <c r="C767" s="43" t="s">
        <v>55</v>
      </c>
      <c r="E767" s="29">
        <v>939</v>
      </c>
      <c r="F767" s="29">
        <v>1014</v>
      </c>
      <c r="G767" s="29">
        <v>1022</v>
      </c>
      <c r="H767" s="29">
        <v>1206</v>
      </c>
      <c r="I767" s="29">
        <v>1269</v>
      </c>
      <c r="J767" s="29">
        <v>1286</v>
      </c>
      <c r="K767" s="29">
        <v>1349</v>
      </c>
      <c r="L767" s="29">
        <v>893</v>
      </c>
      <c r="M767" s="29">
        <v>914</v>
      </c>
      <c r="N767" s="29">
        <v>933</v>
      </c>
      <c r="O767" s="29">
        <v>944</v>
      </c>
      <c r="P767" s="29">
        <v>884</v>
      </c>
      <c r="Q767" s="29">
        <v>892</v>
      </c>
      <c r="R767" s="29">
        <v>888</v>
      </c>
      <c r="S767" s="29">
        <v>887</v>
      </c>
      <c r="T767" s="29">
        <v>915</v>
      </c>
      <c r="U767" s="29">
        <v>924</v>
      </c>
      <c r="V767" s="29">
        <v>932</v>
      </c>
      <c r="W767" s="29">
        <v>928</v>
      </c>
      <c r="X767" s="29">
        <v>848</v>
      </c>
      <c r="Y767" s="29">
        <v>855</v>
      </c>
      <c r="Z767" s="29">
        <v>831</v>
      </c>
      <c r="AA767" s="29">
        <v>827</v>
      </c>
      <c r="AB767" s="29">
        <v>810</v>
      </c>
      <c r="AC767" s="29">
        <v>795</v>
      </c>
      <c r="AD767" s="29">
        <v>738</v>
      </c>
      <c r="AE767" s="29">
        <v>756</v>
      </c>
      <c r="AF767" s="29">
        <v>671</v>
      </c>
      <c r="AG767" s="29">
        <v>662</v>
      </c>
      <c r="AH767" s="33">
        <f t="shared" ref="AH767:AJ767" si="1624">AG767+AH920</f>
        <v>622</v>
      </c>
      <c r="AI767" s="33">
        <f t="shared" si="1624"/>
        <v>582</v>
      </c>
      <c r="AJ767" s="33">
        <f t="shared" si="1624"/>
        <v>542</v>
      </c>
      <c r="AK767" s="79"/>
      <c r="AL767" s="29">
        <v>946</v>
      </c>
      <c r="AM767" s="29">
        <v>928</v>
      </c>
      <c r="AN767" s="33">
        <f t="shared" si="1620"/>
        <v>1206</v>
      </c>
      <c r="AO767" s="33">
        <f t="shared" si="1620"/>
        <v>893</v>
      </c>
      <c r="AP767" s="33">
        <f t="shared" si="1620"/>
        <v>884</v>
      </c>
      <c r="AQ767" s="33">
        <f t="shared" si="1620"/>
        <v>915</v>
      </c>
      <c r="AR767" s="33">
        <f t="shared" si="1620"/>
        <v>848</v>
      </c>
      <c r="AS767" s="33">
        <f t="shared" si="1620"/>
        <v>810</v>
      </c>
      <c r="AT767" s="1118">
        <f t="shared" si="1620"/>
        <v>671</v>
      </c>
      <c r="AU767" s="33">
        <f t="shared" si="1620"/>
        <v>542</v>
      </c>
      <c r="AV767" s="33">
        <f t="shared" ref="AV767:AX767" si="1625">AU767+AV920</f>
        <v>392</v>
      </c>
      <c r="AW767" s="33">
        <f t="shared" si="1625"/>
        <v>242</v>
      </c>
      <c r="AX767" s="33">
        <f t="shared" si="1625"/>
        <v>92</v>
      </c>
    </row>
    <row r="768" spans="3:51" ht="11.25" customHeight="1">
      <c r="C768" s="43" t="s">
        <v>56</v>
      </c>
      <c r="E768" s="29">
        <v>1294</v>
      </c>
      <c r="F768" s="29">
        <v>1276</v>
      </c>
      <c r="G768" s="29">
        <v>1239</v>
      </c>
      <c r="H768" s="29">
        <v>1018</v>
      </c>
      <c r="I768" s="29">
        <v>1009</v>
      </c>
      <c r="J768" s="29">
        <v>1004</v>
      </c>
      <c r="K768" s="29">
        <v>989</v>
      </c>
      <c r="L768" s="29">
        <v>963</v>
      </c>
      <c r="M768" s="29">
        <v>951</v>
      </c>
      <c r="N768" s="29">
        <v>924</v>
      </c>
      <c r="O768" s="29">
        <v>901</v>
      </c>
      <c r="P768" s="29">
        <v>925</v>
      </c>
      <c r="Q768" s="29">
        <v>915</v>
      </c>
      <c r="R768" s="29">
        <v>892</v>
      </c>
      <c r="S768" s="29">
        <v>867</v>
      </c>
      <c r="T768" s="29">
        <v>1016</v>
      </c>
      <c r="U768" s="29">
        <v>968</v>
      </c>
      <c r="V768" s="29">
        <v>951</v>
      </c>
      <c r="W768" s="29">
        <v>939</v>
      </c>
      <c r="X768" s="29">
        <v>1143</v>
      </c>
      <c r="Y768" s="29">
        <v>1116</v>
      </c>
      <c r="Z768" s="29">
        <v>1051</v>
      </c>
      <c r="AA768" s="29">
        <v>1009</v>
      </c>
      <c r="AB768" s="29">
        <v>811</v>
      </c>
      <c r="AC768" s="29">
        <v>799</v>
      </c>
      <c r="AD768" s="29">
        <v>768</v>
      </c>
      <c r="AE768" s="29">
        <v>746</v>
      </c>
      <c r="AF768" s="29">
        <v>628</v>
      </c>
      <c r="AG768" s="29">
        <v>629</v>
      </c>
      <c r="AH768" s="33">
        <f>+AG768+AH929</f>
        <v>604</v>
      </c>
      <c r="AI768" s="33">
        <f>+AH768+AI929</f>
        <v>579</v>
      </c>
      <c r="AJ768" s="33">
        <f>+AI768+AJ929</f>
        <v>554</v>
      </c>
      <c r="AK768" s="79"/>
      <c r="AL768" s="29">
        <v>1498</v>
      </c>
      <c r="AM768" s="29">
        <v>1297</v>
      </c>
      <c r="AN768" s="33">
        <f t="shared" si="1620"/>
        <v>1018</v>
      </c>
      <c r="AO768" s="33">
        <f t="shared" si="1620"/>
        <v>963</v>
      </c>
      <c r="AP768" s="33">
        <f t="shared" si="1620"/>
        <v>925</v>
      </c>
      <c r="AQ768" s="33">
        <f t="shared" si="1620"/>
        <v>1016</v>
      </c>
      <c r="AR768" s="33">
        <f t="shared" si="1620"/>
        <v>1143</v>
      </c>
      <c r="AS768" s="33">
        <f t="shared" si="1620"/>
        <v>811</v>
      </c>
      <c r="AT768" s="33">
        <f t="shared" si="1620"/>
        <v>628</v>
      </c>
      <c r="AU768" s="33">
        <f t="shared" si="1620"/>
        <v>554</v>
      </c>
      <c r="AV768" s="33">
        <f>+AU768+AV929</f>
        <v>494</v>
      </c>
      <c r="AW768" s="33">
        <f>+AV768+AW929</f>
        <v>434</v>
      </c>
      <c r="AX768" s="33">
        <f>+AW768+AX929</f>
        <v>374</v>
      </c>
    </row>
    <row r="769" spans="2:51" ht="11.25" customHeight="1">
      <c r="C769" s="43" t="s">
        <v>57</v>
      </c>
      <c r="E769" s="29">
        <v>686</v>
      </c>
      <c r="F769" s="29">
        <v>568</v>
      </c>
      <c r="G769" s="29">
        <v>573</v>
      </c>
      <c r="H769" s="29">
        <v>519</v>
      </c>
      <c r="I769" s="29">
        <v>535</v>
      </c>
      <c r="J769" s="29">
        <v>519</v>
      </c>
      <c r="K769" s="29">
        <v>491</v>
      </c>
      <c r="L769" s="29">
        <v>534</v>
      </c>
      <c r="M769" s="29">
        <v>541</v>
      </c>
      <c r="N769" s="29">
        <v>528</v>
      </c>
      <c r="O769" s="29">
        <v>471</v>
      </c>
      <c r="P769" s="29">
        <v>532</v>
      </c>
      <c r="Q769" s="29">
        <v>681</v>
      </c>
      <c r="R769" s="29">
        <v>680</v>
      </c>
      <c r="S769" s="29">
        <v>639</v>
      </c>
      <c r="T769" s="29">
        <v>645</v>
      </c>
      <c r="U769" s="29">
        <v>667</v>
      </c>
      <c r="V769" s="29">
        <v>683</v>
      </c>
      <c r="W769" s="29">
        <v>702</v>
      </c>
      <c r="X769" s="29">
        <v>677</v>
      </c>
      <c r="Y769" s="29">
        <v>689</v>
      </c>
      <c r="Z769" s="29">
        <v>670</v>
      </c>
      <c r="AA769" s="29">
        <v>661</v>
      </c>
      <c r="AB769" s="29">
        <v>727</v>
      </c>
      <c r="AC769" s="29">
        <v>720</v>
      </c>
      <c r="AD769" s="29">
        <v>802</v>
      </c>
      <c r="AE769" s="29">
        <v>830</v>
      </c>
      <c r="AF769" s="29">
        <v>856</v>
      </c>
      <c r="AG769" s="29">
        <v>823</v>
      </c>
      <c r="AH769" s="133">
        <f t="shared" ref="AH769:AJ769" si="1626">AG769</f>
        <v>823</v>
      </c>
      <c r="AI769" s="133">
        <f t="shared" si="1626"/>
        <v>823</v>
      </c>
      <c r="AJ769" s="133">
        <f t="shared" si="1626"/>
        <v>823</v>
      </c>
      <c r="AK769" s="79"/>
      <c r="AL769" s="29">
        <v>768</v>
      </c>
      <c r="AM769" s="29">
        <v>701</v>
      </c>
      <c r="AN769" s="33">
        <f t="shared" si="1620"/>
        <v>519</v>
      </c>
      <c r="AO769" s="33">
        <f t="shared" si="1620"/>
        <v>534</v>
      </c>
      <c r="AP769" s="33">
        <f t="shared" si="1620"/>
        <v>532</v>
      </c>
      <c r="AQ769" s="33">
        <f t="shared" si="1620"/>
        <v>645</v>
      </c>
      <c r="AR769" s="33">
        <f t="shared" si="1620"/>
        <v>677</v>
      </c>
      <c r="AS769" s="33">
        <f t="shared" si="1620"/>
        <v>727</v>
      </c>
      <c r="AT769" s="33">
        <f t="shared" si="1620"/>
        <v>856</v>
      </c>
      <c r="AU769" s="33">
        <f t="shared" si="1620"/>
        <v>823</v>
      </c>
      <c r="AV769" s="133">
        <f>AU769</f>
        <v>823</v>
      </c>
      <c r="AW769" s="133">
        <f>AV769</f>
        <v>823</v>
      </c>
      <c r="AX769" s="133">
        <f>AW769</f>
        <v>823</v>
      </c>
    </row>
    <row r="770" spans="2:51" s="27" customFormat="1" ht="11.25" customHeight="1">
      <c r="C770" s="45" t="s">
        <v>58</v>
      </c>
      <c r="E770" s="35">
        <f>E762+SUM(E766:E769)</f>
        <v>11331</v>
      </c>
      <c r="F770" s="35">
        <f t="shared" ref="F770:AJ770" si="1627">F762+SUM(F766:F769)</f>
        <v>11129</v>
      </c>
      <c r="G770" s="35">
        <f t="shared" si="1627"/>
        <v>10973</v>
      </c>
      <c r="H770" s="35">
        <f t="shared" si="1627"/>
        <v>10849</v>
      </c>
      <c r="I770" s="35">
        <f t="shared" si="1627"/>
        <v>11028</v>
      </c>
      <c r="J770" s="35">
        <f t="shared" si="1627"/>
        <v>11074</v>
      </c>
      <c r="K770" s="35">
        <f t="shared" si="1627"/>
        <v>10925</v>
      </c>
      <c r="L770" s="35">
        <f t="shared" si="1627"/>
        <v>10519</v>
      </c>
      <c r="M770" s="35">
        <f t="shared" si="1627"/>
        <v>10746</v>
      </c>
      <c r="N770" s="35">
        <f t="shared" si="1627"/>
        <v>10486</v>
      </c>
      <c r="O770" s="35">
        <f t="shared" si="1627"/>
        <v>10367</v>
      </c>
      <c r="P770" s="35">
        <f t="shared" si="1627"/>
        <v>10117</v>
      </c>
      <c r="Q770" s="35">
        <f t="shared" si="1627"/>
        <v>10442</v>
      </c>
      <c r="R770" s="35">
        <f t="shared" si="1627"/>
        <v>10310</v>
      </c>
      <c r="S770" s="35">
        <f t="shared" si="1627"/>
        <v>10040</v>
      </c>
      <c r="T770" s="35">
        <f t="shared" si="1627"/>
        <v>9976</v>
      </c>
      <c r="U770" s="35">
        <f t="shared" si="1627"/>
        <v>10273</v>
      </c>
      <c r="V770" s="35">
        <f t="shared" si="1627"/>
        <v>9875</v>
      </c>
      <c r="W770" s="35">
        <f t="shared" si="1627"/>
        <v>9853</v>
      </c>
      <c r="X770" s="35">
        <f t="shared" si="1627"/>
        <v>9975</v>
      </c>
      <c r="Y770" s="35">
        <f t="shared" si="1627"/>
        <v>9876</v>
      </c>
      <c r="Z770" s="35">
        <f t="shared" si="1627"/>
        <v>10070</v>
      </c>
      <c r="AA770" s="35">
        <f t="shared" si="1627"/>
        <v>10052</v>
      </c>
      <c r="AB770" s="35">
        <f t="shared" si="1627"/>
        <v>9731</v>
      </c>
      <c r="AC770" s="35">
        <f t="shared" si="1627"/>
        <v>9829</v>
      </c>
      <c r="AD770" s="35">
        <f t="shared" si="1627"/>
        <v>9468</v>
      </c>
      <c r="AE770" s="35">
        <f t="shared" si="1627"/>
        <v>9518</v>
      </c>
      <c r="AF770" s="35">
        <f t="shared" si="1627"/>
        <v>9431</v>
      </c>
      <c r="AG770" s="35">
        <f t="shared" ref="AG770" si="1628">AG762+SUM(AG766:AG769)</f>
        <v>9721</v>
      </c>
      <c r="AH770" s="35">
        <f t="shared" ca="1" si="1627"/>
        <v>8897.9183726027404</v>
      </c>
      <c r="AI770" s="35">
        <f t="shared" ca="1" si="1627"/>
        <v>8820.5762164383559</v>
      </c>
      <c r="AJ770" s="35">
        <f t="shared" ca="1" si="1627"/>
        <v>8728.4448657534249</v>
      </c>
      <c r="AK770" s="79"/>
      <c r="AL770" s="35">
        <f t="shared" ref="AL770" si="1629">AL762+SUM(AL766:AL769)</f>
        <v>12482</v>
      </c>
      <c r="AM770" s="35">
        <f t="shared" ref="AM770" si="1630">AM762+SUM(AM766:AM769)</f>
        <v>11559</v>
      </c>
      <c r="AN770" s="35">
        <f t="shared" ref="AN770" si="1631">AN762+SUM(AN766:AN769)</f>
        <v>10849</v>
      </c>
      <c r="AO770" s="35">
        <f t="shared" ref="AO770" si="1632">AO762+SUM(AO766:AO769)</f>
        <v>10519</v>
      </c>
      <c r="AP770" s="35">
        <f t="shared" ref="AP770" si="1633">AP762+SUM(AP766:AP769)</f>
        <v>10117</v>
      </c>
      <c r="AQ770" s="35">
        <f t="shared" ref="AQ770" si="1634">AQ762+SUM(AQ766:AQ769)</f>
        <v>9976</v>
      </c>
      <c r="AR770" s="35">
        <f t="shared" ref="AR770" si="1635">AR762+SUM(AR766:AR769)</f>
        <v>9975</v>
      </c>
      <c r="AS770" s="35">
        <f t="shared" ref="AS770" si="1636">AS762+SUM(AS766:AS769)</f>
        <v>9731</v>
      </c>
      <c r="AT770" s="35">
        <f t="shared" ref="AT770" si="1637">AT762+SUM(AT766:AT769)</f>
        <v>9431</v>
      </c>
      <c r="AU770" s="35">
        <f t="shared" ref="AU770" ca="1" si="1638">AU762+SUM(AU766:AU769)</f>
        <v>8728.4448657534249</v>
      </c>
      <c r="AV770" s="35">
        <f t="shared" ref="AV770" ca="1" si="1639">AV762+SUM(AV766:AV769)</f>
        <v>8234.4941741369857</v>
      </c>
      <c r="AW770" s="35">
        <f t="shared" ref="AW770" ca="1" si="1640">AW762+SUM(AW766:AW769)</f>
        <v>7389.1209949320546</v>
      </c>
      <c r="AX770" s="35">
        <f t="shared" ref="AX770" ca="1" si="1641">AX762+SUM(AX766:AX769)</f>
        <v>6687.7543955697065</v>
      </c>
      <c r="AY770" s="1"/>
    </row>
    <row r="771" spans="2:51" ht="5.2" customHeight="1">
      <c r="C771" s="43"/>
      <c r="E771" s="28"/>
      <c r="F771" s="28"/>
      <c r="G771" s="28"/>
      <c r="H771" s="28"/>
      <c r="I771" s="28"/>
      <c r="J771" s="28"/>
      <c r="K771" s="28"/>
      <c r="L771" s="28"/>
      <c r="M771" s="28"/>
      <c r="N771" s="28"/>
      <c r="O771" s="28"/>
      <c r="P771" s="28"/>
      <c r="Q771" s="28"/>
      <c r="R771" s="28"/>
      <c r="AK771" s="79"/>
      <c r="AL771" s="28"/>
      <c r="AM771" s="28"/>
      <c r="AN771" s="28"/>
      <c r="AO771" s="28"/>
      <c r="AP771" s="28"/>
    </row>
    <row r="772" spans="2:51" ht="11.25" customHeight="1">
      <c r="C772" s="43" t="s">
        <v>65</v>
      </c>
      <c r="E772" s="29">
        <v>2</v>
      </c>
      <c r="F772" s="29">
        <v>2</v>
      </c>
      <c r="G772" s="29">
        <v>2</v>
      </c>
      <c r="H772" s="29">
        <v>2</v>
      </c>
      <c r="I772" s="29">
        <v>2</v>
      </c>
      <c r="J772" s="29">
        <v>2</v>
      </c>
      <c r="K772" s="29">
        <v>2</v>
      </c>
      <c r="L772" s="29">
        <v>2</v>
      </c>
      <c r="M772" s="29">
        <v>2</v>
      </c>
      <c r="N772" s="29">
        <v>2</v>
      </c>
      <c r="O772" s="29">
        <v>2</v>
      </c>
      <c r="P772" s="29">
        <v>2</v>
      </c>
      <c r="Q772" s="29">
        <v>2</v>
      </c>
      <c r="R772" s="29">
        <v>2</v>
      </c>
      <c r="S772" s="29">
        <v>2</v>
      </c>
      <c r="T772" s="29">
        <v>2</v>
      </c>
      <c r="U772" s="29">
        <v>2</v>
      </c>
      <c r="V772" s="29">
        <v>2</v>
      </c>
      <c r="W772" s="29">
        <v>2</v>
      </c>
      <c r="X772" s="29">
        <v>2</v>
      </c>
      <c r="Y772" s="29">
        <v>2</v>
      </c>
      <c r="Z772" s="29">
        <v>2</v>
      </c>
      <c r="AA772" s="29">
        <v>2</v>
      </c>
      <c r="AB772" s="29">
        <v>2</v>
      </c>
      <c r="AC772" s="29">
        <v>2</v>
      </c>
      <c r="AD772" s="29">
        <v>2</v>
      </c>
      <c r="AE772" s="29">
        <v>2</v>
      </c>
      <c r="AF772" s="29">
        <v>2</v>
      </c>
      <c r="AG772" s="29">
        <v>2</v>
      </c>
      <c r="AH772" s="133">
        <f t="shared" ref="AH772:AH773" si="1642">AG772</f>
        <v>2</v>
      </c>
      <c r="AI772" s="133">
        <f t="shared" ref="AI772:AI773" si="1643">AH772</f>
        <v>2</v>
      </c>
      <c r="AJ772" s="133">
        <f t="shared" ref="AJ772:AJ773" si="1644">AI772</f>
        <v>2</v>
      </c>
      <c r="AK772" s="79"/>
      <c r="AL772" s="29">
        <v>2</v>
      </c>
      <c r="AM772" s="29">
        <v>2</v>
      </c>
      <c r="AN772" s="33">
        <f t="shared" ref="AN772:AU776" si="1645">SUMIF($E$7:$AK$7,AN$7,$E772:$AK772)</f>
        <v>2</v>
      </c>
      <c r="AO772" s="33">
        <f t="shared" si="1645"/>
        <v>2</v>
      </c>
      <c r="AP772" s="33">
        <f t="shared" si="1645"/>
        <v>2</v>
      </c>
      <c r="AQ772" s="33">
        <f t="shared" si="1645"/>
        <v>2</v>
      </c>
      <c r="AR772" s="33">
        <f t="shared" si="1645"/>
        <v>2</v>
      </c>
      <c r="AS772" s="33">
        <f t="shared" si="1645"/>
        <v>2</v>
      </c>
      <c r="AT772" s="33">
        <f t="shared" si="1645"/>
        <v>2</v>
      </c>
      <c r="AU772" s="33">
        <f t="shared" si="1645"/>
        <v>2</v>
      </c>
      <c r="AV772" s="133">
        <f t="shared" ref="AV772:AX773" si="1646">AU772</f>
        <v>2</v>
      </c>
      <c r="AW772" s="133">
        <f t="shared" si="1646"/>
        <v>2</v>
      </c>
      <c r="AX772" s="133">
        <f t="shared" si="1646"/>
        <v>2</v>
      </c>
    </row>
    <row r="773" spans="2:51" ht="11.25" customHeight="1">
      <c r="C773" s="43" t="s">
        <v>59</v>
      </c>
      <c r="E773" s="29">
        <v>1877</v>
      </c>
      <c r="F773" s="29">
        <v>1892</v>
      </c>
      <c r="G773" s="29">
        <v>1907</v>
      </c>
      <c r="H773" s="29">
        <v>1915</v>
      </c>
      <c r="I773" s="29">
        <v>1930</v>
      </c>
      <c r="J773" s="29">
        <v>1954</v>
      </c>
      <c r="K773" s="29">
        <v>1968</v>
      </c>
      <c r="L773" s="29">
        <v>1983</v>
      </c>
      <c r="M773" s="29">
        <v>2004</v>
      </c>
      <c r="N773" s="29">
        <v>2021</v>
      </c>
      <c r="O773" s="29">
        <v>2036</v>
      </c>
      <c r="P773" s="29">
        <v>2048</v>
      </c>
      <c r="Q773" s="29">
        <v>2060</v>
      </c>
      <c r="R773" s="29">
        <v>2079</v>
      </c>
      <c r="S773" s="29">
        <v>2092</v>
      </c>
      <c r="T773" s="29">
        <v>2105</v>
      </c>
      <c r="U773" s="29">
        <v>2109</v>
      </c>
      <c r="V773" s="29">
        <v>2117</v>
      </c>
      <c r="W773" s="29">
        <v>2134</v>
      </c>
      <c r="X773" s="29">
        <v>2174</v>
      </c>
      <c r="Y773" s="29">
        <v>2219</v>
      </c>
      <c r="Z773" s="29">
        <v>2255</v>
      </c>
      <c r="AA773" s="29">
        <v>2275</v>
      </c>
      <c r="AB773" s="29">
        <v>2187</v>
      </c>
      <c r="AC773" s="29">
        <v>2262</v>
      </c>
      <c r="AD773" s="29">
        <v>2179</v>
      </c>
      <c r="AE773" s="29">
        <v>2301</v>
      </c>
      <c r="AF773" s="29">
        <v>2315</v>
      </c>
      <c r="AG773" s="29">
        <v>2325</v>
      </c>
      <c r="AH773" s="133">
        <f t="shared" si="1642"/>
        <v>2325</v>
      </c>
      <c r="AI773" s="133">
        <f t="shared" si="1643"/>
        <v>2325</v>
      </c>
      <c r="AJ773" s="133">
        <f t="shared" si="1644"/>
        <v>2325</v>
      </c>
      <c r="AK773" s="79"/>
      <c r="AL773" s="29">
        <v>1817</v>
      </c>
      <c r="AM773" s="29">
        <v>1863</v>
      </c>
      <c r="AN773" s="33">
        <f t="shared" si="1645"/>
        <v>1915</v>
      </c>
      <c r="AO773" s="33">
        <f t="shared" si="1645"/>
        <v>1983</v>
      </c>
      <c r="AP773" s="33">
        <f t="shared" si="1645"/>
        <v>2048</v>
      </c>
      <c r="AQ773" s="33">
        <f t="shared" si="1645"/>
        <v>2105</v>
      </c>
      <c r="AR773" s="33">
        <f t="shared" si="1645"/>
        <v>2174</v>
      </c>
      <c r="AS773" s="33">
        <f t="shared" si="1645"/>
        <v>2187</v>
      </c>
      <c r="AT773" s="33">
        <f t="shared" si="1645"/>
        <v>2315</v>
      </c>
      <c r="AU773" s="33">
        <f t="shared" si="1645"/>
        <v>2325</v>
      </c>
      <c r="AV773" s="133">
        <f t="shared" si="1646"/>
        <v>2325</v>
      </c>
      <c r="AW773" s="133">
        <f t="shared" si="1646"/>
        <v>2325</v>
      </c>
      <c r="AX773" s="133">
        <f t="shared" si="1646"/>
        <v>2325</v>
      </c>
    </row>
    <row r="774" spans="2:51" s="28" customFormat="1" ht="11.25" customHeight="1">
      <c r="B774" s="30"/>
      <c r="C774" s="743" t="s">
        <v>60</v>
      </c>
      <c r="E774" s="29">
        <v>5330</v>
      </c>
      <c r="F774" s="29">
        <v>5517</v>
      </c>
      <c r="G774" s="29">
        <v>5680</v>
      </c>
      <c r="H774" s="29">
        <v>5721</v>
      </c>
      <c r="I774" s="29">
        <v>5925</v>
      </c>
      <c r="J774" s="29">
        <v>6142</v>
      </c>
      <c r="K774" s="29">
        <v>6391</v>
      </c>
      <c r="L774" s="29">
        <v>6802</v>
      </c>
      <c r="M774" s="29">
        <v>7026</v>
      </c>
      <c r="N774" s="29">
        <v>7292</v>
      </c>
      <c r="O774" s="29">
        <v>7626</v>
      </c>
      <c r="P774" s="29">
        <v>7573</v>
      </c>
      <c r="Q774" s="29">
        <v>7675</v>
      </c>
      <c r="R774" s="29">
        <v>7848</v>
      </c>
      <c r="S774" s="29">
        <v>8029</v>
      </c>
      <c r="T774" s="29">
        <v>7965</v>
      </c>
      <c r="U774" s="29">
        <v>8133</v>
      </c>
      <c r="V774" s="29">
        <v>8071</v>
      </c>
      <c r="W774" s="29">
        <v>8142</v>
      </c>
      <c r="X774" s="29">
        <v>8080</v>
      </c>
      <c r="Y774" s="29">
        <v>8260</v>
      </c>
      <c r="Z774" s="29">
        <v>8020</v>
      </c>
      <c r="AA774" s="29">
        <v>8278</v>
      </c>
      <c r="AB774" s="29">
        <v>8557</v>
      </c>
      <c r="AC774" s="29">
        <v>8694</v>
      </c>
      <c r="AD774" s="29">
        <v>8857</v>
      </c>
      <c r="AE774" s="29">
        <v>9065</v>
      </c>
      <c r="AF774" s="29">
        <v>8973</v>
      </c>
      <c r="AG774" s="29">
        <v>9013</v>
      </c>
      <c r="AH774" s="28">
        <f ca="1">AG774+AH55+AH944+AH945+AH947</f>
        <v>9188.0524774999994</v>
      </c>
      <c r="AI774" s="28">
        <f ca="1">AH774+AI55+AI944+AI945+AI947</f>
        <v>9385.7554709999986</v>
      </c>
      <c r="AJ774" s="28">
        <f ca="1">AI774+AJ55+AJ944+AJ945+AJ947</f>
        <v>9527.0388564999976</v>
      </c>
      <c r="AK774" s="79"/>
      <c r="AL774" s="29">
        <v>4545</v>
      </c>
      <c r="AM774" s="29">
        <v>5146</v>
      </c>
      <c r="AN774" s="33">
        <f t="shared" si="1645"/>
        <v>5721</v>
      </c>
      <c r="AO774" s="33">
        <f t="shared" si="1645"/>
        <v>6802</v>
      </c>
      <c r="AP774" s="33">
        <f t="shared" si="1645"/>
        <v>7573</v>
      </c>
      <c r="AQ774" s="33">
        <f t="shared" si="1645"/>
        <v>7965</v>
      </c>
      <c r="AR774" s="33">
        <f t="shared" si="1645"/>
        <v>8080</v>
      </c>
      <c r="AS774" s="33">
        <f t="shared" si="1645"/>
        <v>8557</v>
      </c>
      <c r="AT774" s="33">
        <f t="shared" si="1645"/>
        <v>8973</v>
      </c>
      <c r="AU774" s="33">
        <f ca="1">SUMIF($E$7:$AK$7,AU$7,$E774:$AK774)</f>
        <v>9527.0388564999976</v>
      </c>
      <c r="AV774" s="28">
        <f ca="1">AU774+AV55+AV944+AV945+AV947</f>
        <v>10171.489103219998</v>
      </c>
      <c r="AW774" s="28">
        <f ca="1">AV774+AW55+AW944+AW945+AW947</f>
        <v>10871.705580278947</v>
      </c>
      <c r="AX774" s="28">
        <f ca="1">AW774+AX55+AX944+AX945+AX947</f>
        <v>11604.091148424046</v>
      </c>
      <c r="AY774" s="1"/>
    </row>
    <row r="775" spans="2:51" ht="11.25" customHeight="1">
      <c r="C775" s="43" t="s">
        <v>61</v>
      </c>
      <c r="E775" s="29">
        <v>-305</v>
      </c>
      <c r="F775" s="29">
        <v>-311</v>
      </c>
      <c r="G775" s="29">
        <v>-348</v>
      </c>
      <c r="H775" s="29">
        <v>-281</v>
      </c>
      <c r="I775" s="29">
        <v>-306</v>
      </c>
      <c r="J775" s="29">
        <v>-286</v>
      </c>
      <c r="K775" s="29">
        <v>-238</v>
      </c>
      <c r="L775" s="29">
        <v>-209</v>
      </c>
      <c r="M775" s="29">
        <v>-212</v>
      </c>
      <c r="N775" s="29">
        <v>-193</v>
      </c>
      <c r="O775" s="29">
        <v>-194</v>
      </c>
      <c r="P775" s="29">
        <v>-245</v>
      </c>
      <c r="Q775" s="29">
        <v>-194</v>
      </c>
      <c r="R775" s="29">
        <v>-235</v>
      </c>
      <c r="S775" s="29">
        <v>-203</v>
      </c>
      <c r="T775" s="29">
        <v>-214</v>
      </c>
      <c r="U775" s="29">
        <v>-197</v>
      </c>
      <c r="V775" s="29">
        <v>-209</v>
      </c>
      <c r="W775" s="29">
        <v>-243</v>
      </c>
      <c r="X775" s="29">
        <v>-273</v>
      </c>
      <c r="Y775" s="29">
        <v>-248</v>
      </c>
      <c r="Z775" s="29">
        <v>-233</v>
      </c>
      <c r="AA775" s="29">
        <v>-185</v>
      </c>
      <c r="AB775" s="29">
        <v>-182</v>
      </c>
      <c r="AC775" s="29">
        <v>-145</v>
      </c>
      <c r="AD775" s="29">
        <v>-143</v>
      </c>
      <c r="AE775" s="29">
        <v>-152</v>
      </c>
      <c r="AF775" s="29">
        <v>-205</v>
      </c>
      <c r="AG775" s="29">
        <v>-220</v>
      </c>
      <c r="AH775" s="133">
        <f t="shared" ref="AH775:AH776" si="1647">AG775</f>
        <v>-220</v>
      </c>
      <c r="AI775" s="133">
        <f t="shared" ref="AI775:AI776" si="1648">AH775</f>
        <v>-220</v>
      </c>
      <c r="AJ775" s="133">
        <f t="shared" ref="AJ775:AJ776" si="1649">AI775</f>
        <v>-220</v>
      </c>
      <c r="AK775" s="79"/>
      <c r="AL775" s="29">
        <v>-277</v>
      </c>
      <c r="AM775" s="29">
        <v>-390</v>
      </c>
      <c r="AN775" s="33">
        <f t="shared" si="1645"/>
        <v>-281</v>
      </c>
      <c r="AO775" s="33">
        <f t="shared" si="1645"/>
        <v>-209</v>
      </c>
      <c r="AP775" s="33">
        <f t="shared" si="1645"/>
        <v>-245</v>
      </c>
      <c r="AQ775" s="33">
        <f t="shared" si="1645"/>
        <v>-214</v>
      </c>
      <c r="AR775" s="33">
        <f t="shared" si="1645"/>
        <v>-273</v>
      </c>
      <c r="AS775" s="33">
        <f t="shared" si="1645"/>
        <v>-182</v>
      </c>
      <c r="AT775" s="33">
        <f t="shared" si="1645"/>
        <v>-205</v>
      </c>
      <c r="AU775" s="33">
        <f t="shared" si="1645"/>
        <v>-220</v>
      </c>
      <c r="AV775" s="133">
        <f t="shared" ref="AV775:AX776" si="1650">AU775</f>
        <v>-220</v>
      </c>
      <c r="AW775" s="133">
        <f t="shared" si="1650"/>
        <v>-220</v>
      </c>
      <c r="AX775" s="133">
        <f t="shared" si="1650"/>
        <v>-220</v>
      </c>
    </row>
    <row r="776" spans="2:51" ht="11.25" customHeight="1">
      <c r="C776" s="43" t="s">
        <v>66</v>
      </c>
      <c r="E776" s="29">
        <v>2700</v>
      </c>
      <c r="F776" s="29">
        <v>2725</v>
      </c>
      <c r="G776" s="29">
        <v>2800</v>
      </c>
      <c r="H776" s="29">
        <v>2825</v>
      </c>
      <c r="I776" s="29">
        <v>2900</v>
      </c>
      <c r="J776" s="29">
        <v>3000</v>
      </c>
      <c r="K776" s="29">
        <v>3100</v>
      </c>
      <c r="L776" s="29">
        <v>3175</v>
      </c>
      <c r="M776" s="29">
        <v>3275</v>
      </c>
      <c r="N776" s="29">
        <v>3425</v>
      </c>
      <c r="O776" s="29">
        <v>3550</v>
      </c>
      <c r="P776" s="29">
        <v>3575</v>
      </c>
      <c r="Q776" s="29">
        <v>3700</v>
      </c>
      <c r="R776" s="29">
        <v>3825</v>
      </c>
      <c r="S776" s="29">
        <v>3900</v>
      </c>
      <c r="T776" s="29">
        <v>3900</v>
      </c>
      <c r="U776" s="29">
        <v>3930</v>
      </c>
      <c r="V776" s="29">
        <v>3960</v>
      </c>
      <c r="W776" s="29">
        <v>3960</v>
      </c>
      <c r="X776" s="29">
        <v>3960</v>
      </c>
      <c r="Y776" s="29">
        <v>4000</v>
      </c>
      <c r="Z776" s="29">
        <v>4100</v>
      </c>
      <c r="AA776" s="29">
        <v>4250</v>
      </c>
      <c r="AB776" s="29">
        <v>4860</v>
      </c>
      <c r="AC776" s="29">
        <v>4920</v>
      </c>
      <c r="AD776" s="29">
        <v>5572</v>
      </c>
      <c r="AE776" s="29">
        <v>5832</v>
      </c>
      <c r="AF776" s="29">
        <v>5932</v>
      </c>
      <c r="AG776" s="29">
        <v>5932</v>
      </c>
      <c r="AH776" s="133">
        <f t="shared" si="1647"/>
        <v>5932</v>
      </c>
      <c r="AI776" s="133">
        <f t="shared" si="1648"/>
        <v>5932</v>
      </c>
      <c r="AJ776" s="133">
        <f t="shared" si="1649"/>
        <v>5932</v>
      </c>
      <c r="AK776" s="79"/>
      <c r="AL776" s="29">
        <v>2577</v>
      </c>
      <c r="AM776" s="29">
        <v>2680</v>
      </c>
      <c r="AN776" s="33">
        <f t="shared" si="1645"/>
        <v>2825</v>
      </c>
      <c r="AO776" s="33">
        <f t="shared" si="1645"/>
        <v>3175</v>
      </c>
      <c r="AP776" s="33">
        <f t="shared" si="1645"/>
        <v>3575</v>
      </c>
      <c r="AQ776" s="33">
        <f t="shared" si="1645"/>
        <v>3900</v>
      </c>
      <c r="AR776" s="33">
        <f t="shared" si="1645"/>
        <v>3960</v>
      </c>
      <c r="AS776" s="33">
        <f t="shared" si="1645"/>
        <v>4860</v>
      </c>
      <c r="AT776" s="33">
        <f t="shared" si="1645"/>
        <v>5932</v>
      </c>
      <c r="AU776" s="33">
        <f t="shared" si="1645"/>
        <v>5932</v>
      </c>
      <c r="AV776" s="133">
        <f t="shared" si="1650"/>
        <v>5932</v>
      </c>
      <c r="AW776" s="133">
        <f t="shared" si="1650"/>
        <v>5932</v>
      </c>
      <c r="AX776" s="133">
        <f t="shared" si="1650"/>
        <v>5932</v>
      </c>
    </row>
    <row r="777" spans="2:51" s="27" customFormat="1" ht="11.25" customHeight="1">
      <c r="C777" s="45" t="s">
        <v>62</v>
      </c>
      <c r="E777" s="35">
        <f t="shared" ref="E777:N777" si="1651">+SUM(E772:E775,-E776)</f>
        <v>4204</v>
      </c>
      <c r="F777" s="35">
        <f t="shared" si="1651"/>
        <v>4375</v>
      </c>
      <c r="G777" s="35">
        <f t="shared" si="1651"/>
        <v>4441</v>
      </c>
      <c r="H777" s="35">
        <f t="shared" si="1651"/>
        <v>4532</v>
      </c>
      <c r="I777" s="35">
        <f t="shared" si="1651"/>
        <v>4651</v>
      </c>
      <c r="J777" s="35">
        <f t="shared" si="1651"/>
        <v>4812</v>
      </c>
      <c r="K777" s="35">
        <f t="shared" si="1651"/>
        <v>5023</v>
      </c>
      <c r="L777" s="35">
        <f t="shared" si="1651"/>
        <v>5403</v>
      </c>
      <c r="M777" s="35">
        <f t="shared" si="1651"/>
        <v>5545</v>
      </c>
      <c r="N777" s="35">
        <f t="shared" si="1651"/>
        <v>5697</v>
      </c>
      <c r="O777" s="35">
        <f t="shared" ref="O777:T777" si="1652">+SUM(O772:O775,-O776)</f>
        <v>5920</v>
      </c>
      <c r="P777" s="35">
        <f t="shared" si="1652"/>
        <v>5803</v>
      </c>
      <c r="Q777" s="35">
        <f t="shared" si="1652"/>
        <v>5843</v>
      </c>
      <c r="R777" s="35">
        <f t="shared" si="1652"/>
        <v>5869</v>
      </c>
      <c r="S777" s="35">
        <f t="shared" si="1652"/>
        <v>6020</v>
      </c>
      <c r="T777" s="35">
        <f t="shared" si="1652"/>
        <v>5958</v>
      </c>
      <c r="U777" s="35">
        <f t="shared" ref="U777:AC777" si="1653">+SUM(U772:U775,-U776)</f>
        <v>6117</v>
      </c>
      <c r="V777" s="35">
        <f t="shared" si="1653"/>
        <v>6021</v>
      </c>
      <c r="W777" s="35">
        <f t="shared" si="1653"/>
        <v>6075</v>
      </c>
      <c r="X777" s="35">
        <f t="shared" si="1653"/>
        <v>6023</v>
      </c>
      <c r="Y777" s="35">
        <f t="shared" si="1653"/>
        <v>6233</v>
      </c>
      <c r="Z777" s="35">
        <f t="shared" si="1653"/>
        <v>5944</v>
      </c>
      <c r="AA777" s="35">
        <f t="shared" si="1653"/>
        <v>6120</v>
      </c>
      <c r="AB777" s="35">
        <f t="shared" si="1653"/>
        <v>5704</v>
      </c>
      <c r="AC777" s="35">
        <f t="shared" si="1653"/>
        <v>5893</v>
      </c>
      <c r="AD777" s="35">
        <f>+SUM(AD772:AD775,-AD776)</f>
        <v>5323</v>
      </c>
      <c r="AE777" s="35">
        <f t="shared" ref="AE777:AF777" si="1654">+SUM(AE772:AE775,-AE776)</f>
        <v>5384</v>
      </c>
      <c r="AF777" s="35">
        <f t="shared" si="1654"/>
        <v>5153</v>
      </c>
      <c r="AG777" s="35">
        <f t="shared" ref="AG777" si="1655">+SUM(AG772:AG775,-AG776)</f>
        <v>5188</v>
      </c>
      <c r="AH777" s="35">
        <f ca="1">+SUM(AH772:AH775,-AH776)</f>
        <v>5363.0524774999994</v>
      </c>
      <c r="AI777" s="35">
        <f ca="1">+SUM(AI772:AI775,-AI776)</f>
        <v>5560.7554709999986</v>
      </c>
      <c r="AJ777" s="35">
        <f ca="1">+SUM(AJ772:AJ775,-AJ776)</f>
        <v>5702.0388564999976</v>
      </c>
      <c r="AK777" s="79"/>
      <c r="AL777" s="35">
        <f t="shared" ref="AL777:AT777" si="1656">+SUM(AL772:AL775,-AL776)</f>
        <v>3510</v>
      </c>
      <c r="AM777" s="35">
        <f t="shared" si="1656"/>
        <v>3941</v>
      </c>
      <c r="AN777" s="35">
        <f t="shared" si="1656"/>
        <v>4532</v>
      </c>
      <c r="AO777" s="35">
        <f t="shared" si="1656"/>
        <v>5403</v>
      </c>
      <c r="AP777" s="35">
        <f t="shared" si="1656"/>
        <v>5803</v>
      </c>
      <c r="AQ777" s="35">
        <f t="shared" si="1656"/>
        <v>5958</v>
      </c>
      <c r="AR777" s="35">
        <f t="shared" si="1656"/>
        <v>6023</v>
      </c>
      <c r="AS777" s="35">
        <f t="shared" si="1656"/>
        <v>5704</v>
      </c>
      <c r="AT777" s="35">
        <f t="shared" si="1656"/>
        <v>5153</v>
      </c>
      <c r="AU777" s="35">
        <f ca="1">+SUM(AU772:AU775,-AU776)</f>
        <v>5702.0388564999976</v>
      </c>
      <c r="AV777" s="35">
        <f ca="1">+SUM(AV772:AV775,-AV776)</f>
        <v>6346.4891032199976</v>
      </c>
      <c r="AW777" s="35">
        <f ca="1">+SUM(AW772:AW775,-AW776)</f>
        <v>7046.7055802789473</v>
      </c>
      <c r="AX777" s="35">
        <f ca="1">+SUM(AX772:AX775,-AX776)</f>
        <v>7779.091148424046</v>
      </c>
      <c r="AY777" s="1"/>
    </row>
    <row r="778" spans="2:51" s="27" customFormat="1" ht="5.2" customHeight="1">
      <c r="C778" s="45"/>
      <c r="E778" s="30"/>
      <c r="F778" s="30"/>
      <c r="G778" s="30"/>
      <c r="H778" s="30"/>
      <c r="I778" s="30"/>
      <c r="J778" s="30"/>
      <c r="K778" s="30"/>
      <c r="L778" s="30"/>
      <c r="M778" s="30"/>
      <c r="N778" s="30"/>
      <c r="O778" s="30"/>
      <c r="P778" s="30"/>
      <c r="Q778" s="30"/>
      <c r="R778" s="30"/>
      <c r="AK778" s="79"/>
      <c r="AL778" s="30"/>
      <c r="AM778" s="30"/>
      <c r="AN778" s="30"/>
      <c r="AO778" s="30"/>
      <c r="AP778" s="30"/>
      <c r="AY778" s="1"/>
    </row>
    <row r="779" spans="2:51" ht="11.25" customHeight="1">
      <c r="C779" s="43" t="s">
        <v>63</v>
      </c>
      <c r="E779" s="29">
        <v>81</v>
      </c>
      <c r="F779" s="29">
        <v>78</v>
      </c>
      <c r="G779" s="29">
        <v>75</v>
      </c>
      <c r="H779" s="29">
        <v>76</v>
      </c>
      <c r="I779" s="29">
        <v>76</v>
      </c>
      <c r="J779" s="29">
        <v>78</v>
      </c>
      <c r="K779" s="29">
        <v>76</v>
      </c>
      <c r="L779" s="29">
        <v>77</v>
      </c>
      <c r="M779" s="29">
        <v>75</v>
      </c>
      <c r="N779" s="29">
        <v>77</v>
      </c>
      <c r="O779" s="29">
        <v>75</v>
      </c>
      <c r="P779" s="29">
        <v>75</v>
      </c>
      <c r="Q779" s="29">
        <v>76</v>
      </c>
      <c r="R779" s="29">
        <v>77</v>
      </c>
      <c r="S779" s="29">
        <v>77</v>
      </c>
      <c r="T779" s="29">
        <v>74</v>
      </c>
      <c r="U779" s="29">
        <v>75</v>
      </c>
      <c r="V779" s="29">
        <v>77</v>
      </c>
      <c r="W779" s="29">
        <v>81</v>
      </c>
      <c r="X779" s="29">
        <v>85</v>
      </c>
      <c r="Y779" s="29">
        <v>86</v>
      </c>
      <c r="Z779" s="29">
        <v>84</v>
      </c>
      <c r="AA779" s="29">
        <v>87</v>
      </c>
      <c r="AB779" s="29">
        <v>84</v>
      </c>
      <c r="AC779" s="29">
        <v>84</v>
      </c>
      <c r="AD779" s="29">
        <v>84</v>
      </c>
      <c r="AE779" s="29">
        <v>83</v>
      </c>
      <c r="AF779" s="29">
        <v>83</v>
      </c>
      <c r="AG779" s="29">
        <v>74</v>
      </c>
      <c r="AH779" s="133">
        <f>AG779+AH947</f>
        <v>74</v>
      </c>
      <c r="AI779" s="133">
        <f>AH779+AI947</f>
        <v>74</v>
      </c>
      <c r="AJ779" s="133">
        <f>AI779+AJ947</f>
        <v>74</v>
      </c>
      <c r="AK779" s="79"/>
      <c r="AL779" s="29">
        <v>80</v>
      </c>
      <c r="AM779" s="29">
        <v>80</v>
      </c>
      <c r="AN779" s="33">
        <f>SUMIF($E$7:$AK$7,AN$7,$E779:$AK779)</f>
        <v>76</v>
      </c>
      <c r="AO779" s="33">
        <f t="shared" ref="AO779:AU779" si="1657">SUMIF($E$7:$AK$7,AO$7,$E779:$AK779)</f>
        <v>77</v>
      </c>
      <c r="AP779" s="33">
        <f t="shared" si="1657"/>
        <v>75</v>
      </c>
      <c r="AQ779" s="33">
        <f t="shared" si="1657"/>
        <v>74</v>
      </c>
      <c r="AR779" s="33">
        <f t="shared" si="1657"/>
        <v>85</v>
      </c>
      <c r="AS779" s="33">
        <f t="shared" si="1657"/>
        <v>84</v>
      </c>
      <c r="AT779" s="33">
        <f t="shared" si="1657"/>
        <v>83</v>
      </c>
      <c r="AU779" s="33">
        <f t="shared" si="1657"/>
        <v>74</v>
      </c>
      <c r="AV779" s="133">
        <f>AU779+AV947</f>
        <v>74</v>
      </c>
      <c r="AW779" s="133">
        <f>AV779+AW947</f>
        <v>74</v>
      </c>
      <c r="AX779" s="133">
        <f>AW779+AX947</f>
        <v>74</v>
      </c>
    </row>
    <row r="780" spans="2:51" s="27" customFormat="1" ht="11.25" customHeight="1">
      <c r="C780" s="45" t="s">
        <v>64</v>
      </c>
      <c r="E780" s="35">
        <f t="shared" ref="E780:N780" si="1658">+E779+E777</f>
        <v>4285</v>
      </c>
      <c r="F780" s="35">
        <f t="shared" si="1658"/>
        <v>4453</v>
      </c>
      <c r="G780" s="35">
        <f t="shared" si="1658"/>
        <v>4516</v>
      </c>
      <c r="H780" s="35">
        <f t="shared" si="1658"/>
        <v>4608</v>
      </c>
      <c r="I780" s="35">
        <f t="shared" si="1658"/>
        <v>4727</v>
      </c>
      <c r="J780" s="35">
        <f t="shared" si="1658"/>
        <v>4890</v>
      </c>
      <c r="K780" s="35">
        <f t="shared" si="1658"/>
        <v>5099</v>
      </c>
      <c r="L780" s="35">
        <f t="shared" si="1658"/>
        <v>5480</v>
      </c>
      <c r="M780" s="35">
        <f t="shared" si="1658"/>
        <v>5620</v>
      </c>
      <c r="N780" s="35">
        <f t="shared" si="1658"/>
        <v>5774</v>
      </c>
      <c r="O780" s="35">
        <f t="shared" ref="O780:T780" si="1659">+O779+O777</f>
        <v>5995</v>
      </c>
      <c r="P780" s="35">
        <f t="shared" si="1659"/>
        <v>5878</v>
      </c>
      <c r="Q780" s="35">
        <f t="shared" si="1659"/>
        <v>5919</v>
      </c>
      <c r="R780" s="35">
        <f t="shared" si="1659"/>
        <v>5946</v>
      </c>
      <c r="S780" s="35">
        <f t="shared" si="1659"/>
        <v>6097</v>
      </c>
      <c r="T780" s="35">
        <f t="shared" si="1659"/>
        <v>6032</v>
      </c>
      <c r="U780" s="35">
        <f t="shared" ref="U780:AC780" si="1660">+U779+U777</f>
        <v>6192</v>
      </c>
      <c r="V780" s="35">
        <f t="shared" si="1660"/>
        <v>6098</v>
      </c>
      <c r="W780" s="35">
        <f t="shared" si="1660"/>
        <v>6156</v>
      </c>
      <c r="X780" s="35">
        <f t="shared" si="1660"/>
        <v>6108</v>
      </c>
      <c r="Y780" s="35">
        <f t="shared" si="1660"/>
        <v>6319</v>
      </c>
      <c r="Z780" s="35">
        <f t="shared" si="1660"/>
        <v>6028</v>
      </c>
      <c r="AA780" s="35">
        <f t="shared" si="1660"/>
        <v>6207</v>
      </c>
      <c r="AB780" s="35">
        <f t="shared" si="1660"/>
        <v>5788</v>
      </c>
      <c r="AC780" s="35">
        <f t="shared" si="1660"/>
        <v>5977</v>
      </c>
      <c r="AD780" s="35">
        <f>+AD779+AD777</f>
        <v>5407</v>
      </c>
      <c r="AE780" s="35">
        <f t="shared" ref="AE780:AF780" si="1661">+AE779+AE777</f>
        <v>5467</v>
      </c>
      <c r="AF780" s="35">
        <f t="shared" si="1661"/>
        <v>5236</v>
      </c>
      <c r="AG780" s="35">
        <f t="shared" ref="AG780" si="1662">+AG779+AG777</f>
        <v>5262</v>
      </c>
      <c r="AH780" s="35">
        <f ca="1">+AH779+AH777</f>
        <v>5437.0524774999994</v>
      </c>
      <c r="AI780" s="35">
        <f ca="1">+AI779+AI777</f>
        <v>5634.7554709999986</v>
      </c>
      <c r="AJ780" s="35">
        <f ca="1">+AJ779+AJ777</f>
        <v>5776.0388564999976</v>
      </c>
      <c r="AK780" s="79"/>
      <c r="AL780" s="35">
        <f t="shared" ref="AL780:AT780" si="1663">+AL779+AL777</f>
        <v>3590</v>
      </c>
      <c r="AM780" s="35">
        <f t="shared" si="1663"/>
        <v>4021</v>
      </c>
      <c r="AN780" s="35">
        <f t="shared" si="1663"/>
        <v>4608</v>
      </c>
      <c r="AO780" s="35">
        <f t="shared" si="1663"/>
        <v>5480</v>
      </c>
      <c r="AP780" s="35">
        <f t="shared" si="1663"/>
        <v>5878</v>
      </c>
      <c r="AQ780" s="35">
        <f t="shared" si="1663"/>
        <v>6032</v>
      </c>
      <c r="AR780" s="35">
        <f t="shared" si="1663"/>
        <v>6108</v>
      </c>
      <c r="AS780" s="35">
        <f t="shared" si="1663"/>
        <v>5788</v>
      </c>
      <c r="AT780" s="1011">
        <f t="shared" si="1663"/>
        <v>5236</v>
      </c>
      <c r="AU780" s="35">
        <f ca="1">+AU779+AU777</f>
        <v>5776.0388564999976</v>
      </c>
      <c r="AV780" s="35">
        <f ca="1">+AV779+AV777</f>
        <v>6420.4891032199976</v>
      </c>
      <c r="AW780" s="35">
        <f ca="1">+AW779+AW777</f>
        <v>7120.7055802789473</v>
      </c>
      <c r="AX780" s="35">
        <f ca="1">+AX779+AX777</f>
        <v>7853.091148424046</v>
      </c>
      <c r="AY780" s="1"/>
    </row>
    <row r="781" spans="2:51" s="27" customFormat="1" ht="11.25" customHeight="1" thickBot="1">
      <c r="C781" s="111" t="s">
        <v>67</v>
      </c>
      <c r="E781" s="38">
        <f t="shared" ref="E781:N781" si="1664">+E780+E770</f>
        <v>15616</v>
      </c>
      <c r="F781" s="38">
        <f t="shared" si="1664"/>
        <v>15582</v>
      </c>
      <c r="G781" s="38">
        <f t="shared" si="1664"/>
        <v>15489</v>
      </c>
      <c r="H781" s="38">
        <f t="shared" si="1664"/>
        <v>15457</v>
      </c>
      <c r="I781" s="38">
        <f t="shared" si="1664"/>
        <v>15755</v>
      </c>
      <c r="J781" s="38">
        <f t="shared" si="1664"/>
        <v>15964</v>
      </c>
      <c r="K781" s="38">
        <f t="shared" si="1664"/>
        <v>16024</v>
      </c>
      <c r="L781" s="38">
        <f t="shared" si="1664"/>
        <v>15999</v>
      </c>
      <c r="M781" s="38">
        <f t="shared" si="1664"/>
        <v>16366</v>
      </c>
      <c r="N781" s="38">
        <f t="shared" si="1664"/>
        <v>16260</v>
      </c>
      <c r="O781" s="38">
        <f t="shared" ref="O781:T781" si="1665">+O780+O770</f>
        <v>16362</v>
      </c>
      <c r="P781" s="38">
        <f t="shared" si="1665"/>
        <v>15995</v>
      </c>
      <c r="Q781" s="38">
        <f t="shared" si="1665"/>
        <v>16361</v>
      </c>
      <c r="R781" s="38">
        <f t="shared" si="1665"/>
        <v>16256</v>
      </c>
      <c r="S781" s="38">
        <f t="shared" si="1665"/>
        <v>16137</v>
      </c>
      <c r="T781" s="38">
        <f t="shared" si="1665"/>
        <v>16008</v>
      </c>
      <c r="U781" s="38">
        <f t="shared" ref="U781:AC781" si="1666">+U780+U770</f>
        <v>16465</v>
      </c>
      <c r="V781" s="38">
        <f t="shared" si="1666"/>
        <v>15973</v>
      </c>
      <c r="W781" s="38">
        <f t="shared" si="1666"/>
        <v>16009</v>
      </c>
      <c r="X781" s="38">
        <f t="shared" si="1666"/>
        <v>16083</v>
      </c>
      <c r="Y781" s="38">
        <f t="shared" si="1666"/>
        <v>16195</v>
      </c>
      <c r="Z781" s="38">
        <f t="shared" si="1666"/>
        <v>16098</v>
      </c>
      <c r="AA781" s="38">
        <f t="shared" si="1666"/>
        <v>16259</v>
      </c>
      <c r="AB781" s="38">
        <f t="shared" si="1666"/>
        <v>15519</v>
      </c>
      <c r="AC781" s="38">
        <f t="shared" si="1666"/>
        <v>15806</v>
      </c>
      <c r="AD781" s="38">
        <f>+AD780+AD770</f>
        <v>14875</v>
      </c>
      <c r="AE781" s="38">
        <f t="shared" ref="AE781:AF781" si="1667">+AE780+AE770</f>
        <v>14985</v>
      </c>
      <c r="AF781" s="38">
        <f t="shared" si="1667"/>
        <v>14667</v>
      </c>
      <c r="AG781" s="38">
        <f t="shared" ref="AG781" si="1668">+AG780+AG770</f>
        <v>14983</v>
      </c>
      <c r="AH781" s="38">
        <f ca="1">+AH780+AH770</f>
        <v>14334.97085010274</v>
      </c>
      <c r="AI781" s="38">
        <f ca="1">+AI780+AI770</f>
        <v>14455.331687438354</v>
      </c>
      <c r="AJ781" s="38">
        <f ca="1">+AJ780+AJ770</f>
        <v>14504.483722253422</v>
      </c>
      <c r="AK781" s="79"/>
      <c r="AL781" s="38">
        <f t="shared" ref="AL781:AT781" si="1669">+AL780+AL770</f>
        <v>16072</v>
      </c>
      <c r="AM781" s="38">
        <f t="shared" si="1669"/>
        <v>15580</v>
      </c>
      <c r="AN781" s="38">
        <f t="shared" si="1669"/>
        <v>15457</v>
      </c>
      <c r="AO781" s="38">
        <f t="shared" si="1669"/>
        <v>15999</v>
      </c>
      <c r="AP781" s="38">
        <f t="shared" si="1669"/>
        <v>15995</v>
      </c>
      <c r="AQ781" s="38">
        <f t="shared" si="1669"/>
        <v>16008</v>
      </c>
      <c r="AR781" s="38">
        <f t="shared" si="1669"/>
        <v>16083</v>
      </c>
      <c r="AS781" s="38">
        <f t="shared" si="1669"/>
        <v>15519</v>
      </c>
      <c r="AT781" s="38">
        <f t="shared" si="1669"/>
        <v>14667</v>
      </c>
      <c r="AU781" s="38">
        <f ca="1">+AU780+AU770</f>
        <v>14504.483722253422</v>
      </c>
      <c r="AV781" s="38">
        <f ca="1">+AV780+AV770</f>
        <v>14654.983277356983</v>
      </c>
      <c r="AW781" s="38">
        <f ca="1">+AW780+AW770</f>
        <v>14509.826575211002</v>
      </c>
      <c r="AX781" s="38">
        <f ca="1">+AX780+AX770</f>
        <v>14540.845543993753</v>
      </c>
      <c r="AY781" s="1"/>
    </row>
    <row r="782" spans="2:51" ht="5.2" customHeight="1" outlineLevel="1" thickTop="1">
      <c r="C782" s="25"/>
      <c r="E782" s="28"/>
      <c r="F782" s="28"/>
      <c r="G782" s="28"/>
      <c r="H782" s="28"/>
      <c r="I782" s="28"/>
      <c r="J782" s="28"/>
      <c r="K782" s="28"/>
      <c r="L782" s="28"/>
      <c r="M782" s="28"/>
      <c r="N782" s="28"/>
      <c r="O782" s="28"/>
      <c r="P782" s="28"/>
      <c r="AK782" s="79"/>
      <c r="AL782" s="28"/>
      <c r="AM782" s="28"/>
      <c r="AN782" s="28"/>
      <c r="AO782" s="28"/>
      <c r="AP782" s="28"/>
    </row>
    <row r="783" spans="2:51" s="37" customFormat="1" ht="11.25" customHeight="1" outlineLevel="1">
      <c r="C783" s="113" t="s">
        <v>68</v>
      </c>
      <c r="E783" s="42">
        <f t="shared" ref="E783:AJ783" si="1670">ROUND(+E781-E753,1)</f>
        <v>0</v>
      </c>
      <c r="F783" s="42">
        <f t="shared" si="1670"/>
        <v>0</v>
      </c>
      <c r="G783" s="42">
        <f t="shared" si="1670"/>
        <v>0</v>
      </c>
      <c r="H783" s="42">
        <f t="shared" si="1670"/>
        <v>0</v>
      </c>
      <c r="I783" s="42">
        <f t="shared" si="1670"/>
        <v>0</v>
      </c>
      <c r="J783" s="42">
        <f t="shared" si="1670"/>
        <v>0</v>
      </c>
      <c r="K783" s="42">
        <f t="shared" si="1670"/>
        <v>0</v>
      </c>
      <c r="L783" s="42">
        <f t="shared" si="1670"/>
        <v>0</v>
      </c>
      <c r="M783" s="42">
        <f t="shared" si="1670"/>
        <v>0</v>
      </c>
      <c r="N783" s="42">
        <f t="shared" si="1670"/>
        <v>0</v>
      </c>
      <c r="O783" s="42">
        <f t="shared" si="1670"/>
        <v>0</v>
      </c>
      <c r="P783" s="42">
        <f t="shared" si="1670"/>
        <v>0</v>
      </c>
      <c r="Q783" s="42">
        <f t="shared" si="1670"/>
        <v>0</v>
      </c>
      <c r="R783" s="42">
        <f t="shared" si="1670"/>
        <v>0</v>
      </c>
      <c r="S783" s="42">
        <f t="shared" si="1670"/>
        <v>0</v>
      </c>
      <c r="T783" s="42">
        <f t="shared" si="1670"/>
        <v>0</v>
      </c>
      <c r="U783" s="42">
        <f t="shared" si="1670"/>
        <v>0</v>
      </c>
      <c r="V783" s="42">
        <f t="shared" si="1670"/>
        <v>0</v>
      </c>
      <c r="W783" s="42">
        <f t="shared" si="1670"/>
        <v>0</v>
      </c>
      <c r="X783" s="42">
        <f t="shared" si="1670"/>
        <v>0</v>
      </c>
      <c r="Y783" s="42">
        <f t="shared" si="1670"/>
        <v>0</v>
      </c>
      <c r="Z783" s="42">
        <f t="shared" si="1670"/>
        <v>0</v>
      </c>
      <c r="AA783" s="42">
        <f t="shared" si="1670"/>
        <v>0</v>
      </c>
      <c r="AB783" s="42">
        <f t="shared" si="1670"/>
        <v>0</v>
      </c>
      <c r="AC783" s="42">
        <f t="shared" si="1670"/>
        <v>0</v>
      </c>
      <c r="AD783" s="42">
        <f t="shared" si="1670"/>
        <v>0</v>
      </c>
      <c r="AE783" s="42">
        <f t="shared" si="1670"/>
        <v>0</v>
      </c>
      <c r="AF783" s="42">
        <f t="shared" si="1670"/>
        <v>0</v>
      </c>
      <c r="AG783" s="42">
        <f t="shared" ref="AG783" si="1671">ROUND(+AG781-AG753,1)</f>
        <v>0</v>
      </c>
      <c r="AH783" s="42">
        <f t="shared" ca="1" si="1670"/>
        <v>0</v>
      </c>
      <c r="AI783" s="42">
        <f t="shared" ca="1" si="1670"/>
        <v>0</v>
      </c>
      <c r="AJ783" s="42">
        <f t="shared" ca="1" si="1670"/>
        <v>0</v>
      </c>
      <c r="AK783" s="79"/>
      <c r="AL783" s="42">
        <f t="shared" ref="AL783:AX783" si="1672">ROUND(+AL781-AL753,1)</f>
        <v>0</v>
      </c>
      <c r="AM783" s="42">
        <f t="shared" si="1672"/>
        <v>0</v>
      </c>
      <c r="AN783" s="42">
        <f t="shared" si="1672"/>
        <v>0</v>
      </c>
      <c r="AO783" s="42">
        <f t="shared" si="1672"/>
        <v>0</v>
      </c>
      <c r="AP783" s="42">
        <f t="shared" si="1672"/>
        <v>0</v>
      </c>
      <c r="AQ783" s="42">
        <f t="shared" si="1672"/>
        <v>0</v>
      </c>
      <c r="AR783" s="42">
        <f t="shared" si="1672"/>
        <v>0</v>
      </c>
      <c r="AS783" s="42">
        <f t="shared" si="1672"/>
        <v>0</v>
      </c>
      <c r="AT783" s="42">
        <f t="shared" si="1672"/>
        <v>0</v>
      </c>
      <c r="AU783" s="42">
        <f t="shared" ca="1" si="1672"/>
        <v>0</v>
      </c>
      <c r="AV783" s="42">
        <f t="shared" ca="1" si="1672"/>
        <v>0</v>
      </c>
      <c r="AW783" s="42">
        <f t="shared" ca="1" si="1672"/>
        <v>0</v>
      </c>
      <c r="AX783" s="42">
        <f t="shared" ca="1" si="1672"/>
        <v>0</v>
      </c>
      <c r="AY783" s="1"/>
    </row>
    <row r="784" spans="2:51" s="37" customFormat="1" ht="5.2" customHeight="1" outlineLevel="1">
      <c r="C784" s="115" t="s">
        <v>394</v>
      </c>
      <c r="E784" s="39"/>
      <c r="F784" s="39"/>
      <c r="G784" s="39"/>
      <c r="H784" s="39"/>
      <c r="I784" s="39"/>
      <c r="J784" s="39"/>
      <c r="K784" s="39"/>
      <c r="L784" s="39"/>
      <c r="M784" s="39"/>
      <c r="N784" s="39"/>
      <c r="O784" s="39"/>
      <c r="P784" s="39"/>
      <c r="Q784" s="39"/>
      <c r="R784" s="39"/>
      <c r="AK784" s="79"/>
      <c r="AL784" s="39"/>
      <c r="AM784" s="39"/>
      <c r="AN784" s="39"/>
      <c r="AO784" s="39"/>
      <c r="AP784" s="39"/>
      <c r="AY784" s="1"/>
    </row>
    <row r="785" spans="1:79" s="5" customFormat="1" ht="10.5">
      <c r="A785" s="5" t="s">
        <v>14</v>
      </c>
      <c r="B785" s="687" t="s">
        <v>14</v>
      </c>
      <c r="C785" s="20" t="s">
        <v>1396</v>
      </c>
      <c r="D785" s="20"/>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79"/>
      <c r="AL785" s="19"/>
      <c r="AM785" s="19"/>
      <c r="AN785" s="19"/>
      <c r="AO785" s="19"/>
      <c r="AP785" s="19"/>
      <c r="AQ785" s="19"/>
      <c r="AR785" s="19"/>
      <c r="AS785" s="19"/>
      <c r="AT785" s="706">
        <f>+AT766/AT797</f>
        <v>0.41070004783926006</v>
      </c>
      <c r="AU785" s="706">
        <f t="shared" ref="AU785:AX785" ca="1" si="1673">+AU766/AU797</f>
        <v>0.38582368969924186</v>
      </c>
      <c r="AV785" s="706">
        <f t="shared" ca="1" si="1673"/>
        <v>0.36101426086798805</v>
      </c>
      <c r="AW785" s="706">
        <f t="shared" ca="1" si="1673"/>
        <v>0.31145392588689036</v>
      </c>
      <c r="AX785" s="706">
        <f t="shared" ca="1" si="1673"/>
        <v>0.26857952791417711</v>
      </c>
      <c r="AY785" s="1"/>
      <c r="AZ785" s="19"/>
      <c r="BA785" s="19"/>
      <c r="BB785" s="19"/>
      <c r="BC785" s="19"/>
      <c r="BD785" s="19"/>
      <c r="BE785" s="19"/>
      <c r="BF785" s="19"/>
      <c r="BG785" s="19"/>
      <c r="BH785" s="19"/>
      <c r="BI785" s="19"/>
      <c r="BJ785" s="19"/>
      <c r="BK785" s="19"/>
      <c r="BL785" s="19"/>
      <c r="BM785" s="19"/>
      <c r="BY785" s="829"/>
      <c r="BZ785" s="829"/>
      <c r="CA785" s="829"/>
    </row>
    <row r="786" spans="1:79" s="37" customFormat="1" ht="10.5" customHeight="1">
      <c r="C786" s="115"/>
      <c r="E786" s="39"/>
      <c r="F786" s="39"/>
      <c r="G786" s="39"/>
      <c r="H786" s="39"/>
      <c r="I786" s="39"/>
      <c r="J786" s="39"/>
      <c r="K786" s="39"/>
      <c r="L786" s="39"/>
      <c r="M786" s="39"/>
      <c r="N786" s="39"/>
      <c r="O786" s="39"/>
      <c r="P786" s="39"/>
      <c r="Q786" s="39"/>
      <c r="R786" s="39"/>
      <c r="AK786" s="79"/>
      <c r="AL786" s="39"/>
      <c r="AM786" s="39"/>
      <c r="AN786" s="39"/>
      <c r="AO786" s="39"/>
      <c r="AP786" s="39"/>
      <c r="AY786" s="1"/>
    </row>
    <row r="787" spans="1:79" s="625" customFormat="1" ht="10.5" customHeight="1">
      <c r="C787" s="1041" t="s">
        <v>1420</v>
      </c>
      <c r="E787" s="1016"/>
      <c r="F787" s="1016"/>
      <c r="G787" s="1016"/>
      <c r="H787" s="1016"/>
      <c r="I787" s="1016"/>
      <c r="J787" s="1016"/>
      <c r="K787" s="1016"/>
      <c r="L787" s="1016"/>
      <c r="M787" s="1016"/>
      <c r="N787" s="1016"/>
      <c r="O787" s="1016"/>
      <c r="P787" s="1016"/>
      <c r="Q787" s="1016"/>
      <c r="R787" s="1016"/>
      <c r="AK787" s="212"/>
      <c r="AL787" s="1016">
        <f ca="1">_xlfn.XLOOKUP((AL6+1),'Other Pulls'!$BD$51:$BD$60,'Other Pulls'!$BE$51:$BE$60)</f>
        <v>15497.289573759999</v>
      </c>
      <c r="AM787" s="1016">
        <f ca="1">_xlfn.XLOOKUP((AM6+1),'Other Pulls'!$BD$51:$BD$60,'Other Pulls'!$BE$51:$BE$60)</f>
        <v>16277.19041435</v>
      </c>
      <c r="AN787" s="1016">
        <f ca="1">_xlfn.XLOOKUP((AN6+1),'Other Pulls'!$BD$51:$BD$60,'Other Pulls'!$BE$51:$BE$60)</f>
        <v>18244.736151000001</v>
      </c>
      <c r="AO787" s="1016">
        <f ca="1">_xlfn.XLOOKUP((AO6+1),'Other Pulls'!$BD$51:$BD$60,'Other Pulls'!$BE$51:$BE$60)</f>
        <v>21026.07191332</v>
      </c>
      <c r="AP787" s="1016">
        <f ca="1">_xlfn.XLOOKUP((AP6+1),'Other Pulls'!$BD$51:$BD$60,'Other Pulls'!$BE$51:$BE$60)</f>
        <v>17575.187583080002</v>
      </c>
      <c r="AQ787" s="1016">
        <f ca="1">_xlfn.XLOOKUP((AQ6+1),'Other Pulls'!$BD$51:$BD$60,'Other Pulls'!$BE$51:$BE$60)</f>
        <v>14015.93225946</v>
      </c>
      <c r="AR787" s="1016">
        <f ca="1">_xlfn.XLOOKUP((AR6+1),'Other Pulls'!$BD$51:$BD$60,'Other Pulls'!$BE$51:$BE$60)</f>
        <v>19983.266168040002</v>
      </c>
      <c r="AS787" s="1016">
        <f ca="1">_xlfn.XLOOKUP((AS6+1),'Other Pulls'!$BD$51:$BD$60,'Other Pulls'!$BE$51:$BE$60)</f>
        <v>20062.824506659999</v>
      </c>
      <c r="AT787" s="1016">
        <f ca="1">_xlfn.XLOOKUP((AT6+1),'Other Pulls'!$BD$51:$BD$60,'Other Pulls'!$BE$51:$BE$60)</f>
        <v>14862.493068399999</v>
      </c>
      <c r="AY787" s="1"/>
    </row>
    <row r="788" spans="1:79" s="37" customFormat="1" ht="10.5" customHeight="1">
      <c r="C788" s="115"/>
      <c r="E788" s="39"/>
      <c r="F788" s="39"/>
      <c r="G788" s="39"/>
      <c r="H788" s="39"/>
      <c r="I788" s="39"/>
      <c r="J788" s="39"/>
      <c r="K788" s="39"/>
      <c r="L788" s="39"/>
      <c r="M788" s="39"/>
      <c r="N788" s="39"/>
      <c r="O788" s="39"/>
      <c r="P788" s="39"/>
      <c r="Q788" s="39"/>
      <c r="R788" s="39"/>
      <c r="AK788" s="79"/>
      <c r="AL788" s="39"/>
      <c r="AM788" s="39"/>
      <c r="AN788" s="39"/>
      <c r="AO788" s="39"/>
      <c r="AP788" s="39"/>
      <c r="AY788" s="1"/>
    </row>
    <row r="789" spans="1:79" s="37" customFormat="1" ht="10.5" customHeight="1">
      <c r="C789" s="1007" t="s">
        <v>1397</v>
      </c>
      <c r="E789" s="39"/>
      <c r="F789" s="39"/>
      <c r="G789" s="39"/>
      <c r="H789" s="39"/>
      <c r="I789" s="39"/>
      <c r="J789" s="39"/>
      <c r="K789" s="39"/>
      <c r="L789" s="39"/>
      <c r="M789" s="39"/>
      <c r="N789" s="39"/>
      <c r="O789" s="39"/>
      <c r="P789" s="39"/>
      <c r="Q789" s="39"/>
      <c r="R789" s="39"/>
      <c r="AK789" s="79"/>
      <c r="AL789" s="39"/>
      <c r="AM789" s="39"/>
      <c r="AN789" s="39"/>
      <c r="AO789" s="39"/>
      <c r="AP789" s="39"/>
      <c r="AY789" s="1"/>
    </row>
    <row r="790" spans="1:79" s="37" customFormat="1" ht="10.5" customHeight="1">
      <c r="C790" s="56" t="s">
        <v>1398</v>
      </c>
      <c r="E790" s="33">
        <f t="shared" ref="E790:AJ790" si="1674">E739+E740+E741-E755-E757</f>
        <v>1841</v>
      </c>
      <c r="F790" s="33">
        <f t="shared" si="1674"/>
        <v>1840</v>
      </c>
      <c r="G790" s="33">
        <f t="shared" si="1674"/>
        <v>1808</v>
      </c>
      <c r="H790" s="33">
        <f t="shared" si="1674"/>
        <v>1715</v>
      </c>
      <c r="I790" s="33">
        <f t="shared" si="1674"/>
        <v>2122</v>
      </c>
      <c r="J790" s="33">
        <f t="shared" si="1674"/>
        <v>2177</v>
      </c>
      <c r="K790" s="33">
        <f t="shared" si="1674"/>
        <v>2129</v>
      </c>
      <c r="L790" s="33">
        <f t="shared" si="1674"/>
        <v>1854</v>
      </c>
      <c r="M790" s="33">
        <f t="shared" si="1674"/>
        <v>2267</v>
      </c>
      <c r="N790" s="33">
        <f t="shared" si="1674"/>
        <v>2293</v>
      </c>
      <c r="O790" s="33">
        <f t="shared" si="1674"/>
        <v>2383</v>
      </c>
      <c r="P790" s="33">
        <f t="shared" si="1674"/>
        <v>1955</v>
      </c>
      <c r="Q790" s="33">
        <f t="shared" si="1674"/>
        <v>2314</v>
      </c>
      <c r="R790" s="33">
        <f t="shared" si="1674"/>
        <v>2318</v>
      </c>
      <c r="S790" s="33">
        <f t="shared" si="1674"/>
        <v>2286</v>
      </c>
      <c r="T790" s="33">
        <f t="shared" si="1674"/>
        <v>1971</v>
      </c>
      <c r="U790" s="33">
        <f t="shared" si="1674"/>
        <v>1675</v>
      </c>
      <c r="V790" s="33">
        <f t="shared" si="1674"/>
        <v>1569</v>
      </c>
      <c r="W790" s="33">
        <f t="shared" si="1674"/>
        <v>1373</v>
      </c>
      <c r="X790" s="33">
        <f t="shared" si="1674"/>
        <v>1205</v>
      </c>
      <c r="Y790" s="33">
        <f t="shared" si="1674"/>
        <v>1482</v>
      </c>
      <c r="Z790" s="33">
        <f t="shared" si="1674"/>
        <v>1368</v>
      </c>
      <c r="AA790" s="33">
        <f t="shared" si="1674"/>
        <v>1367</v>
      </c>
      <c r="AB790" s="33">
        <f t="shared" si="1674"/>
        <v>951</v>
      </c>
      <c r="AC790" s="33">
        <f t="shared" si="1674"/>
        <v>1266</v>
      </c>
      <c r="AD790" s="33">
        <f t="shared" si="1674"/>
        <v>1292</v>
      </c>
      <c r="AE790" s="33">
        <f t="shared" si="1674"/>
        <v>1448</v>
      </c>
      <c r="AF790" s="33">
        <f t="shared" si="1674"/>
        <v>1046</v>
      </c>
      <c r="AG790" s="33">
        <f t="shared" ref="AG790" si="1675">AG739+AG740+AG741-AG755-AG757</f>
        <v>1324</v>
      </c>
      <c r="AH790" s="33">
        <f t="shared" si="1674"/>
        <v>972.96555013698594</v>
      </c>
      <c r="AI790" s="33">
        <f t="shared" si="1674"/>
        <v>929.19373561643874</v>
      </c>
      <c r="AJ790" s="33">
        <f t="shared" si="1674"/>
        <v>892.76835945205494</v>
      </c>
      <c r="AK790" s="79"/>
      <c r="AL790" s="33">
        <f t="shared" ref="AL790:AX790" si="1676">AL739+AL740+AL741-AL755-AL757</f>
        <v>1691</v>
      </c>
      <c r="AM790" s="33">
        <f t="shared" si="1676"/>
        <v>1591</v>
      </c>
      <c r="AN790" s="33">
        <f t="shared" si="1676"/>
        <v>1715</v>
      </c>
      <c r="AO790" s="33">
        <f t="shared" si="1676"/>
        <v>1854</v>
      </c>
      <c r="AP790" s="33">
        <f t="shared" si="1676"/>
        <v>1955</v>
      </c>
      <c r="AQ790" s="33">
        <f t="shared" si="1676"/>
        <v>1971</v>
      </c>
      <c r="AR790" s="33">
        <f t="shared" si="1676"/>
        <v>1205</v>
      </c>
      <c r="AS790" s="33">
        <f t="shared" si="1676"/>
        <v>951</v>
      </c>
      <c r="AT790" s="33">
        <f t="shared" si="1676"/>
        <v>1046</v>
      </c>
      <c r="AU790" s="33">
        <f t="shared" si="1676"/>
        <v>892.76835945205494</v>
      </c>
      <c r="AV790" s="33">
        <f t="shared" si="1676"/>
        <v>893.60402412054805</v>
      </c>
      <c r="AW790" s="33">
        <f t="shared" si="1676"/>
        <v>956.2842748705209</v>
      </c>
      <c r="AX790" s="33">
        <f t="shared" si="1676"/>
        <v>905.27085271033138</v>
      </c>
      <c r="AY790" s="1"/>
    </row>
    <row r="791" spans="1:79" s="37" customFormat="1" ht="10.5" customHeight="1">
      <c r="C791" s="56" t="s">
        <v>1399</v>
      </c>
      <c r="E791" s="33">
        <f t="shared" ref="E791:AJ791" si="1677">E748</f>
        <v>5185</v>
      </c>
      <c r="F791" s="33">
        <f t="shared" si="1677"/>
        <v>5162</v>
      </c>
      <c r="G791" s="33">
        <f t="shared" si="1677"/>
        <v>5197</v>
      </c>
      <c r="H791" s="33">
        <f t="shared" si="1677"/>
        <v>5276</v>
      </c>
      <c r="I791" s="33">
        <f t="shared" si="1677"/>
        <v>5321</v>
      </c>
      <c r="J791" s="33">
        <f t="shared" si="1677"/>
        <v>5403</v>
      </c>
      <c r="K791" s="33">
        <f t="shared" si="1677"/>
        <v>5485</v>
      </c>
      <c r="L791" s="33">
        <f t="shared" si="1677"/>
        <v>5607</v>
      </c>
      <c r="M791" s="33">
        <f t="shared" si="1677"/>
        <v>5632</v>
      </c>
      <c r="N791" s="33">
        <f t="shared" si="1677"/>
        <v>5570</v>
      </c>
      <c r="O791" s="33">
        <f t="shared" si="1677"/>
        <v>5570</v>
      </c>
      <c r="P791" s="33">
        <f t="shared" si="1677"/>
        <v>5600</v>
      </c>
      <c r="Q791" s="33">
        <f t="shared" si="1677"/>
        <v>5576</v>
      </c>
      <c r="R791" s="33">
        <f t="shared" si="1677"/>
        <v>5550</v>
      </c>
      <c r="S791" s="33">
        <f t="shared" si="1677"/>
        <v>5534</v>
      </c>
      <c r="T791" s="33">
        <f t="shared" si="1677"/>
        <v>5571</v>
      </c>
      <c r="U791" s="33">
        <f t="shared" si="1677"/>
        <v>5498</v>
      </c>
      <c r="V791" s="33">
        <f t="shared" si="1677"/>
        <v>5478</v>
      </c>
      <c r="W791" s="33">
        <f t="shared" si="1677"/>
        <v>5489</v>
      </c>
      <c r="X791" s="33">
        <f t="shared" si="1677"/>
        <v>5549</v>
      </c>
      <c r="Y791" s="33">
        <f t="shared" si="1677"/>
        <v>5466</v>
      </c>
      <c r="Z791" s="33">
        <f t="shared" si="1677"/>
        <v>5181</v>
      </c>
      <c r="AA791" s="33">
        <f t="shared" si="1677"/>
        <v>5172</v>
      </c>
      <c r="AB791" s="33">
        <f t="shared" si="1677"/>
        <v>4996</v>
      </c>
      <c r="AC791" s="33">
        <f t="shared" si="1677"/>
        <v>4997</v>
      </c>
      <c r="AD791" s="33">
        <f t="shared" si="1677"/>
        <v>4959</v>
      </c>
      <c r="AE791" s="33">
        <f t="shared" si="1677"/>
        <v>4982</v>
      </c>
      <c r="AF791" s="33">
        <f t="shared" si="1677"/>
        <v>5160</v>
      </c>
      <c r="AG791" s="33">
        <f t="shared" ref="AG791" si="1678">AG748</f>
        <v>5258</v>
      </c>
      <c r="AH791" s="33">
        <f t="shared" si="1677"/>
        <v>5353.1165155452763</v>
      </c>
      <c r="AI791" s="33">
        <f t="shared" si="1677"/>
        <v>5446.6210510021065</v>
      </c>
      <c r="AJ791" s="33">
        <f t="shared" si="1677"/>
        <v>5538.5136063704904</v>
      </c>
      <c r="AK791" s="79"/>
      <c r="AL791" s="33">
        <f t="shared" ref="AL791:AX791" si="1679">AL748</f>
        <v>5087</v>
      </c>
      <c r="AM791" s="33">
        <f t="shared" si="1679"/>
        <v>5130</v>
      </c>
      <c r="AN791" s="33">
        <f t="shared" si="1679"/>
        <v>5276</v>
      </c>
      <c r="AO791" s="33">
        <f t="shared" si="1679"/>
        <v>5607</v>
      </c>
      <c r="AP791" s="33">
        <f t="shared" si="1679"/>
        <v>5600</v>
      </c>
      <c r="AQ791" s="33">
        <f t="shared" si="1679"/>
        <v>5571</v>
      </c>
      <c r="AR791" s="33">
        <f t="shared" si="1679"/>
        <v>5549</v>
      </c>
      <c r="AS791" s="33">
        <f t="shared" si="1679"/>
        <v>4996</v>
      </c>
      <c r="AT791" s="33">
        <f t="shared" si="1679"/>
        <v>5160</v>
      </c>
      <c r="AU791" s="33">
        <f t="shared" si="1679"/>
        <v>5538.5136063704904</v>
      </c>
      <c r="AV791" s="33">
        <f t="shared" si="1679"/>
        <v>5702.8976063704904</v>
      </c>
      <c r="AW791" s="33">
        <f t="shared" si="1679"/>
        <v>5848.0816063704897</v>
      </c>
      <c r="AX791" s="33">
        <f t="shared" si="1679"/>
        <v>5874.0656063704901</v>
      </c>
      <c r="AY791" s="1"/>
    </row>
    <row r="792" spans="1:79" s="37" customFormat="1" ht="10.5" customHeight="1">
      <c r="C792" s="56" t="s">
        <v>1400</v>
      </c>
      <c r="E792" s="33">
        <f t="shared" ref="E792:AJ792" si="1680">E743+E742+E752-SUM(E758:E761,E756)</f>
        <v>-110</v>
      </c>
      <c r="F792" s="33">
        <f t="shared" si="1680"/>
        <v>-232</v>
      </c>
      <c r="G792" s="33">
        <f t="shared" si="1680"/>
        <v>-271</v>
      </c>
      <c r="H792" s="33">
        <f t="shared" si="1680"/>
        <v>-157</v>
      </c>
      <c r="I792" s="33">
        <f t="shared" si="1680"/>
        <v>-135</v>
      </c>
      <c r="J792" s="33">
        <f t="shared" si="1680"/>
        <v>-162</v>
      </c>
      <c r="K792" s="33">
        <f t="shared" si="1680"/>
        <v>-111</v>
      </c>
      <c r="L792" s="33">
        <f t="shared" si="1680"/>
        <v>-142</v>
      </c>
      <c r="M792" s="33">
        <f t="shared" si="1680"/>
        <v>-56</v>
      </c>
      <c r="N792" s="33">
        <f t="shared" si="1680"/>
        <v>6</v>
      </c>
      <c r="O792" s="33">
        <f t="shared" si="1680"/>
        <v>51</v>
      </c>
      <c r="P792" s="33">
        <f t="shared" si="1680"/>
        <v>-46</v>
      </c>
      <c r="Q792" s="33">
        <f t="shared" si="1680"/>
        <v>179</v>
      </c>
      <c r="R792" s="33">
        <f t="shared" si="1680"/>
        <v>133</v>
      </c>
      <c r="S792" s="33">
        <f t="shared" si="1680"/>
        <v>174</v>
      </c>
      <c r="T792" s="33">
        <f t="shared" si="1680"/>
        <v>202</v>
      </c>
      <c r="U792" s="33">
        <f t="shared" si="1680"/>
        <v>813</v>
      </c>
      <c r="V792" s="33">
        <f t="shared" si="1680"/>
        <v>804</v>
      </c>
      <c r="W792" s="33">
        <f t="shared" si="1680"/>
        <v>833</v>
      </c>
      <c r="X792" s="33">
        <f t="shared" si="1680"/>
        <v>819</v>
      </c>
      <c r="Y792" s="33">
        <f t="shared" si="1680"/>
        <v>828</v>
      </c>
      <c r="Z792" s="33">
        <f t="shared" si="1680"/>
        <v>1527</v>
      </c>
      <c r="AA792" s="33">
        <f t="shared" si="1680"/>
        <v>1485</v>
      </c>
      <c r="AB792" s="33">
        <f t="shared" si="1680"/>
        <v>1886</v>
      </c>
      <c r="AC792" s="33">
        <f t="shared" si="1680"/>
        <v>1936</v>
      </c>
      <c r="AD792" s="33">
        <f t="shared" si="1680"/>
        <v>1088</v>
      </c>
      <c r="AE792" s="33">
        <f t="shared" si="1680"/>
        <v>1123</v>
      </c>
      <c r="AF792" s="33">
        <f t="shared" si="1680"/>
        <v>969</v>
      </c>
      <c r="AG792" s="33">
        <f t="shared" ref="AG792" si="1681">AG743+AG742+AG752-SUM(AG758:AG761,AG756)</f>
        <v>939</v>
      </c>
      <c r="AH792" s="33">
        <f t="shared" si="1680"/>
        <v>917.39467999999999</v>
      </c>
      <c r="AI792" s="33">
        <f t="shared" si="1680"/>
        <v>917.31781999999998</v>
      </c>
      <c r="AJ792" s="33">
        <f t="shared" si="1680"/>
        <v>917.53327999999999</v>
      </c>
      <c r="AK792" s="79"/>
      <c r="AL792" s="33">
        <f t="shared" ref="AL792:AX792" si="1682">AL743+AL742+AL752-SUM(AL758:AL761,AL756)</f>
        <v>-32</v>
      </c>
      <c r="AM792" s="33">
        <f t="shared" si="1682"/>
        <v>-227</v>
      </c>
      <c r="AN792" s="33">
        <f t="shared" si="1682"/>
        <v>-157</v>
      </c>
      <c r="AO792" s="33">
        <f t="shared" si="1682"/>
        <v>-142</v>
      </c>
      <c r="AP792" s="33">
        <f t="shared" si="1682"/>
        <v>-46</v>
      </c>
      <c r="AQ792" s="33">
        <f t="shared" si="1682"/>
        <v>202</v>
      </c>
      <c r="AR792" s="33">
        <f t="shared" si="1682"/>
        <v>819</v>
      </c>
      <c r="AS792" s="33">
        <f t="shared" si="1682"/>
        <v>1886</v>
      </c>
      <c r="AT792" s="33">
        <f t="shared" si="1682"/>
        <v>969</v>
      </c>
      <c r="AU792" s="33">
        <f t="shared" si="1682"/>
        <v>917.53327999999999</v>
      </c>
      <c r="AV792" s="33">
        <f t="shared" si="1682"/>
        <v>920.13697620000005</v>
      </c>
      <c r="AW792" s="33">
        <f t="shared" si="1682"/>
        <v>922.38609822900003</v>
      </c>
      <c r="AX792" s="33">
        <f t="shared" si="1682"/>
        <v>924.328565775985</v>
      </c>
      <c r="AY792" s="1"/>
    </row>
    <row r="793" spans="1:79" s="37" customFormat="1" ht="10.5" customHeight="1">
      <c r="C793" s="1008" t="s">
        <v>1401</v>
      </c>
      <c r="E793" s="32">
        <f t="shared" ref="E793" si="1683">SUM(E790:E792)</f>
        <v>6916</v>
      </c>
      <c r="F793" s="32">
        <f t="shared" ref="F793" si="1684">SUM(F790:F792)</f>
        <v>6770</v>
      </c>
      <c r="G793" s="32">
        <f t="shared" ref="G793" si="1685">SUM(G790:G792)</f>
        <v>6734</v>
      </c>
      <c r="H793" s="32">
        <f t="shared" ref="H793" si="1686">SUM(H790:H792)</f>
        <v>6834</v>
      </c>
      <c r="I793" s="32">
        <f t="shared" ref="I793" si="1687">SUM(I790:I792)</f>
        <v>7308</v>
      </c>
      <c r="J793" s="32">
        <f t="shared" ref="J793" si="1688">SUM(J790:J792)</f>
        <v>7418</v>
      </c>
      <c r="K793" s="32">
        <f t="shared" ref="K793" si="1689">SUM(K790:K792)</f>
        <v>7503</v>
      </c>
      <c r="L793" s="32">
        <f t="shared" ref="L793" si="1690">SUM(L790:L792)</f>
        <v>7319</v>
      </c>
      <c r="M793" s="32">
        <f t="shared" ref="M793" si="1691">SUM(M790:M792)</f>
        <v>7843</v>
      </c>
      <c r="N793" s="32">
        <f t="shared" ref="N793" si="1692">SUM(N790:N792)</f>
        <v>7869</v>
      </c>
      <c r="O793" s="32">
        <f t="shared" ref="O793" si="1693">SUM(O790:O792)</f>
        <v>8004</v>
      </c>
      <c r="P793" s="32">
        <f t="shared" ref="P793" si="1694">SUM(P790:P792)</f>
        <v>7509</v>
      </c>
      <c r="Q793" s="32">
        <f t="shared" ref="Q793" si="1695">SUM(Q790:Q792)</f>
        <v>8069</v>
      </c>
      <c r="R793" s="32">
        <f t="shared" ref="R793" si="1696">SUM(R790:R792)</f>
        <v>8001</v>
      </c>
      <c r="S793" s="32">
        <f t="shared" ref="S793" si="1697">SUM(S790:S792)</f>
        <v>7994</v>
      </c>
      <c r="T793" s="32">
        <f t="shared" ref="T793" si="1698">SUM(T790:T792)</f>
        <v>7744</v>
      </c>
      <c r="U793" s="32">
        <f t="shared" ref="U793" si="1699">SUM(U790:U792)</f>
        <v>7986</v>
      </c>
      <c r="V793" s="32">
        <f t="shared" ref="V793" si="1700">SUM(V790:V792)</f>
        <v>7851</v>
      </c>
      <c r="W793" s="32">
        <f t="shared" ref="W793" si="1701">SUM(W790:W792)</f>
        <v>7695</v>
      </c>
      <c r="X793" s="32">
        <f t="shared" ref="X793" si="1702">SUM(X790:X792)</f>
        <v>7573</v>
      </c>
      <c r="Y793" s="32">
        <f t="shared" ref="Y793" si="1703">SUM(Y790:Y792)</f>
        <v>7776</v>
      </c>
      <c r="Z793" s="32">
        <f t="shared" ref="Z793" si="1704">SUM(Z790:Z792)</f>
        <v>8076</v>
      </c>
      <c r="AA793" s="32">
        <f t="shared" ref="AA793" si="1705">SUM(AA790:AA792)</f>
        <v>8024</v>
      </c>
      <c r="AB793" s="32">
        <f t="shared" ref="AB793" si="1706">SUM(AB790:AB792)</f>
        <v>7833</v>
      </c>
      <c r="AC793" s="32">
        <f t="shared" ref="AC793" si="1707">SUM(AC790:AC792)</f>
        <v>8199</v>
      </c>
      <c r="AD793" s="32">
        <f t="shared" ref="AD793" si="1708">SUM(AD790:AD792)</f>
        <v>7339</v>
      </c>
      <c r="AE793" s="32">
        <f t="shared" ref="AE793" si="1709">SUM(AE790:AE792)</f>
        <v>7553</v>
      </c>
      <c r="AF793" s="32">
        <f t="shared" ref="AF793:AG793" si="1710">SUM(AF790:AF792)</f>
        <v>7175</v>
      </c>
      <c r="AG793" s="32">
        <f t="shared" si="1710"/>
        <v>7521</v>
      </c>
      <c r="AH793" s="32">
        <f t="shared" ref="AH793" si="1711">SUM(AH790:AH792)</f>
        <v>7243.4767456822628</v>
      </c>
      <c r="AI793" s="32">
        <f t="shared" ref="AI793" si="1712">SUM(AI790:AI792)</f>
        <v>7293.1326066185457</v>
      </c>
      <c r="AJ793" s="32">
        <f t="shared" ref="AJ793" si="1713">SUM(AJ790:AJ792)</f>
        <v>7348.815245822545</v>
      </c>
      <c r="AK793" s="79"/>
      <c r="AL793" s="32">
        <f t="shared" ref="AL793" si="1714">SUM(AL790:AL792)</f>
        <v>6746</v>
      </c>
      <c r="AM793" s="32">
        <f t="shared" ref="AM793" si="1715">SUM(AM790:AM792)</f>
        <v>6494</v>
      </c>
      <c r="AN793" s="32">
        <f t="shared" ref="AN793" si="1716">SUM(AN790:AN792)</f>
        <v>6834</v>
      </c>
      <c r="AO793" s="32">
        <f t="shared" ref="AO793" si="1717">SUM(AO790:AO792)</f>
        <v>7319</v>
      </c>
      <c r="AP793" s="32">
        <f t="shared" ref="AP793" si="1718">SUM(AP790:AP792)</f>
        <v>7509</v>
      </c>
      <c r="AQ793" s="32">
        <f t="shared" ref="AQ793" si="1719">SUM(AQ790:AQ792)</f>
        <v>7744</v>
      </c>
      <c r="AR793" s="32">
        <f t="shared" ref="AR793" si="1720">SUM(AR790:AR792)</f>
        <v>7573</v>
      </c>
      <c r="AS793" s="32">
        <f t="shared" ref="AS793" si="1721">SUM(AS790:AS792)</f>
        <v>7833</v>
      </c>
      <c r="AT793" s="32">
        <f t="shared" ref="AT793" si="1722">SUM(AT790:AT792)</f>
        <v>7175</v>
      </c>
      <c r="AU793" s="32">
        <f t="shared" ref="AU793" si="1723">SUM(AU790:AU792)</f>
        <v>7348.815245822545</v>
      </c>
      <c r="AV793" s="32">
        <f t="shared" ref="AV793" si="1724">SUM(AV790:AV792)</f>
        <v>7516.6386066910391</v>
      </c>
      <c r="AW793" s="32">
        <f t="shared" ref="AW793" si="1725">SUM(AW790:AW792)</f>
        <v>7726.7519794700102</v>
      </c>
      <c r="AX793" s="32">
        <f t="shared" ref="AX793" si="1726">SUM(AX790:AX792)</f>
        <v>7703.6650248568067</v>
      </c>
      <c r="AY793" s="1"/>
    </row>
    <row r="794" spans="1:79" s="37" customFormat="1" ht="10.5" customHeight="1">
      <c r="C794" s="1008"/>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79"/>
      <c r="AL794" s="33"/>
      <c r="AM794" s="33"/>
      <c r="AN794" s="33"/>
      <c r="AO794" s="33"/>
      <c r="AP794" s="33"/>
      <c r="AQ794" s="33"/>
      <c r="AR794" s="33"/>
      <c r="AS794" s="33"/>
      <c r="AT794" s="33"/>
      <c r="AU794" s="33"/>
      <c r="AV794" s="33"/>
      <c r="AW794" s="33"/>
      <c r="AX794" s="33"/>
      <c r="AY794" s="1"/>
    </row>
    <row r="795" spans="1:79" s="37" customFormat="1" ht="10.5" customHeight="1">
      <c r="C795" s="56" t="s">
        <v>1402</v>
      </c>
      <c r="E795" s="33">
        <f t="shared" ref="E795:AJ795" si="1727">E738</f>
        <v>202</v>
      </c>
      <c r="F795" s="33">
        <f t="shared" si="1727"/>
        <v>240</v>
      </c>
      <c r="G795" s="33">
        <f t="shared" si="1727"/>
        <v>207</v>
      </c>
      <c r="H795" s="33">
        <f t="shared" si="1727"/>
        <v>181</v>
      </c>
      <c r="I795" s="33">
        <f t="shared" si="1727"/>
        <v>197</v>
      </c>
      <c r="J795" s="33">
        <f t="shared" si="1727"/>
        <v>222</v>
      </c>
      <c r="K795" s="33">
        <f t="shared" si="1727"/>
        <v>195</v>
      </c>
      <c r="L795" s="33">
        <f t="shared" si="1727"/>
        <v>191</v>
      </c>
      <c r="M795" s="33">
        <f t="shared" si="1727"/>
        <v>194</v>
      </c>
      <c r="N795" s="33">
        <f t="shared" si="1727"/>
        <v>193</v>
      </c>
      <c r="O795" s="33">
        <f t="shared" si="1727"/>
        <v>193</v>
      </c>
      <c r="P795" s="33">
        <f t="shared" si="1727"/>
        <v>226</v>
      </c>
      <c r="Q795" s="33">
        <f t="shared" si="1727"/>
        <v>195</v>
      </c>
      <c r="R795" s="33">
        <f t="shared" si="1727"/>
        <v>186</v>
      </c>
      <c r="S795" s="33">
        <f t="shared" si="1727"/>
        <v>207</v>
      </c>
      <c r="T795" s="33">
        <f t="shared" si="1727"/>
        <v>204</v>
      </c>
      <c r="U795" s="33">
        <f t="shared" si="1727"/>
        <v>680</v>
      </c>
      <c r="V795" s="33">
        <f t="shared" si="1727"/>
        <v>704</v>
      </c>
      <c r="W795" s="33">
        <f t="shared" si="1727"/>
        <v>650</v>
      </c>
      <c r="X795" s="33">
        <f t="shared" si="1727"/>
        <v>564</v>
      </c>
      <c r="Y795" s="33">
        <f t="shared" si="1727"/>
        <v>540</v>
      </c>
      <c r="Z795" s="33">
        <f t="shared" si="1727"/>
        <v>609</v>
      </c>
      <c r="AA795" s="33">
        <f t="shared" si="1727"/>
        <v>717</v>
      </c>
      <c r="AB795" s="33">
        <f t="shared" si="1727"/>
        <v>459</v>
      </c>
      <c r="AC795" s="33">
        <f t="shared" si="1727"/>
        <v>487</v>
      </c>
      <c r="AD795" s="33">
        <f t="shared" si="1727"/>
        <v>456</v>
      </c>
      <c r="AE795" s="33">
        <f t="shared" si="1727"/>
        <v>461</v>
      </c>
      <c r="AF795" s="33">
        <f t="shared" si="1727"/>
        <v>493</v>
      </c>
      <c r="AG795" s="33">
        <f t="shared" ref="AG795" si="1728">AG738</f>
        <v>599</v>
      </c>
      <c r="AH795" s="33">
        <f t="shared" ca="1" si="1727"/>
        <v>191.82573181773762</v>
      </c>
      <c r="AI795" s="33">
        <f t="shared" ca="1" si="1727"/>
        <v>296.1228643814552</v>
      </c>
      <c r="AJ795" s="33">
        <f t="shared" ca="1" si="1727"/>
        <v>337.97361067745459</v>
      </c>
      <c r="AK795" s="79"/>
      <c r="AL795" s="33">
        <f t="shared" ref="AL795:AX795" si="1729">AL738</f>
        <v>214</v>
      </c>
      <c r="AM795" s="33">
        <f t="shared" si="1729"/>
        <v>293</v>
      </c>
      <c r="AN795" s="33">
        <f t="shared" si="1729"/>
        <v>181</v>
      </c>
      <c r="AO795" s="33">
        <f t="shared" si="1729"/>
        <v>191</v>
      </c>
      <c r="AP795" s="33">
        <f t="shared" si="1729"/>
        <v>226</v>
      </c>
      <c r="AQ795" s="33">
        <f t="shared" si="1729"/>
        <v>204</v>
      </c>
      <c r="AR795" s="33">
        <f t="shared" si="1729"/>
        <v>564</v>
      </c>
      <c r="AS795" s="33">
        <f t="shared" si="1729"/>
        <v>459</v>
      </c>
      <c r="AT795" s="33">
        <f t="shared" si="1729"/>
        <v>493</v>
      </c>
      <c r="AU795" s="33">
        <f t="shared" ca="1" si="1729"/>
        <v>337.97361067745459</v>
      </c>
      <c r="AV795" s="33">
        <f t="shared" ca="1" si="1729"/>
        <v>448.60049652896123</v>
      </c>
      <c r="AW795" s="33">
        <f t="shared" ca="1" si="1729"/>
        <v>110.70360080893829</v>
      </c>
      <c r="AX795" s="33">
        <f t="shared" ca="1" si="1729"/>
        <v>190.17612356724021</v>
      </c>
      <c r="AY795" s="1"/>
    </row>
    <row r="796" spans="1:79" s="37" customFormat="1" ht="10.5" customHeight="1">
      <c r="C796" s="56" t="s">
        <v>1403</v>
      </c>
      <c r="E796" s="33">
        <f t="shared" ref="E796:AJ796" si="1730">E750+E751</f>
        <v>7164</v>
      </c>
      <c r="F796" s="33">
        <f t="shared" si="1730"/>
        <v>7105</v>
      </c>
      <c r="G796" s="33">
        <f t="shared" si="1730"/>
        <v>7017</v>
      </c>
      <c r="H796" s="33">
        <f t="shared" si="1730"/>
        <v>6930</v>
      </c>
      <c r="I796" s="33">
        <f t="shared" si="1730"/>
        <v>6918</v>
      </c>
      <c r="J796" s="33">
        <f t="shared" si="1730"/>
        <v>6940</v>
      </c>
      <c r="K796" s="33">
        <f t="shared" si="1730"/>
        <v>6924</v>
      </c>
      <c r="L796" s="33">
        <f t="shared" si="1730"/>
        <v>6900</v>
      </c>
      <c r="M796" s="33">
        <f t="shared" si="1730"/>
        <v>6889</v>
      </c>
      <c r="N796" s="33">
        <f t="shared" si="1730"/>
        <v>6792</v>
      </c>
      <c r="O796" s="33">
        <f t="shared" si="1730"/>
        <v>6740</v>
      </c>
      <c r="P796" s="33">
        <f t="shared" si="1730"/>
        <v>6652</v>
      </c>
      <c r="Q796" s="33">
        <f t="shared" si="1730"/>
        <v>6607</v>
      </c>
      <c r="R796" s="33">
        <f t="shared" si="1730"/>
        <v>6574</v>
      </c>
      <c r="S796" s="33">
        <f t="shared" si="1730"/>
        <v>6498</v>
      </c>
      <c r="T796" s="33">
        <f t="shared" si="1730"/>
        <v>6442</v>
      </c>
      <c r="U796" s="33">
        <f t="shared" si="1730"/>
        <v>6379</v>
      </c>
      <c r="V796" s="33">
        <f t="shared" si="1730"/>
        <v>6242</v>
      </c>
      <c r="W796" s="33">
        <f t="shared" si="1730"/>
        <v>6245</v>
      </c>
      <c r="X796" s="33">
        <f t="shared" si="1730"/>
        <v>6257</v>
      </c>
      <c r="Y796" s="33">
        <f t="shared" si="1730"/>
        <v>6187</v>
      </c>
      <c r="Z796" s="33">
        <f t="shared" si="1730"/>
        <v>5443</v>
      </c>
      <c r="AA796" s="33">
        <f t="shared" si="1730"/>
        <v>5451</v>
      </c>
      <c r="AB796" s="33">
        <f t="shared" si="1730"/>
        <v>5003</v>
      </c>
      <c r="AC796" s="33">
        <f t="shared" si="1730"/>
        <v>4968</v>
      </c>
      <c r="AD796" s="33">
        <f t="shared" si="1730"/>
        <v>4911</v>
      </c>
      <c r="AE796" s="33">
        <f t="shared" si="1730"/>
        <v>4850</v>
      </c>
      <c r="AF796" s="33">
        <f t="shared" si="1730"/>
        <v>4874</v>
      </c>
      <c r="AG796" s="33">
        <f t="shared" ref="AG796" si="1731">AG750+AG751</f>
        <v>4906</v>
      </c>
      <c r="AH796" s="33">
        <f t="shared" si="1730"/>
        <v>4884.75</v>
      </c>
      <c r="AI796" s="33">
        <f t="shared" si="1730"/>
        <v>4863.5</v>
      </c>
      <c r="AJ796" s="33">
        <f t="shared" si="1730"/>
        <v>4842.25</v>
      </c>
      <c r="AK796" s="79"/>
      <c r="AL796" s="33">
        <f t="shared" ref="AL796:AX796" si="1732">AL750+AL751</f>
        <v>7391</v>
      </c>
      <c r="AM796" s="33">
        <f t="shared" si="1732"/>
        <v>7168</v>
      </c>
      <c r="AN796" s="33">
        <f t="shared" si="1732"/>
        <v>6930</v>
      </c>
      <c r="AO796" s="33">
        <f t="shared" si="1732"/>
        <v>6900</v>
      </c>
      <c r="AP796" s="33">
        <f t="shared" si="1732"/>
        <v>6652</v>
      </c>
      <c r="AQ796" s="33">
        <f t="shared" si="1732"/>
        <v>6442</v>
      </c>
      <c r="AR796" s="33">
        <f t="shared" si="1732"/>
        <v>6257</v>
      </c>
      <c r="AS796" s="33">
        <f t="shared" si="1732"/>
        <v>5003</v>
      </c>
      <c r="AT796" s="33">
        <f t="shared" si="1732"/>
        <v>4874</v>
      </c>
      <c r="AU796" s="33">
        <f t="shared" si="1732"/>
        <v>4842.25</v>
      </c>
      <c r="AV796" s="33">
        <f t="shared" si="1732"/>
        <v>4757.25</v>
      </c>
      <c r="AW796" s="33">
        <f t="shared" si="1732"/>
        <v>4681.25</v>
      </c>
      <c r="AX796" s="33">
        <f t="shared" si="1732"/>
        <v>4605.25</v>
      </c>
      <c r="AY796" s="1"/>
    </row>
    <row r="797" spans="1:79" s="37" customFormat="1" ht="10.5" customHeight="1">
      <c r="C797" s="1008" t="s">
        <v>1404</v>
      </c>
      <c r="E797" s="32">
        <f t="shared" ref="E797" si="1733">E793+SUM(E795:E796)</f>
        <v>14282</v>
      </c>
      <c r="F797" s="32">
        <f t="shared" ref="F797" si="1734">F793+SUM(F795:F796)</f>
        <v>14115</v>
      </c>
      <c r="G797" s="32">
        <f t="shared" ref="G797" si="1735">G793+SUM(G795:G796)</f>
        <v>13958</v>
      </c>
      <c r="H797" s="32">
        <f t="shared" ref="H797" si="1736">H793+SUM(H795:H796)</f>
        <v>13945</v>
      </c>
      <c r="I797" s="32">
        <f t="shared" ref="I797" si="1737">I793+SUM(I795:I796)</f>
        <v>14423</v>
      </c>
      <c r="J797" s="32">
        <f t="shared" ref="J797" si="1738">J793+SUM(J795:J796)</f>
        <v>14580</v>
      </c>
      <c r="K797" s="32">
        <f t="shared" ref="K797" si="1739">K793+SUM(K795:K796)</f>
        <v>14622</v>
      </c>
      <c r="L797" s="32">
        <f t="shared" ref="L797" si="1740">L793+SUM(L795:L796)</f>
        <v>14410</v>
      </c>
      <c r="M797" s="32">
        <f t="shared" ref="M797" si="1741">M793+SUM(M795:M796)</f>
        <v>14926</v>
      </c>
      <c r="N797" s="32">
        <f t="shared" ref="N797" si="1742">N793+SUM(N795:N796)</f>
        <v>14854</v>
      </c>
      <c r="O797" s="32">
        <f t="shared" ref="O797" si="1743">O793+SUM(O795:O796)</f>
        <v>14937</v>
      </c>
      <c r="P797" s="32">
        <f t="shared" ref="P797" si="1744">P793+SUM(P795:P796)</f>
        <v>14387</v>
      </c>
      <c r="Q797" s="32">
        <f t="shared" ref="Q797" si="1745">Q793+SUM(Q795:Q796)</f>
        <v>14871</v>
      </c>
      <c r="R797" s="32">
        <f t="shared" ref="R797" si="1746">R793+SUM(R795:R796)</f>
        <v>14761</v>
      </c>
      <c r="S797" s="32">
        <f t="shared" ref="S797" si="1747">S793+SUM(S795:S796)</f>
        <v>14699</v>
      </c>
      <c r="T797" s="32">
        <f t="shared" ref="T797" si="1748">T793+SUM(T795:T796)</f>
        <v>14390</v>
      </c>
      <c r="U797" s="32">
        <f t="shared" ref="U797" si="1749">U793+SUM(U795:U796)</f>
        <v>15045</v>
      </c>
      <c r="V797" s="32">
        <f t="shared" ref="V797" si="1750">V793+SUM(V795:V796)</f>
        <v>14797</v>
      </c>
      <c r="W797" s="32">
        <f t="shared" ref="W797" si="1751">W793+SUM(W795:W796)</f>
        <v>14590</v>
      </c>
      <c r="X797" s="32">
        <f t="shared" ref="X797" si="1752">X793+SUM(X795:X796)</f>
        <v>14394</v>
      </c>
      <c r="Y797" s="32">
        <f t="shared" ref="Y797" si="1753">Y793+SUM(Y795:Y796)</f>
        <v>14503</v>
      </c>
      <c r="Z797" s="32">
        <f t="shared" ref="Z797" si="1754">Z793+SUM(Z795:Z796)</f>
        <v>14128</v>
      </c>
      <c r="AA797" s="32">
        <f t="shared" ref="AA797" si="1755">AA793+SUM(AA795:AA796)</f>
        <v>14192</v>
      </c>
      <c r="AB797" s="32">
        <f t="shared" ref="AB797" si="1756">AB793+SUM(AB795:AB796)</f>
        <v>13295</v>
      </c>
      <c r="AC797" s="32">
        <f t="shared" ref="AC797" si="1757">AC793+SUM(AC795:AC796)</f>
        <v>13654</v>
      </c>
      <c r="AD797" s="32">
        <f t="shared" ref="AD797" si="1758">AD793+SUM(AD795:AD796)</f>
        <v>12706</v>
      </c>
      <c r="AE797" s="32">
        <f t="shared" ref="AE797" si="1759">AE793+SUM(AE795:AE796)</f>
        <v>12864</v>
      </c>
      <c r="AF797" s="32">
        <f t="shared" ref="AF797:AG797" si="1760">AF793+SUM(AF795:AF796)</f>
        <v>12542</v>
      </c>
      <c r="AG797" s="32">
        <f t="shared" si="1760"/>
        <v>13026</v>
      </c>
      <c r="AH797" s="32">
        <f ca="1">AH793+SUM(AH795:AH796)</f>
        <v>12320.052477500001</v>
      </c>
      <c r="AI797" s="32">
        <f ca="1">AI793+SUM(AI795:AI796)</f>
        <v>12452.755471</v>
      </c>
      <c r="AJ797" s="32">
        <f ca="1">AJ793+SUM(AJ795:AJ796)</f>
        <v>12529.038856499999</v>
      </c>
      <c r="AK797" s="79"/>
      <c r="AL797" s="32">
        <f t="shared" ref="AL797" si="1761">AL793+SUM(AL795:AL796)</f>
        <v>14351</v>
      </c>
      <c r="AM797" s="32">
        <f t="shared" ref="AM797" si="1762">AM793+SUM(AM795:AM796)</f>
        <v>13955</v>
      </c>
      <c r="AN797" s="32">
        <f t="shared" ref="AN797" si="1763">AN793+SUM(AN795:AN796)</f>
        <v>13945</v>
      </c>
      <c r="AO797" s="32">
        <f t="shared" ref="AO797" si="1764">AO793+SUM(AO795:AO796)</f>
        <v>14410</v>
      </c>
      <c r="AP797" s="32">
        <f t="shared" ref="AP797" si="1765">AP793+SUM(AP795:AP796)</f>
        <v>14387</v>
      </c>
      <c r="AQ797" s="32">
        <f t="shared" ref="AQ797" si="1766">AQ793+SUM(AQ795:AQ796)</f>
        <v>14390</v>
      </c>
      <c r="AR797" s="32">
        <f t="shared" ref="AR797" si="1767">AR793+SUM(AR795:AR796)</f>
        <v>14394</v>
      </c>
      <c r="AS797" s="32">
        <f t="shared" ref="AS797" si="1768">AS793+SUM(AS795:AS796)</f>
        <v>13295</v>
      </c>
      <c r="AT797" s="32">
        <f t="shared" ref="AT797" si="1769">AT793+SUM(AT795:AT796)</f>
        <v>12542</v>
      </c>
      <c r="AU797" s="32">
        <f ca="1">AU793+SUM(AU795:AU796)</f>
        <v>12529.038856499999</v>
      </c>
      <c r="AV797" s="32">
        <f ca="1">AV793+SUM(AV795:AV796)</f>
        <v>12722.489103219999</v>
      </c>
      <c r="AW797" s="32">
        <f ca="1">AW793+SUM(AW795:AW796)</f>
        <v>12518.705580278947</v>
      </c>
      <c r="AX797" s="32">
        <f ca="1">AX793+SUM(AX795:AX796)</f>
        <v>12499.091148424046</v>
      </c>
      <c r="AY797" s="63">
        <f>RATE(7,,-AM797,AT797)</f>
        <v>-1.5134990655475326E-2</v>
      </c>
    </row>
    <row r="798" spans="1:79" s="37" customFormat="1" ht="10.5" customHeight="1">
      <c r="C798" s="56"/>
      <c r="E798" s="1009"/>
      <c r="F798" s="1009"/>
      <c r="G798" s="1009"/>
      <c r="H798" s="1009"/>
      <c r="I798" s="1009"/>
      <c r="J798" s="1009"/>
      <c r="K798" s="1009"/>
      <c r="L798" s="1009"/>
      <c r="M798" s="1009"/>
      <c r="N798" s="1009"/>
      <c r="O798" s="1009"/>
      <c r="P798" s="1009"/>
      <c r="Q798" s="1009"/>
      <c r="R798" s="1009"/>
      <c r="S798" s="1009"/>
      <c r="T798" s="1009"/>
      <c r="U798" s="1009"/>
      <c r="V798" s="1009"/>
      <c r="W798" s="1009"/>
      <c r="X798" s="1009"/>
      <c r="Y798" s="1009"/>
      <c r="Z798" s="1009"/>
      <c r="AA798" s="1009"/>
      <c r="AB798" s="1009"/>
      <c r="AC798" s="1009"/>
      <c r="AD798" s="1009"/>
      <c r="AE798" s="1009"/>
      <c r="AF798" s="1009"/>
      <c r="AG798" s="1009"/>
      <c r="AH798" s="1009"/>
      <c r="AI798" s="1009"/>
      <c r="AJ798" s="1009"/>
      <c r="AK798" s="79"/>
      <c r="AL798" s="1009"/>
      <c r="AM798" s="1009"/>
      <c r="AN798" s="1009"/>
      <c r="AO798" s="1009"/>
      <c r="AP798" s="1009"/>
      <c r="AQ798" s="1009"/>
      <c r="AR798" s="1009"/>
      <c r="AS798" s="1009"/>
      <c r="AT798" s="1009"/>
      <c r="AU798" s="1009"/>
      <c r="AV798" s="1009"/>
      <c r="AW798" s="1009"/>
      <c r="AX798" s="1009"/>
      <c r="AY798" s="1"/>
    </row>
    <row r="799" spans="1:79" s="37" customFormat="1" ht="10.5" customHeight="1">
      <c r="C799" s="1007" t="s">
        <v>1405</v>
      </c>
      <c r="E799" s="1009"/>
      <c r="F799" s="1009"/>
      <c r="G799" s="1009"/>
      <c r="H799" s="1009"/>
      <c r="I799" s="1009"/>
      <c r="J799" s="1009"/>
      <c r="K799" s="1009"/>
      <c r="L799" s="1009"/>
      <c r="M799" s="1009"/>
      <c r="N799" s="1009"/>
      <c r="O799" s="1009"/>
      <c r="P799" s="1009"/>
      <c r="Q799" s="1009"/>
      <c r="R799" s="1009"/>
      <c r="S799" s="1009"/>
      <c r="T799" s="1009"/>
      <c r="U799" s="1009"/>
      <c r="V799" s="1009"/>
      <c r="W799" s="1009"/>
      <c r="X799" s="1009"/>
      <c r="Y799" s="1009"/>
      <c r="Z799" s="1009"/>
      <c r="AA799" s="1009"/>
      <c r="AB799" s="1009"/>
      <c r="AC799" s="1009"/>
      <c r="AD799" s="1009"/>
      <c r="AE799" s="1009"/>
      <c r="AF799" s="1009"/>
      <c r="AG799" s="1009"/>
      <c r="AH799" s="1009"/>
      <c r="AI799" s="1009"/>
      <c r="AJ799" s="1009"/>
      <c r="AK799" s="79"/>
      <c r="AL799" s="1009"/>
      <c r="AM799" s="1009"/>
      <c r="AN799" s="1009"/>
      <c r="AO799" s="1009"/>
      <c r="AP799" s="1009"/>
      <c r="AQ799" s="1009"/>
      <c r="AR799" s="1009"/>
      <c r="AS799" s="1009"/>
      <c r="AT799" s="1009"/>
      <c r="AU799" s="1009"/>
      <c r="AV799" s="1009"/>
      <c r="AW799" s="1009"/>
      <c r="AX799" s="1009"/>
      <c r="AY799" s="1"/>
    </row>
    <row r="800" spans="1:79" s="37" customFormat="1" ht="10.5" customHeight="1">
      <c r="C800" s="56" t="s">
        <v>469</v>
      </c>
      <c r="E800" s="33">
        <f t="shared" ref="E800:AF800" si="1770">E780</f>
        <v>4285</v>
      </c>
      <c r="F800" s="33">
        <f t="shared" si="1770"/>
        <v>4453</v>
      </c>
      <c r="G800" s="33">
        <f t="shared" si="1770"/>
        <v>4516</v>
      </c>
      <c r="H800" s="33">
        <f t="shared" si="1770"/>
        <v>4608</v>
      </c>
      <c r="I800" s="33">
        <f t="shared" si="1770"/>
        <v>4727</v>
      </c>
      <c r="J800" s="33">
        <f t="shared" si="1770"/>
        <v>4890</v>
      </c>
      <c r="K800" s="33">
        <f t="shared" si="1770"/>
        <v>5099</v>
      </c>
      <c r="L800" s="33">
        <f t="shared" si="1770"/>
        <v>5480</v>
      </c>
      <c r="M800" s="33">
        <f t="shared" si="1770"/>
        <v>5620</v>
      </c>
      <c r="N800" s="33">
        <f t="shared" si="1770"/>
        <v>5774</v>
      </c>
      <c r="O800" s="33">
        <f t="shared" si="1770"/>
        <v>5995</v>
      </c>
      <c r="P800" s="33">
        <f t="shared" si="1770"/>
        <v>5878</v>
      </c>
      <c r="Q800" s="33">
        <f t="shared" si="1770"/>
        <v>5919</v>
      </c>
      <c r="R800" s="33">
        <f t="shared" si="1770"/>
        <v>5946</v>
      </c>
      <c r="S800" s="33">
        <f t="shared" si="1770"/>
        <v>6097</v>
      </c>
      <c r="T800" s="33">
        <f t="shared" si="1770"/>
        <v>6032</v>
      </c>
      <c r="U800" s="33">
        <f t="shared" si="1770"/>
        <v>6192</v>
      </c>
      <c r="V800" s="33">
        <f t="shared" si="1770"/>
        <v>6098</v>
      </c>
      <c r="W800" s="33">
        <f t="shared" si="1770"/>
        <v>6156</v>
      </c>
      <c r="X800" s="33">
        <f t="shared" si="1770"/>
        <v>6108</v>
      </c>
      <c r="Y800" s="33">
        <f t="shared" si="1770"/>
        <v>6319</v>
      </c>
      <c r="Z800" s="33">
        <f t="shared" si="1770"/>
        <v>6028</v>
      </c>
      <c r="AA800" s="33">
        <f t="shared" si="1770"/>
        <v>6207</v>
      </c>
      <c r="AB800" s="33">
        <f t="shared" si="1770"/>
        <v>5788</v>
      </c>
      <c r="AC800" s="33">
        <f t="shared" si="1770"/>
        <v>5977</v>
      </c>
      <c r="AD800" s="33">
        <f t="shared" si="1770"/>
        <v>5407</v>
      </c>
      <c r="AE800" s="33">
        <f t="shared" si="1770"/>
        <v>5467</v>
      </c>
      <c r="AF800" s="33">
        <f t="shared" si="1770"/>
        <v>5236</v>
      </c>
      <c r="AG800" s="33">
        <f t="shared" ref="AG800" si="1771">AG780</f>
        <v>5262</v>
      </c>
      <c r="AH800" s="33">
        <f ca="1">AH780</f>
        <v>5437.0524774999994</v>
      </c>
      <c r="AI800" s="33">
        <f ca="1">AI780</f>
        <v>5634.7554709999986</v>
      </c>
      <c r="AJ800" s="33">
        <f ca="1">AJ780</f>
        <v>5776.0388564999976</v>
      </c>
      <c r="AK800" s="79"/>
      <c r="AL800" s="33">
        <f t="shared" ref="AL800:AT800" si="1772">AL780</f>
        <v>3590</v>
      </c>
      <c r="AM800" s="33">
        <f t="shared" si="1772"/>
        <v>4021</v>
      </c>
      <c r="AN800" s="33">
        <f t="shared" si="1772"/>
        <v>4608</v>
      </c>
      <c r="AO800" s="33">
        <f t="shared" si="1772"/>
        <v>5480</v>
      </c>
      <c r="AP800" s="33">
        <f t="shared" si="1772"/>
        <v>5878</v>
      </c>
      <c r="AQ800" s="33">
        <f t="shared" si="1772"/>
        <v>6032</v>
      </c>
      <c r="AR800" s="33">
        <f t="shared" si="1772"/>
        <v>6108</v>
      </c>
      <c r="AS800" s="33">
        <f t="shared" si="1772"/>
        <v>5788</v>
      </c>
      <c r="AT800" s="33">
        <f t="shared" si="1772"/>
        <v>5236</v>
      </c>
      <c r="AU800" s="33">
        <f ca="1">AU780</f>
        <v>5776.0388564999976</v>
      </c>
      <c r="AV800" s="33">
        <f ca="1">AV780</f>
        <v>6420.4891032199976</v>
      </c>
      <c r="AW800" s="33">
        <f ca="1">AW780</f>
        <v>7120.7055802789473</v>
      </c>
      <c r="AX800" s="33">
        <f ca="1">AX780</f>
        <v>7853.091148424046</v>
      </c>
      <c r="AY800" s="1"/>
    </row>
    <row r="801" spans="3:51" s="37" customFormat="1" ht="10.5" customHeight="1">
      <c r="C801" s="56" t="s">
        <v>1406</v>
      </c>
      <c r="E801" s="33">
        <f t="shared" ref="E801:AJ801" si="1773">E767</f>
        <v>939</v>
      </c>
      <c r="F801" s="33">
        <f t="shared" si="1773"/>
        <v>1014</v>
      </c>
      <c r="G801" s="33">
        <f t="shared" si="1773"/>
        <v>1022</v>
      </c>
      <c r="H801" s="33">
        <f t="shared" si="1773"/>
        <v>1206</v>
      </c>
      <c r="I801" s="33">
        <f t="shared" si="1773"/>
        <v>1269</v>
      </c>
      <c r="J801" s="33">
        <f t="shared" si="1773"/>
        <v>1286</v>
      </c>
      <c r="K801" s="33">
        <f t="shared" si="1773"/>
        <v>1349</v>
      </c>
      <c r="L801" s="33">
        <f t="shared" si="1773"/>
        <v>893</v>
      </c>
      <c r="M801" s="33">
        <f t="shared" si="1773"/>
        <v>914</v>
      </c>
      <c r="N801" s="33">
        <f t="shared" si="1773"/>
        <v>933</v>
      </c>
      <c r="O801" s="33">
        <f t="shared" si="1773"/>
        <v>944</v>
      </c>
      <c r="P801" s="33">
        <f t="shared" si="1773"/>
        <v>884</v>
      </c>
      <c r="Q801" s="33">
        <f t="shared" si="1773"/>
        <v>892</v>
      </c>
      <c r="R801" s="33">
        <f t="shared" si="1773"/>
        <v>888</v>
      </c>
      <c r="S801" s="33">
        <f t="shared" si="1773"/>
        <v>887</v>
      </c>
      <c r="T801" s="33">
        <f t="shared" si="1773"/>
        <v>915</v>
      </c>
      <c r="U801" s="33">
        <f t="shared" si="1773"/>
        <v>924</v>
      </c>
      <c r="V801" s="33">
        <f t="shared" si="1773"/>
        <v>932</v>
      </c>
      <c r="W801" s="33">
        <f t="shared" si="1773"/>
        <v>928</v>
      </c>
      <c r="X801" s="33">
        <f t="shared" si="1773"/>
        <v>848</v>
      </c>
      <c r="Y801" s="33">
        <f t="shared" si="1773"/>
        <v>855</v>
      </c>
      <c r="Z801" s="33">
        <f t="shared" si="1773"/>
        <v>831</v>
      </c>
      <c r="AA801" s="33">
        <f t="shared" si="1773"/>
        <v>827</v>
      </c>
      <c r="AB801" s="33">
        <f t="shared" si="1773"/>
        <v>810</v>
      </c>
      <c r="AC801" s="33">
        <f t="shared" si="1773"/>
        <v>795</v>
      </c>
      <c r="AD801" s="33">
        <f t="shared" si="1773"/>
        <v>738</v>
      </c>
      <c r="AE801" s="33">
        <f t="shared" si="1773"/>
        <v>756</v>
      </c>
      <c r="AF801" s="33">
        <f t="shared" si="1773"/>
        <v>671</v>
      </c>
      <c r="AG801" s="33">
        <f t="shared" ref="AG801" si="1774">AG767</f>
        <v>662</v>
      </c>
      <c r="AH801" s="33">
        <f t="shared" si="1773"/>
        <v>622</v>
      </c>
      <c r="AI801" s="33">
        <f t="shared" si="1773"/>
        <v>582</v>
      </c>
      <c r="AJ801" s="33">
        <f t="shared" si="1773"/>
        <v>542</v>
      </c>
      <c r="AK801" s="79"/>
      <c r="AL801" s="33">
        <f t="shared" ref="AL801:AX801" si="1775">AL767</f>
        <v>946</v>
      </c>
      <c r="AM801" s="33">
        <f t="shared" si="1775"/>
        <v>928</v>
      </c>
      <c r="AN801" s="33">
        <f t="shared" si="1775"/>
        <v>1206</v>
      </c>
      <c r="AO801" s="33">
        <f t="shared" si="1775"/>
        <v>893</v>
      </c>
      <c r="AP801" s="33">
        <f t="shared" si="1775"/>
        <v>884</v>
      </c>
      <c r="AQ801" s="33">
        <f t="shared" si="1775"/>
        <v>915</v>
      </c>
      <c r="AR801" s="33">
        <f t="shared" si="1775"/>
        <v>848</v>
      </c>
      <c r="AS801" s="33">
        <f t="shared" si="1775"/>
        <v>810</v>
      </c>
      <c r="AT801" s="33">
        <f t="shared" si="1775"/>
        <v>671</v>
      </c>
      <c r="AU801" s="33">
        <f t="shared" si="1775"/>
        <v>542</v>
      </c>
      <c r="AV801" s="33">
        <f t="shared" si="1775"/>
        <v>392</v>
      </c>
      <c r="AW801" s="33">
        <f t="shared" si="1775"/>
        <v>242</v>
      </c>
      <c r="AX801" s="33">
        <f t="shared" si="1775"/>
        <v>92</v>
      </c>
      <c r="AY801" s="1"/>
    </row>
    <row r="802" spans="3:51" s="37" customFormat="1" ht="10.5" customHeight="1">
      <c r="C802" s="1008" t="s">
        <v>1407</v>
      </c>
      <c r="E802" s="32">
        <f t="shared" ref="E802" si="1776">SUM(E800:E801)</f>
        <v>5224</v>
      </c>
      <c r="F802" s="32">
        <f t="shared" ref="F802" si="1777">SUM(F800:F801)</f>
        <v>5467</v>
      </c>
      <c r="G802" s="32">
        <f t="shared" ref="G802" si="1778">SUM(G800:G801)</f>
        <v>5538</v>
      </c>
      <c r="H802" s="32">
        <f t="shared" ref="H802" si="1779">SUM(H800:H801)</f>
        <v>5814</v>
      </c>
      <c r="I802" s="32">
        <f t="shared" ref="I802" si="1780">SUM(I800:I801)</f>
        <v>5996</v>
      </c>
      <c r="J802" s="32">
        <f t="shared" ref="J802" si="1781">SUM(J800:J801)</f>
        <v>6176</v>
      </c>
      <c r="K802" s="32">
        <f t="shared" ref="K802" si="1782">SUM(K800:K801)</f>
        <v>6448</v>
      </c>
      <c r="L802" s="32">
        <f t="shared" ref="L802" si="1783">SUM(L800:L801)</f>
        <v>6373</v>
      </c>
      <c r="M802" s="32">
        <f t="shared" ref="M802" si="1784">SUM(M800:M801)</f>
        <v>6534</v>
      </c>
      <c r="N802" s="32">
        <f t="shared" ref="N802" si="1785">SUM(N800:N801)</f>
        <v>6707</v>
      </c>
      <c r="O802" s="32">
        <f t="shared" ref="O802" si="1786">SUM(O800:O801)</f>
        <v>6939</v>
      </c>
      <c r="P802" s="32">
        <f t="shared" ref="P802" si="1787">SUM(P800:P801)</f>
        <v>6762</v>
      </c>
      <c r="Q802" s="32">
        <f t="shared" ref="Q802" si="1788">SUM(Q800:Q801)</f>
        <v>6811</v>
      </c>
      <c r="R802" s="32">
        <f t="shared" ref="R802" si="1789">SUM(R800:R801)</f>
        <v>6834</v>
      </c>
      <c r="S802" s="32">
        <f t="shared" ref="S802" si="1790">SUM(S800:S801)</f>
        <v>6984</v>
      </c>
      <c r="T802" s="32">
        <f t="shared" ref="T802" si="1791">SUM(T800:T801)</f>
        <v>6947</v>
      </c>
      <c r="U802" s="32">
        <f t="shared" ref="U802" si="1792">SUM(U800:U801)</f>
        <v>7116</v>
      </c>
      <c r="V802" s="32">
        <f t="shared" ref="V802" si="1793">SUM(V800:V801)</f>
        <v>7030</v>
      </c>
      <c r="W802" s="32">
        <f t="shared" ref="W802" si="1794">SUM(W800:W801)</f>
        <v>7084</v>
      </c>
      <c r="X802" s="32">
        <f t="shared" ref="X802" si="1795">SUM(X800:X801)</f>
        <v>6956</v>
      </c>
      <c r="Y802" s="32">
        <f t="shared" ref="Y802" si="1796">SUM(Y800:Y801)</f>
        <v>7174</v>
      </c>
      <c r="Z802" s="32">
        <f t="shared" ref="Z802" si="1797">SUM(Z800:Z801)</f>
        <v>6859</v>
      </c>
      <c r="AA802" s="32">
        <f t="shared" ref="AA802" si="1798">SUM(AA800:AA801)</f>
        <v>7034</v>
      </c>
      <c r="AB802" s="32">
        <f t="shared" ref="AB802" si="1799">SUM(AB800:AB801)</f>
        <v>6598</v>
      </c>
      <c r="AC802" s="32">
        <f t="shared" ref="AC802" si="1800">SUM(AC800:AC801)</f>
        <v>6772</v>
      </c>
      <c r="AD802" s="32">
        <f t="shared" ref="AD802" si="1801">SUM(AD800:AD801)</f>
        <v>6145</v>
      </c>
      <c r="AE802" s="32">
        <f t="shared" ref="AE802" si="1802">SUM(AE800:AE801)</f>
        <v>6223</v>
      </c>
      <c r="AF802" s="32">
        <f t="shared" ref="AF802:AG802" si="1803">SUM(AF800:AF801)</f>
        <v>5907</v>
      </c>
      <c r="AG802" s="32">
        <f t="shared" si="1803"/>
        <v>5924</v>
      </c>
      <c r="AH802" s="32">
        <f ca="1">SUM(AH800:AH801)</f>
        <v>6059.0524774999994</v>
      </c>
      <c r="AI802" s="32">
        <f ca="1">SUM(AI800:AI801)</f>
        <v>6216.7554709999986</v>
      </c>
      <c r="AJ802" s="32">
        <f ca="1">SUM(AJ800:AJ801)</f>
        <v>6318.0388564999976</v>
      </c>
      <c r="AK802" s="79"/>
      <c r="AL802" s="32">
        <f t="shared" ref="AL802" si="1804">SUM(AL800:AL801)</f>
        <v>4536</v>
      </c>
      <c r="AM802" s="32">
        <f t="shared" ref="AM802" si="1805">SUM(AM800:AM801)</f>
        <v>4949</v>
      </c>
      <c r="AN802" s="32">
        <f t="shared" ref="AN802" si="1806">SUM(AN800:AN801)</f>
        <v>5814</v>
      </c>
      <c r="AO802" s="32">
        <f t="shared" ref="AO802" si="1807">SUM(AO800:AO801)</f>
        <v>6373</v>
      </c>
      <c r="AP802" s="32">
        <f t="shared" ref="AP802" si="1808">SUM(AP800:AP801)</f>
        <v>6762</v>
      </c>
      <c r="AQ802" s="32">
        <f t="shared" ref="AQ802" si="1809">SUM(AQ800:AQ801)</f>
        <v>6947</v>
      </c>
      <c r="AR802" s="32">
        <f t="shared" ref="AR802" si="1810">SUM(AR800:AR801)</f>
        <v>6956</v>
      </c>
      <c r="AS802" s="32">
        <f t="shared" ref="AS802" si="1811">SUM(AS800:AS801)</f>
        <v>6598</v>
      </c>
      <c r="AT802" s="32">
        <f t="shared" ref="AT802" si="1812">SUM(AT800:AT801)</f>
        <v>5907</v>
      </c>
      <c r="AU802" s="32">
        <f ca="1">SUM(AU800:AU801)</f>
        <v>6318.0388564999976</v>
      </c>
      <c r="AV802" s="32">
        <f ca="1">SUM(AV800:AV801)</f>
        <v>6812.4891032199976</v>
      </c>
      <c r="AW802" s="32">
        <f ca="1">SUM(AW800:AW801)</f>
        <v>7362.7055802789473</v>
      </c>
      <c r="AX802" s="32">
        <f ca="1">SUM(AX800:AX801)</f>
        <v>7945.091148424046</v>
      </c>
      <c r="AY802" s="1"/>
    </row>
    <row r="803" spans="3:51" s="37" customFormat="1" ht="10.5" customHeight="1">
      <c r="C803" s="1008"/>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79"/>
      <c r="AL803" s="33"/>
      <c r="AM803" s="33"/>
      <c r="AN803" s="33"/>
      <c r="AO803" s="33"/>
      <c r="AP803" s="33"/>
      <c r="AQ803" s="33"/>
      <c r="AR803" s="33"/>
      <c r="AS803" s="33"/>
      <c r="AT803" s="33"/>
      <c r="AU803" s="33"/>
      <c r="AV803" s="33"/>
      <c r="AW803" s="33"/>
      <c r="AX803" s="33"/>
      <c r="AY803" s="1"/>
    </row>
    <row r="804" spans="3:51" s="37" customFormat="1" ht="10.5" customHeight="1">
      <c r="C804" s="56" t="s">
        <v>1408</v>
      </c>
      <c r="E804" s="33">
        <f t="shared" ref="E804:AF804" si="1813">E766</f>
        <v>7078</v>
      </c>
      <c r="F804" s="33">
        <f t="shared" si="1813"/>
        <v>6804</v>
      </c>
      <c r="G804" s="33">
        <f t="shared" si="1813"/>
        <v>6608</v>
      </c>
      <c r="H804" s="33">
        <f t="shared" si="1813"/>
        <v>6594</v>
      </c>
      <c r="I804" s="33">
        <f t="shared" si="1813"/>
        <v>6883</v>
      </c>
      <c r="J804" s="33">
        <f t="shared" si="1813"/>
        <v>6881</v>
      </c>
      <c r="K804" s="33">
        <f t="shared" si="1813"/>
        <v>6694</v>
      </c>
      <c r="L804" s="33">
        <f t="shared" si="1813"/>
        <v>6540</v>
      </c>
      <c r="M804" s="33">
        <f t="shared" si="1813"/>
        <v>6900</v>
      </c>
      <c r="N804" s="33">
        <f t="shared" si="1813"/>
        <v>6695</v>
      </c>
      <c r="O804" s="33">
        <f t="shared" si="1813"/>
        <v>6626</v>
      </c>
      <c r="P804" s="33">
        <f t="shared" si="1813"/>
        <v>6168</v>
      </c>
      <c r="Q804" s="33">
        <f t="shared" si="1813"/>
        <v>6464</v>
      </c>
      <c r="R804" s="33">
        <f t="shared" si="1813"/>
        <v>6355</v>
      </c>
      <c r="S804" s="33">
        <f t="shared" si="1813"/>
        <v>6209</v>
      </c>
      <c r="T804" s="33">
        <f t="shared" si="1813"/>
        <v>5782</v>
      </c>
      <c r="U804" s="33">
        <f t="shared" si="1813"/>
        <v>6294</v>
      </c>
      <c r="V804" s="33">
        <f t="shared" si="1813"/>
        <v>6133</v>
      </c>
      <c r="W804" s="33">
        <f t="shared" si="1813"/>
        <v>5865</v>
      </c>
      <c r="X804" s="33">
        <f t="shared" si="1813"/>
        <v>5618</v>
      </c>
      <c r="Y804" s="33">
        <f t="shared" si="1813"/>
        <v>5524</v>
      </c>
      <c r="Z804" s="33">
        <f t="shared" si="1813"/>
        <v>5548</v>
      </c>
      <c r="AA804" s="33">
        <f t="shared" si="1813"/>
        <v>5488</v>
      </c>
      <c r="AB804" s="33">
        <f t="shared" si="1813"/>
        <v>5159</v>
      </c>
      <c r="AC804" s="33">
        <f t="shared" si="1813"/>
        <v>5363</v>
      </c>
      <c r="AD804" s="33">
        <f t="shared" si="1813"/>
        <v>4991</v>
      </c>
      <c r="AE804" s="33">
        <f t="shared" si="1813"/>
        <v>5065</v>
      </c>
      <c r="AF804" s="33">
        <f t="shared" si="1813"/>
        <v>5151</v>
      </c>
      <c r="AG804" s="33">
        <f t="shared" ref="AG804" si="1814">AG766</f>
        <v>5650</v>
      </c>
      <c r="AH804" s="33">
        <f t="shared" ref="AH804:AJ804" ca="1" si="1815">AH766</f>
        <v>4834</v>
      </c>
      <c r="AI804" s="33">
        <f t="shared" ca="1" si="1815"/>
        <v>4834</v>
      </c>
      <c r="AJ804" s="33">
        <f t="shared" ca="1" si="1815"/>
        <v>4834</v>
      </c>
      <c r="AK804" s="79"/>
      <c r="AL804" s="33">
        <f t="shared" ref="AL804:AX804" si="1816">AL766</f>
        <v>7549</v>
      </c>
      <c r="AM804" s="33">
        <f t="shared" si="1816"/>
        <v>7008</v>
      </c>
      <c r="AN804" s="33">
        <f t="shared" si="1816"/>
        <v>6594</v>
      </c>
      <c r="AO804" s="33">
        <f t="shared" si="1816"/>
        <v>6540</v>
      </c>
      <c r="AP804" s="33">
        <f t="shared" si="1816"/>
        <v>6168</v>
      </c>
      <c r="AQ804" s="33">
        <f t="shared" si="1816"/>
        <v>5782</v>
      </c>
      <c r="AR804" s="33">
        <f t="shared" si="1816"/>
        <v>5618</v>
      </c>
      <c r="AS804" s="33">
        <f t="shared" si="1816"/>
        <v>5159</v>
      </c>
      <c r="AT804" s="33">
        <f t="shared" si="1816"/>
        <v>5151</v>
      </c>
      <c r="AU804" s="33">
        <f t="shared" ca="1" si="1816"/>
        <v>4834</v>
      </c>
      <c r="AV804" s="33">
        <f t="shared" ca="1" si="1816"/>
        <v>4593</v>
      </c>
      <c r="AW804" s="33">
        <f t="shared" ca="1" si="1816"/>
        <v>3899</v>
      </c>
      <c r="AX804" s="33">
        <f t="shared" ca="1" si="1816"/>
        <v>3357</v>
      </c>
      <c r="AY804" s="1"/>
    </row>
    <row r="805" spans="3:51" s="37" customFormat="1" ht="10.5" customHeight="1">
      <c r="C805" s="33" t="s">
        <v>57</v>
      </c>
      <c r="E805" s="33">
        <f t="shared" ref="E805:AJ805" si="1817">E769</f>
        <v>686</v>
      </c>
      <c r="F805" s="33">
        <f t="shared" si="1817"/>
        <v>568</v>
      </c>
      <c r="G805" s="33">
        <f t="shared" si="1817"/>
        <v>573</v>
      </c>
      <c r="H805" s="33">
        <f t="shared" si="1817"/>
        <v>519</v>
      </c>
      <c r="I805" s="33">
        <f t="shared" si="1817"/>
        <v>535</v>
      </c>
      <c r="J805" s="33">
        <f t="shared" si="1817"/>
        <v>519</v>
      </c>
      <c r="K805" s="33">
        <f t="shared" si="1817"/>
        <v>491</v>
      </c>
      <c r="L805" s="33">
        <f t="shared" si="1817"/>
        <v>534</v>
      </c>
      <c r="M805" s="33">
        <f t="shared" si="1817"/>
        <v>541</v>
      </c>
      <c r="N805" s="33">
        <f t="shared" si="1817"/>
        <v>528</v>
      </c>
      <c r="O805" s="33">
        <f t="shared" si="1817"/>
        <v>471</v>
      </c>
      <c r="P805" s="33">
        <f t="shared" si="1817"/>
        <v>532</v>
      </c>
      <c r="Q805" s="33">
        <f t="shared" si="1817"/>
        <v>681</v>
      </c>
      <c r="R805" s="33">
        <f t="shared" si="1817"/>
        <v>680</v>
      </c>
      <c r="S805" s="33">
        <f t="shared" si="1817"/>
        <v>639</v>
      </c>
      <c r="T805" s="33">
        <f t="shared" si="1817"/>
        <v>645</v>
      </c>
      <c r="U805" s="33">
        <f t="shared" si="1817"/>
        <v>667</v>
      </c>
      <c r="V805" s="33">
        <f t="shared" si="1817"/>
        <v>683</v>
      </c>
      <c r="W805" s="33">
        <f t="shared" si="1817"/>
        <v>702</v>
      </c>
      <c r="X805" s="33">
        <f t="shared" si="1817"/>
        <v>677</v>
      </c>
      <c r="Y805" s="33">
        <f t="shared" si="1817"/>
        <v>689</v>
      </c>
      <c r="Z805" s="33">
        <f t="shared" si="1817"/>
        <v>670</v>
      </c>
      <c r="AA805" s="33">
        <f t="shared" si="1817"/>
        <v>661</v>
      </c>
      <c r="AB805" s="33">
        <f t="shared" si="1817"/>
        <v>727</v>
      </c>
      <c r="AC805" s="33">
        <f t="shared" si="1817"/>
        <v>720</v>
      </c>
      <c r="AD805" s="33">
        <f t="shared" si="1817"/>
        <v>802</v>
      </c>
      <c r="AE805" s="33">
        <f t="shared" si="1817"/>
        <v>830</v>
      </c>
      <c r="AF805" s="33">
        <f t="shared" si="1817"/>
        <v>856</v>
      </c>
      <c r="AG805" s="33">
        <f t="shared" ref="AG805" si="1818">AG769</f>
        <v>823</v>
      </c>
      <c r="AH805" s="33">
        <f t="shared" si="1817"/>
        <v>823</v>
      </c>
      <c r="AI805" s="33">
        <f t="shared" si="1817"/>
        <v>823</v>
      </c>
      <c r="AJ805" s="33">
        <f t="shared" si="1817"/>
        <v>823</v>
      </c>
      <c r="AK805" s="79"/>
      <c r="AL805" s="33">
        <f t="shared" ref="AL805:AX805" si="1819">AL769</f>
        <v>768</v>
      </c>
      <c r="AM805" s="33">
        <f t="shared" si="1819"/>
        <v>701</v>
      </c>
      <c r="AN805" s="33">
        <f t="shared" si="1819"/>
        <v>519</v>
      </c>
      <c r="AO805" s="33">
        <f t="shared" si="1819"/>
        <v>534</v>
      </c>
      <c r="AP805" s="33">
        <f t="shared" si="1819"/>
        <v>532</v>
      </c>
      <c r="AQ805" s="33">
        <f t="shared" si="1819"/>
        <v>645</v>
      </c>
      <c r="AR805" s="33">
        <f t="shared" si="1819"/>
        <v>677</v>
      </c>
      <c r="AS805" s="33">
        <f t="shared" si="1819"/>
        <v>727</v>
      </c>
      <c r="AT805" s="33">
        <f t="shared" si="1819"/>
        <v>856</v>
      </c>
      <c r="AU805" s="33">
        <f t="shared" si="1819"/>
        <v>823</v>
      </c>
      <c r="AV805" s="33">
        <f t="shared" si="1819"/>
        <v>823</v>
      </c>
      <c r="AW805" s="33">
        <f t="shared" si="1819"/>
        <v>823</v>
      </c>
      <c r="AX805" s="33">
        <f t="shared" si="1819"/>
        <v>823</v>
      </c>
      <c r="AY805" s="1"/>
    </row>
    <row r="806" spans="3:51" s="37" customFormat="1" ht="10.5" customHeight="1">
      <c r="C806" s="33" t="s">
        <v>56</v>
      </c>
      <c r="E806" s="33">
        <f t="shared" ref="E806:AJ806" si="1820">E768</f>
        <v>1294</v>
      </c>
      <c r="F806" s="33">
        <f t="shared" si="1820"/>
        <v>1276</v>
      </c>
      <c r="G806" s="33">
        <f t="shared" si="1820"/>
        <v>1239</v>
      </c>
      <c r="H806" s="33">
        <f t="shared" si="1820"/>
        <v>1018</v>
      </c>
      <c r="I806" s="33">
        <f t="shared" si="1820"/>
        <v>1009</v>
      </c>
      <c r="J806" s="33">
        <f t="shared" si="1820"/>
        <v>1004</v>
      </c>
      <c r="K806" s="33">
        <f t="shared" si="1820"/>
        <v>989</v>
      </c>
      <c r="L806" s="33">
        <f t="shared" si="1820"/>
        <v>963</v>
      </c>
      <c r="M806" s="33">
        <f t="shared" si="1820"/>
        <v>951</v>
      </c>
      <c r="N806" s="33">
        <f t="shared" si="1820"/>
        <v>924</v>
      </c>
      <c r="O806" s="33">
        <f t="shared" si="1820"/>
        <v>901</v>
      </c>
      <c r="P806" s="33">
        <f t="shared" si="1820"/>
        <v>925</v>
      </c>
      <c r="Q806" s="33">
        <f t="shared" si="1820"/>
        <v>915</v>
      </c>
      <c r="R806" s="33">
        <f t="shared" si="1820"/>
        <v>892</v>
      </c>
      <c r="S806" s="33">
        <f t="shared" si="1820"/>
        <v>867</v>
      </c>
      <c r="T806" s="33">
        <f t="shared" si="1820"/>
        <v>1016</v>
      </c>
      <c r="U806" s="33">
        <f t="shared" si="1820"/>
        <v>968</v>
      </c>
      <c r="V806" s="33">
        <f t="shared" si="1820"/>
        <v>951</v>
      </c>
      <c r="W806" s="33">
        <f t="shared" si="1820"/>
        <v>939</v>
      </c>
      <c r="X806" s="33">
        <f t="shared" si="1820"/>
        <v>1143</v>
      </c>
      <c r="Y806" s="33">
        <f t="shared" si="1820"/>
        <v>1116</v>
      </c>
      <c r="Z806" s="33">
        <f t="shared" si="1820"/>
        <v>1051</v>
      </c>
      <c r="AA806" s="33">
        <f t="shared" si="1820"/>
        <v>1009</v>
      </c>
      <c r="AB806" s="33">
        <f t="shared" si="1820"/>
        <v>811</v>
      </c>
      <c r="AC806" s="33">
        <f t="shared" si="1820"/>
        <v>799</v>
      </c>
      <c r="AD806" s="33">
        <f t="shared" si="1820"/>
        <v>768</v>
      </c>
      <c r="AE806" s="33">
        <f t="shared" si="1820"/>
        <v>746</v>
      </c>
      <c r="AF806" s="33">
        <f t="shared" si="1820"/>
        <v>628</v>
      </c>
      <c r="AG806" s="33">
        <f t="shared" ref="AG806" si="1821">AG768</f>
        <v>629</v>
      </c>
      <c r="AH806" s="33">
        <f t="shared" si="1820"/>
        <v>604</v>
      </c>
      <c r="AI806" s="33">
        <f t="shared" si="1820"/>
        <v>579</v>
      </c>
      <c r="AJ806" s="33">
        <f t="shared" si="1820"/>
        <v>554</v>
      </c>
      <c r="AK806" s="79"/>
      <c r="AL806" s="33">
        <f t="shared" ref="AL806:AX806" si="1822">AL768</f>
        <v>1498</v>
      </c>
      <c r="AM806" s="33">
        <f t="shared" si="1822"/>
        <v>1297</v>
      </c>
      <c r="AN806" s="33">
        <f t="shared" si="1822"/>
        <v>1018</v>
      </c>
      <c r="AO806" s="33">
        <f t="shared" si="1822"/>
        <v>963</v>
      </c>
      <c r="AP806" s="33">
        <f t="shared" si="1822"/>
        <v>925</v>
      </c>
      <c r="AQ806" s="33">
        <f t="shared" si="1822"/>
        <v>1016</v>
      </c>
      <c r="AR806" s="33">
        <f t="shared" si="1822"/>
        <v>1143</v>
      </c>
      <c r="AS806" s="33">
        <f t="shared" si="1822"/>
        <v>811</v>
      </c>
      <c r="AT806" s="33">
        <f t="shared" si="1822"/>
        <v>628</v>
      </c>
      <c r="AU806" s="33">
        <f t="shared" si="1822"/>
        <v>554</v>
      </c>
      <c r="AV806" s="33">
        <f t="shared" si="1822"/>
        <v>494</v>
      </c>
      <c r="AW806" s="33">
        <f t="shared" si="1822"/>
        <v>434</v>
      </c>
      <c r="AX806" s="33">
        <f t="shared" si="1822"/>
        <v>374</v>
      </c>
      <c r="AY806" s="1"/>
    </row>
    <row r="807" spans="3:51" s="37" customFormat="1" ht="10.5" customHeight="1">
      <c r="C807" s="1007" t="s">
        <v>1409</v>
      </c>
      <c r="E807" s="32">
        <f t="shared" ref="E807:AF807" si="1823">E802+E804+E805+E806</f>
        <v>14282</v>
      </c>
      <c r="F807" s="32">
        <f t="shared" si="1823"/>
        <v>14115</v>
      </c>
      <c r="G807" s="32">
        <f t="shared" si="1823"/>
        <v>13958</v>
      </c>
      <c r="H807" s="32">
        <f t="shared" si="1823"/>
        <v>13945</v>
      </c>
      <c r="I807" s="32">
        <f t="shared" si="1823"/>
        <v>14423</v>
      </c>
      <c r="J807" s="32">
        <f t="shared" si="1823"/>
        <v>14580</v>
      </c>
      <c r="K807" s="32">
        <f t="shared" si="1823"/>
        <v>14622</v>
      </c>
      <c r="L807" s="32">
        <f t="shared" si="1823"/>
        <v>14410</v>
      </c>
      <c r="M807" s="32">
        <f t="shared" si="1823"/>
        <v>14926</v>
      </c>
      <c r="N807" s="32">
        <f t="shared" si="1823"/>
        <v>14854</v>
      </c>
      <c r="O807" s="32">
        <f t="shared" si="1823"/>
        <v>14937</v>
      </c>
      <c r="P807" s="32">
        <f t="shared" si="1823"/>
        <v>14387</v>
      </c>
      <c r="Q807" s="32">
        <f t="shared" si="1823"/>
        <v>14871</v>
      </c>
      <c r="R807" s="32">
        <f t="shared" si="1823"/>
        <v>14761</v>
      </c>
      <c r="S807" s="32">
        <f t="shared" si="1823"/>
        <v>14699</v>
      </c>
      <c r="T807" s="32">
        <f t="shared" si="1823"/>
        <v>14390</v>
      </c>
      <c r="U807" s="32">
        <f t="shared" si="1823"/>
        <v>15045</v>
      </c>
      <c r="V807" s="32">
        <f t="shared" si="1823"/>
        <v>14797</v>
      </c>
      <c r="W807" s="32">
        <f t="shared" si="1823"/>
        <v>14590</v>
      </c>
      <c r="X807" s="32">
        <f t="shared" si="1823"/>
        <v>14394</v>
      </c>
      <c r="Y807" s="32">
        <f t="shared" si="1823"/>
        <v>14503</v>
      </c>
      <c r="Z807" s="32">
        <f t="shared" si="1823"/>
        <v>14128</v>
      </c>
      <c r="AA807" s="32">
        <f t="shared" si="1823"/>
        <v>14192</v>
      </c>
      <c r="AB807" s="32">
        <f t="shared" si="1823"/>
        <v>13295</v>
      </c>
      <c r="AC807" s="32">
        <f t="shared" si="1823"/>
        <v>13654</v>
      </c>
      <c r="AD807" s="32">
        <f t="shared" si="1823"/>
        <v>12706</v>
      </c>
      <c r="AE807" s="32">
        <f t="shared" si="1823"/>
        <v>12864</v>
      </c>
      <c r="AF807" s="32">
        <f t="shared" si="1823"/>
        <v>12542</v>
      </c>
      <c r="AG807" s="32">
        <f t="shared" ref="AG807" si="1824">AG802+AG804+AG805+AG806</f>
        <v>13026</v>
      </c>
      <c r="AH807" s="32">
        <f ca="1">AH802+AH804+AH805+AH806</f>
        <v>12320.052477499999</v>
      </c>
      <c r="AI807" s="32">
        <f ca="1">AI802+AI804+AI805+AI806</f>
        <v>12452.755470999999</v>
      </c>
      <c r="AJ807" s="32">
        <f ca="1">AJ802+AJ804+AJ805+AJ806</f>
        <v>12529.038856499998</v>
      </c>
      <c r="AK807" s="79"/>
      <c r="AL807" s="32">
        <f>AL802+AL804+AL805+AL806</f>
        <v>14351</v>
      </c>
      <c r="AM807" s="32">
        <f t="shared" ref="AM807:AT807" si="1825">AM802+AM804+AM805+AM806</f>
        <v>13955</v>
      </c>
      <c r="AN807" s="32">
        <f t="shared" si="1825"/>
        <v>13945</v>
      </c>
      <c r="AO807" s="32">
        <f t="shared" si="1825"/>
        <v>14410</v>
      </c>
      <c r="AP807" s="32">
        <f t="shared" si="1825"/>
        <v>14387</v>
      </c>
      <c r="AQ807" s="32">
        <f t="shared" si="1825"/>
        <v>14390</v>
      </c>
      <c r="AR807" s="32">
        <f t="shared" si="1825"/>
        <v>14394</v>
      </c>
      <c r="AS807" s="32">
        <f t="shared" si="1825"/>
        <v>13295</v>
      </c>
      <c r="AT807" s="32">
        <f t="shared" si="1825"/>
        <v>12542</v>
      </c>
      <c r="AU807" s="32">
        <f ca="1">AU802+AU804+AU805+AU806</f>
        <v>12529.038856499998</v>
      </c>
      <c r="AV807" s="32">
        <f ca="1">AV802+AV804+AV805+AV806</f>
        <v>12722.489103219998</v>
      </c>
      <c r="AW807" s="32">
        <f ca="1">AW802+AW804+AW805+AW806</f>
        <v>12518.705580278947</v>
      </c>
      <c r="AX807" s="32">
        <f ca="1">AX802+AX804+AX805+AX806</f>
        <v>12499.091148424046</v>
      </c>
      <c r="AY807" s="1"/>
    </row>
    <row r="808" spans="3:51" s="37" customFormat="1" ht="10.5" customHeight="1">
      <c r="C808" s="1007"/>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79"/>
      <c r="AL808" s="31"/>
      <c r="AM808" s="31"/>
      <c r="AN808" s="31"/>
      <c r="AO808" s="31"/>
      <c r="AP808" s="31"/>
      <c r="AQ808" s="31"/>
      <c r="AR808" s="31"/>
      <c r="AS808" s="31"/>
      <c r="AT808" s="31"/>
      <c r="AU808" s="31"/>
      <c r="AV808" s="31"/>
      <c r="AW808" s="31"/>
      <c r="AX808" s="31"/>
      <c r="AY808" s="1"/>
    </row>
    <row r="809" spans="3:51" s="37" customFormat="1" ht="10.5" customHeight="1">
      <c r="C809" s="1019" t="s">
        <v>1426</v>
      </c>
      <c r="D809" s="1020"/>
      <c r="E809" s="1021">
        <f t="shared" ref="E809:AJ809" si="1826">E807-E750</f>
        <v>9755</v>
      </c>
      <c r="F809" s="1021">
        <f t="shared" si="1826"/>
        <v>9595</v>
      </c>
      <c r="G809" s="1021">
        <f t="shared" si="1826"/>
        <v>9484</v>
      </c>
      <c r="H809" s="1021">
        <f t="shared" si="1826"/>
        <v>9484</v>
      </c>
      <c r="I809" s="1021">
        <f t="shared" si="1826"/>
        <v>9939</v>
      </c>
      <c r="J809" s="1021">
        <f t="shared" si="1826"/>
        <v>10073</v>
      </c>
      <c r="K809" s="1021">
        <f t="shared" si="1826"/>
        <v>10102</v>
      </c>
      <c r="L809" s="1021">
        <f t="shared" si="1826"/>
        <v>9883</v>
      </c>
      <c r="M809" s="1021">
        <f t="shared" si="1826"/>
        <v>10386</v>
      </c>
      <c r="N809" s="1021">
        <f t="shared" si="1826"/>
        <v>10340</v>
      </c>
      <c r="O809" s="1021">
        <f t="shared" si="1826"/>
        <v>10428</v>
      </c>
      <c r="P809" s="1021">
        <f t="shared" si="1826"/>
        <v>9920</v>
      </c>
      <c r="Q809" s="1021">
        <f t="shared" si="1826"/>
        <v>10394</v>
      </c>
      <c r="R809" s="1021">
        <f t="shared" si="1826"/>
        <v>10280</v>
      </c>
      <c r="S809" s="1021">
        <f t="shared" si="1826"/>
        <v>10235</v>
      </c>
      <c r="T809" s="1021">
        <f t="shared" si="1826"/>
        <v>9959</v>
      </c>
      <c r="U809" s="1021">
        <f t="shared" si="1826"/>
        <v>10628</v>
      </c>
      <c r="V809" s="1021">
        <f t="shared" si="1826"/>
        <v>10372</v>
      </c>
      <c r="W809" s="1021">
        <f t="shared" si="1826"/>
        <v>10147</v>
      </c>
      <c r="X809" s="1021">
        <f t="shared" si="1826"/>
        <v>9929</v>
      </c>
      <c r="Y809" s="1021">
        <f t="shared" si="1826"/>
        <v>10057</v>
      </c>
      <c r="Z809" s="1021">
        <f t="shared" si="1826"/>
        <v>10075</v>
      </c>
      <c r="AA809" s="1021">
        <f t="shared" si="1826"/>
        <v>10148</v>
      </c>
      <c r="AB809" s="1021">
        <f t="shared" si="1826"/>
        <v>9654</v>
      </c>
      <c r="AC809" s="1021">
        <f t="shared" si="1826"/>
        <v>9989</v>
      </c>
      <c r="AD809" s="1021">
        <f t="shared" si="1826"/>
        <v>9043</v>
      </c>
      <c r="AE809" s="1021">
        <f t="shared" si="1826"/>
        <v>9220</v>
      </c>
      <c r="AF809" s="1021">
        <f t="shared" si="1826"/>
        <v>8878</v>
      </c>
      <c r="AG809" s="1021">
        <f t="shared" ref="AG809" si="1827">AG807-AG750</f>
        <v>9323</v>
      </c>
      <c r="AH809" s="1021">
        <f t="shared" ca="1" si="1826"/>
        <v>8617.0524774999994</v>
      </c>
      <c r="AI809" s="1021">
        <f t="shared" ca="1" si="1826"/>
        <v>8749.7554709999986</v>
      </c>
      <c r="AJ809" s="1021">
        <f t="shared" ca="1" si="1826"/>
        <v>8826.0388564999976</v>
      </c>
      <c r="AK809" s="1022"/>
      <c r="AL809" s="1021">
        <f t="shared" ref="AL809:AX809" si="1828">AL807-AL750</f>
        <v>9865</v>
      </c>
      <c r="AM809" s="1021">
        <f t="shared" si="1828"/>
        <v>9437</v>
      </c>
      <c r="AN809" s="1021">
        <f t="shared" si="1828"/>
        <v>9484</v>
      </c>
      <c r="AO809" s="1021">
        <f t="shared" si="1828"/>
        <v>9883</v>
      </c>
      <c r="AP809" s="1021">
        <f t="shared" si="1828"/>
        <v>9920</v>
      </c>
      <c r="AQ809" s="1021">
        <f t="shared" si="1828"/>
        <v>9959</v>
      </c>
      <c r="AR809" s="1021">
        <f t="shared" si="1828"/>
        <v>9929</v>
      </c>
      <c r="AS809" s="1021">
        <f t="shared" si="1828"/>
        <v>9654</v>
      </c>
      <c r="AT809" s="1021">
        <f t="shared" si="1828"/>
        <v>8878</v>
      </c>
      <c r="AU809" s="1021">
        <f t="shared" ca="1" si="1828"/>
        <v>8826.0388564999976</v>
      </c>
      <c r="AV809" s="1021">
        <f t="shared" ca="1" si="1828"/>
        <v>9019.4891032199976</v>
      </c>
      <c r="AW809" s="1021">
        <f t="shared" ca="1" si="1828"/>
        <v>8815.7055802789473</v>
      </c>
      <c r="AX809" s="1021">
        <f t="shared" ca="1" si="1828"/>
        <v>8796.091148424046</v>
      </c>
      <c r="AY809" s="63">
        <f>RATE(7,,-AM809,AT809)</f>
        <v>-8.6851820808107813E-3</v>
      </c>
    </row>
    <row r="810" spans="3:51" s="37" customFormat="1" ht="10.5" customHeight="1">
      <c r="C810" s="115"/>
      <c r="E810" s="1009"/>
      <c r="F810" s="1009"/>
      <c r="G810" s="1009"/>
      <c r="H810" s="1009"/>
      <c r="I810" s="1009"/>
      <c r="J810" s="1009"/>
      <c r="K810" s="1009"/>
      <c r="L810" s="1009"/>
      <c r="M810" s="1009"/>
      <c r="N810" s="1009"/>
      <c r="O810" s="1009"/>
      <c r="P810" s="1009"/>
      <c r="Q810" s="1009"/>
      <c r="R810" s="1009"/>
      <c r="S810" s="1009"/>
      <c r="T810" s="1009"/>
      <c r="U810" s="1009"/>
      <c r="V810" s="1009"/>
      <c r="W810" s="1009"/>
      <c r="X810" s="1009"/>
      <c r="Y810" s="1009"/>
      <c r="Z810" s="1009"/>
      <c r="AA810" s="1009"/>
      <c r="AB810" s="1009"/>
      <c r="AC810" s="1009"/>
      <c r="AD810" s="1009"/>
      <c r="AE810" s="1009"/>
      <c r="AF810" s="1009"/>
      <c r="AG810" s="1009"/>
      <c r="AH810" s="1009"/>
      <c r="AI810" s="1009"/>
      <c r="AJ810" s="1009"/>
      <c r="AK810" s="79"/>
      <c r="AL810" s="1009"/>
      <c r="AM810" s="1009"/>
      <c r="AN810" s="1009"/>
      <c r="AO810" s="1009"/>
      <c r="AP810" s="1009"/>
      <c r="AQ810" s="1009"/>
      <c r="AR810" s="1009"/>
      <c r="AS810" s="1009"/>
      <c r="AT810" s="1009"/>
      <c r="AU810" s="1009"/>
      <c r="AV810" s="1009"/>
      <c r="AW810" s="1009"/>
      <c r="AX810" s="1009"/>
      <c r="AY810" s="1"/>
    </row>
    <row r="811" spans="3:51" s="39" customFormat="1" ht="10.5" customHeight="1" outlineLevel="1">
      <c r="C811" s="1042"/>
      <c r="E811" s="1009">
        <f t="shared" ref="E811:AF811" si="1829">E797-E807</f>
        <v>0</v>
      </c>
      <c r="F811" s="1009">
        <f t="shared" si="1829"/>
        <v>0</v>
      </c>
      <c r="G811" s="1009">
        <f t="shared" si="1829"/>
        <v>0</v>
      </c>
      <c r="H811" s="1009">
        <f t="shared" si="1829"/>
        <v>0</v>
      </c>
      <c r="I811" s="1009">
        <f t="shared" si="1829"/>
        <v>0</v>
      </c>
      <c r="J811" s="1009">
        <f t="shared" si="1829"/>
        <v>0</v>
      </c>
      <c r="K811" s="1009">
        <f t="shared" si="1829"/>
        <v>0</v>
      </c>
      <c r="L811" s="1009">
        <f t="shared" si="1829"/>
        <v>0</v>
      </c>
      <c r="M811" s="1009">
        <f t="shared" si="1829"/>
        <v>0</v>
      </c>
      <c r="N811" s="1009">
        <f t="shared" si="1829"/>
        <v>0</v>
      </c>
      <c r="O811" s="1009">
        <f t="shared" si="1829"/>
        <v>0</v>
      </c>
      <c r="P811" s="1009">
        <f t="shared" si="1829"/>
        <v>0</v>
      </c>
      <c r="Q811" s="1009">
        <f t="shared" si="1829"/>
        <v>0</v>
      </c>
      <c r="R811" s="1009">
        <f t="shared" si="1829"/>
        <v>0</v>
      </c>
      <c r="S811" s="1009">
        <f t="shared" si="1829"/>
        <v>0</v>
      </c>
      <c r="T811" s="1009">
        <f t="shared" si="1829"/>
        <v>0</v>
      </c>
      <c r="U811" s="1009">
        <f t="shared" si="1829"/>
        <v>0</v>
      </c>
      <c r="V811" s="1009">
        <f t="shared" si="1829"/>
        <v>0</v>
      </c>
      <c r="W811" s="1009">
        <f t="shared" si="1829"/>
        <v>0</v>
      </c>
      <c r="X811" s="1009">
        <f t="shared" si="1829"/>
        <v>0</v>
      </c>
      <c r="Y811" s="1009">
        <f t="shared" si="1829"/>
        <v>0</v>
      </c>
      <c r="Z811" s="1009">
        <f t="shared" si="1829"/>
        <v>0</v>
      </c>
      <c r="AA811" s="1009">
        <f t="shared" si="1829"/>
        <v>0</v>
      </c>
      <c r="AB811" s="1009">
        <f t="shared" si="1829"/>
        <v>0</v>
      </c>
      <c r="AC811" s="1009">
        <f t="shared" si="1829"/>
        <v>0</v>
      </c>
      <c r="AD811" s="1009">
        <f t="shared" si="1829"/>
        <v>0</v>
      </c>
      <c r="AE811" s="1009">
        <f t="shared" si="1829"/>
        <v>0</v>
      </c>
      <c r="AF811" s="1009">
        <f t="shared" si="1829"/>
        <v>0</v>
      </c>
      <c r="AG811" s="1009">
        <f t="shared" ref="AG811" si="1830">AG797-AG807</f>
        <v>0</v>
      </c>
      <c r="AH811" s="1009">
        <f ca="1">AH797-AH807</f>
        <v>0</v>
      </c>
      <c r="AI811" s="1009">
        <f ca="1">AI797-AI807</f>
        <v>0</v>
      </c>
      <c r="AJ811" s="1009">
        <f ca="1">AJ797-AJ807</f>
        <v>0</v>
      </c>
      <c r="AK811" s="79"/>
      <c r="AL811" s="1009">
        <f t="shared" ref="AL811:AT811" si="1831">AL797-AL807</f>
        <v>0</v>
      </c>
      <c r="AM811" s="1009">
        <f t="shared" si="1831"/>
        <v>0</v>
      </c>
      <c r="AN811" s="1009">
        <f t="shared" si="1831"/>
        <v>0</v>
      </c>
      <c r="AO811" s="1009">
        <f t="shared" si="1831"/>
        <v>0</v>
      </c>
      <c r="AP811" s="1009">
        <f t="shared" si="1831"/>
        <v>0</v>
      </c>
      <c r="AQ811" s="1009">
        <f t="shared" si="1831"/>
        <v>0</v>
      </c>
      <c r="AR811" s="1009">
        <f t="shared" si="1831"/>
        <v>0</v>
      </c>
      <c r="AS811" s="1009">
        <f t="shared" si="1831"/>
        <v>0</v>
      </c>
      <c r="AT811" s="1009">
        <f t="shared" si="1831"/>
        <v>0</v>
      </c>
      <c r="AU811" s="1009">
        <f ca="1">AU797-AU807</f>
        <v>0</v>
      </c>
      <c r="AV811" s="1009">
        <f ca="1">AV797-AV807</f>
        <v>0</v>
      </c>
      <c r="AW811" s="1009">
        <f ca="1">AW797-AW807</f>
        <v>0</v>
      </c>
      <c r="AX811" s="1009">
        <f ca="1">AX797-AX807</f>
        <v>0</v>
      </c>
      <c r="AY811" s="49"/>
    </row>
    <row r="812" spans="3:51" s="37" customFormat="1" ht="10.5" customHeight="1">
      <c r="C812" s="1007" t="s">
        <v>1410</v>
      </c>
      <c r="E812" s="1009"/>
      <c r="F812" s="1009"/>
      <c r="G812" s="1009"/>
      <c r="H812" s="1009"/>
      <c r="I812" s="1009"/>
      <c r="J812" s="1009"/>
      <c r="K812" s="1009"/>
      <c r="L812" s="1009"/>
      <c r="M812" s="1009"/>
      <c r="N812" s="1009"/>
      <c r="O812" s="1009"/>
      <c r="P812" s="1009"/>
      <c r="Q812" s="1009"/>
      <c r="R812" s="1009"/>
      <c r="S812" s="1009"/>
      <c r="T812" s="1009"/>
      <c r="U812" s="1009"/>
      <c r="V812" s="1009"/>
      <c r="W812" s="1009"/>
      <c r="X812" s="1009"/>
      <c r="Y812" s="1009"/>
      <c r="Z812" s="1009"/>
      <c r="AA812" s="1009"/>
      <c r="AB812" s="1009"/>
      <c r="AC812" s="1009"/>
      <c r="AD812" s="1009"/>
      <c r="AE812" s="1009"/>
      <c r="AF812" s="1009"/>
      <c r="AG812" s="1009"/>
      <c r="AH812" s="1009"/>
      <c r="AI812" s="1009"/>
      <c r="AJ812" s="1009"/>
      <c r="AK812" s="79"/>
      <c r="AL812" s="1009"/>
      <c r="AM812" s="1009"/>
      <c r="AN812" s="1009"/>
      <c r="AO812" s="1009"/>
      <c r="AP812" s="1009"/>
      <c r="AQ812" s="1009"/>
      <c r="AR812" s="1009"/>
      <c r="AS812" s="1009"/>
      <c r="AT812" s="1009"/>
      <c r="AU812" s="1009"/>
      <c r="AV812" s="1009"/>
      <c r="AW812" s="1009"/>
      <c r="AX812" s="1009"/>
      <c r="AY812" s="1"/>
    </row>
    <row r="813" spans="3:51" s="37" customFormat="1" ht="10.5" customHeight="1">
      <c r="C813" s="1007"/>
      <c r="E813" s="1009"/>
      <c r="F813" s="1009"/>
      <c r="G813" s="1009"/>
      <c r="H813" s="1009"/>
      <c r="I813" s="1009"/>
      <c r="J813" s="1009"/>
      <c r="K813" s="1009"/>
      <c r="L813" s="1009"/>
      <c r="M813" s="1009"/>
      <c r="N813" s="1009"/>
      <c r="O813" s="1009"/>
      <c r="P813" s="1009"/>
      <c r="Q813" s="1009"/>
      <c r="R813" s="1009"/>
      <c r="S813" s="1009"/>
      <c r="T813" s="1009"/>
      <c r="U813" s="1009"/>
      <c r="V813" s="1009"/>
      <c r="W813" s="1009"/>
      <c r="X813" s="1009"/>
      <c r="Y813" s="1009"/>
      <c r="Z813" s="1009"/>
      <c r="AA813" s="1009"/>
      <c r="AB813" s="1009"/>
      <c r="AC813" s="1009"/>
      <c r="AD813" s="1009"/>
      <c r="AE813" s="1009"/>
      <c r="AF813" s="1009"/>
      <c r="AG813" s="1009"/>
      <c r="AH813" s="1009"/>
      <c r="AI813" s="1009"/>
      <c r="AJ813" s="1009"/>
      <c r="AK813" s="79"/>
      <c r="AL813" s="1009"/>
      <c r="AM813" s="1009"/>
      <c r="AN813" s="1009"/>
      <c r="AO813" s="1009"/>
      <c r="AP813" s="1009"/>
      <c r="AQ813" s="1009"/>
      <c r="AR813" s="1009"/>
      <c r="AS813" s="1009"/>
      <c r="AT813" s="1009"/>
      <c r="AU813" s="1009"/>
      <c r="AV813" s="1009"/>
      <c r="AW813" s="1009"/>
      <c r="AX813" s="1009"/>
      <c r="AY813" s="1"/>
    </row>
    <row r="814" spans="3:51" s="37" customFormat="1" ht="10.5" customHeight="1">
      <c r="C814" s="56" t="s">
        <v>1411</v>
      </c>
      <c r="E814" s="1141"/>
      <c r="F814" s="1009">
        <f t="shared" ref="F814:AJ814" si="1832">F55</f>
        <v>255</v>
      </c>
      <c r="G814" s="1009">
        <f t="shared" si="1832"/>
        <v>232</v>
      </c>
      <c r="H814" s="1009">
        <f t="shared" si="1832"/>
        <v>116</v>
      </c>
      <c r="I814" s="1009">
        <f t="shared" si="1832"/>
        <v>278</v>
      </c>
      <c r="J814" s="1009">
        <f t="shared" si="1832"/>
        <v>292</v>
      </c>
      <c r="K814" s="1009">
        <f t="shared" si="1832"/>
        <v>323</v>
      </c>
      <c r="L814" s="1009">
        <f t="shared" si="1832"/>
        <v>491</v>
      </c>
      <c r="M814" s="1009">
        <f t="shared" si="1832"/>
        <v>290</v>
      </c>
      <c r="N814" s="1009">
        <f t="shared" si="1832"/>
        <v>344</v>
      </c>
      <c r="O814" s="1009">
        <f t="shared" si="1832"/>
        <v>412</v>
      </c>
      <c r="P814" s="1009">
        <f t="shared" si="1832"/>
        <v>34</v>
      </c>
      <c r="Q814" s="1009">
        <f t="shared" si="1832"/>
        <v>209</v>
      </c>
      <c r="R814" s="1009">
        <f t="shared" si="1832"/>
        <v>258</v>
      </c>
      <c r="S814" s="1009">
        <f t="shared" si="1832"/>
        <v>266</v>
      </c>
      <c r="T814" s="1009">
        <f t="shared" si="1832"/>
        <v>26</v>
      </c>
      <c r="U814" s="1009">
        <f t="shared" si="1832"/>
        <v>258</v>
      </c>
      <c r="V814" s="1009">
        <f t="shared" si="1832"/>
        <v>27</v>
      </c>
      <c r="W814" s="1009">
        <f t="shared" si="1832"/>
        <v>161</v>
      </c>
      <c r="X814" s="1009">
        <f t="shared" si="1832"/>
        <v>32</v>
      </c>
      <c r="Y814" s="1009">
        <f t="shared" si="1832"/>
        <v>274</v>
      </c>
      <c r="Z814" s="1009">
        <f t="shared" si="1832"/>
        <v>-146</v>
      </c>
      <c r="AA814" s="1009">
        <f t="shared" si="1832"/>
        <v>351</v>
      </c>
      <c r="AB814" s="1009">
        <f t="shared" si="1832"/>
        <v>378</v>
      </c>
      <c r="AC814" s="1009">
        <f t="shared" si="1832"/>
        <v>235</v>
      </c>
      <c r="AD814" s="1009">
        <f t="shared" si="1832"/>
        <v>256</v>
      </c>
      <c r="AE814" s="1009">
        <f t="shared" si="1832"/>
        <v>301</v>
      </c>
      <c r="AF814" s="1009">
        <f t="shared" si="1832"/>
        <v>1</v>
      </c>
      <c r="AG814" s="1009">
        <f t="shared" si="1832"/>
        <v>134</v>
      </c>
      <c r="AH814" s="1009">
        <f t="shared" ca="1" si="1832"/>
        <v>277.32447749999994</v>
      </c>
      <c r="AI814" s="1009">
        <f t="shared" ca="1" si="1832"/>
        <v>299.97499350000004</v>
      </c>
      <c r="AJ814" s="1009">
        <f t="shared" ca="1" si="1832"/>
        <v>243.55538550000006</v>
      </c>
      <c r="AK814" s="79"/>
      <c r="AL814" s="1141"/>
      <c r="AM814" s="1009">
        <f t="shared" ref="AM814:AX814" si="1833">AM110</f>
        <v>1097</v>
      </c>
      <c r="AN814" s="1009">
        <f t="shared" si="1833"/>
        <v>1014</v>
      </c>
      <c r="AO814" s="1009">
        <f t="shared" si="1833"/>
        <v>1116</v>
      </c>
      <c r="AP814" s="1009">
        <f t="shared" si="1833"/>
        <v>1176</v>
      </c>
      <c r="AQ814" s="1009">
        <f t="shared" si="1833"/>
        <v>991</v>
      </c>
      <c r="AR814" s="1009">
        <f t="shared" si="1833"/>
        <v>850</v>
      </c>
      <c r="AS814" s="1009">
        <f t="shared" si="1833"/>
        <v>1223</v>
      </c>
      <c r="AT814" s="1009">
        <f t="shared" si="1833"/>
        <v>987</v>
      </c>
      <c r="AU814" s="1009">
        <f t="shared" ca="1" si="1833"/>
        <v>1015.8548565000001</v>
      </c>
      <c r="AV814" s="1009">
        <f t="shared" ca="1" si="1833"/>
        <v>1095.9502467199998</v>
      </c>
      <c r="AW814" s="1009">
        <f t="shared" ca="1" si="1833"/>
        <v>1181.8164770589501</v>
      </c>
      <c r="AX814" s="1009">
        <f t="shared" ca="1" si="1833"/>
        <v>1274.1855681450972</v>
      </c>
      <c r="AY814" s="1"/>
    </row>
    <row r="815" spans="3:51" s="37" customFormat="1" ht="10.5" customHeight="1">
      <c r="C815" s="1012" t="s">
        <v>1412</v>
      </c>
      <c r="E815" s="1141"/>
      <c r="F815" s="1009">
        <f t="shared" ref="F815" si="1834">F801-E801</f>
        <v>75</v>
      </c>
      <c r="G815" s="1009">
        <f t="shared" ref="G815" si="1835">G801-F801</f>
        <v>8</v>
      </c>
      <c r="H815" s="1009">
        <f t="shared" ref="H815" si="1836">H801-G801</f>
        <v>184</v>
      </c>
      <c r="I815" s="1009">
        <f t="shared" ref="I815" si="1837">I801-H801</f>
        <v>63</v>
      </c>
      <c r="J815" s="1009">
        <f t="shared" ref="J815" si="1838">J801-I801</f>
        <v>17</v>
      </c>
      <c r="K815" s="1009">
        <f t="shared" ref="K815" si="1839">K801-J801</f>
        <v>63</v>
      </c>
      <c r="L815" s="1009">
        <f t="shared" ref="L815" si="1840">L801-K801</f>
        <v>-456</v>
      </c>
      <c r="M815" s="1009">
        <f t="shared" ref="M815" si="1841">M801-L801</f>
        <v>21</v>
      </c>
      <c r="N815" s="1009">
        <f t="shared" ref="N815" si="1842">N801-M801</f>
        <v>19</v>
      </c>
      <c r="O815" s="1009">
        <f t="shared" ref="O815" si="1843">O801-N801</f>
        <v>11</v>
      </c>
      <c r="P815" s="1009">
        <f t="shared" ref="P815" si="1844">P801-O801</f>
        <v>-60</v>
      </c>
      <c r="Q815" s="1009">
        <f t="shared" ref="Q815" si="1845">Q801-P801</f>
        <v>8</v>
      </c>
      <c r="R815" s="1009">
        <f t="shared" ref="R815" si="1846">R801-Q801</f>
        <v>-4</v>
      </c>
      <c r="S815" s="1009">
        <f t="shared" ref="S815" si="1847">S801-R801</f>
        <v>-1</v>
      </c>
      <c r="T815" s="1009">
        <f t="shared" ref="T815" si="1848">T801-S801</f>
        <v>28</v>
      </c>
      <c r="U815" s="1009">
        <f t="shared" ref="U815" si="1849">U801-T801</f>
        <v>9</v>
      </c>
      <c r="V815" s="1009">
        <f t="shared" ref="V815" si="1850">V801-U801</f>
        <v>8</v>
      </c>
      <c r="W815" s="1009">
        <f t="shared" ref="W815" si="1851">W801-V801</f>
        <v>-4</v>
      </c>
      <c r="X815" s="1009">
        <f t="shared" ref="X815" si="1852">X801-W801</f>
        <v>-80</v>
      </c>
      <c r="Y815" s="1009">
        <f t="shared" ref="Y815" si="1853">Y801-X801</f>
        <v>7</v>
      </c>
      <c r="Z815" s="1009">
        <f t="shared" ref="Z815" si="1854">Z801-Y801</f>
        <v>-24</v>
      </c>
      <c r="AA815" s="1009">
        <f t="shared" ref="AA815" si="1855">AA801-Z801</f>
        <v>-4</v>
      </c>
      <c r="AB815" s="1009">
        <f t="shared" ref="AB815" si="1856">AB801-AA801</f>
        <v>-17</v>
      </c>
      <c r="AC815" s="1009">
        <f t="shared" ref="AC815" si="1857">AC801-AB801</f>
        <v>-15</v>
      </c>
      <c r="AD815" s="1009">
        <f t="shared" ref="AD815" si="1858">AD801-AC801</f>
        <v>-57</v>
      </c>
      <c r="AE815" s="1009">
        <f t="shared" ref="AE815" si="1859">AE801-AD801</f>
        <v>18</v>
      </c>
      <c r="AF815" s="1009">
        <f t="shared" ref="AF815:AG815" si="1860">AF801-AE801</f>
        <v>-85</v>
      </c>
      <c r="AG815" s="1009">
        <f t="shared" si="1860"/>
        <v>-9</v>
      </c>
      <c r="AH815" s="1009">
        <f t="shared" ref="AH815" si="1861">AH801-AG801</f>
        <v>-40</v>
      </c>
      <c r="AI815" s="1009">
        <f t="shared" ref="AI815" si="1862">AI801-AH801</f>
        <v>-40</v>
      </c>
      <c r="AJ815" s="1009">
        <f t="shared" ref="AJ815" si="1863">AJ801-AI801</f>
        <v>-40</v>
      </c>
      <c r="AK815" s="79"/>
      <c r="AL815" s="1141"/>
      <c r="AM815" s="1009">
        <f t="shared" ref="AM815" si="1864">AM801-AL801</f>
        <v>-18</v>
      </c>
      <c r="AN815" s="1009">
        <f t="shared" ref="AN815" si="1865">AN801-AM801</f>
        <v>278</v>
      </c>
      <c r="AO815" s="1009">
        <f t="shared" ref="AO815" si="1866">AO801-AN801</f>
        <v>-313</v>
      </c>
      <c r="AP815" s="1009">
        <f t="shared" ref="AP815" si="1867">AP801-AO801</f>
        <v>-9</v>
      </c>
      <c r="AQ815" s="1009">
        <f t="shared" ref="AQ815" si="1868">AQ801-AP801</f>
        <v>31</v>
      </c>
      <c r="AR815" s="1009">
        <f t="shared" ref="AR815" si="1869">AR801-AQ801</f>
        <v>-67</v>
      </c>
      <c r="AS815" s="1009">
        <f t="shared" ref="AS815" si="1870">AS801-AR801</f>
        <v>-38</v>
      </c>
      <c r="AT815" s="1009">
        <f t="shared" ref="AT815" si="1871">AT801-AS801</f>
        <v>-139</v>
      </c>
      <c r="AU815" s="1009">
        <f t="shared" ref="AU815" si="1872">AU801-AT801</f>
        <v>-129</v>
      </c>
      <c r="AV815" s="1009">
        <f t="shared" ref="AV815" si="1873">AV801-AU801</f>
        <v>-150</v>
      </c>
      <c r="AW815" s="1009">
        <f t="shared" ref="AW815" si="1874">AW801-AV801</f>
        <v>-150</v>
      </c>
      <c r="AX815" s="1009">
        <f t="shared" ref="AX815" si="1875">AX801-AW801</f>
        <v>-150</v>
      </c>
      <c r="AY815" s="1"/>
    </row>
    <row r="816" spans="3:51" s="37" customFormat="1" ht="10.5" customHeight="1">
      <c r="C816" s="1012" t="s">
        <v>1413</v>
      </c>
      <c r="D816" s="1142">
        <v>0.19</v>
      </c>
      <c r="E816" s="1141"/>
      <c r="F816" s="1009">
        <f t="shared" ref="F816:AJ816" si="1876">SUM(F38:F39)*(1-$D$816)</f>
        <v>-8.91</v>
      </c>
      <c r="G816" s="1009">
        <f t="shared" si="1876"/>
        <v>2.4300000000000002</v>
      </c>
      <c r="H816" s="1009">
        <f t="shared" si="1876"/>
        <v>60.750000000000007</v>
      </c>
      <c r="I816" s="1009">
        <f t="shared" si="1876"/>
        <v>0</v>
      </c>
      <c r="J816" s="1009">
        <f t="shared" si="1876"/>
        <v>0</v>
      </c>
      <c r="K816" s="1009">
        <f t="shared" si="1876"/>
        <v>0</v>
      </c>
      <c r="L816" s="1009">
        <f t="shared" si="1876"/>
        <v>0</v>
      </c>
      <c r="M816" s="1009">
        <f t="shared" si="1876"/>
        <v>0</v>
      </c>
      <c r="N816" s="1009">
        <f t="shared" si="1876"/>
        <v>0</v>
      </c>
      <c r="O816" s="1009">
        <f t="shared" si="1876"/>
        <v>0</v>
      </c>
      <c r="P816" s="1009">
        <f t="shared" si="1876"/>
        <v>5.67</v>
      </c>
      <c r="Q816" s="1009">
        <f t="shared" si="1876"/>
        <v>0</v>
      </c>
      <c r="R816" s="1009">
        <f t="shared" si="1876"/>
        <v>0</v>
      </c>
      <c r="S816" s="1009">
        <f t="shared" si="1876"/>
        <v>0</v>
      </c>
      <c r="T816" s="1009">
        <f t="shared" si="1876"/>
        <v>0</v>
      </c>
      <c r="U816" s="1009">
        <f t="shared" si="1876"/>
        <v>0</v>
      </c>
      <c r="V816" s="1009">
        <f t="shared" si="1876"/>
        <v>0</v>
      </c>
      <c r="W816" s="1009">
        <f t="shared" si="1876"/>
        <v>0.81</v>
      </c>
      <c r="X816" s="1009">
        <f t="shared" si="1876"/>
        <v>0</v>
      </c>
      <c r="Y816" s="1009">
        <f t="shared" si="1876"/>
        <v>0</v>
      </c>
      <c r="Z816" s="1009">
        <f t="shared" si="1876"/>
        <v>0</v>
      </c>
      <c r="AA816" s="1009">
        <f t="shared" si="1876"/>
        <v>0</v>
      </c>
      <c r="AB816" s="1009">
        <f t="shared" si="1876"/>
        <v>0.81</v>
      </c>
      <c r="AC816" s="1009">
        <f t="shared" si="1876"/>
        <v>0</v>
      </c>
      <c r="AD816" s="1009">
        <f t="shared" si="1876"/>
        <v>0</v>
      </c>
      <c r="AE816" s="1009">
        <f t="shared" si="1876"/>
        <v>0</v>
      </c>
      <c r="AF816" s="1009">
        <f t="shared" si="1876"/>
        <v>0</v>
      </c>
      <c r="AG816" s="1009">
        <f t="shared" si="1876"/>
        <v>0</v>
      </c>
      <c r="AH816" s="1009">
        <f t="shared" si="1876"/>
        <v>0</v>
      </c>
      <c r="AI816" s="1009">
        <f t="shared" si="1876"/>
        <v>0</v>
      </c>
      <c r="AJ816" s="1009">
        <f t="shared" si="1876"/>
        <v>0</v>
      </c>
      <c r="AK816" s="79"/>
      <c r="AL816" s="1141"/>
      <c r="AM816" s="1009">
        <f t="shared" ref="AM816:AX816" si="1877">SUM(AM38:AM39)*(1-$D$816)</f>
        <v>-6.48</v>
      </c>
      <c r="AN816" s="1009">
        <f t="shared" si="1877"/>
        <v>63.99</v>
      </c>
      <c r="AO816" s="1009">
        <f t="shared" si="1877"/>
        <v>0</v>
      </c>
      <c r="AP816" s="1009">
        <f t="shared" si="1877"/>
        <v>5.67</v>
      </c>
      <c r="AQ816" s="1009">
        <f t="shared" si="1877"/>
        <v>0</v>
      </c>
      <c r="AR816" s="1009">
        <f t="shared" si="1877"/>
        <v>0.81</v>
      </c>
      <c r="AS816" s="1009">
        <f t="shared" si="1877"/>
        <v>0.81</v>
      </c>
      <c r="AT816" s="1009">
        <f t="shared" si="1877"/>
        <v>0</v>
      </c>
      <c r="AU816" s="1009">
        <f t="shared" si="1877"/>
        <v>0</v>
      </c>
      <c r="AV816" s="1009">
        <f t="shared" si="1877"/>
        <v>0</v>
      </c>
      <c r="AW816" s="1009">
        <f t="shared" si="1877"/>
        <v>0</v>
      </c>
      <c r="AX816" s="1009">
        <f t="shared" si="1877"/>
        <v>0</v>
      </c>
      <c r="AY816" s="1"/>
    </row>
    <row r="817" spans="3:51" s="37" customFormat="1" ht="10.5" customHeight="1">
      <c r="C817" s="1008" t="s">
        <v>1414</v>
      </c>
      <c r="E817" s="1010">
        <f t="shared" ref="E817" si="1878">SUM(E814:E816)</f>
        <v>0</v>
      </c>
      <c r="F817" s="1010">
        <f t="shared" ref="F817" si="1879">SUM(F814:F816)</f>
        <v>321.08999999999997</v>
      </c>
      <c r="G817" s="1010">
        <f t="shared" ref="G817:AF817" si="1880">SUM(G814:G816)</f>
        <v>242.43</v>
      </c>
      <c r="H817" s="1010">
        <f t="shared" si="1880"/>
        <v>360.75</v>
      </c>
      <c r="I817" s="1010">
        <f t="shared" si="1880"/>
        <v>341</v>
      </c>
      <c r="J817" s="1010">
        <f t="shared" si="1880"/>
        <v>309</v>
      </c>
      <c r="K817" s="1010">
        <f t="shared" si="1880"/>
        <v>386</v>
      </c>
      <c r="L817" s="1010">
        <f t="shared" si="1880"/>
        <v>35</v>
      </c>
      <c r="M817" s="1010">
        <f t="shared" si="1880"/>
        <v>311</v>
      </c>
      <c r="N817" s="1010">
        <f t="shared" si="1880"/>
        <v>363</v>
      </c>
      <c r="O817" s="1010">
        <f t="shared" si="1880"/>
        <v>423</v>
      </c>
      <c r="P817" s="1010">
        <f t="shared" si="1880"/>
        <v>-20.329999999999998</v>
      </c>
      <c r="Q817" s="1010">
        <f t="shared" si="1880"/>
        <v>217</v>
      </c>
      <c r="R817" s="1010">
        <f t="shared" si="1880"/>
        <v>254</v>
      </c>
      <c r="S817" s="1010">
        <f t="shared" si="1880"/>
        <v>265</v>
      </c>
      <c r="T817" s="1010">
        <f t="shared" si="1880"/>
        <v>54</v>
      </c>
      <c r="U817" s="1010">
        <f t="shared" si="1880"/>
        <v>267</v>
      </c>
      <c r="V817" s="1010">
        <f t="shared" si="1880"/>
        <v>35</v>
      </c>
      <c r="W817" s="1010">
        <f t="shared" si="1880"/>
        <v>157.81</v>
      </c>
      <c r="X817" s="1010">
        <f t="shared" si="1880"/>
        <v>-48</v>
      </c>
      <c r="Y817" s="1010">
        <f t="shared" si="1880"/>
        <v>281</v>
      </c>
      <c r="Z817" s="1010">
        <f t="shared" si="1880"/>
        <v>-170</v>
      </c>
      <c r="AA817" s="1010">
        <f t="shared" si="1880"/>
        <v>347</v>
      </c>
      <c r="AB817" s="1010">
        <f t="shared" si="1880"/>
        <v>361.81</v>
      </c>
      <c r="AC817" s="1010">
        <f t="shared" si="1880"/>
        <v>220</v>
      </c>
      <c r="AD817" s="1010">
        <f t="shared" si="1880"/>
        <v>199</v>
      </c>
      <c r="AE817" s="1010">
        <f t="shared" si="1880"/>
        <v>319</v>
      </c>
      <c r="AF817" s="1010">
        <f t="shared" si="1880"/>
        <v>-84</v>
      </c>
      <c r="AG817" s="1010">
        <f t="shared" ref="AG817" si="1881">SUM(AG814:AG816)</f>
        <v>125</v>
      </c>
      <c r="AH817" s="1010">
        <f ca="1">SUM(AH814:AH816)</f>
        <v>237.32447749999994</v>
      </c>
      <c r="AI817" s="1010">
        <f ca="1">SUM(AI814:AI816)</f>
        <v>259.97499350000004</v>
      </c>
      <c r="AJ817" s="1010">
        <f ca="1">SUM(AJ814:AJ816)</f>
        <v>203.55538550000006</v>
      </c>
      <c r="AK817" s="79"/>
      <c r="AL817" s="1010">
        <f t="shared" ref="AL817" si="1882">SUM(AL814:AL816)</f>
        <v>0</v>
      </c>
      <c r="AM817" s="1010">
        <f t="shared" ref="AM817:AT817" si="1883">SUM(AM814:AM816)</f>
        <v>1072.52</v>
      </c>
      <c r="AN817" s="1010">
        <f t="shared" si="1883"/>
        <v>1355.99</v>
      </c>
      <c r="AO817" s="1010">
        <f t="shared" si="1883"/>
        <v>803</v>
      </c>
      <c r="AP817" s="1010">
        <f t="shared" si="1883"/>
        <v>1172.67</v>
      </c>
      <c r="AQ817" s="1010">
        <f t="shared" si="1883"/>
        <v>1022</v>
      </c>
      <c r="AR817" s="1010">
        <f t="shared" si="1883"/>
        <v>783.81</v>
      </c>
      <c r="AS817" s="1010">
        <f t="shared" si="1883"/>
        <v>1185.81</v>
      </c>
      <c r="AT817" s="1010">
        <f t="shared" si="1883"/>
        <v>848</v>
      </c>
      <c r="AU817" s="1010">
        <f ca="1">SUM(AU814:AU816)</f>
        <v>886.8548565000001</v>
      </c>
      <c r="AV817" s="1010">
        <f ca="1">SUM(AV814:AV816)</f>
        <v>945.95024671999977</v>
      </c>
      <c r="AW817" s="1010">
        <f ca="1">SUM(AW814:AW816)</f>
        <v>1031.8164770589501</v>
      </c>
      <c r="AX817" s="1010">
        <f ca="1">SUM(AX814:AX816)</f>
        <v>1124.1855681450972</v>
      </c>
      <c r="AY817" s="1"/>
    </row>
    <row r="818" spans="3:51" s="37" customFormat="1" ht="10.5" customHeight="1">
      <c r="C818" s="1008"/>
      <c r="E818" s="1009"/>
      <c r="F818" s="1009"/>
      <c r="G818" s="1009"/>
      <c r="H818" s="1009"/>
      <c r="I818" s="1009"/>
      <c r="J818" s="1009"/>
      <c r="K818" s="1009"/>
      <c r="L818" s="1009"/>
      <c r="M818" s="1009"/>
      <c r="N818" s="1009"/>
      <c r="O818" s="1009"/>
      <c r="P818" s="1009"/>
      <c r="Q818" s="1009"/>
      <c r="R818" s="1009"/>
      <c r="S818" s="1009"/>
      <c r="T818" s="1009"/>
      <c r="U818" s="1009"/>
      <c r="V818" s="1009"/>
      <c r="W818" s="1009"/>
      <c r="X818" s="1009"/>
      <c r="Y818" s="1009"/>
      <c r="Z818" s="1009"/>
      <c r="AA818" s="1009"/>
      <c r="AB818" s="1009"/>
      <c r="AC818" s="1009"/>
      <c r="AD818" s="1009"/>
      <c r="AE818" s="1009"/>
      <c r="AF818" s="1009"/>
      <c r="AG818" s="1009"/>
      <c r="AH818" s="1009"/>
      <c r="AI818" s="1009"/>
      <c r="AJ818" s="1009"/>
      <c r="AK818" s="79"/>
      <c r="AL818" s="1009"/>
      <c r="AM818" s="1009"/>
      <c r="AN818" s="1009"/>
      <c r="AO818" s="1009"/>
      <c r="AP818" s="1009"/>
      <c r="AQ818" s="1009"/>
      <c r="AR818" s="1009"/>
      <c r="AS818" s="1009"/>
      <c r="AT818" s="1009"/>
      <c r="AU818" s="1009"/>
      <c r="AV818" s="1009"/>
      <c r="AW818" s="1009"/>
      <c r="AX818" s="1009"/>
      <c r="AY818" s="1"/>
    </row>
    <row r="819" spans="3:51" s="37" customFormat="1" ht="10.5" customHeight="1">
      <c r="C819" s="1012" t="s">
        <v>1415</v>
      </c>
      <c r="E819" s="1141"/>
      <c r="F819" s="1009">
        <f t="shared" ref="F819:AJ819" si="1884">F40*(1-$D$816)</f>
        <v>51.03</v>
      </c>
      <c r="G819" s="1009">
        <f t="shared" si="1884"/>
        <v>51.84</v>
      </c>
      <c r="H819" s="1009">
        <f t="shared" si="1884"/>
        <v>51.84</v>
      </c>
      <c r="I819" s="1009">
        <f t="shared" si="1884"/>
        <v>48.6</v>
      </c>
      <c r="J819" s="1009">
        <f t="shared" si="1884"/>
        <v>49.410000000000004</v>
      </c>
      <c r="K819" s="1009">
        <f t="shared" si="1884"/>
        <v>49.410000000000004</v>
      </c>
      <c r="L819" s="1009">
        <f t="shared" si="1884"/>
        <v>47.790000000000006</v>
      </c>
      <c r="M819" s="1009">
        <f t="shared" si="1884"/>
        <v>47.790000000000006</v>
      </c>
      <c r="N819" s="1009">
        <f t="shared" si="1884"/>
        <v>49.410000000000004</v>
      </c>
      <c r="O819" s="1009">
        <f t="shared" si="1884"/>
        <v>46.980000000000004</v>
      </c>
      <c r="P819" s="1009">
        <f t="shared" si="1884"/>
        <v>46.17</v>
      </c>
      <c r="Q819" s="1009">
        <f t="shared" si="1884"/>
        <v>45.36</v>
      </c>
      <c r="R819" s="1009">
        <f t="shared" si="1884"/>
        <v>44.550000000000004</v>
      </c>
      <c r="S819" s="1009">
        <f t="shared" si="1884"/>
        <v>43.74</v>
      </c>
      <c r="T819" s="1009">
        <f t="shared" si="1884"/>
        <v>42.93</v>
      </c>
      <c r="U819" s="1009">
        <f t="shared" si="1884"/>
        <v>42.120000000000005</v>
      </c>
      <c r="V819" s="1009">
        <f t="shared" si="1884"/>
        <v>44.550000000000004</v>
      </c>
      <c r="W819" s="1009">
        <f t="shared" si="1884"/>
        <v>42.120000000000005</v>
      </c>
      <c r="X819" s="1009">
        <f t="shared" si="1884"/>
        <v>41.31</v>
      </c>
      <c r="Y819" s="1009">
        <f t="shared" si="1884"/>
        <v>40.5</v>
      </c>
      <c r="Z819" s="1009">
        <f t="shared" si="1884"/>
        <v>41.31</v>
      </c>
      <c r="AA819" s="1009">
        <f t="shared" si="1884"/>
        <v>39.690000000000005</v>
      </c>
      <c r="AB819" s="1009">
        <f t="shared" si="1884"/>
        <v>38.880000000000003</v>
      </c>
      <c r="AC819" s="1009">
        <f t="shared" si="1884"/>
        <v>37.260000000000005</v>
      </c>
      <c r="AD819" s="1009">
        <f t="shared" si="1884"/>
        <v>36.450000000000003</v>
      </c>
      <c r="AE819" s="1009">
        <f t="shared" si="1884"/>
        <v>34.830000000000005</v>
      </c>
      <c r="AF819" s="1009">
        <f t="shared" si="1884"/>
        <v>38.880000000000003</v>
      </c>
      <c r="AG819" s="1009">
        <f t="shared" si="1884"/>
        <v>42.120000000000005</v>
      </c>
      <c r="AH819" s="1009">
        <f t="shared" ca="1" si="1884"/>
        <v>42.779998125000006</v>
      </c>
      <c r="AI819" s="1009">
        <f t="shared" ca="1" si="1884"/>
        <v>41.540698125000006</v>
      </c>
      <c r="AJ819" s="1009">
        <f t="shared" ca="1" si="1884"/>
        <v>41.540698125000006</v>
      </c>
      <c r="AK819" s="79"/>
      <c r="AL819" s="1141"/>
      <c r="AM819" s="1009">
        <f t="shared" ref="AM819:AX819" si="1885">AM40*(1-$D$816)</f>
        <v>213.03</v>
      </c>
      <c r="AN819" s="1009">
        <f t="shared" si="1885"/>
        <v>206.55</v>
      </c>
      <c r="AO819" s="1009">
        <f t="shared" si="1885"/>
        <v>195.21</v>
      </c>
      <c r="AP819" s="1009">
        <f t="shared" si="1885"/>
        <v>190.35000000000002</v>
      </c>
      <c r="AQ819" s="1009">
        <f t="shared" si="1885"/>
        <v>176.58</v>
      </c>
      <c r="AR819" s="1009">
        <f t="shared" si="1885"/>
        <v>170.10000000000002</v>
      </c>
      <c r="AS819" s="1009">
        <f t="shared" si="1885"/>
        <v>160.38000000000002</v>
      </c>
      <c r="AT819" s="1009">
        <f t="shared" si="1885"/>
        <v>147.42000000000002</v>
      </c>
      <c r="AU819" s="1009">
        <f t="shared" ca="1" si="1885"/>
        <v>167.98139437500001</v>
      </c>
      <c r="AV819" s="1009">
        <f t="shared" ca="1" si="1885"/>
        <v>159.02112375000002</v>
      </c>
      <c r="AW819" s="1009">
        <f t="shared" ca="1" si="1885"/>
        <v>141.19879500000002</v>
      </c>
      <c r="AX819" s="1009">
        <f t="shared" ca="1" si="1885"/>
        <v>126.4023225</v>
      </c>
      <c r="AY819" s="1"/>
    </row>
    <row r="820" spans="3:51" s="37" customFormat="1" ht="10.5" customHeight="1">
      <c r="C820" s="1008" t="s">
        <v>1416</v>
      </c>
      <c r="E820" s="1010">
        <f t="shared" ref="E820" si="1886">E817+E819</f>
        <v>0</v>
      </c>
      <c r="F820" s="1010">
        <f t="shared" ref="F820" si="1887">F817+F819</f>
        <v>372.12</v>
      </c>
      <c r="G820" s="1010">
        <f t="shared" ref="G820:AF820" si="1888">G817+G819</f>
        <v>294.27</v>
      </c>
      <c r="H820" s="1010">
        <f t="shared" si="1888"/>
        <v>412.59000000000003</v>
      </c>
      <c r="I820" s="1010">
        <f t="shared" si="1888"/>
        <v>389.6</v>
      </c>
      <c r="J820" s="1010">
        <f t="shared" si="1888"/>
        <v>358.41</v>
      </c>
      <c r="K820" s="1010">
        <f t="shared" si="1888"/>
        <v>435.41</v>
      </c>
      <c r="L820" s="1010">
        <f t="shared" si="1888"/>
        <v>82.79</v>
      </c>
      <c r="M820" s="1010">
        <f t="shared" si="1888"/>
        <v>358.79</v>
      </c>
      <c r="N820" s="1010">
        <f t="shared" si="1888"/>
        <v>412.41</v>
      </c>
      <c r="O820" s="1010">
        <f t="shared" si="1888"/>
        <v>469.98</v>
      </c>
      <c r="P820" s="1010">
        <f t="shared" si="1888"/>
        <v>25.840000000000003</v>
      </c>
      <c r="Q820" s="1010">
        <f t="shared" si="1888"/>
        <v>262.36</v>
      </c>
      <c r="R820" s="1010">
        <f t="shared" si="1888"/>
        <v>298.55</v>
      </c>
      <c r="S820" s="1010">
        <f t="shared" si="1888"/>
        <v>308.74</v>
      </c>
      <c r="T820" s="1010">
        <f t="shared" si="1888"/>
        <v>96.93</v>
      </c>
      <c r="U820" s="1010">
        <f t="shared" si="1888"/>
        <v>309.12</v>
      </c>
      <c r="V820" s="1010">
        <f t="shared" si="1888"/>
        <v>79.550000000000011</v>
      </c>
      <c r="W820" s="1010">
        <f t="shared" si="1888"/>
        <v>199.93</v>
      </c>
      <c r="X820" s="1010">
        <f t="shared" si="1888"/>
        <v>-6.6899999999999977</v>
      </c>
      <c r="Y820" s="1010">
        <f t="shared" si="1888"/>
        <v>321.5</v>
      </c>
      <c r="Z820" s="1010">
        <f t="shared" si="1888"/>
        <v>-128.69</v>
      </c>
      <c r="AA820" s="1010">
        <f t="shared" si="1888"/>
        <v>386.69</v>
      </c>
      <c r="AB820" s="1010">
        <f t="shared" si="1888"/>
        <v>400.69</v>
      </c>
      <c r="AC820" s="1010">
        <f t="shared" si="1888"/>
        <v>257.26</v>
      </c>
      <c r="AD820" s="1010">
        <f t="shared" si="1888"/>
        <v>235.45</v>
      </c>
      <c r="AE820" s="1010">
        <f t="shared" si="1888"/>
        <v>353.83</v>
      </c>
      <c r="AF820" s="1010">
        <f t="shared" si="1888"/>
        <v>-45.12</v>
      </c>
      <c r="AG820" s="1010">
        <f t="shared" ref="AG820" si="1889">AG817+AG819</f>
        <v>167.12</v>
      </c>
      <c r="AH820" s="1010">
        <f ca="1">AH817+AH819</f>
        <v>280.10447562499996</v>
      </c>
      <c r="AI820" s="1010">
        <f ca="1">AI817+AI819</f>
        <v>301.51569162500004</v>
      </c>
      <c r="AJ820" s="1010">
        <f ca="1">AJ817+AJ819</f>
        <v>245.09608362500006</v>
      </c>
      <c r="AK820" s="79"/>
      <c r="AL820" s="1010">
        <f t="shared" ref="AL820" si="1890">AL817+AL819</f>
        <v>0</v>
      </c>
      <c r="AM820" s="1010">
        <f t="shared" ref="AM820:AT820" si="1891">AM817+AM819</f>
        <v>1285.55</v>
      </c>
      <c r="AN820" s="1010">
        <f t="shared" si="1891"/>
        <v>1562.54</v>
      </c>
      <c r="AO820" s="1010">
        <f t="shared" si="1891"/>
        <v>998.21</v>
      </c>
      <c r="AP820" s="1010">
        <f t="shared" si="1891"/>
        <v>1363.02</v>
      </c>
      <c r="AQ820" s="1010">
        <f t="shared" si="1891"/>
        <v>1198.58</v>
      </c>
      <c r="AR820" s="1010">
        <f t="shared" si="1891"/>
        <v>953.91</v>
      </c>
      <c r="AS820" s="1010">
        <f t="shared" si="1891"/>
        <v>1346.19</v>
      </c>
      <c r="AT820" s="1010">
        <f t="shared" si="1891"/>
        <v>995.42000000000007</v>
      </c>
      <c r="AU820" s="1010">
        <f ca="1">AU817+AU819</f>
        <v>1054.8362508750001</v>
      </c>
      <c r="AV820" s="1010">
        <f ca="1">AV817+AV819</f>
        <v>1104.9713704699998</v>
      </c>
      <c r="AW820" s="1010">
        <f ca="1">AW817+AW819</f>
        <v>1173.0152720589501</v>
      </c>
      <c r="AX820" s="1010">
        <f ca="1">AX817+AX819</f>
        <v>1250.5878906450973</v>
      </c>
      <c r="AY820" s="63">
        <f>RATE(3,,-AM820,AP820)</f>
        <v>1.9696867696494091E-2</v>
      </c>
    </row>
    <row r="821" spans="3:51" s="37" customFormat="1" ht="10.5" customHeight="1">
      <c r="C821" s="115"/>
      <c r="E821" s="1009"/>
      <c r="F821" s="1009"/>
      <c r="G821" s="1009"/>
      <c r="H821" s="1009"/>
      <c r="I821" s="1009"/>
      <c r="J821" s="1009"/>
      <c r="K821" s="1009"/>
      <c r="L821" s="1009"/>
      <c r="M821" s="1009"/>
      <c r="N821" s="1009"/>
      <c r="O821" s="1009"/>
      <c r="P821" s="1009"/>
      <c r="Q821" s="1009"/>
      <c r="R821" s="1009"/>
      <c r="S821" s="1009"/>
      <c r="T821" s="1009"/>
      <c r="U821" s="1009"/>
      <c r="V821" s="1009"/>
      <c r="W821" s="1009"/>
      <c r="X821" s="1009"/>
      <c r="Y821" s="1009"/>
      <c r="Z821" s="1009"/>
      <c r="AA821" s="1009"/>
      <c r="AB821" s="1009"/>
      <c r="AC821" s="1009"/>
      <c r="AD821" s="1009"/>
      <c r="AE821" s="1009"/>
      <c r="AF821" s="1009"/>
      <c r="AG821" s="1009"/>
      <c r="AH821" s="1009"/>
      <c r="AI821" s="1009"/>
      <c r="AJ821" s="1009"/>
      <c r="AK821" s="79"/>
      <c r="AY821" s="1"/>
    </row>
    <row r="822" spans="3:51" s="37" customFormat="1" ht="10.5" customHeight="1">
      <c r="C822" s="115"/>
      <c r="E822" s="1009"/>
      <c r="F822" s="1009"/>
      <c r="G822" s="1009"/>
      <c r="H822" s="1009"/>
      <c r="I822" s="1009"/>
      <c r="J822" s="1009"/>
      <c r="K822" s="1009"/>
      <c r="L822" s="1009"/>
      <c r="M822" s="1009"/>
      <c r="N822" s="1009"/>
      <c r="O822" s="1009"/>
      <c r="P822" s="1009"/>
      <c r="Q822" s="1009"/>
      <c r="R822" s="1009"/>
      <c r="S822" s="1009"/>
      <c r="T822" s="1009"/>
      <c r="U822" s="1009"/>
      <c r="V822" s="1009"/>
      <c r="W822" s="1009"/>
      <c r="X822" s="1009"/>
      <c r="Y822" s="1009"/>
      <c r="Z822" s="1009"/>
      <c r="AA822" s="1009"/>
      <c r="AB822" s="1009"/>
      <c r="AC822" s="1009"/>
      <c r="AD822" s="1009"/>
      <c r="AE822" s="1009"/>
      <c r="AF822" s="1009"/>
      <c r="AG822" s="1009"/>
      <c r="AH822" s="1009"/>
      <c r="AI822" s="1009"/>
      <c r="AJ822" s="1009"/>
      <c r="AK822" s="79"/>
      <c r="AY822" s="1"/>
    </row>
    <row r="823" spans="3:51" s="37" customFormat="1" ht="10.5" customHeight="1">
      <c r="C823" s="115"/>
      <c r="E823" s="1009"/>
      <c r="F823" s="1009"/>
      <c r="G823" s="1009"/>
      <c r="H823" s="1009"/>
      <c r="I823" s="1009"/>
      <c r="J823" s="1009"/>
      <c r="K823" s="1009"/>
      <c r="L823" s="1009"/>
      <c r="M823" s="1009"/>
      <c r="N823" s="1009"/>
      <c r="O823" s="1009"/>
      <c r="P823" s="1009"/>
      <c r="Q823" s="1009"/>
      <c r="R823" s="1009"/>
      <c r="S823" s="1009"/>
      <c r="T823" s="1009"/>
      <c r="U823" s="1009"/>
      <c r="V823" s="1009"/>
      <c r="W823" s="1009"/>
      <c r="X823" s="1009"/>
      <c r="Y823" s="1009"/>
      <c r="Z823" s="1009"/>
      <c r="AA823" s="1009"/>
      <c r="AB823" s="1009"/>
      <c r="AC823" s="1009"/>
      <c r="AD823" s="1009"/>
      <c r="AE823" s="1009"/>
      <c r="AF823" s="1009"/>
      <c r="AG823" s="1009"/>
      <c r="AH823" s="1009"/>
      <c r="AI823" s="1009"/>
      <c r="AJ823" s="1009"/>
      <c r="AK823" s="79"/>
      <c r="AY823" s="1"/>
    </row>
    <row r="824" spans="3:51" s="1012" customFormat="1" ht="10.5" customHeight="1">
      <c r="C824" s="1132" t="s">
        <v>1539</v>
      </c>
      <c r="AY824" s="1"/>
    </row>
    <row r="825" spans="3:51" s="1012" customFormat="1" ht="10.5" customHeight="1">
      <c r="C825" s="1133" t="s">
        <v>471</v>
      </c>
      <c r="AL825" s="1141"/>
      <c r="AM825" s="1122">
        <f t="shared" ref="AM825:AX825" si="1892">AM96</f>
        <v>1725</v>
      </c>
      <c r="AN825" s="1122">
        <f t="shared" si="1892"/>
        <v>1534</v>
      </c>
      <c r="AO825" s="1122">
        <f t="shared" si="1892"/>
        <v>1635</v>
      </c>
      <c r="AP825" s="1122">
        <f t="shared" si="1892"/>
        <v>1633</v>
      </c>
      <c r="AQ825" s="1122">
        <f t="shared" si="1892"/>
        <v>1389</v>
      </c>
      <c r="AR825" s="1122">
        <f t="shared" si="1892"/>
        <v>1216</v>
      </c>
      <c r="AS825" s="1122">
        <f t="shared" si="1892"/>
        <v>1635</v>
      </c>
      <c r="AT825" s="1122">
        <f t="shared" si="1892"/>
        <v>1339</v>
      </c>
      <c r="AU825" s="1122">
        <f t="shared" si="1892"/>
        <v>1415.5926000000002</v>
      </c>
      <c r="AV825" s="1122">
        <f t="shared" si="1892"/>
        <v>1516.7443589999998</v>
      </c>
      <c r="AW825" s="1122">
        <f t="shared" si="1892"/>
        <v>1598.1947735650001</v>
      </c>
      <c r="AX825" s="1122">
        <f t="shared" si="1892"/>
        <v>1691.2155851145749</v>
      </c>
      <c r="AY825" s="1"/>
    </row>
    <row r="826" spans="3:51" s="1012" customFormat="1" ht="10.5" customHeight="1">
      <c r="C826" s="1134" t="s">
        <v>1540</v>
      </c>
      <c r="AL826" s="1141"/>
      <c r="AM826" s="1122">
        <f>-AM836</f>
        <v>-421.45000000000005</v>
      </c>
      <c r="AN826" s="1122">
        <f t="shared" ref="AN826:AT826" si="1893">-AN836</f>
        <v>-249.45999999999998</v>
      </c>
      <c r="AO826" s="1122">
        <f t="shared" si="1893"/>
        <v>-323.79000000000002</v>
      </c>
      <c r="AP826" s="1122">
        <f t="shared" si="1893"/>
        <v>-260.97999999999996</v>
      </c>
      <c r="AQ826" s="1122">
        <f t="shared" si="1893"/>
        <v>-221.42000000000002</v>
      </c>
      <c r="AR826" s="1122">
        <f t="shared" si="1893"/>
        <v>-195.09</v>
      </c>
      <c r="AS826" s="1122">
        <f t="shared" si="1893"/>
        <v>-250.81</v>
      </c>
      <c r="AT826" s="1122">
        <f t="shared" si="1893"/>
        <v>-204.57999999999998</v>
      </c>
      <c r="AU826" s="1122">
        <f ca="1">-AU836</f>
        <v>-231.75634912499999</v>
      </c>
      <c r="AV826" s="1122">
        <f ca="1">-AV836</f>
        <v>-261.77298852999996</v>
      </c>
      <c r="AW826" s="1122">
        <f ca="1">-AW836</f>
        <v>-275.17950150605003</v>
      </c>
      <c r="AX826" s="1122">
        <f ca="1">-AX836</f>
        <v>-290.62769446947772</v>
      </c>
      <c r="AY826" s="1"/>
    </row>
    <row r="827" spans="3:51" s="1012" customFormat="1" ht="10.5" customHeight="1">
      <c r="C827" s="1134" t="s">
        <v>1412</v>
      </c>
      <c r="AL827" s="1141"/>
      <c r="AM827" s="1122">
        <f>AM801-AL801</f>
        <v>-18</v>
      </c>
      <c r="AN827" s="1122">
        <f t="shared" ref="AN827:AX827" si="1894">AN801-AM801</f>
        <v>278</v>
      </c>
      <c r="AO827" s="1122">
        <f t="shared" si="1894"/>
        <v>-313</v>
      </c>
      <c r="AP827" s="1122">
        <f t="shared" si="1894"/>
        <v>-9</v>
      </c>
      <c r="AQ827" s="1122">
        <f t="shared" si="1894"/>
        <v>31</v>
      </c>
      <c r="AR827" s="1122">
        <f t="shared" si="1894"/>
        <v>-67</v>
      </c>
      <c r="AS827" s="1122">
        <f t="shared" si="1894"/>
        <v>-38</v>
      </c>
      <c r="AT827" s="1122">
        <f t="shared" si="1894"/>
        <v>-139</v>
      </c>
      <c r="AU827" s="1122">
        <f t="shared" si="1894"/>
        <v>-129</v>
      </c>
      <c r="AV827" s="1122">
        <f t="shared" si="1894"/>
        <v>-150</v>
      </c>
      <c r="AW827" s="1122">
        <f t="shared" si="1894"/>
        <v>-150</v>
      </c>
      <c r="AX827" s="1122">
        <f t="shared" si="1894"/>
        <v>-150</v>
      </c>
      <c r="AY827" s="1"/>
    </row>
    <row r="828" spans="3:51" s="1012" customFormat="1" ht="10.5" customHeight="1">
      <c r="C828" s="1135" t="s">
        <v>1416</v>
      </c>
      <c r="AL828" s="1144">
        <f>SUM(AL825:AL827)</f>
        <v>0</v>
      </c>
      <c r="AM828" s="1144">
        <f>SUM(AM825:AM827)</f>
        <v>1285.55</v>
      </c>
      <c r="AN828" s="1144">
        <f t="shared" ref="AN828:AT828" si="1895">SUM(AN825:AN827)</f>
        <v>1562.54</v>
      </c>
      <c r="AO828" s="1144">
        <f t="shared" si="1895"/>
        <v>998.21</v>
      </c>
      <c r="AP828" s="1144">
        <f t="shared" si="1895"/>
        <v>1363.02</v>
      </c>
      <c r="AQ828" s="1144">
        <f t="shared" si="1895"/>
        <v>1198.58</v>
      </c>
      <c r="AR828" s="1144">
        <f t="shared" si="1895"/>
        <v>953.91</v>
      </c>
      <c r="AS828" s="1144">
        <f t="shared" si="1895"/>
        <v>1346.19</v>
      </c>
      <c r="AT828" s="1144">
        <f t="shared" si="1895"/>
        <v>995.42000000000007</v>
      </c>
      <c r="AU828" s="1144">
        <f ca="1">SUM(AU825:AU827)</f>
        <v>1054.8362508750001</v>
      </c>
      <c r="AV828" s="1144">
        <f ca="1">SUM(AV825:AV827)</f>
        <v>1104.9713704699998</v>
      </c>
      <c r="AW828" s="1144">
        <f ca="1">SUM(AW825:AW827)</f>
        <v>1173.0152720589501</v>
      </c>
      <c r="AX828" s="1144">
        <f ca="1">SUM(AX825:AX827)</f>
        <v>1250.5878906450971</v>
      </c>
      <c r="AY828" s="1"/>
    </row>
    <row r="829" spans="3:51" s="1012" customFormat="1" ht="10.5" customHeight="1">
      <c r="C829" s="1135"/>
      <c r="AY829" s="1"/>
    </row>
    <row r="830" spans="3:51" s="1146" customFormat="1" ht="10.5" customHeight="1">
      <c r="C830" s="1145" t="s">
        <v>68</v>
      </c>
      <c r="AM830" s="1146">
        <f>AM820-AM828</f>
        <v>0</v>
      </c>
      <c r="AN830" s="1146">
        <f t="shared" ref="AN830:AT830" si="1896">AN820-AN828</f>
        <v>0</v>
      </c>
      <c r="AO830" s="1146">
        <f t="shared" si="1896"/>
        <v>0</v>
      </c>
      <c r="AP830" s="1146">
        <f t="shared" si="1896"/>
        <v>0</v>
      </c>
      <c r="AQ830" s="1146">
        <f t="shared" si="1896"/>
        <v>0</v>
      </c>
      <c r="AR830" s="1146">
        <f t="shared" si="1896"/>
        <v>0</v>
      </c>
      <c r="AS830" s="1146">
        <f t="shared" si="1896"/>
        <v>0</v>
      </c>
      <c r="AT830" s="1146">
        <f t="shared" si="1896"/>
        <v>0</v>
      </c>
      <c r="AU830" s="1146">
        <f ca="1">AU820-AU828</f>
        <v>0</v>
      </c>
      <c r="AV830" s="1146">
        <f ca="1">AV820-AV828</f>
        <v>0</v>
      </c>
      <c r="AW830" s="1146">
        <f ca="1">AW820-AW828</f>
        <v>0</v>
      </c>
      <c r="AX830" s="1146">
        <f ca="1">AX820-AX828</f>
        <v>0</v>
      </c>
      <c r="AY830" s="1147"/>
    </row>
    <row r="831" spans="3:51" s="1012" customFormat="1" ht="10.5" customHeight="1">
      <c r="C831" s="1136"/>
    </row>
    <row r="832" spans="3:51" s="1012" customFormat="1" ht="10.5" customHeight="1">
      <c r="C832" s="1137" t="s">
        <v>1541</v>
      </c>
      <c r="AM832" s="1148"/>
      <c r="AN832" s="1148"/>
      <c r="AO832" s="1148"/>
      <c r="AP832" s="1148"/>
      <c r="AQ832" s="1148"/>
      <c r="AR832" s="1148"/>
      <c r="AS832" s="1148"/>
      <c r="AT832" s="1148"/>
      <c r="AU832" s="1148"/>
      <c r="AV832" s="1148"/>
      <c r="AW832" s="1148"/>
    </row>
    <row r="833" spans="2:79" s="1012" customFormat="1" ht="10.5" customHeight="1">
      <c r="C833" s="1138" t="s">
        <v>1542</v>
      </c>
      <c r="AL833" s="1141"/>
      <c r="AM833" s="1122">
        <f t="shared" ref="AM833:AX833" si="1897">AM107</f>
        <v>365</v>
      </c>
      <c r="AN833" s="1122">
        <f t="shared" si="1897"/>
        <v>265</v>
      </c>
      <c r="AO833" s="1122">
        <f t="shared" si="1897"/>
        <v>278</v>
      </c>
      <c r="AP833" s="1122">
        <f t="shared" si="1897"/>
        <v>222</v>
      </c>
      <c r="AQ833" s="1122">
        <f t="shared" si="1897"/>
        <v>180</v>
      </c>
      <c r="AR833" s="1122">
        <f t="shared" si="1897"/>
        <v>156</v>
      </c>
      <c r="AS833" s="1122">
        <f t="shared" si="1897"/>
        <v>214</v>
      </c>
      <c r="AT833" s="1122">
        <f t="shared" si="1897"/>
        <v>170</v>
      </c>
      <c r="AU833" s="1122">
        <f t="shared" ca="1" si="1897"/>
        <v>192.353306</v>
      </c>
      <c r="AV833" s="1122">
        <f t="shared" ca="1" si="1897"/>
        <v>224.47173727999999</v>
      </c>
      <c r="AW833" s="1122">
        <f t="shared" ca="1" si="1897"/>
        <v>242.05879650605002</v>
      </c>
      <c r="AX833" s="1122">
        <f t="shared" ca="1" si="1897"/>
        <v>260.97776696947773</v>
      </c>
    </row>
    <row r="834" spans="2:79" s="1012" customFormat="1" ht="10.5" customHeight="1">
      <c r="C834" s="1139" t="s">
        <v>1543</v>
      </c>
      <c r="AL834" s="1141"/>
      <c r="AM834" s="1122">
        <f t="shared" ref="AM834:AX834" si="1898">AM40*$D$816</f>
        <v>49.97</v>
      </c>
      <c r="AN834" s="1122">
        <f t="shared" si="1898"/>
        <v>48.45</v>
      </c>
      <c r="AO834" s="1122">
        <f t="shared" si="1898"/>
        <v>45.79</v>
      </c>
      <c r="AP834" s="1122">
        <f t="shared" si="1898"/>
        <v>44.65</v>
      </c>
      <c r="AQ834" s="1122">
        <f t="shared" si="1898"/>
        <v>41.42</v>
      </c>
      <c r="AR834" s="1122">
        <f t="shared" si="1898"/>
        <v>39.9</v>
      </c>
      <c r="AS834" s="1122">
        <f t="shared" si="1898"/>
        <v>37.619999999999997</v>
      </c>
      <c r="AT834" s="1122">
        <f t="shared" si="1898"/>
        <v>34.58</v>
      </c>
      <c r="AU834" s="1122">
        <f t="shared" ca="1" si="1898"/>
        <v>39.403043124999996</v>
      </c>
      <c r="AV834" s="1122">
        <f t="shared" ca="1" si="1898"/>
        <v>37.30125125</v>
      </c>
      <c r="AW834" s="1122">
        <f t="shared" ca="1" si="1898"/>
        <v>33.120705000000001</v>
      </c>
      <c r="AX834" s="1122">
        <f t="shared" ca="1" si="1898"/>
        <v>29.649927499999997</v>
      </c>
    </row>
    <row r="835" spans="2:79" s="1012" customFormat="1" ht="10.5" customHeight="1">
      <c r="C835" s="1139" t="s">
        <v>1544</v>
      </c>
      <c r="AL835" s="1141"/>
      <c r="AM835" s="1122">
        <f t="shared" ref="AM835:AX835" si="1899">-SUM(AM38:AM39)*(1-$D$816)</f>
        <v>6.48</v>
      </c>
      <c r="AN835" s="1122">
        <f t="shared" si="1899"/>
        <v>-63.99</v>
      </c>
      <c r="AO835" s="1122">
        <f t="shared" si="1899"/>
        <v>0</v>
      </c>
      <c r="AP835" s="1122">
        <f t="shared" si="1899"/>
        <v>-5.67</v>
      </c>
      <c r="AQ835" s="1122">
        <f t="shared" si="1899"/>
        <v>0</v>
      </c>
      <c r="AR835" s="1122">
        <f t="shared" si="1899"/>
        <v>-0.81</v>
      </c>
      <c r="AS835" s="1122">
        <f t="shared" si="1899"/>
        <v>-0.81</v>
      </c>
      <c r="AT835" s="1122">
        <f t="shared" si="1899"/>
        <v>0</v>
      </c>
      <c r="AU835" s="1122">
        <f t="shared" si="1899"/>
        <v>0</v>
      </c>
      <c r="AV835" s="1122">
        <f t="shared" si="1899"/>
        <v>0</v>
      </c>
      <c r="AW835" s="1122">
        <f t="shared" si="1899"/>
        <v>0</v>
      </c>
      <c r="AX835" s="1122">
        <f t="shared" si="1899"/>
        <v>0</v>
      </c>
    </row>
    <row r="836" spans="2:79" s="1012" customFormat="1" ht="10.5" customHeight="1">
      <c r="C836" s="1140" t="s">
        <v>1541</v>
      </c>
      <c r="AL836" s="1144">
        <f>SUM(AL833:AL835)</f>
        <v>0</v>
      </c>
      <c r="AM836" s="1144">
        <f t="shared" ref="AM836:AT836" si="1900">SUM(AM833:AM835)</f>
        <v>421.45000000000005</v>
      </c>
      <c r="AN836" s="1144">
        <f t="shared" si="1900"/>
        <v>249.45999999999998</v>
      </c>
      <c r="AO836" s="1144">
        <f t="shared" si="1900"/>
        <v>323.79000000000002</v>
      </c>
      <c r="AP836" s="1144">
        <f t="shared" si="1900"/>
        <v>260.97999999999996</v>
      </c>
      <c r="AQ836" s="1144">
        <f t="shared" si="1900"/>
        <v>221.42000000000002</v>
      </c>
      <c r="AR836" s="1144">
        <f t="shared" si="1900"/>
        <v>195.09</v>
      </c>
      <c r="AS836" s="1144">
        <f t="shared" si="1900"/>
        <v>250.81</v>
      </c>
      <c r="AT836" s="1144">
        <f t="shared" si="1900"/>
        <v>204.57999999999998</v>
      </c>
      <c r="AU836" s="1144">
        <f ca="1">SUM(AU833:AU835)</f>
        <v>231.75634912499999</v>
      </c>
      <c r="AV836" s="1144">
        <f ca="1">SUM(AV833:AV835)</f>
        <v>261.77298852999996</v>
      </c>
      <c r="AW836" s="1144">
        <f ca="1">SUM(AW833:AW835)</f>
        <v>275.17950150605003</v>
      </c>
      <c r="AX836" s="1144">
        <f ca="1">SUM(AX833:AX835)</f>
        <v>290.62769446947772</v>
      </c>
    </row>
    <row r="837" spans="2:79" s="1012" customFormat="1" ht="10.5" customHeight="1">
      <c r="C837" s="1143"/>
      <c r="AL837" s="1122"/>
    </row>
    <row r="838" spans="2:79" s="1012" customFormat="1" ht="10.5" customHeight="1">
      <c r="C838" s="1143"/>
      <c r="AL838" s="1122"/>
    </row>
    <row r="839" spans="2:79" s="37" customFormat="1" ht="10.5" customHeight="1">
      <c r="C839" s="115" t="s">
        <v>1229</v>
      </c>
      <c r="E839" s="39"/>
      <c r="F839" s="39"/>
      <c r="G839" s="39"/>
      <c r="H839" s="39"/>
      <c r="I839" s="39"/>
      <c r="J839" s="39"/>
      <c r="K839" s="39"/>
      <c r="L839" s="39"/>
      <c r="M839" s="39"/>
      <c r="N839" s="39"/>
      <c r="O839" s="39"/>
      <c r="P839" s="39"/>
      <c r="Q839" s="39"/>
      <c r="R839" s="39"/>
      <c r="AK839" s="127"/>
      <c r="AL839" s="39"/>
      <c r="AM839" s="126">
        <f t="shared" ref="AM839:AT839" si="1901">AM820/AM807</f>
        <v>9.2121103547115724E-2</v>
      </c>
      <c r="AN839" s="126">
        <f t="shared" si="1901"/>
        <v>0.11205019720329867</v>
      </c>
      <c r="AO839" s="126">
        <f t="shared" si="1901"/>
        <v>6.927203331020125E-2</v>
      </c>
      <c r="AP839" s="126">
        <f t="shared" si="1901"/>
        <v>9.4739695558490308E-2</v>
      </c>
      <c r="AQ839" s="126">
        <f t="shared" si="1901"/>
        <v>8.329256428075052E-2</v>
      </c>
      <c r="AR839" s="126">
        <f t="shared" si="1901"/>
        <v>6.6271363067944969E-2</v>
      </c>
      <c r="AS839" s="126">
        <f t="shared" si="1901"/>
        <v>0.10125535915757804</v>
      </c>
      <c r="AT839" s="126">
        <f t="shared" si="1901"/>
        <v>7.9366927124860473E-2</v>
      </c>
      <c r="AU839" s="126">
        <f ca="1">AU820/AU807</f>
        <v>8.4191314509951959E-2</v>
      </c>
      <c r="AV839" s="126">
        <f ca="1">AV820/AV807</f>
        <v>8.6851822902354631E-2</v>
      </c>
      <c r="AW839" s="126">
        <f ca="1">AW820/AW807</f>
        <v>9.3701003233659597E-2</v>
      </c>
      <c r="AX839" s="126">
        <f ca="1">AX820/AX807</f>
        <v>0.10005430601270383</v>
      </c>
      <c r="AY839" s="1"/>
    </row>
    <row r="840" spans="2:79" s="37" customFormat="1" ht="10.5" customHeight="1">
      <c r="C840" s="115" t="s">
        <v>1446</v>
      </c>
      <c r="E840" s="39"/>
      <c r="F840" s="39"/>
      <c r="G840" s="39"/>
      <c r="H840" s="39"/>
      <c r="I840" s="39"/>
      <c r="J840" s="39"/>
      <c r="K840" s="39"/>
      <c r="L840" s="39"/>
      <c r="M840" s="39"/>
      <c r="N840" s="39"/>
      <c r="O840" s="39"/>
      <c r="P840" s="39"/>
      <c r="Q840" s="39"/>
      <c r="R840" s="39"/>
      <c r="AK840" s="127"/>
      <c r="AL840" s="39"/>
      <c r="AM840" s="126">
        <f>AM820/AVERAGE(AL809:AM809)</f>
        <v>0.13320381307636514</v>
      </c>
      <c r="AN840" s="126">
        <f t="shared" ref="AN840:AT840" si="1902">AN820/AVERAGE(AM809:AN809)</f>
        <v>0.16516463189049205</v>
      </c>
      <c r="AO840" s="126">
        <f t="shared" si="1902"/>
        <v>0.10308359580730109</v>
      </c>
      <c r="AP840" s="126">
        <f t="shared" si="1902"/>
        <v>0.13765793061657325</v>
      </c>
      <c r="AQ840" s="126">
        <f t="shared" si="1902"/>
        <v>0.12058755470597111</v>
      </c>
      <c r="AR840" s="126">
        <f t="shared" si="1902"/>
        <v>9.5928197908286397E-2</v>
      </c>
      <c r="AS840" s="126">
        <f t="shared" si="1902"/>
        <v>0.13748557422253996</v>
      </c>
      <c r="AT840" s="126">
        <f t="shared" si="1902"/>
        <v>0.10742715303259229</v>
      </c>
      <c r="AU840" s="126">
        <f ca="1">AU820/AVERAGE(AT809:AU809)</f>
        <v>0.11916334565518867</v>
      </c>
      <c r="AV840" s="126">
        <f ca="1">AV820/AVERAGE(AU809:AV809)</f>
        <v>0.12383734154171108</v>
      </c>
      <c r="AW840" s="126">
        <f ca="1">AW820/AVERAGE(AV809:AW809)</f>
        <v>0.13153938522961228</v>
      </c>
      <c r="AX840" s="126">
        <f ca="1">AX820/AVERAGE(AW809:AX809)</f>
        <v>0.14201707070658381</v>
      </c>
      <c r="AY840" s="1"/>
    </row>
    <row r="841" spans="2:79" s="37" customFormat="1" ht="10.5" customHeight="1">
      <c r="C841" s="115"/>
      <c r="E841" s="39"/>
      <c r="F841" s="39"/>
      <c r="G841" s="39"/>
      <c r="H841" s="39"/>
      <c r="I841" s="39"/>
      <c r="J841" s="39"/>
      <c r="K841" s="39"/>
      <c r="L841" s="39"/>
      <c r="M841" s="39"/>
      <c r="N841" s="39"/>
      <c r="O841" s="39"/>
      <c r="P841" s="39"/>
      <c r="Q841" s="39"/>
      <c r="R841" s="39"/>
      <c r="AK841" s="79"/>
      <c r="AL841" s="39"/>
      <c r="AM841" s="39"/>
      <c r="AN841" s="39"/>
      <c r="AO841" s="39"/>
      <c r="AP841" s="39"/>
      <c r="AY841" s="1"/>
    </row>
    <row r="842" spans="2:79" s="5" customFormat="1" ht="10.5">
      <c r="B842" s="687" t="s">
        <v>14</v>
      </c>
      <c r="C842" s="20" t="s">
        <v>409</v>
      </c>
      <c r="D842" s="20"/>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79"/>
      <c r="AL842" s="19"/>
      <c r="AM842" s="19"/>
      <c r="AN842" s="19"/>
      <c r="AO842" s="19"/>
      <c r="AP842" s="19"/>
      <c r="AQ842" s="19"/>
      <c r="AR842" s="19"/>
      <c r="AS842" s="19"/>
      <c r="AT842" s="19"/>
      <c r="AU842" s="19"/>
      <c r="AV842" s="19"/>
      <c r="AW842" s="19"/>
      <c r="AX842" s="19"/>
      <c r="AY842" s="1"/>
      <c r="AZ842" s="19"/>
      <c r="BA842" s="19"/>
      <c r="BB842" s="19"/>
      <c r="BC842" s="19"/>
      <c r="BD842" s="19"/>
      <c r="BE842" s="19"/>
      <c r="BF842" s="19"/>
      <c r="BG842" s="19"/>
      <c r="BH842" s="19"/>
      <c r="BI842" s="19"/>
      <c r="BJ842" s="19"/>
      <c r="BK842" s="19"/>
      <c r="BL842" s="19"/>
      <c r="BM842" s="19"/>
      <c r="BY842" s="829"/>
      <c r="BZ842" s="829"/>
      <c r="CA842" s="829"/>
    </row>
    <row r="843" spans="2:79" s="37" customFormat="1" ht="11.25" customHeight="1">
      <c r="C843" s="115"/>
      <c r="E843" s="39"/>
      <c r="F843" s="39"/>
      <c r="G843" s="39"/>
      <c r="H843" s="39"/>
      <c r="I843" s="39"/>
      <c r="J843" s="39"/>
      <c r="K843" s="39"/>
      <c r="L843" s="39"/>
      <c r="M843" s="39"/>
      <c r="N843" s="39"/>
      <c r="O843" s="39"/>
      <c r="P843" s="39"/>
      <c r="Q843" s="39"/>
      <c r="R843" s="39"/>
      <c r="AK843" s="79"/>
      <c r="AL843" s="39"/>
      <c r="AM843" s="39"/>
      <c r="AN843" s="39"/>
      <c r="AO843" s="39"/>
      <c r="AP843" s="39"/>
      <c r="AY843" s="1"/>
    </row>
    <row r="844" spans="2:79" s="37" customFormat="1" ht="11.25" customHeight="1">
      <c r="C844" s="1041" t="s">
        <v>416</v>
      </c>
      <c r="E844" s="148"/>
      <c r="F844" s="148"/>
      <c r="G844" s="148"/>
      <c r="H844" s="144">
        <f t="shared" ref="H844:AJ844" si="1903">IFERROR(SUM(E11:H11)/H739,"NA  ")</f>
        <v>11.093596059113301</v>
      </c>
      <c r="I844" s="144">
        <f t="shared" si="1903"/>
        <v>9.241344195519348</v>
      </c>
      <c r="J844" s="144">
        <f t="shared" si="1903"/>
        <v>9.0343811394891951</v>
      </c>
      <c r="K844" s="144">
        <f t="shared" si="1903"/>
        <v>8.9541547277936964</v>
      </c>
      <c r="L844" s="144">
        <f t="shared" si="1903"/>
        <v>9.307017543859649</v>
      </c>
      <c r="M844" s="144">
        <f t="shared" si="1903"/>
        <v>6.8902097902097905</v>
      </c>
      <c r="N844" s="144">
        <f t="shared" si="1903"/>
        <v>7.2182340272792533</v>
      </c>
      <c r="O844" s="144">
        <f t="shared" si="1903"/>
        <v>7.2200854700854702</v>
      </c>
      <c r="P844" s="144">
        <f t="shared" si="1903"/>
        <v>8.7963604852686306</v>
      </c>
      <c r="Q844" s="144">
        <f t="shared" si="1903"/>
        <v>7.6515034695451041</v>
      </c>
      <c r="R844" s="144">
        <f t="shared" si="1903"/>
        <v>7.845779220779221</v>
      </c>
      <c r="S844" s="144">
        <f t="shared" si="1903"/>
        <v>7.9294710327455915</v>
      </c>
      <c r="T844" s="144">
        <f t="shared" si="1903"/>
        <v>9.4622448979591844</v>
      </c>
      <c r="U844" s="144">
        <f t="shared" si="1903"/>
        <v>8.7406698564593306</v>
      </c>
      <c r="V844" s="144">
        <f t="shared" si="1903"/>
        <v>9.6183628318584073</v>
      </c>
      <c r="W844" s="144">
        <f t="shared" si="1903"/>
        <v>7.8848653667595174</v>
      </c>
      <c r="X844" s="144">
        <f t="shared" si="1903"/>
        <v>8.202323330106486</v>
      </c>
      <c r="Y844" s="144">
        <f t="shared" si="1903"/>
        <v>7.0309194467046376</v>
      </c>
      <c r="Z844" s="144">
        <f t="shared" si="1903"/>
        <v>7.2467130703789637</v>
      </c>
      <c r="AA844" s="144">
        <f t="shared" si="1903"/>
        <v>7.3510324483775813</v>
      </c>
      <c r="AB844" s="144">
        <f t="shared" si="1903"/>
        <v>9.602199816681944</v>
      </c>
      <c r="AC844" s="144">
        <f t="shared" si="1903"/>
        <v>9.0825610783487782</v>
      </c>
      <c r="AD844" s="144">
        <f t="shared" si="1903"/>
        <v>9.0181818181818176</v>
      </c>
      <c r="AE844" s="144">
        <f t="shared" si="1903"/>
        <v>9.5875109938434484</v>
      </c>
      <c r="AF844" s="144">
        <f t="shared" si="1903"/>
        <v>11.055381400208987</v>
      </c>
      <c r="AG844" s="144">
        <f t="shared" si="1903"/>
        <v>9.7792578496669833</v>
      </c>
      <c r="AH844" s="145">
        <f t="shared" si="1903"/>
        <v>10.428571428571429</v>
      </c>
      <c r="AI844" s="145">
        <f t="shared" si="1903"/>
        <v>10.428571428571429</v>
      </c>
      <c r="AJ844" s="145">
        <f t="shared" si="1903"/>
        <v>10.428571428571429</v>
      </c>
      <c r="AK844" s="79"/>
      <c r="AL844" s="145">
        <f t="shared" ref="AL844:AX844" si="1904">IFERROR(AL11/AL739,"NA  ")</f>
        <v>10.178418803418804</v>
      </c>
      <c r="AM844" s="145">
        <f t="shared" si="1904"/>
        <v>12.181818181818182</v>
      </c>
      <c r="AN844" s="145">
        <f t="shared" si="1904"/>
        <v>11.093596059113301</v>
      </c>
      <c r="AO844" s="145">
        <f t="shared" si="1904"/>
        <v>9.307017543859649</v>
      </c>
      <c r="AP844" s="145">
        <f t="shared" si="1904"/>
        <v>8.7963604852686306</v>
      </c>
      <c r="AQ844" s="145">
        <f t="shared" si="1904"/>
        <v>9.4622448979591844</v>
      </c>
      <c r="AR844" s="145">
        <f t="shared" si="1904"/>
        <v>8.202323330106486</v>
      </c>
      <c r="AS844" s="145">
        <f t="shared" si="1904"/>
        <v>9.602199816681944</v>
      </c>
      <c r="AT844" s="145">
        <f t="shared" si="1904"/>
        <v>11.055381400208987</v>
      </c>
      <c r="AU844" s="145">
        <f t="shared" si="1904"/>
        <v>10.428571428571425</v>
      </c>
      <c r="AV844" s="145">
        <f t="shared" si="1904"/>
        <v>10.428571428571429</v>
      </c>
      <c r="AW844" s="145">
        <f t="shared" si="1904"/>
        <v>10.428571428571429</v>
      </c>
      <c r="AX844" s="145">
        <f t="shared" si="1904"/>
        <v>10.428571428571429</v>
      </c>
      <c r="AY844" s="1"/>
    </row>
    <row r="845" spans="2:79" s="37" customFormat="1" ht="11.25" customHeight="1">
      <c r="C845" s="1041" t="s">
        <v>417</v>
      </c>
      <c r="E845" s="148"/>
      <c r="F845" s="148"/>
      <c r="G845" s="148"/>
      <c r="H845" s="144">
        <f t="shared" ref="H845:AJ845" si="1905">IFERROR(SUM(E14:H14)/H741,"NA  ")</f>
        <v>4.7421652421652425</v>
      </c>
      <c r="I845" s="144">
        <f t="shared" si="1905"/>
        <v>4.5177257525083609</v>
      </c>
      <c r="J845" s="144">
        <f t="shared" si="1905"/>
        <v>4.448701298701299</v>
      </c>
      <c r="K845" s="144">
        <f t="shared" si="1905"/>
        <v>4.4282994923857872</v>
      </c>
      <c r="L845" s="144">
        <f t="shared" si="1905"/>
        <v>4.7620941020543404</v>
      </c>
      <c r="M845" s="144">
        <f t="shared" si="1905"/>
        <v>5.0907859078590789</v>
      </c>
      <c r="N845" s="144">
        <f t="shared" si="1905"/>
        <v>4.988250652741514</v>
      </c>
      <c r="O845" s="144">
        <f t="shared" si="1905"/>
        <v>4.7181538461538466</v>
      </c>
      <c r="P845" s="144">
        <f t="shared" si="1905"/>
        <v>4.8464939987365758</v>
      </c>
      <c r="Q845" s="144">
        <f t="shared" si="1905"/>
        <v>4.373239436619718</v>
      </c>
      <c r="R845" s="144">
        <f t="shared" si="1905"/>
        <v>4.22485549132948</v>
      </c>
      <c r="S845" s="144">
        <f t="shared" si="1905"/>
        <v>4.2719764011799413</v>
      </c>
      <c r="T845" s="144">
        <f t="shared" si="1905"/>
        <v>4.2352587244283999</v>
      </c>
      <c r="U845" s="144">
        <f t="shared" si="1905"/>
        <v>4.1573236889692584</v>
      </c>
      <c r="V845" s="144">
        <f t="shared" si="1905"/>
        <v>4.7047216349541934</v>
      </c>
      <c r="W845" s="144">
        <f t="shared" si="1905"/>
        <v>4.8923766816143495</v>
      </c>
      <c r="X845" s="144">
        <f t="shared" si="1905"/>
        <v>4.7121102248005799</v>
      </c>
      <c r="Y845" s="144">
        <f t="shared" si="1905"/>
        <v>4.4152823920265778</v>
      </c>
      <c r="Z845" s="144">
        <f t="shared" si="1905"/>
        <v>4.7061958694203865</v>
      </c>
      <c r="AA845" s="144">
        <f t="shared" si="1905"/>
        <v>4.6018404907975459</v>
      </c>
      <c r="AB845" s="144">
        <f t="shared" si="1905"/>
        <v>5.3031914893617023</v>
      </c>
      <c r="AC845" s="144">
        <f t="shared" si="1905"/>
        <v>4.9844404548174746</v>
      </c>
      <c r="AD845" s="144">
        <f t="shared" si="1905"/>
        <v>4.6391018619934279</v>
      </c>
      <c r="AE845" s="144">
        <f t="shared" si="1905"/>
        <v>4.3448101265822787</v>
      </c>
      <c r="AF845" s="144">
        <f t="shared" si="1905"/>
        <v>4.4577613516367478</v>
      </c>
      <c r="AG845" s="144">
        <f t="shared" si="1905"/>
        <v>4.1985596707818926</v>
      </c>
      <c r="AH845" s="145">
        <f t="shared" si="1905"/>
        <v>4.7402597402597397</v>
      </c>
      <c r="AI845" s="145">
        <f t="shared" si="1905"/>
        <v>4.8666666666666663</v>
      </c>
      <c r="AJ845" s="145">
        <f t="shared" si="1905"/>
        <v>5</v>
      </c>
      <c r="AK845" s="79"/>
      <c r="AL845" s="145">
        <f t="shared" ref="AL845:AX845" si="1906">IFERROR(AL14/AL741,"NA  ")</f>
        <v>4.8416169648774021</v>
      </c>
      <c r="AM845" s="145">
        <f t="shared" si="1906"/>
        <v>4.7789046653144016</v>
      </c>
      <c r="AN845" s="145">
        <f t="shared" si="1906"/>
        <v>4.7421652421652425</v>
      </c>
      <c r="AO845" s="145">
        <f t="shared" si="1906"/>
        <v>4.7620941020543404</v>
      </c>
      <c r="AP845" s="145">
        <f t="shared" si="1906"/>
        <v>4.8464939987365758</v>
      </c>
      <c r="AQ845" s="145">
        <f t="shared" si="1906"/>
        <v>4.2352587244283999</v>
      </c>
      <c r="AR845" s="145">
        <f t="shared" si="1906"/>
        <v>4.7121102248005799</v>
      </c>
      <c r="AS845" s="145">
        <f t="shared" si="1906"/>
        <v>5.3031914893617023</v>
      </c>
      <c r="AT845" s="145">
        <f t="shared" si="1906"/>
        <v>4.4577613516367478</v>
      </c>
      <c r="AU845" s="145">
        <f t="shared" si="1906"/>
        <v>5</v>
      </c>
      <c r="AV845" s="145">
        <f t="shared" si="1906"/>
        <v>5.140845070422535</v>
      </c>
      <c r="AW845" s="145">
        <f t="shared" si="1906"/>
        <v>5</v>
      </c>
      <c r="AX845" s="145">
        <f t="shared" si="1906"/>
        <v>5.2142857142857144</v>
      </c>
      <c r="AY845" s="1"/>
    </row>
    <row r="846" spans="2:79" s="37" customFormat="1" ht="11.25" customHeight="1">
      <c r="C846" s="1041" t="s">
        <v>418</v>
      </c>
      <c r="E846" s="148"/>
      <c r="F846" s="148"/>
      <c r="G846" s="148"/>
      <c r="H846" s="144">
        <f t="shared" ref="H846:AJ846" si="1907">IFERROR(SUM(E14:H14)/H755,"NA  ")</f>
        <v>9.4573863636363633</v>
      </c>
      <c r="I846" s="144">
        <f t="shared" si="1907"/>
        <v>10.110778443113773</v>
      </c>
      <c r="J846" s="144">
        <f t="shared" si="1907"/>
        <v>10.149629629629629</v>
      </c>
      <c r="K846" s="144">
        <f t="shared" si="1907"/>
        <v>10.129172714078374</v>
      </c>
      <c r="L846" s="144">
        <f t="shared" si="1907"/>
        <v>8.5344418052256525</v>
      </c>
      <c r="M846" s="144">
        <f t="shared" si="1907"/>
        <v>8.9665871121718386</v>
      </c>
      <c r="N846" s="144">
        <f t="shared" si="1907"/>
        <v>9.4229346485819967</v>
      </c>
      <c r="O846" s="144">
        <f t="shared" si="1907"/>
        <v>9.3159173754556495</v>
      </c>
      <c r="P846" s="144">
        <f t="shared" si="1907"/>
        <v>8.3938730853391679</v>
      </c>
      <c r="Q846" s="144">
        <f t="shared" si="1907"/>
        <v>8.6954492415402562</v>
      </c>
      <c r="R846" s="144">
        <f t="shared" si="1907"/>
        <v>8.9791154791154799</v>
      </c>
      <c r="S846" s="144">
        <f t="shared" si="1907"/>
        <v>10.113128491620111</v>
      </c>
      <c r="T846" s="144">
        <f t="shared" si="1907"/>
        <v>7.9089887640449437</v>
      </c>
      <c r="U846" s="144">
        <f t="shared" si="1907"/>
        <v>4.8570422535211266</v>
      </c>
      <c r="V846" s="144">
        <f t="shared" si="1907"/>
        <v>5.6768707482993195</v>
      </c>
      <c r="W846" s="144">
        <f t="shared" si="1907"/>
        <v>4.6131078224101483</v>
      </c>
      <c r="X846" s="144">
        <f t="shared" si="1907"/>
        <v>3.847246891651865</v>
      </c>
      <c r="Y846" s="144">
        <f t="shared" si="1907"/>
        <v>3.9273049645390072</v>
      </c>
      <c r="Z846" s="144">
        <f t="shared" si="1907"/>
        <v>3.7714895888948212</v>
      </c>
      <c r="AA846" s="144">
        <f t="shared" si="1907"/>
        <v>3.8076142131979696</v>
      </c>
      <c r="AB846" s="144">
        <f t="shared" si="1907"/>
        <v>3.7393342709798407</v>
      </c>
      <c r="AC846" s="144">
        <f t="shared" si="1907"/>
        <v>4.056989771066732</v>
      </c>
      <c r="AD846" s="144">
        <f t="shared" si="1907"/>
        <v>3.9054863992623328</v>
      </c>
      <c r="AE846" s="144">
        <f t="shared" si="1907"/>
        <v>4.0457331447430454</v>
      </c>
      <c r="AF846" s="144">
        <f t="shared" si="1907"/>
        <v>3.9731764705882351</v>
      </c>
      <c r="AG846" s="144">
        <f t="shared" si="1907"/>
        <v>4.1706693919264177</v>
      </c>
      <c r="AH846" s="145">
        <f t="shared" si="1907"/>
        <v>4.0555555555555554</v>
      </c>
      <c r="AI846" s="145">
        <f t="shared" si="1907"/>
        <v>4.0555555555555554</v>
      </c>
      <c r="AJ846" s="145">
        <f t="shared" si="1907"/>
        <v>4.0555555555555554</v>
      </c>
      <c r="AK846" s="79"/>
      <c r="AL846" s="145">
        <f t="shared" ref="AL846:AX846" si="1908">IFERROR(AL14/AL755,"NA  ")</f>
        <v>8.8343409915356705</v>
      </c>
      <c r="AM846" s="145">
        <f t="shared" si="1908"/>
        <v>10.111587982832617</v>
      </c>
      <c r="AN846" s="145">
        <f t="shared" si="1908"/>
        <v>9.4573863636363633</v>
      </c>
      <c r="AO846" s="145">
        <f t="shared" si="1908"/>
        <v>8.5344418052256525</v>
      </c>
      <c r="AP846" s="145">
        <f t="shared" si="1908"/>
        <v>8.3938730853391679</v>
      </c>
      <c r="AQ846" s="145">
        <f t="shared" si="1908"/>
        <v>7.9089887640449437</v>
      </c>
      <c r="AR846" s="145">
        <f t="shared" si="1908"/>
        <v>3.847246891651865</v>
      </c>
      <c r="AS846" s="145">
        <f t="shared" si="1908"/>
        <v>3.7393342709798407</v>
      </c>
      <c r="AT846" s="145">
        <f t="shared" si="1908"/>
        <v>3.9731764705882351</v>
      </c>
      <c r="AU846" s="145">
        <f t="shared" si="1908"/>
        <v>4.0555555555555554</v>
      </c>
      <c r="AV846" s="145">
        <f t="shared" si="1908"/>
        <v>4.0555555555555554</v>
      </c>
      <c r="AW846" s="145">
        <f t="shared" si="1908"/>
        <v>4.0555555555555562</v>
      </c>
      <c r="AX846" s="145">
        <f t="shared" si="1908"/>
        <v>4.0555555555555554</v>
      </c>
      <c r="AY846" s="1"/>
    </row>
    <row r="847" spans="2:79" s="37" customFormat="1" ht="11.25" customHeight="1">
      <c r="C847" s="1276"/>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K847" s="79"/>
      <c r="AL847" s="39"/>
      <c r="AM847" s="39"/>
      <c r="AN847" s="39"/>
      <c r="AO847" s="39"/>
      <c r="AP847" s="39"/>
      <c r="AQ847" s="39"/>
      <c r="AR847" s="39"/>
      <c r="AS847" s="39"/>
      <c r="AT847" s="39"/>
      <c r="AU847" s="39"/>
      <c r="AY847" s="1"/>
    </row>
    <row r="848" spans="2:79" s="37" customFormat="1" ht="11.25" customHeight="1">
      <c r="C848" s="1041" t="s">
        <v>410</v>
      </c>
      <c r="E848" s="148"/>
      <c r="F848" s="148"/>
      <c r="G848" s="148"/>
      <c r="H848" s="142">
        <f>365/H844</f>
        <v>32.901865008880996</v>
      </c>
      <c r="I848" s="142">
        <f t="shared" ref="I848:R848" si="1909">365/I844</f>
        <v>39.496418732782367</v>
      </c>
      <c r="J848" s="142">
        <f t="shared" si="1909"/>
        <v>40.401217788409262</v>
      </c>
      <c r="K848" s="142">
        <f t="shared" si="1909"/>
        <v>40.763199999999998</v>
      </c>
      <c r="L848" s="142">
        <f t="shared" si="1909"/>
        <v>39.2177191328935</v>
      </c>
      <c r="M848" s="142">
        <f t="shared" si="1909"/>
        <v>52.973713589769609</v>
      </c>
      <c r="N848" s="142">
        <f t="shared" si="1909"/>
        <v>50.566384883142717</v>
      </c>
      <c r="O848" s="142">
        <f t="shared" si="1909"/>
        <v>50.553418171056528</v>
      </c>
      <c r="P848" s="142">
        <f t="shared" si="1909"/>
        <v>41.494434045906807</v>
      </c>
      <c r="Q848" s="142">
        <f t="shared" si="1909"/>
        <v>47.70304312777106</v>
      </c>
      <c r="R848" s="142">
        <f t="shared" si="1909"/>
        <v>46.521829091661495</v>
      </c>
      <c r="S848" s="142">
        <f t="shared" ref="S848:T850" si="1910">365/S844</f>
        <v>46.030813214739517</v>
      </c>
      <c r="T848" s="142">
        <f t="shared" si="1910"/>
        <v>38.574355656206187</v>
      </c>
      <c r="U848" s="142">
        <f t="shared" ref="U848:AC848" si="1911">365/U844</f>
        <v>41.758813225312018</v>
      </c>
      <c r="V848" s="142">
        <f t="shared" si="1911"/>
        <v>37.948246118458883</v>
      </c>
      <c r="W848" s="142">
        <f t="shared" si="1911"/>
        <v>46.291215261422515</v>
      </c>
      <c r="X848" s="142">
        <f t="shared" si="1911"/>
        <v>44.499586923167712</v>
      </c>
      <c r="Y848" s="142">
        <f t="shared" si="1911"/>
        <v>51.913551672260155</v>
      </c>
      <c r="Z848" s="142">
        <f t="shared" si="1911"/>
        <v>50.367662753468515</v>
      </c>
      <c r="AA848" s="142">
        <f t="shared" si="1911"/>
        <v>49.652889245585875</v>
      </c>
      <c r="AB848" s="142">
        <f t="shared" si="1911"/>
        <v>38.012122947689953</v>
      </c>
      <c r="AC848" s="142">
        <f t="shared" si="1911"/>
        <v>40.186902884704573</v>
      </c>
      <c r="AD848" s="142">
        <f t="shared" ref="AD848:AF848" si="1912">365/AD844</f>
        <v>40.473790322580648</v>
      </c>
      <c r="AE848" s="142">
        <f t="shared" si="1912"/>
        <v>38.070360517383726</v>
      </c>
      <c r="AF848" s="142">
        <f t="shared" si="1912"/>
        <v>33.015595463137998</v>
      </c>
      <c r="AG848" s="142">
        <f t="shared" ref="AG848" si="1913">365/AG844</f>
        <v>37.323895699552445</v>
      </c>
      <c r="AH848" s="146">
        <f>+Assumptions!AH147</f>
        <v>35</v>
      </c>
      <c r="AI848" s="146">
        <f>+Assumptions!AI147</f>
        <v>35</v>
      </c>
      <c r="AJ848" s="146">
        <f>+Assumptions!AJ147</f>
        <v>35</v>
      </c>
      <c r="AK848" s="79"/>
      <c r="AL848" s="142">
        <f>IFERROR(365/AL844,"NA  ")</f>
        <v>35.860186837409465</v>
      </c>
      <c r="AM848" s="142">
        <f>IFERROR(365/AM844,"NA  ")</f>
        <v>29.96268656716418</v>
      </c>
      <c r="AN848" s="142">
        <f>IFERROR(365/AN844,"NA  ")</f>
        <v>32.901865008880996</v>
      </c>
      <c r="AO848" s="142">
        <f t="shared" ref="AO848:AT848" si="1914">IFERROR(365/AO844,"NA  ")</f>
        <v>39.2177191328935</v>
      </c>
      <c r="AP848" s="142">
        <f t="shared" si="1914"/>
        <v>41.494434045906807</v>
      </c>
      <c r="AQ848" s="142">
        <f t="shared" si="1914"/>
        <v>38.574355656206187</v>
      </c>
      <c r="AR848" s="142">
        <f t="shared" si="1914"/>
        <v>44.499586923167712</v>
      </c>
      <c r="AS848" s="142">
        <f t="shared" si="1914"/>
        <v>38.012122947689953</v>
      </c>
      <c r="AT848" s="142">
        <f t="shared" si="1914"/>
        <v>33.015595463137998</v>
      </c>
      <c r="AU848" s="142">
        <f t="shared" ref="AU848" si="1915">IFERROR(365/AU844,"NA  ")</f>
        <v>35.000000000000014</v>
      </c>
      <c r="AV848" s="146">
        <f>+Assumptions!AV147</f>
        <v>35</v>
      </c>
      <c r="AW848" s="146">
        <f>+Assumptions!AW147</f>
        <v>35</v>
      </c>
      <c r="AX848" s="146">
        <f>+Assumptions!AX147</f>
        <v>35</v>
      </c>
      <c r="AY848" s="1"/>
    </row>
    <row r="849" spans="2:79" s="37" customFormat="1" ht="11.25" customHeight="1">
      <c r="C849" s="1041" t="s">
        <v>419</v>
      </c>
      <c r="E849" s="148"/>
      <c r="F849" s="148"/>
      <c r="G849" s="148"/>
      <c r="H849" s="142">
        <f t="shared" ref="H849:R849" si="1916">365/H845</f>
        <v>76.969059777711024</v>
      </c>
      <c r="I849" s="142">
        <f t="shared" si="1916"/>
        <v>80.792863488303226</v>
      </c>
      <c r="J849" s="142">
        <f t="shared" si="1916"/>
        <v>82.046416581520944</v>
      </c>
      <c r="K849" s="142">
        <f t="shared" si="1916"/>
        <v>82.42441610545923</v>
      </c>
      <c r="L849" s="142">
        <f t="shared" si="1916"/>
        <v>76.646952407458954</v>
      </c>
      <c r="M849" s="142">
        <f t="shared" si="1916"/>
        <v>71.698163428267236</v>
      </c>
      <c r="N849" s="142">
        <f t="shared" si="1916"/>
        <v>73.171944517142109</v>
      </c>
      <c r="O849" s="142">
        <f t="shared" si="1916"/>
        <v>77.360766923177252</v>
      </c>
      <c r="P849" s="142">
        <f t="shared" si="1916"/>
        <v>75.312174139728896</v>
      </c>
      <c r="Q849" s="142">
        <f t="shared" si="1916"/>
        <v>83.462157809983907</v>
      </c>
      <c r="R849" s="142">
        <f t="shared" si="1916"/>
        <v>86.393487481187577</v>
      </c>
      <c r="S849" s="142">
        <f t="shared" si="1910"/>
        <v>85.440546885789246</v>
      </c>
      <c r="T849" s="142">
        <f t="shared" si="1910"/>
        <v>86.181275749396207</v>
      </c>
      <c r="U849" s="142">
        <f t="shared" ref="U849:AC849" si="1917">365/U845</f>
        <v>87.796868203566774</v>
      </c>
      <c r="V849" s="142">
        <f t="shared" si="1917"/>
        <v>77.581635710005983</v>
      </c>
      <c r="W849" s="142">
        <f t="shared" si="1917"/>
        <v>74.605866177818527</v>
      </c>
      <c r="X849" s="142">
        <f t="shared" si="1917"/>
        <v>77.459987688519547</v>
      </c>
      <c r="Y849" s="142">
        <f t="shared" si="1917"/>
        <v>82.667419112114374</v>
      </c>
      <c r="Z849" s="142">
        <f t="shared" si="1917"/>
        <v>77.557332955832393</v>
      </c>
      <c r="AA849" s="142">
        <f t="shared" si="1917"/>
        <v>79.316091187841621</v>
      </c>
      <c r="AB849" s="142">
        <f t="shared" si="1917"/>
        <v>68.826479438314948</v>
      </c>
      <c r="AC849" s="142">
        <f t="shared" si="1917"/>
        <v>73.227878496818349</v>
      </c>
      <c r="AD849" s="142">
        <f t="shared" ref="AD849:AF849" si="1918">365/AD845</f>
        <v>78.679022547515061</v>
      </c>
      <c r="AE849" s="142">
        <f t="shared" si="1918"/>
        <v>84.008274093928435</v>
      </c>
      <c r="AF849" s="142">
        <f t="shared" si="1918"/>
        <v>81.879663626672979</v>
      </c>
      <c r="AG849" s="142">
        <f t="shared" ref="AG849" si="1919">365/AG845</f>
        <v>86.934574859103165</v>
      </c>
      <c r="AH849" s="146">
        <f>+Assumptions!AH152</f>
        <v>77</v>
      </c>
      <c r="AI849" s="146">
        <f>+Assumptions!AI152</f>
        <v>75</v>
      </c>
      <c r="AJ849" s="146">
        <f>+Assumptions!AJ152</f>
        <v>73</v>
      </c>
      <c r="AK849" s="79"/>
      <c r="AL849" s="142">
        <f t="shared" ref="AL849:AN850" si="1920">IFERROR(365/AL845,"NA  ")</f>
        <v>75.388037229674239</v>
      </c>
      <c r="AM849" s="142">
        <f t="shared" si="1920"/>
        <v>76.377334465195247</v>
      </c>
      <c r="AN849" s="142">
        <f t="shared" si="1920"/>
        <v>76.969059777711024</v>
      </c>
      <c r="AO849" s="142">
        <f t="shared" ref="AO849:AT849" si="1921">IFERROR(365/AO845,"NA  ")</f>
        <v>76.646952407458954</v>
      </c>
      <c r="AP849" s="142">
        <f t="shared" si="1921"/>
        <v>75.312174139728896</v>
      </c>
      <c r="AQ849" s="142">
        <f t="shared" si="1921"/>
        <v>86.181275749396207</v>
      </c>
      <c r="AR849" s="142">
        <f t="shared" si="1921"/>
        <v>77.459987688519547</v>
      </c>
      <c r="AS849" s="142">
        <f t="shared" si="1921"/>
        <v>68.826479438314948</v>
      </c>
      <c r="AT849" s="142">
        <f t="shared" si="1921"/>
        <v>81.879663626672979</v>
      </c>
      <c r="AU849" s="142">
        <f t="shared" ref="AU849" si="1922">IFERROR(365/AU845,"NA  ")</f>
        <v>73</v>
      </c>
      <c r="AV849" s="146">
        <v>71</v>
      </c>
      <c r="AW849" s="146">
        <f>+Assumptions!AW152</f>
        <v>73</v>
      </c>
      <c r="AX849" s="146">
        <f>+Assumptions!AX152</f>
        <v>70</v>
      </c>
      <c r="AY849" s="1"/>
    </row>
    <row r="850" spans="2:79" s="37" customFormat="1" ht="11.25" customHeight="1">
      <c r="C850" s="1041" t="s">
        <v>411</v>
      </c>
      <c r="E850" s="148"/>
      <c r="F850" s="148"/>
      <c r="G850" s="148"/>
      <c r="H850" s="142">
        <f t="shared" ref="H850:R850" si="1923">365/H846</f>
        <v>38.594172424151395</v>
      </c>
      <c r="I850" s="142">
        <f t="shared" si="1923"/>
        <v>36.100088836245185</v>
      </c>
      <c r="J850" s="142">
        <f t="shared" si="1923"/>
        <v>35.961903371770546</v>
      </c>
      <c r="K850" s="142">
        <f t="shared" si="1923"/>
        <v>36.034532167932369</v>
      </c>
      <c r="L850" s="142">
        <f t="shared" si="1923"/>
        <v>42.767881992763712</v>
      </c>
      <c r="M850" s="142">
        <f t="shared" si="1923"/>
        <v>40.706680862390201</v>
      </c>
      <c r="N850" s="142">
        <f t="shared" si="1923"/>
        <v>38.735278722847426</v>
      </c>
      <c r="O850" s="142">
        <f t="shared" si="1923"/>
        <v>39.180253032476848</v>
      </c>
      <c r="P850" s="142">
        <f t="shared" si="1923"/>
        <v>43.484098018769558</v>
      </c>
      <c r="Q850" s="142">
        <f t="shared" si="1923"/>
        <v>41.975979602791199</v>
      </c>
      <c r="R850" s="142">
        <f t="shared" si="1923"/>
        <v>40.649883705021203</v>
      </c>
      <c r="S850" s="142">
        <f t="shared" si="1910"/>
        <v>36.091700041430741</v>
      </c>
      <c r="T850" s="142">
        <f t="shared" si="1910"/>
        <v>46.150021309845151</v>
      </c>
      <c r="U850" s="142">
        <f t="shared" ref="U850:AC850" si="1924">365/U846</f>
        <v>75.148615340002905</v>
      </c>
      <c r="V850" s="142">
        <f t="shared" si="1924"/>
        <v>64.295985620131816</v>
      </c>
      <c r="W850" s="142">
        <f t="shared" si="1924"/>
        <v>79.122364802933077</v>
      </c>
      <c r="X850" s="142">
        <f t="shared" si="1924"/>
        <v>94.873037857802402</v>
      </c>
      <c r="Y850" s="142">
        <f t="shared" si="1924"/>
        <v>92.939051918735885</v>
      </c>
      <c r="Z850" s="142">
        <f t="shared" si="1924"/>
        <v>96.778737259343146</v>
      </c>
      <c r="AA850" s="142">
        <f t="shared" si="1924"/>
        <v>95.860551926409812</v>
      </c>
      <c r="AB850" s="142">
        <f t="shared" si="1924"/>
        <v>97.610957873620862</v>
      </c>
      <c r="AC850" s="142">
        <f t="shared" si="1924"/>
        <v>89.968183455396797</v>
      </c>
      <c r="AD850" s="142">
        <f t="shared" ref="AD850:AF850" si="1925">365/AD846</f>
        <v>93.458269389682442</v>
      </c>
      <c r="AE850" s="142">
        <f t="shared" si="1925"/>
        <v>90.218506001631525</v>
      </c>
      <c r="AF850" s="142">
        <f t="shared" si="1925"/>
        <v>91.86604287575507</v>
      </c>
      <c r="AG850" s="142">
        <f t="shared" ref="AG850" si="1926">365/AG846</f>
        <v>87.515927468757667</v>
      </c>
      <c r="AH850" s="146">
        <f>+Assumptions!AH157</f>
        <v>90</v>
      </c>
      <c r="AI850" s="146">
        <f>+Assumptions!AI157</f>
        <v>90</v>
      </c>
      <c r="AJ850" s="146">
        <f>+Assumptions!AJ157</f>
        <v>90</v>
      </c>
      <c r="AK850" s="79"/>
      <c r="AL850" s="142">
        <f t="shared" si="1920"/>
        <v>41.316041609635917</v>
      </c>
      <c r="AM850" s="142">
        <f t="shared" si="1920"/>
        <v>36.097198641765708</v>
      </c>
      <c r="AN850" s="142">
        <f t="shared" si="1920"/>
        <v>38.594172424151395</v>
      </c>
      <c r="AO850" s="142">
        <f t="shared" ref="AO850:AT850" si="1927">IFERROR(365/AO846,"NA  ")</f>
        <v>42.767881992763712</v>
      </c>
      <c r="AP850" s="142">
        <f t="shared" si="1927"/>
        <v>43.484098018769558</v>
      </c>
      <c r="AQ850" s="142">
        <f t="shared" si="1927"/>
        <v>46.150021309845151</v>
      </c>
      <c r="AR850" s="142">
        <f t="shared" si="1927"/>
        <v>94.873037857802402</v>
      </c>
      <c r="AS850" s="142">
        <f t="shared" si="1927"/>
        <v>97.610957873620862</v>
      </c>
      <c r="AT850" s="142">
        <f t="shared" si="1927"/>
        <v>91.86604287575507</v>
      </c>
      <c r="AU850" s="142">
        <f t="shared" ref="AU850" si="1928">IFERROR(365/AU846,"NA  ")</f>
        <v>90</v>
      </c>
      <c r="AV850" s="146">
        <f>+Assumptions!AV157</f>
        <v>90</v>
      </c>
      <c r="AW850" s="146">
        <f>+Assumptions!AW157</f>
        <v>90</v>
      </c>
      <c r="AX850" s="146">
        <f>+Assumptions!AX157</f>
        <v>90</v>
      </c>
      <c r="AY850" s="1"/>
    </row>
    <row r="851" spans="2:79" s="37" customFormat="1" ht="11.25" customHeight="1">
      <c r="C851" s="1276"/>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K851" s="79"/>
      <c r="AL851" s="39"/>
      <c r="AM851" s="39"/>
      <c r="AN851" s="39"/>
      <c r="AO851" s="39"/>
      <c r="AP851" s="39"/>
      <c r="AQ851" s="39"/>
      <c r="AR851" s="39"/>
      <c r="AS851" s="39"/>
      <c r="AT851" s="39"/>
      <c r="AU851" s="39"/>
      <c r="AY851" s="1"/>
    </row>
    <row r="852" spans="2:79" s="37" customFormat="1" ht="11.25" customHeight="1">
      <c r="C852" s="1041" t="s">
        <v>412</v>
      </c>
      <c r="E852" s="148"/>
      <c r="F852" s="148"/>
      <c r="G852" s="148"/>
      <c r="H852" s="142">
        <f t="shared" ref="H852:R852" si="1929">IFERROR(H848+H849,"NA  ")</f>
        <v>109.87092478659201</v>
      </c>
      <c r="I852" s="142">
        <f t="shared" si="1929"/>
        <v>120.28928222108559</v>
      </c>
      <c r="J852" s="142">
        <f t="shared" si="1929"/>
        <v>122.4476343699302</v>
      </c>
      <c r="K852" s="142">
        <f t="shared" si="1929"/>
        <v>123.18761610545923</v>
      </c>
      <c r="L852" s="142">
        <f t="shared" si="1929"/>
        <v>115.86467154035245</v>
      </c>
      <c r="M852" s="142">
        <f t="shared" si="1929"/>
        <v>124.67187701803684</v>
      </c>
      <c r="N852" s="142">
        <f t="shared" si="1929"/>
        <v>123.73832940028483</v>
      </c>
      <c r="O852" s="142">
        <f t="shared" si="1929"/>
        <v>127.91418509423377</v>
      </c>
      <c r="P852" s="142">
        <f t="shared" si="1929"/>
        <v>116.8066081856357</v>
      </c>
      <c r="Q852" s="142">
        <f t="shared" si="1929"/>
        <v>131.16520093775497</v>
      </c>
      <c r="R852" s="142">
        <f t="shared" si="1929"/>
        <v>132.91531657284906</v>
      </c>
      <c r="S852" s="142">
        <f>IFERROR(S848+S849,"NA  ")</f>
        <v>131.47136010052876</v>
      </c>
      <c r="T852" s="142">
        <f>IFERROR(T848+T849,"NA  ")</f>
        <v>124.7556314056024</v>
      </c>
      <c r="U852" s="142">
        <f t="shared" ref="U852:AC852" si="1930">IFERROR(U848+U849,"NA  ")</f>
        <v>129.55568142887878</v>
      </c>
      <c r="V852" s="142">
        <f t="shared" si="1930"/>
        <v>115.52988182846487</v>
      </c>
      <c r="W852" s="142">
        <f t="shared" si="1930"/>
        <v>120.89708143924105</v>
      </c>
      <c r="X852" s="142">
        <f t="shared" si="1930"/>
        <v>121.95957461168726</v>
      </c>
      <c r="Y852" s="142">
        <f t="shared" si="1930"/>
        <v>134.58097078437453</v>
      </c>
      <c r="Z852" s="142">
        <f t="shared" si="1930"/>
        <v>127.9249957093009</v>
      </c>
      <c r="AA852" s="142">
        <f t="shared" si="1930"/>
        <v>128.9689804334275</v>
      </c>
      <c r="AB852" s="142">
        <f t="shared" si="1930"/>
        <v>106.83860238600491</v>
      </c>
      <c r="AC852" s="142">
        <f t="shared" si="1930"/>
        <v>113.41478138152291</v>
      </c>
      <c r="AD852" s="142">
        <f t="shared" ref="AD852:AF852" si="1931">IFERROR(AD848+AD849,"NA  ")</f>
        <v>119.15281287009572</v>
      </c>
      <c r="AE852" s="142">
        <f t="shared" si="1931"/>
        <v>122.07863461131217</v>
      </c>
      <c r="AF852" s="142">
        <f t="shared" si="1931"/>
        <v>114.89525908981098</v>
      </c>
      <c r="AG852" s="142">
        <f t="shared" ref="AG852" si="1932">IFERROR(AG848+AG849,"NA  ")</f>
        <v>124.2584705586556</v>
      </c>
      <c r="AH852" s="142">
        <f t="shared" ref="AH852:AJ852" si="1933">IFERROR(AH848+AH849,"NA  ")</f>
        <v>112</v>
      </c>
      <c r="AI852" s="142">
        <f t="shared" si="1933"/>
        <v>110</v>
      </c>
      <c r="AJ852" s="142">
        <f t="shared" si="1933"/>
        <v>108</v>
      </c>
      <c r="AK852" s="79"/>
      <c r="AL852" s="142">
        <f>IFERROR(AL848+AL849,"NA  ")</f>
        <v>111.2482240670837</v>
      </c>
      <c r="AM852" s="142">
        <f>IFERROR(AM848+AM849,"NA  ")</f>
        <v>106.34002103235943</v>
      </c>
      <c r="AN852" s="142">
        <f>IFERROR(AN848+AN849,"NA  ")</f>
        <v>109.87092478659201</v>
      </c>
      <c r="AO852" s="142">
        <f t="shared" ref="AO852:AT852" si="1934">IFERROR(AO848+AO849,"NA  ")</f>
        <v>115.86467154035245</v>
      </c>
      <c r="AP852" s="142">
        <f t="shared" si="1934"/>
        <v>116.8066081856357</v>
      </c>
      <c r="AQ852" s="142">
        <f t="shared" si="1934"/>
        <v>124.7556314056024</v>
      </c>
      <c r="AR852" s="142">
        <f t="shared" si="1934"/>
        <v>121.95957461168726</v>
      </c>
      <c r="AS852" s="142">
        <f t="shared" si="1934"/>
        <v>106.83860238600491</v>
      </c>
      <c r="AT852" s="142">
        <f t="shared" si="1934"/>
        <v>114.89525908981098</v>
      </c>
      <c r="AU852" s="142">
        <f t="shared" ref="AU852" si="1935">IFERROR(AU848+AU849,"NA  ")</f>
        <v>108.00000000000001</v>
      </c>
      <c r="AV852" s="143">
        <f>IFERROR(AV848+AV849,"NA  ")</f>
        <v>106</v>
      </c>
      <c r="AW852" s="143">
        <f>IFERROR(AW848+AW849,"NA  ")</f>
        <v>108</v>
      </c>
      <c r="AX852" s="143">
        <f>IFERROR(AX848+AX849,"NA  ")</f>
        <v>105</v>
      </c>
      <c r="AY852" s="1"/>
    </row>
    <row r="853" spans="2:79" s="37" customFormat="1" ht="11.25" customHeight="1">
      <c r="C853" s="1041" t="s">
        <v>413</v>
      </c>
      <c r="E853" s="148"/>
      <c r="F853" s="148"/>
      <c r="G853" s="148"/>
      <c r="H853" s="142">
        <f t="shared" ref="H853:R853" si="1936">IFERROR(H852-H850,"NA  ")</f>
        <v>71.276752362440618</v>
      </c>
      <c r="I853" s="142">
        <f t="shared" si="1936"/>
        <v>84.189193384840394</v>
      </c>
      <c r="J853" s="142">
        <f t="shared" si="1936"/>
        <v>86.485730998159653</v>
      </c>
      <c r="K853" s="142">
        <f t="shared" si="1936"/>
        <v>87.153083937526858</v>
      </c>
      <c r="L853" s="142">
        <f t="shared" si="1936"/>
        <v>73.096789547588742</v>
      </c>
      <c r="M853" s="142">
        <f t="shared" si="1936"/>
        <v>83.965196155646638</v>
      </c>
      <c r="N853" s="142">
        <f t="shared" si="1936"/>
        <v>85.0030506774374</v>
      </c>
      <c r="O853" s="142">
        <f t="shared" si="1936"/>
        <v>88.733932061756917</v>
      </c>
      <c r="P853" s="142">
        <f t="shared" si="1936"/>
        <v>73.322510166866138</v>
      </c>
      <c r="Q853" s="142">
        <f t="shared" si="1936"/>
        <v>89.189221334963776</v>
      </c>
      <c r="R853" s="142">
        <f t="shared" si="1936"/>
        <v>92.265432867827855</v>
      </c>
      <c r="S853" s="142">
        <f>IFERROR(S852-S850,"NA  ")</f>
        <v>95.379660059098015</v>
      </c>
      <c r="T853" s="142">
        <f>IFERROR(T852-T850,"NA  ")</f>
        <v>78.605610095757243</v>
      </c>
      <c r="U853" s="142">
        <f t="shared" ref="U853:AC853" si="1937">IFERROR(U852-U850,"NA  ")</f>
        <v>54.407066088875879</v>
      </c>
      <c r="V853" s="142">
        <f t="shared" si="1937"/>
        <v>51.23389620833305</v>
      </c>
      <c r="W853" s="142">
        <f t="shared" si="1937"/>
        <v>41.774716636307971</v>
      </c>
      <c r="X853" s="142">
        <f t="shared" si="1937"/>
        <v>27.086536753884857</v>
      </c>
      <c r="Y853" s="142">
        <f t="shared" si="1937"/>
        <v>41.641918865638644</v>
      </c>
      <c r="Z853" s="142">
        <f t="shared" si="1937"/>
        <v>31.146258449957756</v>
      </c>
      <c r="AA853" s="142">
        <f t="shared" si="1937"/>
        <v>33.108428507017692</v>
      </c>
      <c r="AB853" s="142">
        <f t="shared" si="1937"/>
        <v>9.227644512384046</v>
      </c>
      <c r="AC853" s="142">
        <f t="shared" si="1937"/>
        <v>23.446597926126117</v>
      </c>
      <c r="AD853" s="142">
        <f t="shared" ref="AD853:AF853" si="1938">IFERROR(AD852-AD850,"NA  ")</f>
        <v>25.694543480413273</v>
      </c>
      <c r="AE853" s="142">
        <f t="shared" si="1938"/>
        <v>31.860128609680643</v>
      </c>
      <c r="AF853" s="142">
        <f t="shared" si="1938"/>
        <v>23.029216214055907</v>
      </c>
      <c r="AG853" s="142">
        <f t="shared" ref="AG853" si="1939">IFERROR(AG852-AG850,"NA  ")</f>
        <v>36.742543089897936</v>
      </c>
      <c r="AH853" s="142">
        <f t="shared" ref="AH853:AJ853" si="1940">IFERROR(AH852-AH850,"NA  ")</f>
        <v>22</v>
      </c>
      <c r="AI853" s="142">
        <f t="shared" si="1940"/>
        <v>20</v>
      </c>
      <c r="AJ853" s="142">
        <f t="shared" si="1940"/>
        <v>18</v>
      </c>
      <c r="AK853" s="79"/>
      <c r="AL853" s="142">
        <f>IFERROR(AL852-AL850,"NA  ")</f>
        <v>69.93218245744778</v>
      </c>
      <c r="AM853" s="142">
        <f>IFERROR(AM852-AM850,"NA  ")</f>
        <v>70.242822390593716</v>
      </c>
      <c r="AN853" s="142">
        <f>IFERROR(AN852-AN850,"NA  ")</f>
        <v>71.276752362440618</v>
      </c>
      <c r="AO853" s="142">
        <f t="shared" ref="AO853:AT853" si="1941">IFERROR(AO852-AO850,"NA  ")</f>
        <v>73.096789547588742</v>
      </c>
      <c r="AP853" s="142">
        <f t="shared" si="1941"/>
        <v>73.322510166866138</v>
      </c>
      <c r="AQ853" s="142">
        <f t="shared" si="1941"/>
        <v>78.605610095757243</v>
      </c>
      <c r="AR853" s="142">
        <f t="shared" si="1941"/>
        <v>27.086536753884857</v>
      </c>
      <c r="AS853" s="142">
        <f t="shared" si="1941"/>
        <v>9.227644512384046</v>
      </c>
      <c r="AT853" s="142">
        <f t="shared" si="1941"/>
        <v>23.029216214055907</v>
      </c>
      <c r="AU853" s="142">
        <f t="shared" ref="AU853" si="1942">IFERROR(AU852-AU850,"NA  ")</f>
        <v>18.000000000000014</v>
      </c>
      <c r="AV853" s="143">
        <f>IFERROR(AV852-AV850,"NA  ")</f>
        <v>16</v>
      </c>
      <c r="AW853" s="143">
        <f>IFERROR(AW852-AW850,"NA  ")</f>
        <v>18</v>
      </c>
      <c r="AX853" s="143">
        <f>IFERROR(AX852-AX850,"NA  ")</f>
        <v>15</v>
      </c>
      <c r="AY853" s="1"/>
    </row>
    <row r="854" spans="2:79" s="37" customFormat="1" ht="11.25" customHeight="1">
      <c r="C854" s="140"/>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K854" s="79"/>
      <c r="AL854" s="39"/>
      <c r="AM854" s="39"/>
      <c r="AN854" s="39"/>
      <c r="AO854" s="39"/>
      <c r="AP854" s="39"/>
      <c r="AQ854" s="39"/>
      <c r="AR854" s="39"/>
      <c r="AS854" s="39"/>
      <c r="AT854" s="39"/>
      <c r="AU854" s="39"/>
      <c r="AY854" s="1"/>
    </row>
    <row r="855" spans="2:79" s="37" customFormat="1" ht="11.25" customHeight="1">
      <c r="C855" s="141" t="s">
        <v>415</v>
      </c>
      <c r="E855" s="148"/>
      <c r="F855" s="148"/>
      <c r="G855" s="148"/>
      <c r="H855" s="94">
        <f t="shared" ref="H855:AG855" si="1943">IFERROR(H757/SUM(E14:H14),"NA  ")</f>
        <v>2.9438269750675879E-2</v>
      </c>
      <c r="I855" s="94">
        <f t="shared" si="1943"/>
        <v>1.6286644951140065E-2</v>
      </c>
      <c r="J855" s="94">
        <f t="shared" si="1943"/>
        <v>1.8245511604145379E-2</v>
      </c>
      <c r="K855" s="94">
        <f t="shared" si="1943"/>
        <v>2.6221521707981085E-2</v>
      </c>
      <c r="L855" s="94">
        <f t="shared" si="1943"/>
        <v>2.769273587531311E-2</v>
      </c>
      <c r="M855" s="94">
        <f t="shared" si="1943"/>
        <v>1.5970188980569604E-2</v>
      </c>
      <c r="N855" s="94">
        <f t="shared" si="1943"/>
        <v>1.7665532583093432E-2</v>
      </c>
      <c r="O855" s="94">
        <f t="shared" si="1943"/>
        <v>2.4911960349550021E-2</v>
      </c>
      <c r="P855" s="94">
        <f t="shared" si="1943"/>
        <v>2.5677789363920751E-2</v>
      </c>
      <c r="Q855" s="94">
        <f t="shared" si="1943"/>
        <v>1.5432098765432098E-2</v>
      </c>
      <c r="R855" s="94">
        <f t="shared" si="1943"/>
        <v>1.5870844164728417E-2</v>
      </c>
      <c r="S855" s="94">
        <f t="shared" si="1943"/>
        <v>2.2510702941582653E-2</v>
      </c>
      <c r="T855" s="94">
        <f t="shared" si="1943"/>
        <v>2.5003551640858077E-2</v>
      </c>
      <c r="U855" s="94">
        <f t="shared" si="1943"/>
        <v>0</v>
      </c>
      <c r="V855" s="94">
        <f t="shared" si="1943"/>
        <v>0</v>
      </c>
      <c r="W855" s="94">
        <f t="shared" si="1943"/>
        <v>0</v>
      </c>
      <c r="X855" s="94">
        <f t="shared" si="1943"/>
        <v>0</v>
      </c>
      <c r="Y855" s="94">
        <f t="shared" si="1943"/>
        <v>0</v>
      </c>
      <c r="Z855" s="94">
        <f t="shared" si="1943"/>
        <v>0</v>
      </c>
      <c r="AA855" s="94">
        <f t="shared" si="1943"/>
        <v>0</v>
      </c>
      <c r="AB855" s="94">
        <f t="shared" si="1943"/>
        <v>0</v>
      </c>
      <c r="AC855" s="94">
        <f t="shared" si="1943"/>
        <v>0</v>
      </c>
      <c r="AD855" s="94">
        <f t="shared" si="1943"/>
        <v>0</v>
      </c>
      <c r="AE855" s="94">
        <f t="shared" si="1943"/>
        <v>0</v>
      </c>
      <c r="AF855" s="94">
        <f t="shared" si="1943"/>
        <v>0</v>
      </c>
      <c r="AG855" s="94">
        <f t="shared" si="1943"/>
        <v>0</v>
      </c>
      <c r="AH855" s="147">
        <f>+Assumptions!AH162</f>
        <v>0</v>
      </c>
      <c r="AI855" s="147">
        <f>+Assumptions!AI162</f>
        <v>0</v>
      </c>
      <c r="AJ855" s="147">
        <f>+Assumptions!AJ162</f>
        <v>0</v>
      </c>
      <c r="AK855" s="79"/>
      <c r="AL855" s="94">
        <f t="shared" ref="AL855:AU855" si="1944">IFERROR(AL757/AL14,"NA  ")</f>
        <v>2.6142896249657814E-2</v>
      </c>
      <c r="AM855" s="94">
        <f t="shared" si="1944"/>
        <v>3.2116581777023201E-2</v>
      </c>
      <c r="AN855" s="94">
        <f t="shared" si="1944"/>
        <v>2.9438269750675879E-2</v>
      </c>
      <c r="AO855" s="94">
        <f t="shared" si="1944"/>
        <v>2.769273587531311E-2</v>
      </c>
      <c r="AP855" s="94">
        <f t="shared" si="1944"/>
        <v>2.5677789363920751E-2</v>
      </c>
      <c r="AQ855" s="94">
        <f t="shared" si="1944"/>
        <v>2.5003551640858077E-2</v>
      </c>
      <c r="AR855" s="94">
        <f t="shared" si="1944"/>
        <v>0</v>
      </c>
      <c r="AS855" s="94">
        <f t="shared" si="1944"/>
        <v>0</v>
      </c>
      <c r="AT855" s="94">
        <f t="shared" si="1944"/>
        <v>0</v>
      </c>
      <c r="AU855" s="94">
        <f t="shared" si="1944"/>
        <v>0</v>
      </c>
      <c r="AV855" s="147">
        <f>+Assumptions!AV162</f>
        <v>0</v>
      </c>
      <c r="AW855" s="147">
        <f>+Assumptions!AW162</f>
        <v>0</v>
      </c>
      <c r="AX855" s="147">
        <f>+Assumptions!AX162</f>
        <v>0</v>
      </c>
      <c r="AY855" s="1"/>
    </row>
    <row r="856" spans="2:79" s="37" customFormat="1" ht="11.25" customHeight="1">
      <c r="C856" s="141" t="s">
        <v>414</v>
      </c>
      <c r="E856" s="148"/>
      <c r="F856" s="148"/>
      <c r="G856" s="148"/>
      <c r="H856" s="94">
        <f t="shared" ref="H856:AG856" si="1945">IFERROR(H742/SUM(E11:H11),"NA  ")</f>
        <v>7.7708703374777975E-3</v>
      </c>
      <c r="I856" s="94">
        <f t="shared" si="1945"/>
        <v>7.493112947658402E-3</v>
      </c>
      <c r="J856" s="94">
        <f t="shared" si="1945"/>
        <v>6.8500598021093836E-3</v>
      </c>
      <c r="K856" s="94">
        <f t="shared" si="1945"/>
        <v>5.2266666666666668E-3</v>
      </c>
      <c r="L856" s="94">
        <f t="shared" si="1945"/>
        <v>5.9692114357524344E-3</v>
      </c>
      <c r="M856" s="94">
        <f t="shared" si="1945"/>
        <v>6.4954836090530804E-3</v>
      </c>
      <c r="N856" s="94">
        <f t="shared" si="1945"/>
        <v>6.5638985579313776E-3</v>
      </c>
      <c r="O856" s="94">
        <f t="shared" si="1945"/>
        <v>5.6229653743711154E-3</v>
      </c>
      <c r="P856" s="94">
        <f t="shared" si="1945"/>
        <v>7.1914097133287357E-3</v>
      </c>
      <c r="Q856" s="94">
        <f t="shared" si="1945"/>
        <v>7.0536074163643691E-3</v>
      </c>
      <c r="R856" s="94">
        <f t="shared" si="1945"/>
        <v>8.4833436788744054E-3</v>
      </c>
      <c r="S856" s="94">
        <f t="shared" si="1945"/>
        <v>7.2003388394747984E-3</v>
      </c>
      <c r="T856" s="94">
        <f t="shared" si="1945"/>
        <v>8.627197239296884E-3</v>
      </c>
      <c r="U856" s="94">
        <f t="shared" si="1945"/>
        <v>8.3205605430260558E-3</v>
      </c>
      <c r="V856" s="94">
        <f t="shared" si="1945"/>
        <v>8.8556641748131111E-3</v>
      </c>
      <c r="W856" s="94">
        <f t="shared" si="1945"/>
        <v>1.0833725859632595E-2</v>
      </c>
      <c r="X856" s="94">
        <f t="shared" si="1945"/>
        <v>9.7958220228962587E-3</v>
      </c>
      <c r="Y856" s="94">
        <f t="shared" si="1945"/>
        <v>9.6053697488716581E-3</v>
      </c>
      <c r="Z856" s="94">
        <f t="shared" si="1945"/>
        <v>1.0138740661686232E-2</v>
      </c>
      <c r="AA856" s="94">
        <f t="shared" si="1945"/>
        <v>6.8218298555377211E-3</v>
      </c>
      <c r="AB856" s="94">
        <f t="shared" si="1945"/>
        <v>9.1638029782359683E-3</v>
      </c>
      <c r="AC856" s="94">
        <f t="shared" si="1945"/>
        <v>8.6262869863649016E-3</v>
      </c>
      <c r="AD856" s="94">
        <f t="shared" si="1945"/>
        <v>7.8812316715542521E-3</v>
      </c>
      <c r="AE856" s="94">
        <f t="shared" si="1945"/>
        <v>6.8801027428676267E-3</v>
      </c>
      <c r="AF856" s="94">
        <f t="shared" si="1945"/>
        <v>1.0775047258979206E-2</v>
      </c>
      <c r="AG856" s="94">
        <f t="shared" si="1945"/>
        <v>9.0484530064214828E-3</v>
      </c>
      <c r="AH856" s="147">
        <f>+Assumptions!AH167</f>
        <v>7.0000000000000001E-3</v>
      </c>
      <c r="AI856" s="147">
        <f>+Assumptions!AI167</f>
        <v>7.0000000000000001E-3</v>
      </c>
      <c r="AJ856" s="147">
        <f>+Assumptions!AJ167</f>
        <v>7.0000000000000001E-3</v>
      </c>
      <c r="AK856" s="79"/>
      <c r="AL856" s="94">
        <f t="shared" ref="AL856:AU856" si="1946">IFERROR(AL742/AL11,"NA  ")</f>
        <v>2.6241209194919703E-2</v>
      </c>
      <c r="AM856" s="94">
        <f t="shared" si="1946"/>
        <v>7.0480928689883914E-3</v>
      </c>
      <c r="AN856" s="94">
        <f t="shared" si="1946"/>
        <v>7.7708703374777975E-3</v>
      </c>
      <c r="AO856" s="94">
        <f t="shared" si="1946"/>
        <v>5.9692114357524344E-3</v>
      </c>
      <c r="AP856" s="94">
        <f t="shared" si="1946"/>
        <v>7.1914097133287357E-3</v>
      </c>
      <c r="AQ856" s="94">
        <f t="shared" si="1946"/>
        <v>8.627197239296884E-3</v>
      </c>
      <c r="AR856" s="94">
        <f t="shared" si="1946"/>
        <v>9.7958220228962587E-3</v>
      </c>
      <c r="AS856" s="94">
        <f t="shared" si="1946"/>
        <v>9.1638029782359683E-3</v>
      </c>
      <c r="AT856" s="94">
        <f t="shared" si="1946"/>
        <v>1.0775047258979206E-2</v>
      </c>
      <c r="AU856" s="94">
        <f t="shared" si="1946"/>
        <v>7.0000000000000027E-3</v>
      </c>
      <c r="AV856" s="147">
        <f>AU856</f>
        <v>7.0000000000000027E-3</v>
      </c>
      <c r="AW856" s="147">
        <f t="shared" ref="AW856:AX856" si="1947">AV856</f>
        <v>7.0000000000000027E-3</v>
      </c>
      <c r="AX856" s="147">
        <f t="shared" si="1947"/>
        <v>7.0000000000000027E-3</v>
      </c>
      <c r="AY856" s="1"/>
    </row>
    <row r="857" spans="2:79" s="37" customFormat="1" ht="11.25" customHeight="1">
      <c r="C857" s="140"/>
      <c r="E857" s="39"/>
      <c r="F857" s="39"/>
      <c r="G857" s="39"/>
      <c r="H857" s="39"/>
      <c r="I857" s="39"/>
      <c r="J857" s="39"/>
      <c r="K857" s="39"/>
      <c r="L857" s="39"/>
      <c r="M857" s="39"/>
      <c r="N857" s="39"/>
      <c r="O857" s="39"/>
      <c r="P857" s="39"/>
      <c r="Q857" s="39"/>
      <c r="R857" s="39"/>
      <c r="AK857" s="79"/>
      <c r="AL857" s="39"/>
      <c r="AM857" s="39"/>
      <c r="AN857" s="39"/>
      <c r="AO857" s="39"/>
      <c r="AP857" s="39"/>
      <c r="AY857" s="1"/>
    </row>
    <row r="858" spans="2:79" s="5" customFormat="1" ht="10.5">
      <c r="B858" s="687" t="s">
        <v>14</v>
      </c>
      <c r="C858" s="20" t="s">
        <v>447</v>
      </c>
      <c r="D858" s="20"/>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79"/>
      <c r="AL858" s="19"/>
      <c r="AM858" s="19"/>
      <c r="AN858" s="19"/>
      <c r="AO858" s="19"/>
      <c r="AP858" s="19"/>
      <c r="AQ858" s="19"/>
      <c r="AR858" s="19"/>
      <c r="AS858" s="19"/>
      <c r="AT858" s="19"/>
      <c r="AU858" s="19"/>
      <c r="AV858" s="19"/>
      <c r="AW858" s="19"/>
      <c r="AX858" s="19"/>
      <c r="AY858" s="1"/>
      <c r="AZ858" s="19"/>
      <c r="BA858" s="19"/>
      <c r="BB858" s="19"/>
      <c r="BC858" s="19"/>
      <c r="BD858" s="19"/>
      <c r="BE858" s="19"/>
      <c r="BF858" s="19"/>
      <c r="BG858" s="19"/>
      <c r="BH858" s="19"/>
      <c r="BI858" s="19"/>
      <c r="BJ858" s="19"/>
      <c r="BK858" s="19"/>
      <c r="BL858" s="19"/>
      <c r="BM858" s="19"/>
      <c r="BY858" s="829"/>
      <c r="BZ858" s="829"/>
      <c r="CA858" s="829"/>
    </row>
    <row r="859" spans="2:79" ht="11.25" customHeight="1">
      <c r="AK859" s="79"/>
    </row>
    <row r="860" spans="2:79" ht="11.25" customHeight="1">
      <c r="C860" s="43" t="s">
        <v>169</v>
      </c>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29">
        <v>140</v>
      </c>
      <c r="AG860" s="1453">
        <v>140</v>
      </c>
      <c r="AH860" s="29">
        <v>140</v>
      </c>
      <c r="AI860" s="29">
        <v>140</v>
      </c>
      <c r="AJ860" s="29">
        <v>140</v>
      </c>
      <c r="AK860" s="79"/>
      <c r="AL860" s="29">
        <v>175</v>
      </c>
      <c r="AM860" s="29">
        <v>163</v>
      </c>
      <c r="AN860" s="29">
        <v>157</v>
      </c>
      <c r="AO860" s="29">
        <v>161</v>
      </c>
      <c r="AP860" s="29">
        <v>158</v>
      </c>
      <c r="AQ860" s="29">
        <v>158</v>
      </c>
      <c r="AR860" s="29">
        <v>163</v>
      </c>
      <c r="AS860" s="29">
        <v>150</v>
      </c>
      <c r="AT860" s="29">
        <v>140</v>
      </c>
      <c r="AU860" s="134">
        <f>AT860</f>
        <v>140</v>
      </c>
      <c r="AV860" s="134">
        <f>AU860</f>
        <v>140</v>
      </c>
      <c r="AW860" s="134">
        <f>AV860</f>
        <v>140</v>
      </c>
      <c r="AX860" s="134">
        <f>AW860</f>
        <v>140</v>
      </c>
    </row>
    <row r="861" spans="2:79" ht="11.25" customHeight="1">
      <c r="C861" s="43" t="s">
        <v>170</v>
      </c>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79"/>
      <c r="AL861" s="29">
        <v>1128</v>
      </c>
      <c r="AM861" s="29">
        <v>1148</v>
      </c>
      <c r="AN861" s="29">
        <v>1256</v>
      </c>
      <c r="AO861" s="29">
        <v>1325</v>
      </c>
      <c r="AP861" s="29">
        <v>1385</v>
      </c>
      <c r="AQ861" s="29">
        <v>1430</v>
      </c>
      <c r="AR861" s="29">
        <v>1468</v>
      </c>
      <c r="AS861" s="29">
        <v>1458</v>
      </c>
      <c r="AT861" s="29">
        <v>1394</v>
      </c>
      <c r="AU861" s="47"/>
      <c r="AV861" s="47"/>
      <c r="AW861" s="47"/>
      <c r="AX861" s="47"/>
    </row>
    <row r="862" spans="2:79" ht="11.25" customHeight="1">
      <c r="C862" s="43" t="s">
        <v>171</v>
      </c>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79"/>
      <c r="AL862" s="29">
        <v>9252</v>
      </c>
      <c r="AM862" s="29">
        <v>9333</v>
      </c>
      <c r="AN862" s="29">
        <v>9646</v>
      </c>
      <c r="AO862" s="29">
        <v>10122</v>
      </c>
      <c r="AP862" s="29">
        <v>10801</v>
      </c>
      <c r="AQ862" s="29">
        <v>10960</v>
      </c>
      <c r="AR862" s="29">
        <v>11494</v>
      </c>
      <c r="AS862" s="29">
        <v>10449</v>
      </c>
      <c r="AT862" s="29">
        <v>10543</v>
      </c>
      <c r="AU862" s="47"/>
      <c r="AV862" s="47"/>
      <c r="AW862" s="47"/>
      <c r="AX862" s="47"/>
    </row>
    <row r="863" spans="2:79" ht="11.25" customHeight="1">
      <c r="C863" s="43" t="s">
        <v>172</v>
      </c>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79"/>
      <c r="AL863" s="29">
        <v>471</v>
      </c>
      <c r="AM863" s="29">
        <v>590</v>
      </c>
      <c r="AN863" s="29">
        <v>640</v>
      </c>
      <c r="AO863" s="29">
        <v>762</v>
      </c>
      <c r="AP863" s="29">
        <v>387</v>
      </c>
      <c r="AQ863" s="29">
        <v>356</v>
      </c>
      <c r="AR863" s="29">
        <v>406</v>
      </c>
      <c r="AS863" s="29">
        <v>623</v>
      </c>
      <c r="AT863" s="29">
        <v>865</v>
      </c>
      <c r="AU863" s="47"/>
      <c r="AV863" s="47"/>
      <c r="AW863" s="47"/>
      <c r="AX863" s="47"/>
    </row>
    <row r="864" spans="2:79" s="27" customFormat="1" ht="11.25" customHeight="1">
      <c r="C864" s="45" t="s">
        <v>173</v>
      </c>
      <c r="E864" s="30">
        <f t="shared" ref="E864:AF864" si="1948">+E746</f>
        <v>11395</v>
      </c>
      <c r="F864" s="30">
        <f t="shared" si="1948"/>
        <v>11440</v>
      </c>
      <c r="G864" s="30">
        <f t="shared" si="1948"/>
        <v>11564</v>
      </c>
      <c r="H864" s="30">
        <f t="shared" si="1948"/>
        <v>11699</v>
      </c>
      <c r="I864" s="30">
        <f t="shared" si="1948"/>
        <v>11780</v>
      </c>
      <c r="J864" s="30">
        <f t="shared" si="1948"/>
        <v>11966</v>
      </c>
      <c r="K864" s="30">
        <f t="shared" si="1948"/>
        <v>12145</v>
      </c>
      <c r="L864" s="30">
        <f t="shared" si="1948"/>
        <v>12370</v>
      </c>
      <c r="M864" s="30">
        <f t="shared" si="1948"/>
        <v>12520</v>
      </c>
      <c r="N864" s="30">
        <f t="shared" si="1948"/>
        <v>12513</v>
      </c>
      <c r="O864" s="30">
        <f t="shared" si="1948"/>
        <v>12604</v>
      </c>
      <c r="P864" s="30">
        <f t="shared" si="1948"/>
        <v>12731</v>
      </c>
      <c r="Q864" s="30">
        <f t="shared" si="1948"/>
        <v>12796</v>
      </c>
      <c r="R864" s="30">
        <f t="shared" si="1948"/>
        <v>12848</v>
      </c>
      <c r="S864" s="30">
        <f t="shared" si="1948"/>
        <v>12898</v>
      </c>
      <c r="T864" s="30">
        <f t="shared" si="1948"/>
        <v>12904</v>
      </c>
      <c r="U864" s="30">
        <f t="shared" si="1948"/>
        <v>13082</v>
      </c>
      <c r="V864" s="30">
        <f t="shared" si="1948"/>
        <v>13175</v>
      </c>
      <c r="W864" s="30">
        <f t="shared" si="1948"/>
        <v>13332</v>
      </c>
      <c r="X864" s="30">
        <f t="shared" si="1948"/>
        <v>13531</v>
      </c>
      <c r="Y864" s="30">
        <f t="shared" si="1948"/>
        <v>13527</v>
      </c>
      <c r="Z864" s="30">
        <f t="shared" si="1948"/>
        <v>13079</v>
      </c>
      <c r="AA864" s="30">
        <f t="shared" si="1948"/>
        <v>13138</v>
      </c>
      <c r="AB864" s="30">
        <f t="shared" si="1948"/>
        <v>12680</v>
      </c>
      <c r="AC864" s="30">
        <f t="shared" si="1948"/>
        <v>12753</v>
      </c>
      <c r="AD864" s="30">
        <f t="shared" si="1948"/>
        <v>12743</v>
      </c>
      <c r="AE864" s="30">
        <f t="shared" si="1948"/>
        <v>12645</v>
      </c>
      <c r="AF864" s="30">
        <f t="shared" si="1948"/>
        <v>12942</v>
      </c>
      <c r="AG864" s="30">
        <f t="shared" ref="AG864" si="1949">+AG746</f>
        <v>13153</v>
      </c>
      <c r="AH864" s="131">
        <f t="shared" ref="AH864:AJ864" si="1950">AG864+AH871</f>
        <v>13353</v>
      </c>
      <c r="AI864" s="131">
        <f t="shared" si="1950"/>
        <v>13553</v>
      </c>
      <c r="AJ864" s="131">
        <f t="shared" si="1950"/>
        <v>13753</v>
      </c>
      <c r="AK864" s="79"/>
      <c r="AL864" s="35">
        <f t="shared" ref="AL864:AS864" si="1951">+SUM(AL860:AL863)</f>
        <v>11026</v>
      </c>
      <c r="AM864" s="35">
        <f t="shared" si="1951"/>
        <v>11234</v>
      </c>
      <c r="AN864" s="35">
        <f t="shared" si="1951"/>
        <v>11699</v>
      </c>
      <c r="AO864" s="35">
        <f t="shared" si="1951"/>
        <v>12370</v>
      </c>
      <c r="AP864" s="35">
        <f t="shared" si="1951"/>
        <v>12731</v>
      </c>
      <c r="AQ864" s="35">
        <f t="shared" si="1951"/>
        <v>12904</v>
      </c>
      <c r="AR864" s="35">
        <f t="shared" si="1951"/>
        <v>13531</v>
      </c>
      <c r="AS864" s="35">
        <f t="shared" si="1951"/>
        <v>12680</v>
      </c>
      <c r="AT864" s="35">
        <f t="shared" ref="AT864" si="1952">+SUM(AT860:AT863)</f>
        <v>12942</v>
      </c>
      <c r="AU864" s="132">
        <f t="shared" ref="AU864:AU865" si="1953">SUMIF($E$7:$AK$7,AU$7,$E864:$AK864)</f>
        <v>13753</v>
      </c>
      <c r="AV864" s="132">
        <f>AU864+AV871</f>
        <v>14353</v>
      </c>
      <c r="AW864" s="132">
        <f>AV864+AW871</f>
        <v>14953</v>
      </c>
      <c r="AX864" s="132">
        <f>AW864+AX871</f>
        <v>15453</v>
      </c>
      <c r="AY864" s="1"/>
    </row>
    <row r="865" spans="3:51" ht="11.25" customHeight="1">
      <c r="C865" s="44" t="s">
        <v>174</v>
      </c>
      <c r="E865" s="28">
        <f t="shared" ref="E865:AF865" si="1954">+E747</f>
        <v>6210</v>
      </c>
      <c r="F865" s="28">
        <f t="shared" si="1954"/>
        <v>6278</v>
      </c>
      <c r="G865" s="28">
        <f t="shared" si="1954"/>
        <v>6367</v>
      </c>
      <c r="H865" s="28">
        <f t="shared" si="1954"/>
        <v>6423</v>
      </c>
      <c r="I865" s="28">
        <f t="shared" si="1954"/>
        <v>6459</v>
      </c>
      <c r="J865" s="28">
        <f t="shared" si="1954"/>
        <v>6563</v>
      </c>
      <c r="K865" s="28">
        <f t="shared" si="1954"/>
        <v>6660</v>
      </c>
      <c r="L865" s="28">
        <f t="shared" si="1954"/>
        <v>6763</v>
      </c>
      <c r="M865" s="28">
        <f t="shared" si="1954"/>
        <v>6888</v>
      </c>
      <c r="N865" s="28">
        <f t="shared" si="1954"/>
        <v>6943</v>
      </c>
      <c r="O865" s="28">
        <f t="shared" si="1954"/>
        <v>7034</v>
      </c>
      <c r="P865" s="28">
        <f t="shared" si="1954"/>
        <v>7131</v>
      </c>
      <c r="Q865" s="28">
        <f t="shared" si="1954"/>
        <v>7220</v>
      </c>
      <c r="R865" s="28">
        <f t="shared" si="1954"/>
        <v>7298</v>
      </c>
      <c r="S865" s="28">
        <f t="shared" si="1954"/>
        <v>7364</v>
      </c>
      <c r="T865" s="28">
        <f t="shared" si="1954"/>
        <v>7333</v>
      </c>
      <c r="U865" s="28">
        <f t="shared" si="1954"/>
        <v>7584</v>
      </c>
      <c r="V865" s="28">
        <f t="shared" si="1954"/>
        <v>7697</v>
      </c>
      <c r="W865" s="28">
        <f t="shared" si="1954"/>
        <v>7843</v>
      </c>
      <c r="X865" s="28">
        <f t="shared" si="1954"/>
        <v>7982</v>
      </c>
      <c r="Y865" s="28">
        <f t="shared" si="1954"/>
        <v>8061</v>
      </c>
      <c r="Z865" s="28">
        <f t="shared" si="1954"/>
        <v>7898</v>
      </c>
      <c r="AA865" s="28">
        <f t="shared" si="1954"/>
        <v>7966</v>
      </c>
      <c r="AB865" s="28">
        <f t="shared" si="1954"/>
        <v>7684</v>
      </c>
      <c r="AC865" s="28">
        <f t="shared" si="1954"/>
        <v>7756</v>
      </c>
      <c r="AD865" s="28">
        <f t="shared" si="1954"/>
        <v>7784</v>
      </c>
      <c r="AE865" s="28">
        <f t="shared" si="1954"/>
        <v>7663</v>
      </c>
      <c r="AF865" s="28">
        <f t="shared" si="1954"/>
        <v>7782</v>
      </c>
      <c r="AG865" s="28">
        <f t="shared" ref="AG865" si="1955">+AG747</f>
        <v>7895</v>
      </c>
      <c r="AH865" s="28">
        <f t="shared" ref="AH865:AJ865" si="1956">AG865+AH897</f>
        <v>7999.8834844547237</v>
      </c>
      <c r="AI865" s="28">
        <f t="shared" si="1956"/>
        <v>8106.3789489978935</v>
      </c>
      <c r="AJ865" s="28">
        <f t="shared" si="1956"/>
        <v>8214.4863936295096</v>
      </c>
      <c r="AK865" s="79"/>
      <c r="AL865" s="29">
        <v>5939</v>
      </c>
      <c r="AM865" s="29">
        <v>6104</v>
      </c>
      <c r="AN865" s="29">
        <v>6423</v>
      </c>
      <c r="AO865" s="29">
        <v>6763</v>
      </c>
      <c r="AP865" s="29">
        <v>7131</v>
      </c>
      <c r="AQ865" s="29">
        <v>7333</v>
      </c>
      <c r="AR865" s="29">
        <v>7982</v>
      </c>
      <c r="AS865" s="29">
        <v>7684</v>
      </c>
      <c r="AT865" s="29">
        <v>7782</v>
      </c>
      <c r="AU865" s="28">
        <f t="shared" si="1953"/>
        <v>8214.4863936295096</v>
      </c>
      <c r="AV865" s="28">
        <f>AU865+AV897</f>
        <v>8650.1023936295096</v>
      </c>
      <c r="AW865" s="28">
        <f>AV865+AW897</f>
        <v>9104.9183936295103</v>
      </c>
      <c r="AX865" s="28">
        <f>AW865+AX897</f>
        <v>9578.9343936295099</v>
      </c>
    </row>
    <row r="866" spans="3:51" s="27" customFormat="1" ht="11.25" customHeight="1">
      <c r="C866" s="111" t="s">
        <v>175</v>
      </c>
      <c r="E866" s="35">
        <f t="shared" ref="E866:T866" si="1957">+E864-E865</f>
        <v>5185</v>
      </c>
      <c r="F866" s="35">
        <f t="shared" si="1957"/>
        <v>5162</v>
      </c>
      <c r="G866" s="35">
        <f t="shared" si="1957"/>
        <v>5197</v>
      </c>
      <c r="H866" s="35">
        <f t="shared" si="1957"/>
        <v>5276</v>
      </c>
      <c r="I866" s="35">
        <f t="shared" si="1957"/>
        <v>5321</v>
      </c>
      <c r="J866" s="35">
        <f t="shared" si="1957"/>
        <v>5403</v>
      </c>
      <c r="K866" s="35">
        <f t="shared" si="1957"/>
        <v>5485</v>
      </c>
      <c r="L866" s="35">
        <f t="shared" si="1957"/>
        <v>5607</v>
      </c>
      <c r="M866" s="35">
        <f t="shared" si="1957"/>
        <v>5632</v>
      </c>
      <c r="N866" s="35">
        <f t="shared" si="1957"/>
        <v>5570</v>
      </c>
      <c r="O866" s="35">
        <f t="shared" si="1957"/>
        <v>5570</v>
      </c>
      <c r="P866" s="35">
        <f t="shared" si="1957"/>
        <v>5600</v>
      </c>
      <c r="Q866" s="35">
        <f t="shared" si="1957"/>
        <v>5576</v>
      </c>
      <c r="R866" s="35">
        <f t="shared" si="1957"/>
        <v>5550</v>
      </c>
      <c r="S866" s="35">
        <f t="shared" si="1957"/>
        <v>5534</v>
      </c>
      <c r="T866" s="35">
        <f t="shared" si="1957"/>
        <v>5571</v>
      </c>
      <c r="U866" s="35">
        <f t="shared" ref="U866:AC866" si="1958">+U864-U865</f>
        <v>5498</v>
      </c>
      <c r="V866" s="35">
        <f t="shared" si="1958"/>
        <v>5478</v>
      </c>
      <c r="W866" s="35">
        <f t="shared" si="1958"/>
        <v>5489</v>
      </c>
      <c r="X866" s="35">
        <f t="shared" si="1958"/>
        <v>5549</v>
      </c>
      <c r="Y866" s="35">
        <f t="shared" si="1958"/>
        <v>5466</v>
      </c>
      <c r="Z866" s="35">
        <f t="shared" si="1958"/>
        <v>5181</v>
      </c>
      <c r="AA866" s="35">
        <f t="shared" si="1958"/>
        <v>5172</v>
      </c>
      <c r="AB866" s="35">
        <f t="shared" si="1958"/>
        <v>4996</v>
      </c>
      <c r="AC866" s="35">
        <f t="shared" si="1958"/>
        <v>4997</v>
      </c>
      <c r="AD866" s="35">
        <f t="shared" ref="AD866:AF866" si="1959">+AD864-AD865</f>
        <v>4959</v>
      </c>
      <c r="AE866" s="35">
        <f t="shared" si="1959"/>
        <v>4982</v>
      </c>
      <c r="AF866" s="35">
        <f t="shared" si="1959"/>
        <v>5160</v>
      </c>
      <c r="AG866" s="35">
        <f t="shared" ref="AG866" si="1960">+AG864-AG865</f>
        <v>5258</v>
      </c>
      <c r="AH866" s="35">
        <f t="shared" ref="AH866:AJ866" si="1961">+AH864-AH865</f>
        <v>5353.1165155452763</v>
      </c>
      <c r="AI866" s="35">
        <f t="shared" si="1961"/>
        <v>5446.6210510021065</v>
      </c>
      <c r="AJ866" s="35">
        <f t="shared" si="1961"/>
        <v>5538.5136063704904</v>
      </c>
      <c r="AK866" s="79"/>
      <c r="AL866" s="35">
        <f t="shared" ref="AL866:AW866" si="1962">+AL864-AL865</f>
        <v>5087</v>
      </c>
      <c r="AM866" s="35">
        <f t="shared" si="1962"/>
        <v>5130</v>
      </c>
      <c r="AN866" s="35">
        <f t="shared" si="1962"/>
        <v>5276</v>
      </c>
      <c r="AO866" s="35">
        <f t="shared" si="1962"/>
        <v>5607</v>
      </c>
      <c r="AP866" s="35">
        <f t="shared" si="1962"/>
        <v>5600</v>
      </c>
      <c r="AQ866" s="35">
        <f t="shared" si="1962"/>
        <v>5571</v>
      </c>
      <c r="AR866" s="35">
        <f t="shared" si="1962"/>
        <v>5549</v>
      </c>
      <c r="AS866" s="35">
        <f t="shared" si="1962"/>
        <v>4996</v>
      </c>
      <c r="AT866" s="35">
        <f t="shared" ref="AT866" si="1963">+AT864-AT865</f>
        <v>5160</v>
      </c>
      <c r="AU866" s="35">
        <f t="shared" ref="AU866" si="1964">+AU864-AU865</f>
        <v>5538.5136063704904</v>
      </c>
      <c r="AV866" s="35">
        <f t="shared" si="1962"/>
        <v>5702.8976063704904</v>
      </c>
      <c r="AW866" s="35">
        <f t="shared" si="1962"/>
        <v>5848.0816063704897</v>
      </c>
      <c r="AX866" s="35">
        <f t="shared" ref="AX866" si="1965">+AX864-AX865</f>
        <v>5874.0656063704901</v>
      </c>
      <c r="AY866" s="1"/>
    </row>
    <row r="867" spans="3:51" s="27" customFormat="1" ht="5.2" customHeight="1">
      <c r="C867" s="111"/>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79"/>
      <c r="AL867" s="30"/>
      <c r="AM867" s="30"/>
      <c r="AN867" s="30"/>
      <c r="AO867" s="30"/>
      <c r="AP867" s="30"/>
      <c r="AQ867" s="30"/>
      <c r="AR867" s="30"/>
      <c r="AS867" s="30"/>
      <c r="AT867" s="30"/>
      <c r="AU867" s="30"/>
      <c r="AV867" s="30"/>
      <c r="AW867" s="30"/>
      <c r="AX867" s="30"/>
      <c r="AY867" s="1"/>
    </row>
    <row r="868" spans="3:51" s="27" customFormat="1" ht="11.25" customHeight="1" outlineLevel="1">
      <c r="C868" s="113" t="s">
        <v>68</v>
      </c>
      <c r="E868" s="127">
        <f t="shared" ref="E868:AJ868" si="1966">+E866-E748</f>
        <v>0</v>
      </c>
      <c r="F868" s="127">
        <f t="shared" si="1966"/>
        <v>0</v>
      </c>
      <c r="G868" s="127">
        <f t="shared" si="1966"/>
        <v>0</v>
      </c>
      <c r="H868" s="127">
        <f t="shared" si="1966"/>
        <v>0</v>
      </c>
      <c r="I868" s="127">
        <f t="shared" si="1966"/>
        <v>0</v>
      </c>
      <c r="J868" s="127">
        <f t="shared" si="1966"/>
        <v>0</v>
      </c>
      <c r="K868" s="127">
        <f t="shared" si="1966"/>
        <v>0</v>
      </c>
      <c r="L868" s="127">
        <f t="shared" si="1966"/>
        <v>0</v>
      </c>
      <c r="M868" s="127">
        <f t="shared" si="1966"/>
        <v>0</v>
      </c>
      <c r="N868" s="127">
        <f t="shared" si="1966"/>
        <v>0</v>
      </c>
      <c r="O868" s="127">
        <f t="shared" si="1966"/>
        <v>0</v>
      </c>
      <c r="P868" s="127">
        <f t="shared" si="1966"/>
        <v>0</v>
      </c>
      <c r="Q868" s="127">
        <f t="shared" si="1966"/>
        <v>0</v>
      </c>
      <c r="R868" s="127">
        <f t="shared" si="1966"/>
        <v>0</v>
      </c>
      <c r="S868" s="127">
        <f t="shared" si="1966"/>
        <v>0</v>
      </c>
      <c r="T868" s="127">
        <f t="shared" si="1966"/>
        <v>0</v>
      </c>
      <c r="U868" s="127">
        <f t="shared" si="1966"/>
        <v>0</v>
      </c>
      <c r="V868" s="127">
        <f t="shared" si="1966"/>
        <v>0</v>
      </c>
      <c r="W868" s="127">
        <f t="shared" si="1966"/>
        <v>0</v>
      </c>
      <c r="X868" s="127">
        <f t="shared" si="1966"/>
        <v>0</v>
      </c>
      <c r="Y868" s="127">
        <f t="shared" si="1966"/>
        <v>0</v>
      </c>
      <c r="Z868" s="127">
        <f t="shared" si="1966"/>
        <v>0</v>
      </c>
      <c r="AA868" s="127">
        <f t="shared" si="1966"/>
        <v>0</v>
      </c>
      <c r="AB868" s="127">
        <f t="shared" si="1966"/>
        <v>0</v>
      </c>
      <c r="AC868" s="127">
        <f t="shared" si="1966"/>
        <v>0</v>
      </c>
      <c r="AD868" s="127">
        <f t="shared" si="1966"/>
        <v>0</v>
      </c>
      <c r="AE868" s="127">
        <f t="shared" si="1966"/>
        <v>0</v>
      </c>
      <c r="AF868" s="127">
        <f t="shared" si="1966"/>
        <v>0</v>
      </c>
      <c r="AG868" s="127">
        <f t="shared" ref="AG868" si="1967">+AG866-AG748</f>
        <v>0</v>
      </c>
      <c r="AH868" s="127">
        <f t="shared" si="1966"/>
        <v>0</v>
      </c>
      <c r="AI868" s="127">
        <f t="shared" si="1966"/>
        <v>0</v>
      </c>
      <c r="AJ868" s="127">
        <f t="shared" si="1966"/>
        <v>0</v>
      </c>
      <c r="AK868" s="79"/>
      <c r="AL868" s="127">
        <f t="shared" ref="AL868:AX868" si="1968">+AL866-AL748</f>
        <v>0</v>
      </c>
      <c r="AM868" s="127">
        <f t="shared" si="1968"/>
        <v>0</v>
      </c>
      <c r="AN868" s="127">
        <f t="shared" si="1968"/>
        <v>0</v>
      </c>
      <c r="AO868" s="127">
        <f t="shared" si="1968"/>
        <v>0</v>
      </c>
      <c r="AP868" s="127">
        <f t="shared" si="1968"/>
        <v>0</v>
      </c>
      <c r="AQ868" s="127">
        <f t="shared" si="1968"/>
        <v>0</v>
      </c>
      <c r="AR868" s="127">
        <f t="shared" si="1968"/>
        <v>0</v>
      </c>
      <c r="AS868" s="127">
        <f t="shared" si="1968"/>
        <v>0</v>
      </c>
      <c r="AT868" s="127">
        <f t="shared" si="1968"/>
        <v>0</v>
      </c>
      <c r="AU868" s="127">
        <f t="shared" si="1968"/>
        <v>0</v>
      </c>
      <c r="AV868" s="127">
        <f t="shared" si="1968"/>
        <v>0</v>
      </c>
      <c r="AW868" s="127">
        <f t="shared" si="1968"/>
        <v>0</v>
      </c>
      <c r="AX868" s="127">
        <f t="shared" si="1968"/>
        <v>0</v>
      </c>
      <c r="AY868" s="1"/>
    </row>
    <row r="869" spans="3:51" ht="5.2" customHeight="1" outlineLevel="1">
      <c r="C869" s="43"/>
      <c r="R869" s="667"/>
      <c r="AK869" s="79"/>
    </row>
    <row r="870" spans="3:51" ht="11.25" customHeight="1">
      <c r="C870" s="51" t="s">
        <v>176</v>
      </c>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f t="shared" ref="AH870:AJ870" si="1969">AG873</f>
        <v>5258</v>
      </c>
      <c r="AI870" s="28">
        <f t="shared" si="1969"/>
        <v>5353.1165155452763</v>
      </c>
      <c r="AJ870" s="28">
        <f t="shared" si="1969"/>
        <v>5446.6210510021065</v>
      </c>
      <c r="AK870" s="79"/>
      <c r="AL870" s="28"/>
      <c r="AM870" s="28"/>
      <c r="AN870" s="28"/>
      <c r="AO870" s="28"/>
      <c r="AP870" s="28"/>
      <c r="AQ870" s="28"/>
      <c r="AR870" s="28"/>
      <c r="AS870" s="28"/>
      <c r="AT870" s="28"/>
      <c r="AU870" s="28"/>
      <c r="AV870" s="28">
        <f>+AU873</f>
        <v>5538.5136063704913</v>
      </c>
      <c r="AW870" s="28">
        <f>+AV873</f>
        <v>5702.8976063704913</v>
      </c>
      <c r="AX870" s="28">
        <f>+AW873</f>
        <v>5848.0816063704915</v>
      </c>
    </row>
    <row r="871" spans="3:51" ht="11.25" customHeight="1">
      <c r="C871" s="51" t="s">
        <v>177</v>
      </c>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9">
        <v>200</v>
      </c>
      <c r="AI871" s="29">
        <v>200</v>
      </c>
      <c r="AJ871" s="29">
        <v>200</v>
      </c>
      <c r="AK871" s="79"/>
      <c r="AL871" s="28"/>
      <c r="AM871" s="28"/>
      <c r="AN871" s="28"/>
      <c r="AO871" s="28"/>
      <c r="AP871" s="28"/>
      <c r="AQ871" s="28"/>
      <c r="AR871" s="28"/>
      <c r="AS871" s="28"/>
      <c r="AT871" s="28"/>
      <c r="AU871" s="28"/>
      <c r="AV871" s="29">
        <v>600</v>
      </c>
      <c r="AW871" s="29">
        <v>600</v>
      </c>
      <c r="AX871" s="29">
        <v>500</v>
      </c>
    </row>
    <row r="872" spans="3:51" ht="11.25" customHeight="1">
      <c r="C872" s="51" t="s">
        <v>178</v>
      </c>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f t="shared" ref="AH872:AJ872" si="1970">-AH876*(AG864-AG860)</f>
        <v>-104.88348445472401</v>
      </c>
      <c r="AI872" s="28">
        <f t="shared" si="1970"/>
        <v>-106.49546454316979</v>
      </c>
      <c r="AJ872" s="28">
        <f t="shared" si="1970"/>
        <v>-108.10744463161555</v>
      </c>
      <c r="AK872" s="79"/>
      <c r="AL872" s="135"/>
      <c r="AM872" s="135"/>
      <c r="AN872" s="135"/>
      <c r="AO872" s="135"/>
      <c r="AP872" s="135"/>
      <c r="AQ872" s="135"/>
      <c r="AR872" s="135"/>
      <c r="AS872" s="135"/>
      <c r="AT872" s="135"/>
      <c r="AU872" s="135"/>
      <c r="AV872" s="28">
        <f>-AV876*(AU864-AU860)</f>
        <v>-435.61599999999999</v>
      </c>
      <c r="AW872" s="28">
        <f>-AW876*(AV864-AV860)</f>
        <v>-454.81600000000003</v>
      </c>
      <c r="AX872" s="28">
        <f>-AX876*(AW864-AW860)</f>
        <v>-474.01600000000002</v>
      </c>
    </row>
    <row r="873" spans="3:51" ht="11.25" customHeight="1">
      <c r="C873" s="116" t="s">
        <v>179</v>
      </c>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5">
        <f t="shared" ref="AB873:AG873" si="1971">AB748</f>
        <v>4996</v>
      </c>
      <c r="AC873" s="35">
        <f t="shared" si="1971"/>
        <v>4997</v>
      </c>
      <c r="AD873" s="35">
        <f t="shared" si="1971"/>
        <v>4959</v>
      </c>
      <c r="AE873" s="35">
        <f t="shared" si="1971"/>
        <v>4982</v>
      </c>
      <c r="AF873" s="35">
        <f t="shared" si="1971"/>
        <v>5160</v>
      </c>
      <c r="AG873" s="35">
        <f t="shared" si="1971"/>
        <v>5258</v>
      </c>
      <c r="AH873" s="35">
        <f t="shared" ref="AH873:AJ873" si="1972">SUM(AH870:AH872)</f>
        <v>5353.1165155452763</v>
      </c>
      <c r="AI873" s="35">
        <f t="shared" si="1972"/>
        <v>5446.6210510021065</v>
      </c>
      <c r="AJ873" s="35">
        <f t="shared" si="1972"/>
        <v>5538.5136063704913</v>
      </c>
      <c r="AK873" s="79"/>
      <c r="AL873" s="30"/>
      <c r="AM873" s="30"/>
      <c r="AN873" s="30"/>
      <c r="AO873" s="30"/>
      <c r="AP873" s="135"/>
      <c r="AQ873" s="135"/>
      <c r="AR873" s="135"/>
      <c r="AS873" s="35">
        <f t="shared" ref="AS873:AU873" si="1973">SUMIF($E$7:$AK$7,AS$7,$E873:$AK873)</f>
        <v>4996</v>
      </c>
      <c r="AT873" s="35">
        <f t="shared" si="1973"/>
        <v>5160</v>
      </c>
      <c r="AU873" s="35">
        <f t="shared" si="1973"/>
        <v>5538.5136063704913</v>
      </c>
      <c r="AV873" s="35">
        <f>SUM(AV870:AV872)</f>
        <v>5702.8976063704913</v>
      </c>
      <c r="AW873" s="35">
        <f>SUM(AW870:AW872)</f>
        <v>5848.0816063704915</v>
      </c>
      <c r="AX873" s="35">
        <f>SUM(AX870:AX872)</f>
        <v>5874.0656063704919</v>
      </c>
    </row>
    <row r="874" spans="3:51" ht="11.25" customHeight="1">
      <c r="C874" s="43"/>
      <c r="AK874" s="79"/>
    </row>
    <row r="875" spans="3:51" ht="11.25" customHeight="1">
      <c r="C875" s="457" t="s">
        <v>1073</v>
      </c>
      <c r="D875" s="458"/>
      <c r="E875" s="88">
        <f t="shared" ref="E875:AJ875" si="1974">-(E934+E935)/E11</f>
        <v>4.9194991055456175E-2</v>
      </c>
      <c r="F875" s="88">
        <f t="shared" si="1974"/>
        <v>5.3983456682629515E-2</v>
      </c>
      <c r="G875" s="88">
        <f t="shared" si="1974"/>
        <v>6.1652820288587672E-2</v>
      </c>
      <c r="H875" s="88">
        <f t="shared" si="1974"/>
        <v>0.11471663619744059</v>
      </c>
      <c r="I875" s="88">
        <f t="shared" si="1974"/>
        <v>5.7750759878419454E-2</v>
      </c>
      <c r="J875" s="88">
        <f t="shared" si="1974"/>
        <v>6.0355518809425385E-2</v>
      </c>
      <c r="K875" s="88">
        <f t="shared" si="1974"/>
        <v>6.4503042596348883E-2</v>
      </c>
      <c r="L875" s="88">
        <f t="shared" si="1974"/>
        <v>8.9331075359864523E-2</v>
      </c>
      <c r="M875" s="88">
        <f t="shared" si="1974"/>
        <v>2.9919447640966629E-2</v>
      </c>
      <c r="N875" s="88">
        <f t="shared" si="1974"/>
        <v>3.8534910339565048E-2</v>
      </c>
      <c r="O875" s="88">
        <f t="shared" si="1974"/>
        <v>5.3788771103258734E-2</v>
      </c>
      <c r="P875" s="88">
        <f t="shared" si="1974"/>
        <v>6.1868686868686872E-2</v>
      </c>
      <c r="Q875" s="88">
        <f t="shared" si="1974"/>
        <v>4.4537815126050422E-2</v>
      </c>
      <c r="R875" s="88">
        <f t="shared" si="1974"/>
        <v>3.893355903512484E-2</v>
      </c>
      <c r="S875" s="88">
        <f t="shared" si="1974"/>
        <v>4.7311827956989246E-2</v>
      </c>
      <c r="T875" s="88">
        <f t="shared" si="1974"/>
        <v>5.3061224489795916E-2</v>
      </c>
      <c r="U875" s="88">
        <f t="shared" si="1974"/>
        <v>4.5069165551093263E-2</v>
      </c>
      <c r="V875" s="88">
        <f t="shared" si="1974"/>
        <v>5.1455301455301458E-2</v>
      </c>
      <c r="W875" s="88">
        <f t="shared" si="1974"/>
        <v>3.6757775683317624E-2</v>
      </c>
      <c r="X875" s="88">
        <f t="shared" si="1974"/>
        <v>5.3979871912168347E-2</v>
      </c>
      <c r="Y875" s="88">
        <f t="shared" si="1974"/>
        <v>4.0265670402656703E-2</v>
      </c>
      <c r="Z875" s="88">
        <f t="shared" si="1974"/>
        <v>4.2593290614398795E-2</v>
      </c>
      <c r="AA875" s="88">
        <f t="shared" si="1974"/>
        <v>4.5220588235294117E-2</v>
      </c>
      <c r="AB875" s="88">
        <f t="shared" si="1974"/>
        <v>9.0942835931700078E-2</v>
      </c>
      <c r="AC875" s="88">
        <f t="shared" si="1974"/>
        <v>4.2372881355932202E-2</v>
      </c>
      <c r="AD875" s="88">
        <f t="shared" si="1974"/>
        <v>4.9928160919540228E-2</v>
      </c>
      <c r="AE875" s="88">
        <f t="shared" si="1974"/>
        <v>6.0538944259874494E-2</v>
      </c>
      <c r="AF875" s="88">
        <f t="shared" si="1974"/>
        <v>8.680994521702487E-2</v>
      </c>
      <c r="AG875" s="88">
        <f t="shared" si="1974"/>
        <v>6.5505804311774454E-2</v>
      </c>
      <c r="AH875" s="88">
        <f t="shared" si="1974"/>
        <v>7.3930593958391869E-2</v>
      </c>
      <c r="AI875" s="88">
        <f t="shared" si="1974"/>
        <v>7.4128434926353404E-2</v>
      </c>
      <c r="AJ875" s="88">
        <f t="shared" si="1974"/>
        <v>8.3202289727013282E-2</v>
      </c>
      <c r="AK875" s="79"/>
      <c r="AL875" s="88">
        <f t="shared" ref="AL875:AX875" si="1975">-(AL934+AL935)/AL11</f>
        <v>6.2244148210349536E-2</v>
      </c>
      <c r="AM875" s="88">
        <f t="shared" si="1975"/>
        <v>6.7578772802653397E-2</v>
      </c>
      <c r="AN875" s="88">
        <f t="shared" si="1975"/>
        <v>6.9493783303730017E-2</v>
      </c>
      <c r="AO875" s="88">
        <f t="shared" si="1975"/>
        <v>6.7965231961461939E-2</v>
      </c>
      <c r="AP875" s="88">
        <f t="shared" si="1975"/>
        <v>4.561126982563294E-2</v>
      </c>
      <c r="AQ875" s="88">
        <f t="shared" si="1975"/>
        <v>4.5831985333764695E-2</v>
      </c>
      <c r="AR875" s="88">
        <f t="shared" si="1975"/>
        <v>4.6736693024902631E-2</v>
      </c>
      <c r="AS875" s="88">
        <f t="shared" si="1975"/>
        <v>5.5173730431462391E-2</v>
      </c>
      <c r="AT875" s="88">
        <f t="shared" si="1975"/>
        <v>5.8979206049149337E-2</v>
      </c>
      <c r="AU875" s="88">
        <f t="shared" si="1975"/>
        <v>7.4175264995537768E-2</v>
      </c>
      <c r="AV875" s="88">
        <f t="shared" si="1975"/>
        <v>5.6651892419642559E-2</v>
      </c>
      <c r="AW875" s="88">
        <f t="shared" si="1975"/>
        <v>5.4983826866096805E-2</v>
      </c>
      <c r="AX875" s="88">
        <f t="shared" si="1975"/>
        <v>4.4683570614707672E-2</v>
      </c>
    </row>
    <row r="876" spans="3:51" ht="11.25" customHeight="1">
      <c r="C876" s="457" t="s">
        <v>398</v>
      </c>
      <c r="D876" s="458"/>
      <c r="E876" s="88"/>
      <c r="F876" s="88" t="s">
        <v>394</v>
      </c>
      <c r="G876" s="88"/>
      <c r="H876" s="88"/>
      <c r="I876" s="88"/>
      <c r="J876" s="88"/>
      <c r="K876" s="88"/>
      <c r="L876" s="88"/>
      <c r="M876" s="88"/>
      <c r="N876" s="88"/>
      <c r="O876" s="88"/>
      <c r="P876" s="88"/>
      <c r="Q876" s="88"/>
      <c r="R876" s="88">
        <f t="shared" ref="R876:AB876" si="1976">R897/Q864</f>
        <v>9.0457955611128477E-3</v>
      </c>
      <c r="S876" s="88">
        <f t="shared" si="1976"/>
        <v>8.6200186799501866E-3</v>
      </c>
      <c r="T876" s="88">
        <f t="shared" si="1976"/>
        <v>8.4315397736083111E-3</v>
      </c>
      <c r="U876" s="88">
        <f t="shared" si="1976"/>
        <v>8.272628642281463E-3</v>
      </c>
      <c r="V876" s="88">
        <f t="shared" si="1976"/>
        <v>8.3129490903531573E-3</v>
      </c>
      <c r="W876" s="88">
        <f t="shared" si="1976"/>
        <v>8.8614800759013283E-3</v>
      </c>
      <c r="X876" s="88">
        <f t="shared" si="1976"/>
        <v>8.4570957095709571E-3</v>
      </c>
      <c r="Y876" s="88">
        <f t="shared" si="1976"/>
        <v>8.9424284975242029E-3</v>
      </c>
      <c r="Z876" s="88">
        <f t="shared" si="1976"/>
        <v>8.2797368226509935E-3</v>
      </c>
      <c r="AA876" s="88">
        <f t="shared" si="1976"/>
        <v>7.569386038687973E-3</v>
      </c>
      <c r="AB876" s="88">
        <f t="shared" si="1976"/>
        <v>7.1548180849444363E-3</v>
      </c>
      <c r="AC876" s="88">
        <f t="shared" ref="AC876" si="1977">AC897/AB864</f>
        <v>7.3343848580441637E-3</v>
      </c>
      <c r="AD876" s="88">
        <f t="shared" ref="AD876" si="1978">AD897/AC864</f>
        <v>7.3708147102642518E-3</v>
      </c>
      <c r="AE876" s="88">
        <f t="shared" ref="AE876" si="1979">AE897/AD864</f>
        <v>6.9842266342305583E-3</v>
      </c>
      <c r="AF876" s="88">
        <f t="shared" ref="AF876:AG876" si="1980">AF897/AE864</f>
        <v>7.0383550810597072E-3</v>
      </c>
      <c r="AG876" s="88">
        <f t="shared" si="1980"/>
        <v>8.7312625560191631E-3</v>
      </c>
      <c r="AH876" s="745">
        <v>8.0599004422288491E-3</v>
      </c>
      <c r="AI876" s="745">
        <v>8.0599004422288491E-3</v>
      </c>
      <c r="AJ876" s="745">
        <v>8.0599004422288491E-3</v>
      </c>
      <c r="AK876" s="79"/>
      <c r="AL876" s="458"/>
      <c r="AM876" s="88">
        <f t="shared" ref="AM876:AT876" si="1981">AM897/(AL864-AL860)</f>
        <v>3.7047276748686755E-2</v>
      </c>
      <c r="AN876" s="88">
        <f t="shared" si="1981"/>
        <v>3.721434378104959E-2</v>
      </c>
      <c r="AO876" s="88">
        <f t="shared" si="1981"/>
        <v>3.6388840755501646E-2</v>
      </c>
      <c r="AP876" s="88">
        <f t="shared" si="1981"/>
        <v>3.5793267261856006E-2</v>
      </c>
      <c r="AQ876" s="88">
        <f t="shared" si="1981"/>
        <v>3.579098067287044E-2</v>
      </c>
      <c r="AR876" s="88">
        <f t="shared" si="1981"/>
        <v>3.491291385532716E-2</v>
      </c>
      <c r="AS876" s="88">
        <f t="shared" si="1981"/>
        <v>3.1867145421903054E-2</v>
      </c>
      <c r="AT876" s="88">
        <f t="shared" si="1981"/>
        <v>3.0646448523543496E-2</v>
      </c>
      <c r="AU876" s="88">
        <f>AU897/(AT864-AT860)</f>
        <v>3.378272095215664E-2</v>
      </c>
      <c r="AV876" s="147">
        <f>+Assumptions!AV177</f>
        <v>3.2000000000000001E-2</v>
      </c>
      <c r="AW876" s="147">
        <f>+Assumptions!AW177</f>
        <v>3.2000000000000001E-2</v>
      </c>
      <c r="AX876" s="147">
        <f>+Assumptions!AX177</f>
        <v>3.2000000000000001E-2</v>
      </c>
    </row>
    <row r="877" spans="3:51" ht="11.25" customHeight="1">
      <c r="C877" s="43"/>
      <c r="F877" s="63"/>
      <c r="G877" s="63"/>
      <c r="H877" s="63"/>
      <c r="I877" s="63"/>
      <c r="J877" s="63"/>
      <c r="K877" s="63"/>
      <c r="L877" s="63"/>
      <c r="M877" s="63"/>
      <c r="N877" s="63"/>
      <c r="O877" s="63"/>
      <c r="P877" s="63"/>
      <c r="AK877" s="79"/>
      <c r="AM877" s="63"/>
      <c r="AN877" s="63"/>
      <c r="AO877" s="63"/>
      <c r="AP877" s="63"/>
    </row>
    <row r="878" spans="3:51" ht="11.25" customHeight="1">
      <c r="C878" s="36" t="s">
        <v>402</v>
      </c>
      <c r="F878" s="63"/>
      <c r="G878" s="63"/>
      <c r="H878" s="63"/>
      <c r="I878" s="63"/>
      <c r="J878" s="63"/>
      <c r="K878" s="63"/>
      <c r="L878" s="63"/>
      <c r="M878" s="63"/>
      <c r="N878" s="63"/>
      <c r="O878" s="63"/>
      <c r="P878" s="63"/>
      <c r="U878" s="666"/>
      <c r="AK878" s="79"/>
      <c r="AM878" s="63"/>
      <c r="AN878" s="63"/>
      <c r="AO878" s="63"/>
      <c r="AP878" s="63"/>
    </row>
    <row r="879" spans="3:51" ht="11.25" customHeight="1">
      <c r="C879" s="43" t="s">
        <v>399</v>
      </c>
      <c r="E879" s="47"/>
      <c r="F879" s="136"/>
      <c r="G879" s="136"/>
      <c r="H879" s="136"/>
      <c r="I879" s="136"/>
      <c r="J879" s="136"/>
      <c r="K879" s="136"/>
      <c r="L879" s="136"/>
      <c r="M879" s="136"/>
      <c r="N879" s="136"/>
      <c r="O879" s="136"/>
      <c r="P879" s="136"/>
      <c r="Q879" s="47"/>
      <c r="R879" s="47"/>
      <c r="S879" s="47"/>
      <c r="T879" s="47"/>
      <c r="U879" s="47"/>
      <c r="V879" s="47"/>
      <c r="W879" s="47"/>
      <c r="X879" s="47"/>
      <c r="Y879" s="47"/>
      <c r="Z879" s="47"/>
      <c r="AA879" s="47"/>
      <c r="AB879" s="47"/>
      <c r="AC879" s="47"/>
      <c r="AD879" s="47"/>
      <c r="AE879" s="47"/>
      <c r="AF879" s="47"/>
      <c r="AG879" s="47"/>
      <c r="AH879" s="47"/>
      <c r="AI879" s="47"/>
      <c r="AJ879" s="47"/>
      <c r="AK879" s="79"/>
      <c r="AL879" s="29">
        <v>1575</v>
      </c>
      <c r="AM879" s="29">
        <v>1547</v>
      </c>
      <c r="AN879" s="29">
        <v>1542</v>
      </c>
      <c r="AO879" s="29">
        <v>1583</v>
      </c>
      <c r="AP879" s="29">
        <v>1567</v>
      </c>
      <c r="AQ879" s="29">
        <v>1566</v>
      </c>
      <c r="AR879" s="29">
        <v>1589</v>
      </c>
      <c r="AS879" s="29">
        <v>1144</v>
      </c>
      <c r="AT879" s="29">
        <v>1134</v>
      </c>
      <c r="AU879" s="47"/>
      <c r="AV879" s="47"/>
      <c r="AW879" s="47"/>
      <c r="AX879" s="47"/>
    </row>
    <row r="880" spans="3:51" ht="11.25" customHeight="1">
      <c r="C880" s="43" t="s">
        <v>400</v>
      </c>
      <c r="E880" s="47"/>
      <c r="F880" s="136"/>
      <c r="G880" s="136"/>
      <c r="H880" s="136"/>
      <c r="I880" s="136"/>
      <c r="J880" s="136"/>
      <c r="K880" s="136"/>
      <c r="L880" s="136"/>
      <c r="M880" s="136"/>
      <c r="N880" s="136"/>
      <c r="O880" s="136"/>
      <c r="P880" s="136"/>
      <c r="Q880" s="47"/>
      <c r="R880" s="47"/>
      <c r="S880" s="47"/>
      <c r="T880" s="47"/>
      <c r="U880" s="47"/>
      <c r="V880" s="47"/>
      <c r="W880" s="47"/>
      <c r="X880" s="47"/>
      <c r="Y880" s="47"/>
      <c r="Z880" s="47"/>
      <c r="AA880" s="47"/>
      <c r="AB880" s="47"/>
      <c r="AC880" s="47"/>
      <c r="AD880" s="47"/>
      <c r="AE880" s="47"/>
      <c r="AF880" s="47"/>
      <c r="AG880" s="47"/>
      <c r="AH880" s="47"/>
      <c r="AI880" s="47"/>
      <c r="AJ880" s="47"/>
      <c r="AK880" s="79"/>
      <c r="AL880" s="29">
        <v>705</v>
      </c>
      <c r="AM880" s="29">
        <v>680</v>
      </c>
      <c r="AN880" s="29">
        <v>675</v>
      </c>
      <c r="AO880" s="29">
        <v>690</v>
      </c>
      <c r="AP880" s="29">
        <v>680</v>
      </c>
      <c r="AQ880" s="29">
        <v>677</v>
      </c>
      <c r="AR880" s="29">
        <v>687</v>
      </c>
      <c r="AS880" s="29">
        <v>581</v>
      </c>
      <c r="AT880" s="29">
        <v>505</v>
      </c>
      <c r="AU880" s="47"/>
      <c r="AV880" s="47"/>
      <c r="AW880" s="47"/>
      <c r="AX880" s="47"/>
    </row>
    <row r="881" spans="3:50" ht="11.25" customHeight="1">
      <c r="C881" s="43" t="s">
        <v>401</v>
      </c>
      <c r="E881" s="47"/>
      <c r="F881" s="136"/>
      <c r="G881" s="136"/>
      <c r="H881" s="136"/>
      <c r="I881" s="136"/>
      <c r="J881" s="136"/>
      <c r="K881" s="136"/>
      <c r="L881" s="136"/>
      <c r="M881" s="136"/>
      <c r="N881" s="136"/>
      <c r="O881" s="136"/>
      <c r="P881" s="136"/>
      <c r="Q881" s="47"/>
      <c r="R881" s="47"/>
      <c r="S881" s="47"/>
      <c r="T881" s="47"/>
      <c r="U881" s="47"/>
      <c r="V881" s="47"/>
      <c r="W881" s="47"/>
      <c r="X881" s="47"/>
      <c r="Y881" s="47"/>
      <c r="Z881" s="47"/>
      <c r="AA881" s="47"/>
      <c r="AB881" s="47"/>
      <c r="AC881" s="47"/>
      <c r="AD881" s="47"/>
      <c r="AE881" s="47"/>
      <c r="AF881" s="47"/>
      <c r="AG881" s="47"/>
      <c r="AH881" s="47"/>
      <c r="AI881" s="47"/>
      <c r="AJ881" s="47"/>
      <c r="AK881" s="79"/>
      <c r="AL881" s="29">
        <v>179</v>
      </c>
      <c r="AM881" s="29">
        <v>180</v>
      </c>
      <c r="AN881" s="29">
        <v>180</v>
      </c>
      <c r="AO881" s="29">
        <v>180</v>
      </c>
      <c r="AP881" s="29">
        <v>180</v>
      </c>
      <c r="AQ881" s="29">
        <v>0</v>
      </c>
      <c r="AR881" s="29">
        <v>44</v>
      </c>
      <c r="AS881" s="29">
        <v>0</v>
      </c>
      <c r="AT881" s="29">
        <v>0</v>
      </c>
      <c r="AU881" s="47"/>
      <c r="AV881" s="47"/>
      <c r="AW881" s="47"/>
      <c r="AX881" s="47"/>
    </row>
    <row r="882" spans="3:50" ht="11.25" customHeight="1">
      <c r="C882" s="43" t="s">
        <v>108</v>
      </c>
      <c r="E882" s="47"/>
      <c r="F882" s="136"/>
      <c r="G882" s="136"/>
      <c r="H882" s="136"/>
      <c r="I882" s="136"/>
      <c r="J882" s="136"/>
      <c r="K882" s="136"/>
      <c r="L882" s="136"/>
      <c r="M882" s="136"/>
      <c r="N882" s="136"/>
      <c r="O882" s="136"/>
      <c r="P882" s="136"/>
      <c r="Q882" s="47"/>
      <c r="R882" s="47"/>
      <c r="S882" s="47"/>
      <c r="T882" s="47"/>
      <c r="U882" s="47"/>
      <c r="V882" s="47"/>
      <c r="W882" s="47"/>
      <c r="X882" s="47"/>
      <c r="Y882" s="47"/>
      <c r="Z882" s="47"/>
      <c r="AA882" s="47"/>
      <c r="AB882" s="47"/>
      <c r="AC882" s="47"/>
      <c r="AD882" s="47"/>
      <c r="AE882" s="47"/>
      <c r="AF882" s="47"/>
      <c r="AG882" s="47"/>
      <c r="AH882" s="47"/>
      <c r="AI882" s="47"/>
      <c r="AJ882" s="47"/>
      <c r="AK882" s="79"/>
      <c r="AL882" s="29">
        <v>114</v>
      </c>
      <c r="AM882" s="29">
        <v>99</v>
      </c>
      <c r="AN882" s="29">
        <v>99</v>
      </c>
      <c r="AO882" s="29">
        <v>102</v>
      </c>
      <c r="AP882" s="29">
        <v>102</v>
      </c>
      <c r="AQ882" s="29">
        <v>88</v>
      </c>
      <c r="AR882" s="29">
        <v>86</v>
      </c>
      <c r="AS882" s="29">
        <v>87</v>
      </c>
      <c r="AT882" s="29">
        <v>110</v>
      </c>
      <c r="AU882" s="47"/>
      <c r="AV882" s="47"/>
      <c r="AW882" s="47"/>
      <c r="AX882" s="47"/>
    </row>
    <row r="883" spans="3:50" ht="11.25" customHeight="1">
      <c r="C883" s="36" t="s">
        <v>403</v>
      </c>
      <c r="F883" s="63"/>
      <c r="G883" s="63"/>
      <c r="H883" s="63"/>
      <c r="I883" s="63"/>
      <c r="J883" s="63"/>
      <c r="K883" s="63"/>
      <c r="L883" s="63"/>
      <c r="M883" s="63"/>
      <c r="N883" s="63"/>
      <c r="O883" s="63"/>
      <c r="P883" s="63"/>
      <c r="AK883" s="79"/>
      <c r="AL883" s="29"/>
      <c r="AM883" s="29"/>
      <c r="AN883" s="29"/>
      <c r="AO883" s="29"/>
      <c r="AP883" s="29"/>
      <c r="AQ883" s="29"/>
      <c r="AR883" s="29"/>
      <c r="AS883" s="29"/>
      <c r="AT883" s="29"/>
    </row>
    <row r="884" spans="3:50" ht="11.25" customHeight="1">
      <c r="C884" s="43" t="s">
        <v>404</v>
      </c>
      <c r="E884" s="47"/>
      <c r="F884" s="136"/>
      <c r="G884" s="136"/>
      <c r="H884" s="136"/>
      <c r="I884" s="136"/>
      <c r="J884" s="136"/>
      <c r="K884" s="136"/>
      <c r="L884" s="136"/>
      <c r="M884" s="136"/>
      <c r="N884" s="136"/>
      <c r="O884" s="136"/>
      <c r="P884" s="136"/>
      <c r="Q884" s="47"/>
      <c r="R884" s="47"/>
      <c r="S884" s="47"/>
      <c r="T884" s="47"/>
      <c r="U884" s="47"/>
      <c r="V884" s="47"/>
      <c r="W884" s="47"/>
      <c r="X884" s="47"/>
      <c r="Y884" s="47"/>
      <c r="Z884" s="47"/>
      <c r="AA884" s="47"/>
      <c r="AB884" s="47"/>
      <c r="AC884" s="47"/>
      <c r="AD884" s="47"/>
      <c r="AE884" s="47"/>
      <c r="AF884" s="47"/>
      <c r="AG884" s="47"/>
      <c r="AH884" s="47"/>
      <c r="AI884" s="47"/>
      <c r="AJ884" s="47"/>
      <c r="AK884" s="79"/>
      <c r="AL884" s="29">
        <v>551</v>
      </c>
      <c r="AM884" s="29">
        <v>526</v>
      </c>
      <c r="AN884" s="29">
        <v>525</v>
      </c>
      <c r="AO884" s="29">
        <v>530</v>
      </c>
      <c r="AP884" s="29">
        <v>529</v>
      </c>
      <c r="AQ884" s="29">
        <v>529</v>
      </c>
      <c r="AR884" s="29">
        <v>364</v>
      </c>
      <c r="AS884" s="29">
        <v>349</v>
      </c>
      <c r="AT884" s="29">
        <v>349</v>
      </c>
      <c r="AU884" s="47"/>
      <c r="AV884" s="47"/>
      <c r="AW884" s="47"/>
      <c r="AX884" s="47"/>
    </row>
    <row r="885" spans="3:50" ht="11.25" customHeight="1">
      <c r="C885" s="43" t="s">
        <v>108</v>
      </c>
      <c r="E885" s="47"/>
      <c r="F885" s="136"/>
      <c r="G885" s="136"/>
      <c r="H885" s="136"/>
      <c r="I885" s="136"/>
      <c r="J885" s="136"/>
      <c r="K885" s="136"/>
      <c r="L885" s="136"/>
      <c r="M885" s="136"/>
      <c r="N885" s="136"/>
      <c r="O885" s="136"/>
      <c r="P885" s="136"/>
      <c r="Q885" s="47"/>
      <c r="R885" s="47"/>
      <c r="S885" s="47"/>
      <c r="T885" s="47"/>
      <c r="U885" s="47"/>
      <c r="V885" s="47"/>
      <c r="W885" s="47"/>
      <c r="X885" s="47"/>
      <c r="Y885" s="47"/>
      <c r="Z885" s="47"/>
      <c r="AA885" s="47"/>
      <c r="AB885" s="47"/>
      <c r="AC885" s="47"/>
      <c r="AD885" s="47"/>
      <c r="AE885" s="47"/>
      <c r="AF885" s="47"/>
      <c r="AG885" s="47"/>
      <c r="AH885" s="47"/>
      <c r="AI885" s="47"/>
      <c r="AJ885" s="47"/>
      <c r="AK885" s="79"/>
      <c r="AL885" s="29">
        <v>0</v>
      </c>
      <c r="AM885" s="29">
        <v>0</v>
      </c>
      <c r="AN885" s="29">
        <v>10</v>
      </c>
      <c r="AO885" s="29">
        <v>10</v>
      </c>
      <c r="AP885" s="29">
        <v>10</v>
      </c>
      <c r="AQ885" s="29">
        <v>10</v>
      </c>
      <c r="AR885" s="29">
        <v>10</v>
      </c>
      <c r="AS885" s="29">
        <v>10</v>
      </c>
      <c r="AT885" s="29">
        <v>10</v>
      </c>
      <c r="AU885" s="47"/>
      <c r="AV885" s="47"/>
      <c r="AW885" s="47"/>
      <c r="AX885" s="47"/>
    </row>
    <row r="886" spans="3:50" ht="11.25" customHeight="1">
      <c r="C886" s="45" t="s">
        <v>173</v>
      </c>
      <c r="E886" s="47"/>
      <c r="F886" s="136"/>
      <c r="G886" s="136"/>
      <c r="H886" s="136"/>
      <c r="I886" s="136"/>
      <c r="J886" s="136"/>
      <c r="K886" s="136"/>
      <c r="L886" s="136"/>
      <c r="M886" s="136"/>
      <c r="N886" s="136"/>
      <c r="O886" s="136"/>
      <c r="P886" s="136"/>
      <c r="Q886" s="47"/>
      <c r="R886" s="47"/>
      <c r="S886" s="47"/>
      <c r="T886" s="47"/>
      <c r="U886" s="47"/>
      <c r="V886" s="47"/>
      <c r="W886" s="47"/>
      <c r="X886" s="47"/>
      <c r="Y886" s="47"/>
      <c r="Z886" s="47"/>
      <c r="AA886" s="47"/>
      <c r="AB886" s="47"/>
      <c r="AC886" s="47"/>
      <c r="AD886" s="47"/>
      <c r="AE886" s="47"/>
      <c r="AF886" s="47"/>
      <c r="AG886" s="47"/>
      <c r="AH886" s="47"/>
      <c r="AI886" s="47"/>
      <c r="AJ886" s="47"/>
      <c r="AK886" s="79"/>
      <c r="AL886" s="35">
        <f>SUM(AL879,AL880,AL881,AL882,AL884,AL885)</f>
        <v>3124</v>
      </c>
      <c r="AM886" s="35">
        <f t="shared" ref="AM886:AS886" si="1982">SUM(AM879,AM880,AM881,AM882,AM884,AM885)</f>
        <v>3032</v>
      </c>
      <c r="AN886" s="35">
        <f t="shared" si="1982"/>
        <v>3031</v>
      </c>
      <c r="AO886" s="35">
        <f t="shared" si="1982"/>
        <v>3095</v>
      </c>
      <c r="AP886" s="35">
        <f t="shared" si="1982"/>
        <v>3068</v>
      </c>
      <c r="AQ886" s="35">
        <f t="shared" si="1982"/>
        <v>2870</v>
      </c>
      <c r="AR886" s="35">
        <f t="shared" si="1982"/>
        <v>2780</v>
      </c>
      <c r="AS886" s="35">
        <f t="shared" si="1982"/>
        <v>2171</v>
      </c>
      <c r="AT886" s="35">
        <f t="shared" ref="AT886" si="1983">SUM(AT879,AT880,AT881,AT882,AT884,AT885)</f>
        <v>2108</v>
      </c>
      <c r="AU886" s="35">
        <f>+AT886</f>
        <v>2108</v>
      </c>
      <c r="AV886" s="35">
        <f>+AU886</f>
        <v>2108</v>
      </c>
      <c r="AW886" s="35">
        <f>+AV886</f>
        <v>2108</v>
      </c>
      <c r="AX886" s="35">
        <f>+AW886</f>
        <v>2108</v>
      </c>
    </row>
    <row r="887" spans="3:50" ht="11.25" customHeight="1">
      <c r="C887" s="44" t="s">
        <v>405</v>
      </c>
      <c r="E887" s="47"/>
      <c r="F887" s="136"/>
      <c r="G887" s="136"/>
      <c r="H887" s="136"/>
      <c r="I887" s="136"/>
      <c r="J887" s="136"/>
      <c r="K887" s="136"/>
      <c r="L887" s="136"/>
      <c r="M887" s="136"/>
      <c r="N887" s="136"/>
      <c r="O887" s="136"/>
      <c r="P887" s="136"/>
      <c r="Q887" s="47"/>
      <c r="R887" s="47"/>
      <c r="S887" s="47"/>
      <c r="T887" s="47"/>
      <c r="U887" s="47"/>
      <c r="V887" s="47"/>
      <c r="W887" s="47"/>
      <c r="X887" s="47"/>
      <c r="Y887" s="47"/>
      <c r="Z887" s="47"/>
      <c r="AA887" s="47"/>
      <c r="AB887" s="47"/>
      <c r="AC887" s="47"/>
      <c r="AD887" s="47"/>
      <c r="AE887" s="47"/>
      <c r="AF887" s="47"/>
      <c r="AG887" s="47"/>
      <c r="AH887" s="47"/>
      <c r="AI887" s="47"/>
      <c r="AJ887" s="47"/>
      <c r="AK887" s="79"/>
      <c r="AL887" s="29">
        <v>219</v>
      </c>
      <c r="AM887" s="29">
        <v>382</v>
      </c>
      <c r="AN887" s="29">
        <v>552</v>
      </c>
      <c r="AO887" s="29">
        <v>722</v>
      </c>
      <c r="AP887" s="29">
        <v>883</v>
      </c>
      <c r="AQ887" s="29">
        <v>859</v>
      </c>
      <c r="AR887" s="29">
        <v>988</v>
      </c>
      <c r="AS887" s="29">
        <v>809</v>
      </c>
      <c r="AT887" s="29">
        <v>898</v>
      </c>
      <c r="AU887" s="89">
        <f>AT887+AU898</f>
        <v>983</v>
      </c>
      <c r="AV887" s="89">
        <f>AU887+AV898</f>
        <v>1068</v>
      </c>
      <c r="AW887" s="89">
        <f>AV887+AW898</f>
        <v>1144</v>
      </c>
      <c r="AX887" s="89">
        <f>AW887+AX898</f>
        <v>1220</v>
      </c>
    </row>
    <row r="888" spans="3:50" ht="11.25" customHeight="1">
      <c r="C888" s="111" t="s">
        <v>175</v>
      </c>
      <c r="E888" s="35">
        <f t="shared" ref="E888:T888" si="1984">E751</f>
        <v>2637</v>
      </c>
      <c r="F888" s="35">
        <f t="shared" si="1984"/>
        <v>2585</v>
      </c>
      <c r="G888" s="35">
        <f t="shared" si="1984"/>
        <v>2543</v>
      </c>
      <c r="H888" s="35">
        <f t="shared" si="1984"/>
        <v>2469</v>
      </c>
      <c r="I888" s="35">
        <f t="shared" si="1984"/>
        <v>2434</v>
      </c>
      <c r="J888" s="35">
        <f t="shared" si="1984"/>
        <v>2433</v>
      </c>
      <c r="K888" s="35">
        <f t="shared" si="1984"/>
        <v>2404</v>
      </c>
      <c r="L888" s="35">
        <f t="shared" si="1984"/>
        <v>2373</v>
      </c>
      <c r="M888" s="35">
        <f t="shared" si="1984"/>
        <v>2349</v>
      </c>
      <c r="N888" s="35">
        <f t="shared" si="1984"/>
        <v>2278</v>
      </c>
      <c r="O888" s="35">
        <f t="shared" si="1984"/>
        <v>2231</v>
      </c>
      <c r="P888" s="35">
        <f t="shared" si="1984"/>
        <v>2185</v>
      </c>
      <c r="Q888" s="35">
        <f t="shared" si="1984"/>
        <v>2130</v>
      </c>
      <c r="R888" s="35">
        <f t="shared" si="1984"/>
        <v>2093</v>
      </c>
      <c r="S888" s="35">
        <f t="shared" si="1984"/>
        <v>2034</v>
      </c>
      <c r="T888" s="35">
        <f t="shared" si="1984"/>
        <v>2011</v>
      </c>
      <c r="U888" s="35">
        <f>U893</f>
        <v>1962</v>
      </c>
      <c r="V888" s="35">
        <f>V893</f>
        <v>1817</v>
      </c>
      <c r="W888" s="35">
        <f>W893</f>
        <v>1802</v>
      </c>
      <c r="X888" s="35">
        <f>X893</f>
        <v>1792</v>
      </c>
      <c r="Y888" s="35">
        <f t="shared" ref="Y888:AF888" si="1985">Y893</f>
        <v>1741</v>
      </c>
      <c r="Z888" s="35">
        <f t="shared" si="1985"/>
        <v>1390</v>
      </c>
      <c r="AA888" s="35">
        <f t="shared" si="1985"/>
        <v>1407</v>
      </c>
      <c r="AB888" s="35">
        <f t="shared" si="1985"/>
        <v>1362</v>
      </c>
      <c r="AC888" s="35">
        <f t="shared" si="1985"/>
        <v>1303</v>
      </c>
      <c r="AD888" s="35">
        <f t="shared" si="1985"/>
        <v>1248</v>
      </c>
      <c r="AE888" s="35">
        <f t="shared" si="1985"/>
        <v>1206</v>
      </c>
      <c r="AF888" s="35">
        <f t="shared" si="1985"/>
        <v>1210</v>
      </c>
      <c r="AG888" s="35">
        <f t="shared" ref="AG888" si="1986">AG893</f>
        <v>1203</v>
      </c>
      <c r="AH888" s="35">
        <f t="shared" ref="AH888:AJ888" si="1987">AH893</f>
        <v>1181.75</v>
      </c>
      <c r="AI888" s="35">
        <f t="shared" si="1987"/>
        <v>1160.5</v>
      </c>
      <c r="AJ888" s="35">
        <f t="shared" si="1987"/>
        <v>1139.25</v>
      </c>
      <c r="AK888" s="79"/>
      <c r="AL888" s="35">
        <f>AL886-AL887</f>
        <v>2905</v>
      </c>
      <c r="AM888" s="35">
        <f t="shared" ref="AM888:AS888" si="1988">AM886-AM887</f>
        <v>2650</v>
      </c>
      <c r="AN888" s="35">
        <f t="shared" si="1988"/>
        <v>2479</v>
      </c>
      <c r="AO888" s="35">
        <f t="shared" si="1988"/>
        <v>2373</v>
      </c>
      <c r="AP888" s="35">
        <f t="shared" si="1988"/>
        <v>2185</v>
      </c>
      <c r="AQ888" s="35">
        <f t="shared" si="1988"/>
        <v>2011</v>
      </c>
      <c r="AR888" s="35">
        <f t="shared" si="1988"/>
        <v>1792</v>
      </c>
      <c r="AS888" s="35">
        <f t="shared" si="1988"/>
        <v>1362</v>
      </c>
      <c r="AT888" s="35">
        <f t="shared" ref="AT888" si="1989">AT886-AT887</f>
        <v>1210</v>
      </c>
      <c r="AU888" s="35">
        <f>AU886-AU887</f>
        <v>1125</v>
      </c>
      <c r="AV888" s="35">
        <f>AV886-AV887</f>
        <v>1040</v>
      </c>
      <c r="AW888" s="35">
        <f>AW886-AW887</f>
        <v>964</v>
      </c>
      <c r="AX888" s="35">
        <f>AX886-AX887</f>
        <v>888</v>
      </c>
    </row>
    <row r="889" spans="3:50" ht="11.25" customHeight="1">
      <c r="C889" s="43"/>
      <c r="F889" s="63"/>
      <c r="G889" s="63"/>
      <c r="H889" s="63"/>
      <c r="I889" s="63"/>
      <c r="J889" s="63"/>
      <c r="K889" s="63"/>
      <c r="L889" s="63"/>
      <c r="M889" s="63"/>
      <c r="N889" s="63"/>
      <c r="O889" s="63"/>
      <c r="P889" s="63"/>
      <c r="AK889" s="79"/>
      <c r="AM889" s="63"/>
      <c r="AN889" s="63"/>
      <c r="AO889" s="63"/>
      <c r="AP889" s="63"/>
    </row>
    <row r="890" spans="3:50" ht="11.25" customHeight="1">
      <c r="C890" s="36" t="s">
        <v>406</v>
      </c>
      <c r="F890" s="63"/>
      <c r="G890" s="63"/>
      <c r="H890" s="63"/>
      <c r="I890" s="63"/>
      <c r="J890" s="63"/>
      <c r="K890" s="63"/>
      <c r="L890" s="63"/>
      <c r="M890" s="63"/>
      <c r="N890" s="63"/>
      <c r="O890" s="63"/>
      <c r="P890" s="63"/>
      <c r="AK890" s="79"/>
      <c r="AM890" s="63"/>
      <c r="AN890" s="63"/>
      <c r="AO890" s="63"/>
      <c r="AP890" s="63"/>
    </row>
    <row r="891" spans="3:50" ht="11.25" customHeight="1">
      <c r="C891" s="137" t="s">
        <v>407</v>
      </c>
      <c r="F891" s="63"/>
      <c r="G891" s="63"/>
      <c r="H891" s="63"/>
      <c r="I891" s="63"/>
      <c r="J891" s="63"/>
      <c r="K891" s="63"/>
      <c r="L891" s="63"/>
      <c r="M891" s="63"/>
      <c r="N891" s="63"/>
      <c r="O891" s="63"/>
      <c r="P891" s="63"/>
      <c r="R891" s="28"/>
      <c r="S891" s="28"/>
      <c r="T891" s="28"/>
      <c r="U891" s="28"/>
      <c r="V891" s="28"/>
      <c r="W891" s="28"/>
      <c r="X891" s="28"/>
      <c r="Y891" s="28"/>
      <c r="Z891" s="28"/>
      <c r="AA891" s="28"/>
      <c r="AB891" s="28"/>
      <c r="AC891" s="28"/>
      <c r="AD891" s="28"/>
      <c r="AE891" s="28"/>
      <c r="AF891" s="28"/>
      <c r="AG891" s="28"/>
      <c r="AH891" s="28">
        <f t="shared" ref="AH891:AJ891" si="1990">AG893</f>
        <v>1203</v>
      </c>
      <c r="AI891" s="28">
        <f t="shared" si="1990"/>
        <v>1181.75</v>
      </c>
      <c r="AJ891" s="28">
        <f t="shared" si="1990"/>
        <v>1160.5</v>
      </c>
      <c r="AK891" s="79"/>
      <c r="AM891" s="63"/>
      <c r="AN891" s="63"/>
      <c r="AO891" s="63"/>
      <c r="AP891" s="63"/>
      <c r="AQ891" s="28"/>
      <c r="AR891" s="28"/>
      <c r="AS891" s="28"/>
      <c r="AT891" s="28"/>
      <c r="AU891" s="28"/>
      <c r="AV891" s="28">
        <f>AU893</f>
        <v>1139.25</v>
      </c>
      <c r="AW891" s="28">
        <f>AV893</f>
        <v>1054.25</v>
      </c>
      <c r="AX891" s="28">
        <f>AW893</f>
        <v>978.25</v>
      </c>
    </row>
    <row r="892" spans="3:50" ht="11.25" customHeight="1">
      <c r="C892" s="137" t="s">
        <v>1075</v>
      </c>
      <c r="F892" s="63"/>
      <c r="G892" s="63"/>
      <c r="H892" s="63"/>
      <c r="I892" s="63"/>
      <c r="J892" s="63"/>
      <c r="K892" s="63"/>
      <c r="L892" s="63"/>
      <c r="M892" s="63"/>
      <c r="N892" s="63"/>
      <c r="O892" s="63"/>
      <c r="P892" s="63"/>
      <c r="R892" s="28"/>
      <c r="S892" s="28"/>
      <c r="T892" s="28"/>
      <c r="U892" s="28"/>
      <c r="V892" s="28"/>
      <c r="W892" s="28"/>
      <c r="X892" s="28"/>
      <c r="Y892" s="28"/>
      <c r="Z892" s="28"/>
      <c r="AA892" s="28"/>
      <c r="AB892" s="28"/>
      <c r="AC892" s="28"/>
      <c r="AD892" s="28"/>
      <c r="AE892" s="28"/>
      <c r="AF892" s="28"/>
      <c r="AG892" s="28"/>
      <c r="AH892" s="28">
        <f t="shared" ref="AH892:AJ892" si="1991">-AH898</f>
        <v>-21.25</v>
      </c>
      <c r="AI892" s="28">
        <f t="shared" si="1991"/>
        <v>-21.25</v>
      </c>
      <c r="AJ892" s="28">
        <f t="shared" si="1991"/>
        <v>-21.25</v>
      </c>
      <c r="AK892" s="79"/>
      <c r="AM892" s="63"/>
      <c r="AN892" s="63"/>
      <c r="AO892" s="63"/>
      <c r="AP892" s="63"/>
      <c r="AQ892" s="33"/>
      <c r="AR892" s="33"/>
      <c r="AS892" s="28"/>
      <c r="AT892" s="28"/>
      <c r="AU892" s="28"/>
      <c r="AV892" s="28">
        <f>-AV898</f>
        <v>-85</v>
      </c>
      <c r="AW892" s="28">
        <f>-AW898</f>
        <v>-76</v>
      </c>
      <c r="AX892" s="28">
        <f>-AX898</f>
        <v>-76</v>
      </c>
    </row>
    <row r="893" spans="3:50" ht="11.25" customHeight="1">
      <c r="C893" s="138" t="s">
        <v>408</v>
      </c>
      <c r="F893" s="63"/>
      <c r="G893" s="63"/>
      <c r="H893" s="63"/>
      <c r="I893" s="63"/>
      <c r="J893" s="63"/>
      <c r="K893" s="63"/>
      <c r="L893" s="63"/>
      <c r="M893" s="63"/>
      <c r="N893" s="63"/>
      <c r="O893" s="63"/>
      <c r="P893" s="63"/>
      <c r="Q893" s="30"/>
      <c r="R893" s="35">
        <f t="shared" ref="R893:AF893" si="1992">R751</f>
        <v>2093</v>
      </c>
      <c r="S893" s="35">
        <f t="shared" si="1992"/>
        <v>2034</v>
      </c>
      <c r="T893" s="35">
        <f t="shared" si="1992"/>
        <v>2011</v>
      </c>
      <c r="U893" s="35">
        <f t="shared" si="1992"/>
        <v>1962</v>
      </c>
      <c r="V893" s="35">
        <f t="shared" si="1992"/>
        <v>1817</v>
      </c>
      <c r="W893" s="35">
        <f t="shared" si="1992"/>
        <v>1802</v>
      </c>
      <c r="X893" s="35">
        <f t="shared" si="1992"/>
        <v>1792</v>
      </c>
      <c r="Y893" s="35">
        <f t="shared" si="1992"/>
        <v>1741</v>
      </c>
      <c r="Z893" s="35">
        <f t="shared" si="1992"/>
        <v>1390</v>
      </c>
      <c r="AA893" s="35">
        <f t="shared" si="1992"/>
        <v>1407</v>
      </c>
      <c r="AB893" s="35">
        <f t="shared" si="1992"/>
        <v>1362</v>
      </c>
      <c r="AC893" s="35">
        <f t="shared" si="1992"/>
        <v>1303</v>
      </c>
      <c r="AD893" s="35">
        <f t="shared" si="1992"/>
        <v>1248</v>
      </c>
      <c r="AE893" s="35">
        <f t="shared" si="1992"/>
        <v>1206</v>
      </c>
      <c r="AF893" s="35">
        <f t="shared" si="1992"/>
        <v>1210</v>
      </c>
      <c r="AG893" s="35">
        <f t="shared" ref="AG893" si="1993">AG751</f>
        <v>1203</v>
      </c>
      <c r="AH893" s="35">
        <f t="shared" ref="AH893:AJ893" si="1994">SUM(AH891:AH892)</f>
        <v>1181.75</v>
      </c>
      <c r="AI893" s="35">
        <f t="shared" si="1994"/>
        <v>1160.5</v>
      </c>
      <c r="AJ893" s="35">
        <f t="shared" si="1994"/>
        <v>1139.25</v>
      </c>
      <c r="AK893" s="79"/>
      <c r="AM893" s="63"/>
      <c r="AN893" s="63"/>
      <c r="AO893" s="63"/>
      <c r="AP893" s="78">
        <v>2185</v>
      </c>
      <c r="AQ893" s="35">
        <f>SUMIF($E$7:$AK$7,AQ$7,$E893:$AK893)</f>
        <v>2011</v>
      </c>
      <c r="AR893" s="35">
        <f t="shared" ref="AR893:AU893" si="1995">SUMIF($E$7:$AK$7,AR$7,$E893:$AK893)</f>
        <v>1792</v>
      </c>
      <c r="AS893" s="35">
        <f t="shared" si="1995"/>
        <v>1362</v>
      </c>
      <c r="AT893" s="35">
        <f t="shared" si="1995"/>
        <v>1210</v>
      </c>
      <c r="AU893" s="35">
        <f t="shared" si="1995"/>
        <v>1139.25</v>
      </c>
      <c r="AV893" s="35">
        <f>SUM(AV891:AV892)</f>
        <v>1054.25</v>
      </c>
      <c r="AW893" s="35">
        <f>SUM(AW891:AW892)</f>
        <v>978.25</v>
      </c>
      <c r="AX893" s="35">
        <f>SUM(AX891:AX892)</f>
        <v>902.25</v>
      </c>
    </row>
    <row r="894" spans="3:50" ht="5.2" customHeight="1" outlineLevel="1">
      <c r="C894" s="138"/>
      <c r="F894" s="63"/>
      <c r="G894" s="63"/>
      <c r="H894" s="63"/>
      <c r="I894" s="63"/>
      <c r="J894" s="63"/>
      <c r="K894" s="63"/>
      <c r="L894" s="63"/>
      <c r="M894" s="63"/>
      <c r="N894" s="63"/>
      <c r="O894" s="63"/>
      <c r="P894" s="63"/>
      <c r="Q894" s="30"/>
      <c r="R894" s="30"/>
      <c r="S894" s="30"/>
      <c r="T894" s="30"/>
      <c r="U894" s="30"/>
      <c r="V894" s="30"/>
      <c r="W894" s="30"/>
      <c r="X894" s="30"/>
      <c r="Y894" s="30"/>
      <c r="Z894" s="30"/>
      <c r="AA894" s="30"/>
      <c r="AB894" s="30"/>
      <c r="AC894" s="30"/>
      <c r="AD894" s="30"/>
      <c r="AE894" s="30"/>
      <c r="AF894" s="30"/>
      <c r="AG894" s="30"/>
      <c r="AH894" s="30"/>
      <c r="AI894" s="30"/>
      <c r="AJ894" s="30"/>
      <c r="AK894" s="79"/>
      <c r="AM894" s="63"/>
      <c r="AN894" s="63"/>
      <c r="AO894" s="63"/>
      <c r="AP894" s="30"/>
      <c r="AQ894" s="30"/>
      <c r="AR894" s="30"/>
      <c r="AS894" s="30"/>
      <c r="AT894" s="30"/>
      <c r="AU894" s="30"/>
      <c r="AV894" s="30"/>
      <c r="AW894" s="30"/>
      <c r="AX894" s="30"/>
    </row>
    <row r="895" spans="3:50" ht="11.25" customHeight="1" outlineLevel="1">
      <c r="C895" s="113" t="s">
        <v>68</v>
      </c>
      <c r="E895" s="79"/>
      <c r="F895" s="79"/>
      <c r="G895" s="79"/>
      <c r="H895" s="79"/>
      <c r="I895" s="79"/>
      <c r="J895" s="79"/>
      <c r="K895" s="79"/>
      <c r="L895" s="79"/>
      <c r="M895" s="79"/>
      <c r="N895" s="79"/>
      <c r="O895" s="79"/>
      <c r="P895" s="79"/>
      <c r="Q895" s="79"/>
      <c r="R895" s="79">
        <f t="shared" ref="R895:AJ895" si="1996">+R893-R751</f>
        <v>0</v>
      </c>
      <c r="S895" s="79">
        <f t="shared" si="1996"/>
        <v>0</v>
      </c>
      <c r="T895" s="79">
        <f t="shared" si="1996"/>
        <v>0</v>
      </c>
      <c r="U895" s="79">
        <f t="shared" si="1996"/>
        <v>0</v>
      </c>
      <c r="V895" s="79">
        <f t="shared" si="1996"/>
        <v>0</v>
      </c>
      <c r="W895" s="79">
        <f t="shared" si="1996"/>
        <v>0</v>
      </c>
      <c r="X895" s="79">
        <f t="shared" si="1996"/>
        <v>0</v>
      </c>
      <c r="Y895" s="79">
        <f t="shared" si="1996"/>
        <v>0</v>
      </c>
      <c r="Z895" s="79">
        <f t="shared" si="1996"/>
        <v>0</v>
      </c>
      <c r="AA895" s="79">
        <f t="shared" si="1996"/>
        <v>0</v>
      </c>
      <c r="AB895" s="79">
        <f t="shared" si="1996"/>
        <v>0</v>
      </c>
      <c r="AC895" s="79">
        <f t="shared" si="1996"/>
        <v>0</v>
      </c>
      <c r="AD895" s="79">
        <f t="shared" si="1996"/>
        <v>0</v>
      </c>
      <c r="AE895" s="79">
        <f t="shared" si="1996"/>
        <v>0</v>
      </c>
      <c r="AF895" s="79">
        <f t="shared" si="1996"/>
        <v>0</v>
      </c>
      <c r="AG895" s="79">
        <f t="shared" ref="AG895" si="1997">+AG893-AG751</f>
        <v>0</v>
      </c>
      <c r="AH895" s="79">
        <f t="shared" si="1996"/>
        <v>0</v>
      </c>
      <c r="AI895" s="79">
        <f t="shared" si="1996"/>
        <v>0</v>
      </c>
      <c r="AJ895" s="79">
        <f t="shared" si="1996"/>
        <v>0</v>
      </c>
      <c r="AK895" s="79"/>
      <c r="AL895" s="79"/>
      <c r="AM895" s="79"/>
      <c r="AN895" s="79"/>
      <c r="AO895" s="79"/>
      <c r="AP895" s="79">
        <f t="shared" ref="AP895:AX895" si="1998">+AP893-AP751</f>
        <v>0</v>
      </c>
      <c r="AQ895" s="79">
        <f t="shared" si="1998"/>
        <v>0</v>
      </c>
      <c r="AR895" s="79">
        <f t="shared" si="1998"/>
        <v>0</v>
      </c>
      <c r="AS895" s="79">
        <f t="shared" si="1998"/>
        <v>0</v>
      </c>
      <c r="AT895" s="79">
        <f t="shared" si="1998"/>
        <v>0</v>
      </c>
      <c r="AU895" s="79">
        <f t="shared" si="1998"/>
        <v>0</v>
      </c>
      <c r="AV895" s="79">
        <f t="shared" si="1998"/>
        <v>0</v>
      </c>
      <c r="AW895" s="79">
        <f t="shared" si="1998"/>
        <v>0</v>
      </c>
      <c r="AX895" s="79">
        <f t="shared" si="1998"/>
        <v>0</v>
      </c>
    </row>
    <row r="896" spans="3:50" ht="5.2" customHeight="1" outlineLevel="1">
      <c r="C896" s="43"/>
      <c r="E896" s="63"/>
      <c r="F896" s="63"/>
      <c r="G896" s="63"/>
      <c r="H896" s="63"/>
      <c r="I896" s="63"/>
      <c r="J896" s="63"/>
      <c r="K896" s="63"/>
      <c r="L896" s="63"/>
      <c r="M896" s="63"/>
      <c r="N896" s="63"/>
      <c r="O896" s="63"/>
      <c r="P896" s="63"/>
      <c r="S896" s="28"/>
      <c r="T896" s="28"/>
      <c r="AK896" s="79"/>
      <c r="AM896" s="63"/>
      <c r="AN896" s="63"/>
      <c r="AO896" s="63"/>
      <c r="AP896" s="63"/>
      <c r="AQ896" s="89"/>
    </row>
    <row r="897" spans="2:79" ht="11.25" customHeight="1">
      <c r="C897" s="43" t="s">
        <v>178</v>
      </c>
      <c r="E897" s="129">
        <f>$AN$897/4</f>
        <v>103</v>
      </c>
      <c r="F897" s="28">
        <f>$AN$897/4</f>
        <v>103</v>
      </c>
      <c r="G897" s="28">
        <f>$AN$897/4</f>
        <v>103</v>
      </c>
      <c r="H897" s="28">
        <f>$AN$897/4</f>
        <v>103</v>
      </c>
      <c r="I897" s="28">
        <f>$AO$897/4</f>
        <v>105</v>
      </c>
      <c r="J897" s="28">
        <f>$AO$897/4</f>
        <v>105</v>
      </c>
      <c r="K897" s="28">
        <f>$AO$897/4</f>
        <v>105</v>
      </c>
      <c r="L897" s="28">
        <f>$AO$897/4</f>
        <v>105</v>
      </c>
      <c r="M897" s="28">
        <f>$AP$897/4</f>
        <v>109.25</v>
      </c>
      <c r="N897" s="28">
        <f>$AP$897/4</f>
        <v>109.25</v>
      </c>
      <c r="O897" s="28">
        <f>$AP$897/4</f>
        <v>109.25</v>
      </c>
      <c r="P897" s="28">
        <f>$AP$897/4</f>
        <v>109.25</v>
      </c>
      <c r="Q897" s="28">
        <f t="shared" ref="Q897:AB897" si="1999">+Q899-Q898</f>
        <v>114.75</v>
      </c>
      <c r="R897" s="28">
        <f t="shared" si="1999"/>
        <v>115.75</v>
      </c>
      <c r="S897" s="28">
        <f t="shared" si="1999"/>
        <v>110.75</v>
      </c>
      <c r="T897" s="28">
        <f t="shared" si="1999"/>
        <v>108.75</v>
      </c>
      <c r="U897" s="28">
        <f t="shared" si="1999"/>
        <v>106.75</v>
      </c>
      <c r="V897" s="28">
        <f t="shared" si="1999"/>
        <v>108.75</v>
      </c>
      <c r="W897" s="28">
        <f t="shared" si="1999"/>
        <v>116.75</v>
      </c>
      <c r="X897" s="28">
        <f t="shared" si="1999"/>
        <v>112.75</v>
      </c>
      <c r="Y897" s="28">
        <f t="shared" si="1999"/>
        <v>121</v>
      </c>
      <c r="Z897" s="28">
        <f t="shared" si="1999"/>
        <v>112</v>
      </c>
      <c r="AA897" s="28">
        <f t="shared" si="1999"/>
        <v>99</v>
      </c>
      <c r="AB897" s="28">
        <f t="shared" si="1999"/>
        <v>94</v>
      </c>
      <c r="AC897" s="28">
        <f t="shared" ref="AC897:AF897" si="2000">+AC899-AC898</f>
        <v>93</v>
      </c>
      <c r="AD897" s="28">
        <f t="shared" si="2000"/>
        <v>94</v>
      </c>
      <c r="AE897" s="28">
        <f t="shared" si="2000"/>
        <v>89</v>
      </c>
      <c r="AF897" s="28">
        <f t="shared" si="2000"/>
        <v>89</v>
      </c>
      <c r="AG897" s="28">
        <f t="shared" ref="AG897" si="2001">+AG899-AG898</f>
        <v>113</v>
      </c>
      <c r="AH897" s="28">
        <f t="shared" ref="AH897:AJ897" si="2002">-AH872</f>
        <v>104.88348445472401</v>
      </c>
      <c r="AI897" s="28">
        <f t="shared" si="2002"/>
        <v>106.49546454316979</v>
      </c>
      <c r="AJ897" s="28">
        <f t="shared" si="2002"/>
        <v>108.10744463161555</v>
      </c>
      <c r="AK897" s="79"/>
      <c r="AL897" s="29">
        <v>355</v>
      </c>
      <c r="AM897" s="29">
        <v>402</v>
      </c>
      <c r="AN897" s="29">
        <v>412</v>
      </c>
      <c r="AO897" s="29">
        <v>420</v>
      </c>
      <c r="AP897" s="29">
        <v>437</v>
      </c>
      <c r="AQ897" s="29">
        <v>450</v>
      </c>
      <c r="AR897" s="29">
        <v>445</v>
      </c>
      <c r="AS897" s="29">
        <v>426</v>
      </c>
      <c r="AT897" s="29">
        <v>384</v>
      </c>
      <c r="AU897" s="33">
        <f>SUMIF($E$6:$AK$6,AU$6,$E897:$AK897)</f>
        <v>432.48639362950928</v>
      </c>
      <c r="AV897" s="33">
        <f>-AV872</f>
        <v>435.61599999999999</v>
      </c>
      <c r="AW897" s="33">
        <f>-AW872</f>
        <v>454.81600000000003</v>
      </c>
      <c r="AX897" s="33">
        <f>-AX872</f>
        <v>474.01600000000002</v>
      </c>
      <c r="BA897" s="24">
        <v>2024</v>
      </c>
      <c r="BB897" s="24">
        <f>BA897+1</f>
        <v>2025</v>
      </c>
      <c r="BC897" s="24">
        <f>BB897+1</f>
        <v>2026</v>
      </c>
    </row>
    <row r="898" spans="2:79" ht="11.25" customHeight="1">
      <c r="C898" s="43" t="s">
        <v>180</v>
      </c>
      <c r="E898" s="28">
        <f>E899-E897</f>
        <v>44</v>
      </c>
      <c r="F898" s="28">
        <f t="shared" ref="F898:P898" si="2003">F899-F897</f>
        <v>41</v>
      </c>
      <c r="G898" s="28">
        <f t="shared" si="2003"/>
        <v>42</v>
      </c>
      <c r="H898" s="28">
        <f t="shared" si="2003"/>
        <v>41</v>
      </c>
      <c r="I898" s="28">
        <f t="shared" si="2003"/>
        <v>40</v>
      </c>
      <c r="J898" s="28">
        <f t="shared" si="2003"/>
        <v>42</v>
      </c>
      <c r="K898" s="28">
        <f t="shared" si="2003"/>
        <v>43</v>
      </c>
      <c r="L898" s="28">
        <f t="shared" si="2003"/>
        <v>42</v>
      </c>
      <c r="M898" s="28">
        <f t="shared" si="2003"/>
        <v>42.75</v>
      </c>
      <c r="N898" s="28">
        <f t="shared" si="2003"/>
        <v>38.75</v>
      </c>
      <c r="O898" s="28">
        <f t="shared" si="2003"/>
        <v>41.75</v>
      </c>
      <c r="P898" s="28">
        <f t="shared" si="2003"/>
        <v>43.75</v>
      </c>
      <c r="Q898" s="28">
        <f>$AQ$898/4</f>
        <v>40.25</v>
      </c>
      <c r="R898" s="28">
        <f>$AQ$898/4</f>
        <v>40.25</v>
      </c>
      <c r="S898" s="28">
        <f>$AQ$898/4</f>
        <v>40.25</v>
      </c>
      <c r="T898" s="28">
        <f>$AQ$898/4</f>
        <v>40.25</v>
      </c>
      <c r="U898" s="28">
        <f>$AR$898/4</f>
        <v>32.25</v>
      </c>
      <c r="V898" s="28">
        <f>$AR$898/4</f>
        <v>32.25</v>
      </c>
      <c r="W898" s="28">
        <f>$AR$898/4</f>
        <v>32.25</v>
      </c>
      <c r="X898" s="28">
        <f>$AR$898/4</f>
        <v>32.25</v>
      </c>
      <c r="Y898" s="28">
        <f>$AS$898/4</f>
        <v>28</v>
      </c>
      <c r="Z898" s="28">
        <f>$AS$898/4</f>
        <v>28</v>
      </c>
      <c r="AA898" s="28">
        <f>$AS$898/4</f>
        <v>28</v>
      </c>
      <c r="AB898" s="28">
        <f>$AS$898/4</f>
        <v>28</v>
      </c>
      <c r="AC898" s="28">
        <f t="shared" ref="AC898:AG898" si="2004">$AS$898/4</f>
        <v>28</v>
      </c>
      <c r="AD898" s="28">
        <f t="shared" si="2004"/>
        <v>28</v>
      </c>
      <c r="AE898" s="28">
        <f t="shared" si="2004"/>
        <v>28</v>
      </c>
      <c r="AF898" s="28">
        <f t="shared" si="2004"/>
        <v>28</v>
      </c>
      <c r="AG898" s="28">
        <f t="shared" si="2004"/>
        <v>28</v>
      </c>
      <c r="AH898" s="28">
        <f t="shared" ref="AH898:AJ898" si="2005">($AU$898)/4</f>
        <v>21.25</v>
      </c>
      <c r="AI898" s="28">
        <f t="shared" si="2005"/>
        <v>21.25</v>
      </c>
      <c r="AJ898" s="28">
        <f t="shared" si="2005"/>
        <v>21.25</v>
      </c>
      <c r="AK898" s="79"/>
      <c r="AL898" s="28">
        <f>+AL899-AL897</f>
        <v>95</v>
      </c>
      <c r="AM898" s="28">
        <f t="shared" ref="AM898:AT898" si="2006">+AM899-AM897</f>
        <v>169</v>
      </c>
      <c r="AN898" s="28">
        <f t="shared" si="2006"/>
        <v>168</v>
      </c>
      <c r="AO898" s="28">
        <f t="shared" si="2006"/>
        <v>167</v>
      </c>
      <c r="AP898" s="28">
        <f t="shared" si="2006"/>
        <v>167</v>
      </c>
      <c r="AQ898" s="28">
        <f t="shared" si="2006"/>
        <v>161</v>
      </c>
      <c r="AR898" s="28">
        <f t="shared" si="2006"/>
        <v>129</v>
      </c>
      <c r="AS898" s="28">
        <f t="shared" si="2006"/>
        <v>112</v>
      </c>
      <c r="AT898" s="28">
        <f t="shared" si="2006"/>
        <v>93</v>
      </c>
      <c r="AU898" s="29">
        <v>85</v>
      </c>
      <c r="AV898" s="29">
        <v>85</v>
      </c>
      <c r="AW898" s="29">
        <v>76</v>
      </c>
      <c r="AX898" s="29">
        <v>76</v>
      </c>
      <c r="BA898" s="24">
        <v>80</v>
      </c>
      <c r="BB898" s="24">
        <v>75</v>
      </c>
      <c r="BC898" s="24">
        <v>75</v>
      </c>
    </row>
    <row r="899" spans="2:79" ht="10.5">
      <c r="C899" s="45" t="s">
        <v>121</v>
      </c>
      <c r="E899" s="139">
        <f>E917</f>
        <v>147</v>
      </c>
      <c r="F899" s="35">
        <f t="shared" ref="F899:AF899" si="2007">F917</f>
        <v>144</v>
      </c>
      <c r="G899" s="35">
        <f t="shared" si="2007"/>
        <v>145</v>
      </c>
      <c r="H899" s="35">
        <f t="shared" si="2007"/>
        <v>144</v>
      </c>
      <c r="I899" s="35">
        <f t="shared" si="2007"/>
        <v>145</v>
      </c>
      <c r="J899" s="35">
        <f t="shared" si="2007"/>
        <v>147</v>
      </c>
      <c r="K899" s="35">
        <f t="shared" si="2007"/>
        <v>148</v>
      </c>
      <c r="L899" s="35">
        <f t="shared" si="2007"/>
        <v>147</v>
      </c>
      <c r="M899" s="35">
        <f t="shared" si="2007"/>
        <v>152</v>
      </c>
      <c r="N899" s="35">
        <f t="shared" si="2007"/>
        <v>148</v>
      </c>
      <c r="O899" s="35">
        <f t="shared" si="2007"/>
        <v>151</v>
      </c>
      <c r="P899" s="35">
        <f t="shared" si="2007"/>
        <v>153</v>
      </c>
      <c r="Q899" s="35">
        <f t="shared" si="2007"/>
        <v>155</v>
      </c>
      <c r="R899" s="35">
        <f t="shared" si="2007"/>
        <v>156</v>
      </c>
      <c r="S899" s="35">
        <f t="shared" si="2007"/>
        <v>151</v>
      </c>
      <c r="T899" s="35">
        <f t="shared" si="2007"/>
        <v>149</v>
      </c>
      <c r="U899" s="35">
        <f t="shared" si="2007"/>
        <v>139</v>
      </c>
      <c r="V899" s="35">
        <f t="shared" si="2007"/>
        <v>141</v>
      </c>
      <c r="W899" s="35">
        <f t="shared" si="2007"/>
        <v>149</v>
      </c>
      <c r="X899" s="35">
        <f t="shared" si="2007"/>
        <v>145</v>
      </c>
      <c r="Y899" s="35">
        <f t="shared" si="2007"/>
        <v>149</v>
      </c>
      <c r="Z899" s="35">
        <f t="shared" si="2007"/>
        <v>140</v>
      </c>
      <c r="AA899" s="35">
        <f t="shared" si="2007"/>
        <v>127</v>
      </c>
      <c r="AB899" s="35">
        <f t="shared" si="2007"/>
        <v>122</v>
      </c>
      <c r="AC899" s="35">
        <f t="shared" si="2007"/>
        <v>121</v>
      </c>
      <c r="AD899" s="35">
        <f t="shared" si="2007"/>
        <v>122</v>
      </c>
      <c r="AE899" s="35">
        <f t="shared" si="2007"/>
        <v>117</v>
      </c>
      <c r="AF899" s="35">
        <f t="shared" si="2007"/>
        <v>117</v>
      </c>
      <c r="AG899" s="35">
        <f t="shared" ref="AG899" si="2008">AG917</f>
        <v>141</v>
      </c>
      <c r="AH899" s="35">
        <f t="shared" ref="AH899:AJ899" si="2009">SUM(AH897:AH898)</f>
        <v>126.13348445472401</v>
      </c>
      <c r="AI899" s="35">
        <f t="shared" si="2009"/>
        <v>127.74546454316979</v>
      </c>
      <c r="AJ899" s="35">
        <f t="shared" si="2009"/>
        <v>129.35744463161555</v>
      </c>
      <c r="AK899" s="79"/>
      <c r="AL899" s="35">
        <f t="shared" ref="AL899:AT899" si="2010">+AL917</f>
        <v>450</v>
      </c>
      <c r="AM899" s="35">
        <f t="shared" si="2010"/>
        <v>571</v>
      </c>
      <c r="AN899" s="35">
        <f t="shared" si="2010"/>
        <v>580</v>
      </c>
      <c r="AO899" s="35">
        <f t="shared" si="2010"/>
        <v>587</v>
      </c>
      <c r="AP899" s="35">
        <f t="shared" si="2010"/>
        <v>604</v>
      </c>
      <c r="AQ899" s="35">
        <f t="shared" si="2010"/>
        <v>611</v>
      </c>
      <c r="AR899" s="35">
        <f t="shared" si="2010"/>
        <v>574</v>
      </c>
      <c r="AS899" s="35">
        <f t="shared" si="2010"/>
        <v>538</v>
      </c>
      <c r="AT899" s="35">
        <f t="shared" si="2010"/>
        <v>477</v>
      </c>
      <c r="AU899" s="35">
        <f>SUM(AU897:AU898)</f>
        <v>517.48639362950928</v>
      </c>
      <c r="AV899" s="35">
        <f>SUM(AV897:AV898)</f>
        <v>520.61599999999999</v>
      </c>
      <c r="AW899" s="35">
        <f>SUM(AW897:AW898)</f>
        <v>530.81600000000003</v>
      </c>
      <c r="AX899" s="35">
        <f>SUM(AX897:AX898)</f>
        <v>550.01600000000008</v>
      </c>
    </row>
    <row r="900" spans="2:79" ht="10.5">
      <c r="C900" s="45"/>
      <c r="E900" s="575"/>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79"/>
      <c r="AL900" s="30"/>
      <c r="AM900" s="30"/>
      <c r="AN900" s="30"/>
      <c r="AO900" s="30"/>
      <c r="AP900" s="30"/>
      <c r="AQ900" s="31"/>
      <c r="AR900" s="31"/>
      <c r="AS900" s="30"/>
      <c r="AT900" s="30"/>
      <c r="AU900" s="30"/>
      <c r="AV900" s="30"/>
      <c r="AW900" s="30"/>
      <c r="AX900" s="30"/>
    </row>
    <row r="901" spans="2:79" ht="10.5">
      <c r="C901" s="36" t="s">
        <v>1076</v>
      </c>
      <c r="E901" s="575"/>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79"/>
      <c r="AL901" s="30"/>
      <c r="AM901" s="30"/>
      <c r="AN901" s="30"/>
      <c r="AO901" s="30"/>
      <c r="AP901" s="30"/>
      <c r="AQ901" s="31"/>
      <c r="AR901" s="31"/>
      <c r="AS901" s="30"/>
      <c r="AT901" s="30"/>
      <c r="AU901" s="30"/>
      <c r="AV901" s="30"/>
      <c r="AW901" s="30"/>
      <c r="AX901" s="30"/>
    </row>
    <row r="902" spans="2:79" ht="10.5">
      <c r="C902" s="44" t="str">
        <f>+C249</f>
        <v>Additives &amp; Functional Products</v>
      </c>
      <c r="E902" s="521">
        <f t="shared" ref="E902:AF902" si="2011">+E346/E899</f>
        <v>0.35862068965517241</v>
      </c>
      <c r="F902" s="521">
        <f t="shared" si="2011"/>
        <v>0.35862068965517241</v>
      </c>
      <c r="G902" s="521">
        <f t="shared" si="2011"/>
        <v>0.35862068965517241</v>
      </c>
      <c r="H902" s="521">
        <f t="shared" si="2011"/>
        <v>0.35862068965517241</v>
      </c>
      <c r="I902" s="521">
        <f t="shared" si="2011"/>
        <v>0.36286201022146508</v>
      </c>
      <c r="J902" s="521">
        <f t="shared" si="2011"/>
        <v>0.36286201022146503</v>
      </c>
      <c r="K902" s="521">
        <f t="shared" si="2011"/>
        <v>0.36286201022146503</v>
      </c>
      <c r="L902" s="521">
        <f t="shared" si="2011"/>
        <v>0.36286201022146503</v>
      </c>
      <c r="M902" s="521">
        <f t="shared" si="2011"/>
        <v>0.36258278145695366</v>
      </c>
      <c r="N902" s="521">
        <f t="shared" si="2011"/>
        <v>0.36258278145695366</v>
      </c>
      <c r="O902" s="521">
        <f t="shared" si="2011"/>
        <v>0.36258278145695366</v>
      </c>
      <c r="P902" s="521">
        <f t="shared" si="2011"/>
        <v>0.36258278145695366</v>
      </c>
      <c r="Q902" s="521">
        <f t="shared" si="2011"/>
        <v>0.28805237315875615</v>
      </c>
      <c r="R902" s="521">
        <f t="shared" si="2011"/>
        <v>0.28805237315875609</v>
      </c>
      <c r="S902" s="521">
        <f t="shared" si="2011"/>
        <v>0.28805237315875615</v>
      </c>
      <c r="T902" s="521">
        <f t="shared" si="2011"/>
        <v>0.28805237315875615</v>
      </c>
      <c r="U902" s="521">
        <f t="shared" si="2011"/>
        <v>0.22996515679442509</v>
      </c>
      <c r="V902" s="521">
        <f t="shared" si="2011"/>
        <v>0.22996515679442511</v>
      </c>
      <c r="W902" s="521">
        <f t="shared" si="2011"/>
        <v>0.22996515679442509</v>
      </c>
      <c r="X902" s="521">
        <f t="shared" si="2011"/>
        <v>0.22996515679442506</v>
      </c>
      <c r="Y902" s="521">
        <f t="shared" si="2011"/>
        <v>0.26208178438661711</v>
      </c>
      <c r="Z902" s="521">
        <f t="shared" si="2011"/>
        <v>0.26208178438661711</v>
      </c>
      <c r="AA902" s="521">
        <f t="shared" si="2011"/>
        <v>0.26208178438661711</v>
      </c>
      <c r="AB902" s="521">
        <f t="shared" si="2011"/>
        <v>0.26208178438661711</v>
      </c>
      <c r="AC902" s="521">
        <f t="shared" si="2011"/>
        <v>0.29769392033542974</v>
      </c>
      <c r="AD902" s="521">
        <f t="shared" si="2011"/>
        <v>0.2976939203354298</v>
      </c>
      <c r="AE902" s="521">
        <f t="shared" si="2011"/>
        <v>0.29769392033542974</v>
      </c>
      <c r="AF902" s="521">
        <f t="shared" si="2011"/>
        <v>0.29769392033542974</v>
      </c>
      <c r="AG902" s="521">
        <f t="shared" ref="AG902" si="2012">+AG346/AG899</f>
        <v>0.2976939203354298</v>
      </c>
      <c r="AH902" s="577">
        <f t="shared" ref="AH902:AH906" si="2013">+AG902</f>
        <v>0.2976939203354298</v>
      </c>
      <c r="AI902" s="577">
        <f t="shared" ref="AI902:AI906" si="2014">+AH902</f>
        <v>0.2976939203354298</v>
      </c>
      <c r="AJ902" s="577">
        <f t="shared" ref="AJ902:AJ906" si="2015">+AI902</f>
        <v>0.2976939203354298</v>
      </c>
      <c r="AK902" s="79"/>
      <c r="AL902" s="521">
        <f t="shared" ref="AL902:AU902" si="2016">+AL346/AL899</f>
        <v>0.32666666666666666</v>
      </c>
      <c r="AM902" s="521">
        <f t="shared" si="2016"/>
        <v>0.35551663747810858</v>
      </c>
      <c r="AN902" s="521">
        <f t="shared" si="2016"/>
        <v>0.35862068965517241</v>
      </c>
      <c r="AO902" s="521">
        <f t="shared" si="2016"/>
        <v>0.36286201022146508</v>
      </c>
      <c r="AP902" s="521">
        <f t="shared" si="2016"/>
        <v>0.36258278145695366</v>
      </c>
      <c r="AQ902" s="521">
        <f t="shared" si="2016"/>
        <v>0.28805237315875615</v>
      </c>
      <c r="AR902" s="521">
        <f t="shared" si="2016"/>
        <v>0.22996515679442509</v>
      </c>
      <c r="AS902" s="521">
        <f t="shared" si="2016"/>
        <v>0.26208178438661711</v>
      </c>
      <c r="AT902" s="521">
        <f t="shared" si="2016"/>
        <v>0.2976939203354298</v>
      </c>
      <c r="AU902" s="521">
        <f t="shared" si="2016"/>
        <v>0.30157698660925114</v>
      </c>
      <c r="AV902" s="577">
        <f>+AU902</f>
        <v>0.30157698660925114</v>
      </c>
      <c r="AW902" s="577">
        <f>+AV902</f>
        <v>0.30157698660925114</v>
      </c>
      <c r="AX902" s="577">
        <f>+AW902</f>
        <v>0.30157698660925114</v>
      </c>
    </row>
    <row r="903" spans="2:79" ht="10.5">
      <c r="C903" s="44" t="str">
        <f>+C664</f>
        <v>Advanced Materials</v>
      </c>
      <c r="E903" s="521">
        <f t="shared" ref="E903:AF903" si="2017">+E401/E899</f>
        <v>0.27586206896551724</v>
      </c>
      <c r="F903" s="521">
        <f t="shared" si="2017"/>
        <v>0.27586206896551724</v>
      </c>
      <c r="G903" s="521">
        <f t="shared" si="2017"/>
        <v>0.27586206896551724</v>
      </c>
      <c r="H903" s="521">
        <f t="shared" si="2017"/>
        <v>0.27586206896551724</v>
      </c>
      <c r="I903" s="521">
        <f t="shared" si="2017"/>
        <v>0.27938671209540034</v>
      </c>
      <c r="J903" s="521">
        <f t="shared" si="2017"/>
        <v>0.27938671209540028</v>
      </c>
      <c r="K903" s="521">
        <f t="shared" si="2017"/>
        <v>0.27938671209540028</v>
      </c>
      <c r="L903" s="521">
        <f t="shared" si="2017"/>
        <v>0.27938671209540028</v>
      </c>
      <c r="M903" s="521">
        <f t="shared" si="2017"/>
        <v>0.27980132450331124</v>
      </c>
      <c r="N903" s="521">
        <f t="shared" si="2017"/>
        <v>0.2798013245033113</v>
      </c>
      <c r="O903" s="521">
        <f t="shared" si="2017"/>
        <v>0.27980132450331124</v>
      </c>
      <c r="P903" s="521">
        <f t="shared" si="2017"/>
        <v>0.2798013245033113</v>
      </c>
      <c r="Q903" s="521">
        <f t="shared" si="2017"/>
        <v>0.28150572831423898</v>
      </c>
      <c r="R903" s="521">
        <f t="shared" si="2017"/>
        <v>0.28150572831423892</v>
      </c>
      <c r="S903" s="521">
        <f t="shared" si="2017"/>
        <v>0.28150572831423892</v>
      </c>
      <c r="T903" s="521">
        <f t="shared" si="2017"/>
        <v>0.28150572831423898</v>
      </c>
      <c r="U903" s="521">
        <f t="shared" si="2017"/>
        <v>0.32578397212543553</v>
      </c>
      <c r="V903" s="521">
        <f t="shared" si="2017"/>
        <v>0.32578397212543553</v>
      </c>
      <c r="W903" s="521">
        <f t="shared" si="2017"/>
        <v>0.32578397212543547</v>
      </c>
      <c r="X903" s="521">
        <f t="shared" si="2017"/>
        <v>0.32578397212543547</v>
      </c>
      <c r="Y903" s="521">
        <f t="shared" si="2017"/>
        <v>0.32899628252788105</v>
      </c>
      <c r="Z903" s="521">
        <f t="shared" si="2017"/>
        <v>0.32899628252788105</v>
      </c>
      <c r="AA903" s="521">
        <f t="shared" si="2017"/>
        <v>0.32899628252788105</v>
      </c>
      <c r="AB903" s="521">
        <f t="shared" si="2017"/>
        <v>0.32899628252788105</v>
      </c>
      <c r="AC903" s="521">
        <f t="shared" si="2017"/>
        <v>0.34171907756813413</v>
      </c>
      <c r="AD903" s="521">
        <f t="shared" si="2017"/>
        <v>0.34171907756813419</v>
      </c>
      <c r="AE903" s="521">
        <f t="shared" si="2017"/>
        <v>0.34171907756813419</v>
      </c>
      <c r="AF903" s="521">
        <f t="shared" si="2017"/>
        <v>0.34171907756813419</v>
      </c>
      <c r="AG903" s="521">
        <f t="shared" ref="AG903" si="2018">+AG401/AG899</f>
        <v>0.34171907756813419</v>
      </c>
      <c r="AH903" s="577">
        <f t="shared" si="2013"/>
        <v>0.34171907756813419</v>
      </c>
      <c r="AI903" s="577">
        <f t="shared" si="2014"/>
        <v>0.34171907756813419</v>
      </c>
      <c r="AJ903" s="577">
        <f t="shared" si="2015"/>
        <v>0.34171907756813419</v>
      </c>
      <c r="AK903" s="79"/>
      <c r="AL903" s="521">
        <f t="shared" ref="AL903:AU903" si="2019">+AL401/AL899</f>
        <v>0.31777777777777777</v>
      </c>
      <c r="AM903" s="521">
        <f t="shared" si="2019"/>
        <v>0.28196147110332748</v>
      </c>
      <c r="AN903" s="521">
        <f t="shared" si="2019"/>
        <v>0.27586206896551724</v>
      </c>
      <c r="AO903" s="521">
        <f t="shared" si="2019"/>
        <v>0.27938671209540034</v>
      </c>
      <c r="AP903" s="521">
        <f t="shared" si="2019"/>
        <v>0.27980132450331124</v>
      </c>
      <c r="AQ903" s="521">
        <f t="shared" si="2019"/>
        <v>0.28150572831423898</v>
      </c>
      <c r="AR903" s="521">
        <f t="shared" si="2019"/>
        <v>0.32578397212543553</v>
      </c>
      <c r="AS903" s="521">
        <f t="shared" si="2019"/>
        <v>0.32899628252788105</v>
      </c>
      <c r="AT903" s="521">
        <f t="shared" si="2019"/>
        <v>0.34171907756813419</v>
      </c>
      <c r="AU903" s="521">
        <f t="shared" si="2019"/>
        <v>0.34617640012188683</v>
      </c>
      <c r="AV903" s="577">
        <f t="shared" ref="AV903:AX906" si="2020">+AU903</f>
        <v>0.34617640012188683</v>
      </c>
      <c r="AW903" s="577">
        <f t="shared" si="2020"/>
        <v>0.34617640012188683</v>
      </c>
      <c r="AX903" s="577">
        <f t="shared" si="2020"/>
        <v>0.34617640012188683</v>
      </c>
    </row>
    <row r="904" spans="2:79" ht="10.5">
      <c r="C904" s="44" t="str">
        <f>+C681</f>
        <v>Chemical Intermediates</v>
      </c>
      <c r="E904" s="521">
        <f t="shared" ref="E904:AF904" si="2021">+E482/E899</f>
        <v>0.27068965517241383</v>
      </c>
      <c r="F904" s="521">
        <f t="shared" si="2021"/>
        <v>0.27068965517241383</v>
      </c>
      <c r="G904" s="521">
        <f t="shared" si="2021"/>
        <v>0.27068965517241378</v>
      </c>
      <c r="H904" s="521">
        <f t="shared" si="2021"/>
        <v>0.27068965517241383</v>
      </c>
      <c r="I904" s="521">
        <f t="shared" si="2021"/>
        <v>0.25212947189097107</v>
      </c>
      <c r="J904" s="521">
        <f t="shared" si="2021"/>
        <v>0.25212947189097101</v>
      </c>
      <c r="K904" s="521">
        <f t="shared" si="2021"/>
        <v>0.25212947189097101</v>
      </c>
      <c r="L904" s="521">
        <f t="shared" si="2021"/>
        <v>0.25212947189097101</v>
      </c>
      <c r="M904" s="521">
        <f t="shared" si="2021"/>
        <v>0.25</v>
      </c>
      <c r="N904" s="521">
        <f t="shared" si="2021"/>
        <v>0.25</v>
      </c>
      <c r="O904" s="521">
        <f t="shared" si="2021"/>
        <v>0.25</v>
      </c>
      <c r="P904" s="521">
        <f t="shared" si="2021"/>
        <v>0.25</v>
      </c>
      <c r="Q904" s="521">
        <f t="shared" si="2021"/>
        <v>0.16693944353518825</v>
      </c>
      <c r="R904" s="521">
        <f t="shared" si="2021"/>
        <v>0.16693944353518822</v>
      </c>
      <c r="S904" s="521">
        <f t="shared" si="2021"/>
        <v>0.16693944353518822</v>
      </c>
      <c r="T904" s="521">
        <f t="shared" si="2021"/>
        <v>0.16693944353518822</v>
      </c>
      <c r="U904" s="521">
        <f t="shared" si="2021"/>
        <v>0.1759581881533101</v>
      </c>
      <c r="V904" s="521">
        <f t="shared" si="2021"/>
        <v>0.17595818815331013</v>
      </c>
      <c r="W904" s="521">
        <f t="shared" si="2021"/>
        <v>0.17595818815331007</v>
      </c>
      <c r="X904" s="521">
        <f t="shared" si="2021"/>
        <v>0.1759581881533101</v>
      </c>
      <c r="Y904" s="521">
        <f t="shared" si="2021"/>
        <v>0.1895910780669145</v>
      </c>
      <c r="Z904" s="521">
        <f t="shared" si="2021"/>
        <v>0.1895910780669145</v>
      </c>
      <c r="AA904" s="521">
        <f t="shared" si="2021"/>
        <v>0.1895910780669145</v>
      </c>
      <c r="AB904" s="521">
        <f t="shared" si="2021"/>
        <v>0.18959107806691453</v>
      </c>
      <c r="AC904" s="521">
        <f t="shared" si="2021"/>
        <v>0.21802935010482177</v>
      </c>
      <c r="AD904" s="521">
        <f t="shared" si="2021"/>
        <v>0.2180293501048218</v>
      </c>
      <c r="AE904" s="521">
        <f t="shared" si="2021"/>
        <v>0.2180293501048218</v>
      </c>
      <c r="AF904" s="521">
        <f t="shared" si="2021"/>
        <v>0.2180293501048218</v>
      </c>
      <c r="AG904" s="521">
        <f t="shared" ref="AG904" si="2022">+AG482/AG899</f>
        <v>0.2180293501048218</v>
      </c>
      <c r="AH904" s="577">
        <f t="shared" si="2013"/>
        <v>0.2180293501048218</v>
      </c>
      <c r="AI904" s="577">
        <f t="shared" si="2014"/>
        <v>0.2180293501048218</v>
      </c>
      <c r="AJ904" s="577">
        <f t="shared" si="2015"/>
        <v>0.2180293501048218</v>
      </c>
      <c r="AK904" s="79"/>
      <c r="AL904" s="521">
        <f t="shared" ref="AL904:AU904" si="2023">+AL482/AL899</f>
        <v>0.20444444444444446</v>
      </c>
      <c r="AM904" s="521">
        <f t="shared" si="2023"/>
        <v>0.26094570928196148</v>
      </c>
      <c r="AN904" s="521">
        <f t="shared" si="2023"/>
        <v>0.27068965517241378</v>
      </c>
      <c r="AO904" s="521">
        <f t="shared" si="2023"/>
        <v>0.25212947189097101</v>
      </c>
      <c r="AP904" s="521">
        <f t="shared" si="2023"/>
        <v>0.25</v>
      </c>
      <c r="AQ904" s="521">
        <f t="shared" si="2023"/>
        <v>0.16693944353518822</v>
      </c>
      <c r="AR904" s="521">
        <f t="shared" si="2023"/>
        <v>0.1759581881533101</v>
      </c>
      <c r="AS904" s="521">
        <f t="shared" si="2023"/>
        <v>0.1895910780669145</v>
      </c>
      <c r="AT904" s="521">
        <f t="shared" si="2023"/>
        <v>0.2180293501048218</v>
      </c>
      <c r="AU904" s="521">
        <f t="shared" si="2023"/>
        <v>0.22087328596733882</v>
      </c>
      <c r="AV904" s="577">
        <f t="shared" si="2020"/>
        <v>0.22087328596733882</v>
      </c>
      <c r="AW904" s="577">
        <f t="shared" si="2020"/>
        <v>0.22087328596733882</v>
      </c>
      <c r="AX904" s="577">
        <f t="shared" si="2020"/>
        <v>0.22087328596733882</v>
      </c>
    </row>
    <row r="905" spans="2:79" ht="10.5">
      <c r="C905" s="44" t="str">
        <f>+C700</f>
        <v>Fiber</v>
      </c>
      <c r="E905" s="521">
        <f t="shared" ref="E905:AF905" si="2024">+E560/E899</f>
        <v>8.793103448275863E-2</v>
      </c>
      <c r="F905" s="521">
        <f t="shared" si="2024"/>
        <v>8.7931034482758616E-2</v>
      </c>
      <c r="G905" s="521">
        <f t="shared" si="2024"/>
        <v>8.7931034482758616E-2</v>
      </c>
      <c r="H905" s="521">
        <f t="shared" si="2024"/>
        <v>8.7931034482758616E-2</v>
      </c>
      <c r="I905" s="521">
        <f t="shared" si="2024"/>
        <v>9.8807495741056225E-2</v>
      </c>
      <c r="J905" s="521">
        <f t="shared" si="2024"/>
        <v>9.8807495741056212E-2</v>
      </c>
      <c r="K905" s="521">
        <f t="shared" si="2024"/>
        <v>9.8807495741056212E-2</v>
      </c>
      <c r="L905" s="521">
        <f t="shared" si="2024"/>
        <v>9.8807495741056212E-2</v>
      </c>
      <c r="M905" s="521">
        <f t="shared" si="2024"/>
        <v>0.10596026490066225</v>
      </c>
      <c r="N905" s="521">
        <f t="shared" si="2024"/>
        <v>0.10596026490066225</v>
      </c>
      <c r="O905" s="521">
        <f t="shared" si="2024"/>
        <v>0.10596026490066225</v>
      </c>
      <c r="P905" s="521">
        <f t="shared" si="2024"/>
        <v>0.10596026490066227</v>
      </c>
      <c r="Q905" s="521">
        <f t="shared" si="2024"/>
        <v>0.10474631751227496</v>
      </c>
      <c r="R905" s="521">
        <f t="shared" si="2024"/>
        <v>0.10474631751227495</v>
      </c>
      <c r="S905" s="521">
        <f t="shared" si="2024"/>
        <v>0.10474631751227496</v>
      </c>
      <c r="T905" s="521">
        <f t="shared" si="2024"/>
        <v>0.10474631751227496</v>
      </c>
      <c r="U905" s="521">
        <f t="shared" si="2024"/>
        <v>9.7560975609756101E-2</v>
      </c>
      <c r="V905" s="521">
        <f t="shared" si="2024"/>
        <v>9.7560975609756101E-2</v>
      </c>
      <c r="W905" s="521">
        <f t="shared" si="2024"/>
        <v>9.7560975609756087E-2</v>
      </c>
      <c r="X905" s="521">
        <f t="shared" si="2024"/>
        <v>9.7560975609756087E-2</v>
      </c>
      <c r="Y905" s="521">
        <f t="shared" si="2024"/>
        <v>0.11152416356877325</v>
      </c>
      <c r="Z905" s="521">
        <f t="shared" si="2024"/>
        <v>0.11152416356877323</v>
      </c>
      <c r="AA905" s="521">
        <f t="shared" si="2024"/>
        <v>0.11152416356877325</v>
      </c>
      <c r="AB905" s="521">
        <f t="shared" si="2024"/>
        <v>0.11152416356877323</v>
      </c>
      <c r="AC905" s="521">
        <f t="shared" si="2024"/>
        <v>0.12788259958071277</v>
      </c>
      <c r="AD905" s="521">
        <f t="shared" si="2024"/>
        <v>0.1278825995807128</v>
      </c>
      <c r="AE905" s="521">
        <f t="shared" si="2024"/>
        <v>0.1278825995807128</v>
      </c>
      <c r="AF905" s="521">
        <f t="shared" si="2024"/>
        <v>0.1278825995807128</v>
      </c>
      <c r="AG905" s="521">
        <f t="shared" ref="AG905" si="2025">+AG560/AG899</f>
        <v>0.12788259958071277</v>
      </c>
      <c r="AH905" s="577">
        <f t="shared" si="2013"/>
        <v>0.12788259958071277</v>
      </c>
      <c r="AI905" s="577">
        <f t="shared" si="2014"/>
        <v>0.12788259958071277</v>
      </c>
      <c r="AJ905" s="577">
        <f t="shared" si="2015"/>
        <v>0.12788259958071277</v>
      </c>
      <c r="AK905" s="79"/>
      <c r="AL905" s="521">
        <f t="shared" ref="AL905:AU905" si="2026">+AL560/AL899</f>
        <v>0.14666666666666667</v>
      </c>
      <c r="AM905" s="521">
        <f t="shared" si="2026"/>
        <v>9.6322241681260939E-2</v>
      </c>
      <c r="AN905" s="521">
        <f t="shared" si="2026"/>
        <v>8.7931034482758616E-2</v>
      </c>
      <c r="AO905" s="521">
        <f t="shared" si="2026"/>
        <v>9.8807495741056212E-2</v>
      </c>
      <c r="AP905" s="521">
        <f t="shared" si="2026"/>
        <v>0.10596026490066225</v>
      </c>
      <c r="AQ905" s="521">
        <f t="shared" si="2026"/>
        <v>0.10474631751227496</v>
      </c>
      <c r="AR905" s="521">
        <f t="shared" si="2026"/>
        <v>9.7560975609756101E-2</v>
      </c>
      <c r="AS905" s="521">
        <f t="shared" si="2026"/>
        <v>0.11152416356877323</v>
      </c>
      <c r="AT905" s="521">
        <f t="shared" si="2026"/>
        <v>0.1278825995807128</v>
      </c>
      <c r="AU905" s="521">
        <f t="shared" si="2026"/>
        <v>0.12955067734622758</v>
      </c>
      <c r="AV905" s="577">
        <f t="shared" si="2020"/>
        <v>0.12955067734622758</v>
      </c>
      <c r="AW905" s="577">
        <f t="shared" si="2020"/>
        <v>0.12955067734622758</v>
      </c>
      <c r="AX905" s="577">
        <f t="shared" si="2020"/>
        <v>0.12955067734622758</v>
      </c>
    </row>
    <row r="906" spans="2:79" ht="10.5">
      <c r="C906" s="44" t="s">
        <v>108</v>
      </c>
      <c r="E906" s="521">
        <f t="shared" ref="E906:AF906" si="2027">+E614/E899</f>
        <v>6.8965517241379309E-3</v>
      </c>
      <c r="F906" s="521">
        <f t="shared" si="2027"/>
        <v>6.8965517241379309E-3</v>
      </c>
      <c r="G906" s="521">
        <f t="shared" si="2027"/>
        <v>6.8965517241379309E-3</v>
      </c>
      <c r="H906" s="521">
        <f t="shared" si="2027"/>
        <v>6.8965517241379309E-3</v>
      </c>
      <c r="I906" s="521">
        <f t="shared" si="2027"/>
        <v>6.8143100511073255E-3</v>
      </c>
      <c r="J906" s="521">
        <f t="shared" si="2027"/>
        <v>6.8143100511073246E-3</v>
      </c>
      <c r="K906" s="521">
        <f t="shared" si="2027"/>
        <v>6.8143100511073246E-3</v>
      </c>
      <c r="L906" s="521">
        <f t="shared" si="2027"/>
        <v>6.8143100511073246E-3</v>
      </c>
      <c r="M906" s="521">
        <f t="shared" si="2027"/>
        <v>1.6556291390728477E-3</v>
      </c>
      <c r="N906" s="521">
        <f t="shared" si="2027"/>
        <v>1.6556291390728477E-3</v>
      </c>
      <c r="O906" s="521">
        <f t="shared" si="2027"/>
        <v>1.6556291390728477E-3</v>
      </c>
      <c r="P906" s="521">
        <f t="shared" si="2027"/>
        <v>1.6556291390728479E-3</v>
      </c>
      <c r="Q906" s="521">
        <f t="shared" si="2027"/>
        <v>1.1456628477905073E-2</v>
      </c>
      <c r="R906" s="521">
        <f t="shared" si="2027"/>
        <v>1.1456628477905073E-2</v>
      </c>
      <c r="S906" s="521">
        <f t="shared" si="2027"/>
        <v>1.1456628477905073E-2</v>
      </c>
      <c r="T906" s="521">
        <f t="shared" si="2027"/>
        <v>1.1456628477905073E-2</v>
      </c>
      <c r="U906" s="521">
        <f t="shared" si="2027"/>
        <v>5.2264808362369342E-3</v>
      </c>
      <c r="V906" s="521">
        <f t="shared" si="2027"/>
        <v>5.2264808362369342E-3</v>
      </c>
      <c r="W906" s="521">
        <f t="shared" si="2027"/>
        <v>5.2264808362369334E-3</v>
      </c>
      <c r="X906" s="521">
        <f t="shared" si="2027"/>
        <v>5.2264808362369334E-3</v>
      </c>
      <c r="Y906" s="521">
        <f t="shared" si="2027"/>
        <v>7.4349442379182161E-3</v>
      </c>
      <c r="Z906" s="521">
        <f t="shared" si="2027"/>
        <v>7.4349442379182161E-3</v>
      </c>
      <c r="AA906" s="521">
        <f t="shared" si="2027"/>
        <v>7.4349442379182161E-3</v>
      </c>
      <c r="AB906" s="521">
        <f t="shared" si="2027"/>
        <v>7.4349442379182161E-3</v>
      </c>
      <c r="AC906" s="521">
        <f t="shared" si="2027"/>
        <v>1.4675052410901467E-2</v>
      </c>
      <c r="AD906" s="521">
        <f t="shared" si="2027"/>
        <v>1.4675052410901468E-2</v>
      </c>
      <c r="AE906" s="521">
        <f t="shared" si="2027"/>
        <v>1.4675052410901468E-2</v>
      </c>
      <c r="AF906" s="521">
        <f t="shared" si="2027"/>
        <v>1.4675052410901468E-2</v>
      </c>
      <c r="AG906" s="521">
        <f t="shared" ref="AG906" si="2028">+AG614/AG899</f>
        <v>1.4675052410901467E-2</v>
      </c>
      <c r="AH906" s="577">
        <f t="shared" si="2013"/>
        <v>1.4675052410901467E-2</v>
      </c>
      <c r="AI906" s="577">
        <f t="shared" si="2014"/>
        <v>1.4675052410901467E-2</v>
      </c>
      <c r="AJ906" s="577">
        <f t="shared" si="2015"/>
        <v>1.4675052410901467E-2</v>
      </c>
      <c r="AK906" s="79"/>
      <c r="AL906" s="521">
        <f t="shared" ref="AL906:AU906" si="2029">+AL614/AL899</f>
        <v>4.4444444444444444E-3</v>
      </c>
      <c r="AM906" s="521">
        <f t="shared" si="2029"/>
        <v>5.2539404553415062E-3</v>
      </c>
      <c r="AN906" s="521">
        <f t="shared" si="2029"/>
        <v>6.8965517241379309E-3</v>
      </c>
      <c r="AO906" s="521">
        <f t="shared" si="2029"/>
        <v>6.8143100511073255E-3</v>
      </c>
      <c r="AP906" s="521">
        <f t="shared" si="2029"/>
        <v>1.6556291390728477E-3</v>
      </c>
      <c r="AQ906" s="521">
        <f t="shared" si="2029"/>
        <v>1.1456628477905073E-2</v>
      </c>
      <c r="AR906" s="521">
        <f t="shared" si="2029"/>
        <v>5.2264808362369342E-3</v>
      </c>
      <c r="AS906" s="521">
        <f t="shared" si="2029"/>
        <v>7.4349442379182153E-3</v>
      </c>
      <c r="AT906" s="521">
        <f t="shared" si="2029"/>
        <v>1.4675052410901468E-2</v>
      </c>
      <c r="AU906" s="521">
        <f t="shared" si="2029"/>
        <v>1.4866471170878573E-2</v>
      </c>
      <c r="AV906" s="577">
        <f t="shared" si="2020"/>
        <v>1.4866471170878573E-2</v>
      </c>
      <c r="AW906" s="577">
        <f t="shared" si="2020"/>
        <v>1.4866471170878573E-2</v>
      </c>
      <c r="AX906" s="577">
        <f t="shared" si="2020"/>
        <v>1.4866471170878573E-2</v>
      </c>
    </row>
    <row r="907" spans="2:79" ht="10.5">
      <c r="C907" s="45" t="s">
        <v>168</v>
      </c>
      <c r="E907" s="576">
        <f t="shared" ref="E907:T907" si="2030">+SUM(E902:E906)</f>
        <v>1</v>
      </c>
      <c r="F907" s="576">
        <f t="shared" si="2030"/>
        <v>1</v>
      </c>
      <c r="G907" s="576">
        <f t="shared" si="2030"/>
        <v>1</v>
      </c>
      <c r="H907" s="576">
        <f t="shared" si="2030"/>
        <v>1</v>
      </c>
      <c r="I907" s="576">
        <f t="shared" si="2030"/>
        <v>0.99999999999999989</v>
      </c>
      <c r="J907" s="576">
        <f t="shared" si="2030"/>
        <v>0.99999999999999989</v>
      </c>
      <c r="K907" s="576">
        <f t="shared" si="2030"/>
        <v>0.99999999999999989</v>
      </c>
      <c r="L907" s="576">
        <f t="shared" si="2030"/>
        <v>0.99999999999999989</v>
      </c>
      <c r="M907" s="576">
        <f t="shared" si="2030"/>
        <v>0.99999999999999989</v>
      </c>
      <c r="N907" s="576">
        <f t="shared" si="2030"/>
        <v>1</v>
      </c>
      <c r="O907" s="576">
        <f t="shared" si="2030"/>
        <v>0.99999999999999989</v>
      </c>
      <c r="P907" s="576">
        <f t="shared" si="2030"/>
        <v>1</v>
      </c>
      <c r="Q907" s="576">
        <f t="shared" si="2030"/>
        <v>0.85270049099836343</v>
      </c>
      <c r="R907" s="576">
        <f t="shared" si="2030"/>
        <v>0.8527004909983632</v>
      </c>
      <c r="S907" s="576">
        <f t="shared" si="2030"/>
        <v>0.85270049099836331</v>
      </c>
      <c r="T907" s="576">
        <f t="shared" si="2030"/>
        <v>0.85270049099836331</v>
      </c>
      <c r="U907" s="576">
        <f t="shared" ref="U907:AB907" si="2031">+SUM(U902:U906)</f>
        <v>0.83449477351916368</v>
      </c>
      <c r="V907" s="576">
        <f t="shared" si="2031"/>
        <v>0.83449477351916368</v>
      </c>
      <c r="W907" s="576">
        <f t="shared" si="2031"/>
        <v>0.83449477351916368</v>
      </c>
      <c r="X907" s="576">
        <f t="shared" si="2031"/>
        <v>0.83449477351916357</v>
      </c>
      <c r="Y907" s="576">
        <f t="shared" si="2031"/>
        <v>0.89962825278810421</v>
      </c>
      <c r="Z907" s="576">
        <f t="shared" si="2031"/>
        <v>0.89962825278810421</v>
      </c>
      <c r="AA907" s="576">
        <f t="shared" si="2031"/>
        <v>0.89962825278810421</v>
      </c>
      <c r="AB907" s="576">
        <f t="shared" si="2031"/>
        <v>0.89962825278810421</v>
      </c>
      <c r="AC907" s="750">
        <f>+SUM(AC902:AC906)</f>
        <v>1</v>
      </c>
      <c r="AD907" s="576">
        <f>+SUM(AD902:AD906)</f>
        <v>1</v>
      </c>
      <c r="AE907" s="576">
        <f>+SUM(AE902:AE906)</f>
        <v>1</v>
      </c>
      <c r="AF907" s="576">
        <f>+SUM(AF902:AF906)</f>
        <v>1</v>
      </c>
      <c r="AG907" s="576">
        <f>+SUM(AG902:AG906)</f>
        <v>1</v>
      </c>
      <c r="AH907" s="576">
        <f t="shared" ref="AH907:AJ907" si="2032">+SUM(AH902:AH906)</f>
        <v>1</v>
      </c>
      <c r="AI907" s="576">
        <f t="shared" si="2032"/>
        <v>1</v>
      </c>
      <c r="AJ907" s="576">
        <f t="shared" si="2032"/>
        <v>1</v>
      </c>
      <c r="AK907" s="79"/>
      <c r="AL907" s="576">
        <f t="shared" ref="AL907:AW907" si="2033">+SUM(AL902:AL906)</f>
        <v>1</v>
      </c>
      <c r="AM907" s="576">
        <f t="shared" si="2033"/>
        <v>1</v>
      </c>
      <c r="AN907" s="576">
        <f t="shared" si="2033"/>
        <v>1</v>
      </c>
      <c r="AO907" s="576">
        <f t="shared" si="2033"/>
        <v>0.99999999999999989</v>
      </c>
      <c r="AP907" s="576">
        <f t="shared" si="2033"/>
        <v>0.99999999999999989</v>
      </c>
      <c r="AQ907" s="576">
        <f t="shared" si="2033"/>
        <v>0.85270049099836331</v>
      </c>
      <c r="AR907" s="576">
        <f t="shared" si="2033"/>
        <v>0.83449477351916368</v>
      </c>
      <c r="AS907" s="576">
        <f t="shared" si="2033"/>
        <v>0.89962825278810421</v>
      </c>
      <c r="AT907" s="576">
        <f t="shared" ref="AT907:AU907" si="2034">+SUM(AT902:AT906)</f>
        <v>1</v>
      </c>
      <c r="AU907" s="576">
        <f t="shared" si="2034"/>
        <v>1.013043821215583</v>
      </c>
      <c r="AV907" s="576">
        <f t="shared" si="2033"/>
        <v>1.013043821215583</v>
      </c>
      <c r="AW907" s="576">
        <f t="shared" si="2033"/>
        <v>1.013043821215583</v>
      </c>
      <c r="AX907" s="576">
        <f t="shared" ref="AX907" si="2035">+SUM(AX902:AX906)</f>
        <v>1.013043821215583</v>
      </c>
    </row>
    <row r="908" spans="2:79" ht="10.5">
      <c r="C908" s="45"/>
      <c r="E908" s="982"/>
      <c r="F908" s="982"/>
      <c r="G908" s="982"/>
      <c r="H908" s="982"/>
      <c r="I908" s="982"/>
      <c r="J908" s="982"/>
      <c r="K908" s="982"/>
      <c r="L908" s="982"/>
      <c r="M908" s="982"/>
      <c r="N908" s="982"/>
      <c r="O908" s="982"/>
      <c r="P908" s="982"/>
      <c r="Q908" s="982"/>
      <c r="R908" s="982"/>
      <c r="S908" s="982"/>
      <c r="T908" s="982"/>
      <c r="U908" s="982"/>
      <c r="V908" s="982"/>
      <c r="W908" s="982"/>
      <c r="X908" s="982"/>
      <c r="Y908" s="982"/>
      <c r="Z908" s="982"/>
      <c r="AA908" s="982"/>
      <c r="AB908" s="982"/>
      <c r="AC908" s="983"/>
      <c r="AD908" s="982"/>
      <c r="AE908" s="982"/>
      <c r="AF908" s="982"/>
      <c r="AG908" s="982"/>
      <c r="AH908" s="982"/>
      <c r="AI908" s="982"/>
      <c r="AJ908" s="982"/>
      <c r="AK908" s="79"/>
      <c r="AL908" s="982"/>
      <c r="AM908" s="982"/>
      <c r="AN908" s="982"/>
      <c r="AO908" s="982"/>
      <c r="AP908" s="982"/>
      <c r="AQ908" s="982"/>
      <c r="AR908" s="982"/>
      <c r="AS908" s="982"/>
      <c r="AT908" s="982"/>
      <c r="AU908" s="982"/>
      <c r="AV908" s="982"/>
      <c r="AW908" s="982"/>
      <c r="AX908" s="982"/>
    </row>
    <row r="909" spans="2:79" ht="10.5">
      <c r="C909" s="45" t="str">
        <f>C932</f>
        <v>Net cash provided by operating activities</v>
      </c>
      <c r="E909" s="129">
        <f>E932</f>
        <v>51</v>
      </c>
      <c r="F909" s="129">
        <f t="shared" ref="F909:AT909" si="2036">F932</f>
        <v>494</v>
      </c>
      <c r="G909" s="129">
        <f t="shared" si="2036"/>
        <v>450</v>
      </c>
      <c r="H909" s="129">
        <f t="shared" si="2036"/>
        <v>390</v>
      </c>
      <c r="I909" s="129">
        <f t="shared" si="2036"/>
        <v>52</v>
      </c>
      <c r="J909" s="129">
        <f t="shared" si="2036"/>
        <v>431</v>
      </c>
      <c r="K909" s="129">
        <f t="shared" si="2036"/>
        <v>528</v>
      </c>
      <c r="L909" s="129">
        <f t="shared" si="2036"/>
        <v>646</v>
      </c>
      <c r="M909" s="129">
        <f t="shared" si="2036"/>
        <v>-35</v>
      </c>
      <c r="N909" s="129">
        <f t="shared" si="2036"/>
        <v>443</v>
      </c>
      <c r="O909" s="129">
        <f t="shared" si="2036"/>
        <v>395</v>
      </c>
      <c r="P909" s="129">
        <f t="shared" si="2036"/>
        <v>740</v>
      </c>
      <c r="Q909" s="129">
        <f t="shared" si="2036"/>
        <v>-5</v>
      </c>
      <c r="R909" s="129">
        <f t="shared" si="2036"/>
        <v>422</v>
      </c>
      <c r="S909" s="129">
        <f t="shared" si="2036"/>
        <v>416</v>
      </c>
      <c r="T909" s="129">
        <f t="shared" si="2036"/>
        <v>671</v>
      </c>
      <c r="U909" s="129">
        <f t="shared" si="2036"/>
        <v>171</v>
      </c>
      <c r="V909" s="129">
        <f t="shared" si="2036"/>
        <v>436</v>
      </c>
      <c r="W909" s="129">
        <f t="shared" si="2036"/>
        <v>442</v>
      </c>
      <c r="X909" s="129">
        <f t="shared" si="2036"/>
        <v>406</v>
      </c>
      <c r="Y909" s="129">
        <f t="shared" si="2036"/>
        <v>216</v>
      </c>
      <c r="Z909" s="129">
        <f t="shared" si="2036"/>
        <v>426</v>
      </c>
      <c r="AA909" s="129">
        <f t="shared" si="2036"/>
        <v>547</v>
      </c>
      <c r="AB909" s="129">
        <f t="shared" si="2036"/>
        <v>430</v>
      </c>
      <c r="AC909" s="129">
        <f t="shared" si="2036"/>
        <v>17</v>
      </c>
      <c r="AD909" s="129">
        <f t="shared" si="2036"/>
        <v>245</v>
      </c>
      <c r="AE909" s="129">
        <f t="shared" si="2036"/>
        <v>256</v>
      </c>
      <c r="AF909" s="129">
        <f t="shared" si="2036"/>
        <v>457</v>
      </c>
      <c r="AG909" s="129">
        <f t="shared" ref="AG909" si="2037">AG932</f>
        <v>-2</v>
      </c>
      <c r="AH909" s="129">
        <f ca="1">AH932</f>
        <v>711.09773181773767</v>
      </c>
      <c r="AI909" s="129">
        <f ca="1">AI932</f>
        <v>406.56913256371757</v>
      </c>
      <c r="AJ909" s="129">
        <f ca="1">AJ932</f>
        <v>344.12274629599938</v>
      </c>
      <c r="AK909" s="129"/>
      <c r="AL909" s="129">
        <f t="shared" si="2036"/>
        <v>1433</v>
      </c>
      <c r="AM909" s="129">
        <f t="shared" si="2036"/>
        <v>1624</v>
      </c>
      <c r="AN909" s="129">
        <f t="shared" si="2036"/>
        <v>1385</v>
      </c>
      <c r="AO909" s="129">
        <f t="shared" si="2036"/>
        <v>1657</v>
      </c>
      <c r="AP909" s="129">
        <f t="shared" si="2036"/>
        <v>1543</v>
      </c>
      <c r="AQ909" s="129">
        <f t="shared" si="2036"/>
        <v>1504</v>
      </c>
      <c r="AR909" s="129">
        <f t="shared" si="2036"/>
        <v>1455</v>
      </c>
      <c r="AS909" s="129">
        <f t="shared" si="2036"/>
        <v>1619</v>
      </c>
      <c r="AT909" s="129">
        <f t="shared" si="2036"/>
        <v>975</v>
      </c>
      <c r="AU909" s="129">
        <f ca="1">AU932</f>
        <v>1459.7896106774547</v>
      </c>
      <c r="AV909" s="129">
        <f ca="1">AV932</f>
        <v>1403.1268858515066</v>
      </c>
      <c r="AW909" s="129">
        <f ca="1">AW932</f>
        <v>1437.703104279977</v>
      </c>
      <c r="AX909" s="129">
        <f ca="1">AX932</f>
        <v>1663.2725227583019</v>
      </c>
    </row>
    <row r="910" spans="2:79" ht="10.5">
      <c r="C910" s="45" t="str">
        <f>C934</f>
        <v>Additions to properties and equipment</v>
      </c>
      <c r="E910" s="129">
        <f>E934</f>
        <v>-110</v>
      </c>
      <c r="F910" s="129">
        <f t="shared" ref="F910:AX910" si="2038">F934</f>
        <v>-124</v>
      </c>
      <c r="G910" s="129">
        <f t="shared" si="2038"/>
        <v>-141</v>
      </c>
      <c r="H910" s="129">
        <f t="shared" si="2038"/>
        <v>-251</v>
      </c>
      <c r="I910" s="129">
        <f t="shared" si="2038"/>
        <v>-133</v>
      </c>
      <c r="J910" s="129">
        <f t="shared" si="2038"/>
        <v>-146</v>
      </c>
      <c r="K910" s="129">
        <f t="shared" si="2038"/>
        <v>-159</v>
      </c>
      <c r="L910" s="129">
        <f t="shared" si="2038"/>
        <v>-211</v>
      </c>
      <c r="M910" s="129">
        <f t="shared" si="2038"/>
        <v>-128</v>
      </c>
      <c r="N910" s="129">
        <f t="shared" si="2038"/>
        <v>-116</v>
      </c>
      <c r="O910" s="129">
        <f t="shared" si="2038"/>
        <v>-137</v>
      </c>
      <c r="P910" s="129">
        <f t="shared" si="2038"/>
        <v>-147</v>
      </c>
      <c r="Q910" s="129">
        <f t="shared" si="2038"/>
        <v>-106</v>
      </c>
      <c r="R910" s="129">
        <f t="shared" si="2038"/>
        <v>-92</v>
      </c>
      <c r="S910" s="129">
        <f t="shared" si="2038"/>
        <v>-110</v>
      </c>
      <c r="T910" s="129">
        <f t="shared" si="2038"/>
        <v>-117</v>
      </c>
      <c r="U910" s="129">
        <f t="shared" si="2038"/>
        <v>-101</v>
      </c>
      <c r="V910" s="129">
        <f t="shared" si="2038"/>
        <v>-99</v>
      </c>
      <c r="W910" s="129">
        <f t="shared" si="2038"/>
        <v>-78</v>
      </c>
      <c r="X910" s="129">
        <f t="shared" si="2038"/>
        <v>-118</v>
      </c>
      <c r="Y910" s="129">
        <f t="shared" si="2038"/>
        <v>-97</v>
      </c>
      <c r="Z910" s="129">
        <f t="shared" si="2038"/>
        <v>-113</v>
      </c>
      <c r="AA910" s="129">
        <f t="shared" si="2038"/>
        <v>-123</v>
      </c>
      <c r="AB910" s="129">
        <f t="shared" si="2038"/>
        <v>-245</v>
      </c>
      <c r="AC910" s="129">
        <f t="shared" si="2038"/>
        <v>-115</v>
      </c>
      <c r="AD910" s="129">
        <f t="shared" si="2038"/>
        <v>-139</v>
      </c>
      <c r="AE910" s="129">
        <f t="shared" si="2038"/>
        <v>-164</v>
      </c>
      <c r="AF910" s="129">
        <f t="shared" si="2038"/>
        <v>-206</v>
      </c>
      <c r="AG910" s="129">
        <f t="shared" ref="AG910" si="2039">AG934</f>
        <v>-174</v>
      </c>
      <c r="AH910" s="129">
        <f t="shared" si="2038"/>
        <v>-200</v>
      </c>
      <c r="AI910" s="129">
        <f t="shared" si="2038"/>
        <v>-200</v>
      </c>
      <c r="AJ910" s="129">
        <f t="shared" si="2038"/>
        <v>-200</v>
      </c>
      <c r="AK910" s="129"/>
      <c r="AL910" s="129">
        <f t="shared" si="2038"/>
        <v>-593</v>
      </c>
      <c r="AM910" s="129">
        <f t="shared" si="2038"/>
        <v>-652</v>
      </c>
      <c r="AN910" s="129">
        <f t="shared" si="2038"/>
        <v>-626</v>
      </c>
      <c r="AO910" s="129">
        <f t="shared" si="2038"/>
        <v>-649</v>
      </c>
      <c r="AP910" s="129">
        <f t="shared" si="2038"/>
        <v>-528</v>
      </c>
      <c r="AQ910" s="129">
        <f t="shared" si="2038"/>
        <v>-425</v>
      </c>
      <c r="AR910" s="129">
        <f t="shared" si="2038"/>
        <v>-396</v>
      </c>
      <c r="AS910" s="129">
        <f t="shared" si="2038"/>
        <v>-578</v>
      </c>
      <c r="AT910" s="129">
        <f t="shared" si="2038"/>
        <v>-624</v>
      </c>
      <c r="AU910" s="129">
        <f t="shared" si="2038"/>
        <v>-774</v>
      </c>
      <c r="AV910" s="129">
        <f t="shared" si="2038"/>
        <v>-600</v>
      </c>
      <c r="AW910" s="129">
        <f t="shared" si="2038"/>
        <v>-600</v>
      </c>
      <c r="AX910" s="129">
        <f t="shared" si="2038"/>
        <v>-500</v>
      </c>
    </row>
    <row r="911" spans="2:79" ht="10.5">
      <c r="C911" s="45"/>
      <c r="E911" s="575">
        <f>SUM(E909:E910)</f>
        <v>-59</v>
      </c>
      <c r="F911" s="575">
        <f t="shared" ref="F911:AT911" si="2040">SUM(F909:F910)</f>
        <v>370</v>
      </c>
      <c r="G911" s="575">
        <f t="shared" si="2040"/>
        <v>309</v>
      </c>
      <c r="H911" s="575">
        <f t="shared" si="2040"/>
        <v>139</v>
      </c>
      <c r="I911" s="575">
        <f t="shared" si="2040"/>
        <v>-81</v>
      </c>
      <c r="J911" s="575">
        <f t="shared" si="2040"/>
        <v>285</v>
      </c>
      <c r="K911" s="575">
        <f t="shared" si="2040"/>
        <v>369</v>
      </c>
      <c r="L911" s="575">
        <f t="shared" si="2040"/>
        <v>435</v>
      </c>
      <c r="M911" s="575">
        <f t="shared" si="2040"/>
        <v>-163</v>
      </c>
      <c r="N911" s="575">
        <f t="shared" si="2040"/>
        <v>327</v>
      </c>
      <c r="O911" s="575">
        <f t="shared" si="2040"/>
        <v>258</v>
      </c>
      <c r="P911" s="575">
        <f t="shared" si="2040"/>
        <v>593</v>
      </c>
      <c r="Q911" s="575">
        <f t="shared" si="2040"/>
        <v>-111</v>
      </c>
      <c r="R911" s="575">
        <f t="shared" si="2040"/>
        <v>330</v>
      </c>
      <c r="S911" s="575">
        <f t="shared" si="2040"/>
        <v>306</v>
      </c>
      <c r="T911" s="575">
        <f t="shared" si="2040"/>
        <v>554</v>
      </c>
      <c r="U911" s="575">
        <f t="shared" si="2040"/>
        <v>70</v>
      </c>
      <c r="V911" s="575">
        <f t="shared" si="2040"/>
        <v>337</v>
      </c>
      <c r="W911" s="575">
        <f t="shared" si="2040"/>
        <v>364</v>
      </c>
      <c r="X911" s="575">
        <f t="shared" si="2040"/>
        <v>288</v>
      </c>
      <c r="Y911" s="575">
        <f t="shared" si="2040"/>
        <v>119</v>
      </c>
      <c r="Z911" s="575">
        <f t="shared" si="2040"/>
        <v>313</v>
      </c>
      <c r="AA911" s="575">
        <f t="shared" si="2040"/>
        <v>424</v>
      </c>
      <c r="AB911" s="575">
        <f t="shared" si="2040"/>
        <v>185</v>
      </c>
      <c r="AC911" s="575">
        <f t="shared" si="2040"/>
        <v>-98</v>
      </c>
      <c r="AD911" s="575">
        <f t="shared" si="2040"/>
        <v>106</v>
      </c>
      <c r="AE911" s="575">
        <f t="shared" si="2040"/>
        <v>92</v>
      </c>
      <c r="AF911" s="575">
        <f t="shared" si="2040"/>
        <v>251</v>
      </c>
      <c r="AG911" s="575">
        <f t="shared" ref="AG911" si="2041">SUM(AG909:AG910)</f>
        <v>-176</v>
      </c>
      <c r="AH911" s="575">
        <f ca="1">SUM(AH909:AH910)</f>
        <v>511.09773181773767</v>
      </c>
      <c r="AI911" s="575">
        <f ca="1">SUM(AI909:AI910)</f>
        <v>206.56913256371757</v>
      </c>
      <c r="AJ911" s="575">
        <f ca="1">SUM(AJ909:AJ910)</f>
        <v>144.12274629599938</v>
      </c>
      <c r="AK911" s="575"/>
      <c r="AL911" s="575">
        <f t="shared" si="2040"/>
        <v>840</v>
      </c>
      <c r="AM911" s="575">
        <f t="shared" si="2040"/>
        <v>972</v>
      </c>
      <c r="AN911" s="575">
        <f t="shared" si="2040"/>
        <v>759</v>
      </c>
      <c r="AO911" s="575">
        <f t="shared" si="2040"/>
        <v>1008</v>
      </c>
      <c r="AP911" s="575">
        <f t="shared" si="2040"/>
        <v>1015</v>
      </c>
      <c r="AQ911" s="575">
        <f t="shared" si="2040"/>
        <v>1079</v>
      </c>
      <c r="AR911" s="575">
        <f t="shared" si="2040"/>
        <v>1059</v>
      </c>
      <c r="AS911" s="575">
        <f t="shared" si="2040"/>
        <v>1041</v>
      </c>
      <c r="AT911" s="575">
        <f t="shared" si="2040"/>
        <v>351</v>
      </c>
      <c r="AU911" s="575">
        <f ca="1">SUM(AU909:AU910)</f>
        <v>685.78961067745468</v>
      </c>
      <c r="AV911" s="575">
        <f ca="1">SUM(AV909:AV910)</f>
        <v>803.12688585150659</v>
      </c>
      <c r="AW911" s="575">
        <f ca="1">SUM(AW909:AW910)</f>
        <v>837.70310427997697</v>
      </c>
      <c r="AX911" s="575">
        <f ca="1">SUM(AX909:AX910)</f>
        <v>1163.2725227583019</v>
      </c>
    </row>
    <row r="912" spans="2:79" s="5" customFormat="1" ht="10.5">
      <c r="B912" s="687" t="s">
        <v>14</v>
      </c>
      <c r="C912" s="20" t="s">
        <v>69</v>
      </c>
      <c r="D912" s="20"/>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79"/>
      <c r="AL912" s="19"/>
      <c r="AM912" s="19"/>
      <c r="AN912" s="19"/>
      <c r="AO912" s="19"/>
      <c r="AP912" s="19"/>
      <c r="AQ912" s="19"/>
      <c r="AR912" s="19"/>
      <c r="AS912" s="19"/>
      <c r="AT912" s="19"/>
      <c r="AU912" s="19"/>
      <c r="AV912" s="19"/>
      <c r="AW912" s="19"/>
      <c r="AX912" s="19"/>
      <c r="AY912" s="1"/>
      <c r="AZ912" s="19"/>
      <c r="BA912" s="19"/>
      <c r="BB912" s="19"/>
      <c r="BC912" s="19"/>
      <c r="BD912" s="19"/>
      <c r="BE912" s="19"/>
      <c r="BF912" s="19"/>
      <c r="BG912" s="19"/>
      <c r="BH912" s="19"/>
      <c r="BI912" s="19"/>
      <c r="BJ912" s="19"/>
      <c r="BK912" s="19"/>
      <c r="BL912" s="19"/>
      <c r="BM912" s="19"/>
      <c r="BN912" s="19"/>
      <c r="BO912" s="19"/>
      <c r="BP912" s="19"/>
      <c r="BY912" s="829"/>
      <c r="BZ912" s="829"/>
      <c r="CA912" s="829"/>
    </row>
    <row r="913" spans="3:80" ht="11.25" customHeight="1">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79"/>
      <c r="AL913" s="1035">
        <f t="shared" ref="AL913:AU913" si="2042">+(AL46-AL920)/AL43</f>
        <v>0.13737373737373737</v>
      </c>
      <c r="AM913" s="1035">
        <f t="shared" si="2042"/>
        <v>0.14880425155004429</v>
      </c>
      <c r="AN913" s="1035">
        <f t="shared" si="2042"/>
        <v>1.2392755004766444E-2</v>
      </c>
      <c r="AO913" s="1035">
        <f t="shared" si="2042"/>
        <v>0.22885958107059737</v>
      </c>
      <c r="AP913" s="1035">
        <f t="shared" si="2042"/>
        <v>0.21145038167938932</v>
      </c>
      <c r="AQ913" s="1035">
        <f t="shared" si="2042"/>
        <v>0.1130820399113082</v>
      </c>
      <c r="AR913" s="1035">
        <f t="shared" si="2042"/>
        <v>0.28679245283018867</v>
      </c>
      <c r="AS913" s="1035">
        <f t="shared" si="2042"/>
        <v>0.23382624768946395</v>
      </c>
      <c r="AT913" s="1035">
        <f t="shared" si="2042"/>
        <v>0.32446264073694986</v>
      </c>
      <c r="AU913" s="1035">
        <f t="shared" ca="1" si="2042"/>
        <v>0.29316164025624264</v>
      </c>
      <c r="AV913" s="42">
        <f ca="1">+(AV46-AV920)</f>
        <v>374.47173727999996</v>
      </c>
      <c r="AW913" s="1035">
        <f ca="1">+(AW46-AW920)/AW43</f>
        <v>0.27534630580699704</v>
      </c>
      <c r="AX913" s="1035">
        <f ca="1">+(AX46-AX920)/AX43</f>
        <v>0.26770947271145251</v>
      </c>
      <c r="BY913" s="135"/>
    </row>
    <row r="914" spans="3:80" ht="11.25" customHeight="1">
      <c r="C914" s="36" t="s">
        <v>29</v>
      </c>
      <c r="E914" s="31">
        <f>+AZ914</f>
        <v>251</v>
      </c>
      <c r="F914" s="31">
        <f>+BA914-AZ914</f>
        <v>257</v>
      </c>
      <c r="G914" s="31">
        <f>+BB914-BA914</f>
        <v>233</v>
      </c>
      <c r="H914" s="31">
        <f>+BC914-BB914</f>
        <v>118</v>
      </c>
      <c r="I914" s="31">
        <f t="shared" ref="I914:I923" si="2043">+BD914</f>
        <v>279</v>
      </c>
      <c r="J914" s="31">
        <f t="shared" ref="J914:J923" si="2044">+BE914-BD914</f>
        <v>294</v>
      </c>
      <c r="K914" s="31">
        <f t="shared" ref="K914:K923" si="2045">+BF914-BE914</f>
        <v>324</v>
      </c>
      <c r="L914" s="31">
        <f t="shared" ref="L914:L923" si="2046">+BG914-BF914</f>
        <v>491</v>
      </c>
      <c r="M914" s="31">
        <f>+BH914</f>
        <v>290</v>
      </c>
      <c r="N914" s="31">
        <f t="shared" ref="N914:N923" si="2047">+BI914-BH914</f>
        <v>346</v>
      </c>
      <c r="O914" s="31">
        <f t="shared" ref="O914:O923" si="2048">+BJ914-BI914</f>
        <v>413</v>
      </c>
      <c r="P914" s="31">
        <f t="shared" ref="P914:P923" si="2049">+BK914-BJ914</f>
        <v>35</v>
      </c>
      <c r="Q914" s="31">
        <f>+BL914</f>
        <v>209</v>
      </c>
      <c r="R914" s="31">
        <f>+BM914-BL914</f>
        <v>259</v>
      </c>
      <c r="S914" s="31">
        <f>+BN914-BM914</f>
        <v>267</v>
      </c>
      <c r="T914" s="31">
        <f>+BO914-BN914</f>
        <v>27</v>
      </c>
      <c r="U914" s="31">
        <f>+BP914</f>
        <v>260</v>
      </c>
      <c r="V914" s="31">
        <f>+BQ914-BP914</f>
        <v>30</v>
      </c>
      <c r="W914" s="31">
        <f>+BR914-BQ914</f>
        <v>165</v>
      </c>
      <c r="X914" s="31">
        <f>+BS914-BR914</f>
        <v>34</v>
      </c>
      <c r="Y914" s="31">
        <f>+BT914</f>
        <v>277</v>
      </c>
      <c r="Z914" s="31">
        <f>+BU914-BT914</f>
        <v>-144</v>
      </c>
      <c r="AA914" s="31">
        <f>+BV914-BU914</f>
        <v>354</v>
      </c>
      <c r="AB914" s="31">
        <f>+BW914-BV914</f>
        <v>380</v>
      </c>
      <c r="AC914" s="31">
        <f>+BX914</f>
        <v>236</v>
      </c>
      <c r="AD914" s="31">
        <f>+BY914-BX914</f>
        <v>257</v>
      </c>
      <c r="AE914" s="31">
        <f>+BZ914-BY914</f>
        <v>301</v>
      </c>
      <c r="AF914" s="31">
        <f>+CA914-BZ914</f>
        <v>2</v>
      </c>
      <c r="AG914" s="31">
        <f>+CB914</f>
        <v>134</v>
      </c>
      <c r="AH914" s="30">
        <f ca="1">AH50</f>
        <v>277.32447749999994</v>
      </c>
      <c r="AI914" s="30">
        <f ca="1">AI50</f>
        <v>299.97499350000004</v>
      </c>
      <c r="AJ914" s="30">
        <f ca="1">AJ50</f>
        <v>243.55538550000006</v>
      </c>
      <c r="AK914" s="79"/>
      <c r="AL914" s="82">
        <v>757</v>
      </c>
      <c r="AM914" s="82">
        <v>854</v>
      </c>
      <c r="AN914" s="31">
        <f>SUMIF($E$6:$AK$6,AN$6,$E914:$AK914)</f>
        <v>859</v>
      </c>
      <c r="AO914" s="31">
        <f t="shared" ref="AO914:AT914" si="2050">SUMIF($E$6:$AK$6,AO$6,$E914:$AK914)</f>
        <v>1388</v>
      </c>
      <c r="AP914" s="31">
        <f t="shared" si="2050"/>
        <v>1084</v>
      </c>
      <c r="AQ914" s="31">
        <f t="shared" si="2050"/>
        <v>762</v>
      </c>
      <c r="AR914" s="31">
        <f t="shared" si="2050"/>
        <v>489</v>
      </c>
      <c r="AS914" s="31">
        <f t="shared" si="2050"/>
        <v>867</v>
      </c>
      <c r="AT914" s="31">
        <f t="shared" si="2050"/>
        <v>796</v>
      </c>
      <c r="AU914" s="31">
        <f ca="1">SUMIF($E$6:$AK$6,AU$6,$E914:$AK914)</f>
        <v>954.8548565000001</v>
      </c>
      <c r="AV914" s="30">
        <f ca="1">AV50</f>
        <v>1095.9502467199998</v>
      </c>
      <c r="AW914" s="30">
        <f ca="1">AW50</f>
        <v>1181.8164770589501</v>
      </c>
      <c r="AX914" s="30">
        <f ca="1">AX50</f>
        <v>1274.1855681450972</v>
      </c>
      <c r="AZ914" s="29">
        <v>251</v>
      </c>
      <c r="BA914" s="29">
        <v>508</v>
      </c>
      <c r="BB914" s="29">
        <v>741</v>
      </c>
      <c r="BC914" s="29">
        <v>859</v>
      </c>
      <c r="BD914" s="29">
        <v>279</v>
      </c>
      <c r="BE914" s="29">
        <v>573</v>
      </c>
      <c r="BF914" s="29">
        <v>897</v>
      </c>
      <c r="BG914" s="29">
        <v>1388</v>
      </c>
      <c r="BH914" s="29">
        <v>290</v>
      </c>
      <c r="BI914" s="29">
        <v>636</v>
      </c>
      <c r="BJ914" s="29">
        <v>1049</v>
      </c>
      <c r="BK914" s="29">
        <v>1084</v>
      </c>
      <c r="BL914" s="29">
        <v>209</v>
      </c>
      <c r="BM914" s="29">
        <v>468</v>
      </c>
      <c r="BN914" s="29">
        <v>735</v>
      </c>
      <c r="BO914" s="29">
        <v>762</v>
      </c>
      <c r="BP914" s="29">
        <v>260</v>
      </c>
      <c r="BQ914" s="29">
        <v>290</v>
      </c>
      <c r="BR914" s="29">
        <v>455</v>
      </c>
      <c r="BS914" s="29">
        <v>489</v>
      </c>
      <c r="BT914" s="29">
        <v>277</v>
      </c>
      <c r="BU914" s="29">
        <v>133</v>
      </c>
      <c r="BV914" s="29">
        <v>487</v>
      </c>
      <c r="BW914" s="29">
        <v>867</v>
      </c>
      <c r="BX914" s="29">
        <v>236</v>
      </c>
      <c r="BY914" s="29">
        <v>493</v>
      </c>
      <c r="BZ914" s="29">
        <v>794</v>
      </c>
      <c r="CA914" s="29">
        <v>796</v>
      </c>
      <c r="CB914" s="29">
        <v>134</v>
      </c>
    </row>
    <row r="915" spans="3:80" ht="5.2" customHeight="1">
      <c r="C915" s="43"/>
      <c r="E915" s="33"/>
      <c r="F915" s="33"/>
      <c r="G915" s="33"/>
      <c r="H915" s="33"/>
      <c r="I915" s="33"/>
      <c r="J915" s="33"/>
      <c r="K915" s="33"/>
      <c r="L915" s="33"/>
      <c r="M915" s="33"/>
      <c r="N915" s="33"/>
      <c r="O915" s="33"/>
      <c r="P915" s="33"/>
      <c r="AK915" s="79"/>
      <c r="AL915" s="29"/>
      <c r="AM915" s="29"/>
      <c r="AN915" s="33"/>
      <c r="AO915" s="33"/>
      <c r="AP915" s="33"/>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row>
    <row r="916" spans="3:80" ht="11.25" customHeight="1">
      <c r="C916" s="683" t="s">
        <v>97</v>
      </c>
      <c r="E916" s="33"/>
      <c r="F916" s="33"/>
      <c r="G916" s="33"/>
      <c r="H916" s="33"/>
      <c r="I916" s="33"/>
      <c r="J916" s="33"/>
      <c r="K916" s="33"/>
      <c r="L916" s="33"/>
      <c r="M916" s="33"/>
      <c r="N916" s="33"/>
      <c r="O916" s="33"/>
      <c r="P916" s="33"/>
      <c r="AK916" s="79"/>
      <c r="AL916" s="28"/>
      <c r="AM916" s="28"/>
      <c r="AN916" s="33"/>
      <c r="AO916" s="33"/>
      <c r="AP916" s="33"/>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row>
    <row r="917" spans="3:80" ht="11.25" customHeight="1">
      <c r="C917" s="43" t="s">
        <v>70</v>
      </c>
      <c r="E917" s="33">
        <f t="shared" ref="E917:E923" si="2051">+AZ917</f>
        <v>147</v>
      </c>
      <c r="F917" s="33">
        <f t="shared" ref="F917:F923" si="2052">+BA917-AZ917</f>
        <v>144</v>
      </c>
      <c r="G917" s="33">
        <f>+BB917-BA917</f>
        <v>145</v>
      </c>
      <c r="H917" s="33">
        <f>+BC917-BB917</f>
        <v>144</v>
      </c>
      <c r="I917" s="33">
        <f t="shared" si="2043"/>
        <v>145</v>
      </c>
      <c r="J917" s="33">
        <f t="shared" si="2044"/>
        <v>147</v>
      </c>
      <c r="K917" s="33">
        <f t="shared" si="2045"/>
        <v>148</v>
      </c>
      <c r="L917" s="33">
        <f t="shared" si="2046"/>
        <v>147</v>
      </c>
      <c r="M917" s="33">
        <f t="shared" ref="M917:M923" si="2053">+BH917</f>
        <v>152</v>
      </c>
      <c r="N917" s="33">
        <f t="shared" si="2047"/>
        <v>148</v>
      </c>
      <c r="O917" s="33">
        <f t="shared" si="2048"/>
        <v>151</v>
      </c>
      <c r="P917" s="33">
        <f t="shared" si="2049"/>
        <v>153</v>
      </c>
      <c r="Q917" s="33">
        <f t="shared" ref="Q917:Q923" si="2054">+BL917</f>
        <v>155</v>
      </c>
      <c r="R917" s="33">
        <f t="shared" ref="R917:T923" si="2055">+BM917-BL917</f>
        <v>156</v>
      </c>
      <c r="S917" s="33">
        <f t="shared" si="2055"/>
        <v>151</v>
      </c>
      <c r="T917" s="33">
        <f t="shared" si="2055"/>
        <v>149</v>
      </c>
      <c r="U917" s="33">
        <f t="shared" ref="U917:U923" si="2056">+BP917</f>
        <v>139</v>
      </c>
      <c r="V917" s="33">
        <f t="shared" ref="V917:V923" si="2057">+BQ917-BP917</f>
        <v>141</v>
      </c>
      <c r="W917" s="33">
        <f t="shared" ref="W917:W923" si="2058">+BR917-BQ917</f>
        <v>149</v>
      </c>
      <c r="X917" s="33">
        <f t="shared" ref="X917:X923" si="2059">+BS917-BR917</f>
        <v>145</v>
      </c>
      <c r="Y917" s="33">
        <f t="shared" ref="Y917:Y923" si="2060">+BT917</f>
        <v>149</v>
      </c>
      <c r="Z917" s="33">
        <f t="shared" ref="Z917:Z923" si="2061">+BU917-BT917</f>
        <v>140</v>
      </c>
      <c r="AA917" s="33">
        <f t="shared" ref="AA917:AA923" si="2062">+BV917-BU917</f>
        <v>127</v>
      </c>
      <c r="AB917" s="33">
        <f t="shared" ref="AB917:AB923" si="2063">+BW917-BV917</f>
        <v>122</v>
      </c>
      <c r="AC917" s="33">
        <f t="shared" ref="AC917:AC923" si="2064">+BX917</f>
        <v>121</v>
      </c>
      <c r="AD917" s="33">
        <f t="shared" ref="AD917:AD923" si="2065">+BY917-BX917</f>
        <v>122</v>
      </c>
      <c r="AE917" s="33">
        <f t="shared" ref="AE917:AE923" si="2066">+BZ917-BY917</f>
        <v>117</v>
      </c>
      <c r="AF917" s="33">
        <f t="shared" ref="AF917:AF923" si="2067">+CA917-BZ917</f>
        <v>117</v>
      </c>
      <c r="AG917" s="33">
        <f t="shared" ref="AG917:AG923" si="2068">+CB917</f>
        <v>141</v>
      </c>
      <c r="AH917" s="28">
        <f t="shared" ref="AH917:AJ917" si="2069">AH899</f>
        <v>126.13348445472401</v>
      </c>
      <c r="AI917" s="28">
        <f t="shared" si="2069"/>
        <v>127.74546454316979</v>
      </c>
      <c r="AJ917" s="28">
        <f t="shared" si="2069"/>
        <v>129.35744463161555</v>
      </c>
      <c r="AK917" s="79"/>
      <c r="AL917" s="29">
        <v>450</v>
      </c>
      <c r="AM917" s="29">
        <v>571</v>
      </c>
      <c r="AN917" s="33">
        <f t="shared" ref="AN917:AU923" si="2070">SUMIF($E$6:$AK$6,AN$6,$E917:$AK917)</f>
        <v>580</v>
      </c>
      <c r="AO917" s="33">
        <f t="shared" si="2070"/>
        <v>587</v>
      </c>
      <c r="AP917" s="33">
        <f t="shared" si="2070"/>
        <v>604</v>
      </c>
      <c r="AQ917" s="33">
        <f t="shared" si="2070"/>
        <v>611</v>
      </c>
      <c r="AR917" s="33">
        <f t="shared" si="2070"/>
        <v>574</v>
      </c>
      <c r="AS917" s="28">
        <f t="shared" si="2070"/>
        <v>538</v>
      </c>
      <c r="AT917" s="28">
        <f t="shared" si="2070"/>
        <v>477</v>
      </c>
      <c r="AU917" s="28">
        <f t="shared" si="2070"/>
        <v>524.23639362950928</v>
      </c>
      <c r="AV917" s="28">
        <f>AV899</f>
        <v>520.61599999999999</v>
      </c>
      <c r="AW917" s="28">
        <f>AW899</f>
        <v>530.81600000000003</v>
      </c>
      <c r="AX917" s="28">
        <f>AX899</f>
        <v>550.01600000000008</v>
      </c>
      <c r="AZ917" s="29">
        <v>147</v>
      </c>
      <c r="BA917" s="29">
        <v>291</v>
      </c>
      <c r="BB917" s="29">
        <v>436</v>
      </c>
      <c r="BC917" s="29">
        <v>580</v>
      </c>
      <c r="BD917" s="29">
        <v>145</v>
      </c>
      <c r="BE917" s="29">
        <v>292</v>
      </c>
      <c r="BF917" s="29">
        <v>440</v>
      </c>
      <c r="BG917" s="29">
        <v>587</v>
      </c>
      <c r="BH917" s="29">
        <v>152</v>
      </c>
      <c r="BI917" s="29">
        <v>300</v>
      </c>
      <c r="BJ917" s="29">
        <v>451</v>
      </c>
      <c r="BK917" s="29">
        <v>604</v>
      </c>
      <c r="BL917" s="29">
        <v>155</v>
      </c>
      <c r="BM917" s="29">
        <v>311</v>
      </c>
      <c r="BN917" s="29">
        <v>462</v>
      </c>
      <c r="BO917" s="29">
        <v>611</v>
      </c>
      <c r="BP917" s="29">
        <v>139</v>
      </c>
      <c r="BQ917" s="29">
        <v>280</v>
      </c>
      <c r="BR917" s="29">
        <v>429</v>
      </c>
      <c r="BS917" s="29">
        <v>574</v>
      </c>
      <c r="BT917" s="29">
        <v>149</v>
      </c>
      <c r="BU917" s="29">
        <v>289</v>
      </c>
      <c r="BV917" s="29">
        <v>416</v>
      </c>
      <c r="BW917" s="29">
        <v>538</v>
      </c>
      <c r="BX917" s="29">
        <v>121</v>
      </c>
      <c r="BY917" s="29">
        <v>243</v>
      </c>
      <c r="BZ917" s="29">
        <v>360</v>
      </c>
      <c r="CA917" s="29">
        <v>477</v>
      </c>
      <c r="CB917" s="29">
        <v>141</v>
      </c>
    </row>
    <row r="918" spans="3:80" ht="11.25" customHeight="1">
      <c r="C918" s="43" t="s">
        <v>101</v>
      </c>
      <c r="E918" s="33">
        <f>+AZ918</f>
        <v>0</v>
      </c>
      <c r="F918" s="33">
        <f t="shared" ref="F918:H920" si="2071">+BA918-AZ918</f>
        <v>0</v>
      </c>
      <c r="G918" s="33">
        <f t="shared" si="2071"/>
        <v>-17</v>
      </c>
      <c r="H918" s="33">
        <f t="shared" si="2071"/>
        <v>0</v>
      </c>
      <c r="I918" s="33">
        <f>+BD918</f>
        <v>0</v>
      </c>
      <c r="J918" s="33">
        <f t="shared" ref="J918:L920" si="2072">+BE918-BD918</f>
        <v>0</v>
      </c>
      <c r="K918" s="33">
        <f t="shared" si="2072"/>
        <v>-3</v>
      </c>
      <c r="L918" s="33">
        <f t="shared" si="2072"/>
        <v>0</v>
      </c>
      <c r="M918" s="33">
        <f>+BH918</f>
        <v>0</v>
      </c>
      <c r="N918" s="33">
        <f t="shared" ref="N918:P920" si="2073">+BI918-BH918</f>
        <v>0</v>
      </c>
      <c r="O918" s="33">
        <f t="shared" si="2073"/>
        <v>0</v>
      </c>
      <c r="P918" s="33">
        <f t="shared" si="2073"/>
        <v>-4</v>
      </c>
      <c r="Q918" s="33">
        <f t="shared" si="2054"/>
        <v>0</v>
      </c>
      <c r="R918" s="33">
        <f t="shared" si="2055"/>
        <v>0</v>
      </c>
      <c r="S918" s="33">
        <f t="shared" si="2055"/>
        <v>0</v>
      </c>
      <c r="T918" s="33">
        <f t="shared" si="2055"/>
        <v>0</v>
      </c>
      <c r="U918" s="33">
        <f t="shared" si="2056"/>
        <v>0</v>
      </c>
      <c r="V918" s="33">
        <f t="shared" si="2057"/>
        <v>0</v>
      </c>
      <c r="W918" s="33">
        <f t="shared" si="2058"/>
        <v>0</v>
      </c>
      <c r="X918" s="33">
        <f t="shared" si="2059"/>
        <v>0</v>
      </c>
      <c r="Y918" s="33">
        <f t="shared" si="2060"/>
        <v>0</v>
      </c>
      <c r="Z918" s="33">
        <f t="shared" si="2061"/>
        <v>495</v>
      </c>
      <c r="AA918" s="33">
        <f t="shared" si="2062"/>
        <v>60</v>
      </c>
      <c r="AB918" s="33">
        <f t="shared" si="2063"/>
        <v>-3</v>
      </c>
      <c r="AC918" s="33">
        <f t="shared" si="2064"/>
        <v>-3</v>
      </c>
      <c r="AD918" s="33">
        <f t="shared" si="2065"/>
        <v>8</v>
      </c>
      <c r="AE918" s="33">
        <f t="shared" si="2066"/>
        <v>3</v>
      </c>
      <c r="AF918" s="33">
        <f t="shared" si="2067"/>
        <v>50</v>
      </c>
      <c r="AG918" s="33">
        <f t="shared" si="2068"/>
        <v>0</v>
      </c>
      <c r="AH918" s="28">
        <v>0</v>
      </c>
      <c r="AI918" s="28">
        <v>0</v>
      </c>
      <c r="AJ918" s="28">
        <v>0</v>
      </c>
      <c r="AK918" s="79"/>
      <c r="AL918" s="29">
        <v>-5</v>
      </c>
      <c r="AM918" s="29">
        <v>0</v>
      </c>
      <c r="AN918" s="33">
        <f t="shared" si="2070"/>
        <v>-17</v>
      </c>
      <c r="AO918" s="33">
        <f t="shared" si="2070"/>
        <v>-3</v>
      </c>
      <c r="AP918" s="33">
        <f t="shared" si="2070"/>
        <v>-4</v>
      </c>
      <c r="AQ918" s="33">
        <f t="shared" si="2070"/>
        <v>0</v>
      </c>
      <c r="AR918" s="33">
        <f t="shared" si="2070"/>
        <v>0</v>
      </c>
      <c r="AS918" s="28">
        <f t="shared" si="2070"/>
        <v>552</v>
      </c>
      <c r="AT918" s="28">
        <f t="shared" si="2070"/>
        <v>58</v>
      </c>
      <c r="AU918" s="28">
        <f t="shared" si="2070"/>
        <v>0</v>
      </c>
      <c r="AV918" s="28">
        <v>0</v>
      </c>
      <c r="AW918" s="28">
        <v>0</v>
      </c>
      <c r="AX918" s="28">
        <v>0</v>
      </c>
      <c r="AZ918" s="29">
        <v>0</v>
      </c>
      <c r="BA918" s="29">
        <v>0</v>
      </c>
      <c r="BB918" s="29">
        <v>-17</v>
      </c>
      <c r="BC918" s="29">
        <v>-17</v>
      </c>
      <c r="BD918" s="29">
        <v>0</v>
      </c>
      <c r="BE918" s="29">
        <v>0</v>
      </c>
      <c r="BF918" s="29">
        <v>-3</v>
      </c>
      <c r="BG918" s="29">
        <v>-3</v>
      </c>
      <c r="BH918" s="29">
        <v>0</v>
      </c>
      <c r="BI918" s="29">
        <v>0</v>
      </c>
      <c r="BJ918" s="29">
        <v>0</v>
      </c>
      <c r="BK918" s="29">
        <v>-4</v>
      </c>
      <c r="BL918" s="29">
        <v>0</v>
      </c>
      <c r="BM918" s="29">
        <v>0</v>
      </c>
      <c r="BN918" s="29">
        <v>0</v>
      </c>
      <c r="BO918" s="29">
        <v>0</v>
      </c>
      <c r="BP918" s="29">
        <v>0</v>
      </c>
      <c r="BQ918" s="29">
        <v>0</v>
      </c>
      <c r="BR918" s="29">
        <v>0</v>
      </c>
      <c r="BS918" s="29">
        <v>0</v>
      </c>
      <c r="BT918" s="29">
        <v>0</v>
      </c>
      <c r="BU918" s="29">
        <v>495</v>
      </c>
      <c r="BV918" s="29">
        <v>555</v>
      </c>
      <c r="BW918" s="29">
        <v>552</v>
      </c>
      <c r="BX918" s="29">
        <v>-3</v>
      </c>
      <c r="BY918" s="29">
        <v>5</v>
      </c>
      <c r="BZ918" s="29">
        <v>8</v>
      </c>
      <c r="CA918" s="29">
        <v>58</v>
      </c>
      <c r="CB918" s="29">
        <v>0</v>
      </c>
    </row>
    <row r="919" spans="3:80" ht="11.25" customHeight="1">
      <c r="C919" s="43" t="s">
        <v>72</v>
      </c>
      <c r="E919" s="33">
        <f>+AZ919</f>
        <v>0</v>
      </c>
      <c r="F919" s="33">
        <f t="shared" si="2071"/>
        <v>0</v>
      </c>
      <c r="G919" s="33">
        <f t="shared" si="2071"/>
        <v>0</v>
      </c>
      <c r="H919" s="33">
        <f t="shared" si="2071"/>
        <v>0</v>
      </c>
      <c r="I919" s="33">
        <f>+BD919</f>
        <v>0</v>
      </c>
      <c r="J919" s="33">
        <f t="shared" si="2072"/>
        <v>0</v>
      </c>
      <c r="K919" s="33">
        <f t="shared" si="2072"/>
        <v>0</v>
      </c>
      <c r="L919" s="33">
        <f t="shared" si="2072"/>
        <v>0</v>
      </c>
      <c r="M919" s="33">
        <f>+BH919</f>
        <v>-50</v>
      </c>
      <c r="N919" s="33">
        <f t="shared" si="2073"/>
        <v>-15</v>
      </c>
      <c r="O919" s="33">
        <f t="shared" si="2073"/>
        <v>0</v>
      </c>
      <c r="P919" s="33">
        <f t="shared" si="2073"/>
        <v>0</v>
      </c>
      <c r="Q919" s="33">
        <f t="shared" si="2054"/>
        <v>0</v>
      </c>
      <c r="R919" s="33">
        <f t="shared" si="2055"/>
        <v>0</v>
      </c>
      <c r="S919" s="33">
        <f t="shared" si="2055"/>
        <v>0</v>
      </c>
      <c r="T919" s="33">
        <f t="shared" si="2055"/>
        <v>0</v>
      </c>
      <c r="U919" s="33">
        <f t="shared" si="2056"/>
        <v>0</v>
      </c>
      <c r="V919" s="33">
        <f t="shared" si="2057"/>
        <v>0</v>
      </c>
      <c r="W919" s="33">
        <f t="shared" si="2058"/>
        <v>0</v>
      </c>
      <c r="X919" s="33">
        <f t="shared" si="2059"/>
        <v>0</v>
      </c>
      <c r="Y919" s="33">
        <f t="shared" si="2060"/>
        <v>0</v>
      </c>
      <c r="Z919" s="33">
        <f t="shared" si="2061"/>
        <v>0</v>
      </c>
      <c r="AA919" s="33">
        <f t="shared" si="2062"/>
        <v>0</v>
      </c>
      <c r="AB919" s="33">
        <f t="shared" si="2063"/>
        <v>0</v>
      </c>
      <c r="AC919" s="33">
        <f t="shared" si="2064"/>
        <v>0</v>
      </c>
      <c r="AD919" s="33">
        <f t="shared" si="2065"/>
        <v>0</v>
      </c>
      <c r="AE919" s="33">
        <f t="shared" si="2066"/>
        <v>0</v>
      </c>
      <c r="AF919" s="33">
        <f t="shared" si="2067"/>
        <v>0</v>
      </c>
      <c r="AG919" s="33">
        <f t="shared" si="2068"/>
        <v>0</v>
      </c>
      <c r="AH919" s="28">
        <v>0</v>
      </c>
      <c r="AI919" s="28">
        <v>0</v>
      </c>
      <c r="AJ919" s="28">
        <v>0</v>
      </c>
      <c r="AK919" s="79"/>
      <c r="AL919" s="29">
        <v>0</v>
      </c>
      <c r="AM919" s="29">
        <v>0</v>
      </c>
      <c r="AN919" s="33">
        <f t="shared" si="2070"/>
        <v>0</v>
      </c>
      <c r="AO919" s="33">
        <f t="shared" si="2070"/>
        <v>0</v>
      </c>
      <c r="AP919" s="33">
        <f t="shared" si="2070"/>
        <v>-65</v>
      </c>
      <c r="AQ919" s="33">
        <f t="shared" si="2070"/>
        <v>0</v>
      </c>
      <c r="AR919" s="33">
        <f t="shared" si="2070"/>
        <v>0</v>
      </c>
      <c r="AS919" s="28">
        <f t="shared" si="2070"/>
        <v>0</v>
      </c>
      <c r="AT919" s="28">
        <f t="shared" si="2070"/>
        <v>0</v>
      </c>
      <c r="AU919" s="28">
        <f t="shared" si="2070"/>
        <v>0</v>
      </c>
      <c r="AV919" s="28">
        <v>0</v>
      </c>
      <c r="AW919" s="28">
        <v>0</v>
      </c>
      <c r="AX919" s="28">
        <v>0</v>
      </c>
      <c r="AZ919" s="29">
        <v>0</v>
      </c>
      <c r="BA919" s="29">
        <v>0</v>
      </c>
      <c r="BB919" s="29">
        <v>0</v>
      </c>
      <c r="BC919" s="29">
        <v>0</v>
      </c>
      <c r="BD919" s="29">
        <v>0</v>
      </c>
      <c r="BE919" s="29">
        <v>0</v>
      </c>
      <c r="BF919" s="29">
        <v>0</v>
      </c>
      <c r="BG919" s="29">
        <v>0</v>
      </c>
      <c r="BH919" s="29">
        <v>-50</v>
      </c>
      <c r="BI919" s="29">
        <v>-65</v>
      </c>
      <c r="BJ919" s="29">
        <v>-65</v>
      </c>
      <c r="BK919" s="29">
        <v>-65</v>
      </c>
      <c r="BL919" s="29">
        <v>0</v>
      </c>
      <c r="BM919" s="29">
        <v>0</v>
      </c>
      <c r="BN919" s="29">
        <v>0</v>
      </c>
      <c r="BO919" s="29">
        <v>0</v>
      </c>
      <c r="BP919" s="29">
        <v>0</v>
      </c>
      <c r="BQ919" s="29">
        <v>0</v>
      </c>
      <c r="BR919" s="29">
        <v>0</v>
      </c>
      <c r="BS919" s="29">
        <v>0</v>
      </c>
      <c r="BT919" s="29">
        <v>0</v>
      </c>
      <c r="BU919" s="29">
        <v>0</v>
      </c>
      <c r="BV919" s="29">
        <v>0</v>
      </c>
      <c r="BW919" s="29">
        <v>0</v>
      </c>
      <c r="BX919" s="29">
        <v>0</v>
      </c>
      <c r="BY919" s="29">
        <v>0</v>
      </c>
      <c r="BZ919" s="29">
        <v>0</v>
      </c>
      <c r="CA919" s="29">
        <v>0</v>
      </c>
      <c r="CB919" s="29">
        <v>0</v>
      </c>
    </row>
    <row r="920" spans="3:80" ht="11.25" customHeight="1">
      <c r="C920" s="43" t="s">
        <v>73</v>
      </c>
      <c r="E920" s="33">
        <f>+AZ920</f>
        <v>9</v>
      </c>
      <c r="F920" s="33">
        <f t="shared" si="2071"/>
        <v>38</v>
      </c>
      <c r="G920" s="33">
        <f t="shared" si="2071"/>
        <v>42</v>
      </c>
      <c r="H920" s="33">
        <f t="shared" si="2071"/>
        <v>88</v>
      </c>
      <c r="I920" s="33">
        <f>+BD920</f>
        <v>31</v>
      </c>
      <c r="J920" s="33">
        <f t="shared" si="2072"/>
        <v>5</v>
      </c>
      <c r="K920" s="33">
        <f t="shared" si="2072"/>
        <v>34</v>
      </c>
      <c r="L920" s="33">
        <f t="shared" si="2072"/>
        <v>-464</v>
      </c>
      <c r="M920" s="33">
        <f>+BH920</f>
        <v>11</v>
      </c>
      <c r="N920" s="33">
        <f t="shared" si="2073"/>
        <v>-6</v>
      </c>
      <c r="O920" s="33">
        <f t="shared" si="2073"/>
        <v>10</v>
      </c>
      <c r="P920" s="33">
        <f t="shared" si="2073"/>
        <v>-66</v>
      </c>
      <c r="Q920" s="33">
        <f t="shared" si="2054"/>
        <v>4</v>
      </c>
      <c r="R920" s="33">
        <f t="shared" si="2055"/>
        <v>7</v>
      </c>
      <c r="S920" s="33">
        <f t="shared" si="2055"/>
        <v>2</v>
      </c>
      <c r="T920" s="33">
        <f t="shared" si="2055"/>
        <v>25</v>
      </c>
      <c r="U920" s="33">
        <f t="shared" si="2056"/>
        <v>12</v>
      </c>
      <c r="V920" s="33">
        <f t="shared" si="2057"/>
        <v>-32</v>
      </c>
      <c r="W920" s="33">
        <f t="shared" si="2058"/>
        <v>6</v>
      </c>
      <c r="X920" s="33">
        <f t="shared" si="2059"/>
        <v>-97</v>
      </c>
      <c r="Y920" s="33">
        <f t="shared" si="2060"/>
        <v>2</v>
      </c>
      <c r="Z920" s="33">
        <f t="shared" si="2061"/>
        <v>-30</v>
      </c>
      <c r="AA920" s="33">
        <f t="shared" si="2062"/>
        <v>-38</v>
      </c>
      <c r="AB920" s="33">
        <f t="shared" si="2063"/>
        <v>28</v>
      </c>
      <c r="AC920" s="33">
        <f t="shared" si="2064"/>
        <v>-24</v>
      </c>
      <c r="AD920" s="33">
        <f t="shared" si="2065"/>
        <v>-57</v>
      </c>
      <c r="AE920" s="33">
        <f t="shared" si="2066"/>
        <v>27</v>
      </c>
      <c r="AF920" s="33">
        <f t="shared" si="2067"/>
        <v>-82</v>
      </c>
      <c r="AG920" s="33">
        <f t="shared" si="2068"/>
        <v>-7</v>
      </c>
      <c r="AH920" s="29">
        <v>-40</v>
      </c>
      <c r="AI920" s="29">
        <v>-40</v>
      </c>
      <c r="AJ920" s="29">
        <v>-40</v>
      </c>
      <c r="AK920" s="79"/>
      <c r="AL920" s="29">
        <v>99</v>
      </c>
      <c r="AM920" s="29">
        <v>107</v>
      </c>
      <c r="AN920" s="33">
        <f t="shared" si="2070"/>
        <v>177</v>
      </c>
      <c r="AO920" s="33">
        <f t="shared" si="2070"/>
        <v>-394</v>
      </c>
      <c r="AP920" s="33">
        <f t="shared" si="2070"/>
        <v>-51</v>
      </c>
      <c r="AQ920" s="33">
        <f t="shared" si="2070"/>
        <v>38</v>
      </c>
      <c r="AR920" s="33">
        <f t="shared" si="2070"/>
        <v>-111</v>
      </c>
      <c r="AS920" s="28">
        <f t="shared" si="2070"/>
        <v>-38</v>
      </c>
      <c r="AT920" s="28">
        <f t="shared" si="2070"/>
        <v>-136</v>
      </c>
      <c r="AU920" s="28">
        <f t="shared" si="2070"/>
        <v>-127</v>
      </c>
      <c r="AV920" s="29">
        <v>-150</v>
      </c>
      <c r="AW920" s="29">
        <v>-150</v>
      </c>
      <c r="AX920" s="29">
        <v>-150</v>
      </c>
      <c r="AY920" s="49">
        <f ca="1">DCF!$E$51</f>
        <v>99.516075639654105</v>
      </c>
      <c r="AZ920" s="29">
        <v>9</v>
      </c>
      <c r="BA920" s="29">
        <v>47</v>
      </c>
      <c r="BB920" s="29">
        <v>89</v>
      </c>
      <c r="BC920" s="29">
        <v>177</v>
      </c>
      <c r="BD920" s="29">
        <v>31</v>
      </c>
      <c r="BE920" s="29">
        <v>36</v>
      </c>
      <c r="BF920" s="29">
        <v>70</v>
      </c>
      <c r="BG920" s="29">
        <v>-394</v>
      </c>
      <c r="BH920" s="29">
        <v>11</v>
      </c>
      <c r="BI920" s="29">
        <v>5</v>
      </c>
      <c r="BJ920" s="29">
        <v>15</v>
      </c>
      <c r="BK920" s="29">
        <v>-51</v>
      </c>
      <c r="BL920" s="29">
        <v>4</v>
      </c>
      <c r="BM920" s="29">
        <v>11</v>
      </c>
      <c r="BN920" s="29">
        <v>13</v>
      </c>
      <c r="BO920" s="29">
        <v>38</v>
      </c>
      <c r="BP920" s="29">
        <v>12</v>
      </c>
      <c r="BQ920" s="29">
        <v>-20</v>
      </c>
      <c r="BR920" s="29">
        <v>-14</v>
      </c>
      <c r="BS920" s="29">
        <v>-111</v>
      </c>
      <c r="BT920" s="29">
        <v>2</v>
      </c>
      <c r="BU920" s="29">
        <v>-28</v>
      </c>
      <c r="BV920" s="29">
        <v>-66</v>
      </c>
      <c r="BW920" s="29">
        <v>-38</v>
      </c>
      <c r="BX920" s="29">
        <v>-24</v>
      </c>
      <c r="BY920" s="29">
        <v>-81</v>
      </c>
      <c r="BZ920" s="29">
        <v>-54</v>
      </c>
      <c r="CA920" s="29">
        <v>-136</v>
      </c>
      <c r="CB920" s="29">
        <v>-7</v>
      </c>
    </row>
    <row r="921" spans="3:80" ht="11.25" customHeight="1">
      <c r="C921" s="43" t="s">
        <v>100</v>
      </c>
      <c r="E921" s="33">
        <f t="shared" si="2051"/>
        <v>0</v>
      </c>
      <c r="F921" s="33">
        <f t="shared" si="2052"/>
        <v>9</v>
      </c>
      <c r="G921" s="33">
        <f t="shared" ref="G921:H923" si="2074">+BB921-BA921</f>
        <v>21</v>
      </c>
      <c r="H921" s="33">
        <f t="shared" si="2074"/>
        <v>67</v>
      </c>
      <c r="I921" s="33">
        <f t="shared" si="2043"/>
        <v>0</v>
      </c>
      <c r="J921" s="33">
        <f t="shared" si="2044"/>
        <v>0</v>
      </c>
      <c r="K921" s="33">
        <f t="shared" si="2045"/>
        <v>0</v>
      </c>
      <c r="L921" s="33">
        <f t="shared" si="2046"/>
        <v>-21</v>
      </c>
      <c r="M921" s="33">
        <f t="shared" si="2053"/>
        <v>0</v>
      </c>
      <c r="N921" s="33">
        <f t="shared" si="2047"/>
        <v>0</v>
      </c>
      <c r="O921" s="33">
        <f t="shared" si="2048"/>
        <v>0</v>
      </c>
      <c r="P921" s="33">
        <f t="shared" si="2049"/>
        <v>99</v>
      </c>
      <c r="Q921" s="33">
        <f t="shared" si="2054"/>
        <v>0</v>
      </c>
      <c r="R921" s="33">
        <f t="shared" si="2055"/>
        <v>0</v>
      </c>
      <c r="S921" s="33">
        <f t="shared" si="2055"/>
        <v>0</v>
      </c>
      <c r="T921" s="33">
        <f t="shared" si="2055"/>
        <v>143</v>
      </c>
      <c r="U921" s="33">
        <f t="shared" si="2056"/>
        <v>0</v>
      </c>
      <c r="V921" s="33">
        <f t="shared" si="2057"/>
        <v>0</v>
      </c>
      <c r="W921" s="33">
        <f t="shared" si="2058"/>
        <v>0</v>
      </c>
      <c r="X921" s="33">
        <f t="shared" si="2059"/>
        <v>240</v>
      </c>
      <c r="Y921" s="33">
        <f t="shared" si="2060"/>
        <v>0</v>
      </c>
      <c r="Z921" s="33">
        <f t="shared" si="2061"/>
        <v>0</v>
      </c>
      <c r="AA921" s="33">
        <f t="shared" si="2062"/>
        <v>0</v>
      </c>
      <c r="AB921" s="33">
        <f t="shared" si="2063"/>
        <v>-267</v>
      </c>
      <c r="AC921" s="33">
        <f t="shared" si="2064"/>
        <v>0</v>
      </c>
      <c r="AD921" s="33">
        <f t="shared" si="2065"/>
        <v>-3</v>
      </c>
      <c r="AE921" s="33">
        <f t="shared" si="2066"/>
        <v>0</v>
      </c>
      <c r="AF921" s="33">
        <f t="shared" si="2067"/>
        <v>22</v>
      </c>
      <c r="AG921" s="33">
        <f t="shared" si="2068"/>
        <v>0</v>
      </c>
      <c r="AH921" s="28">
        <v>0</v>
      </c>
      <c r="AI921" s="28">
        <v>0</v>
      </c>
      <c r="AJ921" s="28">
        <v>0</v>
      </c>
      <c r="AK921" s="79"/>
      <c r="AL921" s="29">
        <v>304</v>
      </c>
      <c r="AM921" s="29">
        <v>115</v>
      </c>
      <c r="AN921" s="33">
        <f t="shared" si="2070"/>
        <v>97</v>
      </c>
      <c r="AO921" s="33">
        <f t="shared" si="2070"/>
        <v>-21</v>
      </c>
      <c r="AP921" s="33">
        <f t="shared" si="2070"/>
        <v>99</v>
      </c>
      <c r="AQ921" s="33">
        <f t="shared" si="2070"/>
        <v>143</v>
      </c>
      <c r="AR921" s="33">
        <f t="shared" si="2070"/>
        <v>240</v>
      </c>
      <c r="AS921" s="28">
        <f t="shared" si="2070"/>
        <v>-267</v>
      </c>
      <c r="AT921" s="28">
        <f t="shared" si="2070"/>
        <v>19</v>
      </c>
      <c r="AU921" s="28">
        <f t="shared" si="2070"/>
        <v>0</v>
      </c>
      <c r="AV921" s="28">
        <v>0</v>
      </c>
      <c r="AW921" s="28">
        <v>0</v>
      </c>
      <c r="AX921" s="28">
        <v>0</v>
      </c>
      <c r="AZ921" s="29">
        <v>0</v>
      </c>
      <c r="BA921" s="29">
        <v>9</v>
      </c>
      <c r="BB921" s="29">
        <v>30</v>
      </c>
      <c r="BC921" s="29">
        <v>97</v>
      </c>
      <c r="BD921" s="29">
        <v>0</v>
      </c>
      <c r="BE921" s="29">
        <v>0</v>
      </c>
      <c r="BF921" s="29">
        <v>0</v>
      </c>
      <c r="BG921" s="29">
        <v>-21</v>
      </c>
      <c r="BH921" s="29">
        <v>0</v>
      </c>
      <c r="BI921" s="29">
        <v>0</v>
      </c>
      <c r="BJ921" s="29">
        <v>0</v>
      </c>
      <c r="BK921" s="29">
        <v>99</v>
      </c>
      <c r="BL921" s="29">
        <v>0</v>
      </c>
      <c r="BM921" s="29">
        <v>0</v>
      </c>
      <c r="BN921" s="29">
        <v>0</v>
      </c>
      <c r="BO921" s="29">
        <v>143</v>
      </c>
      <c r="BP921" s="29">
        <v>0</v>
      </c>
      <c r="BQ921" s="29">
        <v>0</v>
      </c>
      <c r="BR921" s="29">
        <v>0</v>
      </c>
      <c r="BS921" s="29">
        <v>240</v>
      </c>
      <c r="BT921" s="29">
        <v>0</v>
      </c>
      <c r="BU921" s="29">
        <v>0</v>
      </c>
      <c r="BV921" s="29">
        <v>0</v>
      </c>
      <c r="BW921" s="29">
        <v>-267</v>
      </c>
      <c r="BX921" s="29">
        <v>0</v>
      </c>
      <c r="BY921" s="29">
        <v>-3</v>
      </c>
      <c r="BZ921" s="29">
        <v>-3</v>
      </c>
      <c r="CA921" s="29">
        <v>19</v>
      </c>
      <c r="CB921" s="29">
        <v>0</v>
      </c>
    </row>
    <row r="922" spans="3:80" ht="11.25" customHeight="1">
      <c r="C922" s="43" t="s">
        <v>98</v>
      </c>
      <c r="E922" s="33">
        <f t="shared" si="2051"/>
        <v>0</v>
      </c>
      <c r="F922" s="33">
        <f t="shared" si="2052"/>
        <v>0</v>
      </c>
      <c r="G922" s="33">
        <f t="shared" si="2074"/>
        <v>0</v>
      </c>
      <c r="H922" s="33">
        <f t="shared" si="2074"/>
        <v>9</v>
      </c>
      <c r="I922" s="33">
        <f t="shared" si="2043"/>
        <v>0</v>
      </c>
      <c r="J922" s="33">
        <f t="shared" si="2044"/>
        <v>0</v>
      </c>
      <c r="K922" s="33">
        <f t="shared" si="2045"/>
        <v>0</v>
      </c>
      <c r="L922" s="33">
        <f t="shared" si="2046"/>
        <v>1</v>
      </c>
      <c r="M922" s="33">
        <f t="shared" si="2053"/>
        <v>0</v>
      </c>
      <c r="N922" s="33">
        <f t="shared" si="2047"/>
        <v>0</v>
      </c>
      <c r="O922" s="33">
        <f t="shared" si="2048"/>
        <v>0</v>
      </c>
      <c r="P922" s="33">
        <f t="shared" si="2049"/>
        <v>39</v>
      </c>
      <c r="Q922" s="33">
        <f t="shared" si="2054"/>
        <v>0</v>
      </c>
      <c r="R922" s="33">
        <f t="shared" si="2055"/>
        <v>0</v>
      </c>
      <c r="S922" s="33">
        <f t="shared" si="2055"/>
        <v>0</v>
      </c>
      <c r="T922" s="33">
        <f t="shared" si="2055"/>
        <v>72</v>
      </c>
      <c r="U922" s="33">
        <f t="shared" si="2056"/>
        <v>9</v>
      </c>
      <c r="V922" s="33">
        <f t="shared" si="2057"/>
        <v>136</v>
      </c>
      <c r="W922" s="33">
        <f t="shared" si="2058"/>
        <v>0</v>
      </c>
      <c r="X922" s="33">
        <f t="shared" si="2059"/>
        <v>1</v>
      </c>
      <c r="Y922" s="33">
        <f t="shared" si="2060"/>
        <v>0</v>
      </c>
      <c r="Z922" s="33">
        <f t="shared" si="2061"/>
        <v>5</v>
      </c>
      <c r="AA922" s="33">
        <f t="shared" si="2062"/>
        <v>0</v>
      </c>
      <c r="AB922" s="33">
        <f t="shared" si="2063"/>
        <v>11</v>
      </c>
      <c r="AC922" s="33">
        <f t="shared" si="2064"/>
        <v>0</v>
      </c>
      <c r="AD922" s="33">
        <f t="shared" si="2065"/>
        <v>0</v>
      </c>
      <c r="AE922" s="33">
        <f t="shared" si="2066"/>
        <v>0</v>
      </c>
      <c r="AF922" s="33">
        <f t="shared" si="2067"/>
        <v>0</v>
      </c>
      <c r="AG922" s="33">
        <f t="shared" si="2068"/>
        <v>0</v>
      </c>
      <c r="AH922" s="28">
        <v>0</v>
      </c>
      <c r="AI922" s="28">
        <v>0</v>
      </c>
      <c r="AJ922" s="28">
        <v>0</v>
      </c>
      <c r="AK922" s="79"/>
      <c r="AL922" s="29">
        <v>52</v>
      </c>
      <c r="AM922" s="29">
        <v>107</v>
      </c>
      <c r="AN922" s="33">
        <f t="shared" si="2070"/>
        <v>9</v>
      </c>
      <c r="AO922" s="33">
        <f t="shared" si="2070"/>
        <v>1</v>
      </c>
      <c r="AP922" s="33">
        <f t="shared" si="2070"/>
        <v>39</v>
      </c>
      <c r="AQ922" s="33">
        <f t="shared" si="2070"/>
        <v>72</v>
      </c>
      <c r="AR922" s="33">
        <f t="shared" si="2070"/>
        <v>146</v>
      </c>
      <c r="AS922" s="28">
        <f t="shared" si="2070"/>
        <v>16</v>
      </c>
      <c r="AT922" s="28">
        <f t="shared" si="2070"/>
        <v>0</v>
      </c>
      <c r="AU922" s="28">
        <f t="shared" si="2070"/>
        <v>0</v>
      </c>
      <c r="AV922" s="28">
        <v>0</v>
      </c>
      <c r="AW922" s="28">
        <v>0</v>
      </c>
      <c r="AX922" s="28">
        <v>0</v>
      </c>
      <c r="AZ922" s="29">
        <v>0</v>
      </c>
      <c r="BA922" s="29">
        <v>0</v>
      </c>
      <c r="BB922" s="29">
        <v>0</v>
      </c>
      <c r="BC922" s="29">
        <v>9</v>
      </c>
      <c r="BD922" s="29">
        <v>0</v>
      </c>
      <c r="BE922" s="29">
        <v>0</v>
      </c>
      <c r="BF922" s="29">
        <v>0</v>
      </c>
      <c r="BG922" s="29">
        <v>1</v>
      </c>
      <c r="BH922" s="29">
        <v>0</v>
      </c>
      <c r="BI922" s="29">
        <v>0</v>
      </c>
      <c r="BJ922" s="29">
        <v>0</v>
      </c>
      <c r="BK922" s="29">
        <v>39</v>
      </c>
      <c r="BL922" s="29">
        <v>0</v>
      </c>
      <c r="BM922" s="29">
        <v>0</v>
      </c>
      <c r="BN922" s="29">
        <v>0</v>
      </c>
      <c r="BO922" s="29">
        <v>72</v>
      </c>
      <c r="BP922" s="29">
        <v>9</v>
      </c>
      <c r="BQ922" s="29">
        <v>145</v>
      </c>
      <c r="BR922" s="29">
        <v>145</v>
      </c>
      <c r="BS922" s="29">
        <v>146</v>
      </c>
      <c r="BT922" s="29">
        <v>0</v>
      </c>
      <c r="BU922" s="29">
        <v>5</v>
      </c>
      <c r="BV922" s="29">
        <v>5</v>
      </c>
      <c r="BW922" s="29">
        <v>16</v>
      </c>
      <c r="BX922" s="29">
        <v>0</v>
      </c>
      <c r="BY922" s="29">
        <v>0</v>
      </c>
      <c r="BZ922" s="29">
        <v>0</v>
      </c>
      <c r="CA922" s="29">
        <v>0</v>
      </c>
      <c r="CB922" s="29">
        <v>0</v>
      </c>
    </row>
    <row r="923" spans="3:80" ht="11.25" customHeight="1">
      <c r="C923" s="43" t="s">
        <v>99</v>
      </c>
      <c r="E923" s="33">
        <f t="shared" si="2051"/>
        <v>0</v>
      </c>
      <c r="F923" s="33">
        <f t="shared" si="2052"/>
        <v>-17</v>
      </c>
      <c r="G923" s="33">
        <f t="shared" si="2074"/>
        <v>26</v>
      </c>
      <c r="H923" s="33">
        <f t="shared" si="2074"/>
        <v>76</v>
      </c>
      <c r="I923" s="33">
        <f t="shared" si="2043"/>
        <v>0</v>
      </c>
      <c r="J923" s="33">
        <f t="shared" si="2044"/>
        <v>0</v>
      </c>
      <c r="K923" s="33">
        <f t="shared" si="2045"/>
        <v>0</v>
      </c>
      <c r="L923" s="33">
        <f t="shared" si="2046"/>
        <v>0</v>
      </c>
      <c r="M923" s="33">
        <f t="shared" si="2053"/>
        <v>0</v>
      </c>
      <c r="N923" s="33">
        <f t="shared" si="2047"/>
        <v>0</v>
      </c>
      <c r="O923" s="33">
        <f t="shared" si="2048"/>
        <v>0</v>
      </c>
      <c r="P923" s="33">
        <f t="shared" si="2049"/>
        <v>7</v>
      </c>
      <c r="Q923" s="33">
        <f t="shared" si="2054"/>
        <v>0</v>
      </c>
      <c r="R923" s="33">
        <f t="shared" si="2055"/>
        <v>0</v>
      </c>
      <c r="S923" s="33">
        <f t="shared" si="2055"/>
        <v>0</v>
      </c>
      <c r="T923" s="33">
        <f t="shared" si="2055"/>
        <v>0</v>
      </c>
      <c r="U923" s="33">
        <f t="shared" si="2056"/>
        <v>0</v>
      </c>
      <c r="V923" s="33">
        <f t="shared" si="2057"/>
        <v>0</v>
      </c>
      <c r="W923" s="33">
        <f t="shared" si="2058"/>
        <v>1</v>
      </c>
      <c r="X923" s="33">
        <f t="shared" si="2059"/>
        <v>0</v>
      </c>
      <c r="Y923" s="33">
        <f t="shared" si="2060"/>
        <v>0</v>
      </c>
      <c r="Z923" s="33">
        <f t="shared" si="2061"/>
        <v>0</v>
      </c>
      <c r="AA923" s="33">
        <f t="shared" si="2062"/>
        <v>0</v>
      </c>
      <c r="AB923" s="33">
        <f t="shared" si="2063"/>
        <v>1</v>
      </c>
      <c r="AC923" s="33">
        <f t="shared" si="2064"/>
        <v>0</v>
      </c>
      <c r="AD923" s="33">
        <f t="shared" si="2065"/>
        <v>0</v>
      </c>
      <c r="AE923" s="33">
        <f t="shared" si="2066"/>
        <v>0</v>
      </c>
      <c r="AF923" s="33">
        <f t="shared" si="2067"/>
        <v>0</v>
      </c>
      <c r="AG923" s="33">
        <f t="shared" si="2068"/>
        <v>0</v>
      </c>
      <c r="AH923" s="28">
        <v>0</v>
      </c>
      <c r="AI923" s="28">
        <v>0</v>
      </c>
      <c r="AJ923" s="28">
        <v>0</v>
      </c>
      <c r="AK923" s="79"/>
      <c r="AL923" s="29">
        <v>0</v>
      </c>
      <c r="AM923" s="29">
        <v>0</v>
      </c>
      <c r="AN923" s="33">
        <f t="shared" si="2070"/>
        <v>85</v>
      </c>
      <c r="AO923" s="33">
        <f t="shared" si="2070"/>
        <v>0</v>
      </c>
      <c r="AP923" s="33">
        <f t="shared" si="2070"/>
        <v>7</v>
      </c>
      <c r="AQ923" s="33">
        <f t="shared" si="2070"/>
        <v>0</v>
      </c>
      <c r="AR923" s="33">
        <f t="shared" si="2070"/>
        <v>1</v>
      </c>
      <c r="AS923" s="28">
        <f t="shared" si="2070"/>
        <v>1</v>
      </c>
      <c r="AT923" s="28">
        <f t="shared" si="2070"/>
        <v>0</v>
      </c>
      <c r="AU923" s="28">
        <f t="shared" si="2070"/>
        <v>0</v>
      </c>
      <c r="AV923" s="28">
        <v>0</v>
      </c>
      <c r="AW923" s="28">
        <v>0</v>
      </c>
      <c r="AX923" s="28">
        <v>0</v>
      </c>
      <c r="AZ923" s="29">
        <v>0</v>
      </c>
      <c r="BA923" s="29">
        <v>-17</v>
      </c>
      <c r="BB923" s="29">
        <v>9</v>
      </c>
      <c r="BC923" s="29">
        <v>85</v>
      </c>
      <c r="BD923" s="29">
        <v>0</v>
      </c>
      <c r="BE923" s="29">
        <v>0</v>
      </c>
      <c r="BF923" s="29">
        <v>0</v>
      </c>
      <c r="BG923" s="29">
        <v>0</v>
      </c>
      <c r="BH923" s="29">
        <v>0</v>
      </c>
      <c r="BI923" s="29">
        <v>0</v>
      </c>
      <c r="BJ923" s="29">
        <v>0</v>
      </c>
      <c r="BK923" s="29">
        <v>7</v>
      </c>
      <c r="BL923" s="29">
        <v>0</v>
      </c>
      <c r="BM923" s="29">
        <v>0</v>
      </c>
      <c r="BN923" s="29">
        <v>0</v>
      </c>
      <c r="BO923" s="29">
        <v>0</v>
      </c>
      <c r="BP923" s="29">
        <v>0</v>
      </c>
      <c r="BQ923" s="29">
        <v>0</v>
      </c>
      <c r="BR923" s="29">
        <v>1</v>
      </c>
      <c r="BS923" s="29">
        <v>1</v>
      </c>
      <c r="BT923" s="29">
        <v>0</v>
      </c>
      <c r="BU923" s="29">
        <v>0</v>
      </c>
      <c r="BV923" s="29">
        <v>0</v>
      </c>
      <c r="BW923" s="29">
        <v>1</v>
      </c>
      <c r="BX923" s="29">
        <v>0</v>
      </c>
      <c r="BY923" s="29">
        <v>0</v>
      </c>
      <c r="BZ923" s="29">
        <v>0</v>
      </c>
      <c r="CA923" s="29">
        <v>0</v>
      </c>
      <c r="CB923" s="29">
        <v>0</v>
      </c>
    </row>
    <row r="924" spans="3:80" ht="5.2" customHeight="1">
      <c r="C924" s="43"/>
      <c r="E924" s="28"/>
      <c r="F924" s="28"/>
      <c r="G924" s="28"/>
      <c r="H924" s="28"/>
      <c r="I924" s="28"/>
      <c r="J924" s="28"/>
      <c r="K924" s="28"/>
      <c r="L924" s="28"/>
      <c r="M924" s="28"/>
      <c r="N924" s="28"/>
      <c r="O924" s="28"/>
      <c r="P924" s="28"/>
      <c r="AK924" s="79"/>
      <c r="AL924" s="28"/>
      <c r="AM924" s="28"/>
      <c r="AN924" s="28"/>
      <c r="AO924" s="28"/>
      <c r="AP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row>
    <row r="925" spans="3:80" ht="11.25" customHeight="1">
      <c r="C925" s="43" t="s">
        <v>340</v>
      </c>
      <c r="E925" s="28"/>
      <c r="F925" s="28"/>
      <c r="G925" s="28"/>
      <c r="H925" s="28"/>
      <c r="I925" s="28"/>
      <c r="J925" s="28"/>
      <c r="K925" s="28"/>
      <c r="L925" s="28"/>
      <c r="M925" s="28"/>
      <c r="N925" s="28"/>
      <c r="O925" s="28"/>
      <c r="P925" s="28"/>
      <c r="AK925" s="79"/>
      <c r="AL925" s="28"/>
      <c r="AM925" s="28"/>
      <c r="AN925" s="28"/>
      <c r="AO925" s="28"/>
      <c r="AP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row>
    <row r="926" spans="3:80" ht="11.25" customHeight="1">
      <c r="C926" s="43" t="s">
        <v>74</v>
      </c>
      <c r="E926" s="33">
        <f t="shared" ref="E926:E931" si="2075">+AZ926</f>
        <v>-144</v>
      </c>
      <c r="F926" s="33">
        <f t="shared" ref="F926:F931" si="2076">+BA926-AZ926</f>
        <v>-7</v>
      </c>
      <c r="G926" s="33">
        <f t="shared" ref="G926:G931" si="2077">+BB926-BA926</f>
        <v>46</v>
      </c>
      <c r="H926" s="33">
        <f t="shared" ref="H926:H931" si="2078">+BC926-BB926</f>
        <v>76</v>
      </c>
      <c r="I926" s="33">
        <f t="shared" ref="I926:I931" si="2079">+BD926</f>
        <v>-149</v>
      </c>
      <c r="J926" s="33">
        <f t="shared" ref="J926:J931" si="2080">+BE926-BD926</f>
        <v>-17</v>
      </c>
      <c r="K926" s="33">
        <f t="shared" ref="K926:K931" si="2081">+BF926-BE926</f>
        <v>-22</v>
      </c>
      <c r="L926" s="33">
        <f t="shared" ref="L926:L931" si="2082">+BG926-BF926</f>
        <v>135</v>
      </c>
      <c r="M926" s="33">
        <f t="shared" ref="M926:M931" si="2083">+BH926</f>
        <v>-223</v>
      </c>
      <c r="N926" s="33">
        <f t="shared" ref="N926:N931" si="2084">+BI926-BH926</f>
        <v>10</v>
      </c>
      <c r="O926" s="33">
        <f t="shared" ref="O926:O931" si="2085">+BJ926-BI926</f>
        <v>-16</v>
      </c>
      <c r="P926" s="33">
        <f t="shared" ref="P926:P931" si="2086">+BK926-BJ926</f>
        <v>245</v>
      </c>
      <c r="Q926" s="33">
        <f t="shared" ref="Q926:Q931" si="2087">+BL926</f>
        <v>-149</v>
      </c>
      <c r="R926" s="33">
        <f t="shared" ref="R926:T931" si="2088">+BM926-BL926</f>
        <v>69</v>
      </c>
      <c r="S926" s="33">
        <f t="shared" si="2088"/>
        <v>30</v>
      </c>
      <c r="T926" s="33">
        <f t="shared" si="2088"/>
        <v>220</v>
      </c>
      <c r="U926" s="33">
        <f t="shared" ref="U926:U931" si="2089">+BP926</f>
        <v>-72</v>
      </c>
      <c r="V926" s="33">
        <f t="shared" ref="V926:V931" si="2090">+BQ926-BP926</f>
        <v>145</v>
      </c>
      <c r="W926" s="33">
        <f t="shared" ref="W926:W931" si="2091">+BR926-BQ926</f>
        <v>-163</v>
      </c>
      <c r="X926" s="33">
        <f t="shared" ref="X926:X931" si="2092">+BS926-BR926</f>
        <v>59</v>
      </c>
      <c r="Y926" s="33">
        <f t="shared" ref="Y926:Y931" si="2093">+BT926</f>
        <v>-211</v>
      </c>
      <c r="Z926" s="33">
        <f t="shared" ref="Z926:Z931" si="2094">+BU926-BT926</f>
        <v>-150</v>
      </c>
      <c r="AA926" s="33">
        <f t="shared" ref="AA926:AA931" si="2095">+BV926-BU926</f>
        <v>-78</v>
      </c>
      <c r="AB926" s="33">
        <f t="shared" ref="AB926:AB931" si="2096">+BW926-BV926</f>
        <v>158</v>
      </c>
      <c r="AC926" s="33">
        <f t="shared" ref="AC926:AC931" si="2097">+BX926</f>
        <v>-127</v>
      </c>
      <c r="AD926" s="33">
        <f t="shared" ref="AD926:AD931" si="2098">+BY926-BX926</f>
        <v>-36</v>
      </c>
      <c r="AE926" s="33">
        <f t="shared" ref="AE926:AE931" si="2099">+BZ926-BY926</f>
        <v>52</v>
      </c>
      <c r="AF926" s="33">
        <f t="shared" ref="AF926:AF931" si="2100">+CA926-BZ926</f>
        <v>204</v>
      </c>
      <c r="AG926" s="33">
        <f t="shared" ref="AG926:AG931" si="2101">+CB926</f>
        <v>-91</v>
      </c>
      <c r="AH926" s="28">
        <f>AG739-AH739</f>
        <v>72.990684931506962</v>
      </c>
      <c r="AI926" s="28">
        <f>AH739-AI739</f>
        <v>1.0528767123286116</v>
      </c>
      <c r="AJ926" s="28">
        <f>AI739-AJ739</f>
        <v>-2.9515068493151375</v>
      </c>
      <c r="AK926" s="79"/>
      <c r="AL926" s="29">
        <v>19</v>
      </c>
      <c r="AM926" s="29">
        <v>114</v>
      </c>
      <c r="AN926" s="33">
        <f t="shared" ref="AN926:AU931" si="2102">SUMIF($E$6:$AK$6,AN$6,$E926:$AK926)</f>
        <v>-29</v>
      </c>
      <c r="AO926" s="33">
        <f t="shared" si="2102"/>
        <v>-53</v>
      </c>
      <c r="AP926" s="33">
        <f t="shared" si="2102"/>
        <v>16</v>
      </c>
      <c r="AQ926" s="33">
        <f t="shared" si="2102"/>
        <v>170</v>
      </c>
      <c r="AR926" s="33">
        <f t="shared" si="2102"/>
        <v>-31</v>
      </c>
      <c r="AS926" s="28">
        <f t="shared" si="2102"/>
        <v>-281</v>
      </c>
      <c r="AT926" s="28">
        <f t="shared" si="2102"/>
        <v>93</v>
      </c>
      <c r="AU926" s="28">
        <f t="shared" si="2102"/>
        <v>-19.907945205479564</v>
      </c>
      <c r="AV926" s="28">
        <f>AU739-AV739</f>
        <v>-35.667071232876424</v>
      </c>
      <c r="AW926" s="28">
        <f>AV739-AW739</f>
        <v>-30.809890808219507</v>
      </c>
      <c r="AX926" s="28">
        <f>AW739-AX739</f>
        <v>-26.609144479246197</v>
      </c>
      <c r="AZ926" s="29">
        <v>-144</v>
      </c>
      <c r="BA926" s="29">
        <v>-151</v>
      </c>
      <c r="BB926" s="29">
        <v>-105</v>
      </c>
      <c r="BC926" s="29">
        <v>-29</v>
      </c>
      <c r="BD926" s="29">
        <v>-149</v>
      </c>
      <c r="BE926" s="29">
        <v>-166</v>
      </c>
      <c r="BF926" s="29">
        <v>-188</v>
      </c>
      <c r="BG926" s="29">
        <v>-53</v>
      </c>
      <c r="BH926" s="29">
        <v>-223</v>
      </c>
      <c r="BI926" s="29">
        <v>-213</v>
      </c>
      <c r="BJ926" s="29">
        <v>-229</v>
      </c>
      <c r="BK926" s="29">
        <v>16</v>
      </c>
      <c r="BL926" s="29">
        <v>-149</v>
      </c>
      <c r="BM926" s="29">
        <v>-80</v>
      </c>
      <c r="BN926" s="29">
        <v>-50</v>
      </c>
      <c r="BO926" s="29">
        <v>170</v>
      </c>
      <c r="BP926" s="29">
        <v>-72</v>
      </c>
      <c r="BQ926" s="29">
        <v>73</v>
      </c>
      <c r="BR926" s="29">
        <v>-90</v>
      </c>
      <c r="BS926" s="29">
        <v>-31</v>
      </c>
      <c r="BT926" s="29">
        <v>-211</v>
      </c>
      <c r="BU926" s="29">
        <v>-361</v>
      </c>
      <c r="BV926" s="29">
        <v>-439</v>
      </c>
      <c r="BW926" s="29">
        <v>-281</v>
      </c>
      <c r="BX926" s="29">
        <v>-127</v>
      </c>
      <c r="BY926" s="29">
        <v>-163</v>
      </c>
      <c r="BZ926" s="29">
        <v>-111</v>
      </c>
      <c r="CA926" s="29">
        <v>93</v>
      </c>
      <c r="CB926" s="29">
        <v>-91</v>
      </c>
    </row>
    <row r="927" spans="3:80" ht="11.25" customHeight="1">
      <c r="C927" s="43" t="s">
        <v>75</v>
      </c>
      <c r="E927" s="33">
        <f t="shared" si="2075"/>
        <v>-2</v>
      </c>
      <c r="F927" s="33">
        <f t="shared" si="2076"/>
        <v>43</v>
      </c>
      <c r="G927" s="33">
        <f t="shared" si="2077"/>
        <v>-29</v>
      </c>
      <c r="H927" s="33">
        <f t="shared" si="2078"/>
        <v>42</v>
      </c>
      <c r="I927" s="33">
        <f t="shared" si="2079"/>
        <v>-82</v>
      </c>
      <c r="J927" s="33">
        <f t="shared" si="2080"/>
        <v>-26</v>
      </c>
      <c r="K927" s="33">
        <f t="shared" si="2081"/>
        <v>-35</v>
      </c>
      <c r="L927" s="33">
        <f t="shared" si="2082"/>
        <v>72</v>
      </c>
      <c r="M927" s="33">
        <f t="shared" si="2083"/>
        <v>-80</v>
      </c>
      <c r="N927" s="33">
        <f t="shared" si="2084"/>
        <v>-78</v>
      </c>
      <c r="O927" s="33">
        <f t="shared" si="2085"/>
        <v>-103</v>
      </c>
      <c r="P927" s="33">
        <f t="shared" si="2086"/>
        <v>37</v>
      </c>
      <c r="Q927" s="33">
        <f t="shared" si="2087"/>
        <v>-122</v>
      </c>
      <c r="R927" s="33">
        <f t="shared" si="2088"/>
        <v>-26</v>
      </c>
      <c r="S927" s="33">
        <f t="shared" si="2088"/>
        <v>26</v>
      </c>
      <c r="T927" s="33">
        <f t="shared" si="2088"/>
        <v>42</v>
      </c>
      <c r="U927" s="33">
        <f t="shared" si="2089"/>
        <v>-18</v>
      </c>
      <c r="V927" s="33">
        <f t="shared" si="2090"/>
        <v>239</v>
      </c>
      <c r="W927" s="33">
        <f t="shared" si="2091"/>
        <v>95</v>
      </c>
      <c r="X927" s="33">
        <f t="shared" si="2092"/>
        <v>-25</v>
      </c>
      <c r="Y927" s="33">
        <f t="shared" si="2093"/>
        <v>-144</v>
      </c>
      <c r="Z927" s="33">
        <f t="shared" si="2094"/>
        <v>-70</v>
      </c>
      <c r="AA927" s="33">
        <f t="shared" si="2095"/>
        <v>-155</v>
      </c>
      <c r="AB927" s="33">
        <f t="shared" si="2096"/>
        <v>-20</v>
      </c>
      <c r="AC927" s="33">
        <f t="shared" si="2097"/>
        <v>-184</v>
      </c>
      <c r="AD927" s="33">
        <f t="shared" si="2098"/>
        <v>-188</v>
      </c>
      <c r="AE927" s="33">
        <f t="shared" si="2099"/>
        <v>-177</v>
      </c>
      <c r="AF927" s="33">
        <f t="shared" si="2100"/>
        <v>119</v>
      </c>
      <c r="AG927" s="33">
        <f t="shared" si="2101"/>
        <v>-44</v>
      </c>
      <c r="AH927" s="28">
        <f>AG741-AH741</f>
        <v>220.12539232876702</v>
      </c>
      <c r="AI927" s="28">
        <f>AH741-AI741</f>
        <v>55.061093972602748</v>
      </c>
      <c r="AJ927" s="28">
        <f>AI741-AJ741</f>
        <v>66.508233698630193</v>
      </c>
      <c r="AK927" s="79"/>
      <c r="AL927" s="29">
        <v>-61</v>
      </c>
      <c r="AM927" s="29">
        <v>-26</v>
      </c>
      <c r="AN927" s="33">
        <f t="shared" si="2102"/>
        <v>54</v>
      </c>
      <c r="AO927" s="33">
        <f t="shared" si="2102"/>
        <v>-71</v>
      </c>
      <c r="AP927" s="33">
        <f t="shared" si="2102"/>
        <v>-224</v>
      </c>
      <c r="AQ927" s="33">
        <f t="shared" si="2102"/>
        <v>-80</v>
      </c>
      <c r="AR927" s="33">
        <f t="shared" si="2102"/>
        <v>291</v>
      </c>
      <c r="AS927" s="28">
        <f t="shared" si="2102"/>
        <v>-389</v>
      </c>
      <c r="AT927" s="28">
        <f t="shared" si="2102"/>
        <v>-430</v>
      </c>
      <c r="AU927" s="28">
        <f t="shared" si="2102"/>
        <v>297.69471999999996</v>
      </c>
      <c r="AV927" s="28">
        <f>AU741-AV741</f>
        <v>77.782098180822231</v>
      </c>
      <c r="AW927" s="28">
        <f>AV741-AW741</f>
        <v>-90.497180736822429</v>
      </c>
      <c r="AX927" s="28">
        <f>AW741-AX741</f>
        <v>26.989166001784042</v>
      </c>
      <c r="AZ927" s="29">
        <v>-2</v>
      </c>
      <c r="BA927" s="29">
        <v>41</v>
      </c>
      <c r="BB927" s="29">
        <v>12</v>
      </c>
      <c r="BC927" s="29">
        <v>54</v>
      </c>
      <c r="BD927" s="29">
        <v>-82</v>
      </c>
      <c r="BE927" s="29">
        <v>-108</v>
      </c>
      <c r="BF927" s="29">
        <v>-143</v>
      </c>
      <c r="BG927" s="29">
        <v>-71</v>
      </c>
      <c r="BH927" s="29">
        <v>-80</v>
      </c>
      <c r="BI927" s="29">
        <v>-158</v>
      </c>
      <c r="BJ927" s="29">
        <v>-261</v>
      </c>
      <c r="BK927" s="29">
        <v>-224</v>
      </c>
      <c r="BL927" s="29">
        <v>-122</v>
      </c>
      <c r="BM927" s="29">
        <v>-148</v>
      </c>
      <c r="BN927" s="29">
        <v>-122</v>
      </c>
      <c r="BO927" s="29">
        <v>-80</v>
      </c>
      <c r="BP927" s="29">
        <v>-18</v>
      </c>
      <c r="BQ927" s="29">
        <v>221</v>
      </c>
      <c r="BR927" s="29">
        <v>316</v>
      </c>
      <c r="BS927" s="29">
        <v>291</v>
      </c>
      <c r="BT927" s="29">
        <v>-144</v>
      </c>
      <c r="BU927" s="29">
        <v>-214</v>
      </c>
      <c r="BV927" s="29">
        <v>-369</v>
      </c>
      <c r="BW927" s="29">
        <v>-389</v>
      </c>
      <c r="BX927" s="29">
        <v>-184</v>
      </c>
      <c r="BY927" s="29">
        <v>-372</v>
      </c>
      <c r="BZ927" s="29">
        <v>-549</v>
      </c>
      <c r="CA927" s="29">
        <v>-430</v>
      </c>
      <c r="CB927" s="29">
        <v>-44</v>
      </c>
    </row>
    <row r="928" spans="3:80" ht="11.25" customHeight="1">
      <c r="C928" s="43" t="s">
        <v>76</v>
      </c>
      <c r="E928" s="33">
        <f t="shared" si="2075"/>
        <v>-62</v>
      </c>
      <c r="F928" s="33">
        <f t="shared" si="2076"/>
        <v>-14</v>
      </c>
      <c r="G928" s="33">
        <f t="shared" si="2077"/>
        <v>10</v>
      </c>
      <c r="H928" s="33">
        <f t="shared" si="2078"/>
        <v>73</v>
      </c>
      <c r="I928" s="33">
        <f t="shared" si="2079"/>
        <v>-26</v>
      </c>
      <c r="J928" s="33">
        <f t="shared" si="2080"/>
        <v>-2</v>
      </c>
      <c r="K928" s="33">
        <f t="shared" si="2081"/>
        <v>8</v>
      </c>
      <c r="L928" s="33">
        <f t="shared" si="2082"/>
        <v>143</v>
      </c>
      <c r="M928" s="33">
        <f t="shared" si="2083"/>
        <v>8</v>
      </c>
      <c r="N928" s="33">
        <f t="shared" si="2084"/>
        <v>-18</v>
      </c>
      <c r="O928" s="33">
        <f t="shared" si="2085"/>
        <v>17</v>
      </c>
      <c r="P928" s="33">
        <f t="shared" si="2086"/>
        <v>83</v>
      </c>
      <c r="Q928" s="33">
        <f t="shared" si="2087"/>
        <v>-42</v>
      </c>
      <c r="R928" s="33">
        <f t="shared" si="2088"/>
        <v>-46</v>
      </c>
      <c r="S928" s="33">
        <f t="shared" si="2088"/>
        <v>-95</v>
      </c>
      <c r="T928" s="33">
        <f t="shared" si="2088"/>
        <v>156</v>
      </c>
      <c r="U928" s="33">
        <f t="shared" si="2089"/>
        <v>-104</v>
      </c>
      <c r="V928" s="33">
        <f t="shared" si="2090"/>
        <v>-239</v>
      </c>
      <c r="W928" s="33">
        <f t="shared" si="2091"/>
        <v>130</v>
      </c>
      <c r="X928" s="33">
        <f t="shared" si="2092"/>
        <v>113</v>
      </c>
      <c r="Y928" s="33">
        <f t="shared" si="2093"/>
        <v>197</v>
      </c>
      <c r="Z928" s="33">
        <f t="shared" si="2094"/>
        <v>109</v>
      </c>
      <c r="AA928" s="33">
        <f t="shared" si="2095"/>
        <v>71</v>
      </c>
      <c r="AB928" s="33">
        <f t="shared" si="2096"/>
        <v>177</v>
      </c>
      <c r="AC928" s="33">
        <f t="shared" si="2097"/>
        <v>152</v>
      </c>
      <c r="AD928" s="33">
        <f t="shared" si="2098"/>
        <v>27</v>
      </c>
      <c r="AE928" s="33">
        <f t="shared" si="2099"/>
        <v>8</v>
      </c>
      <c r="AF928" s="33">
        <f t="shared" si="2100"/>
        <v>-127</v>
      </c>
      <c r="AG928" s="33">
        <f t="shared" si="2101"/>
        <v>-132</v>
      </c>
      <c r="AH928" s="28">
        <f>AH755-AG755</f>
        <v>57.918372602739737</v>
      </c>
      <c r="AI928" s="28">
        <f>AI755-AH755</f>
        <v>-12.342156164383596</v>
      </c>
      <c r="AJ928" s="28">
        <f>AJ755-AI755</f>
        <v>-27.131350684931249</v>
      </c>
      <c r="AK928" s="79"/>
      <c r="AL928" s="29">
        <v>-30</v>
      </c>
      <c r="AM928" s="29">
        <v>-102</v>
      </c>
      <c r="AN928" s="33">
        <f t="shared" si="2102"/>
        <v>7</v>
      </c>
      <c r="AO928" s="33">
        <f t="shared" si="2102"/>
        <v>123</v>
      </c>
      <c r="AP928" s="33">
        <f t="shared" si="2102"/>
        <v>90</v>
      </c>
      <c r="AQ928" s="33">
        <f t="shared" si="2102"/>
        <v>-27</v>
      </c>
      <c r="AR928" s="33">
        <f t="shared" si="2102"/>
        <v>-100</v>
      </c>
      <c r="AS928" s="28">
        <f t="shared" si="2102"/>
        <v>554</v>
      </c>
      <c r="AT928" s="28">
        <f t="shared" si="2102"/>
        <v>60</v>
      </c>
      <c r="AU928" s="28">
        <f t="shared" si="2102"/>
        <v>-113.55513424657511</v>
      </c>
      <c r="AV928" s="28">
        <f>AV755-AU755</f>
        <v>-42.950691616438917</v>
      </c>
      <c r="AW928" s="28">
        <f>AW755-AV755</f>
        <v>58.626820795068852</v>
      </c>
      <c r="AX928" s="28">
        <f>AX755-AW755</f>
        <v>50.633400637651675</v>
      </c>
      <c r="AZ928" s="29">
        <v>-62</v>
      </c>
      <c r="BA928" s="29">
        <v>-76</v>
      </c>
      <c r="BB928" s="29">
        <v>-66</v>
      </c>
      <c r="BC928" s="29">
        <v>7</v>
      </c>
      <c r="BD928" s="29">
        <v>-26</v>
      </c>
      <c r="BE928" s="29">
        <v>-28</v>
      </c>
      <c r="BF928" s="29">
        <v>-20</v>
      </c>
      <c r="BG928" s="29">
        <v>123</v>
      </c>
      <c r="BH928" s="29">
        <v>8</v>
      </c>
      <c r="BI928" s="29">
        <v>-10</v>
      </c>
      <c r="BJ928" s="29">
        <v>7</v>
      </c>
      <c r="BK928" s="29">
        <v>90</v>
      </c>
      <c r="BL928" s="29">
        <v>-42</v>
      </c>
      <c r="BM928" s="29">
        <v>-88</v>
      </c>
      <c r="BN928" s="29">
        <v>-183</v>
      </c>
      <c r="BO928" s="29">
        <v>-27</v>
      </c>
      <c r="BP928" s="29">
        <v>-104</v>
      </c>
      <c r="BQ928" s="29">
        <v>-343</v>
      </c>
      <c r="BR928" s="29">
        <v>-213</v>
      </c>
      <c r="BS928" s="29">
        <v>-100</v>
      </c>
      <c r="BT928" s="29">
        <v>197</v>
      </c>
      <c r="BU928" s="29">
        <v>306</v>
      </c>
      <c r="BV928" s="29">
        <v>377</v>
      </c>
      <c r="BW928" s="29">
        <v>554</v>
      </c>
      <c r="BX928" s="29">
        <v>152</v>
      </c>
      <c r="BY928" s="29">
        <v>179</v>
      </c>
      <c r="BZ928" s="29">
        <v>187</v>
      </c>
      <c r="CA928" s="29">
        <v>60</v>
      </c>
      <c r="CB928" s="29">
        <v>-132</v>
      </c>
    </row>
    <row r="929" spans="3:80" ht="11.25" customHeight="1">
      <c r="C929" s="43" t="s">
        <v>77</v>
      </c>
      <c r="E929" s="33">
        <f t="shared" si="2075"/>
        <v>-23</v>
      </c>
      <c r="F929" s="33">
        <f t="shared" si="2076"/>
        <v>-28</v>
      </c>
      <c r="G929" s="33">
        <f t="shared" si="2077"/>
        <v>-83</v>
      </c>
      <c r="H929" s="33">
        <f t="shared" si="2078"/>
        <v>-195</v>
      </c>
      <c r="I929" s="33">
        <f t="shared" si="2079"/>
        <v>-36</v>
      </c>
      <c r="J929" s="33">
        <f t="shared" si="2080"/>
        <v>-20</v>
      </c>
      <c r="K929" s="33">
        <f t="shared" si="2081"/>
        <v>-25</v>
      </c>
      <c r="L929" s="33">
        <f t="shared" si="2082"/>
        <v>-34</v>
      </c>
      <c r="M929" s="33">
        <f t="shared" si="2083"/>
        <v>-36</v>
      </c>
      <c r="N929" s="33">
        <f t="shared" si="2084"/>
        <v>-42</v>
      </c>
      <c r="O929" s="33">
        <f t="shared" si="2085"/>
        <v>-34</v>
      </c>
      <c r="P929" s="33">
        <f t="shared" si="2086"/>
        <v>-40</v>
      </c>
      <c r="Q929" s="33">
        <f t="shared" si="2087"/>
        <v>-36</v>
      </c>
      <c r="R929" s="33">
        <f t="shared" si="2088"/>
        <v>-29</v>
      </c>
      <c r="S929" s="33">
        <f t="shared" si="2088"/>
        <v>-32</v>
      </c>
      <c r="T929" s="33">
        <f t="shared" si="2088"/>
        <v>-22</v>
      </c>
      <c r="U929" s="33">
        <f t="shared" si="2089"/>
        <v>-52</v>
      </c>
      <c r="V929" s="33">
        <f t="shared" si="2090"/>
        <v>-31</v>
      </c>
      <c r="W929" s="33">
        <f t="shared" si="2091"/>
        <v>-25</v>
      </c>
      <c r="X929" s="33">
        <f t="shared" si="2092"/>
        <v>-28</v>
      </c>
      <c r="Y929" s="33">
        <f t="shared" si="2093"/>
        <v>-53</v>
      </c>
      <c r="Z929" s="33">
        <f t="shared" si="2094"/>
        <v>-44</v>
      </c>
      <c r="AA929" s="33">
        <f t="shared" si="2095"/>
        <v>-45</v>
      </c>
      <c r="AB929" s="33">
        <f t="shared" si="2096"/>
        <v>-43</v>
      </c>
      <c r="AC929" s="33">
        <f t="shared" si="2097"/>
        <v>-43</v>
      </c>
      <c r="AD929" s="33">
        <f t="shared" si="2098"/>
        <v>-38</v>
      </c>
      <c r="AE929" s="33">
        <f t="shared" si="2099"/>
        <v>-34</v>
      </c>
      <c r="AF929" s="33">
        <f t="shared" si="2100"/>
        <v>-34</v>
      </c>
      <c r="AG929" s="33">
        <f t="shared" si="2101"/>
        <v>-19</v>
      </c>
      <c r="AH929" s="29">
        <v>-25</v>
      </c>
      <c r="AI929" s="29">
        <v>-25</v>
      </c>
      <c r="AJ929" s="29">
        <v>-25</v>
      </c>
      <c r="AK929" s="79"/>
      <c r="AL929" s="29">
        <v>-176</v>
      </c>
      <c r="AM929" s="29">
        <v>-217</v>
      </c>
      <c r="AN929" s="33">
        <f t="shared" si="2102"/>
        <v>-329</v>
      </c>
      <c r="AO929" s="33">
        <f t="shared" si="2102"/>
        <v>-115</v>
      </c>
      <c r="AP929" s="33">
        <f t="shared" si="2102"/>
        <v>-152</v>
      </c>
      <c r="AQ929" s="33">
        <f t="shared" si="2102"/>
        <v>-119</v>
      </c>
      <c r="AR929" s="33">
        <f t="shared" si="2102"/>
        <v>-136</v>
      </c>
      <c r="AS929" s="28">
        <f t="shared" si="2102"/>
        <v>-185</v>
      </c>
      <c r="AT929" s="28">
        <f t="shared" si="2102"/>
        <v>-149</v>
      </c>
      <c r="AU929" s="28">
        <f t="shared" si="2102"/>
        <v>-94</v>
      </c>
      <c r="AV929" s="212">
        <f>-SUM(Pension!AR40,Pension!AR103,Pension!AR167)</f>
        <v>-60</v>
      </c>
      <c r="AW929" s="212">
        <f>-SUM(Pension!AS40,Pension!AS103,Pension!AS167)</f>
        <v>-60</v>
      </c>
      <c r="AX929" s="212">
        <f>-SUM(Pension!AT40,Pension!AT103,Pension!AT167)</f>
        <v>-60</v>
      </c>
      <c r="AZ929" s="29">
        <v>-23</v>
      </c>
      <c r="BA929" s="29">
        <v>-51</v>
      </c>
      <c r="BB929" s="29">
        <v>-134</v>
      </c>
      <c r="BC929" s="29">
        <v>-329</v>
      </c>
      <c r="BD929" s="29">
        <v>-36</v>
      </c>
      <c r="BE929" s="29">
        <v>-56</v>
      </c>
      <c r="BF929" s="29">
        <v>-81</v>
      </c>
      <c r="BG929" s="29">
        <v>-115</v>
      </c>
      <c r="BH929" s="29">
        <v>-36</v>
      </c>
      <c r="BI929" s="29">
        <v>-78</v>
      </c>
      <c r="BJ929" s="29">
        <v>-112</v>
      </c>
      <c r="BK929" s="29">
        <v>-152</v>
      </c>
      <c r="BL929" s="29">
        <v>-36</v>
      </c>
      <c r="BM929" s="29">
        <v>-65</v>
      </c>
      <c r="BN929" s="29">
        <v>-97</v>
      </c>
      <c r="BO929" s="29">
        <v>-119</v>
      </c>
      <c r="BP929" s="29">
        <v>-52</v>
      </c>
      <c r="BQ929" s="29">
        <v>-83</v>
      </c>
      <c r="BR929" s="29">
        <v>-108</v>
      </c>
      <c r="BS929" s="29">
        <v>-136</v>
      </c>
      <c r="BT929" s="29">
        <v>-53</v>
      </c>
      <c r="BU929" s="29">
        <v>-97</v>
      </c>
      <c r="BV929" s="29">
        <v>-142</v>
      </c>
      <c r="BW929" s="29">
        <v>-185</v>
      </c>
      <c r="BX929" s="29">
        <v>-43</v>
      </c>
      <c r="BY929" s="29">
        <v>-81</v>
      </c>
      <c r="BZ929" s="29">
        <v>-115</v>
      </c>
      <c r="CA929" s="29">
        <v>-149</v>
      </c>
      <c r="CB929" s="29">
        <v>-19</v>
      </c>
    </row>
    <row r="930" spans="3:80" ht="11.25" customHeight="1">
      <c r="C930" s="43" t="s">
        <v>78</v>
      </c>
      <c r="E930" s="33">
        <f t="shared" si="2075"/>
        <v>-109</v>
      </c>
      <c r="F930" s="33">
        <f t="shared" si="2076"/>
        <v>42</v>
      </c>
      <c r="G930" s="33">
        <f t="shared" si="2077"/>
        <v>48</v>
      </c>
      <c r="H930" s="33">
        <f t="shared" si="2078"/>
        <v>36</v>
      </c>
      <c r="I930" s="33">
        <f t="shared" si="2079"/>
        <v>-84</v>
      </c>
      <c r="J930" s="33">
        <f t="shared" si="2080"/>
        <v>50</v>
      </c>
      <c r="K930" s="33">
        <f t="shared" si="2081"/>
        <v>52</v>
      </c>
      <c r="L930" s="33">
        <f t="shared" si="2082"/>
        <v>53</v>
      </c>
      <c r="M930" s="33">
        <f t="shared" si="2083"/>
        <v>-77</v>
      </c>
      <c r="N930" s="33">
        <f t="shared" si="2084"/>
        <v>53</v>
      </c>
      <c r="O930" s="33">
        <f t="shared" si="2085"/>
        <v>47</v>
      </c>
      <c r="P930" s="33">
        <f t="shared" si="2086"/>
        <v>32</v>
      </c>
      <c r="Q930" s="33">
        <f t="shared" si="2087"/>
        <v>-77</v>
      </c>
      <c r="R930" s="33">
        <f t="shared" si="2088"/>
        <v>32</v>
      </c>
      <c r="S930" s="33">
        <f t="shared" si="2088"/>
        <v>30</v>
      </c>
      <c r="T930" s="33">
        <f t="shared" si="2088"/>
        <v>53</v>
      </c>
      <c r="U930" s="33">
        <f t="shared" si="2089"/>
        <v>-74</v>
      </c>
      <c r="V930" s="33">
        <f t="shared" si="2090"/>
        <v>44</v>
      </c>
      <c r="W930" s="33">
        <f t="shared" si="2091"/>
        <v>55</v>
      </c>
      <c r="X930" s="33">
        <f t="shared" si="2092"/>
        <v>62</v>
      </c>
      <c r="Y930" s="33">
        <f t="shared" si="2093"/>
        <v>-78</v>
      </c>
      <c r="Z930" s="33">
        <f t="shared" si="2094"/>
        <v>86</v>
      </c>
      <c r="AA930" s="33">
        <f t="shared" si="2095"/>
        <v>82</v>
      </c>
      <c r="AB930" s="33">
        <f t="shared" si="2096"/>
        <v>72</v>
      </c>
      <c r="AC930" s="33">
        <f t="shared" si="2097"/>
        <v>-168</v>
      </c>
      <c r="AD930" s="33">
        <f t="shared" si="2098"/>
        <v>36</v>
      </c>
      <c r="AE930" s="33">
        <f t="shared" si="2099"/>
        <v>15</v>
      </c>
      <c r="AF930" s="33">
        <f t="shared" si="2100"/>
        <v>14</v>
      </c>
      <c r="AG930" s="33">
        <f t="shared" si="2101"/>
        <v>-16</v>
      </c>
      <c r="AH930" s="28">
        <f>AH757-AG757</f>
        <v>0</v>
      </c>
      <c r="AI930" s="28">
        <f>AI757-AH757</f>
        <v>0</v>
      </c>
      <c r="AJ930" s="28">
        <f>AJ757-AI757</f>
        <v>0</v>
      </c>
      <c r="AK930" s="79"/>
      <c r="AL930" s="29">
        <v>27</v>
      </c>
      <c r="AM930" s="29">
        <v>71</v>
      </c>
      <c r="AN930" s="33">
        <f t="shared" si="2102"/>
        <v>17</v>
      </c>
      <c r="AO930" s="33">
        <f t="shared" si="2102"/>
        <v>71</v>
      </c>
      <c r="AP930" s="33">
        <f t="shared" si="2102"/>
        <v>55</v>
      </c>
      <c r="AQ930" s="33">
        <f t="shared" si="2102"/>
        <v>38</v>
      </c>
      <c r="AR930" s="33">
        <f t="shared" si="2102"/>
        <v>87</v>
      </c>
      <c r="AS930" s="28">
        <f t="shared" si="2102"/>
        <v>162</v>
      </c>
      <c r="AT930" s="28">
        <f t="shared" si="2102"/>
        <v>-103</v>
      </c>
      <c r="AU930" s="28">
        <f t="shared" si="2102"/>
        <v>-16</v>
      </c>
      <c r="AV930" s="28">
        <f>AV757-AU757</f>
        <v>0</v>
      </c>
      <c r="AW930" s="28">
        <f>AW757-AV757</f>
        <v>0</v>
      </c>
      <c r="AX930" s="28">
        <f>AX757-AW757</f>
        <v>0</v>
      </c>
      <c r="AZ930" s="29">
        <v>-109</v>
      </c>
      <c r="BA930" s="29">
        <v>-67</v>
      </c>
      <c r="BB930" s="29">
        <v>-19</v>
      </c>
      <c r="BC930" s="29">
        <v>17</v>
      </c>
      <c r="BD930" s="29">
        <v>-84</v>
      </c>
      <c r="BE930" s="29">
        <v>-34</v>
      </c>
      <c r="BF930" s="29">
        <v>18</v>
      </c>
      <c r="BG930" s="29">
        <v>71</v>
      </c>
      <c r="BH930" s="29">
        <v>-77</v>
      </c>
      <c r="BI930" s="29">
        <v>-24</v>
      </c>
      <c r="BJ930" s="29">
        <v>23</v>
      </c>
      <c r="BK930" s="29">
        <v>55</v>
      </c>
      <c r="BL930" s="29">
        <v>-77</v>
      </c>
      <c r="BM930" s="29">
        <v>-45</v>
      </c>
      <c r="BN930" s="29">
        <v>-15</v>
      </c>
      <c r="BO930" s="29">
        <v>38</v>
      </c>
      <c r="BP930" s="29">
        <v>-74</v>
      </c>
      <c r="BQ930" s="29">
        <v>-30</v>
      </c>
      <c r="BR930" s="29">
        <v>25</v>
      </c>
      <c r="BS930" s="29">
        <v>87</v>
      </c>
      <c r="BT930" s="29">
        <v>-78</v>
      </c>
      <c r="BU930" s="29">
        <v>8</v>
      </c>
      <c r="BV930" s="29">
        <v>90</v>
      </c>
      <c r="BW930" s="29">
        <v>162</v>
      </c>
      <c r="BX930" s="29">
        <v>-168</v>
      </c>
      <c r="BY930" s="29">
        <v>-132</v>
      </c>
      <c r="BZ930" s="29">
        <v>-117</v>
      </c>
      <c r="CA930" s="29">
        <v>-103</v>
      </c>
      <c r="CB930" s="29">
        <v>-16</v>
      </c>
    </row>
    <row r="931" spans="3:80" ht="11.25" customHeight="1">
      <c r="C931" s="43" t="s">
        <v>79</v>
      </c>
      <c r="E931" s="33">
        <f t="shared" si="2075"/>
        <v>-16</v>
      </c>
      <c r="F931" s="33">
        <f t="shared" si="2076"/>
        <v>27</v>
      </c>
      <c r="G931" s="33">
        <f t="shared" si="2077"/>
        <v>8</v>
      </c>
      <c r="H931" s="33">
        <f t="shared" si="2078"/>
        <v>-144</v>
      </c>
      <c r="I931" s="33">
        <f t="shared" si="2079"/>
        <v>-26</v>
      </c>
      <c r="J931" s="33">
        <f t="shared" si="2080"/>
        <v>0</v>
      </c>
      <c r="K931" s="33">
        <f t="shared" si="2081"/>
        <v>47</v>
      </c>
      <c r="L931" s="33">
        <f t="shared" si="2082"/>
        <v>123</v>
      </c>
      <c r="M931" s="33">
        <f t="shared" si="2083"/>
        <v>-30</v>
      </c>
      <c r="N931" s="33">
        <f t="shared" si="2084"/>
        <v>45</v>
      </c>
      <c r="O931" s="33">
        <f t="shared" si="2085"/>
        <v>-90</v>
      </c>
      <c r="P931" s="33">
        <f t="shared" si="2086"/>
        <v>120</v>
      </c>
      <c r="Q931" s="33">
        <f t="shared" si="2087"/>
        <v>53</v>
      </c>
      <c r="R931" s="33">
        <f t="shared" si="2088"/>
        <v>0</v>
      </c>
      <c r="S931" s="33">
        <f t="shared" si="2088"/>
        <v>37</v>
      </c>
      <c r="T931" s="33">
        <f t="shared" si="2088"/>
        <v>-194</v>
      </c>
      <c r="U931" s="33">
        <f t="shared" si="2089"/>
        <v>71</v>
      </c>
      <c r="V931" s="33">
        <f t="shared" si="2090"/>
        <v>3</v>
      </c>
      <c r="W931" s="33">
        <f t="shared" si="2091"/>
        <v>29</v>
      </c>
      <c r="X931" s="33">
        <f t="shared" si="2092"/>
        <v>-98</v>
      </c>
      <c r="Y931" s="33">
        <f t="shared" si="2093"/>
        <v>77</v>
      </c>
      <c r="Z931" s="33">
        <f t="shared" si="2094"/>
        <v>29</v>
      </c>
      <c r="AA931" s="33">
        <f t="shared" si="2095"/>
        <v>169</v>
      </c>
      <c r="AB931" s="33">
        <f t="shared" si="2096"/>
        <v>-186</v>
      </c>
      <c r="AC931" s="33">
        <f t="shared" si="2097"/>
        <v>57</v>
      </c>
      <c r="AD931" s="33">
        <f t="shared" si="2098"/>
        <v>117</v>
      </c>
      <c r="AE931" s="33">
        <f t="shared" si="2099"/>
        <v>-56</v>
      </c>
      <c r="AF931" s="33">
        <f t="shared" si="2100"/>
        <v>172</v>
      </c>
      <c r="AG931" s="33">
        <f t="shared" si="2101"/>
        <v>32</v>
      </c>
      <c r="AH931" s="28">
        <f>+AG742-AH742</f>
        <v>21.605320000000006</v>
      </c>
      <c r="AI931" s="28">
        <f>+AH742-AI742</f>
        <v>7.6859999999996376E-2</v>
      </c>
      <c r="AJ931" s="28">
        <f>+AI742-AJ742</f>
        <v>-0.21546000000000731</v>
      </c>
      <c r="AK931" s="79"/>
      <c r="AL931" s="29">
        <v>-3</v>
      </c>
      <c r="AM931" s="29">
        <v>30</v>
      </c>
      <c r="AN931" s="33">
        <f t="shared" si="2102"/>
        <v>-125</v>
      </c>
      <c r="AO931" s="33">
        <f t="shared" si="2102"/>
        <v>144</v>
      </c>
      <c r="AP931" s="33">
        <f t="shared" si="2102"/>
        <v>45</v>
      </c>
      <c r="AQ931" s="33">
        <f t="shared" si="2102"/>
        <v>-104</v>
      </c>
      <c r="AR931" s="33">
        <f t="shared" si="2102"/>
        <v>5</v>
      </c>
      <c r="AS931" s="28">
        <f t="shared" si="2102"/>
        <v>89</v>
      </c>
      <c r="AT931" s="28">
        <f t="shared" si="2102"/>
        <v>290</v>
      </c>
      <c r="AU931" s="28">
        <f t="shared" si="2102"/>
        <v>53.466719999999995</v>
      </c>
      <c r="AV931" s="28">
        <f>+AU742-AV742</f>
        <v>-2.6036962000000159</v>
      </c>
      <c r="AW931" s="28">
        <f>+AV742-AW742</f>
        <v>-2.24912202900002</v>
      </c>
      <c r="AX931" s="28">
        <f>+AW742-AX742</f>
        <v>-1.9424675469849859</v>
      </c>
      <c r="AZ931" s="29">
        <v>-16</v>
      </c>
      <c r="BA931" s="29">
        <v>11</v>
      </c>
      <c r="BB931" s="29">
        <v>19</v>
      </c>
      <c r="BC931" s="29">
        <v>-125</v>
      </c>
      <c r="BD931" s="29">
        <v>-26</v>
      </c>
      <c r="BE931" s="29">
        <v>-26</v>
      </c>
      <c r="BF931" s="29">
        <v>21</v>
      </c>
      <c r="BG931" s="29">
        <v>144</v>
      </c>
      <c r="BH931" s="29">
        <v>-30</v>
      </c>
      <c r="BI931" s="29">
        <v>15</v>
      </c>
      <c r="BJ931" s="29">
        <v>-75</v>
      </c>
      <c r="BK931" s="29">
        <v>45</v>
      </c>
      <c r="BL931" s="29">
        <v>53</v>
      </c>
      <c r="BM931" s="29">
        <v>53</v>
      </c>
      <c r="BN931" s="29">
        <v>90</v>
      </c>
      <c r="BO931" s="29">
        <v>-104</v>
      </c>
      <c r="BP931" s="29">
        <v>71</v>
      </c>
      <c r="BQ931" s="29">
        <v>74</v>
      </c>
      <c r="BR931" s="29">
        <v>103</v>
      </c>
      <c r="BS931" s="29">
        <v>5</v>
      </c>
      <c r="BT931" s="29">
        <v>77</v>
      </c>
      <c r="BU931" s="29">
        <v>106</v>
      </c>
      <c r="BV931" s="29">
        <v>275</v>
      </c>
      <c r="BW931" s="29">
        <v>89</v>
      </c>
      <c r="BX931" s="29">
        <v>57</v>
      </c>
      <c r="BY931" s="29">
        <v>174</v>
      </c>
      <c r="BZ931" s="29">
        <v>118</v>
      </c>
      <c r="CA931" s="29">
        <v>290</v>
      </c>
      <c r="CB931" s="29">
        <v>32</v>
      </c>
    </row>
    <row r="932" spans="3:80" s="27" customFormat="1" ht="11.25" customHeight="1">
      <c r="C932" s="45" t="s">
        <v>80</v>
      </c>
      <c r="E932" s="35">
        <f t="shared" ref="E932:R932" si="2103">+SUM(E926:E931,E917:E923,E914)</f>
        <v>51</v>
      </c>
      <c r="F932" s="35">
        <f t="shared" si="2103"/>
        <v>494</v>
      </c>
      <c r="G932" s="35">
        <f t="shared" si="2103"/>
        <v>450</v>
      </c>
      <c r="H932" s="35">
        <f t="shared" si="2103"/>
        <v>390</v>
      </c>
      <c r="I932" s="35">
        <f t="shared" si="2103"/>
        <v>52</v>
      </c>
      <c r="J932" s="35">
        <f t="shared" si="2103"/>
        <v>431</v>
      </c>
      <c r="K932" s="35">
        <f t="shared" si="2103"/>
        <v>528</v>
      </c>
      <c r="L932" s="35">
        <f t="shared" si="2103"/>
        <v>646</v>
      </c>
      <c r="M932" s="35">
        <f t="shared" si="2103"/>
        <v>-35</v>
      </c>
      <c r="N932" s="35">
        <f t="shared" si="2103"/>
        <v>443</v>
      </c>
      <c r="O932" s="35">
        <f t="shared" si="2103"/>
        <v>395</v>
      </c>
      <c r="P932" s="35">
        <f t="shared" si="2103"/>
        <v>740</v>
      </c>
      <c r="Q932" s="35">
        <f t="shared" si="2103"/>
        <v>-5</v>
      </c>
      <c r="R932" s="35">
        <f t="shared" si="2103"/>
        <v>422</v>
      </c>
      <c r="S932" s="35">
        <f>+SUM(S926:S931,S917:S923,S914)</f>
        <v>416</v>
      </c>
      <c r="T932" s="35">
        <f>+SUM(T926:T931,T917:T923,T914)</f>
        <v>671</v>
      </c>
      <c r="U932" s="35">
        <f>+SUM(U926:U931,U917:U923,U914)</f>
        <v>171</v>
      </c>
      <c r="V932" s="35">
        <f>+SUM(V926:V931,V917:V923,V914)</f>
        <v>436</v>
      </c>
      <c r="W932" s="35">
        <f t="shared" ref="W932:AB932" si="2104">+SUM(W926:W931,W917:W923,W914)</f>
        <v>442</v>
      </c>
      <c r="X932" s="35">
        <f t="shared" si="2104"/>
        <v>406</v>
      </c>
      <c r="Y932" s="35">
        <f t="shared" si="2104"/>
        <v>216</v>
      </c>
      <c r="Z932" s="35">
        <f t="shared" si="2104"/>
        <v>426</v>
      </c>
      <c r="AA932" s="35">
        <f t="shared" si="2104"/>
        <v>547</v>
      </c>
      <c r="AB932" s="35">
        <f t="shared" si="2104"/>
        <v>430</v>
      </c>
      <c r="AC932" s="35">
        <f>+SUM(AC926:AC931,AC917:AC923,AC914)</f>
        <v>17</v>
      </c>
      <c r="AD932" s="35">
        <f t="shared" ref="AD932:AF932" si="2105">+SUM(AD926:AD931,AD917:AD923,AD914)</f>
        <v>245</v>
      </c>
      <c r="AE932" s="35">
        <f t="shared" si="2105"/>
        <v>256</v>
      </c>
      <c r="AF932" s="35">
        <f t="shared" si="2105"/>
        <v>457</v>
      </c>
      <c r="AG932" s="35">
        <f>+SUM(AG926:AG931,AG917:AG923,AG914)</f>
        <v>-2</v>
      </c>
      <c r="AH932" s="35">
        <f ca="1">+SUM(AH926:AH931,AH917:AH923,AH914)</f>
        <v>711.09773181773767</v>
      </c>
      <c r="AI932" s="35">
        <f ca="1">+SUM(AI926:AI931,AI917:AI923,AI914)</f>
        <v>406.56913256371757</v>
      </c>
      <c r="AJ932" s="35">
        <f ca="1">+SUM(AJ926:AJ931,AJ917:AJ923,AJ914)</f>
        <v>344.12274629599938</v>
      </c>
      <c r="AK932" s="79"/>
      <c r="AL932" s="35">
        <f t="shared" ref="AL932:AT932" si="2106">+SUM(AL926:AL931,AL917:AL923,AL914)</f>
        <v>1433</v>
      </c>
      <c r="AM932" s="35">
        <f t="shared" si="2106"/>
        <v>1624</v>
      </c>
      <c r="AN932" s="35">
        <f t="shared" si="2106"/>
        <v>1385</v>
      </c>
      <c r="AO932" s="35">
        <f t="shared" si="2106"/>
        <v>1657</v>
      </c>
      <c r="AP932" s="35">
        <f t="shared" si="2106"/>
        <v>1543</v>
      </c>
      <c r="AQ932" s="35">
        <f t="shared" si="2106"/>
        <v>1504</v>
      </c>
      <c r="AR932" s="35">
        <f t="shared" si="2106"/>
        <v>1455</v>
      </c>
      <c r="AS932" s="35">
        <f t="shared" si="2106"/>
        <v>1619</v>
      </c>
      <c r="AT932" s="35">
        <f t="shared" si="2106"/>
        <v>975</v>
      </c>
      <c r="AU932" s="35">
        <f ca="1">+SUM(AU926:AU931,AU917:AU923,AU914)</f>
        <v>1459.7896106774547</v>
      </c>
      <c r="AV932" s="35">
        <f ca="1">+SUM(AV926:AV931,AV917:AV923,AV914)</f>
        <v>1403.1268858515066</v>
      </c>
      <c r="AW932" s="35">
        <f ca="1">+SUM(AW926:AW931,AW917:AW923,AW914)</f>
        <v>1437.703104279977</v>
      </c>
      <c r="AX932" s="35">
        <f ca="1">+SUM(AX926:AX931,AX917:AX923,AX914)</f>
        <v>1663.2725227583019</v>
      </c>
      <c r="AY932" s="1"/>
      <c r="AZ932" s="35">
        <f t="shared" ref="AZ932:BM932" si="2107">+SUM(AZ926:AZ931,AZ917:AZ923,AZ914)</f>
        <v>51</v>
      </c>
      <c r="BA932" s="35">
        <f t="shared" si="2107"/>
        <v>545</v>
      </c>
      <c r="BB932" s="35">
        <f t="shared" si="2107"/>
        <v>995</v>
      </c>
      <c r="BC932" s="35">
        <f t="shared" si="2107"/>
        <v>1385</v>
      </c>
      <c r="BD932" s="35">
        <f t="shared" si="2107"/>
        <v>52</v>
      </c>
      <c r="BE932" s="35">
        <f t="shared" si="2107"/>
        <v>483</v>
      </c>
      <c r="BF932" s="35">
        <f t="shared" si="2107"/>
        <v>1011</v>
      </c>
      <c r="BG932" s="35">
        <f t="shared" si="2107"/>
        <v>1657</v>
      </c>
      <c r="BH932" s="35">
        <f t="shared" si="2107"/>
        <v>-35</v>
      </c>
      <c r="BI932" s="35">
        <f t="shared" si="2107"/>
        <v>408</v>
      </c>
      <c r="BJ932" s="35">
        <f t="shared" si="2107"/>
        <v>803</v>
      </c>
      <c r="BK932" s="35">
        <f t="shared" si="2107"/>
        <v>1543</v>
      </c>
      <c r="BL932" s="35">
        <f t="shared" si="2107"/>
        <v>-5</v>
      </c>
      <c r="BM932" s="35">
        <f t="shared" si="2107"/>
        <v>417</v>
      </c>
      <c r="BN932" s="35">
        <f>+SUM(BN926:BN931,BN917:BN923,BN914)</f>
        <v>833</v>
      </c>
      <c r="BO932" s="35">
        <f>+SUM(BO926:BO931,BO917:BO923,BO914)</f>
        <v>1504</v>
      </c>
      <c r="BP932" s="35">
        <f t="shared" ref="BP932:BW932" si="2108">+SUM(BP926:BP931,BP917:BP923,BP914)</f>
        <v>171</v>
      </c>
      <c r="BQ932" s="35">
        <f t="shared" si="2108"/>
        <v>607</v>
      </c>
      <c r="BR932" s="35">
        <f t="shared" si="2108"/>
        <v>1049</v>
      </c>
      <c r="BS932" s="35">
        <f t="shared" si="2108"/>
        <v>1455</v>
      </c>
      <c r="BT932" s="35">
        <f t="shared" si="2108"/>
        <v>216</v>
      </c>
      <c r="BU932" s="35">
        <f t="shared" si="2108"/>
        <v>642</v>
      </c>
      <c r="BV932" s="35">
        <f t="shared" si="2108"/>
        <v>1189</v>
      </c>
      <c r="BW932" s="35">
        <f t="shared" si="2108"/>
        <v>1619</v>
      </c>
      <c r="BX932" s="35">
        <f>+SUM(BX926:BX931,BX917:BX923,BX914)</f>
        <v>17</v>
      </c>
      <c r="BY932" s="35">
        <f>+SUM(BY926:BY931,BY917:BY923,BY914)</f>
        <v>262</v>
      </c>
      <c r="BZ932" s="35">
        <f>+SUM(BZ926:BZ931,BZ917:BZ923,BZ914)</f>
        <v>518</v>
      </c>
      <c r="CA932" s="35">
        <f>+SUM(CA926:CA931,CA917:CA923,CA914)</f>
        <v>975</v>
      </c>
      <c r="CB932" s="35">
        <f>+SUM(CB926:CB931,CB917:CB923,CB914)</f>
        <v>-2</v>
      </c>
    </row>
    <row r="933" spans="3:80" s="27" customFormat="1" ht="11.25" customHeight="1">
      <c r="C933" s="26"/>
      <c r="E933" s="30"/>
      <c r="F933" s="30"/>
      <c r="G933" s="30"/>
      <c r="H933" s="30"/>
      <c r="I933" s="30"/>
      <c r="J933" s="30"/>
      <c r="K933" s="30"/>
      <c r="L933" s="30"/>
      <c r="M933" s="30"/>
      <c r="N933" s="30"/>
      <c r="O933" s="30"/>
      <c r="P933" s="30"/>
      <c r="Q933" s="30">
        <f>SUM(Q932:S932,Q934:S934)</f>
        <v>525</v>
      </c>
      <c r="R933" s="30"/>
      <c r="S933" s="30"/>
      <c r="T933" s="30"/>
      <c r="U933" s="30">
        <f>SUM(U932:W932,U934:W934)</f>
        <v>771</v>
      </c>
      <c r="V933" s="30"/>
      <c r="W933" s="30"/>
      <c r="X933" s="30"/>
      <c r="Y933" s="30">
        <f>SUM(Y932:AA932,Y934:AA934)</f>
        <v>856</v>
      </c>
      <c r="Z933" s="30"/>
      <c r="AA933" s="30"/>
      <c r="AB933" s="30"/>
      <c r="AC933" s="30">
        <f>SUM(AC932:AE932,AC934:AE934)</f>
        <v>100</v>
      </c>
      <c r="AD933" s="30"/>
      <c r="AE933" s="30"/>
      <c r="AF933" s="30"/>
      <c r="AG933" s="30">
        <f>AG934*4</f>
        <v>-696</v>
      </c>
      <c r="AK933" s="79"/>
      <c r="AM933" s="30"/>
      <c r="AN933" s="30"/>
      <c r="AO933" s="30"/>
      <c r="AP933" s="30"/>
      <c r="AQ933" s="622"/>
      <c r="AR933" s="30"/>
      <c r="AS933" s="30"/>
      <c r="AT933" s="28"/>
      <c r="AU933" s="28"/>
      <c r="AV933" s="28"/>
      <c r="AY933" s="1"/>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row>
    <row r="934" spans="3:80" ht="11.25" customHeight="1">
      <c r="C934" s="43" t="s">
        <v>81</v>
      </c>
      <c r="E934" s="33">
        <f>+AZ934</f>
        <v>-110</v>
      </c>
      <c r="F934" s="33">
        <f t="shared" ref="F934:H935" si="2109">+BA934-AZ934</f>
        <v>-124</v>
      </c>
      <c r="G934" s="33">
        <f t="shared" si="2109"/>
        <v>-141</v>
      </c>
      <c r="H934" s="33">
        <f t="shared" si="2109"/>
        <v>-251</v>
      </c>
      <c r="I934" s="33">
        <f>+BD934</f>
        <v>-133</v>
      </c>
      <c r="J934" s="33">
        <f t="shared" ref="J934:L935" si="2110">+BE934-BD934</f>
        <v>-146</v>
      </c>
      <c r="K934" s="33">
        <f t="shared" si="2110"/>
        <v>-159</v>
      </c>
      <c r="L934" s="33">
        <f t="shared" si="2110"/>
        <v>-211</v>
      </c>
      <c r="M934" s="33">
        <f>+BH934</f>
        <v>-128</v>
      </c>
      <c r="N934" s="33">
        <f t="shared" ref="N934:P935" si="2111">+BI934-BH934</f>
        <v>-116</v>
      </c>
      <c r="O934" s="33">
        <f t="shared" si="2111"/>
        <v>-137</v>
      </c>
      <c r="P934" s="33">
        <f t="shared" si="2111"/>
        <v>-147</v>
      </c>
      <c r="Q934" s="33">
        <f>+BL934</f>
        <v>-106</v>
      </c>
      <c r="R934" s="33">
        <f t="shared" ref="R934:T938" si="2112">+BM934-BL934</f>
        <v>-92</v>
      </c>
      <c r="S934" s="33">
        <f t="shared" si="2112"/>
        <v>-110</v>
      </c>
      <c r="T934" s="33">
        <f t="shared" si="2112"/>
        <v>-117</v>
      </c>
      <c r="U934" s="33">
        <f>+BP934</f>
        <v>-101</v>
      </c>
      <c r="V934" s="33">
        <f t="shared" ref="V934:X938" si="2113">+BQ934-BP934</f>
        <v>-99</v>
      </c>
      <c r="W934" s="33">
        <f t="shared" si="2113"/>
        <v>-78</v>
      </c>
      <c r="X934" s="33">
        <f t="shared" si="2113"/>
        <v>-118</v>
      </c>
      <c r="Y934" s="33">
        <f>+BT934</f>
        <v>-97</v>
      </c>
      <c r="Z934" s="33">
        <f t="shared" ref="Z934:AB938" si="2114">+BU934-BT934</f>
        <v>-113</v>
      </c>
      <c r="AA934" s="33">
        <f t="shared" si="2114"/>
        <v>-123</v>
      </c>
      <c r="AB934" s="33">
        <f t="shared" si="2114"/>
        <v>-245</v>
      </c>
      <c r="AC934" s="33">
        <f>+BX934</f>
        <v>-115</v>
      </c>
      <c r="AD934" s="33">
        <f t="shared" ref="AD934:AD938" si="2115">+BY934-BX934</f>
        <v>-139</v>
      </c>
      <c r="AE934" s="33">
        <f t="shared" ref="AE934:AE938" si="2116">+BZ934-BY934</f>
        <v>-164</v>
      </c>
      <c r="AF934" s="33">
        <f t="shared" ref="AF934:AF938" si="2117">+CA934-BZ934</f>
        <v>-206</v>
      </c>
      <c r="AG934" s="33">
        <f>+CB934</f>
        <v>-174</v>
      </c>
      <c r="AH934" s="28">
        <f>-AH871</f>
        <v>-200</v>
      </c>
      <c r="AI934" s="28">
        <f>-AI871</f>
        <v>-200</v>
      </c>
      <c r="AJ934" s="28">
        <f>-AJ871</f>
        <v>-200</v>
      </c>
      <c r="AK934" s="79"/>
      <c r="AL934" s="29">
        <v>-593</v>
      </c>
      <c r="AM934" s="29">
        <v>-652</v>
      </c>
      <c r="AN934" s="33">
        <f t="shared" ref="AN934:AU938" si="2118">SUMIF($E$6:$AK$6,AN$6,$E934:$AK934)</f>
        <v>-626</v>
      </c>
      <c r="AO934" s="33">
        <f t="shared" si="2118"/>
        <v>-649</v>
      </c>
      <c r="AP934" s="33">
        <f t="shared" si="2118"/>
        <v>-528</v>
      </c>
      <c r="AQ934" s="33">
        <f t="shared" si="2118"/>
        <v>-425</v>
      </c>
      <c r="AR934" s="33">
        <f t="shared" si="2118"/>
        <v>-396</v>
      </c>
      <c r="AS934" s="28">
        <f t="shared" si="2118"/>
        <v>-578</v>
      </c>
      <c r="AT934" s="28">
        <f t="shared" si="2118"/>
        <v>-624</v>
      </c>
      <c r="AU934" s="106">
        <f t="shared" si="2118"/>
        <v>-774</v>
      </c>
      <c r="AV934" s="106">
        <f>-AV871</f>
        <v>-600</v>
      </c>
      <c r="AW934" s="106">
        <f>-AW871</f>
        <v>-600</v>
      </c>
      <c r="AX934" s="106">
        <f>-AX871</f>
        <v>-500</v>
      </c>
      <c r="AZ934" s="29">
        <v>-110</v>
      </c>
      <c r="BA934" s="29">
        <v>-234</v>
      </c>
      <c r="BB934" s="29">
        <v>-375</v>
      </c>
      <c r="BC934" s="29">
        <v>-626</v>
      </c>
      <c r="BD934" s="29">
        <v>-133</v>
      </c>
      <c r="BE934" s="29">
        <v>-279</v>
      </c>
      <c r="BF934" s="29">
        <v>-438</v>
      </c>
      <c r="BG934" s="29">
        <v>-649</v>
      </c>
      <c r="BH934" s="29">
        <v>-128</v>
      </c>
      <c r="BI934" s="29">
        <v>-244</v>
      </c>
      <c r="BJ934" s="29">
        <v>-381</v>
      </c>
      <c r="BK934" s="29">
        <v>-528</v>
      </c>
      <c r="BL934" s="29">
        <v>-106</v>
      </c>
      <c r="BM934" s="29">
        <v>-198</v>
      </c>
      <c r="BN934" s="29">
        <v>-308</v>
      </c>
      <c r="BO934" s="29">
        <v>-425</v>
      </c>
      <c r="BP934" s="29">
        <f>-99-2</f>
        <v>-101</v>
      </c>
      <c r="BQ934" s="29">
        <f>-196-4</f>
        <v>-200</v>
      </c>
      <c r="BR934" s="29">
        <v>-278</v>
      </c>
      <c r="BS934" s="29">
        <f>-383-13</f>
        <v>-396</v>
      </c>
      <c r="BT934" s="29">
        <v>-97</v>
      </c>
      <c r="BU934" s="29">
        <f>-198-12</f>
        <v>-210</v>
      </c>
      <c r="BV934" s="29">
        <f>-315-18</f>
        <v>-333</v>
      </c>
      <c r="BW934" s="29">
        <f>-555-23</f>
        <v>-578</v>
      </c>
      <c r="BX934" s="29">
        <v>-115</v>
      </c>
      <c r="BY934" s="29">
        <v>-254</v>
      </c>
      <c r="BZ934" s="29">
        <v>-418</v>
      </c>
      <c r="CA934" s="29">
        <v>-624</v>
      </c>
      <c r="CB934" s="29">
        <v>-174</v>
      </c>
    </row>
    <row r="935" spans="3:80" ht="11.25" customHeight="1">
      <c r="C935" s="43" t="s">
        <v>82</v>
      </c>
      <c r="E935" s="33">
        <f>+AZ935</f>
        <v>0</v>
      </c>
      <c r="F935" s="33">
        <f t="shared" si="2109"/>
        <v>0</v>
      </c>
      <c r="G935" s="33">
        <f t="shared" si="2109"/>
        <v>0</v>
      </c>
      <c r="H935" s="33">
        <f t="shared" si="2109"/>
        <v>0</v>
      </c>
      <c r="I935" s="33">
        <f>+BD935</f>
        <v>0</v>
      </c>
      <c r="J935" s="33">
        <f t="shared" si="2110"/>
        <v>0</v>
      </c>
      <c r="K935" s="33">
        <f t="shared" si="2110"/>
        <v>0</v>
      </c>
      <c r="L935" s="33">
        <f t="shared" si="2110"/>
        <v>0</v>
      </c>
      <c r="M935" s="33">
        <f>+BH935</f>
        <v>50</v>
      </c>
      <c r="N935" s="33">
        <f t="shared" si="2111"/>
        <v>15</v>
      </c>
      <c r="O935" s="33">
        <f t="shared" si="2111"/>
        <v>0</v>
      </c>
      <c r="P935" s="33">
        <f t="shared" si="2111"/>
        <v>0</v>
      </c>
      <c r="Q935" s="33">
        <f>+BL935</f>
        <v>0</v>
      </c>
      <c r="R935" s="33">
        <f t="shared" si="2112"/>
        <v>0</v>
      </c>
      <c r="S935" s="33">
        <f t="shared" si="2112"/>
        <v>0</v>
      </c>
      <c r="T935" s="33">
        <f t="shared" si="2112"/>
        <v>0</v>
      </c>
      <c r="U935" s="33">
        <f>+BP935</f>
        <v>0</v>
      </c>
      <c r="V935" s="33">
        <f t="shared" si="2113"/>
        <v>0</v>
      </c>
      <c r="W935" s="33">
        <f t="shared" si="2113"/>
        <v>0</v>
      </c>
      <c r="X935" s="33">
        <f t="shared" si="2113"/>
        <v>0</v>
      </c>
      <c r="Y935" s="33">
        <f>+BT935</f>
        <v>0</v>
      </c>
      <c r="Z935" s="33">
        <f t="shared" si="2114"/>
        <v>0</v>
      </c>
      <c r="AA935" s="33">
        <f t="shared" si="2114"/>
        <v>0</v>
      </c>
      <c r="AB935" s="33">
        <f t="shared" si="2114"/>
        <v>0</v>
      </c>
      <c r="AC935" s="33">
        <f>+BX935</f>
        <v>0</v>
      </c>
      <c r="AD935" s="33">
        <f t="shared" si="2115"/>
        <v>0</v>
      </c>
      <c r="AE935" s="33">
        <f t="shared" si="2116"/>
        <v>0</v>
      </c>
      <c r="AF935" s="33">
        <f t="shared" si="2117"/>
        <v>0</v>
      </c>
      <c r="AG935" s="33">
        <f>+CB935</f>
        <v>16</v>
      </c>
      <c r="AH935" s="28">
        <v>0</v>
      </c>
      <c r="AI935" s="28">
        <v>0</v>
      </c>
      <c r="AJ935" s="28">
        <v>0</v>
      </c>
      <c r="AK935" s="79"/>
      <c r="AL935" s="29">
        <v>0</v>
      </c>
      <c r="AM935" s="29">
        <v>0</v>
      </c>
      <c r="AN935" s="33">
        <f t="shared" si="2118"/>
        <v>0</v>
      </c>
      <c r="AO935" s="33">
        <f t="shared" si="2118"/>
        <v>0</v>
      </c>
      <c r="AP935" s="33">
        <f t="shared" si="2118"/>
        <v>65</v>
      </c>
      <c r="AQ935" s="33">
        <f t="shared" si="2118"/>
        <v>0</v>
      </c>
      <c r="AR935" s="33">
        <f t="shared" si="2118"/>
        <v>0</v>
      </c>
      <c r="AS935" s="28">
        <f t="shared" si="2118"/>
        <v>0</v>
      </c>
      <c r="AT935" s="28">
        <f t="shared" si="2118"/>
        <v>0</v>
      </c>
      <c r="AU935" s="28">
        <f t="shared" si="2118"/>
        <v>16</v>
      </c>
      <c r="AV935" s="28">
        <v>0</v>
      </c>
      <c r="AW935" s="28">
        <v>0</v>
      </c>
      <c r="AX935" s="28">
        <v>0</v>
      </c>
      <c r="AZ935" s="29">
        <v>0</v>
      </c>
      <c r="BA935" s="29">
        <v>0</v>
      </c>
      <c r="BB935" s="29">
        <v>0</v>
      </c>
      <c r="BC935" s="29">
        <v>0</v>
      </c>
      <c r="BD935" s="29">
        <v>0</v>
      </c>
      <c r="BE935" s="29">
        <v>0</v>
      </c>
      <c r="BF935" s="29">
        <v>0</v>
      </c>
      <c r="BG935" s="29">
        <v>0</v>
      </c>
      <c r="BH935" s="29">
        <v>50</v>
      </c>
      <c r="BI935" s="29">
        <v>65</v>
      </c>
      <c r="BJ935" s="29">
        <v>65</v>
      </c>
      <c r="BK935" s="29">
        <v>65</v>
      </c>
      <c r="BL935" s="29">
        <v>0</v>
      </c>
      <c r="BM935" s="29">
        <v>0</v>
      </c>
      <c r="BN935" s="29">
        <v>0</v>
      </c>
      <c r="BO935" s="29">
        <v>0</v>
      </c>
      <c r="BP935" s="29"/>
      <c r="BQ935" s="29">
        <v>0</v>
      </c>
      <c r="BR935" s="29">
        <v>0</v>
      </c>
      <c r="BS935" s="29">
        <v>0</v>
      </c>
      <c r="BT935" s="29">
        <v>0</v>
      </c>
      <c r="BU935" s="29">
        <v>0</v>
      </c>
      <c r="BV935" s="29">
        <v>0</v>
      </c>
      <c r="BW935" s="29">
        <v>0</v>
      </c>
      <c r="BX935" s="29">
        <v>0</v>
      </c>
      <c r="BY935" s="29">
        <v>0</v>
      </c>
      <c r="BZ935" s="29">
        <v>0</v>
      </c>
      <c r="CA935" s="29">
        <v>0</v>
      </c>
      <c r="CB935" s="29">
        <v>16</v>
      </c>
    </row>
    <row r="936" spans="3:80" ht="11.25" customHeight="1">
      <c r="C936" s="43" t="s">
        <v>84</v>
      </c>
      <c r="E936" s="33">
        <f>+AZ936</f>
        <v>-21</v>
      </c>
      <c r="F936" s="33">
        <f t="shared" ref="F936:H937" si="2119">+BA936-AZ936</f>
        <v>-1</v>
      </c>
      <c r="G936" s="33">
        <f t="shared" si="2119"/>
        <v>-4</v>
      </c>
      <c r="H936" s="33">
        <f t="shared" si="2119"/>
        <v>0</v>
      </c>
      <c r="I936" s="33">
        <f>+BD936</f>
        <v>-4</v>
      </c>
      <c r="J936" s="33">
        <f t="shared" ref="J936:L937" si="2120">+BE936-BD936</f>
        <v>0</v>
      </c>
      <c r="K936" s="33">
        <f t="shared" si="2120"/>
        <v>0</v>
      </c>
      <c r="L936" s="33">
        <f t="shared" si="2120"/>
        <v>0</v>
      </c>
      <c r="M936" s="33">
        <f>+BH936</f>
        <v>0</v>
      </c>
      <c r="N936" s="33">
        <f t="shared" ref="N936:P937" si="2121">+BI936-BH936</f>
        <v>0</v>
      </c>
      <c r="O936" s="33">
        <f t="shared" si="2121"/>
        <v>0</v>
      </c>
      <c r="P936" s="33">
        <f t="shared" si="2121"/>
        <v>-3</v>
      </c>
      <c r="Q936" s="33">
        <f>+BL936</f>
        <v>-19</v>
      </c>
      <c r="R936" s="33">
        <f t="shared" si="2112"/>
        <v>0</v>
      </c>
      <c r="S936" s="33">
        <f t="shared" si="2112"/>
        <v>-29</v>
      </c>
      <c r="T936" s="33">
        <f t="shared" si="2112"/>
        <v>0</v>
      </c>
      <c r="U936" s="33">
        <f>+BP936</f>
        <v>0</v>
      </c>
      <c r="V936" s="33">
        <f t="shared" si="2113"/>
        <v>0</v>
      </c>
      <c r="W936" s="33">
        <f t="shared" si="2113"/>
        <v>0</v>
      </c>
      <c r="X936" s="33">
        <f t="shared" si="2113"/>
        <v>-1</v>
      </c>
      <c r="Y936" s="33">
        <f>+BT936</f>
        <v>0</v>
      </c>
      <c r="Z936" s="33">
        <f t="shared" si="2114"/>
        <v>-63</v>
      </c>
      <c r="AA936" s="33">
        <f t="shared" si="2114"/>
        <v>-48</v>
      </c>
      <c r="AB936" s="33">
        <f t="shared" si="2114"/>
        <v>-3</v>
      </c>
      <c r="AC936" s="33">
        <f>+BX936</f>
        <v>0</v>
      </c>
      <c r="AD936" s="33">
        <f t="shared" si="2115"/>
        <v>-1</v>
      </c>
      <c r="AE936" s="33">
        <f t="shared" si="2116"/>
        <v>0</v>
      </c>
      <c r="AF936" s="33">
        <f t="shared" si="2117"/>
        <v>0</v>
      </c>
      <c r="AG936" s="33">
        <f>+CB936</f>
        <v>-73</v>
      </c>
      <c r="AH936" s="28">
        <v>0</v>
      </c>
      <c r="AI936" s="28">
        <v>0</v>
      </c>
      <c r="AJ936" s="28">
        <v>0</v>
      </c>
      <c r="AK936" s="79"/>
      <c r="AL936" s="29">
        <v>-3509</v>
      </c>
      <c r="AM936" s="29">
        <v>-45</v>
      </c>
      <c r="AN936" s="33">
        <f t="shared" si="2118"/>
        <v>-26</v>
      </c>
      <c r="AO936" s="33">
        <f t="shared" si="2118"/>
        <v>-4</v>
      </c>
      <c r="AP936" s="33">
        <f t="shared" si="2118"/>
        <v>-3</v>
      </c>
      <c r="AQ936" s="33">
        <f t="shared" si="2118"/>
        <v>-48</v>
      </c>
      <c r="AR936" s="33">
        <f t="shared" si="2118"/>
        <v>-1</v>
      </c>
      <c r="AS936" s="28">
        <f t="shared" si="2118"/>
        <v>-114</v>
      </c>
      <c r="AT936" s="28">
        <f t="shared" si="2118"/>
        <v>-1</v>
      </c>
      <c r="AU936" s="28">
        <f t="shared" si="2118"/>
        <v>-73</v>
      </c>
      <c r="AV936" s="28">
        <v>0</v>
      </c>
      <c r="AW936" s="28">
        <v>0</v>
      </c>
      <c r="AX936" s="28">
        <v>0</v>
      </c>
      <c r="AZ936" s="29">
        <v>-21</v>
      </c>
      <c r="BA936" s="29">
        <v>-22</v>
      </c>
      <c r="BB936" s="29">
        <v>-26</v>
      </c>
      <c r="BC936" s="29">
        <v>-26</v>
      </c>
      <c r="BD936" s="29">
        <v>-4</v>
      </c>
      <c r="BE936" s="29">
        <v>-4</v>
      </c>
      <c r="BF936" s="29">
        <v>-4</v>
      </c>
      <c r="BG936" s="29">
        <v>-4</v>
      </c>
      <c r="BH936" s="29">
        <v>0</v>
      </c>
      <c r="BI936" s="29">
        <v>0</v>
      </c>
      <c r="BJ936" s="29">
        <v>0</v>
      </c>
      <c r="BK936" s="29">
        <v>-3</v>
      </c>
      <c r="BL936" s="29">
        <v>-19</v>
      </c>
      <c r="BM936" s="29">
        <v>-19</v>
      </c>
      <c r="BN936" s="29">
        <v>-48</v>
      </c>
      <c r="BO936" s="29">
        <v>-48</v>
      </c>
      <c r="BP936" s="29">
        <v>0</v>
      </c>
      <c r="BQ936" s="29">
        <v>0</v>
      </c>
      <c r="BR936" s="29">
        <v>0</v>
      </c>
      <c r="BS936" s="29">
        <v>-1</v>
      </c>
      <c r="BT936" s="29">
        <v>0</v>
      </c>
      <c r="BU936" s="29">
        <v>-63</v>
      </c>
      <c r="BV936" s="29">
        <v>-111</v>
      </c>
      <c r="BW936" s="29">
        <v>-114</v>
      </c>
      <c r="BX936" s="29">
        <v>0</v>
      </c>
      <c r="BY936" s="29">
        <v>-1</v>
      </c>
      <c r="BZ936" s="29">
        <v>-1</v>
      </c>
      <c r="CA936" s="29">
        <v>-1</v>
      </c>
      <c r="CB936" s="29">
        <v>-73</v>
      </c>
    </row>
    <row r="937" spans="3:80" ht="11.25" customHeight="1">
      <c r="C937" s="43" t="s">
        <v>79</v>
      </c>
      <c r="E937" s="33">
        <f>+AZ937</f>
        <v>-1</v>
      </c>
      <c r="F937" s="33">
        <f t="shared" si="2119"/>
        <v>4</v>
      </c>
      <c r="G937" s="33">
        <f t="shared" si="2119"/>
        <v>-2</v>
      </c>
      <c r="H937" s="33">
        <f t="shared" si="2119"/>
        <v>-45</v>
      </c>
      <c r="I937" s="33">
        <f>+BD937</f>
        <v>0</v>
      </c>
      <c r="J937" s="33">
        <f t="shared" si="2120"/>
        <v>-1</v>
      </c>
      <c r="K937" s="33">
        <f t="shared" si="2120"/>
        <v>-1</v>
      </c>
      <c r="L937" s="33">
        <f t="shared" si="2120"/>
        <v>-2</v>
      </c>
      <c r="M937" s="33">
        <f>+BH937</f>
        <v>0</v>
      </c>
      <c r="N937" s="33">
        <f t="shared" si="2121"/>
        <v>0</v>
      </c>
      <c r="O937" s="33">
        <f t="shared" si="2121"/>
        <v>1</v>
      </c>
      <c r="P937" s="33">
        <f t="shared" si="2121"/>
        <v>-3</v>
      </c>
      <c r="Q937" s="33">
        <f>+BL937</f>
        <v>0</v>
      </c>
      <c r="R937" s="33">
        <f t="shared" si="2112"/>
        <v>-2</v>
      </c>
      <c r="S937" s="33">
        <f t="shared" si="2112"/>
        <v>-2</v>
      </c>
      <c r="T937" s="33">
        <f t="shared" si="2112"/>
        <v>-3</v>
      </c>
      <c r="U937" s="33">
        <f>+BP937</f>
        <v>0</v>
      </c>
      <c r="V937" s="33">
        <f t="shared" si="2113"/>
        <v>-1</v>
      </c>
      <c r="W937" s="33">
        <f t="shared" si="2113"/>
        <v>-3</v>
      </c>
      <c r="X937" s="33">
        <f t="shared" si="2113"/>
        <v>7</v>
      </c>
      <c r="Y937" s="33">
        <f>+BT937</f>
        <v>-2</v>
      </c>
      <c r="Z937" s="33">
        <f t="shared" si="2114"/>
        <v>-2</v>
      </c>
      <c r="AA937" s="33">
        <f t="shared" si="2114"/>
        <v>1</v>
      </c>
      <c r="AB937" s="33">
        <f t="shared" si="2114"/>
        <v>-1</v>
      </c>
      <c r="AC937" s="33">
        <f>+BX937</f>
        <v>-2</v>
      </c>
      <c r="AD937" s="33">
        <f t="shared" si="2115"/>
        <v>15</v>
      </c>
      <c r="AE937" s="33">
        <f t="shared" si="2116"/>
        <v>6</v>
      </c>
      <c r="AF937" s="33">
        <f t="shared" si="2117"/>
        <v>0</v>
      </c>
      <c r="AG937" s="33">
        <f>+CB937</f>
        <v>-2</v>
      </c>
      <c r="AH937" s="28">
        <v>0</v>
      </c>
      <c r="AI937" s="28">
        <v>0</v>
      </c>
      <c r="AJ937" s="28">
        <v>0</v>
      </c>
      <c r="AK937" s="79"/>
      <c r="AL937" s="29">
        <v>-2</v>
      </c>
      <c r="AM937" s="29">
        <v>0</v>
      </c>
      <c r="AN937" s="33">
        <f t="shared" si="2118"/>
        <v>-44</v>
      </c>
      <c r="AO937" s="33">
        <f t="shared" si="2118"/>
        <v>-4</v>
      </c>
      <c r="AP937" s="33">
        <f t="shared" si="2118"/>
        <v>-2</v>
      </c>
      <c r="AQ937" s="33">
        <f t="shared" si="2118"/>
        <v>-7</v>
      </c>
      <c r="AR937" s="33">
        <f t="shared" si="2118"/>
        <v>3</v>
      </c>
      <c r="AS937" s="28">
        <f t="shared" si="2118"/>
        <v>-4</v>
      </c>
      <c r="AT937" s="28">
        <f t="shared" si="2118"/>
        <v>19</v>
      </c>
      <c r="AU937" s="28">
        <f t="shared" si="2118"/>
        <v>-2</v>
      </c>
      <c r="AV937" s="28">
        <v>0</v>
      </c>
      <c r="AW937" s="28">
        <v>0</v>
      </c>
      <c r="AX937" s="28">
        <v>0</v>
      </c>
      <c r="AZ937" s="29">
        <v>-1</v>
      </c>
      <c r="BA937" s="29">
        <v>3</v>
      </c>
      <c r="BB937" s="29">
        <v>1</v>
      </c>
      <c r="BC937" s="29">
        <v>-44</v>
      </c>
      <c r="BD937" s="29">
        <v>0</v>
      </c>
      <c r="BE937" s="29">
        <v>-1</v>
      </c>
      <c r="BF937" s="29">
        <v>-2</v>
      </c>
      <c r="BG937" s="29">
        <v>-4</v>
      </c>
      <c r="BH937" s="29">
        <v>0</v>
      </c>
      <c r="BI937" s="29">
        <v>0</v>
      </c>
      <c r="BJ937" s="29">
        <v>1</v>
      </c>
      <c r="BK937" s="29">
        <v>-2</v>
      </c>
      <c r="BL937" s="29">
        <v>0</v>
      </c>
      <c r="BM937" s="29">
        <v>-2</v>
      </c>
      <c r="BN937" s="29">
        <v>-4</v>
      </c>
      <c r="BO937" s="29">
        <v>-7</v>
      </c>
      <c r="BP937" s="29">
        <v>0</v>
      </c>
      <c r="BQ937" s="29">
        <v>-1</v>
      </c>
      <c r="BR937" s="29">
        <v>-4</v>
      </c>
      <c r="BS937" s="29">
        <v>3</v>
      </c>
      <c r="BT937" s="29">
        <v>-2</v>
      </c>
      <c r="BU937" s="29">
        <v>-4</v>
      </c>
      <c r="BV937" s="29">
        <v>-3</v>
      </c>
      <c r="BW937" s="29">
        <v>-4</v>
      </c>
      <c r="BX937" s="29">
        <v>-2</v>
      </c>
      <c r="BY937" s="29">
        <v>13</v>
      </c>
      <c r="BZ937" s="29">
        <v>19</v>
      </c>
      <c r="CA937" s="29">
        <v>19</v>
      </c>
      <c r="CB937" s="29">
        <v>-2</v>
      </c>
    </row>
    <row r="938" spans="3:80" ht="11.25" customHeight="1">
      <c r="C938" s="43" t="s">
        <v>83</v>
      </c>
      <c r="E938" s="33">
        <f>+AZ938</f>
        <v>6</v>
      </c>
      <c r="F938" s="33">
        <f>+BA938-AZ938</f>
        <v>35</v>
      </c>
      <c r="G938" s="33">
        <f>+BB938-BA938</f>
        <v>0</v>
      </c>
      <c r="H938" s="33">
        <f>+BC938-BB938</f>
        <v>0</v>
      </c>
      <c r="I938" s="33">
        <f>+BD938</f>
        <v>1</v>
      </c>
      <c r="J938" s="33">
        <f>+BE938-BD938</f>
        <v>0</v>
      </c>
      <c r="K938" s="33">
        <f>+BF938-BE938</f>
        <v>13</v>
      </c>
      <c r="L938" s="33">
        <f>+BG938-BF938</f>
        <v>0</v>
      </c>
      <c r="M938" s="33">
        <f>+BH938</f>
        <v>0</v>
      </c>
      <c r="N938" s="33">
        <f>+BI938-BH938</f>
        <v>0</v>
      </c>
      <c r="O938" s="33">
        <f>+BJ938-BI938</f>
        <v>0</v>
      </c>
      <c r="P938" s="33">
        <f>+BK938-BJ938</f>
        <v>5</v>
      </c>
      <c r="Q938" s="33">
        <f>+BL938</f>
        <v>0</v>
      </c>
      <c r="R938" s="33">
        <f t="shared" si="2112"/>
        <v>0</v>
      </c>
      <c r="S938" s="33">
        <f t="shared" si="2112"/>
        <v>0</v>
      </c>
      <c r="T938" s="33">
        <f t="shared" si="2112"/>
        <v>0</v>
      </c>
      <c r="U938" s="33">
        <f>+BP938</f>
        <v>0</v>
      </c>
      <c r="V938" s="33">
        <f t="shared" si="2113"/>
        <v>0</v>
      </c>
      <c r="W938" s="33">
        <f t="shared" si="2113"/>
        <v>0</v>
      </c>
      <c r="X938" s="33">
        <f t="shared" si="2113"/>
        <v>0</v>
      </c>
      <c r="Y938" s="33">
        <f>+BT938</f>
        <v>0</v>
      </c>
      <c r="Z938" s="33">
        <f t="shared" si="2114"/>
        <v>0</v>
      </c>
      <c r="AA938" s="33">
        <f t="shared" si="2114"/>
        <v>0</v>
      </c>
      <c r="AB938" s="33">
        <f t="shared" si="2114"/>
        <v>667</v>
      </c>
      <c r="AC938" s="33">
        <f>+BX938</f>
        <v>0</v>
      </c>
      <c r="AD938" s="33">
        <f t="shared" si="2115"/>
        <v>998</v>
      </c>
      <c r="AE938" s="33">
        <f t="shared" si="2116"/>
        <v>0</v>
      </c>
      <c r="AF938" s="33">
        <f t="shared" si="2117"/>
        <v>0</v>
      </c>
      <c r="AG938" s="33">
        <f>+CB938</f>
        <v>-19</v>
      </c>
      <c r="AH938" s="28">
        <v>0</v>
      </c>
      <c r="AI938" s="28">
        <v>0</v>
      </c>
      <c r="AJ938" s="28">
        <v>0</v>
      </c>
      <c r="AK938" s="79"/>
      <c r="AL938" s="29">
        <v>13</v>
      </c>
      <c r="AM938" s="29">
        <v>4</v>
      </c>
      <c r="AN938" s="33">
        <f t="shared" si="2118"/>
        <v>41</v>
      </c>
      <c r="AO938" s="33">
        <f t="shared" si="2118"/>
        <v>14</v>
      </c>
      <c r="AP938" s="33">
        <f t="shared" si="2118"/>
        <v>5</v>
      </c>
      <c r="AQ938" s="33">
        <f t="shared" si="2118"/>
        <v>0</v>
      </c>
      <c r="AR938" s="33">
        <f t="shared" si="2118"/>
        <v>0</v>
      </c>
      <c r="AS938" s="28">
        <f t="shared" si="2118"/>
        <v>667</v>
      </c>
      <c r="AT938" s="28">
        <f t="shared" si="2118"/>
        <v>998</v>
      </c>
      <c r="AU938" s="28">
        <f t="shared" si="2118"/>
        <v>-19</v>
      </c>
      <c r="AV938" s="28">
        <v>0</v>
      </c>
      <c r="AW938" s="28">
        <v>0</v>
      </c>
      <c r="AX938" s="28">
        <v>0</v>
      </c>
      <c r="AZ938" s="29">
        <v>6</v>
      </c>
      <c r="BA938" s="29">
        <v>41</v>
      </c>
      <c r="BB938" s="29">
        <v>41</v>
      </c>
      <c r="BC938" s="29">
        <v>41</v>
      </c>
      <c r="BD938" s="29">
        <v>1</v>
      </c>
      <c r="BE938" s="29">
        <v>1</v>
      </c>
      <c r="BF938" s="29">
        <v>14</v>
      </c>
      <c r="BG938" s="29">
        <v>14</v>
      </c>
      <c r="BH938" s="29">
        <v>0</v>
      </c>
      <c r="BI938" s="29">
        <v>0</v>
      </c>
      <c r="BJ938" s="29">
        <v>0</v>
      </c>
      <c r="BK938" s="29">
        <v>5</v>
      </c>
      <c r="BL938" s="29">
        <v>0</v>
      </c>
      <c r="BM938" s="29">
        <v>0</v>
      </c>
      <c r="BN938" s="29">
        <v>0</v>
      </c>
      <c r="BO938" s="29">
        <v>0</v>
      </c>
      <c r="BP938" s="29">
        <v>0</v>
      </c>
      <c r="BQ938" s="29">
        <v>0</v>
      </c>
      <c r="BR938" s="29">
        <v>0</v>
      </c>
      <c r="BS938" s="29">
        <v>0</v>
      </c>
      <c r="BT938" s="29">
        <v>0</v>
      </c>
      <c r="BU938" s="29">
        <v>0</v>
      </c>
      <c r="BV938" s="29">
        <v>0</v>
      </c>
      <c r="BW938" s="29">
        <v>667</v>
      </c>
      <c r="BX938" s="29">
        <v>0</v>
      </c>
      <c r="BY938" s="29">
        <v>998</v>
      </c>
      <c r="BZ938" s="29">
        <v>998</v>
      </c>
      <c r="CA938" s="29">
        <v>998</v>
      </c>
      <c r="CB938" s="29">
        <v>-19</v>
      </c>
    </row>
    <row r="939" spans="3:80" s="27" customFormat="1" ht="10.5">
      <c r="C939" s="45" t="s">
        <v>85</v>
      </c>
      <c r="E939" s="35">
        <f t="shared" ref="E939:R939" si="2122">+SUM(E934:E938)</f>
        <v>-126</v>
      </c>
      <c r="F939" s="35">
        <f t="shared" si="2122"/>
        <v>-86</v>
      </c>
      <c r="G939" s="35">
        <f t="shared" si="2122"/>
        <v>-147</v>
      </c>
      <c r="H939" s="35">
        <f t="shared" si="2122"/>
        <v>-296</v>
      </c>
      <c r="I939" s="35">
        <f t="shared" si="2122"/>
        <v>-136</v>
      </c>
      <c r="J939" s="35">
        <f t="shared" si="2122"/>
        <v>-147</v>
      </c>
      <c r="K939" s="35">
        <f t="shared" si="2122"/>
        <v>-147</v>
      </c>
      <c r="L939" s="35">
        <f t="shared" si="2122"/>
        <v>-213</v>
      </c>
      <c r="M939" s="35">
        <f t="shared" si="2122"/>
        <v>-78</v>
      </c>
      <c r="N939" s="35">
        <f t="shared" si="2122"/>
        <v>-101</v>
      </c>
      <c r="O939" s="35">
        <f t="shared" si="2122"/>
        <v>-136</v>
      </c>
      <c r="P939" s="35">
        <f t="shared" si="2122"/>
        <v>-148</v>
      </c>
      <c r="Q939" s="35">
        <f t="shared" si="2122"/>
        <v>-125</v>
      </c>
      <c r="R939" s="35">
        <f t="shared" si="2122"/>
        <v>-94</v>
      </c>
      <c r="S939" s="35">
        <f t="shared" ref="S939:AC939" si="2123">+SUM(S934:S938)</f>
        <v>-141</v>
      </c>
      <c r="T939" s="35">
        <f t="shared" si="2123"/>
        <v>-120</v>
      </c>
      <c r="U939" s="35">
        <f t="shared" si="2123"/>
        <v>-101</v>
      </c>
      <c r="V939" s="35">
        <f t="shared" si="2123"/>
        <v>-100</v>
      </c>
      <c r="W939" s="35">
        <f t="shared" si="2123"/>
        <v>-81</v>
      </c>
      <c r="X939" s="35">
        <f t="shared" si="2123"/>
        <v>-112</v>
      </c>
      <c r="Y939" s="35">
        <f t="shared" si="2123"/>
        <v>-99</v>
      </c>
      <c r="Z939" s="35">
        <f t="shared" si="2123"/>
        <v>-178</v>
      </c>
      <c r="AA939" s="35">
        <f t="shared" si="2123"/>
        <v>-170</v>
      </c>
      <c r="AB939" s="35">
        <f t="shared" si="2123"/>
        <v>418</v>
      </c>
      <c r="AC939" s="35">
        <f t="shared" si="2123"/>
        <v>-117</v>
      </c>
      <c r="AD939" s="35">
        <f t="shared" ref="AD939:AF939" si="2124">+SUM(AD934:AD938)</f>
        <v>873</v>
      </c>
      <c r="AE939" s="35">
        <f t="shared" si="2124"/>
        <v>-158</v>
      </c>
      <c r="AF939" s="35">
        <f t="shared" si="2124"/>
        <v>-206</v>
      </c>
      <c r="AG939" s="35">
        <f t="shared" ref="AG939" si="2125">+SUM(AG934:AG938)</f>
        <v>-252</v>
      </c>
      <c r="AH939" s="35">
        <f t="shared" ref="AH939:AJ939" si="2126">+SUM(AH934:AH938)</f>
        <v>-200</v>
      </c>
      <c r="AI939" s="35">
        <f t="shared" si="2126"/>
        <v>-200</v>
      </c>
      <c r="AJ939" s="35">
        <f t="shared" si="2126"/>
        <v>-200</v>
      </c>
      <c r="AK939" s="79"/>
      <c r="AL939" s="35">
        <f t="shared" ref="AL939:AW939" si="2127">+SUM(AL934:AL938)</f>
        <v>-4091</v>
      </c>
      <c r="AM939" s="35">
        <f t="shared" si="2127"/>
        <v>-693</v>
      </c>
      <c r="AN939" s="35">
        <f t="shared" si="2127"/>
        <v>-655</v>
      </c>
      <c r="AO939" s="35">
        <f t="shared" si="2127"/>
        <v>-643</v>
      </c>
      <c r="AP939" s="35">
        <f t="shared" si="2127"/>
        <v>-463</v>
      </c>
      <c r="AQ939" s="35">
        <f t="shared" si="2127"/>
        <v>-480</v>
      </c>
      <c r="AR939" s="35">
        <f t="shared" si="2127"/>
        <v>-394</v>
      </c>
      <c r="AS939" s="35">
        <f t="shared" si="2127"/>
        <v>-29</v>
      </c>
      <c r="AT939" s="35">
        <f t="shared" si="2127"/>
        <v>392</v>
      </c>
      <c r="AU939" s="35">
        <f t="shared" ref="AU939" si="2128">+SUM(AU934:AU938)</f>
        <v>-852</v>
      </c>
      <c r="AV939" s="35">
        <f t="shared" si="2127"/>
        <v>-600</v>
      </c>
      <c r="AW939" s="35">
        <f t="shared" si="2127"/>
        <v>-600</v>
      </c>
      <c r="AX939" s="35">
        <f t="shared" ref="AX939" si="2129">+SUM(AX934:AX938)</f>
        <v>-500</v>
      </c>
      <c r="AY939" s="1"/>
      <c r="AZ939" s="35">
        <f t="shared" ref="AZ939:BM939" si="2130">+SUM(AZ934:AZ938)</f>
        <v>-126</v>
      </c>
      <c r="BA939" s="35">
        <f t="shared" si="2130"/>
        <v>-212</v>
      </c>
      <c r="BB939" s="35">
        <f t="shared" si="2130"/>
        <v>-359</v>
      </c>
      <c r="BC939" s="35">
        <f t="shared" si="2130"/>
        <v>-655</v>
      </c>
      <c r="BD939" s="35">
        <f t="shared" si="2130"/>
        <v>-136</v>
      </c>
      <c r="BE939" s="35">
        <f t="shared" si="2130"/>
        <v>-283</v>
      </c>
      <c r="BF939" s="35">
        <f t="shared" si="2130"/>
        <v>-430</v>
      </c>
      <c r="BG939" s="35">
        <f t="shared" si="2130"/>
        <v>-643</v>
      </c>
      <c r="BH939" s="35">
        <f t="shared" si="2130"/>
        <v>-78</v>
      </c>
      <c r="BI939" s="35">
        <f t="shared" si="2130"/>
        <v>-179</v>
      </c>
      <c r="BJ939" s="35">
        <f t="shared" si="2130"/>
        <v>-315</v>
      </c>
      <c r="BK939" s="35">
        <f t="shared" si="2130"/>
        <v>-463</v>
      </c>
      <c r="BL939" s="35">
        <f t="shared" si="2130"/>
        <v>-125</v>
      </c>
      <c r="BM939" s="35">
        <f t="shared" si="2130"/>
        <v>-219</v>
      </c>
      <c r="BN939" s="35">
        <f>+SUM(BN934:BN938)</f>
        <v>-360</v>
      </c>
      <c r="BO939" s="35">
        <f>+SUM(BO934:BO938)</f>
        <v>-480</v>
      </c>
      <c r="BP939" s="35">
        <f t="shared" ref="BP939:BW939" si="2131">+SUM(BP934:BP938)</f>
        <v>-101</v>
      </c>
      <c r="BQ939" s="35">
        <f t="shared" si="2131"/>
        <v>-201</v>
      </c>
      <c r="BR939" s="35">
        <f t="shared" si="2131"/>
        <v>-282</v>
      </c>
      <c r="BS939" s="35">
        <f t="shared" si="2131"/>
        <v>-394</v>
      </c>
      <c r="BT939" s="35">
        <f t="shared" si="2131"/>
        <v>-99</v>
      </c>
      <c r="BU939" s="35">
        <f t="shared" si="2131"/>
        <v>-277</v>
      </c>
      <c r="BV939" s="35">
        <f t="shared" si="2131"/>
        <v>-447</v>
      </c>
      <c r="BW939" s="35">
        <f t="shared" si="2131"/>
        <v>-29</v>
      </c>
      <c r="BX939" s="35">
        <f>+SUM(BX934:BX938)</f>
        <v>-117</v>
      </c>
      <c r="BY939" s="35">
        <f>+SUM(BY934:BY938)</f>
        <v>756</v>
      </c>
      <c r="BZ939" s="35">
        <f>+SUM(BZ934:BZ938)</f>
        <v>598</v>
      </c>
      <c r="CA939" s="35">
        <f>+SUM(CA934:CA938)</f>
        <v>392</v>
      </c>
      <c r="CB939" s="35">
        <f>+SUM(CB934:CB938)</f>
        <v>-252</v>
      </c>
    </row>
    <row r="940" spans="3:80" ht="11.25" customHeight="1">
      <c r="C940" s="25"/>
      <c r="E940" s="28"/>
      <c r="F940" s="28"/>
      <c r="G940" s="28"/>
      <c r="H940" s="28"/>
      <c r="I940" s="28"/>
      <c r="J940" s="28"/>
      <c r="K940" s="28"/>
      <c r="L940" s="28"/>
      <c r="M940" s="28"/>
      <c r="N940" s="28"/>
      <c r="O940" s="28"/>
      <c r="P940" s="28"/>
      <c r="AK940" s="79"/>
      <c r="AM940" s="28"/>
      <c r="AN940" s="28"/>
      <c r="AO940" s="28"/>
      <c r="AP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row>
    <row r="941" spans="3:80" ht="11.25" customHeight="1">
      <c r="C941" s="43" t="s">
        <v>86</v>
      </c>
      <c r="E941" s="33">
        <f t="shared" ref="E941:E947" si="2132">+AZ941</f>
        <v>82</v>
      </c>
      <c r="F941" s="33">
        <f t="shared" ref="F941:F947" si="2133">+BA941-AZ941</f>
        <v>-290</v>
      </c>
      <c r="G941" s="33">
        <f t="shared" ref="G941:G947" si="2134">+BB941-BA941</f>
        <v>-47</v>
      </c>
      <c r="H941" s="33">
        <f t="shared" ref="H941:H947" si="2135">+BC941-BB941</f>
        <v>105</v>
      </c>
      <c r="I941" s="33">
        <f t="shared" ref="I941:I947" si="2136">+BD941</f>
        <v>0</v>
      </c>
      <c r="J941" s="33">
        <f t="shared" ref="J941:J947" si="2137">+BE941-BD941</f>
        <v>-95</v>
      </c>
      <c r="K941" s="33">
        <f t="shared" ref="K941:K947" si="2138">+BF941-BE941</f>
        <v>166</v>
      </c>
      <c r="L941" s="33">
        <f t="shared" ref="L941:L947" si="2139">+BG941-BF941</f>
        <v>-90</v>
      </c>
      <c r="M941" s="33">
        <f t="shared" ref="M941:M947" si="2140">+BH941</f>
        <v>199</v>
      </c>
      <c r="N941" s="33">
        <f t="shared" ref="N941:N947" si="2141">+BI941-BH941</f>
        <v>69</v>
      </c>
      <c r="O941" s="33">
        <f t="shared" ref="O941:O947" si="2142">+BJ941-BI941</f>
        <v>71</v>
      </c>
      <c r="P941" s="33">
        <f t="shared" ref="P941:P947" si="2143">+BK941-BJ941</f>
        <v>-485</v>
      </c>
      <c r="Q941" s="33">
        <f t="shared" ref="Q941:Q948" si="2144">+BL941</f>
        <v>370</v>
      </c>
      <c r="R941" s="33">
        <f t="shared" ref="R941:T948" si="2145">+BM941-BL941</f>
        <v>-131</v>
      </c>
      <c r="S941" s="33">
        <f t="shared" si="2145"/>
        <v>-90</v>
      </c>
      <c r="T941" s="33">
        <f t="shared" si="2145"/>
        <v>-219</v>
      </c>
      <c r="U941" s="33">
        <f t="shared" ref="U941:U948" si="2146">+BP941</f>
        <v>539</v>
      </c>
      <c r="V941" s="33">
        <f t="shared" ref="V941:V948" si="2147">+BQ941-BP941</f>
        <v>-442</v>
      </c>
      <c r="W941" s="33">
        <f t="shared" ref="W941:W948" si="2148">+BR941-BQ941</f>
        <v>-83</v>
      </c>
      <c r="X941" s="33">
        <f t="shared" ref="X941:X948" si="2149">+BS941-BR941</f>
        <v>-135</v>
      </c>
      <c r="Y941" s="33">
        <f t="shared" ref="Y941:Y948" si="2150">+BT941</f>
        <v>-25</v>
      </c>
      <c r="Z941" s="33">
        <f t="shared" ref="Z941:Z948" si="2151">+BU941-BT941</f>
        <v>0</v>
      </c>
      <c r="AA941" s="33">
        <f t="shared" ref="AA941:AA948" si="2152">+BV941-BU941</f>
        <v>-25</v>
      </c>
      <c r="AB941" s="33">
        <f t="shared" ref="AB941:AB948" si="2153">+BW941-BV941</f>
        <v>0</v>
      </c>
      <c r="AC941" s="33">
        <f t="shared" ref="AC941:AC948" si="2154">+BX941</f>
        <v>236</v>
      </c>
      <c r="AD941" s="33">
        <f t="shared" ref="AD941:AD948" si="2155">+BY941-BX941</f>
        <v>-236</v>
      </c>
      <c r="AE941" s="33">
        <f t="shared" ref="AE941:AE948" si="2156">+BZ941-BY941</f>
        <v>355</v>
      </c>
      <c r="AF941" s="33">
        <f t="shared" ref="AF941:AF948" si="2157">+CA941-BZ941</f>
        <v>-29</v>
      </c>
      <c r="AG941" s="33">
        <f t="shared" ref="AG941:AG948" si="2158">+CB941</f>
        <v>-326</v>
      </c>
      <c r="AH941" s="28">
        <v>0</v>
      </c>
      <c r="AI941" s="28">
        <v>0</v>
      </c>
      <c r="AJ941" s="28">
        <v>0</v>
      </c>
      <c r="AK941" s="79"/>
      <c r="AL941" s="29">
        <v>-190</v>
      </c>
      <c r="AM941" s="29">
        <v>195</v>
      </c>
      <c r="AN941" s="33">
        <f t="shared" ref="AN941:AU948" si="2159">SUMIF($E$6:$AK$6,AN$6,$E941:$AK941)</f>
        <v>-150</v>
      </c>
      <c r="AO941" s="33">
        <f t="shared" si="2159"/>
        <v>-19</v>
      </c>
      <c r="AP941" s="33">
        <f t="shared" si="2159"/>
        <v>-146</v>
      </c>
      <c r="AQ941" s="33">
        <f t="shared" si="2159"/>
        <v>-70</v>
      </c>
      <c r="AR941" s="33">
        <f t="shared" si="2159"/>
        <v>-121</v>
      </c>
      <c r="AS941" s="28">
        <f t="shared" si="2159"/>
        <v>-50</v>
      </c>
      <c r="AT941" s="28">
        <f t="shared" si="2159"/>
        <v>326</v>
      </c>
      <c r="AU941" s="28">
        <f t="shared" si="2159"/>
        <v>-326</v>
      </c>
      <c r="AV941" s="28">
        <v>0</v>
      </c>
      <c r="AW941" s="28">
        <v>0</v>
      </c>
      <c r="AX941" s="28">
        <v>0</v>
      </c>
      <c r="AZ941" s="29">
        <v>82</v>
      </c>
      <c r="BA941" s="29">
        <v>-208</v>
      </c>
      <c r="BB941" s="29">
        <v>-255</v>
      </c>
      <c r="BC941" s="29">
        <v>-150</v>
      </c>
      <c r="BD941" s="29">
        <v>0</v>
      </c>
      <c r="BE941" s="29">
        <v>-95</v>
      </c>
      <c r="BF941" s="29">
        <v>71</v>
      </c>
      <c r="BG941" s="29">
        <v>-19</v>
      </c>
      <c r="BH941" s="29">
        <v>199</v>
      </c>
      <c r="BI941" s="29">
        <v>268</v>
      </c>
      <c r="BJ941" s="29">
        <v>339</v>
      </c>
      <c r="BK941" s="29">
        <v>-146</v>
      </c>
      <c r="BL941" s="29">
        <v>370</v>
      </c>
      <c r="BM941" s="29">
        <v>239</v>
      </c>
      <c r="BN941" s="29">
        <v>149</v>
      </c>
      <c r="BO941" s="29">
        <v>-70</v>
      </c>
      <c r="BP941" s="29">
        <v>539</v>
      </c>
      <c r="BQ941" s="29">
        <v>97</v>
      </c>
      <c r="BR941" s="29">
        <v>14</v>
      </c>
      <c r="BS941" s="29">
        <v>-121</v>
      </c>
      <c r="BT941" s="29">
        <v>-25</v>
      </c>
      <c r="BU941" s="29">
        <v>-25</v>
      </c>
      <c r="BV941" s="29">
        <v>-50</v>
      </c>
      <c r="BW941" s="29">
        <v>-50</v>
      </c>
      <c r="BX941" s="29">
        <v>236</v>
      </c>
      <c r="BY941" s="29">
        <v>0</v>
      </c>
      <c r="BZ941" s="29">
        <v>355</v>
      </c>
      <c r="CA941" s="29">
        <v>326</v>
      </c>
      <c r="CB941" s="29">
        <v>-326</v>
      </c>
    </row>
    <row r="942" spans="3:80" ht="11.25" customHeight="1">
      <c r="C942" s="43" t="s">
        <v>87</v>
      </c>
      <c r="E942" s="33">
        <f t="shared" si="2132"/>
        <v>0</v>
      </c>
      <c r="F942" s="33">
        <f t="shared" si="2133"/>
        <v>807</v>
      </c>
      <c r="G942" s="33">
        <f t="shared" si="2134"/>
        <v>0</v>
      </c>
      <c r="H942" s="33">
        <f t="shared" si="2135"/>
        <v>1041</v>
      </c>
      <c r="I942" s="33">
        <f t="shared" si="2136"/>
        <v>250</v>
      </c>
      <c r="J942" s="33">
        <f t="shared" si="2137"/>
        <v>250</v>
      </c>
      <c r="K942" s="33">
        <f t="shared" si="2138"/>
        <v>100</v>
      </c>
      <c r="L942" s="33">
        <f t="shared" si="2139"/>
        <v>75</v>
      </c>
      <c r="M942" s="33">
        <f t="shared" si="2140"/>
        <v>275</v>
      </c>
      <c r="N942" s="33">
        <f t="shared" si="2141"/>
        <v>75</v>
      </c>
      <c r="O942" s="33">
        <f t="shared" si="2142"/>
        <v>140</v>
      </c>
      <c r="P942" s="33">
        <f t="shared" si="2143"/>
        <v>1114</v>
      </c>
      <c r="Q942" s="33">
        <f t="shared" si="2144"/>
        <v>125</v>
      </c>
      <c r="R942" s="33">
        <f t="shared" si="2145"/>
        <v>100</v>
      </c>
      <c r="S942" s="33">
        <f t="shared" si="2145"/>
        <v>110</v>
      </c>
      <c r="T942" s="33">
        <f t="shared" si="2145"/>
        <v>125</v>
      </c>
      <c r="U942" s="33">
        <f t="shared" si="2146"/>
        <v>0</v>
      </c>
      <c r="V942" s="33">
        <f t="shared" si="2147"/>
        <v>249</v>
      </c>
      <c r="W942" s="33">
        <f t="shared" si="2148"/>
        <v>0</v>
      </c>
      <c r="X942" s="33">
        <f t="shared" si="2149"/>
        <v>0</v>
      </c>
      <c r="Y942" s="33">
        <f t="shared" si="2150"/>
        <v>0</v>
      </c>
      <c r="Z942" s="33">
        <f t="shared" si="2151"/>
        <v>0</v>
      </c>
      <c r="AA942" s="33">
        <f t="shared" si="2152"/>
        <v>0</v>
      </c>
      <c r="AB942" s="33">
        <f t="shared" si="2153"/>
        <v>0</v>
      </c>
      <c r="AC942" s="33">
        <f t="shared" si="2154"/>
        <v>0</v>
      </c>
      <c r="AD942" s="33">
        <f t="shared" si="2155"/>
        <v>500</v>
      </c>
      <c r="AE942" s="33">
        <f t="shared" si="2156"/>
        <v>0</v>
      </c>
      <c r="AF942" s="33">
        <f t="shared" si="2157"/>
        <v>0</v>
      </c>
      <c r="AG942" s="33">
        <f t="shared" si="2158"/>
        <v>796</v>
      </c>
      <c r="AH942" s="212">
        <f ca="1">IF(Debt!AA50&lt;0,-Debt!AA50,0)</f>
        <v>0</v>
      </c>
      <c r="AI942" s="212">
        <f ca="1">IF(Debt!AB50&lt;0,-Debt!AB50,0)</f>
        <v>0</v>
      </c>
      <c r="AJ942" s="212">
        <f ca="1">IF(Debt!AC50&lt;0,-Debt!AC50,0)</f>
        <v>0</v>
      </c>
      <c r="AK942" s="79"/>
      <c r="AL942" s="29">
        <v>3565</v>
      </c>
      <c r="AM942" s="29">
        <v>250</v>
      </c>
      <c r="AN942" s="33">
        <f t="shared" si="2159"/>
        <v>1848</v>
      </c>
      <c r="AO942" s="33">
        <f t="shared" si="2159"/>
        <v>675</v>
      </c>
      <c r="AP942" s="33">
        <f t="shared" si="2159"/>
        <v>1604</v>
      </c>
      <c r="AQ942" s="33">
        <f t="shared" si="2159"/>
        <v>460</v>
      </c>
      <c r="AR942" s="33">
        <f t="shared" si="2159"/>
        <v>249</v>
      </c>
      <c r="AS942" s="28">
        <f t="shared" si="2159"/>
        <v>0</v>
      </c>
      <c r="AT942" s="28">
        <f t="shared" si="2159"/>
        <v>500</v>
      </c>
      <c r="AU942" s="28">
        <f ca="1">SUMIF($E$6:$AK$6,AU$6,$E942:$AK942)</f>
        <v>796</v>
      </c>
      <c r="AV942" s="212">
        <f ca="1">IF(Debt!AM50&lt;0,-Debt!AM50,0)</f>
        <v>0</v>
      </c>
      <c r="AW942" s="212">
        <f ca="1">IF(Debt!AN50&lt;0,-Debt!AN50,0)</f>
        <v>0</v>
      </c>
      <c r="AX942" s="212">
        <f ca="1">IF(Debt!AO50&lt;0,-Debt!AO50,0)</f>
        <v>0</v>
      </c>
      <c r="AZ942" s="29">
        <v>0</v>
      </c>
      <c r="BA942" s="29">
        <v>807</v>
      </c>
      <c r="BB942" s="29">
        <v>807</v>
      </c>
      <c r="BC942" s="29">
        <v>1848</v>
      </c>
      <c r="BD942" s="29">
        <v>250</v>
      </c>
      <c r="BE942" s="29">
        <v>500</v>
      </c>
      <c r="BF942" s="29">
        <v>600</v>
      </c>
      <c r="BG942" s="29">
        <v>675</v>
      </c>
      <c r="BH942" s="29">
        <v>275</v>
      </c>
      <c r="BI942" s="29">
        <v>350</v>
      </c>
      <c r="BJ942" s="29">
        <v>490</v>
      </c>
      <c r="BK942" s="29">
        <v>1604</v>
      </c>
      <c r="BL942" s="29">
        <v>125</v>
      </c>
      <c r="BM942" s="29">
        <v>225</v>
      </c>
      <c r="BN942" s="29">
        <v>335</v>
      </c>
      <c r="BO942" s="29">
        <v>460</v>
      </c>
      <c r="BP942" s="29">
        <v>0</v>
      </c>
      <c r="BQ942" s="29">
        <v>249</v>
      </c>
      <c r="BR942" s="29">
        <v>249</v>
      </c>
      <c r="BS942" s="29">
        <v>249</v>
      </c>
      <c r="BT942" s="29">
        <v>0</v>
      </c>
      <c r="BU942" s="29">
        <v>0</v>
      </c>
      <c r="BV942" s="29">
        <v>0</v>
      </c>
      <c r="BW942" s="29">
        <v>0</v>
      </c>
      <c r="BX942" s="29">
        <v>0</v>
      </c>
      <c r="BY942" s="29">
        <v>500</v>
      </c>
      <c r="BZ942" s="29">
        <v>500</v>
      </c>
      <c r="CA942" s="29">
        <v>500</v>
      </c>
      <c r="CB942" s="29">
        <v>796</v>
      </c>
    </row>
    <row r="943" spans="3:80" ht="11.25" customHeight="1">
      <c r="C943" s="43" t="s">
        <v>88</v>
      </c>
      <c r="E943" s="33">
        <f t="shared" si="2132"/>
        <v>-10</v>
      </c>
      <c r="F943" s="33">
        <f t="shared" si="2133"/>
        <v>-797</v>
      </c>
      <c r="G943" s="33">
        <f t="shared" si="2134"/>
        <v>-150</v>
      </c>
      <c r="H943" s="33">
        <f t="shared" si="2135"/>
        <v>-1169</v>
      </c>
      <c r="I943" s="33">
        <f t="shared" si="2136"/>
        <v>0</v>
      </c>
      <c r="J943" s="33">
        <f t="shared" si="2137"/>
        <v>-250</v>
      </c>
      <c r="K943" s="33">
        <f t="shared" si="2138"/>
        <v>-500</v>
      </c>
      <c r="L943" s="33">
        <f t="shared" si="2139"/>
        <v>-275</v>
      </c>
      <c r="M943" s="33">
        <f t="shared" si="2140"/>
        <v>-175</v>
      </c>
      <c r="N943" s="33">
        <f t="shared" si="2141"/>
        <v>-253</v>
      </c>
      <c r="O943" s="33">
        <f t="shared" si="2142"/>
        <v>-265</v>
      </c>
      <c r="P943" s="33">
        <f t="shared" si="2143"/>
        <v>-1081</v>
      </c>
      <c r="Q943" s="33">
        <f t="shared" si="2144"/>
        <v>-175</v>
      </c>
      <c r="R943" s="33">
        <f t="shared" si="2145"/>
        <v>-100</v>
      </c>
      <c r="S943" s="33">
        <f t="shared" si="2145"/>
        <v>-110</v>
      </c>
      <c r="T943" s="33">
        <f t="shared" si="2145"/>
        <v>-375</v>
      </c>
      <c r="U943" s="33">
        <f t="shared" si="2146"/>
        <v>0</v>
      </c>
      <c r="V943" s="33">
        <f t="shared" si="2147"/>
        <v>0</v>
      </c>
      <c r="W943" s="33">
        <f t="shared" si="2148"/>
        <v>-250</v>
      </c>
      <c r="X943" s="33">
        <f t="shared" si="2149"/>
        <v>-185</v>
      </c>
      <c r="Y943" s="33">
        <f t="shared" si="2150"/>
        <v>0</v>
      </c>
      <c r="Z943" s="33">
        <f t="shared" si="2151"/>
        <v>0</v>
      </c>
      <c r="AA943" s="33">
        <f t="shared" si="2152"/>
        <v>0</v>
      </c>
      <c r="AB943" s="33">
        <f t="shared" si="2153"/>
        <v>-300</v>
      </c>
      <c r="AC943" s="33">
        <f t="shared" si="2154"/>
        <v>0</v>
      </c>
      <c r="AD943" s="33">
        <f t="shared" si="2155"/>
        <v>-550</v>
      </c>
      <c r="AE943" s="33">
        <f t="shared" si="2156"/>
        <v>-200</v>
      </c>
      <c r="AF943" s="33">
        <f t="shared" si="2157"/>
        <v>0</v>
      </c>
      <c r="AG943" s="33">
        <f t="shared" si="2158"/>
        <v>0</v>
      </c>
      <c r="AH943" s="212">
        <f ca="1">IF(Debt!AA50&gt;0,-Debt!AA50,0)</f>
        <v>-816</v>
      </c>
      <c r="AI943" s="212">
        <f ca="1">IF(Debt!AB50&gt;0,-Debt!AB50,0)</f>
        <v>0</v>
      </c>
      <c r="AJ943" s="212">
        <f ca="1">IF(Debt!AC50&gt;0,-Debt!AC50,0)</f>
        <v>0</v>
      </c>
      <c r="AK943" s="79"/>
      <c r="AL943" s="29">
        <v>-125</v>
      </c>
      <c r="AM943" s="29">
        <v>-950</v>
      </c>
      <c r="AN943" s="33">
        <f t="shared" si="2159"/>
        <v>-2126</v>
      </c>
      <c r="AO943" s="33">
        <f t="shared" si="2159"/>
        <v>-1025</v>
      </c>
      <c r="AP943" s="33">
        <f t="shared" si="2159"/>
        <v>-1774</v>
      </c>
      <c r="AQ943" s="33">
        <f t="shared" si="2159"/>
        <v>-760</v>
      </c>
      <c r="AR943" s="33">
        <f t="shared" si="2159"/>
        <v>-435</v>
      </c>
      <c r="AS943" s="28">
        <f t="shared" si="2159"/>
        <v>-300</v>
      </c>
      <c r="AT943" s="28">
        <f t="shared" si="2159"/>
        <v>-750</v>
      </c>
      <c r="AU943" s="28">
        <f ca="1">SUMIF($E$6:$AK$6,AU$6,$E943:$AK943)</f>
        <v>-816</v>
      </c>
      <c r="AV943" s="212">
        <f ca="1">IF(Debt!AM50&gt;0,-Debt!AM50,0)</f>
        <v>-241</v>
      </c>
      <c r="AW943" s="212">
        <f ca="1">IF(Debt!AN50&gt;0,-Debt!AN50,0)</f>
        <v>-694</v>
      </c>
      <c r="AX943" s="212">
        <f ca="1">IF(Debt!AO50&gt;0,-Debt!AO50,0)</f>
        <v>-542</v>
      </c>
      <c r="AZ943" s="29">
        <v>-10</v>
      </c>
      <c r="BA943" s="29">
        <v>-807</v>
      </c>
      <c r="BB943" s="29">
        <v>-957</v>
      </c>
      <c r="BC943" s="29">
        <v>-2126</v>
      </c>
      <c r="BD943" s="29">
        <v>0</v>
      </c>
      <c r="BE943" s="29">
        <v>-250</v>
      </c>
      <c r="BF943" s="29">
        <v>-750</v>
      </c>
      <c r="BG943" s="29">
        <v>-1025</v>
      </c>
      <c r="BH943" s="29">
        <v>-175</v>
      </c>
      <c r="BI943" s="29">
        <v>-428</v>
      </c>
      <c r="BJ943" s="29">
        <v>-693</v>
      </c>
      <c r="BK943" s="29">
        <v>-1774</v>
      </c>
      <c r="BL943" s="29">
        <v>-175</v>
      </c>
      <c r="BM943" s="29">
        <v>-275</v>
      </c>
      <c r="BN943" s="29">
        <v>-385</v>
      </c>
      <c r="BO943" s="29">
        <v>-760</v>
      </c>
      <c r="BP943" s="29">
        <v>0</v>
      </c>
      <c r="BQ943" s="29">
        <v>0</v>
      </c>
      <c r="BR943" s="29">
        <v>-250</v>
      </c>
      <c r="BS943" s="29">
        <v>-435</v>
      </c>
      <c r="BT943" s="29">
        <v>0</v>
      </c>
      <c r="BU943" s="29">
        <v>0</v>
      </c>
      <c r="BV943" s="29">
        <v>0</v>
      </c>
      <c r="BW943" s="29">
        <v>-300</v>
      </c>
      <c r="BX943" s="29">
        <v>0</v>
      </c>
      <c r="BY943" s="29">
        <v>-550</v>
      </c>
      <c r="BZ943" s="29">
        <v>-750</v>
      </c>
      <c r="CA943" s="29">
        <v>-750</v>
      </c>
      <c r="CB943" s="29">
        <v>0</v>
      </c>
    </row>
    <row r="944" spans="3:80" ht="11.25" customHeight="1">
      <c r="C944" s="43" t="s">
        <v>89</v>
      </c>
      <c r="E944" s="33">
        <f t="shared" si="2132"/>
        <v>-68</v>
      </c>
      <c r="F944" s="33">
        <f t="shared" si="2133"/>
        <v>-68</v>
      </c>
      <c r="G944" s="33">
        <f t="shared" si="2134"/>
        <v>-68</v>
      </c>
      <c r="H944" s="33">
        <f t="shared" si="2135"/>
        <v>-68</v>
      </c>
      <c r="I944" s="33">
        <f t="shared" si="2136"/>
        <v>-75</v>
      </c>
      <c r="J944" s="33">
        <f t="shared" si="2137"/>
        <v>-74</v>
      </c>
      <c r="K944" s="33">
        <f t="shared" si="2138"/>
        <v>-74</v>
      </c>
      <c r="L944" s="33">
        <f t="shared" si="2139"/>
        <v>-73</v>
      </c>
      <c r="M944" s="33">
        <f t="shared" si="2140"/>
        <v>-80</v>
      </c>
      <c r="N944" s="33">
        <f t="shared" si="2141"/>
        <v>-80</v>
      </c>
      <c r="O944" s="33">
        <f t="shared" si="2142"/>
        <v>-80</v>
      </c>
      <c r="P944" s="33">
        <f t="shared" si="2143"/>
        <v>-78</v>
      </c>
      <c r="Q944" s="33">
        <f t="shared" si="2144"/>
        <v>-87</v>
      </c>
      <c r="R944" s="33">
        <f t="shared" si="2145"/>
        <v>-86</v>
      </c>
      <c r="S944" s="33">
        <f t="shared" si="2145"/>
        <v>-85</v>
      </c>
      <c r="T944" s="33">
        <f t="shared" si="2145"/>
        <v>-85</v>
      </c>
      <c r="U944" s="33">
        <f t="shared" si="2146"/>
        <v>-90</v>
      </c>
      <c r="V944" s="33">
        <f t="shared" si="2147"/>
        <v>-89</v>
      </c>
      <c r="W944" s="33">
        <f t="shared" si="2148"/>
        <v>-90</v>
      </c>
      <c r="X944" s="33">
        <f t="shared" si="2149"/>
        <v>-89</v>
      </c>
      <c r="Y944" s="33">
        <f t="shared" si="2150"/>
        <v>-94</v>
      </c>
      <c r="Z944" s="33">
        <f t="shared" si="2151"/>
        <v>-94</v>
      </c>
      <c r="AA944" s="33">
        <f t="shared" si="2152"/>
        <v>-94</v>
      </c>
      <c r="AB944" s="33">
        <f t="shared" si="2153"/>
        <v>-93</v>
      </c>
      <c r="AC944" s="33">
        <f t="shared" si="2154"/>
        <v>-98</v>
      </c>
      <c r="AD944" s="33">
        <f t="shared" si="2155"/>
        <v>-98</v>
      </c>
      <c r="AE944" s="33">
        <f t="shared" si="2156"/>
        <v>-94</v>
      </c>
      <c r="AF944" s="33">
        <f t="shared" si="2157"/>
        <v>-91</v>
      </c>
      <c r="AG944" s="33">
        <f t="shared" si="2158"/>
        <v>-94</v>
      </c>
      <c r="AH944" s="28">
        <f t="shared" ref="AH944:AJ944" si="2160">-AH968</f>
        <v>-102.27200000000001</v>
      </c>
      <c r="AI944" s="28">
        <f t="shared" si="2160"/>
        <v>-102.27200000000001</v>
      </c>
      <c r="AJ944" s="28">
        <f t="shared" si="2160"/>
        <v>-102.27200000000001</v>
      </c>
      <c r="AK944" s="79"/>
      <c r="AL944" s="29">
        <v>-210</v>
      </c>
      <c r="AM944" s="29">
        <v>-238</v>
      </c>
      <c r="AN944" s="33">
        <f t="shared" si="2159"/>
        <v>-272</v>
      </c>
      <c r="AO944" s="33">
        <f t="shared" si="2159"/>
        <v>-296</v>
      </c>
      <c r="AP944" s="33">
        <f t="shared" si="2159"/>
        <v>-318</v>
      </c>
      <c r="AQ944" s="33">
        <f t="shared" si="2159"/>
        <v>-343</v>
      </c>
      <c r="AR944" s="33">
        <f t="shared" si="2159"/>
        <v>-358</v>
      </c>
      <c r="AS944" s="28">
        <f t="shared" si="2159"/>
        <v>-375</v>
      </c>
      <c r="AT944" s="28">
        <f t="shared" si="2159"/>
        <v>-381</v>
      </c>
      <c r="AU944" s="28">
        <f t="shared" si="2159"/>
        <v>-400.81599999999997</v>
      </c>
      <c r="AV944" s="28">
        <f>-AV968</f>
        <v>-451.49999999999994</v>
      </c>
      <c r="AW944" s="28">
        <f>-AW968</f>
        <v>-481.59999999999997</v>
      </c>
      <c r="AX944" s="28">
        <f>-AX968</f>
        <v>-541.79999999999995</v>
      </c>
      <c r="AZ944" s="29">
        <v>-68</v>
      </c>
      <c r="BA944" s="29">
        <v>-136</v>
      </c>
      <c r="BB944" s="29">
        <v>-204</v>
      </c>
      <c r="BC944" s="29">
        <v>-272</v>
      </c>
      <c r="BD944" s="29">
        <v>-75</v>
      </c>
      <c r="BE944" s="29">
        <v>-149</v>
      </c>
      <c r="BF944" s="29">
        <v>-223</v>
      </c>
      <c r="BG944" s="29">
        <v>-296</v>
      </c>
      <c r="BH944" s="29">
        <v>-80</v>
      </c>
      <c r="BI944" s="29">
        <v>-160</v>
      </c>
      <c r="BJ944" s="29">
        <v>-240</v>
      </c>
      <c r="BK944" s="29">
        <v>-318</v>
      </c>
      <c r="BL944" s="29">
        <v>-87</v>
      </c>
      <c r="BM944" s="29">
        <v>-173</v>
      </c>
      <c r="BN944" s="29">
        <v>-258</v>
      </c>
      <c r="BO944" s="29">
        <v>-343</v>
      </c>
      <c r="BP944" s="29">
        <v>-90</v>
      </c>
      <c r="BQ944" s="29">
        <v>-179</v>
      </c>
      <c r="BR944" s="29">
        <v>-269</v>
      </c>
      <c r="BS944" s="29">
        <v>-358</v>
      </c>
      <c r="BT944" s="29">
        <v>-94</v>
      </c>
      <c r="BU944" s="29">
        <v>-188</v>
      </c>
      <c r="BV944" s="29">
        <v>-282</v>
      </c>
      <c r="BW944" s="29">
        <v>-375</v>
      </c>
      <c r="BX944" s="29">
        <v>-98</v>
      </c>
      <c r="BY944" s="29">
        <v>-196</v>
      </c>
      <c r="BZ944" s="29">
        <v>-290</v>
      </c>
      <c r="CA944" s="29">
        <v>-381</v>
      </c>
      <c r="CB944" s="29">
        <v>-94</v>
      </c>
    </row>
    <row r="945" spans="2:80" ht="11.25" customHeight="1">
      <c r="C945" s="43" t="s">
        <v>90</v>
      </c>
      <c r="E945" s="33">
        <f t="shared" si="2132"/>
        <v>-20</v>
      </c>
      <c r="F945" s="33">
        <f t="shared" si="2133"/>
        <v>-25</v>
      </c>
      <c r="G945" s="33">
        <f t="shared" si="2134"/>
        <v>-75</v>
      </c>
      <c r="H945" s="33">
        <f t="shared" si="2135"/>
        <v>-25</v>
      </c>
      <c r="I945" s="33">
        <f t="shared" si="2136"/>
        <v>-75</v>
      </c>
      <c r="J945" s="33">
        <f t="shared" si="2137"/>
        <v>-100</v>
      </c>
      <c r="K945" s="33">
        <f t="shared" si="2138"/>
        <v>-100</v>
      </c>
      <c r="L945" s="33">
        <f t="shared" si="2139"/>
        <v>-75</v>
      </c>
      <c r="M945" s="33">
        <f t="shared" si="2140"/>
        <v>-100</v>
      </c>
      <c r="N945" s="33">
        <f t="shared" si="2141"/>
        <v>-150</v>
      </c>
      <c r="O945" s="33">
        <f t="shared" si="2142"/>
        <v>-125</v>
      </c>
      <c r="P945" s="33">
        <f t="shared" si="2143"/>
        <v>-25</v>
      </c>
      <c r="Q945" s="33">
        <f t="shared" si="2144"/>
        <v>-125</v>
      </c>
      <c r="R945" s="33">
        <f t="shared" si="2145"/>
        <v>-125</v>
      </c>
      <c r="S945" s="33">
        <f t="shared" si="2145"/>
        <v>-75</v>
      </c>
      <c r="T945" s="33">
        <f t="shared" si="2145"/>
        <v>0</v>
      </c>
      <c r="U945" s="33">
        <f t="shared" si="2146"/>
        <v>-30</v>
      </c>
      <c r="V945" s="33">
        <f t="shared" si="2147"/>
        <v>-30</v>
      </c>
      <c r="W945" s="33">
        <f t="shared" si="2148"/>
        <v>0</v>
      </c>
      <c r="X945" s="33">
        <f t="shared" si="2149"/>
        <v>0</v>
      </c>
      <c r="Y945" s="33">
        <f t="shared" si="2150"/>
        <v>-40</v>
      </c>
      <c r="Z945" s="33">
        <f t="shared" si="2151"/>
        <v>-100</v>
      </c>
      <c r="AA945" s="33">
        <f t="shared" si="2152"/>
        <v>-150</v>
      </c>
      <c r="AB945" s="33">
        <f t="shared" si="2153"/>
        <v>-710</v>
      </c>
      <c r="AC945" s="33">
        <f t="shared" si="2154"/>
        <v>0</v>
      </c>
      <c r="AD945" s="33">
        <f t="shared" si="2155"/>
        <v>-752</v>
      </c>
      <c r="AE945" s="33">
        <f t="shared" si="2156"/>
        <v>-150</v>
      </c>
      <c r="AF945" s="33">
        <f t="shared" si="2157"/>
        <v>-100</v>
      </c>
      <c r="AG945" s="33">
        <f t="shared" si="2158"/>
        <v>0</v>
      </c>
      <c r="AH945" s="28">
        <f t="shared" ref="AH945:AJ945" si="2161">-AH961</f>
        <v>0</v>
      </c>
      <c r="AI945" s="28">
        <f t="shared" si="2161"/>
        <v>0</v>
      </c>
      <c r="AJ945" s="28">
        <f t="shared" si="2161"/>
        <v>0</v>
      </c>
      <c r="AK945" s="79"/>
      <c r="AL945" s="29">
        <v>-410</v>
      </c>
      <c r="AM945" s="29">
        <v>-103</v>
      </c>
      <c r="AN945" s="33">
        <f t="shared" si="2159"/>
        <v>-145</v>
      </c>
      <c r="AO945" s="33">
        <f t="shared" si="2159"/>
        <v>-350</v>
      </c>
      <c r="AP945" s="33">
        <f t="shared" si="2159"/>
        <v>-400</v>
      </c>
      <c r="AQ945" s="33">
        <f t="shared" si="2159"/>
        <v>-325</v>
      </c>
      <c r="AR945" s="33">
        <f t="shared" si="2159"/>
        <v>-60</v>
      </c>
      <c r="AS945" s="28">
        <f t="shared" si="2159"/>
        <v>-1000</v>
      </c>
      <c r="AT945" s="28">
        <f t="shared" si="2159"/>
        <v>-1002</v>
      </c>
      <c r="AU945" s="28">
        <f t="shared" si="2159"/>
        <v>0</v>
      </c>
      <c r="AV945" s="28">
        <f>-AV961</f>
        <v>0</v>
      </c>
      <c r="AW945" s="28">
        <f>-AW961</f>
        <v>0</v>
      </c>
      <c r="AX945" s="28">
        <f>-AX961</f>
        <v>0</v>
      </c>
      <c r="AZ945" s="29">
        <v>-20</v>
      </c>
      <c r="BA945" s="29">
        <v>-45</v>
      </c>
      <c r="BB945" s="29">
        <v>-120</v>
      </c>
      <c r="BC945" s="29">
        <v>-145</v>
      </c>
      <c r="BD945" s="29">
        <v>-75</v>
      </c>
      <c r="BE945" s="29">
        <v>-175</v>
      </c>
      <c r="BF945" s="29">
        <v>-275</v>
      </c>
      <c r="BG945" s="29">
        <v>-350</v>
      </c>
      <c r="BH945" s="29">
        <v>-100</v>
      </c>
      <c r="BI945" s="29">
        <v>-250</v>
      </c>
      <c r="BJ945" s="29">
        <v>-375</v>
      </c>
      <c r="BK945" s="29">
        <v>-400</v>
      </c>
      <c r="BL945" s="29">
        <v>-125</v>
      </c>
      <c r="BM945" s="29">
        <v>-250</v>
      </c>
      <c r="BN945" s="29">
        <v>-325</v>
      </c>
      <c r="BO945" s="29">
        <v>-325</v>
      </c>
      <c r="BP945" s="29">
        <v>-30</v>
      </c>
      <c r="BQ945" s="29">
        <v>-60</v>
      </c>
      <c r="BR945" s="29">
        <v>-60</v>
      </c>
      <c r="BS945" s="29">
        <v>-60</v>
      </c>
      <c r="BT945" s="29">
        <v>-40</v>
      </c>
      <c r="BU945" s="29">
        <v>-140</v>
      </c>
      <c r="BV945" s="29">
        <v>-290</v>
      </c>
      <c r="BW945" s="29">
        <v>-1000</v>
      </c>
      <c r="BX945" s="29">
        <v>0</v>
      </c>
      <c r="BY945" s="29">
        <v>-752</v>
      </c>
      <c r="BZ945" s="29">
        <v>-902</v>
      </c>
      <c r="CA945" s="29">
        <v>-1002</v>
      </c>
      <c r="CB945" s="29">
        <v>0</v>
      </c>
    </row>
    <row r="946" spans="2:80" ht="11.25" customHeight="1">
      <c r="C946" s="43" t="s">
        <v>79</v>
      </c>
      <c r="E946" s="33">
        <f>+AZ946</f>
        <v>0</v>
      </c>
      <c r="F946" s="33">
        <f>+BA946-AZ946</f>
        <v>0</v>
      </c>
      <c r="G946" s="33">
        <f>+BB946-BA946</f>
        <v>0</v>
      </c>
      <c r="H946" s="33">
        <f>+BC946-BB946</f>
        <v>15</v>
      </c>
      <c r="I946" s="33">
        <f>+BD946</f>
        <v>0</v>
      </c>
      <c r="J946" s="33">
        <f>+BE946-BD946</f>
        <v>12</v>
      </c>
      <c r="K946" s="33">
        <f>+BF946-BE946</f>
        <v>2</v>
      </c>
      <c r="L946" s="33">
        <f>+BG946-BF946</f>
        <v>2</v>
      </c>
      <c r="M946" s="33">
        <f>+BH946</f>
        <v>-3</v>
      </c>
      <c r="N946" s="33">
        <f>+BI946-BH946</f>
        <v>2</v>
      </c>
      <c r="O946" s="33">
        <f>+BJ946-BI946</f>
        <v>1</v>
      </c>
      <c r="P946" s="33">
        <f>+BK946-BJ946</f>
        <v>-2</v>
      </c>
      <c r="Q946" s="33">
        <f t="shared" si="2144"/>
        <v>-6</v>
      </c>
      <c r="R946" s="33">
        <f t="shared" si="2145"/>
        <v>4</v>
      </c>
      <c r="S946" s="33">
        <f t="shared" si="2145"/>
        <v>-1</v>
      </c>
      <c r="T946" s="33">
        <f t="shared" si="2145"/>
        <v>-2</v>
      </c>
      <c r="U946" s="33">
        <f t="shared" si="2146"/>
        <v>0</v>
      </c>
      <c r="V946" s="33">
        <f t="shared" si="2147"/>
        <v>0</v>
      </c>
      <c r="W946" s="33">
        <f t="shared" si="2148"/>
        <v>0</v>
      </c>
      <c r="X946" s="33">
        <f t="shared" si="2149"/>
        <v>0</v>
      </c>
      <c r="Y946" s="33">
        <f t="shared" si="2150"/>
        <v>0</v>
      </c>
      <c r="Z946" s="33">
        <f t="shared" si="2151"/>
        <v>0</v>
      </c>
      <c r="AA946" s="33">
        <f t="shared" si="2152"/>
        <v>0</v>
      </c>
      <c r="AB946" s="33">
        <f t="shared" si="2153"/>
        <v>0</v>
      </c>
      <c r="AC946" s="33">
        <f t="shared" si="2154"/>
        <v>0</v>
      </c>
      <c r="AD946" s="33">
        <f t="shared" si="2155"/>
        <v>0</v>
      </c>
      <c r="AE946" s="33">
        <f t="shared" si="2156"/>
        <v>0</v>
      </c>
      <c r="AF946" s="33">
        <f t="shared" si="2157"/>
        <v>-14</v>
      </c>
      <c r="AG946" s="33">
        <f t="shared" si="2158"/>
        <v>0</v>
      </c>
      <c r="AH946" s="28">
        <v>0</v>
      </c>
      <c r="AI946" s="28">
        <v>0</v>
      </c>
      <c r="AJ946" s="28">
        <v>0</v>
      </c>
      <c r="AK946" s="79"/>
      <c r="AL946" s="29">
        <v>18</v>
      </c>
      <c r="AM946" s="29">
        <v>8</v>
      </c>
      <c r="AN946" s="33">
        <f t="shared" si="2159"/>
        <v>15</v>
      </c>
      <c r="AO946" s="33">
        <f t="shared" si="2159"/>
        <v>16</v>
      </c>
      <c r="AP946" s="33">
        <f t="shared" si="2159"/>
        <v>-2</v>
      </c>
      <c r="AQ946" s="33">
        <f t="shared" si="2159"/>
        <v>-5</v>
      </c>
      <c r="AR946" s="33">
        <f t="shared" si="2159"/>
        <v>0</v>
      </c>
      <c r="AS946" s="28">
        <f t="shared" si="2159"/>
        <v>0</v>
      </c>
      <c r="AT946" s="28">
        <f t="shared" si="2159"/>
        <v>-14</v>
      </c>
      <c r="AU946" s="28">
        <f t="shared" si="2159"/>
        <v>0</v>
      </c>
      <c r="AV946" s="28">
        <v>0</v>
      </c>
      <c r="AW946" s="28">
        <v>0</v>
      </c>
      <c r="AX946" s="28">
        <v>0</v>
      </c>
      <c r="AZ946" s="29">
        <v>0</v>
      </c>
      <c r="BA946" s="29">
        <v>0</v>
      </c>
      <c r="BB946" s="29">
        <v>0</v>
      </c>
      <c r="BC946" s="29">
        <v>15</v>
      </c>
      <c r="BD946" s="29">
        <v>0</v>
      </c>
      <c r="BE946" s="29">
        <v>12</v>
      </c>
      <c r="BF946" s="29">
        <v>14</v>
      </c>
      <c r="BG946" s="29">
        <v>16</v>
      </c>
      <c r="BH946" s="29">
        <v>-3</v>
      </c>
      <c r="BI946" s="29">
        <v>-1</v>
      </c>
      <c r="BJ946" s="29">
        <v>0</v>
      </c>
      <c r="BK946" s="29">
        <v>-2</v>
      </c>
      <c r="BL946" s="29">
        <v>-6</v>
      </c>
      <c r="BM946" s="29">
        <v>-2</v>
      </c>
      <c r="BN946" s="29">
        <v>-3</v>
      </c>
      <c r="BO946" s="29">
        <v>-5</v>
      </c>
      <c r="BP946" s="29">
        <v>0</v>
      </c>
      <c r="BQ946" s="29">
        <v>0</v>
      </c>
      <c r="BR946" s="29">
        <v>0</v>
      </c>
      <c r="BS946" s="29">
        <v>0</v>
      </c>
      <c r="BT946" s="29">
        <v>0</v>
      </c>
      <c r="BU946" s="29">
        <v>0</v>
      </c>
      <c r="BV946" s="29">
        <v>0</v>
      </c>
      <c r="BW946" s="29">
        <v>0</v>
      </c>
      <c r="BX946" s="29">
        <v>0</v>
      </c>
      <c r="BY946" s="29">
        <v>0</v>
      </c>
      <c r="BZ946" s="29">
        <v>0</v>
      </c>
      <c r="CA946" s="29">
        <v>-14</v>
      </c>
      <c r="CB946" s="29">
        <v>0</v>
      </c>
    </row>
    <row r="947" spans="2:80" ht="11.25" customHeight="1">
      <c r="C947" s="43" t="s">
        <v>91</v>
      </c>
      <c r="E947" s="33">
        <f t="shared" si="2132"/>
        <v>0</v>
      </c>
      <c r="F947" s="33">
        <f t="shared" si="2133"/>
        <v>-4</v>
      </c>
      <c r="G947" s="33">
        <f t="shared" si="2134"/>
        <v>-4</v>
      </c>
      <c r="H947" s="33">
        <f t="shared" si="2135"/>
        <v>0</v>
      </c>
      <c r="I947" s="33">
        <f t="shared" si="2136"/>
        <v>0</v>
      </c>
      <c r="J947" s="33">
        <f t="shared" si="2137"/>
        <v>-1</v>
      </c>
      <c r="K947" s="33">
        <f t="shared" si="2138"/>
        <v>-4</v>
      </c>
      <c r="L947" s="33">
        <f t="shared" si="2139"/>
        <v>-2</v>
      </c>
      <c r="M947" s="33">
        <f t="shared" si="2140"/>
        <v>0</v>
      </c>
      <c r="N947" s="33">
        <f t="shared" si="2141"/>
        <v>-2</v>
      </c>
      <c r="O947" s="33">
        <f t="shared" si="2142"/>
        <v>-1</v>
      </c>
      <c r="P947" s="33">
        <f t="shared" si="2143"/>
        <v>-1</v>
      </c>
      <c r="Q947" s="33">
        <f t="shared" si="2144"/>
        <v>0</v>
      </c>
      <c r="R947" s="33">
        <f t="shared" si="2145"/>
        <v>-1</v>
      </c>
      <c r="S947" s="33">
        <f t="shared" si="2145"/>
        <v>1</v>
      </c>
      <c r="T947" s="33">
        <f t="shared" si="2145"/>
        <v>0</v>
      </c>
      <c r="U947" s="33">
        <f t="shared" si="2146"/>
        <v>0</v>
      </c>
      <c r="V947" s="33">
        <f t="shared" si="2147"/>
        <v>0</v>
      </c>
      <c r="W947" s="33">
        <f t="shared" si="2148"/>
        <v>0</v>
      </c>
      <c r="X947" s="33">
        <f t="shared" si="2149"/>
        <v>0</v>
      </c>
      <c r="Y947" s="33">
        <f t="shared" si="2150"/>
        <v>0</v>
      </c>
      <c r="Z947" s="33">
        <f t="shared" si="2151"/>
        <v>0</v>
      </c>
      <c r="AA947" s="33">
        <f t="shared" si="2152"/>
        <v>0</v>
      </c>
      <c r="AB947" s="33">
        <f t="shared" si="2153"/>
        <v>0</v>
      </c>
      <c r="AC947" s="33">
        <f t="shared" si="2154"/>
        <v>0</v>
      </c>
      <c r="AD947" s="33">
        <f t="shared" si="2155"/>
        <v>0</v>
      </c>
      <c r="AE947" s="33">
        <f t="shared" si="2156"/>
        <v>0</v>
      </c>
      <c r="AF947" s="33">
        <f t="shared" si="2157"/>
        <v>0</v>
      </c>
      <c r="AG947" s="33">
        <f t="shared" si="2158"/>
        <v>0</v>
      </c>
      <c r="AH947" s="28">
        <v>0</v>
      </c>
      <c r="AI947" s="28">
        <v>0</v>
      </c>
      <c r="AJ947" s="28">
        <v>0</v>
      </c>
      <c r="AK947" s="79"/>
      <c r="AL947" s="29">
        <v>-9</v>
      </c>
      <c r="AM947" s="29">
        <v>-6</v>
      </c>
      <c r="AN947" s="33">
        <f t="shared" si="2159"/>
        <v>-8</v>
      </c>
      <c r="AO947" s="33">
        <f t="shared" si="2159"/>
        <v>-7</v>
      </c>
      <c r="AP947" s="33">
        <f t="shared" si="2159"/>
        <v>-4</v>
      </c>
      <c r="AQ947" s="33">
        <f t="shared" si="2159"/>
        <v>0</v>
      </c>
      <c r="AR947" s="33">
        <f t="shared" si="2159"/>
        <v>0</v>
      </c>
      <c r="AS947" s="28">
        <f t="shared" si="2159"/>
        <v>0</v>
      </c>
      <c r="AT947" s="28">
        <f t="shared" si="2159"/>
        <v>0</v>
      </c>
      <c r="AU947" s="28">
        <f t="shared" si="2159"/>
        <v>0</v>
      </c>
      <c r="AV947" s="28">
        <v>0</v>
      </c>
      <c r="AW947" s="28">
        <v>0</v>
      </c>
      <c r="AX947" s="28">
        <v>0</v>
      </c>
      <c r="AZ947" s="29">
        <v>0</v>
      </c>
      <c r="BA947" s="29">
        <v>-4</v>
      </c>
      <c r="BB947" s="29">
        <v>-8</v>
      </c>
      <c r="BC947" s="29">
        <v>-8</v>
      </c>
      <c r="BD947" s="29">
        <v>0</v>
      </c>
      <c r="BE947" s="29">
        <v>-1</v>
      </c>
      <c r="BF947" s="29">
        <v>-5</v>
      </c>
      <c r="BG947" s="29">
        <v>-7</v>
      </c>
      <c r="BH947" s="29">
        <v>0</v>
      </c>
      <c r="BI947" s="29">
        <v>-2</v>
      </c>
      <c r="BJ947" s="29">
        <v>-3</v>
      </c>
      <c r="BK947" s="29">
        <v>-4</v>
      </c>
      <c r="BL947" s="29">
        <v>0</v>
      </c>
      <c r="BM947" s="29">
        <v>-1</v>
      </c>
      <c r="BN947" s="29">
        <v>0</v>
      </c>
      <c r="BO947" s="29">
        <v>0</v>
      </c>
      <c r="BP947" s="29">
        <v>0</v>
      </c>
      <c r="BQ947" s="29">
        <v>0</v>
      </c>
      <c r="BR947" s="29">
        <v>0</v>
      </c>
      <c r="BS947" s="29">
        <v>0</v>
      </c>
      <c r="BT947" s="29">
        <v>0</v>
      </c>
      <c r="BU947" s="29">
        <v>0</v>
      </c>
      <c r="BV947" s="29">
        <v>0</v>
      </c>
      <c r="BW947" s="29">
        <v>0</v>
      </c>
      <c r="BX947" s="29">
        <v>0</v>
      </c>
      <c r="BY947" s="29">
        <v>0</v>
      </c>
      <c r="BZ947" s="29">
        <v>0</v>
      </c>
      <c r="CA947" s="29">
        <v>0</v>
      </c>
      <c r="CB947" s="29">
        <v>0</v>
      </c>
    </row>
    <row r="948" spans="2:80" ht="11.25" customHeight="1">
      <c r="C948" s="43" t="s">
        <v>338</v>
      </c>
      <c r="E948" s="33">
        <f>+AZ948</f>
        <v>0</v>
      </c>
      <c r="F948" s="33">
        <f>+BA948-AZ948</f>
        <v>8</v>
      </c>
      <c r="G948" s="33">
        <f>+BB948-BA948</f>
        <v>8</v>
      </c>
      <c r="H948" s="33">
        <f>+BC948-BB948</f>
        <v>-16</v>
      </c>
      <c r="I948" s="33">
        <f>+BD948</f>
        <v>2</v>
      </c>
      <c r="J948" s="33">
        <f>+BE948-BD948</f>
        <v>-2</v>
      </c>
      <c r="K948" s="33">
        <f>+BF948-BE948</f>
        <v>0</v>
      </c>
      <c r="L948" s="33">
        <f>+BG948-BF948</f>
        <v>0</v>
      </c>
      <c r="M948" s="33">
        <f>+BH948</f>
        <v>0</v>
      </c>
      <c r="N948" s="33">
        <f>+BI948-BH948</f>
        <v>0</v>
      </c>
      <c r="O948" s="33">
        <f>+BJ948-BI948</f>
        <v>0</v>
      </c>
      <c r="P948" s="33">
        <f>+BK948-BJ948</f>
        <v>0</v>
      </c>
      <c r="Q948" s="33">
        <f t="shared" si="2144"/>
        <v>0</v>
      </c>
      <c r="R948" s="33">
        <f t="shared" si="2145"/>
        <v>0</v>
      </c>
      <c r="S948" s="33">
        <f t="shared" si="2145"/>
        <v>0</v>
      </c>
      <c r="T948" s="33">
        <f t="shared" si="2145"/>
        <v>0</v>
      </c>
      <c r="U948" s="33">
        <f t="shared" si="2146"/>
        <v>-11</v>
      </c>
      <c r="V948" s="33">
        <f t="shared" si="2147"/>
        <v>-2</v>
      </c>
      <c r="W948" s="33">
        <f t="shared" si="2148"/>
        <v>7</v>
      </c>
      <c r="X948" s="33">
        <f t="shared" si="2149"/>
        <v>27</v>
      </c>
      <c r="Y948" s="33">
        <f t="shared" si="2150"/>
        <v>22</v>
      </c>
      <c r="Z948" s="33">
        <f t="shared" si="2151"/>
        <v>16</v>
      </c>
      <c r="AA948" s="33">
        <f t="shared" si="2152"/>
        <v>0</v>
      </c>
      <c r="AB948" s="33">
        <f t="shared" si="2153"/>
        <v>-3</v>
      </c>
      <c r="AC948" s="33">
        <f t="shared" si="2154"/>
        <v>-9</v>
      </c>
      <c r="AD948" s="33">
        <f t="shared" si="2155"/>
        <v>-3</v>
      </c>
      <c r="AE948" s="33">
        <f t="shared" si="2156"/>
        <v>1</v>
      </c>
      <c r="AF948" s="33">
        <f t="shared" si="2157"/>
        <v>11</v>
      </c>
      <c r="AG948" s="33">
        <f t="shared" si="2158"/>
        <v>-19</v>
      </c>
      <c r="AH948" s="28">
        <v>0</v>
      </c>
      <c r="AI948" s="28">
        <v>0</v>
      </c>
      <c r="AJ948" s="28">
        <v>0</v>
      </c>
      <c r="AK948" s="79"/>
      <c r="AL948" s="29">
        <v>0</v>
      </c>
      <c r="AM948" s="29">
        <v>0</v>
      </c>
      <c r="AN948" s="33">
        <f t="shared" si="2159"/>
        <v>0</v>
      </c>
      <c r="AO948" s="33">
        <f t="shared" si="2159"/>
        <v>0</v>
      </c>
      <c r="AP948" s="33">
        <f t="shared" si="2159"/>
        <v>0</v>
      </c>
      <c r="AQ948" s="33">
        <f t="shared" si="2159"/>
        <v>0</v>
      </c>
      <c r="AR948" s="33">
        <f t="shared" si="2159"/>
        <v>21</v>
      </c>
      <c r="AS948" s="28">
        <f t="shared" si="2159"/>
        <v>35</v>
      </c>
      <c r="AT948" s="28">
        <f t="shared" si="2159"/>
        <v>0</v>
      </c>
      <c r="AU948" s="28">
        <f t="shared" si="2159"/>
        <v>-19</v>
      </c>
      <c r="AV948" s="28">
        <v>0</v>
      </c>
      <c r="AW948" s="28">
        <v>0</v>
      </c>
      <c r="AX948" s="28">
        <v>0</v>
      </c>
      <c r="AZ948" s="29">
        <v>0</v>
      </c>
      <c r="BA948" s="29">
        <v>8</v>
      </c>
      <c r="BB948" s="29">
        <v>16</v>
      </c>
      <c r="BC948" s="29">
        <v>0</v>
      </c>
      <c r="BD948" s="29">
        <v>2</v>
      </c>
      <c r="BE948" s="29">
        <v>0</v>
      </c>
      <c r="BF948" s="29">
        <v>0</v>
      </c>
      <c r="BG948" s="29">
        <v>0</v>
      </c>
      <c r="BH948" s="29">
        <v>0</v>
      </c>
      <c r="BI948" s="29">
        <v>0</v>
      </c>
      <c r="BJ948" s="29">
        <v>0</v>
      </c>
      <c r="BK948" s="29">
        <v>0</v>
      </c>
      <c r="BL948" s="29">
        <v>0</v>
      </c>
      <c r="BM948" s="29">
        <v>0</v>
      </c>
      <c r="BN948" s="29">
        <v>0</v>
      </c>
      <c r="BO948" s="29">
        <v>0</v>
      </c>
      <c r="BP948" s="29">
        <v>-11</v>
      </c>
      <c r="BQ948" s="29">
        <v>-13</v>
      </c>
      <c r="BR948" s="29">
        <v>-6</v>
      </c>
      <c r="BS948" s="29">
        <v>21</v>
      </c>
      <c r="BT948" s="29">
        <v>22</v>
      </c>
      <c r="BU948" s="29">
        <v>38</v>
      </c>
      <c r="BV948" s="29">
        <v>38</v>
      </c>
      <c r="BW948" s="29">
        <v>35</v>
      </c>
      <c r="BX948" s="29">
        <v>-9</v>
      </c>
      <c r="BY948" s="29">
        <v>-12</v>
      </c>
      <c r="BZ948" s="29">
        <v>-11</v>
      </c>
      <c r="CA948" s="29">
        <v>0</v>
      </c>
      <c r="CB948" s="29">
        <v>-19</v>
      </c>
    </row>
    <row r="949" spans="2:80" s="27" customFormat="1" ht="11.25" customHeight="1">
      <c r="C949" s="45" t="s">
        <v>92</v>
      </c>
      <c r="E949" s="35">
        <f t="shared" ref="E949:R949" si="2162">SUM(E941:E948)</f>
        <v>-16</v>
      </c>
      <c r="F949" s="35">
        <f t="shared" si="2162"/>
        <v>-369</v>
      </c>
      <c r="G949" s="35">
        <f t="shared" si="2162"/>
        <v>-336</v>
      </c>
      <c r="H949" s="35">
        <f t="shared" si="2162"/>
        <v>-117</v>
      </c>
      <c r="I949" s="35">
        <f t="shared" si="2162"/>
        <v>102</v>
      </c>
      <c r="J949" s="35">
        <f t="shared" si="2162"/>
        <v>-260</v>
      </c>
      <c r="K949" s="35">
        <f t="shared" si="2162"/>
        <v>-410</v>
      </c>
      <c r="L949" s="35">
        <f t="shared" si="2162"/>
        <v>-438</v>
      </c>
      <c r="M949" s="35">
        <f t="shared" si="2162"/>
        <v>116</v>
      </c>
      <c r="N949" s="35">
        <f t="shared" si="2162"/>
        <v>-339</v>
      </c>
      <c r="O949" s="35">
        <f t="shared" si="2162"/>
        <v>-259</v>
      </c>
      <c r="P949" s="35">
        <f t="shared" si="2162"/>
        <v>-558</v>
      </c>
      <c r="Q949" s="35">
        <f t="shared" si="2162"/>
        <v>102</v>
      </c>
      <c r="R949" s="35">
        <f t="shared" si="2162"/>
        <v>-339</v>
      </c>
      <c r="S949" s="35">
        <f t="shared" ref="S949:AC949" si="2163">SUM(S941:S948)</f>
        <v>-250</v>
      </c>
      <c r="T949" s="35">
        <f t="shared" si="2163"/>
        <v>-556</v>
      </c>
      <c r="U949" s="35">
        <f t="shared" si="2163"/>
        <v>408</v>
      </c>
      <c r="V949" s="35">
        <f t="shared" si="2163"/>
        <v>-314</v>
      </c>
      <c r="W949" s="35">
        <f t="shared" si="2163"/>
        <v>-416</v>
      </c>
      <c r="X949" s="35">
        <f t="shared" si="2163"/>
        <v>-382</v>
      </c>
      <c r="Y949" s="35">
        <f t="shared" si="2163"/>
        <v>-137</v>
      </c>
      <c r="Z949" s="35">
        <f t="shared" si="2163"/>
        <v>-178</v>
      </c>
      <c r="AA949" s="35">
        <f t="shared" si="2163"/>
        <v>-269</v>
      </c>
      <c r="AB949" s="35">
        <f t="shared" si="2163"/>
        <v>-1106</v>
      </c>
      <c r="AC949" s="35">
        <f t="shared" si="2163"/>
        <v>129</v>
      </c>
      <c r="AD949" s="35">
        <f t="shared" ref="AD949:AG949" si="2164">SUM(AD941:AD948)</f>
        <v>-1139</v>
      </c>
      <c r="AE949" s="35">
        <f t="shared" si="2164"/>
        <v>-88</v>
      </c>
      <c r="AF949" s="35">
        <f t="shared" si="2164"/>
        <v>-223</v>
      </c>
      <c r="AG949" s="35">
        <f t="shared" si="2164"/>
        <v>357</v>
      </c>
      <c r="AH949" s="35">
        <f ca="1">SUM(AH941:AH948)</f>
        <v>-918.27200000000005</v>
      </c>
      <c r="AI949" s="35">
        <f ca="1">SUM(AI941:AI948)</f>
        <v>-102.27200000000001</v>
      </c>
      <c r="AJ949" s="35">
        <f ca="1">SUM(AJ941:AJ948)</f>
        <v>-102.27200000000001</v>
      </c>
      <c r="AK949" s="79"/>
      <c r="AL949" s="35">
        <f t="shared" ref="AL949:AT949" si="2165">SUM(AL941:AL948)</f>
        <v>2639</v>
      </c>
      <c r="AM949" s="35">
        <f t="shared" si="2165"/>
        <v>-844</v>
      </c>
      <c r="AN949" s="35">
        <f t="shared" si="2165"/>
        <v>-838</v>
      </c>
      <c r="AO949" s="35">
        <f t="shared" si="2165"/>
        <v>-1006</v>
      </c>
      <c r="AP949" s="35">
        <f t="shared" si="2165"/>
        <v>-1040</v>
      </c>
      <c r="AQ949" s="35">
        <f t="shared" si="2165"/>
        <v>-1043</v>
      </c>
      <c r="AR949" s="35">
        <f t="shared" si="2165"/>
        <v>-704</v>
      </c>
      <c r="AS949" s="35">
        <f t="shared" si="2165"/>
        <v>-1690</v>
      </c>
      <c r="AT949" s="35">
        <f t="shared" si="2165"/>
        <v>-1321</v>
      </c>
      <c r="AU949" s="35">
        <f ca="1">SUM(AU941:AU948)</f>
        <v>-765.81600000000003</v>
      </c>
      <c r="AV949" s="35">
        <f ca="1">SUM(AV941:AV948)</f>
        <v>-692.5</v>
      </c>
      <c r="AW949" s="35">
        <f ca="1">SUM(AW941:AW948)</f>
        <v>-1175.5999999999999</v>
      </c>
      <c r="AX949" s="35">
        <f ca="1">SUM(AX941:AX948)</f>
        <v>-1083.8</v>
      </c>
      <c r="AY949" s="1"/>
      <c r="AZ949" s="35">
        <f t="shared" ref="AZ949:BM949" si="2166">SUM(AZ941:AZ948)</f>
        <v>-16</v>
      </c>
      <c r="BA949" s="35">
        <f t="shared" si="2166"/>
        <v>-385</v>
      </c>
      <c r="BB949" s="35">
        <f t="shared" si="2166"/>
        <v>-721</v>
      </c>
      <c r="BC949" s="35">
        <f t="shared" si="2166"/>
        <v>-838</v>
      </c>
      <c r="BD949" s="35">
        <f t="shared" si="2166"/>
        <v>102</v>
      </c>
      <c r="BE949" s="35">
        <f t="shared" si="2166"/>
        <v>-158</v>
      </c>
      <c r="BF949" s="35">
        <f t="shared" si="2166"/>
        <v>-568</v>
      </c>
      <c r="BG949" s="35">
        <f t="shared" si="2166"/>
        <v>-1006</v>
      </c>
      <c r="BH949" s="35">
        <f t="shared" si="2166"/>
        <v>116</v>
      </c>
      <c r="BI949" s="35">
        <f t="shared" si="2166"/>
        <v>-223</v>
      </c>
      <c r="BJ949" s="35">
        <f t="shared" si="2166"/>
        <v>-482</v>
      </c>
      <c r="BK949" s="35">
        <f t="shared" si="2166"/>
        <v>-1040</v>
      </c>
      <c r="BL949" s="35">
        <f t="shared" si="2166"/>
        <v>102</v>
      </c>
      <c r="BM949" s="35">
        <f t="shared" si="2166"/>
        <v>-237</v>
      </c>
      <c r="BN949" s="35">
        <f>SUM(BN941:BN948)</f>
        <v>-487</v>
      </c>
      <c r="BO949" s="35">
        <f>SUM(BO941:BO948)</f>
        <v>-1043</v>
      </c>
      <c r="BP949" s="35">
        <f t="shared" ref="BP949:BW949" si="2167">SUM(BP941:BP948)</f>
        <v>408</v>
      </c>
      <c r="BQ949" s="35">
        <f t="shared" si="2167"/>
        <v>94</v>
      </c>
      <c r="BR949" s="35">
        <f t="shared" si="2167"/>
        <v>-322</v>
      </c>
      <c r="BS949" s="35">
        <f t="shared" si="2167"/>
        <v>-704</v>
      </c>
      <c r="BT949" s="35">
        <f t="shared" si="2167"/>
        <v>-137</v>
      </c>
      <c r="BU949" s="35">
        <f t="shared" si="2167"/>
        <v>-315</v>
      </c>
      <c r="BV949" s="35">
        <f t="shared" si="2167"/>
        <v>-584</v>
      </c>
      <c r="BW949" s="35">
        <f t="shared" si="2167"/>
        <v>-1690</v>
      </c>
      <c r="BX949" s="35">
        <f>SUM(BX941:BX948)</f>
        <v>129</v>
      </c>
      <c r="BY949" s="35">
        <f>SUM(BY941:BY948)</f>
        <v>-1010</v>
      </c>
      <c r="BZ949" s="35">
        <f>SUM(BZ941:BZ948)</f>
        <v>-1098</v>
      </c>
      <c r="CA949" s="35">
        <f>SUM(CA941:CA948)</f>
        <v>-1321</v>
      </c>
      <c r="CB949" s="35">
        <f>SUM(CB941:CB948)</f>
        <v>357</v>
      </c>
    </row>
    <row r="950" spans="2:80" ht="11.25" customHeight="1">
      <c r="C950" s="25"/>
      <c r="E950" s="28"/>
      <c r="F950" s="28"/>
      <c r="G950" s="28"/>
      <c r="H950" s="28"/>
      <c r="I950" s="28"/>
      <c r="J950" s="28"/>
      <c r="K950" s="28"/>
      <c r="L950" s="28"/>
      <c r="M950" s="28"/>
      <c r="N950" s="28"/>
      <c r="O950" s="28"/>
      <c r="P950" s="28"/>
      <c r="AK950" s="79"/>
      <c r="AL950" s="28"/>
      <c r="AM950" s="28"/>
      <c r="AN950" s="28"/>
      <c r="AO950" s="28"/>
      <c r="AP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row>
    <row r="951" spans="2:80" ht="11.25" customHeight="1">
      <c r="C951" s="43" t="s">
        <v>93</v>
      </c>
      <c r="E951" s="33">
        <f>+AZ951</f>
        <v>0</v>
      </c>
      <c r="F951" s="33">
        <f>+BA951-AZ951</f>
        <v>-1</v>
      </c>
      <c r="G951" s="33">
        <f>+BB951-BA951</f>
        <v>0</v>
      </c>
      <c r="H951" s="33">
        <f>+BC951-BB951</f>
        <v>-3</v>
      </c>
      <c r="I951" s="33">
        <f>+BD951</f>
        <v>-2</v>
      </c>
      <c r="J951" s="33">
        <f>+BE951-BD951</f>
        <v>1</v>
      </c>
      <c r="K951" s="33">
        <f>+BF951-BE951</f>
        <v>2</v>
      </c>
      <c r="L951" s="33">
        <f>+BG951-BF951</f>
        <v>1</v>
      </c>
      <c r="M951" s="33">
        <f>+BH951</f>
        <v>0</v>
      </c>
      <c r="N951" s="33">
        <f>+BI951-BH951</f>
        <v>-4</v>
      </c>
      <c r="O951" s="33">
        <f>+BJ951-BI951</f>
        <v>0</v>
      </c>
      <c r="P951" s="33">
        <f>+BK951-BJ951</f>
        <v>-1</v>
      </c>
      <c r="Q951" s="33">
        <f>+BL951</f>
        <v>-3</v>
      </c>
      <c r="R951" s="33">
        <f>+BM951-BL951</f>
        <v>2</v>
      </c>
      <c r="S951" s="33">
        <f>+BN951-BM951</f>
        <v>-4</v>
      </c>
      <c r="T951" s="33">
        <f>+BO951-BN951</f>
        <v>2</v>
      </c>
      <c r="U951" s="33">
        <f>+BP951</f>
        <v>-2</v>
      </c>
      <c r="V951" s="33">
        <f>+BQ951-BP951</f>
        <v>2</v>
      </c>
      <c r="W951" s="33">
        <f>+BR951-BQ951</f>
        <v>1</v>
      </c>
      <c r="X951" s="33">
        <f>+BS951-BR951</f>
        <v>2</v>
      </c>
      <c r="Y951" s="33">
        <f>+BT951</f>
        <v>-4</v>
      </c>
      <c r="Z951" s="33">
        <f>+BU951-BT951</f>
        <v>-1</v>
      </c>
      <c r="AA951" s="33">
        <f>+BV951-BU951</f>
        <v>0</v>
      </c>
      <c r="AB951" s="33">
        <f>+BW951-BV951</f>
        <v>0</v>
      </c>
      <c r="AC951" s="33">
        <f>+BX951</f>
        <v>-1</v>
      </c>
      <c r="AD951" s="33">
        <f>+BY951-BX951</f>
        <v>-10</v>
      </c>
      <c r="AE951" s="33">
        <f>+BZ951-BY951</f>
        <v>-5</v>
      </c>
      <c r="AF951" s="33">
        <f>+CA951-BZ951</f>
        <v>4</v>
      </c>
      <c r="AG951" s="33">
        <f>+CB951</f>
        <v>3</v>
      </c>
      <c r="AH951" s="28">
        <v>0</v>
      </c>
      <c r="AI951" s="28">
        <v>0</v>
      </c>
      <c r="AJ951" s="28">
        <v>0</v>
      </c>
      <c r="AK951" s="79"/>
      <c r="AL951" s="29">
        <v>-4</v>
      </c>
      <c r="AM951" s="29">
        <v>-8</v>
      </c>
      <c r="AN951" s="33">
        <f>SUMIF($E$6:$AK$6,AN$6,$E951:$AK951)</f>
        <v>-4</v>
      </c>
      <c r="AO951" s="33">
        <f t="shared" ref="AO951:AU951" si="2168">SUMIF($E$6:$AK$6,AO$6,$E951:$AK951)</f>
        <v>2</v>
      </c>
      <c r="AP951" s="33">
        <f t="shared" si="2168"/>
        <v>-5</v>
      </c>
      <c r="AQ951" s="33">
        <f t="shared" si="2168"/>
        <v>-3</v>
      </c>
      <c r="AR951" s="33">
        <f t="shared" si="2168"/>
        <v>3</v>
      </c>
      <c r="AS951" s="28">
        <f t="shared" si="2168"/>
        <v>-5</v>
      </c>
      <c r="AT951" s="28">
        <f t="shared" si="2168"/>
        <v>-12</v>
      </c>
      <c r="AU951" s="28">
        <f t="shared" si="2168"/>
        <v>3</v>
      </c>
      <c r="AV951" s="28">
        <v>0</v>
      </c>
      <c r="AW951" s="28">
        <v>0</v>
      </c>
      <c r="AX951" s="28">
        <v>0</v>
      </c>
      <c r="AZ951" s="29">
        <v>0</v>
      </c>
      <c r="BA951" s="29">
        <v>-1</v>
      </c>
      <c r="BB951" s="29">
        <v>-1</v>
      </c>
      <c r="BC951" s="29">
        <v>-4</v>
      </c>
      <c r="BD951" s="29">
        <v>-2</v>
      </c>
      <c r="BE951" s="29">
        <v>-1</v>
      </c>
      <c r="BF951" s="29">
        <v>1</v>
      </c>
      <c r="BG951" s="29">
        <v>2</v>
      </c>
      <c r="BH951" s="29">
        <v>0</v>
      </c>
      <c r="BI951" s="29">
        <v>-4</v>
      </c>
      <c r="BJ951" s="29">
        <v>-4</v>
      </c>
      <c r="BK951" s="29">
        <v>-5</v>
      </c>
      <c r="BL951" s="29">
        <v>-3</v>
      </c>
      <c r="BM951" s="29">
        <v>-1</v>
      </c>
      <c r="BN951" s="29">
        <v>-5</v>
      </c>
      <c r="BO951" s="29">
        <v>-3</v>
      </c>
      <c r="BP951" s="29">
        <v>-2</v>
      </c>
      <c r="BQ951" s="29">
        <v>0</v>
      </c>
      <c r="BR951" s="29">
        <v>1</v>
      </c>
      <c r="BS951" s="29">
        <v>3</v>
      </c>
      <c r="BT951" s="29">
        <v>-4</v>
      </c>
      <c r="BU951" s="29">
        <v>-5</v>
      </c>
      <c r="BV951" s="29">
        <v>-5</v>
      </c>
      <c r="BW951" s="29">
        <v>-5</v>
      </c>
      <c r="BX951" s="29">
        <v>-1</v>
      </c>
      <c r="BY951" s="29">
        <v>-11</v>
      </c>
      <c r="BZ951" s="29">
        <v>-16</v>
      </c>
      <c r="CA951" s="29">
        <v>-12</v>
      </c>
      <c r="CB951" s="29">
        <v>3</v>
      </c>
    </row>
    <row r="952" spans="2:80" s="27" customFormat="1" ht="11.25" customHeight="1">
      <c r="C952" s="45" t="s">
        <v>94</v>
      </c>
      <c r="E952" s="35">
        <f t="shared" ref="E952:AF952" si="2169">+E932+E939+E949+E951</f>
        <v>-91</v>
      </c>
      <c r="F952" s="35">
        <f t="shared" si="2169"/>
        <v>38</v>
      </c>
      <c r="G952" s="35">
        <f t="shared" si="2169"/>
        <v>-33</v>
      </c>
      <c r="H952" s="35">
        <f t="shared" si="2169"/>
        <v>-26</v>
      </c>
      <c r="I952" s="35">
        <f t="shared" si="2169"/>
        <v>16</v>
      </c>
      <c r="J952" s="35">
        <f t="shared" si="2169"/>
        <v>25</v>
      </c>
      <c r="K952" s="35">
        <f t="shared" si="2169"/>
        <v>-27</v>
      </c>
      <c r="L952" s="35">
        <f t="shared" si="2169"/>
        <v>-4</v>
      </c>
      <c r="M952" s="35">
        <f t="shared" si="2169"/>
        <v>3</v>
      </c>
      <c r="N952" s="35">
        <f t="shared" si="2169"/>
        <v>-1</v>
      </c>
      <c r="O952" s="35">
        <f t="shared" si="2169"/>
        <v>0</v>
      </c>
      <c r="P952" s="35">
        <f t="shared" si="2169"/>
        <v>33</v>
      </c>
      <c r="Q952" s="35">
        <f t="shared" si="2169"/>
        <v>-31</v>
      </c>
      <c r="R952" s="35">
        <f t="shared" si="2169"/>
        <v>-9</v>
      </c>
      <c r="S952" s="35">
        <f t="shared" si="2169"/>
        <v>21</v>
      </c>
      <c r="T952" s="35">
        <f t="shared" si="2169"/>
        <v>-3</v>
      </c>
      <c r="U952" s="35">
        <f t="shared" si="2169"/>
        <v>476</v>
      </c>
      <c r="V952" s="35">
        <f t="shared" si="2169"/>
        <v>24</v>
      </c>
      <c r="W952" s="35">
        <f t="shared" si="2169"/>
        <v>-54</v>
      </c>
      <c r="X952" s="35">
        <f t="shared" si="2169"/>
        <v>-86</v>
      </c>
      <c r="Y952" s="35">
        <f t="shared" si="2169"/>
        <v>-24</v>
      </c>
      <c r="Z952" s="35">
        <f t="shared" si="2169"/>
        <v>69</v>
      </c>
      <c r="AA952" s="35">
        <f t="shared" si="2169"/>
        <v>108</v>
      </c>
      <c r="AB952" s="35">
        <f t="shared" si="2169"/>
        <v>-258</v>
      </c>
      <c r="AC952" s="35">
        <f t="shared" si="2169"/>
        <v>28</v>
      </c>
      <c r="AD952" s="35">
        <f t="shared" si="2169"/>
        <v>-31</v>
      </c>
      <c r="AE952" s="35">
        <f t="shared" si="2169"/>
        <v>5</v>
      </c>
      <c r="AF952" s="35">
        <f t="shared" si="2169"/>
        <v>32</v>
      </c>
      <c r="AG952" s="35">
        <f t="shared" ref="AG952" si="2170">+AG932+AG939+AG949+AG951</f>
        <v>106</v>
      </c>
      <c r="AH952" s="35">
        <f ca="1">+AH932+AH939+AH949+AH951</f>
        <v>-407.17426818226238</v>
      </c>
      <c r="AI952" s="35">
        <f ca="1">+AI932+AI939+AI949+AI951</f>
        <v>104.29713256371757</v>
      </c>
      <c r="AJ952" s="35">
        <f ca="1">+AJ932+AJ939+AJ949+AJ951</f>
        <v>41.850746295999372</v>
      </c>
      <c r="AK952" s="79"/>
      <c r="AL952" s="35">
        <f t="shared" ref="AL952:AT952" si="2171">+AL932+AL939+AL949+AL951</f>
        <v>-23</v>
      </c>
      <c r="AM952" s="35">
        <f t="shared" si="2171"/>
        <v>79</v>
      </c>
      <c r="AN952" s="35">
        <f t="shared" si="2171"/>
        <v>-112</v>
      </c>
      <c r="AO952" s="35">
        <f t="shared" si="2171"/>
        <v>10</v>
      </c>
      <c r="AP952" s="35">
        <f t="shared" si="2171"/>
        <v>35</v>
      </c>
      <c r="AQ952" s="35">
        <f t="shared" si="2171"/>
        <v>-22</v>
      </c>
      <c r="AR952" s="35">
        <f t="shared" si="2171"/>
        <v>360</v>
      </c>
      <c r="AS952" s="35">
        <f t="shared" si="2171"/>
        <v>-105</v>
      </c>
      <c r="AT952" s="35">
        <f t="shared" si="2171"/>
        <v>34</v>
      </c>
      <c r="AU952" s="35">
        <f ca="1">+AU932+AU939+AU949+AU951</f>
        <v>-155.02638932254536</v>
      </c>
      <c r="AV952" s="35">
        <f ca="1">+AV932+AV939+AV949+AV951</f>
        <v>110.62688585150659</v>
      </c>
      <c r="AW952" s="35">
        <f ca="1">+AW932+AW939+AW949+AW951</f>
        <v>-337.89689572002294</v>
      </c>
      <c r="AX952" s="35">
        <f ca="1">+AX932+AX939+AX949+AX951</f>
        <v>79.47252275830192</v>
      </c>
      <c r="AY952" s="1"/>
      <c r="AZ952" s="35">
        <f t="shared" ref="AZ952:CB952" si="2172">+AZ932+AZ939+AZ949+AZ951</f>
        <v>-91</v>
      </c>
      <c r="BA952" s="35">
        <f t="shared" si="2172"/>
        <v>-53</v>
      </c>
      <c r="BB952" s="35">
        <f t="shared" si="2172"/>
        <v>-86</v>
      </c>
      <c r="BC952" s="35">
        <f t="shared" si="2172"/>
        <v>-112</v>
      </c>
      <c r="BD952" s="35">
        <f t="shared" si="2172"/>
        <v>16</v>
      </c>
      <c r="BE952" s="35">
        <f t="shared" si="2172"/>
        <v>41</v>
      </c>
      <c r="BF952" s="35">
        <f t="shared" si="2172"/>
        <v>14</v>
      </c>
      <c r="BG952" s="35">
        <f t="shared" si="2172"/>
        <v>10</v>
      </c>
      <c r="BH952" s="35">
        <f t="shared" si="2172"/>
        <v>3</v>
      </c>
      <c r="BI952" s="35">
        <f t="shared" si="2172"/>
        <v>2</v>
      </c>
      <c r="BJ952" s="35">
        <f t="shared" si="2172"/>
        <v>2</v>
      </c>
      <c r="BK952" s="35">
        <f t="shared" si="2172"/>
        <v>35</v>
      </c>
      <c r="BL952" s="35">
        <f t="shared" si="2172"/>
        <v>-31</v>
      </c>
      <c r="BM952" s="35">
        <f t="shared" si="2172"/>
        <v>-40</v>
      </c>
      <c r="BN952" s="35">
        <f t="shared" si="2172"/>
        <v>-19</v>
      </c>
      <c r="BO952" s="35">
        <f t="shared" si="2172"/>
        <v>-22</v>
      </c>
      <c r="BP952" s="35">
        <f t="shared" si="2172"/>
        <v>476</v>
      </c>
      <c r="BQ952" s="35">
        <f t="shared" si="2172"/>
        <v>500</v>
      </c>
      <c r="BR952" s="35">
        <f t="shared" si="2172"/>
        <v>446</v>
      </c>
      <c r="BS952" s="35">
        <f t="shared" si="2172"/>
        <v>360</v>
      </c>
      <c r="BT952" s="35">
        <f t="shared" si="2172"/>
        <v>-24</v>
      </c>
      <c r="BU952" s="35">
        <f t="shared" si="2172"/>
        <v>45</v>
      </c>
      <c r="BV952" s="35">
        <f t="shared" si="2172"/>
        <v>153</v>
      </c>
      <c r="BW952" s="35">
        <f t="shared" si="2172"/>
        <v>-105</v>
      </c>
      <c r="BX952" s="35">
        <f t="shared" si="2172"/>
        <v>28</v>
      </c>
      <c r="BY952" s="35">
        <f t="shared" si="2172"/>
        <v>-3</v>
      </c>
      <c r="BZ952" s="35">
        <f t="shared" si="2172"/>
        <v>2</v>
      </c>
      <c r="CA952" s="35">
        <f t="shared" si="2172"/>
        <v>34</v>
      </c>
      <c r="CB952" s="35">
        <f t="shared" si="2172"/>
        <v>106</v>
      </c>
    </row>
    <row r="953" spans="2:80" ht="11.25" customHeight="1">
      <c r="C953" s="25"/>
      <c r="E953" s="28"/>
      <c r="F953" s="28"/>
      <c r="G953" s="28"/>
      <c r="H953" s="28"/>
      <c r="I953" s="28"/>
      <c r="J953" s="28"/>
      <c r="K953" s="28"/>
      <c r="L953" s="28"/>
      <c r="M953" s="28"/>
      <c r="N953" s="28"/>
      <c r="O953" s="28"/>
      <c r="P953" s="28"/>
      <c r="AK953" s="79"/>
      <c r="AL953" s="28"/>
      <c r="AM953" s="28"/>
      <c r="AN953" s="28"/>
      <c r="AO953" s="28"/>
      <c r="AP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row>
    <row r="954" spans="2:80" ht="11.25" customHeight="1">
      <c r="C954" s="43" t="s">
        <v>95</v>
      </c>
      <c r="E954" s="33">
        <f>+AZ954</f>
        <v>293</v>
      </c>
      <c r="F954" s="33">
        <f>+E955</f>
        <v>202</v>
      </c>
      <c r="G954" s="33">
        <f>+F955</f>
        <v>240</v>
      </c>
      <c r="H954" s="33">
        <f>+G955</f>
        <v>207</v>
      </c>
      <c r="I954" s="33">
        <f>+BD954</f>
        <v>181</v>
      </c>
      <c r="J954" s="33">
        <f t="shared" ref="J954:T954" si="2173">+I955</f>
        <v>197</v>
      </c>
      <c r="K954" s="33">
        <f t="shared" si="2173"/>
        <v>222</v>
      </c>
      <c r="L954" s="33">
        <f t="shared" si="2173"/>
        <v>195</v>
      </c>
      <c r="M954" s="33">
        <f>+BH954</f>
        <v>191</v>
      </c>
      <c r="N954" s="33">
        <f>+M955</f>
        <v>194</v>
      </c>
      <c r="O954" s="33">
        <f t="shared" si="2173"/>
        <v>193</v>
      </c>
      <c r="P954" s="33">
        <f t="shared" si="2173"/>
        <v>193</v>
      </c>
      <c r="Q954" s="33">
        <f t="shared" si="2173"/>
        <v>226</v>
      </c>
      <c r="R954" s="33">
        <f t="shared" si="2173"/>
        <v>195</v>
      </c>
      <c r="S954" s="33">
        <f t="shared" si="2173"/>
        <v>186</v>
      </c>
      <c r="T954" s="33">
        <f t="shared" si="2173"/>
        <v>207</v>
      </c>
      <c r="U954" s="33">
        <f t="shared" ref="U954:AG954" si="2174">+T955</f>
        <v>204</v>
      </c>
      <c r="V954" s="33">
        <f t="shared" si="2174"/>
        <v>680</v>
      </c>
      <c r="W954" s="33">
        <f t="shared" si="2174"/>
        <v>704</v>
      </c>
      <c r="X954" s="33">
        <f t="shared" si="2174"/>
        <v>650</v>
      </c>
      <c r="Y954" s="33">
        <f t="shared" si="2174"/>
        <v>564</v>
      </c>
      <c r="Z954" s="33">
        <f t="shared" si="2174"/>
        <v>540</v>
      </c>
      <c r="AA954" s="33">
        <f t="shared" si="2174"/>
        <v>609</v>
      </c>
      <c r="AB954" s="33">
        <f t="shared" si="2174"/>
        <v>717</v>
      </c>
      <c r="AC954" s="33">
        <f t="shared" si="2174"/>
        <v>459</v>
      </c>
      <c r="AD954" s="33">
        <f t="shared" ref="AD954" si="2175">+AC955</f>
        <v>487</v>
      </c>
      <c r="AE954" s="33">
        <f t="shared" ref="AE954" si="2176">+AD955</f>
        <v>456</v>
      </c>
      <c r="AF954" s="33">
        <f t="shared" ref="AF954" si="2177">+AE955</f>
        <v>461</v>
      </c>
      <c r="AG954" s="33">
        <f t="shared" si="2174"/>
        <v>493</v>
      </c>
      <c r="AH954" s="33">
        <f>+AG955</f>
        <v>599</v>
      </c>
      <c r="AI954" s="33">
        <f ca="1">+AH955</f>
        <v>191.82573181773762</v>
      </c>
      <c r="AJ954" s="33">
        <f ca="1">+AI955</f>
        <v>296.1228643814552</v>
      </c>
      <c r="AK954" s="79"/>
      <c r="AL954" s="29">
        <v>237</v>
      </c>
      <c r="AM954" s="33">
        <f t="shared" ref="AM954:AU954" si="2178">+AL955</f>
        <v>214</v>
      </c>
      <c r="AN954" s="33">
        <f t="shared" si="2178"/>
        <v>293</v>
      </c>
      <c r="AO954" s="33">
        <f t="shared" si="2178"/>
        <v>181</v>
      </c>
      <c r="AP954" s="33">
        <f t="shared" si="2178"/>
        <v>191</v>
      </c>
      <c r="AQ954" s="33">
        <f t="shared" si="2178"/>
        <v>226</v>
      </c>
      <c r="AR954" s="33">
        <f t="shared" si="2178"/>
        <v>204</v>
      </c>
      <c r="AS954" s="33">
        <f t="shared" si="2178"/>
        <v>564</v>
      </c>
      <c r="AT954" s="33">
        <f t="shared" si="2178"/>
        <v>459</v>
      </c>
      <c r="AU954" s="33">
        <f t="shared" si="2178"/>
        <v>493</v>
      </c>
      <c r="AV954" s="33">
        <f ca="1">+AU955</f>
        <v>337.97361067745464</v>
      </c>
      <c r="AW954" s="33">
        <f ca="1">+AV955</f>
        <v>448.60049652896123</v>
      </c>
      <c r="AX954" s="33">
        <f ca="1">+AW955</f>
        <v>110.70360080893829</v>
      </c>
      <c r="AZ954" s="29">
        <v>293</v>
      </c>
      <c r="BA954" s="29">
        <v>293</v>
      </c>
      <c r="BB954" s="29">
        <v>293</v>
      </c>
      <c r="BC954" s="29">
        <v>293</v>
      </c>
      <c r="BD954" s="29">
        <v>181</v>
      </c>
      <c r="BE954" s="29">
        <v>181</v>
      </c>
      <c r="BF954" s="29">
        <v>181</v>
      </c>
      <c r="BG954" s="29">
        <v>181</v>
      </c>
      <c r="BH954" s="29">
        <v>191</v>
      </c>
      <c r="BI954" s="29">
        <v>191</v>
      </c>
      <c r="BJ954" s="29">
        <v>191</v>
      </c>
      <c r="BK954" s="29">
        <v>191</v>
      </c>
      <c r="BL954" s="29">
        <v>226</v>
      </c>
      <c r="BM954" s="29">
        <v>226</v>
      </c>
      <c r="BN954" s="29">
        <v>226</v>
      </c>
      <c r="BO954" s="29">
        <v>226</v>
      </c>
      <c r="BP954" s="33">
        <f>BO955</f>
        <v>204</v>
      </c>
      <c r="BQ954" s="133">
        <f>BP954</f>
        <v>204</v>
      </c>
      <c r="BR954" s="133">
        <f>BQ954</f>
        <v>204</v>
      </c>
      <c r="BS954" s="133">
        <f>BR954</f>
        <v>204</v>
      </c>
      <c r="BT954" s="33">
        <f>BS955</f>
        <v>564</v>
      </c>
      <c r="BU954" s="133">
        <f>BT954</f>
        <v>564</v>
      </c>
      <c r="BV954" s="133">
        <f>BU954</f>
        <v>564</v>
      </c>
      <c r="BW954" s="133">
        <f>BV954</f>
        <v>564</v>
      </c>
      <c r="BX954" s="29">
        <v>459</v>
      </c>
      <c r="BY954" s="29">
        <v>459</v>
      </c>
      <c r="BZ954" s="29">
        <v>459</v>
      </c>
      <c r="CA954" s="29">
        <v>459</v>
      </c>
      <c r="CB954" s="29">
        <f>CA955</f>
        <v>493</v>
      </c>
    </row>
    <row r="955" spans="2:80" ht="11.25" customHeight="1">
      <c r="C955" s="45" t="s">
        <v>96</v>
      </c>
      <c r="E955" s="31">
        <f t="shared" ref="E955:AC955" si="2179">+E954+E952</f>
        <v>202</v>
      </c>
      <c r="F955" s="31">
        <f t="shared" si="2179"/>
        <v>240</v>
      </c>
      <c r="G955" s="31">
        <f t="shared" si="2179"/>
        <v>207</v>
      </c>
      <c r="H955" s="31">
        <f t="shared" si="2179"/>
        <v>181</v>
      </c>
      <c r="I955" s="31">
        <f t="shared" si="2179"/>
        <v>197</v>
      </c>
      <c r="J955" s="31">
        <f t="shared" si="2179"/>
        <v>222</v>
      </c>
      <c r="K955" s="31">
        <f t="shared" si="2179"/>
        <v>195</v>
      </c>
      <c r="L955" s="31">
        <f t="shared" si="2179"/>
        <v>191</v>
      </c>
      <c r="M955" s="31">
        <f t="shared" si="2179"/>
        <v>194</v>
      </c>
      <c r="N955" s="31">
        <f t="shared" si="2179"/>
        <v>193</v>
      </c>
      <c r="O955" s="31">
        <f t="shared" si="2179"/>
        <v>193</v>
      </c>
      <c r="P955" s="31">
        <f t="shared" si="2179"/>
        <v>226</v>
      </c>
      <c r="Q955" s="31">
        <f t="shared" si="2179"/>
        <v>195</v>
      </c>
      <c r="R955" s="31">
        <f t="shared" si="2179"/>
        <v>186</v>
      </c>
      <c r="S955" s="31">
        <f t="shared" si="2179"/>
        <v>207</v>
      </c>
      <c r="T955" s="31">
        <f t="shared" si="2179"/>
        <v>204</v>
      </c>
      <c r="U955" s="31">
        <f t="shared" si="2179"/>
        <v>680</v>
      </c>
      <c r="V955" s="31">
        <f t="shared" si="2179"/>
        <v>704</v>
      </c>
      <c r="W955" s="31">
        <f t="shared" si="2179"/>
        <v>650</v>
      </c>
      <c r="X955" s="31">
        <f t="shared" si="2179"/>
        <v>564</v>
      </c>
      <c r="Y955" s="31">
        <f t="shared" si="2179"/>
        <v>540</v>
      </c>
      <c r="Z955" s="31">
        <f t="shared" si="2179"/>
        <v>609</v>
      </c>
      <c r="AA955" s="31">
        <f t="shared" si="2179"/>
        <v>717</v>
      </c>
      <c r="AB955" s="31">
        <f t="shared" si="2179"/>
        <v>459</v>
      </c>
      <c r="AC955" s="31">
        <f t="shared" si="2179"/>
        <v>487</v>
      </c>
      <c r="AD955" s="31">
        <f t="shared" ref="AD955:AG955" si="2180">+AD954+AD952</f>
        <v>456</v>
      </c>
      <c r="AE955" s="31">
        <f t="shared" si="2180"/>
        <v>461</v>
      </c>
      <c r="AF955" s="31">
        <f t="shared" si="2180"/>
        <v>493</v>
      </c>
      <c r="AG955" s="31">
        <f t="shared" si="2180"/>
        <v>599</v>
      </c>
      <c r="AH955" s="31">
        <f ca="1">+AH954+AH952</f>
        <v>191.82573181773762</v>
      </c>
      <c r="AI955" s="31">
        <f ca="1">+AI954+AI952</f>
        <v>296.1228643814552</v>
      </c>
      <c r="AJ955" s="31">
        <f ca="1">+AJ954+AJ952</f>
        <v>337.97361067745459</v>
      </c>
      <c r="AK955" s="79"/>
      <c r="AL955" s="31">
        <f t="shared" ref="AL955:AT955" si="2181">+AL954+AL952</f>
        <v>214</v>
      </c>
      <c r="AM955" s="31">
        <f t="shared" si="2181"/>
        <v>293</v>
      </c>
      <c r="AN955" s="31">
        <f t="shared" si="2181"/>
        <v>181</v>
      </c>
      <c r="AO955" s="31">
        <f t="shared" si="2181"/>
        <v>191</v>
      </c>
      <c r="AP955" s="31">
        <f t="shared" si="2181"/>
        <v>226</v>
      </c>
      <c r="AQ955" s="31">
        <f t="shared" si="2181"/>
        <v>204</v>
      </c>
      <c r="AR955" s="31">
        <f t="shared" si="2181"/>
        <v>564</v>
      </c>
      <c r="AS955" s="31">
        <f t="shared" si="2181"/>
        <v>459</v>
      </c>
      <c r="AT955" s="31">
        <f t="shared" si="2181"/>
        <v>493</v>
      </c>
      <c r="AU955" s="31">
        <f ca="1">+AU954+AU952</f>
        <v>337.97361067745464</v>
      </c>
      <c r="AV955" s="31">
        <f ca="1">+AV954+AV952</f>
        <v>448.60049652896123</v>
      </c>
      <c r="AW955" s="31">
        <f ca="1">+AW954+AW952</f>
        <v>110.70360080893829</v>
      </c>
      <c r="AX955" s="31">
        <f ca="1">+AX954+AX952</f>
        <v>190.17612356724021</v>
      </c>
      <c r="AZ955" s="33">
        <f t="shared" ref="AZ955:BI955" si="2182">+AZ954+AZ952</f>
        <v>202</v>
      </c>
      <c r="BA955" s="33">
        <f t="shared" si="2182"/>
        <v>240</v>
      </c>
      <c r="BB955" s="33">
        <f t="shared" si="2182"/>
        <v>207</v>
      </c>
      <c r="BC955" s="33">
        <f t="shared" si="2182"/>
        <v>181</v>
      </c>
      <c r="BD955" s="33">
        <f t="shared" si="2182"/>
        <v>197</v>
      </c>
      <c r="BE955" s="33">
        <f t="shared" si="2182"/>
        <v>222</v>
      </c>
      <c r="BF955" s="33">
        <f t="shared" si="2182"/>
        <v>195</v>
      </c>
      <c r="BG955" s="33">
        <f t="shared" si="2182"/>
        <v>191</v>
      </c>
      <c r="BH955" s="33">
        <f t="shared" si="2182"/>
        <v>194</v>
      </c>
      <c r="BI955" s="33">
        <f t="shared" si="2182"/>
        <v>193</v>
      </c>
      <c r="BJ955" s="33">
        <f t="shared" ref="BJ955:BO955" si="2183">+BJ954+BJ952</f>
        <v>193</v>
      </c>
      <c r="BK955" s="33">
        <f t="shared" si="2183"/>
        <v>226</v>
      </c>
      <c r="BL955" s="33">
        <f t="shared" si="2183"/>
        <v>195</v>
      </c>
      <c r="BM955" s="33">
        <f t="shared" si="2183"/>
        <v>186</v>
      </c>
      <c r="BN955" s="33">
        <f t="shared" si="2183"/>
        <v>207</v>
      </c>
      <c r="BO955" s="33">
        <f t="shared" si="2183"/>
        <v>204</v>
      </c>
      <c r="BP955" s="33">
        <f t="shared" ref="BP955:BW955" si="2184">+BP954+BP952</f>
        <v>680</v>
      </c>
      <c r="BQ955" s="33">
        <f t="shared" si="2184"/>
        <v>704</v>
      </c>
      <c r="BR955" s="33">
        <f t="shared" si="2184"/>
        <v>650</v>
      </c>
      <c r="BS955" s="33">
        <f t="shared" si="2184"/>
        <v>564</v>
      </c>
      <c r="BT955" s="33">
        <f t="shared" si="2184"/>
        <v>540</v>
      </c>
      <c r="BU955" s="33">
        <f t="shared" si="2184"/>
        <v>609</v>
      </c>
      <c r="BV955" s="33">
        <f t="shared" si="2184"/>
        <v>717</v>
      </c>
      <c r="BW955" s="33">
        <f t="shared" si="2184"/>
        <v>459</v>
      </c>
      <c r="BX955" s="33">
        <f>+BX954+BX952</f>
        <v>487</v>
      </c>
      <c r="BY955" s="33">
        <f>+BY954+BY952</f>
        <v>456</v>
      </c>
      <c r="BZ955" s="33">
        <f>+BZ954+BZ952</f>
        <v>461</v>
      </c>
      <c r="CA955" s="33">
        <f>+CA954+CA952</f>
        <v>493</v>
      </c>
      <c r="CB955" s="33">
        <f>+CB954+CB952</f>
        <v>599</v>
      </c>
    </row>
    <row r="956" spans="2:80" ht="5.2" customHeight="1">
      <c r="C956" s="25"/>
      <c r="E956" s="33"/>
      <c r="F956" s="33"/>
      <c r="G956" s="33"/>
      <c r="H956" s="33"/>
      <c r="I956" s="33"/>
      <c r="J956" s="33"/>
      <c r="K956" s="33"/>
      <c r="L956" s="33"/>
      <c r="M956" s="33"/>
      <c r="N956" s="33"/>
      <c r="O956" s="33"/>
      <c r="P956" s="33"/>
      <c r="AK956" s="79"/>
      <c r="AL956" s="33"/>
      <c r="AM956" s="33"/>
      <c r="AN956" s="33"/>
      <c r="AO956" s="33"/>
      <c r="AP956" s="33"/>
      <c r="AZ956" s="33"/>
      <c r="BA956" s="33"/>
      <c r="BB956" s="33"/>
      <c r="BC956" s="33"/>
      <c r="BD956" s="33"/>
      <c r="BE956" s="33"/>
      <c r="BF956" s="33"/>
      <c r="BG956" s="33"/>
      <c r="BH956" s="33"/>
      <c r="BI956" s="33"/>
      <c r="BJ956" s="33"/>
      <c r="BK956" s="33"/>
    </row>
    <row r="957" spans="2:80" ht="11.25" customHeight="1" outlineLevel="1">
      <c r="C957" s="55" t="s">
        <v>68</v>
      </c>
      <c r="E957" s="42">
        <f t="shared" ref="E957:AJ957" si="2185">ROUND(E955-E738,1)</f>
        <v>0</v>
      </c>
      <c r="F957" s="42">
        <f t="shared" si="2185"/>
        <v>0</v>
      </c>
      <c r="G957" s="42">
        <f t="shared" si="2185"/>
        <v>0</v>
      </c>
      <c r="H957" s="42">
        <f t="shared" si="2185"/>
        <v>0</v>
      </c>
      <c r="I957" s="42">
        <f t="shared" si="2185"/>
        <v>0</v>
      </c>
      <c r="J957" s="42">
        <f t="shared" si="2185"/>
        <v>0</v>
      </c>
      <c r="K957" s="42">
        <f t="shared" si="2185"/>
        <v>0</v>
      </c>
      <c r="L957" s="42">
        <f t="shared" si="2185"/>
        <v>0</v>
      </c>
      <c r="M957" s="42">
        <f t="shared" si="2185"/>
        <v>0</v>
      </c>
      <c r="N957" s="42">
        <f t="shared" si="2185"/>
        <v>0</v>
      </c>
      <c r="O957" s="42">
        <f t="shared" si="2185"/>
        <v>0</v>
      </c>
      <c r="P957" s="42">
        <f t="shared" si="2185"/>
        <v>0</v>
      </c>
      <c r="Q957" s="42">
        <f t="shared" si="2185"/>
        <v>0</v>
      </c>
      <c r="R957" s="42">
        <f t="shared" si="2185"/>
        <v>0</v>
      </c>
      <c r="S957" s="42">
        <f t="shared" si="2185"/>
        <v>0</v>
      </c>
      <c r="T957" s="42">
        <f t="shared" si="2185"/>
        <v>0</v>
      </c>
      <c r="U957" s="42">
        <f t="shared" si="2185"/>
        <v>0</v>
      </c>
      <c r="V957" s="42">
        <f t="shared" si="2185"/>
        <v>0</v>
      </c>
      <c r="W957" s="42">
        <f t="shared" si="2185"/>
        <v>0</v>
      </c>
      <c r="X957" s="42">
        <f t="shared" si="2185"/>
        <v>0</v>
      </c>
      <c r="Y957" s="42">
        <f t="shared" si="2185"/>
        <v>0</v>
      </c>
      <c r="Z957" s="42">
        <f t="shared" si="2185"/>
        <v>0</v>
      </c>
      <c r="AA957" s="42">
        <f t="shared" si="2185"/>
        <v>0</v>
      </c>
      <c r="AB957" s="42">
        <f t="shared" si="2185"/>
        <v>0</v>
      </c>
      <c r="AC957" s="42">
        <f t="shared" si="2185"/>
        <v>0</v>
      </c>
      <c r="AD957" s="42">
        <f t="shared" si="2185"/>
        <v>0</v>
      </c>
      <c r="AE957" s="42">
        <f t="shared" si="2185"/>
        <v>0</v>
      </c>
      <c r="AF957" s="42">
        <f t="shared" si="2185"/>
        <v>0</v>
      </c>
      <c r="AG957" s="42">
        <f t="shared" ref="AG957" si="2186">ROUND(AG955-AG738,1)</f>
        <v>0</v>
      </c>
      <c r="AH957" s="42">
        <f t="shared" ca="1" si="2185"/>
        <v>0</v>
      </c>
      <c r="AI957" s="42">
        <f t="shared" ca="1" si="2185"/>
        <v>0</v>
      </c>
      <c r="AJ957" s="42">
        <f t="shared" ca="1" si="2185"/>
        <v>0</v>
      </c>
      <c r="AK957" s="79"/>
      <c r="AL957" s="42">
        <f t="shared" ref="AL957:AX957" si="2187">ROUND(AL955-AL738,1)</f>
        <v>0</v>
      </c>
      <c r="AM957" s="42">
        <f t="shared" si="2187"/>
        <v>0</v>
      </c>
      <c r="AN957" s="42">
        <f t="shared" si="2187"/>
        <v>0</v>
      </c>
      <c r="AO957" s="42">
        <f t="shared" si="2187"/>
        <v>0</v>
      </c>
      <c r="AP957" s="42">
        <f t="shared" si="2187"/>
        <v>0</v>
      </c>
      <c r="AQ957" s="42">
        <f t="shared" si="2187"/>
        <v>0</v>
      </c>
      <c r="AR957" s="42">
        <f t="shared" si="2187"/>
        <v>0</v>
      </c>
      <c r="AS957" s="42">
        <f t="shared" si="2187"/>
        <v>0</v>
      </c>
      <c r="AT957" s="42">
        <f t="shared" si="2187"/>
        <v>0</v>
      </c>
      <c r="AU957" s="42">
        <f t="shared" ca="1" si="2187"/>
        <v>0</v>
      </c>
      <c r="AV957" s="42">
        <f t="shared" ca="1" si="2187"/>
        <v>0</v>
      </c>
      <c r="AW957" s="42">
        <f t="shared" ca="1" si="2187"/>
        <v>0</v>
      </c>
      <c r="AX957" s="42">
        <f t="shared" ca="1" si="2187"/>
        <v>0</v>
      </c>
      <c r="BP957" s="28"/>
      <c r="BQ957" s="28"/>
      <c r="BR957" s="28"/>
      <c r="BS957" s="28"/>
      <c r="BT957" s="28"/>
      <c r="BU957" s="28"/>
      <c r="BV957" s="28"/>
      <c r="BW957" s="28"/>
      <c r="BX957" s="28"/>
      <c r="BY957" s="28"/>
      <c r="BZ957" s="28"/>
      <c r="CA957" s="28"/>
    </row>
    <row r="958" spans="2:80" ht="5.2" customHeight="1" outlineLevel="1">
      <c r="AK958" s="79"/>
    </row>
    <row r="959" spans="2:80" s="5" customFormat="1" ht="10.5">
      <c r="B959" s="687" t="s">
        <v>14</v>
      </c>
      <c r="C959" s="20" t="s">
        <v>452</v>
      </c>
      <c r="D959" s="20"/>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79"/>
      <c r="AL959" s="19"/>
      <c r="AM959" s="19"/>
      <c r="AN959" s="19"/>
      <c r="AO959" s="19"/>
      <c r="AP959" s="19"/>
      <c r="AQ959" s="19"/>
      <c r="AR959" s="19"/>
      <c r="AS959" s="19"/>
      <c r="AT959" s="19"/>
      <c r="AU959" s="19"/>
      <c r="AV959" s="19"/>
      <c r="AW959" s="19"/>
      <c r="AX959" s="19"/>
      <c r="AY959" s="1"/>
      <c r="AZ959" s="19"/>
      <c r="BA959" s="19"/>
      <c r="BB959" s="19"/>
      <c r="BC959" s="19"/>
      <c r="BD959" s="19"/>
      <c r="BE959" s="19"/>
      <c r="BF959" s="19"/>
      <c r="BG959" s="19"/>
      <c r="BH959" s="19"/>
      <c r="BI959" s="19"/>
      <c r="BJ959" s="19"/>
      <c r="BK959" s="19"/>
      <c r="BL959" s="19"/>
      <c r="BM959" s="19"/>
      <c r="BN959" s="19"/>
      <c r="BO959" s="19"/>
      <c r="BP959" s="19"/>
      <c r="BY959" s="829"/>
      <c r="BZ959" s="829"/>
      <c r="CA959" s="829"/>
    </row>
    <row r="960" spans="2:80" ht="11.25" customHeight="1">
      <c r="R960" s="89"/>
      <c r="AK960" s="79"/>
    </row>
    <row r="961" spans="2:52" ht="11.25" customHeight="1">
      <c r="C961" s="43" t="s">
        <v>453</v>
      </c>
      <c r="E961" s="28">
        <f t="shared" ref="E961:AF961" si="2188">-E945</f>
        <v>20</v>
      </c>
      <c r="F961" s="28">
        <f t="shared" si="2188"/>
        <v>25</v>
      </c>
      <c r="G961" s="28">
        <f t="shared" si="2188"/>
        <v>75</v>
      </c>
      <c r="H961" s="28">
        <f t="shared" si="2188"/>
        <v>25</v>
      </c>
      <c r="I961" s="28">
        <f t="shared" si="2188"/>
        <v>75</v>
      </c>
      <c r="J961" s="28">
        <f t="shared" si="2188"/>
        <v>100</v>
      </c>
      <c r="K961" s="28">
        <f t="shared" si="2188"/>
        <v>100</v>
      </c>
      <c r="L961" s="28">
        <f t="shared" si="2188"/>
        <v>75</v>
      </c>
      <c r="M961" s="28">
        <f t="shared" si="2188"/>
        <v>100</v>
      </c>
      <c r="N961" s="28">
        <f t="shared" si="2188"/>
        <v>150</v>
      </c>
      <c r="O961" s="28">
        <f t="shared" si="2188"/>
        <v>125</v>
      </c>
      <c r="P961" s="28">
        <f t="shared" si="2188"/>
        <v>25</v>
      </c>
      <c r="Q961" s="28">
        <f t="shared" si="2188"/>
        <v>125</v>
      </c>
      <c r="R961" s="28">
        <f t="shared" si="2188"/>
        <v>125</v>
      </c>
      <c r="S961" s="28">
        <f t="shared" si="2188"/>
        <v>75</v>
      </c>
      <c r="T961" s="28">
        <f t="shared" si="2188"/>
        <v>0</v>
      </c>
      <c r="U961" s="28">
        <f t="shared" si="2188"/>
        <v>30</v>
      </c>
      <c r="V961" s="28">
        <f t="shared" si="2188"/>
        <v>30</v>
      </c>
      <c r="W961" s="28">
        <f t="shared" si="2188"/>
        <v>0</v>
      </c>
      <c r="X961" s="28">
        <f t="shared" si="2188"/>
        <v>0</v>
      </c>
      <c r="Y961" s="28">
        <f t="shared" si="2188"/>
        <v>40</v>
      </c>
      <c r="Z961" s="28">
        <f t="shared" si="2188"/>
        <v>100</v>
      </c>
      <c r="AA961" s="28">
        <f t="shared" si="2188"/>
        <v>150</v>
      </c>
      <c r="AB961" s="28">
        <f t="shared" si="2188"/>
        <v>710</v>
      </c>
      <c r="AC961" s="28">
        <f t="shared" si="2188"/>
        <v>0</v>
      </c>
      <c r="AD961" s="28">
        <f t="shared" si="2188"/>
        <v>752</v>
      </c>
      <c r="AE961" s="28">
        <f t="shared" si="2188"/>
        <v>150</v>
      </c>
      <c r="AF961" s="28">
        <f t="shared" si="2188"/>
        <v>100</v>
      </c>
      <c r="AG961" s="28">
        <f t="shared" ref="AG961" si="2189">-AG945</f>
        <v>0</v>
      </c>
      <c r="AH961" s="98">
        <v>0</v>
      </c>
      <c r="AI961" s="98">
        <v>0</v>
      </c>
      <c r="AJ961" s="98">
        <v>0</v>
      </c>
      <c r="AK961" s="79"/>
      <c r="AL961" s="28">
        <f>-AL945</f>
        <v>410</v>
      </c>
      <c r="AM961" s="28">
        <f>-AM945</f>
        <v>103</v>
      </c>
      <c r="AN961" s="28">
        <f>-AN945</f>
        <v>145</v>
      </c>
      <c r="AO961" s="28">
        <f>-AO945</f>
        <v>350</v>
      </c>
      <c r="AP961" s="28">
        <f>-AP945</f>
        <v>400</v>
      </c>
      <c r="AQ961" s="33">
        <f t="shared" ref="AQ961:AU961" si="2190">SUMIF($E$6:$AK$6,AQ$6,$E961:$AK961)</f>
        <v>325</v>
      </c>
      <c r="AR961" s="33">
        <f t="shared" si="2190"/>
        <v>60</v>
      </c>
      <c r="AS961" s="33">
        <f t="shared" si="2190"/>
        <v>1000</v>
      </c>
      <c r="AT961" s="33">
        <f t="shared" si="2190"/>
        <v>1002</v>
      </c>
      <c r="AU961" s="33">
        <f t="shared" si="2190"/>
        <v>0</v>
      </c>
      <c r="AV961" s="29">
        <v>0</v>
      </c>
      <c r="AW961" s="29">
        <v>0</v>
      </c>
      <c r="AX961" s="29">
        <v>0</v>
      </c>
    </row>
    <row r="962" spans="2:52" ht="11.25" customHeight="1">
      <c r="C962" s="43" t="s">
        <v>454</v>
      </c>
      <c r="D962" s="29">
        <v>2500</v>
      </c>
      <c r="M962" s="28"/>
      <c r="AK962" s="79"/>
    </row>
    <row r="963" spans="2:52" ht="11.25" customHeight="1">
      <c r="C963" s="25"/>
      <c r="M963" s="28"/>
      <c r="AK963" s="79"/>
    </row>
    <row r="964" spans="2:52" ht="11.25" customHeight="1">
      <c r="C964" s="43" t="s">
        <v>455</v>
      </c>
      <c r="S964" s="40"/>
      <c r="AG964" s="1458">
        <v>82.5</v>
      </c>
      <c r="AH964" s="81">
        <f t="shared" ref="AH964:AJ964" si="2191">+AG964*(1+AH965)</f>
        <v>83.737499999999997</v>
      </c>
      <c r="AI964" s="81">
        <f t="shared" si="2191"/>
        <v>84.993562499999996</v>
      </c>
      <c r="AJ964" s="81">
        <f t="shared" si="2191"/>
        <v>86.268465937499982</v>
      </c>
      <c r="AK964" s="79"/>
      <c r="AS964" s="40"/>
      <c r="AT964" s="81"/>
      <c r="AU964" s="81">
        <f>AJ964</f>
        <v>86.268465937499982</v>
      </c>
      <c r="AV964" s="81">
        <f>AU964*(1+AV965)</f>
        <v>90.581889234374984</v>
      </c>
      <c r="AW964" s="81">
        <f>AV964*(1+AW965)</f>
        <v>95.11098369609374</v>
      </c>
      <c r="AX964" s="81">
        <f>AW964*(1+AX965)</f>
        <v>99.866532880898433</v>
      </c>
    </row>
    <row r="965" spans="2:52" s="458" customFormat="1" ht="11.25" customHeight="1">
      <c r="B965" s="691"/>
      <c r="C965" s="107" t="s">
        <v>456</v>
      </c>
      <c r="T965" s="24"/>
      <c r="U965" s="24"/>
      <c r="V965" s="24"/>
      <c r="W965" s="24"/>
      <c r="X965" s="24"/>
      <c r="Y965" s="24"/>
      <c r="Z965" s="24"/>
      <c r="AA965" s="24"/>
      <c r="AB965" s="24"/>
      <c r="AC965" s="24"/>
      <c r="AD965" s="24"/>
      <c r="AE965" s="24"/>
      <c r="AF965" s="24"/>
      <c r="AG965" s="24"/>
      <c r="AH965" s="685">
        <v>1.4999999999999999E-2</v>
      </c>
      <c r="AI965" s="685">
        <v>1.4999999999999999E-2</v>
      </c>
      <c r="AJ965" s="685">
        <v>1.4999999999999999E-2</v>
      </c>
      <c r="AK965" s="79"/>
      <c r="AQ965" s="438"/>
      <c r="AR965" s="438"/>
      <c r="AS965" s="438"/>
      <c r="AT965" s="438"/>
      <c r="AU965" s="438"/>
      <c r="AV965" s="438">
        <v>0.05</v>
      </c>
      <c r="AW965" s="438">
        <v>0.05</v>
      </c>
      <c r="AX965" s="438">
        <v>0.05</v>
      </c>
      <c r="AY965" s="1"/>
    </row>
    <row r="966" spans="2:52" ht="11.25" customHeight="1">
      <c r="C966" s="43" t="s">
        <v>457</v>
      </c>
      <c r="S966" s="28"/>
      <c r="AH966" s="28">
        <f t="shared" ref="AH966:AJ966" si="2192">AH961/AH964</f>
        <v>0</v>
      </c>
      <c r="AI966" s="28">
        <f t="shared" si="2192"/>
        <v>0</v>
      </c>
      <c r="AJ966" s="28">
        <f t="shared" si="2192"/>
        <v>0</v>
      </c>
      <c r="AK966" s="79"/>
      <c r="AP966" s="28"/>
      <c r="AQ966" s="33"/>
      <c r="AR966" s="33"/>
      <c r="AS966" s="28"/>
      <c r="AT966" s="28"/>
      <c r="AU966" s="28">
        <f>AU961/AU964</f>
        <v>0</v>
      </c>
      <c r="AV966" s="28">
        <f>AV961/AV964</f>
        <v>0</v>
      </c>
      <c r="AW966" s="28">
        <f>AW961/AW964</f>
        <v>0</v>
      </c>
      <c r="AX966" s="28">
        <f>AX961/AX964</f>
        <v>0</v>
      </c>
    </row>
    <row r="967" spans="2:52" ht="11.25" customHeight="1">
      <c r="C967" s="43"/>
      <c r="AK967" s="79"/>
      <c r="AP967" s="28"/>
      <c r="AQ967" s="28"/>
      <c r="AR967" s="28"/>
      <c r="AS967" s="28"/>
      <c r="AT967" s="28"/>
      <c r="AU967" s="28"/>
      <c r="AV967" s="28"/>
      <c r="AW967" s="28"/>
      <c r="AX967" s="28"/>
    </row>
    <row r="968" spans="2:52" ht="11.25" customHeight="1">
      <c r="C968" s="137" t="s">
        <v>458</v>
      </c>
      <c r="E968" s="28">
        <f t="shared" ref="E968:T968" si="2193">-E944</f>
        <v>68</v>
      </c>
      <c r="F968" s="28">
        <f t="shared" si="2193"/>
        <v>68</v>
      </c>
      <c r="G968" s="28">
        <f t="shared" si="2193"/>
        <v>68</v>
      </c>
      <c r="H968" s="28">
        <f t="shared" si="2193"/>
        <v>68</v>
      </c>
      <c r="I968" s="28">
        <f t="shared" si="2193"/>
        <v>75</v>
      </c>
      <c r="J968" s="28">
        <f t="shared" si="2193"/>
        <v>74</v>
      </c>
      <c r="K968" s="28">
        <f t="shared" si="2193"/>
        <v>74</v>
      </c>
      <c r="L968" s="28">
        <f t="shared" si="2193"/>
        <v>73</v>
      </c>
      <c r="M968" s="28">
        <f t="shared" si="2193"/>
        <v>80</v>
      </c>
      <c r="N968" s="28">
        <f t="shared" si="2193"/>
        <v>80</v>
      </c>
      <c r="O968" s="28">
        <f t="shared" si="2193"/>
        <v>80</v>
      </c>
      <c r="P968" s="28">
        <f t="shared" si="2193"/>
        <v>78</v>
      </c>
      <c r="Q968" s="28">
        <f t="shared" si="2193"/>
        <v>87</v>
      </c>
      <c r="R968" s="28">
        <f t="shared" si="2193"/>
        <v>86</v>
      </c>
      <c r="S968" s="28">
        <f t="shared" si="2193"/>
        <v>85</v>
      </c>
      <c r="T968" s="28">
        <f t="shared" si="2193"/>
        <v>85</v>
      </c>
      <c r="U968" s="28">
        <f t="shared" ref="U968:AC968" si="2194">-U944</f>
        <v>90</v>
      </c>
      <c r="V968" s="28">
        <f t="shared" si="2194"/>
        <v>89</v>
      </c>
      <c r="W968" s="28">
        <f t="shared" si="2194"/>
        <v>90</v>
      </c>
      <c r="X968" s="28">
        <f t="shared" si="2194"/>
        <v>89</v>
      </c>
      <c r="Y968" s="28">
        <f t="shared" si="2194"/>
        <v>94</v>
      </c>
      <c r="Z968" s="28">
        <f t="shared" si="2194"/>
        <v>94</v>
      </c>
      <c r="AA968" s="28">
        <f t="shared" si="2194"/>
        <v>94</v>
      </c>
      <c r="AB968" s="28">
        <f t="shared" si="2194"/>
        <v>93</v>
      </c>
      <c r="AC968" s="28">
        <f t="shared" si="2194"/>
        <v>98</v>
      </c>
      <c r="AD968" s="28">
        <f t="shared" ref="AD968:AF968" si="2195">-AD944</f>
        <v>98</v>
      </c>
      <c r="AE968" s="28">
        <f t="shared" si="2195"/>
        <v>94</v>
      </c>
      <c r="AF968" s="28">
        <f t="shared" si="2195"/>
        <v>91</v>
      </c>
      <c r="AG968" s="28">
        <f t="shared" ref="AG968" si="2196">-AG944</f>
        <v>94</v>
      </c>
      <c r="AH968" s="28">
        <f t="shared" ref="AH968:AJ968" si="2197">AH969*AH976</f>
        <v>102.27200000000001</v>
      </c>
      <c r="AI968" s="28">
        <f t="shared" si="2197"/>
        <v>102.27200000000001</v>
      </c>
      <c r="AJ968" s="28">
        <f t="shared" si="2197"/>
        <v>102.27200000000001</v>
      </c>
      <c r="AK968" s="79"/>
      <c r="AL968" s="28">
        <f>-AL944</f>
        <v>210</v>
      </c>
      <c r="AM968" s="28">
        <f>-AM944</f>
        <v>238</v>
      </c>
      <c r="AN968" s="33">
        <f>SUMIF($E$6:$AK$6,AN$6,$E968:$AK968)</f>
        <v>272</v>
      </c>
      <c r="AO968" s="33">
        <f t="shared" ref="AO968:AU969" si="2198">SUMIF($E$6:$AK$6,AO$6,$E968:$AK968)</f>
        <v>296</v>
      </c>
      <c r="AP968" s="33">
        <f t="shared" si="2198"/>
        <v>318</v>
      </c>
      <c r="AQ968" s="33">
        <f t="shared" si="2198"/>
        <v>343</v>
      </c>
      <c r="AR968" s="33">
        <f t="shared" si="2198"/>
        <v>358</v>
      </c>
      <c r="AS968" s="33">
        <f t="shared" si="2198"/>
        <v>375</v>
      </c>
      <c r="AT968" s="33">
        <f t="shared" si="2198"/>
        <v>381</v>
      </c>
      <c r="AU968" s="33">
        <f t="shared" si="2198"/>
        <v>400.81599999999997</v>
      </c>
      <c r="AV968" s="28">
        <f>AV969*AV976</f>
        <v>451.49999999999994</v>
      </c>
      <c r="AW968" s="28">
        <f>AW969*AW976</f>
        <v>481.59999999999997</v>
      </c>
      <c r="AX968" s="28">
        <f>AX969*AX976</f>
        <v>541.79999999999995</v>
      </c>
    </row>
    <row r="969" spans="2:52" ht="11.25" customHeight="1">
      <c r="C969" s="137" t="s">
        <v>459</v>
      </c>
      <c r="E969" s="81">
        <f>E968/E976</f>
        <v>0.45698924731182794</v>
      </c>
      <c r="F969" s="81">
        <f t="shared" ref="F969:T969" si="2199">F968/F976</f>
        <v>0.45668233713901946</v>
      </c>
      <c r="G969" s="81">
        <f t="shared" si="2199"/>
        <v>0.45883940620782732</v>
      </c>
      <c r="H969" s="81">
        <f t="shared" si="2199"/>
        <v>0.46101694915254238</v>
      </c>
      <c r="I969" s="81">
        <f t="shared" si="2199"/>
        <v>0.50951086956521741</v>
      </c>
      <c r="J969" s="81">
        <f t="shared" si="2199"/>
        <v>0.50546448087431695</v>
      </c>
      <c r="K969" s="81">
        <f t="shared" si="2199"/>
        <v>0.50859106529209619</v>
      </c>
      <c r="L969" s="81">
        <f t="shared" si="2199"/>
        <v>0.50414364640883969</v>
      </c>
      <c r="M969" s="81">
        <f t="shared" si="2199"/>
        <v>0.55248618784530379</v>
      </c>
      <c r="N969" s="81">
        <f t="shared" si="2199"/>
        <v>0.55555555555555558</v>
      </c>
      <c r="O969" s="81">
        <f t="shared" si="2199"/>
        <v>0.56179775280898869</v>
      </c>
      <c r="P969" s="81">
        <f t="shared" si="2199"/>
        <v>0.55279943302622259</v>
      </c>
      <c r="Q969" s="81">
        <f t="shared" si="2199"/>
        <v>0.62098501070663814</v>
      </c>
      <c r="R969" s="81">
        <f t="shared" si="2199"/>
        <v>0.61826024442846861</v>
      </c>
      <c r="S969" s="81">
        <f t="shared" si="2199"/>
        <v>0.61683599419448476</v>
      </c>
      <c r="T969" s="81">
        <f t="shared" si="2199"/>
        <v>0.61998541210795044</v>
      </c>
      <c r="U969" s="81">
        <f t="shared" ref="U969:AC969" si="2200">U968/U976</f>
        <v>0.65934065934065933</v>
      </c>
      <c r="V969" s="81">
        <f t="shared" si="2200"/>
        <v>0.65393093313739881</v>
      </c>
      <c r="W969" s="81">
        <f t="shared" si="2200"/>
        <v>0.66030814380044012</v>
      </c>
      <c r="X969" s="81">
        <f t="shared" si="2200"/>
        <v>0.65201465201465203</v>
      </c>
      <c r="Y969" s="81">
        <f t="shared" si="2200"/>
        <v>0.68313953488372092</v>
      </c>
      <c r="Z969" s="81">
        <f t="shared" si="2200"/>
        <v>0.69168506254598972</v>
      </c>
      <c r="AA969" s="81">
        <f t="shared" si="2200"/>
        <v>0.68613138686131392</v>
      </c>
      <c r="AB969" s="81">
        <f t="shared" si="2200"/>
        <v>0.67833698030634582</v>
      </c>
      <c r="AC969" s="81">
        <f t="shared" si="2200"/>
        <v>0.7498087222647285</v>
      </c>
      <c r="AD969" s="81">
        <f t="shared" ref="AD969:AF969" si="2201">AD968/AD976</f>
        <v>0.77531645569620256</v>
      </c>
      <c r="AE969" s="81">
        <f t="shared" si="2201"/>
        <v>0.76860179885527391</v>
      </c>
      <c r="AF969" s="81">
        <f t="shared" si="2201"/>
        <v>0.72858286629303437</v>
      </c>
      <c r="AG969" s="81">
        <f t="shared" ref="AG969" si="2202">AG968/AG976</f>
        <v>0.78125</v>
      </c>
      <c r="AH969" s="719">
        <f>Assumptions!AH182</f>
        <v>0.85</v>
      </c>
      <c r="AI969" s="719">
        <f>Assumptions!AI182</f>
        <v>0.85</v>
      </c>
      <c r="AJ969" s="719">
        <f>Assumptions!AJ182</f>
        <v>0.85</v>
      </c>
      <c r="AK969" s="79"/>
      <c r="AL969" s="81">
        <f>AL968/AL976</f>
        <v>1.3898080741230974</v>
      </c>
      <c r="AM969" s="81">
        <f>AM968/AM976</f>
        <v>1.5887850467289721</v>
      </c>
      <c r="AN969" s="686">
        <f>SUMIF($E$6:$AK$6,AN$6,$E969:$AK969)</f>
        <v>1.8335279398112172</v>
      </c>
      <c r="AO969" s="686">
        <f t="shared" si="2198"/>
        <v>2.0277100621404704</v>
      </c>
      <c r="AP969" s="686">
        <f t="shared" si="2198"/>
        <v>2.2226389292360706</v>
      </c>
      <c r="AQ969" s="686">
        <f t="shared" si="2198"/>
        <v>2.4760666614375419</v>
      </c>
      <c r="AR969" s="686">
        <f t="shared" si="2198"/>
        <v>2.6255943882931501</v>
      </c>
      <c r="AS969" s="686">
        <f t="shared" si="2198"/>
        <v>2.7392929645973703</v>
      </c>
      <c r="AT969" s="686">
        <f t="shared" si="2198"/>
        <v>3.0223098431092392</v>
      </c>
      <c r="AU969" s="686">
        <f t="shared" si="2198"/>
        <v>3.3312500000000003</v>
      </c>
      <c r="AV969" s="719">
        <f>Assumptions!AV182</f>
        <v>3.75</v>
      </c>
      <c r="AW969" s="719">
        <f>Assumptions!AW182</f>
        <v>4</v>
      </c>
      <c r="AX969" s="719">
        <f>Assumptions!AX182</f>
        <v>4.5</v>
      </c>
      <c r="AZ969" s="1150"/>
    </row>
    <row r="970" spans="2:52" ht="11.25" customHeight="1">
      <c r="C970" s="213" t="s">
        <v>460</v>
      </c>
      <c r="E970" s="28"/>
      <c r="F970" s="28"/>
      <c r="G970" s="28"/>
      <c r="H970" s="28"/>
      <c r="I970" s="63">
        <f>I969/E969-1</f>
        <v>0.11492966751918177</v>
      </c>
      <c r="J970" s="63">
        <f t="shared" ref="J970:AJ970" si="2203">J969/F969-1</f>
        <v>0.1068185470909675</v>
      </c>
      <c r="K970" s="63">
        <f t="shared" si="2203"/>
        <v>0.10842935112189189</v>
      </c>
      <c r="L970" s="63">
        <f t="shared" si="2203"/>
        <v>9.354688007799794E-2</v>
      </c>
      <c r="M970" s="63">
        <f t="shared" si="2203"/>
        <v>8.4346224677716242E-2</v>
      </c>
      <c r="N970" s="63">
        <f t="shared" si="2203"/>
        <v>9.9099099099099197E-2</v>
      </c>
      <c r="O970" s="63">
        <f t="shared" si="2203"/>
        <v>0.10461585180686295</v>
      </c>
      <c r="P970" s="63">
        <f t="shared" si="2203"/>
        <v>9.6511752084891045E-2</v>
      </c>
      <c r="Q970" s="63">
        <f t="shared" si="2203"/>
        <v>0.12398286937901526</v>
      </c>
      <c r="R970" s="63">
        <f t="shared" si="2203"/>
        <v>0.11286843997124341</v>
      </c>
      <c r="S970" s="63">
        <f t="shared" si="2203"/>
        <v>9.79680696661831E-2</v>
      </c>
      <c r="T970" s="63">
        <f t="shared" si="2203"/>
        <v>0.12153771344143327</v>
      </c>
      <c r="U970" s="63">
        <f t="shared" si="2203"/>
        <v>6.1765820386509906E-2</v>
      </c>
      <c r="V970" s="63">
        <f t="shared" si="2203"/>
        <v>5.7695265109444005E-2</v>
      </c>
      <c r="W970" s="63">
        <f t="shared" si="2203"/>
        <v>7.0476026067066488E-2</v>
      </c>
      <c r="X970" s="63">
        <f t="shared" si="2203"/>
        <v>5.1661279896573875E-2</v>
      </c>
      <c r="Y970" s="63">
        <f t="shared" si="2203"/>
        <v>3.6094961240310086E-2</v>
      </c>
      <c r="Z970" s="63">
        <f t="shared" si="2203"/>
        <v>5.7734123736058685E-2</v>
      </c>
      <c r="AA970" s="63">
        <f t="shared" si="2203"/>
        <v>3.9107866991078932E-2</v>
      </c>
      <c r="AB970" s="63">
        <f t="shared" si="2203"/>
        <v>4.0370761930519139E-2</v>
      </c>
      <c r="AC970" s="63">
        <f t="shared" si="2203"/>
        <v>9.7592342379006825E-2</v>
      </c>
      <c r="AD970" s="63">
        <f t="shared" si="2203"/>
        <v>0.12090964179908426</v>
      </c>
      <c r="AE970" s="63">
        <f t="shared" si="2203"/>
        <v>0.12019623875715446</v>
      </c>
      <c r="AF970" s="63">
        <f t="shared" si="2203"/>
        <v>7.407216095456981E-2</v>
      </c>
      <c r="AG970" s="63">
        <f t="shared" si="2203"/>
        <v>4.1932397959183465E-2</v>
      </c>
      <c r="AH970" s="63">
        <f t="shared" si="2203"/>
        <v>9.6326530612244943E-2</v>
      </c>
      <c r="AI970" s="63">
        <f t="shared" si="2203"/>
        <v>0.10590425531914893</v>
      </c>
      <c r="AJ970" s="63">
        <f t="shared" si="2203"/>
        <v>0.16664835164835168</v>
      </c>
      <c r="AK970" s="79"/>
      <c r="AM970" s="63">
        <f>AM969/AL969-1</f>
        <v>0.14316866933689365</v>
      </c>
      <c r="AN970" s="63">
        <f t="shared" ref="AN970:AX970" si="2204">AN969/AM969-1</f>
        <v>0.15404405623411899</v>
      </c>
      <c r="AO970" s="63">
        <f t="shared" si="2204"/>
        <v>0.10590627942612452</v>
      </c>
      <c r="AP970" s="63">
        <f t="shared" si="2204"/>
        <v>9.6132514571551475E-2</v>
      </c>
      <c r="AQ970" s="63">
        <f t="shared" si="2204"/>
        <v>0.11402109846450648</v>
      </c>
      <c r="AR970" s="63">
        <f t="shared" si="2204"/>
        <v>6.0389216972371873E-2</v>
      </c>
      <c r="AS970" s="63">
        <f t="shared" si="2204"/>
        <v>4.3303937885902366E-2</v>
      </c>
      <c r="AT970" s="63">
        <f t="shared" si="2204"/>
        <v>0.10331749183806904</v>
      </c>
      <c r="AU970" s="63">
        <f t="shared" si="2204"/>
        <v>0.10221988245021718</v>
      </c>
      <c r="AV970" s="63">
        <f t="shared" si="2204"/>
        <v>0.12570356472795496</v>
      </c>
      <c r="AW970" s="63">
        <f t="shared" si="2204"/>
        <v>6.6666666666666652E-2</v>
      </c>
      <c r="AX970" s="63">
        <f t="shared" si="2204"/>
        <v>0.125</v>
      </c>
    </row>
    <row r="971" spans="2:52" ht="11.25" customHeight="1">
      <c r="C971" s="213"/>
      <c r="E971" s="28"/>
      <c r="F971" s="28"/>
      <c r="G971" s="28"/>
      <c r="H971" s="28"/>
      <c r="I971" s="28"/>
      <c r="J971" s="28"/>
      <c r="K971" s="28"/>
      <c r="L971" s="28"/>
      <c r="M971" s="28"/>
      <c r="N971" s="28"/>
      <c r="O971" s="28"/>
      <c r="P971" s="28"/>
      <c r="Q971" s="28"/>
      <c r="R971" s="28"/>
      <c r="AK971" s="79"/>
      <c r="AS971" s="66"/>
      <c r="AT971" s="66"/>
      <c r="AU971" s="66"/>
      <c r="AV971" s="66"/>
      <c r="AW971" s="66"/>
      <c r="AX971" s="66"/>
    </row>
    <row r="972" spans="2:52" ht="11.25" customHeight="1">
      <c r="C972" s="43" t="s">
        <v>1550</v>
      </c>
      <c r="E972" s="63">
        <f t="shared" ref="E972:AJ972" si="2205">E969/E64</f>
        <v>0.27091633466135456</v>
      </c>
      <c r="F972" s="63">
        <f t="shared" si="2205"/>
        <v>0.26666666666666666</v>
      </c>
      <c r="G972" s="63">
        <f t="shared" si="2205"/>
        <v>0.2931034482758621</v>
      </c>
      <c r="H972" s="63">
        <f t="shared" si="2205"/>
        <v>0.58620689655172409</v>
      </c>
      <c r="I972" s="63">
        <f t="shared" si="2205"/>
        <v>0.26978417266187049</v>
      </c>
      <c r="J972" s="63">
        <f t="shared" si="2205"/>
        <v>0.25342465753424659</v>
      </c>
      <c r="K972" s="63">
        <f t="shared" si="2205"/>
        <v>0.22910216718266252</v>
      </c>
      <c r="L972" s="63">
        <f t="shared" si="2205"/>
        <v>0.14867617107942971</v>
      </c>
      <c r="M972" s="63">
        <f t="shared" si="2205"/>
        <v>0.27586206896551724</v>
      </c>
      <c r="N972" s="63">
        <f t="shared" si="2205"/>
        <v>0.23255813953488375</v>
      </c>
      <c r="O972" s="63">
        <f t="shared" si="2205"/>
        <v>0.1941747572815534</v>
      </c>
      <c r="P972" s="63">
        <f t="shared" si="2205"/>
        <v>2.2941176470588238</v>
      </c>
      <c r="Q972" s="63">
        <f t="shared" si="2205"/>
        <v>0.41626794258373206</v>
      </c>
      <c r="R972" s="63">
        <f t="shared" si="2205"/>
        <v>0.33333333333333331</v>
      </c>
      <c r="S972" s="63">
        <f t="shared" si="2205"/>
        <v>0.31954887218045114</v>
      </c>
      <c r="T972" s="63">
        <f t="shared" si="2205"/>
        <v>3.2692307692307692</v>
      </c>
      <c r="U972" s="63">
        <f t="shared" si="2205"/>
        <v>0.34883720930232559</v>
      </c>
      <c r="V972" s="63">
        <f t="shared" si="2205"/>
        <v>3.2962962962962958</v>
      </c>
      <c r="W972" s="63">
        <f t="shared" si="2205"/>
        <v>0.55900621118012417</v>
      </c>
      <c r="X972" s="63">
        <f t="shared" si="2205"/>
        <v>2.78125</v>
      </c>
      <c r="Y972" s="63">
        <f t="shared" si="2205"/>
        <v>0.34306569343065696</v>
      </c>
      <c r="Z972" s="63">
        <f t="shared" si="2205"/>
        <v>-0.64383561643835618</v>
      </c>
      <c r="AA972" s="63">
        <f t="shared" si="2205"/>
        <v>0.26780626780626782</v>
      </c>
      <c r="AB972" s="63">
        <f t="shared" si="2205"/>
        <v>0.24603174603174605</v>
      </c>
      <c r="AC972" s="63">
        <f t="shared" si="2205"/>
        <v>0.41702127659574473</v>
      </c>
      <c r="AD972" s="63">
        <f t="shared" si="2205"/>
        <v>0.3828125</v>
      </c>
      <c r="AE972" s="63">
        <f t="shared" si="2205"/>
        <v>0.3122923588039867</v>
      </c>
      <c r="AF972" s="63">
        <f t="shared" si="2205"/>
        <v>91</v>
      </c>
      <c r="AG972" s="63">
        <f t="shared" si="2205"/>
        <v>0.70149253731343286</v>
      </c>
      <c r="AH972" s="63">
        <f t="shared" ca="1" si="2205"/>
        <v>0.36878100671802411</v>
      </c>
      <c r="AI972" s="63">
        <f t="shared" ca="1" si="2205"/>
        <v>0.34093508531070271</v>
      </c>
      <c r="AJ972" s="63">
        <f t="shared" ca="1" si="2205"/>
        <v>0.41991270195090796</v>
      </c>
      <c r="AK972" s="79"/>
      <c r="AL972" s="63">
        <f t="shared" ref="AL972:AX972" si="2206">AL969/AL64</f>
        <v>0.27962716378162455</v>
      </c>
      <c r="AM972" s="63">
        <f t="shared" si="2206"/>
        <v>0.28066037735849059</v>
      </c>
      <c r="AN972" s="63">
        <f t="shared" si="2206"/>
        <v>0.3186130518360476</v>
      </c>
      <c r="AO972" s="63">
        <f t="shared" si="2206"/>
        <v>0.21405234109734306</v>
      </c>
      <c r="AP972" s="63">
        <f t="shared" si="2206"/>
        <v>0.29408805832206891</v>
      </c>
      <c r="AQ972" s="63">
        <f t="shared" si="2206"/>
        <v>0.45206974652003606</v>
      </c>
      <c r="AR972" s="63">
        <f t="shared" si="2206"/>
        <v>0.75101337393175926</v>
      </c>
      <c r="AS972" s="63">
        <f t="shared" si="2206"/>
        <v>0.43710421576276592</v>
      </c>
      <c r="AT972" s="63">
        <f t="shared" si="2206"/>
        <v>0.47935815954232597</v>
      </c>
      <c r="AU972" s="63">
        <f t="shared" ca="1" si="2206"/>
        <v>0.42004551505362736</v>
      </c>
      <c r="AV972" s="63">
        <f t="shared" ca="1" si="2206"/>
        <v>0.41197125631502501</v>
      </c>
      <c r="AW972" s="63">
        <f t="shared" ca="1" si="2206"/>
        <v>0.40750828013373291</v>
      </c>
      <c r="AX972" s="63">
        <f t="shared" ca="1" si="2206"/>
        <v>0.42521278967923665</v>
      </c>
    </row>
    <row r="973" spans="2:52" ht="11.25" customHeight="1">
      <c r="C973" s="4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79"/>
      <c r="AL973" s="63"/>
      <c r="AM973" s="63"/>
      <c r="AN973" s="63"/>
      <c r="AO973" s="63"/>
      <c r="AP973" s="63"/>
      <c r="AQ973" s="63"/>
      <c r="AR973" s="63"/>
      <c r="AS973" s="63"/>
      <c r="AT973" s="63"/>
      <c r="AU973" s="63"/>
      <c r="AV973" s="63"/>
      <c r="AW973" s="63"/>
      <c r="AX973" s="63"/>
    </row>
    <row r="974" spans="2:52" ht="11.25" customHeight="1">
      <c r="C974" s="43" t="s">
        <v>461</v>
      </c>
      <c r="AK974" s="79"/>
    </row>
    <row r="975" spans="2:52" ht="11.25" customHeight="1">
      <c r="C975" s="43" t="s">
        <v>462</v>
      </c>
      <c r="E975" s="28">
        <f t="shared" ref="E975:AG975" si="2207">E58</f>
        <v>147.80000000000001</v>
      </c>
      <c r="F975" s="28">
        <f t="shared" si="2207"/>
        <v>147.80000000000001</v>
      </c>
      <c r="G975" s="28">
        <f t="shared" si="2207"/>
        <v>147.19999999999999</v>
      </c>
      <c r="H975" s="28">
        <f t="shared" si="2207"/>
        <v>146.5</v>
      </c>
      <c r="I975" s="28">
        <f t="shared" si="2207"/>
        <v>146.19999999999999</v>
      </c>
      <c r="J975" s="28">
        <f t="shared" si="2207"/>
        <v>145.30000000000001</v>
      </c>
      <c r="K975" s="28">
        <f t="shared" si="2207"/>
        <v>144.30000000000001</v>
      </c>
      <c r="L975" s="28">
        <f t="shared" si="2207"/>
        <v>143.30000000000001</v>
      </c>
      <c r="M975" s="28">
        <f t="shared" si="2207"/>
        <v>142.80000000000001</v>
      </c>
      <c r="N975" s="28">
        <f t="shared" si="2207"/>
        <v>141.9</v>
      </c>
      <c r="O975" s="28">
        <f t="shared" si="2207"/>
        <v>140.6</v>
      </c>
      <c r="P975" s="28">
        <f t="shared" si="2207"/>
        <v>139.80000000000001</v>
      </c>
      <c r="Q975" s="28">
        <f t="shared" si="2207"/>
        <v>139</v>
      </c>
      <c r="R975" s="28">
        <f t="shared" si="2207"/>
        <v>137.80000000000001</v>
      </c>
      <c r="S975" s="28">
        <f t="shared" si="2207"/>
        <v>136.80000000000001</v>
      </c>
      <c r="T975" s="28">
        <f t="shared" si="2207"/>
        <v>135.9</v>
      </c>
      <c r="U975" s="28">
        <f t="shared" si="2207"/>
        <v>136</v>
      </c>
      <c r="V975" s="28">
        <f t="shared" si="2207"/>
        <v>135.30000000000001</v>
      </c>
      <c r="W975" s="28">
        <f t="shared" si="2207"/>
        <v>135.30000000000001</v>
      </c>
      <c r="X975" s="28">
        <f t="shared" si="2207"/>
        <v>135.5</v>
      </c>
      <c r="Y975" s="28">
        <f t="shared" si="2207"/>
        <v>136.1</v>
      </c>
      <c r="Z975" s="28">
        <f t="shared" si="2207"/>
        <v>135.9</v>
      </c>
      <c r="AA975" s="28">
        <f t="shared" si="2207"/>
        <v>135.30000000000001</v>
      </c>
      <c r="AB975" s="28">
        <f t="shared" si="2207"/>
        <v>134.9</v>
      </c>
      <c r="AC975" s="28">
        <f t="shared" si="2207"/>
        <v>129</v>
      </c>
      <c r="AD975" s="28">
        <f t="shared" si="2207"/>
        <v>124.8</v>
      </c>
      <c r="AE975" s="28">
        <f t="shared" si="2207"/>
        <v>121</v>
      </c>
      <c r="AF975" s="28">
        <f t="shared" si="2207"/>
        <v>123.5</v>
      </c>
      <c r="AG975" s="28">
        <f t="shared" si="2207"/>
        <v>119.2</v>
      </c>
      <c r="AH975" s="28">
        <f t="shared" ref="AH975:AJ975" si="2208">AG975-AH966</f>
        <v>119.2</v>
      </c>
      <c r="AI975" s="28">
        <f t="shared" si="2208"/>
        <v>119.2</v>
      </c>
      <c r="AJ975" s="28">
        <f t="shared" si="2208"/>
        <v>119.2</v>
      </c>
      <c r="AK975" s="79"/>
      <c r="AL975" s="28">
        <f t="shared" ref="AL975:AU975" si="2209">AL58</f>
        <v>149.5</v>
      </c>
      <c r="AM975" s="28">
        <f t="shared" si="2209"/>
        <v>148.6</v>
      </c>
      <c r="AN975" s="28">
        <f t="shared" si="2209"/>
        <v>147.30000000000001</v>
      </c>
      <c r="AO975" s="28">
        <f t="shared" si="2209"/>
        <v>144.80000000000001</v>
      </c>
      <c r="AP975" s="28">
        <f t="shared" si="2209"/>
        <v>141.19999999999999</v>
      </c>
      <c r="AQ975" s="28">
        <f t="shared" si="2209"/>
        <v>137.375</v>
      </c>
      <c r="AR975" s="28">
        <f t="shared" si="2209"/>
        <v>135.52500000000001</v>
      </c>
      <c r="AS975" s="28">
        <f t="shared" si="2209"/>
        <v>135.55000000000001</v>
      </c>
      <c r="AT975" s="28">
        <f t="shared" si="2209"/>
        <v>124.575</v>
      </c>
      <c r="AU975" s="28">
        <f t="shared" si="2209"/>
        <v>119.2</v>
      </c>
      <c r="AV975" s="28">
        <f t="shared" ref="AV975:AX975" si="2210">AU975-AV966</f>
        <v>119.2</v>
      </c>
      <c r="AW975" s="28">
        <f t="shared" si="2210"/>
        <v>119.2</v>
      </c>
      <c r="AX975" s="28">
        <f t="shared" si="2210"/>
        <v>119.2</v>
      </c>
    </row>
    <row r="976" spans="2:52" ht="11.25" customHeight="1">
      <c r="C976" s="43" t="s">
        <v>463</v>
      </c>
      <c r="E976" s="28">
        <f t="shared" ref="E976:AJ976" si="2211">E60</f>
        <v>148.80000000000001</v>
      </c>
      <c r="F976" s="28">
        <f t="shared" si="2211"/>
        <v>148.9</v>
      </c>
      <c r="G976" s="28">
        <f t="shared" si="2211"/>
        <v>148.19999999999999</v>
      </c>
      <c r="H976" s="28">
        <f t="shared" si="2211"/>
        <v>147.5</v>
      </c>
      <c r="I976" s="28">
        <f t="shared" si="2211"/>
        <v>147.19999999999999</v>
      </c>
      <c r="J976" s="28">
        <f t="shared" si="2211"/>
        <v>146.4</v>
      </c>
      <c r="K976" s="28">
        <f t="shared" si="2211"/>
        <v>145.5</v>
      </c>
      <c r="L976" s="28">
        <f t="shared" si="2211"/>
        <v>144.80000000000001</v>
      </c>
      <c r="M976" s="28">
        <f t="shared" si="2211"/>
        <v>144.80000000000001</v>
      </c>
      <c r="N976" s="28">
        <f t="shared" si="2211"/>
        <v>144</v>
      </c>
      <c r="O976" s="28">
        <f t="shared" si="2211"/>
        <v>142.4</v>
      </c>
      <c r="P976" s="28">
        <f t="shared" si="2211"/>
        <v>141.1</v>
      </c>
      <c r="Q976" s="28">
        <f t="shared" si="2211"/>
        <v>140.1</v>
      </c>
      <c r="R976" s="28">
        <f t="shared" si="2211"/>
        <v>139.10000000000002</v>
      </c>
      <c r="S976" s="28">
        <f t="shared" si="2211"/>
        <v>137.80000000000001</v>
      </c>
      <c r="T976" s="28">
        <f t="shared" si="2211"/>
        <v>137.1</v>
      </c>
      <c r="U976" s="28">
        <f t="shared" si="2211"/>
        <v>136.5</v>
      </c>
      <c r="V976" s="28">
        <f t="shared" si="2211"/>
        <v>136.10000000000002</v>
      </c>
      <c r="W976" s="28">
        <f t="shared" si="2211"/>
        <v>136.30000000000001</v>
      </c>
      <c r="X976" s="28">
        <f t="shared" si="2211"/>
        <v>136.5</v>
      </c>
      <c r="Y976" s="28">
        <f t="shared" si="2211"/>
        <v>137.6</v>
      </c>
      <c r="Z976" s="28">
        <f t="shared" si="2211"/>
        <v>135.9</v>
      </c>
      <c r="AA976" s="28">
        <f t="shared" si="2211"/>
        <v>137</v>
      </c>
      <c r="AB976" s="28">
        <f t="shared" si="2211"/>
        <v>137.1</v>
      </c>
      <c r="AC976" s="28">
        <f t="shared" si="2211"/>
        <v>130.69999999999999</v>
      </c>
      <c r="AD976" s="28">
        <f t="shared" si="2211"/>
        <v>126.39999999999999</v>
      </c>
      <c r="AE976" s="28">
        <f t="shared" si="2211"/>
        <v>122.3</v>
      </c>
      <c r="AF976" s="28">
        <f t="shared" si="2211"/>
        <v>124.9</v>
      </c>
      <c r="AG976" s="28">
        <f t="shared" si="2211"/>
        <v>120.32000000000001</v>
      </c>
      <c r="AH976" s="28">
        <f t="shared" si="2211"/>
        <v>120.32000000000001</v>
      </c>
      <c r="AI976" s="28">
        <f t="shared" si="2211"/>
        <v>120.32000000000001</v>
      </c>
      <c r="AJ976" s="28">
        <f t="shared" si="2211"/>
        <v>120.32000000000001</v>
      </c>
      <c r="AK976" s="79"/>
      <c r="AL976" s="28">
        <f t="shared" ref="AL976:AU976" si="2212">AL60</f>
        <v>151.1</v>
      </c>
      <c r="AM976" s="28">
        <f t="shared" si="2212"/>
        <v>149.79999999999998</v>
      </c>
      <c r="AN976" s="28">
        <f t="shared" si="2212"/>
        <v>148.4</v>
      </c>
      <c r="AO976" s="28">
        <f t="shared" si="2212"/>
        <v>146.10000000000002</v>
      </c>
      <c r="AP976" s="28">
        <f t="shared" si="2212"/>
        <v>142.89999999999998</v>
      </c>
      <c r="AQ976" s="28">
        <f t="shared" si="2212"/>
        <v>138.57499999999999</v>
      </c>
      <c r="AR976" s="28">
        <f t="shared" si="2212"/>
        <v>136.72499999999999</v>
      </c>
      <c r="AS976" s="28">
        <f t="shared" si="2212"/>
        <v>136.75</v>
      </c>
      <c r="AT976" s="28">
        <f t="shared" si="2212"/>
        <v>125.77499999999999</v>
      </c>
      <c r="AU976" s="28">
        <f t="shared" si="2212"/>
        <v>120.39999999999999</v>
      </c>
      <c r="AV976" s="28">
        <f>AU976-AV966</f>
        <v>120.39999999999999</v>
      </c>
      <c r="AW976" s="28">
        <f>AV976-AW966</f>
        <v>120.39999999999999</v>
      </c>
      <c r="AX976" s="28">
        <f>AW976-AX966</f>
        <v>120.39999999999999</v>
      </c>
    </row>
    <row r="977" spans="2:79" ht="11.25" customHeight="1">
      <c r="AK977" s="79"/>
    </row>
    <row r="978" spans="2:79" s="182" customFormat="1" ht="11.25" customHeight="1">
      <c r="B978" s="183" t="s">
        <v>14</v>
      </c>
      <c r="C978" s="184" t="s">
        <v>464</v>
      </c>
      <c r="D978" s="184"/>
      <c r="E978" s="184"/>
      <c r="F978" s="184"/>
      <c r="G978" s="184"/>
      <c r="H978" s="184"/>
      <c r="I978" s="184"/>
      <c r="J978" s="185"/>
      <c r="K978" s="185"/>
      <c r="L978" s="185"/>
      <c r="M978" s="185"/>
      <c r="N978" s="185"/>
      <c r="O978" s="185"/>
      <c r="P978" s="185"/>
      <c r="Q978" s="185"/>
      <c r="R978" s="185"/>
      <c r="S978" s="185" t="s">
        <v>394</v>
      </c>
      <c r="T978" s="185"/>
      <c r="U978" s="185"/>
      <c r="V978" s="185"/>
      <c r="W978" s="185"/>
      <c r="X978" s="185"/>
      <c r="Y978" s="185"/>
      <c r="Z978" s="185"/>
      <c r="AA978" s="185"/>
      <c r="AB978" s="185"/>
      <c r="AC978" s="185"/>
      <c r="AD978" s="185"/>
      <c r="AE978" s="185"/>
      <c r="AF978" s="185"/>
      <c r="AG978" s="185"/>
      <c r="AH978" s="185"/>
      <c r="AI978" s="185"/>
      <c r="AJ978" s="185"/>
      <c r="AK978" s="79"/>
      <c r="AL978" s="187"/>
      <c r="AM978" s="187"/>
      <c r="AN978" s="187"/>
      <c r="AO978" s="187"/>
      <c r="AP978" s="187"/>
      <c r="AQ978" s="187"/>
      <c r="AR978" s="187"/>
      <c r="AS978" s="187"/>
      <c r="AT978" s="187"/>
      <c r="AU978" s="187"/>
      <c r="AV978" s="187"/>
      <c r="AW978" s="187"/>
      <c r="AX978" s="187"/>
      <c r="AY978" s="1"/>
      <c r="AZ978" s="162"/>
      <c r="BA978" s="162"/>
      <c r="BB978" s="162"/>
      <c r="BC978" s="162"/>
      <c r="BD978" s="162"/>
      <c r="BE978" s="162"/>
      <c r="BF978" s="162"/>
      <c r="BG978" s="162"/>
      <c r="BH978" s="162"/>
      <c r="BI978" s="162"/>
      <c r="BJ978" s="162"/>
      <c r="BK978" s="162"/>
      <c r="BL978" s="162"/>
      <c r="BY978" s="834"/>
      <c r="BZ978" s="834"/>
      <c r="CA978" s="834"/>
    </row>
    <row r="979" spans="2:79" s="154" customFormat="1" ht="11.25" customHeight="1">
      <c r="B979" s="150"/>
      <c r="AK979" s="79"/>
      <c r="AY979" s="1"/>
      <c r="BY979" s="835"/>
      <c r="BZ979" s="835"/>
      <c r="CA979" s="835"/>
    </row>
    <row r="980" spans="2:79" s="154" customFormat="1" ht="11.25" customHeight="1">
      <c r="B980" s="150"/>
      <c r="C980" s="51" t="s">
        <v>465</v>
      </c>
      <c r="E980" s="214">
        <f t="shared" ref="E980:AF980" si="2213">E766</f>
        <v>7078</v>
      </c>
      <c r="F980" s="214">
        <f t="shared" si="2213"/>
        <v>6804</v>
      </c>
      <c r="G980" s="214">
        <f t="shared" si="2213"/>
        <v>6608</v>
      </c>
      <c r="H980" s="214">
        <f t="shared" si="2213"/>
        <v>6594</v>
      </c>
      <c r="I980" s="214">
        <f t="shared" si="2213"/>
        <v>6883</v>
      </c>
      <c r="J980" s="214">
        <f t="shared" si="2213"/>
        <v>6881</v>
      </c>
      <c r="K980" s="214">
        <f t="shared" si="2213"/>
        <v>6694</v>
      </c>
      <c r="L980" s="214">
        <f t="shared" si="2213"/>
        <v>6540</v>
      </c>
      <c r="M980" s="214">
        <f t="shared" si="2213"/>
        <v>6900</v>
      </c>
      <c r="N980" s="214">
        <f t="shared" si="2213"/>
        <v>6695</v>
      </c>
      <c r="O980" s="214">
        <f t="shared" si="2213"/>
        <v>6626</v>
      </c>
      <c r="P980" s="214">
        <f t="shared" si="2213"/>
        <v>6168</v>
      </c>
      <c r="Q980" s="214">
        <f t="shared" si="2213"/>
        <v>6464</v>
      </c>
      <c r="R980" s="214">
        <f t="shared" si="2213"/>
        <v>6355</v>
      </c>
      <c r="S980" s="214">
        <f t="shared" si="2213"/>
        <v>6209</v>
      </c>
      <c r="T980" s="214">
        <f t="shared" si="2213"/>
        <v>5782</v>
      </c>
      <c r="U980" s="214">
        <f t="shared" si="2213"/>
        <v>6294</v>
      </c>
      <c r="V980" s="214">
        <f t="shared" si="2213"/>
        <v>6133</v>
      </c>
      <c r="W980" s="214">
        <f t="shared" si="2213"/>
        <v>5865</v>
      </c>
      <c r="X980" s="214">
        <f t="shared" si="2213"/>
        <v>5618</v>
      </c>
      <c r="Y980" s="214">
        <f t="shared" si="2213"/>
        <v>5524</v>
      </c>
      <c r="Z980" s="214">
        <f t="shared" si="2213"/>
        <v>5548</v>
      </c>
      <c r="AA980" s="214">
        <f t="shared" si="2213"/>
        <v>5488</v>
      </c>
      <c r="AB980" s="214">
        <f t="shared" si="2213"/>
        <v>5159</v>
      </c>
      <c r="AC980" s="214">
        <f t="shared" si="2213"/>
        <v>5363</v>
      </c>
      <c r="AD980" s="214">
        <f t="shared" si="2213"/>
        <v>4991</v>
      </c>
      <c r="AE980" s="214">
        <f t="shared" si="2213"/>
        <v>5065</v>
      </c>
      <c r="AF980" s="214">
        <f t="shared" si="2213"/>
        <v>5151</v>
      </c>
      <c r="AG980" s="214">
        <f t="shared" ref="AG980" si="2214">AG766</f>
        <v>5650</v>
      </c>
      <c r="AH980" s="214">
        <f t="shared" ref="AH980:AJ980" ca="1" si="2215">AH766</f>
        <v>4834</v>
      </c>
      <c r="AI980" s="214">
        <f t="shared" ca="1" si="2215"/>
        <v>4834</v>
      </c>
      <c r="AJ980" s="214">
        <f t="shared" ca="1" si="2215"/>
        <v>4834</v>
      </c>
      <c r="AK980" s="79"/>
      <c r="AL980" s="214">
        <f t="shared" ref="AL980:AX980" si="2216">AL766</f>
        <v>7549</v>
      </c>
      <c r="AM980" s="214">
        <f t="shared" si="2216"/>
        <v>7008</v>
      </c>
      <c r="AN980" s="214">
        <f t="shared" si="2216"/>
        <v>6594</v>
      </c>
      <c r="AO980" s="214">
        <f t="shared" si="2216"/>
        <v>6540</v>
      </c>
      <c r="AP980" s="214">
        <f t="shared" si="2216"/>
        <v>6168</v>
      </c>
      <c r="AQ980" s="214">
        <f t="shared" si="2216"/>
        <v>5782</v>
      </c>
      <c r="AR980" s="214">
        <f t="shared" si="2216"/>
        <v>5618</v>
      </c>
      <c r="AS980" s="214">
        <f t="shared" si="2216"/>
        <v>5159</v>
      </c>
      <c r="AT980" s="214">
        <f t="shared" si="2216"/>
        <v>5151</v>
      </c>
      <c r="AU980" s="214">
        <f t="shared" ca="1" si="2216"/>
        <v>4834</v>
      </c>
      <c r="AV980" s="214">
        <f t="shared" ca="1" si="2216"/>
        <v>4593</v>
      </c>
      <c r="AW980" s="214">
        <f t="shared" ca="1" si="2216"/>
        <v>3899</v>
      </c>
      <c r="AX980" s="214">
        <f t="shared" ca="1" si="2216"/>
        <v>3357</v>
      </c>
      <c r="AY980" s="1"/>
      <c r="BY980" s="835"/>
      <c r="BZ980" s="835"/>
      <c r="CA980" s="835"/>
    </row>
    <row r="981" spans="2:79" s="154" customFormat="1" ht="11.25" customHeight="1">
      <c r="B981" s="150"/>
      <c r="C981" s="51" t="s">
        <v>466</v>
      </c>
      <c r="E981" s="182">
        <f t="shared" ref="E981:AJ981" si="2217">E738</f>
        <v>202</v>
      </c>
      <c r="F981" s="182">
        <f t="shared" si="2217"/>
        <v>240</v>
      </c>
      <c r="G981" s="182">
        <f t="shared" si="2217"/>
        <v>207</v>
      </c>
      <c r="H981" s="182">
        <f t="shared" si="2217"/>
        <v>181</v>
      </c>
      <c r="I981" s="182">
        <f t="shared" si="2217"/>
        <v>197</v>
      </c>
      <c r="J981" s="182">
        <f t="shared" si="2217"/>
        <v>222</v>
      </c>
      <c r="K981" s="182">
        <f t="shared" si="2217"/>
        <v>195</v>
      </c>
      <c r="L981" s="182">
        <f t="shared" si="2217"/>
        <v>191</v>
      </c>
      <c r="M981" s="182">
        <f t="shared" si="2217"/>
        <v>194</v>
      </c>
      <c r="N981" s="182">
        <f t="shared" si="2217"/>
        <v>193</v>
      </c>
      <c r="O981" s="182">
        <f t="shared" si="2217"/>
        <v>193</v>
      </c>
      <c r="P981" s="182">
        <f t="shared" si="2217"/>
        <v>226</v>
      </c>
      <c r="Q981" s="182">
        <f t="shared" si="2217"/>
        <v>195</v>
      </c>
      <c r="R981" s="182">
        <f t="shared" si="2217"/>
        <v>186</v>
      </c>
      <c r="S981" s="182">
        <f t="shared" si="2217"/>
        <v>207</v>
      </c>
      <c r="T981" s="182">
        <f t="shared" si="2217"/>
        <v>204</v>
      </c>
      <c r="U981" s="182">
        <f t="shared" si="2217"/>
        <v>680</v>
      </c>
      <c r="V981" s="182">
        <f t="shared" si="2217"/>
        <v>704</v>
      </c>
      <c r="W981" s="182">
        <f t="shared" si="2217"/>
        <v>650</v>
      </c>
      <c r="X981" s="182">
        <f t="shared" si="2217"/>
        <v>564</v>
      </c>
      <c r="Y981" s="182">
        <f t="shared" si="2217"/>
        <v>540</v>
      </c>
      <c r="Z981" s="182">
        <f t="shared" si="2217"/>
        <v>609</v>
      </c>
      <c r="AA981" s="182">
        <f t="shared" si="2217"/>
        <v>717</v>
      </c>
      <c r="AB981" s="182">
        <f t="shared" si="2217"/>
        <v>459</v>
      </c>
      <c r="AC981" s="182">
        <f t="shared" si="2217"/>
        <v>487</v>
      </c>
      <c r="AD981" s="182">
        <f t="shared" si="2217"/>
        <v>456</v>
      </c>
      <c r="AE981" s="182">
        <f t="shared" si="2217"/>
        <v>461</v>
      </c>
      <c r="AF981" s="182">
        <f t="shared" si="2217"/>
        <v>493</v>
      </c>
      <c r="AG981" s="182">
        <f t="shared" ref="AG981" si="2218">AG738</f>
        <v>599</v>
      </c>
      <c r="AH981" s="182">
        <f t="shared" ca="1" si="2217"/>
        <v>191.82573181773762</v>
      </c>
      <c r="AI981" s="182">
        <f t="shared" ca="1" si="2217"/>
        <v>296.1228643814552</v>
      </c>
      <c r="AJ981" s="182">
        <f t="shared" ca="1" si="2217"/>
        <v>337.97361067745459</v>
      </c>
      <c r="AK981" s="79"/>
      <c r="AL981" s="182">
        <f t="shared" ref="AL981:AX981" si="2219">AL738</f>
        <v>214</v>
      </c>
      <c r="AM981" s="182">
        <f t="shared" si="2219"/>
        <v>293</v>
      </c>
      <c r="AN981" s="182">
        <f t="shared" si="2219"/>
        <v>181</v>
      </c>
      <c r="AO981" s="182">
        <f t="shared" si="2219"/>
        <v>191</v>
      </c>
      <c r="AP981" s="182">
        <f t="shared" si="2219"/>
        <v>226</v>
      </c>
      <c r="AQ981" s="182">
        <f t="shared" si="2219"/>
        <v>204</v>
      </c>
      <c r="AR981" s="182">
        <f t="shared" si="2219"/>
        <v>564</v>
      </c>
      <c r="AS981" s="182">
        <f t="shared" si="2219"/>
        <v>459</v>
      </c>
      <c r="AT981" s="182">
        <f t="shared" si="2219"/>
        <v>493</v>
      </c>
      <c r="AU981" s="182">
        <f t="shared" ca="1" si="2219"/>
        <v>337.97361067745459</v>
      </c>
      <c r="AV981" s="182">
        <f t="shared" ca="1" si="2219"/>
        <v>448.60049652896123</v>
      </c>
      <c r="AW981" s="182">
        <f t="shared" ca="1" si="2219"/>
        <v>110.70360080893829</v>
      </c>
      <c r="AX981" s="182">
        <f t="shared" ca="1" si="2219"/>
        <v>190.17612356724021</v>
      </c>
      <c r="AY981" s="1"/>
      <c r="BY981" s="835"/>
      <c r="BZ981" s="835"/>
      <c r="CA981" s="835"/>
    </row>
    <row r="982" spans="2:79" s="154" customFormat="1" ht="11.25" customHeight="1">
      <c r="B982" s="150"/>
      <c r="C982" s="51" t="s">
        <v>467</v>
      </c>
      <c r="E982" s="214">
        <f t="shared" ref="E982:X982" si="2220">E980-E981</f>
        <v>6876</v>
      </c>
      <c r="F982" s="214">
        <f t="shared" si="2220"/>
        <v>6564</v>
      </c>
      <c r="G982" s="214">
        <f t="shared" si="2220"/>
        <v>6401</v>
      </c>
      <c r="H982" s="214">
        <f t="shared" si="2220"/>
        <v>6413</v>
      </c>
      <c r="I982" s="214">
        <f t="shared" si="2220"/>
        <v>6686</v>
      </c>
      <c r="J982" s="214">
        <f t="shared" si="2220"/>
        <v>6659</v>
      </c>
      <c r="K982" s="214">
        <f t="shared" si="2220"/>
        <v>6499</v>
      </c>
      <c r="L982" s="214">
        <f t="shared" si="2220"/>
        <v>6349</v>
      </c>
      <c r="M982" s="214">
        <f t="shared" si="2220"/>
        <v>6706</v>
      </c>
      <c r="N982" s="214">
        <f t="shared" si="2220"/>
        <v>6502</v>
      </c>
      <c r="O982" s="214">
        <f t="shared" si="2220"/>
        <v>6433</v>
      </c>
      <c r="P982" s="214">
        <f t="shared" si="2220"/>
        <v>5942</v>
      </c>
      <c r="Q982" s="214">
        <f t="shared" si="2220"/>
        <v>6269</v>
      </c>
      <c r="R982" s="214">
        <f t="shared" si="2220"/>
        <v>6169</v>
      </c>
      <c r="S982" s="214">
        <f t="shared" si="2220"/>
        <v>6002</v>
      </c>
      <c r="T982" s="214">
        <f t="shared" si="2220"/>
        <v>5578</v>
      </c>
      <c r="U982" s="214">
        <f t="shared" si="2220"/>
        <v>5614</v>
      </c>
      <c r="V982" s="214">
        <f t="shared" si="2220"/>
        <v>5429</v>
      </c>
      <c r="W982" s="214">
        <f t="shared" si="2220"/>
        <v>5215</v>
      </c>
      <c r="X982" s="214">
        <f t="shared" si="2220"/>
        <v>5054</v>
      </c>
      <c r="Y982" s="214">
        <f t="shared" ref="Y982:AF982" si="2221">Y980-Y981</f>
        <v>4984</v>
      </c>
      <c r="Z982" s="214">
        <f t="shared" si="2221"/>
        <v>4939</v>
      </c>
      <c r="AA982" s="214">
        <f t="shared" si="2221"/>
        <v>4771</v>
      </c>
      <c r="AB982" s="214">
        <f t="shared" si="2221"/>
        <v>4700</v>
      </c>
      <c r="AC982" s="214">
        <f t="shared" si="2221"/>
        <v>4876</v>
      </c>
      <c r="AD982" s="214">
        <f t="shared" si="2221"/>
        <v>4535</v>
      </c>
      <c r="AE982" s="214">
        <f t="shared" si="2221"/>
        <v>4604</v>
      </c>
      <c r="AF982" s="214">
        <f t="shared" si="2221"/>
        <v>4658</v>
      </c>
      <c r="AG982" s="214">
        <f t="shared" ref="AG982" si="2222">AG980-AG981</f>
        <v>5051</v>
      </c>
      <c r="AH982" s="214">
        <f ca="1">AH980-AH981</f>
        <v>4642.1742681822625</v>
      </c>
      <c r="AI982" s="214">
        <f ca="1">AI980-AI981</f>
        <v>4537.8771356185443</v>
      </c>
      <c r="AJ982" s="214">
        <f ca="1">AJ980-AJ981</f>
        <v>4496.0263893225456</v>
      </c>
      <c r="AK982" s="79"/>
      <c r="AL982" s="214">
        <f t="shared" ref="AL982:AT982" si="2223">AL980-AL981</f>
        <v>7335</v>
      </c>
      <c r="AM982" s="214">
        <f t="shared" si="2223"/>
        <v>6715</v>
      </c>
      <c r="AN982" s="214">
        <f t="shared" si="2223"/>
        <v>6413</v>
      </c>
      <c r="AO982" s="214">
        <f t="shared" si="2223"/>
        <v>6349</v>
      </c>
      <c r="AP982" s="214">
        <f t="shared" si="2223"/>
        <v>5942</v>
      </c>
      <c r="AQ982" s="214">
        <f t="shared" si="2223"/>
        <v>5578</v>
      </c>
      <c r="AR982" s="214">
        <f t="shared" si="2223"/>
        <v>5054</v>
      </c>
      <c r="AS982" s="214">
        <f t="shared" si="2223"/>
        <v>4700</v>
      </c>
      <c r="AT982" s="214">
        <f t="shared" si="2223"/>
        <v>4658</v>
      </c>
      <c r="AU982" s="214">
        <f ca="1">AU980-AU981</f>
        <v>4496.0263893225456</v>
      </c>
      <c r="AV982" s="214">
        <f ca="1">AV980-AV981</f>
        <v>4144.3995034710388</v>
      </c>
      <c r="AW982" s="214">
        <f ca="1">AW980-AW981</f>
        <v>3788.2963991910619</v>
      </c>
      <c r="AX982" s="214">
        <f ca="1">AX980-AX981</f>
        <v>3166.8238764327598</v>
      </c>
      <c r="AY982" s="1"/>
      <c r="BY982" s="835"/>
      <c r="BZ982" s="835"/>
      <c r="CA982" s="835"/>
    </row>
    <row r="983" spans="2:79" s="154" customFormat="1" ht="11.25" customHeight="1">
      <c r="B983" s="150"/>
      <c r="C983" s="51" t="s">
        <v>468</v>
      </c>
      <c r="E983" s="182">
        <f t="shared" ref="E983:AJ983" si="2224">E40</f>
        <v>64</v>
      </c>
      <c r="F983" s="182">
        <f t="shared" si="2224"/>
        <v>63</v>
      </c>
      <c r="G983" s="182">
        <f t="shared" si="2224"/>
        <v>64</v>
      </c>
      <c r="H983" s="182">
        <f t="shared" si="2224"/>
        <v>64</v>
      </c>
      <c r="I983" s="182">
        <f t="shared" si="2224"/>
        <v>60</v>
      </c>
      <c r="J983" s="182">
        <f t="shared" si="2224"/>
        <v>61</v>
      </c>
      <c r="K983" s="182">
        <f t="shared" si="2224"/>
        <v>61</v>
      </c>
      <c r="L983" s="182">
        <f t="shared" si="2224"/>
        <v>59</v>
      </c>
      <c r="M983" s="182">
        <f t="shared" si="2224"/>
        <v>59</v>
      </c>
      <c r="N983" s="182">
        <f t="shared" si="2224"/>
        <v>61</v>
      </c>
      <c r="O983" s="182">
        <f t="shared" si="2224"/>
        <v>58</v>
      </c>
      <c r="P983" s="182">
        <f t="shared" si="2224"/>
        <v>57</v>
      </c>
      <c r="Q983" s="182">
        <f t="shared" si="2224"/>
        <v>56</v>
      </c>
      <c r="R983" s="182">
        <f t="shared" si="2224"/>
        <v>55</v>
      </c>
      <c r="S983" s="182">
        <f t="shared" si="2224"/>
        <v>54</v>
      </c>
      <c r="T983" s="182">
        <f t="shared" si="2224"/>
        <v>53</v>
      </c>
      <c r="U983" s="182">
        <f t="shared" si="2224"/>
        <v>52</v>
      </c>
      <c r="V983" s="182">
        <f t="shared" si="2224"/>
        <v>55</v>
      </c>
      <c r="W983" s="182">
        <f t="shared" si="2224"/>
        <v>52</v>
      </c>
      <c r="X983" s="182">
        <f t="shared" si="2224"/>
        <v>51</v>
      </c>
      <c r="Y983" s="182">
        <f t="shared" si="2224"/>
        <v>50</v>
      </c>
      <c r="Z983" s="182">
        <f t="shared" si="2224"/>
        <v>51</v>
      </c>
      <c r="AA983" s="182">
        <f t="shared" si="2224"/>
        <v>49</v>
      </c>
      <c r="AB983" s="182">
        <f t="shared" si="2224"/>
        <v>48</v>
      </c>
      <c r="AC983" s="182">
        <f t="shared" si="2224"/>
        <v>46</v>
      </c>
      <c r="AD983" s="182">
        <f t="shared" si="2224"/>
        <v>45</v>
      </c>
      <c r="AE983" s="182">
        <f t="shared" si="2224"/>
        <v>43</v>
      </c>
      <c r="AF983" s="182">
        <f t="shared" si="2224"/>
        <v>48</v>
      </c>
      <c r="AG983" s="182">
        <f t="shared" si="2224"/>
        <v>52</v>
      </c>
      <c r="AH983" s="182">
        <f t="shared" ca="1" si="2224"/>
        <v>52.814812500000002</v>
      </c>
      <c r="AI983" s="182">
        <f t="shared" ca="1" si="2224"/>
        <v>51.284812500000001</v>
      </c>
      <c r="AJ983" s="182">
        <f t="shared" ca="1" si="2224"/>
        <v>51.284812500000001</v>
      </c>
      <c r="AK983" s="79"/>
      <c r="AL983" s="182">
        <f t="shared" ref="AL983:AX983" si="2225">AL40</f>
        <v>187</v>
      </c>
      <c r="AM983" s="182">
        <f t="shared" si="2225"/>
        <v>263</v>
      </c>
      <c r="AN983" s="182">
        <f t="shared" si="2225"/>
        <v>255</v>
      </c>
      <c r="AO983" s="182">
        <f t="shared" si="2225"/>
        <v>241</v>
      </c>
      <c r="AP983" s="182">
        <f t="shared" si="2225"/>
        <v>235</v>
      </c>
      <c r="AQ983" s="182">
        <f t="shared" si="2225"/>
        <v>218</v>
      </c>
      <c r="AR983" s="182">
        <f t="shared" si="2225"/>
        <v>210</v>
      </c>
      <c r="AS983" s="182">
        <f t="shared" si="2225"/>
        <v>198</v>
      </c>
      <c r="AT983" s="182">
        <f t="shared" si="2225"/>
        <v>182</v>
      </c>
      <c r="AU983" s="182">
        <f t="shared" ca="1" si="2225"/>
        <v>207.38443749999999</v>
      </c>
      <c r="AV983" s="182">
        <f t="shared" ca="1" si="2225"/>
        <v>196.32237499999999</v>
      </c>
      <c r="AW983" s="182">
        <f t="shared" ca="1" si="2225"/>
        <v>174.31950000000001</v>
      </c>
      <c r="AX983" s="182">
        <f t="shared" ca="1" si="2225"/>
        <v>156.05224999999999</v>
      </c>
      <c r="AY983" s="1"/>
      <c r="BY983" s="835"/>
      <c r="BZ983" s="835"/>
      <c r="CA983" s="835"/>
    </row>
    <row r="984" spans="2:79" s="154" customFormat="1" ht="11.25" customHeight="1">
      <c r="B984" s="150"/>
      <c r="C984" s="51" t="s">
        <v>469</v>
      </c>
      <c r="E984" s="182">
        <f t="shared" ref="E984:AF984" si="2226">E780</f>
        <v>4285</v>
      </c>
      <c r="F984" s="182">
        <f t="shared" si="2226"/>
        <v>4453</v>
      </c>
      <c r="G984" s="182">
        <f t="shared" si="2226"/>
        <v>4516</v>
      </c>
      <c r="H984" s="182">
        <f t="shared" si="2226"/>
        <v>4608</v>
      </c>
      <c r="I984" s="182">
        <f t="shared" si="2226"/>
        <v>4727</v>
      </c>
      <c r="J984" s="182">
        <f t="shared" si="2226"/>
        <v>4890</v>
      </c>
      <c r="K984" s="182">
        <f t="shared" si="2226"/>
        <v>5099</v>
      </c>
      <c r="L984" s="182">
        <f t="shared" si="2226"/>
        <v>5480</v>
      </c>
      <c r="M984" s="182">
        <f t="shared" si="2226"/>
        <v>5620</v>
      </c>
      <c r="N984" s="182">
        <f t="shared" si="2226"/>
        <v>5774</v>
      </c>
      <c r="O984" s="182">
        <f t="shared" si="2226"/>
        <v>5995</v>
      </c>
      <c r="P984" s="182">
        <f t="shared" si="2226"/>
        <v>5878</v>
      </c>
      <c r="Q984" s="182">
        <f t="shared" si="2226"/>
        <v>5919</v>
      </c>
      <c r="R984" s="182">
        <f t="shared" si="2226"/>
        <v>5946</v>
      </c>
      <c r="S984" s="182">
        <f t="shared" si="2226"/>
        <v>6097</v>
      </c>
      <c r="T984" s="182">
        <f t="shared" si="2226"/>
        <v>6032</v>
      </c>
      <c r="U984" s="182">
        <f t="shared" si="2226"/>
        <v>6192</v>
      </c>
      <c r="V984" s="182">
        <f t="shared" si="2226"/>
        <v>6098</v>
      </c>
      <c r="W984" s="182">
        <f t="shared" si="2226"/>
        <v>6156</v>
      </c>
      <c r="X984" s="182">
        <f t="shared" si="2226"/>
        <v>6108</v>
      </c>
      <c r="Y984" s="182">
        <f t="shared" si="2226"/>
        <v>6319</v>
      </c>
      <c r="Z984" s="182">
        <f t="shared" si="2226"/>
        <v>6028</v>
      </c>
      <c r="AA984" s="182">
        <f t="shared" si="2226"/>
        <v>6207</v>
      </c>
      <c r="AB984" s="182">
        <f t="shared" si="2226"/>
        <v>5788</v>
      </c>
      <c r="AC984" s="182">
        <f t="shared" si="2226"/>
        <v>5977</v>
      </c>
      <c r="AD984" s="182">
        <f t="shared" si="2226"/>
        <v>5407</v>
      </c>
      <c r="AE984" s="182">
        <f t="shared" si="2226"/>
        <v>5467</v>
      </c>
      <c r="AF984" s="182">
        <f t="shared" si="2226"/>
        <v>5236</v>
      </c>
      <c r="AG984" s="182">
        <f t="shared" ref="AG984" si="2227">AG780</f>
        <v>5262</v>
      </c>
      <c r="AH984" s="182">
        <f ca="1">AH780</f>
        <v>5437.0524774999994</v>
      </c>
      <c r="AI984" s="182">
        <f ca="1">AI780</f>
        <v>5634.7554709999986</v>
      </c>
      <c r="AJ984" s="182">
        <f ca="1">AJ780</f>
        <v>5776.0388564999976</v>
      </c>
      <c r="AK984" s="79"/>
      <c r="AL984" s="182">
        <f t="shared" ref="AL984:AT984" si="2228">AL780</f>
        <v>3590</v>
      </c>
      <c r="AM984" s="182">
        <f t="shared" si="2228"/>
        <v>4021</v>
      </c>
      <c r="AN984" s="182">
        <f t="shared" si="2228"/>
        <v>4608</v>
      </c>
      <c r="AO984" s="182">
        <f t="shared" si="2228"/>
        <v>5480</v>
      </c>
      <c r="AP984" s="182">
        <f t="shared" si="2228"/>
        <v>5878</v>
      </c>
      <c r="AQ984" s="182">
        <f t="shared" si="2228"/>
        <v>6032</v>
      </c>
      <c r="AR984" s="182">
        <f t="shared" si="2228"/>
        <v>6108</v>
      </c>
      <c r="AS984" s="182">
        <f t="shared" si="2228"/>
        <v>5788</v>
      </c>
      <c r="AT984" s="182">
        <f t="shared" si="2228"/>
        <v>5236</v>
      </c>
      <c r="AU984" s="182">
        <f ca="1">AU780</f>
        <v>5776.0388564999976</v>
      </c>
      <c r="AV984" s="182">
        <f ca="1">AV780</f>
        <v>6420.4891032199976</v>
      </c>
      <c r="AW984" s="182">
        <f ca="1">AW780</f>
        <v>7120.7055802789473</v>
      </c>
      <c r="AX984" s="182">
        <f ca="1">AX780</f>
        <v>7853.091148424046</v>
      </c>
      <c r="AY984" s="1"/>
      <c r="BY984" s="835"/>
      <c r="BZ984" s="835"/>
      <c r="CA984" s="835"/>
    </row>
    <row r="985" spans="2:79" s="154" customFormat="1" ht="11.25" customHeight="1">
      <c r="B985" s="150"/>
      <c r="C985" s="51" t="s">
        <v>470</v>
      </c>
      <c r="E985" s="214">
        <f t="shared" ref="E985:AJ985" si="2229">E753-E750-E751</f>
        <v>8452</v>
      </c>
      <c r="F985" s="214">
        <f t="shared" si="2229"/>
        <v>8477</v>
      </c>
      <c r="G985" s="214">
        <f t="shared" si="2229"/>
        <v>8472</v>
      </c>
      <c r="H985" s="214">
        <f t="shared" si="2229"/>
        <v>8527</v>
      </c>
      <c r="I985" s="214">
        <f t="shared" si="2229"/>
        <v>8837</v>
      </c>
      <c r="J985" s="214">
        <f t="shared" si="2229"/>
        <v>9024</v>
      </c>
      <c r="K985" s="214">
        <f t="shared" si="2229"/>
        <v>9100</v>
      </c>
      <c r="L985" s="214">
        <f t="shared" si="2229"/>
        <v>9099</v>
      </c>
      <c r="M985" s="214">
        <f t="shared" si="2229"/>
        <v>9477</v>
      </c>
      <c r="N985" s="214">
        <f t="shared" si="2229"/>
        <v>9468</v>
      </c>
      <c r="O985" s="214">
        <f t="shared" si="2229"/>
        <v>9622</v>
      </c>
      <c r="P985" s="214">
        <f t="shared" si="2229"/>
        <v>9343</v>
      </c>
      <c r="Q985" s="214">
        <f t="shared" si="2229"/>
        <v>9754</v>
      </c>
      <c r="R985" s="214">
        <f t="shared" si="2229"/>
        <v>9682</v>
      </c>
      <c r="S985" s="214">
        <f t="shared" si="2229"/>
        <v>9639</v>
      </c>
      <c r="T985" s="214">
        <f t="shared" si="2229"/>
        <v>9566</v>
      </c>
      <c r="U985" s="214">
        <f t="shared" si="2229"/>
        <v>10086</v>
      </c>
      <c r="V985" s="214">
        <f t="shared" si="2229"/>
        <v>9731</v>
      </c>
      <c r="W985" s="214">
        <f t="shared" si="2229"/>
        <v>9764</v>
      </c>
      <c r="X985" s="214">
        <f t="shared" si="2229"/>
        <v>9826</v>
      </c>
      <c r="Y985" s="214">
        <f t="shared" si="2229"/>
        <v>10008</v>
      </c>
      <c r="Z985" s="214">
        <f t="shared" si="2229"/>
        <v>10655</v>
      </c>
      <c r="AA985" s="214">
        <f t="shared" si="2229"/>
        <v>10808</v>
      </c>
      <c r="AB985" s="214">
        <f t="shared" si="2229"/>
        <v>10516</v>
      </c>
      <c r="AC985" s="214">
        <f t="shared" si="2229"/>
        <v>10838</v>
      </c>
      <c r="AD985" s="214">
        <f t="shared" si="2229"/>
        <v>9964</v>
      </c>
      <c r="AE985" s="214">
        <f t="shared" si="2229"/>
        <v>10135</v>
      </c>
      <c r="AF985" s="214">
        <f t="shared" si="2229"/>
        <v>9793</v>
      </c>
      <c r="AG985" s="214">
        <f t="shared" ref="AG985" si="2230">AG753-AG750-AG751</f>
        <v>10077</v>
      </c>
      <c r="AH985" s="214">
        <f t="shared" ca="1" si="2229"/>
        <v>9450.2208501027399</v>
      </c>
      <c r="AI985" s="214">
        <f t="shared" ca="1" si="2229"/>
        <v>9591.8316874383563</v>
      </c>
      <c r="AJ985" s="214">
        <f t="shared" ca="1" si="2229"/>
        <v>9662.2337222534243</v>
      </c>
      <c r="AK985" s="79"/>
      <c r="AL985" s="214">
        <f t="shared" ref="AL985:AX985" si="2231">AL753-AL750-AL751</f>
        <v>8681</v>
      </c>
      <c r="AM985" s="214">
        <f t="shared" si="2231"/>
        <v>8412</v>
      </c>
      <c r="AN985" s="214">
        <f t="shared" si="2231"/>
        <v>8527</v>
      </c>
      <c r="AO985" s="214">
        <f t="shared" si="2231"/>
        <v>9099</v>
      </c>
      <c r="AP985" s="214">
        <f t="shared" si="2231"/>
        <v>9343</v>
      </c>
      <c r="AQ985" s="214">
        <f t="shared" si="2231"/>
        <v>9566</v>
      </c>
      <c r="AR985" s="214">
        <f t="shared" si="2231"/>
        <v>9826</v>
      </c>
      <c r="AS985" s="214">
        <f t="shared" si="2231"/>
        <v>10516</v>
      </c>
      <c r="AT985" s="214">
        <f t="shared" si="2231"/>
        <v>9793</v>
      </c>
      <c r="AU985" s="214">
        <f t="shared" ca="1" si="2231"/>
        <v>9662.2337222534243</v>
      </c>
      <c r="AV985" s="214">
        <f t="shared" ca="1" si="2231"/>
        <v>9897.7332773569851</v>
      </c>
      <c r="AW985" s="214">
        <f t="shared" ca="1" si="2231"/>
        <v>9828.5765752110037</v>
      </c>
      <c r="AX985" s="214">
        <f t="shared" ca="1" si="2231"/>
        <v>9935.5955439937534</v>
      </c>
      <c r="AY985" s="1"/>
      <c r="BY985" s="835"/>
      <c r="BZ985" s="835"/>
      <c r="CA985" s="835"/>
    </row>
    <row r="986" spans="2:79" s="154" customFormat="1" ht="11.25" customHeight="1">
      <c r="B986" s="150"/>
      <c r="C986" s="51" t="s">
        <v>471</v>
      </c>
      <c r="E986" s="182">
        <f t="shared" ref="E986:AJ986" si="2232">E628</f>
        <v>406</v>
      </c>
      <c r="F986" s="182">
        <f t="shared" si="2232"/>
        <v>376</v>
      </c>
      <c r="G986" s="182">
        <f t="shared" si="2232"/>
        <v>416</v>
      </c>
      <c r="H986" s="182">
        <f t="shared" si="2232"/>
        <v>336</v>
      </c>
      <c r="I986" s="182">
        <f t="shared" si="2232"/>
        <v>401</v>
      </c>
      <c r="J986" s="182">
        <f t="shared" si="2232"/>
        <v>420</v>
      </c>
      <c r="K986" s="182">
        <f t="shared" si="2232"/>
        <v>461</v>
      </c>
      <c r="L986" s="182">
        <f t="shared" si="2232"/>
        <v>353</v>
      </c>
      <c r="M986" s="182">
        <f t="shared" si="2232"/>
        <v>459</v>
      </c>
      <c r="N986" s="182">
        <f t="shared" si="2232"/>
        <v>447</v>
      </c>
      <c r="O986" s="182">
        <f t="shared" si="2232"/>
        <v>451</v>
      </c>
      <c r="P986" s="182">
        <f t="shared" si="2232"/>
        <v>276</v>
      </c>
      <c r="Q986" s="182">
        <f t="shared" si="2232"/>
        <v>352</v>
      </c>
      <c r="R986" s="182">
        <f t="shared" si="2232"/>
        <v>389</v>
      </c>
      <c r="S986" s="182">
        <f t="shared" si="2232"/>
        <v>369</v>
      </c>
      <c r="T986" s="182">
        <f t="shared" si="2232"/>
        <v>279</v>
      </c>
      <c r="U986" s="182">
        <f t="shared" si="2232"/>
        <v>382</v>
      </c>
      <c r="V986" s="182">
        <f t="shared" si="2232"/>
        <v>195</v>
      </c>
      <c r="W986" s="182">
        <f t="shared" si="2232"/>
        <v>310</v>
      </c>
      <c r="X986" s="182">
        <f t="shared" si="2232"/>
        <v>329</v>
      </c>
      <c r="Y986" s="182">
        <f t="shared" si="2232"/>
        <v>400</v>
      </c>
      <c r="Z986" s="182">
        <f t="shared" si="2232"/>
        <v>449</v>
      </c>
      <c r="AA986" s="182">
        <f t="shared" si="2232"/>
        <v>442</v>
      </c>
      <c r="AB986" s="182">
        <f t="shared" si="2232"/>
        <v>329</v>
      </c>
      <c r="AC986" s="182">
        <f t="shared" si="2232"/>
        <v>366</v>
      </c>
      <c r="AD986" s="182">
        <f t="shared" si="2232"/>
        <v>469</v>
      </c>
      <c r="AE986" s="182">
        <f t="shared" si="2232"/>
        <v>333</v>
      </c>
      <c r="AF986" s="182">
        <f t="shared" si="2232"/>
        <v>171</v>
      </c>
      <c r="AG986" s="182">
        <f t="shared" ref="AG986" si="2233">AG628</f>
        <v>283</v>
      </c>
      <c r="AH986" s="182">
        <f t="shared" si="2232"/>
        <v>382.96299999999997</v>
      </c>
      <c r="AI986" s="182">
        <f t="shared" si="2232"/>
        <v>408.39790000000005</v>
      </c>
      <c r="AJ986" s="182">
        <f t="shared" si="2232"/>
        <v>341.23169999999999</v>
      </c>
      <c r="AK986" s="79"/>
      <c r="AL986" s="182">
        <f t="shared" ref="AL986:AX986" si="2234">AL628</f>
        <v>1613</v>
      </c>
      <c r="AM986" s="182">
        <f t="shared" si="2234"/>
        <v>1692</v>
      </c>
      <c r="AN986" s="182">
        <f t="shared" si="2234"/>
        <v>1534</v>
      </c>
      <c r="AO986" s="182">
        <f t="shared" si="2234"/>
        <v>1635</v>
      </c>
      <c r="AP986" s="182">
        <f t="shared" si="2234"/>
        <v>1633</v>
      </c>
      <c r="AQ986" s="182">
        <f t="shared" si="2234"/>
        <v>1389</v>
      </c>
      <c r="AR986" s="182">
        <f t="shared" si="2234"/>
        <v>1216</v>
      </c>
      <c r="AS986" s="182">
        <f t="shared" si="2234"/>
        <v>1620</v>
      </c>
      <c r="AT986" s="182">
        <f t="shared" si="2234"/>
        <v>1339</v>
      </c>
      <c r="AU986" s="182">
        <f t="shared" si="2234"/>
        <v>1415.5926000000002</v>
      </c>
      <c r="AV986" s="182">
        <f t="shared" si="2234"/>
        <v>1516.7443589999998</v>
      </c>
      <c r="AW986" s="182">
        <f t="shared" si="2234"/>
        <v>1598.1947735649999</v>
      </c>
      <c r="AX986" s="182">
        <f t="shared" si="2234"/>
        <v>1691.2155851145749</v>
      </c>
      <c r="AY986" s="1"/>
      <c r="BY986" s="835"/>
      <c r="BZ986" s="835"/>
      <c r="CA986" s="835"/>
    </row>
    <row r="987" spans="2:79" s="154" customFormat="1" ht="11.25" customHeight="1">
      <c r="B987" s="150"/>
      <c r="C987" s="51" t="s">
        <v>472</v>
      </c>
      <c r="E987" s="182">
        <f t="shared" ref="E987:AJ987" si="2235">E119</f>
        <v>553</v>
      </c>
      <c r="F987" s="182">
        <f t="shared" si="2235"/>
        <v>520</v>
      </c>
      <c r="G987" s="182">
        <f t="shared" si="2235"/>
        <v>561</v>
      </c>
      <c r="H987" s="182">
        <f t="shared" si="2235"/>
        <v>480</v>
      </c>
      <c r="I987" s="182">
        <f t="shared" si="2235"/>
        <v>546</v>
      </c>
      <c r="J987" s="182">
        <f t="shared" si="2235"/>
        <v>567</v>
      </c>
      <c r="K987" s="182">
        <f t="shared" si="2235"/>
        <v>609</v>
      </c>
      <c r="L987" s="182">
        <f t="shared" si="2235"/>
        <v>500</v>
      </c>
      <c r="M987" s="182">
        <f t="shared" si="2235"/>
        <v>611</v>
      </c>
      <c r="N987" s="182">
        <f t="shared" si="2235"/>
        <v>595</v>
      </c>
      <c r="O987" s="182">
        <f t="shared" si="2235"/>
        <v>602</v>
      </c>
      <c r="P987" s="182">
        <f t="shared" si="2235"/>
        <v>429</v>
      </c>
      <c r="Q987" s="182">
        <f t="shared" si="2235"/>
        <v>507</v>
      </c>
      <c r="R987" s="182">
        <f t="shared" si="2235"/>
        <v>545</v>
      </c>
      <c r="S987" s="182">
        <f t="shared" si="2235"/>
        <v>520</v>
      </c>
      <c r="T987" s="182">
        <f t="shared" si="2235"/>
        <v>428</v>
      </c>
      <c r="U987" s="182">
        <f t="shared" si="2235"/>
        <v>521</v>
      </c>
      <c r="V987" s="182">
        <f t="shared" si="2235"/>
        <v>336</v>
      </c>
      <c r="W987" s="182">
        <f t="shared" si="2235"/>
        <v>459</v>
      </c>
      <c r="X987" s="182">
        <f t="shared" si="2235"/>
        <v>474</v>
      </c>
      <c r="Y987" s="182">
        <f t="shared" si="2235"/>
        <v>549</v>
      </c>
      <c r="Z987" s="182">
        <f t="shared" si="2235"/>
        <v>594</v>
      </c>
      <c r="AA987" s="182">
        <f t="shared" si="2235"/>
        <v>572</v>
      </c>
      <c r="AB987" s="182">
        <f t="shared" si="2235"/>
        <v>458</v>
      </c>
      <c r="AC987" s="182">
        <f t="shared" si="2235"/>
        <v>487</v>
      </c>
      <c r="AD987" s="182">
        <f t="shared" si="2235"/>
        <v>591</v>
      </c>
      <c r="AE987" s="182">
        <f t="shared" si="2235"/>
        <v>450</v>
      </c>
      <c r="AF987" s="182">
        <f t="shared" si="2235"/>
        <v>288</v>
      </c>
      <c r="AG987" s="182">
        <f t="shared" si="2235"/>
        <v>424</v>
      </c>
      <c r="AH987" s="182">
        <f t="shared" si="2235"/>
        <v>509.09648445472396</v>
      </c>
      <c r="AI987" s="182">
        <f t="shared" si="2235"/>
        <v>536.14336454316981</v>
      </c>
      <c r="AJ987" s="182">
        <f t="shared" si="2235"/>
        <v>470.58914463161557</v>
      </c>
      <c r="AK987" s="79"/>
      <c r="AL987" s="182">
        <f t="shared" ref="AL987:AX987" si="2236">AL119</f>
        <v>2063</v>
      </c>
      <c r="AM987" s="182">
        <f t="shared" si="2236"/>
        <v>2263</v>
      </c>
      <c r="AN987" s="182">
        <f t="shared" si="2236"/>
        <v>2114</v>
      </c>
      <c r="AO987" s="182">
        <f t="shared" si="2236"/>
        <v>2222</v>
      </c>
      <c r="AP987" s="182">
        <f t="shared" si="2236"/>
        <v>2237</v>
      </c>
      <c r="AQ987" s="182">
        <f t="shared" si="2236"/>
        <v>2000</v>
      </c>
      <c r="AR987" s="182">
        <f t="shared" si="2236"/>
        <v>1790</v>
      </c>
      <c r="AS987" s="182">
        <f t="shared" si="2236"/>
        <v>2173</v>
      </c>
      <c r="AT987" s="182">
        <f t="shared" si="2236"/>
        <v>1816</v>
      </c>
      <c r="AU987" s="182">
        <f t="shared" si="2236"/>
        <v>1939.8289936295096</v>
      </c>
      <c r="AV987" s="182">
        <f t="shared" si="2236"/>
        <v>2037.3603589999998</v>
      </c>
      <c r="AW987" s="182">
        <f t="shared" si="2236"/>
        <v>2129.0107735649999</v>
      </c>
      <c r="AX987" s="182">
        <f t="shared" si="2236"/>
        <v>2241.231585114575</v>
      </c>
      <c r="AY987" s="1"/>
      <c r="AZ987" s="182"/>
      <c r="BY987" s="835"/>
      <c r="BZ987" s="835"/>
      <c r="CA987" s="835"/>
    </row>
    <row r="988" spans="2:79" s="154" customFormat="1" ht="11.25" customHeight="1">
      <c r="B988" s="150"/>
      <c r="C988" s="51" t="s">
        <v>473</v>
      </c>
      <c r="E988" s="215"/>
      <c r="F988" s="215"/>
      <c r="G988" s="215"/>
      <c r="H988" s="182">
        <f>SUM(E987:H987)</f>
        <v>2114</v>
      </c>
      <c r="I988" s="182">
        <f t="shared" ref="I988:Y988" si="2237">SUM(F987:I987)</f>
        <v>2107</v>
      </c>
      <c r="J988" s="182">
        <f t="shared" si="2237"/>
        <v>2154</v>
      </c>
      <c r="K988" s="182">
        <f t="shared" si="2237"/>
        <v>2202</v>
      </c>
      <c r="L988" s="182">
        <f t="shared" si="2237"/>
        <v>2222</v>
      </c>
      <c r="M988" s="182">
        <f t="shared" si="2237"/>
        <v>2287</v>
      </c>
      <c r="N988" s="182">
        <f t="shared" si="2237"/>
        <v>2315</v>
      </c>
      <c r="O988" s="182">
        <f t="shared" si="2237"/>
        <v>2308</v>
      </c>
      <c r="P988" s="182">
        <f t="shared" si="2237"/>
        <v>2237</v>
      </c>
      <c r="Q988" s="182">
        <f t="shared" si="2237"/>
        <v>2133</v>
      </c>
      <c r="R988" s="182">
        <f t="shared" si="2237"/>
        <v>2083</v>
      </c>
      <c r="S988" s="182">
        <f t="shared" si="2237"/>
        <v>2001</v>
      </c>
      <c r="T988" s="182">
        <f t="shared" si="2237"/>
        <v>2000</v>
      </c>
      <c r="U988" s="182">
        <f t="shared" si="2237"/>
        <v>2014</v>
      </c>
      <c r="V988" s="182">
        <f t="shared" si="2237"/>
        <v>1805</v>
      </c>
      <c r="W988" s="182">
        <f t="shared" si="2237"/>
        <v>1744</v>
      </c>
      <c r="X988" s="182">
        <f t="shared" si="2237"/>
        <v>1790</v>
      </c>
      <c r="Y988" s="182">
        <f t="shared" si="2237"/>
        <v>1818</v>
      </c>
      <c r="Z988" s="182">
        <f t="shared" ref="Z988:AG988" si="2238">SUM(W987:Z987)</f>
        <v>2076</v>
      </c>
      <c r="AA988" s="182">
        <f t="shared" si="2238"/>
        <v>2189</v>
      </c>
      <c r="AB988" s="182">
        <f t="shared" si="2238"/>
        <v>2173</v>
      </c>
      <c r="AC988" s="182">
        <f t="shared" si="2238"/>
        <v>2111</v>
      </c>
      <c r="AD988" s="182">
        <f t="shared" si="2238"/>
        <v>2108</v>
      </c>
      <c r="AE988" s="182">
        <f t="shared" si="2238"/>
        <v>1986</v>
      </c>
      <c r="AF988" s="182">
        <f t="shared" si="2238"/>
        <v>1816</v>
      </c>
      <c r="AG988" s="182">
        <f t="shared" si="2238"/>
        <v>1753</v>
      </c>
      <c r="AH988" s="182">
        <f t="shared" ref="AH988" si="2239">SUM(AE987:AH987)</f>
        <v>1671.0964844547238</v>
      </c>
      <c r="AI988" s="182">
        <f t="shared" ref="AI988" si="2240">SUM(AF987:AI987)</f>
        <v>1757.2398489978937</v>
      </c>
      <c r="AJ988" s="182">
        <f t="shared" ref="AJ988" si="2241">SUM(AG987:AJ987)</f>
        <v>1939.8289936295091</v>
      </c>
      <c r="AK988" s="79"/>
      <c r="AL988" s="215"/>
      <c r="AM988" s="215"/>
      <c r="AN988" s="215"/>
      <c r="AO988" s="215"/>
      <c r="AP988" s="215"/>
      <c r="AQ988" s="215"/>
      <c r="AR988" s="215"/>
      <c r="AS988" s="215"/>
      <c r="AT988" s="215"/>
      <c r="AU988" s="215"/>
      <c r="AV988" s="215"/>
      <c r="AW988" s="215"/>
      <c r="AX988" s="215"/>
      <c r="AY988" s="1"/>
      <c r="AZ988" s="182"/>
      <c r="BY988" s="835"/>
      <c r="BZ988" s="835"/>
      <c r="CA988" s="835"/>
    </row>
    <row r="989" spans="2:79" s="154" customFormat="1" ht="11.25" customHeight="1">
      <c r="B989" s="150"/>
      <c r="C989" s="137"/>
      <c r="AK989" s="79"/>
      <c r="AL989" s="182"/>
      <c r="AM989" s="182"/>
      <c r="AN989" s="182"/>
      <c r="AO989" s="182"/>
      <c r="AP989" s="182"/>
      <c r="AQ989" s="182"/>
      <c r="AR989" s="182"/>
      <c r="AS989" s="182"/>
      <c r="AT989" s="182"/>
      <c r="AU989" s="167"/>
      <c r="AV989" s="167"/>
      <c r="AW989" s="167"/>
      <c r="AX989" s="167"/>
      <c r="AY989" s="1"/>
      <c r="BY989" s="835"/>
      <c r="BZ989" s="835"/>
      <c r="CA989" s="835"/>
    </row>
    <row r="990" spans="2:79" s="154" customFormat="1" ht="11.25" customHeight="1">
      <c r="B990" s="150"/>
      <c r="C990" s="51" t="s">
        <v>474</v>
      </c>
      <c r="E990" s="215"/>
      <c r="F990" s="215"/>
      <c r="G990" s="215"/>
      <c r="H990" s="424">
        <f>IFERROR(H980/H988,"NA  ")</f>
        <v>3.1192052980132452</v>
      </c>
      <c r="I990" s="424">
        <f t="shared" ref="I990:R990" si="2242">IFERROR(I980/I988,"NA  ")</f>
        <v>3.2667299477930709</v>
      </c>
      <c r="J990" s="424">
        <f t="shared" si="2242"/>
        <v>3.1945218198700092</v>
      </c>
      <c r="K990" s="424">
        <f t="shared" si="2242"/>
        <v>3.0399636693914625</v>
      </c>
      <c r="L990" s="424">
        <f t="shared" si="2242"/>
        <v>2.9432943294329434</v>
      </c>
      <c r="M990" s="424">
        <f t="shared" si="2242"/>
        <v>3.0170529077393966</v>
      </c>
      <c r="N990" s="424">
        <f t="shared" si="2242"/>
        <v>2.8920086393088553</v>
      </c>
      <c r="O990" s="424">
        <f t="shared" si="2242"/>
        <v>2.8708838821490468</v>
      </c>
      <c r="P990" s="424">
        <f t="shared" si="2242"/>
        <v>2.75726419311578</v>
      </c>
      <c r="Q990" s="424">
        <f t="shared" si="2242"/>
        <v>3.0304735114861696</v>
      </c>
      <c r="R990" s="424">
        <f t="shared" si="2242"/>
        <v>3.0508881421027363</v>
      </c>
      <c r="S990" s="424">
        <f t="shared" ref="S990:X990" si="2243">IFERROR(S980/S988,"NA  ")</f>
        <v>3.1029485257371316</v>
      </c>
      <c r="T990" s="424">
        <f t="shared" si="2243"/>
        <v>2.891</v>
      </c>
      <c r="U990" s="424">
        <f t="shared" si="2243"/>
        <v>3.1251241310824232</v>
      </c>
      <c r="V990" s="424">
        <f t="shared" si="2243"/>
        <v>3.3977839335180056</v>
      </c>
      <c r="W990" s="424">
        <f t="shared" si="2243"/>
        <v>3.3629587155963301</v>
      </c>
      <c r="X990" s="424">
        <f t="shared" si="2243"/>
        <v>3.1385474860335196</v>
      </c>
      <c r="Y990" s="424">
        <f t="shared" ref="Y990:AF990" si="2244">IFERROR(Y980/Y988,"NA  ")</f>
        <v>3.0385038503850383</v>
      </c>
      <c r="Z990" s="424">
        <f t="shared" si="2244"/>
        <v>2.672447013487476</v>
      </c>
      <c r="AA990" s="424">
        <f t="shared" si="2244"/>
        <v>2.5070808588396529</v>
      </c>
      <c r="AB990" s="424">
        <f t="shared" si="2244"/>
        <v>2.3741371375977911</v>
      </c>
      <c r="AC990" s="424">
        <f t="shared" si="2244"/>
        <v>2.5405021316911416</v>
      </c>
      <c r="AD990" s="424">
        <f t="shared" si="2244"/>
        <v>2.3676470588235294</v>
      </c>
      <c r="AE990" s="424">
        <f t="shared" si="2244"/>
        <v>2.5503524672708964</v>
      </c>
      <c r="AF990" s="424">
        <f t="shared" si="2244"/>
        <v>2.8364537444933919</v>
      </c>
      <c r="AG990" s="424">
        <f t="shared" ref="AG990" si="2245">IFERROR(AG980/AG988,"NA  ")</f>
        <v>3.2230462065031373</v>
      </c>
      <c r="AH990" s="424">
        <f ca="1">IFERROR(AH980/AH988,"NA  ")</f>
        <v>2.8927114891138834</v>
      </c>
      <c r="AI990" s="424">
        <f ca="1">IFERROR(AI980/AI988,"NA  ")</f>
        <v>2.7509050644149116</v>
      </c>
      <c r="AJ990" s="424">
        <f ca="1">IFERROR(AJ980/AJ988,"NA  ")</f>
        <v>2.4919722387257259</v>
      </c>
      <c r="AK990" s="79"/>
      <c r="AL990" s="424">
        <f t="shared" ref="AL990:AT990" si="2246">IFERROR(AL980/AL987,"NA  ")</f>
        <v>3.6592341250605913</v>
      </c>
      <c r="AM990" s="424">
        <f t="shared" si="2246"/>
        <v>3.096774193548387</v>
      </c>
      <c r="AN990" s="424">
        <f t="shared" si="2246"/>
        <v>3.1192052980132452</v>
      </c>
      <c r="AO990" s="424">
        <f t="shared" si="2246"/>
        <v>2.9432943294329434</v>
      </c>
      <c r="AP990" s="424">
        <f t="shared" si="2246"/>
        <v>2.75726419311578</v>
      </c>
      <c r="AQ990" s="424">
        <f t="shared" si="2246"/>
        <v>2.891</v>
      </c>
      <c r="AR990" s="424">
        <f t="shared" si="2246"/>
        <v>3.1385474860335196</v>
      </c>
      <c r="AS990" s="424">
        <f t="shared" si="2246"/>
        <v>2.3741371375977911</v>
      </c>
      <c r="AT990" s="424">
        <f t="shared" si="2246"/>
        <v>2.8364537444933919</v>
      </c>
      <c r="AU990" s="424">
        <f ca="1">IFERROR(AU980/AU987,"NA  ")</f>
        <v>2.4919722387257255</v>
      </c>
      <c r="AV990" s="424">
        <f ca="1">IFERROR(AV980/AV987,"NA  ")</f>
        <v>2.2543876343281695</v>
      </c>
      <c r="AW990" s="424">
        <f ca="1">IFERROR(AW980/AW987,"NA  ")</f>
        <v>1.8313669655467157</v>
      </c>
      <c r="AX990" s="424">
        <f ca="1">IFERROR(AX980/AX987,"NA  ")</f>
        <v>1.4978371812604923</v>
      </c>
      <c r="AY990" s="1"/>
      <c r="BY990" s="835"/>
      <c r="BZ990" s="835"/>
      <c r="CA990" s="835"/>
    </row>
    <row r="991" spans="2:79" s="154" customFormat="1" ht="11.25" customHeight="1">
      <c r="B991" s="150"/>
      <c r="C991" s="51" t="s">
        <v>475</v>
      </c>
      <c r="E991" s="215"/>
      <c r="F991" s="215"/>
      <c r="G991" s="215"/>
      <c r="H991" s="424">
        <f>IFERROR(H982/H988,"NA  ")</f>
        <v>3.0335856196783348</v>
      </c>
      <c r="I991" s="424">
        <f t="shared" ref="I991:R991" si="2247">IFERROR(I982/I988,"NA  ")</f>
        <v>3.173232083531087</v>
      </c>
      <c r="J991" s="424">
        <f t="shared" si="2247"/>
        <v>3.0914577530176417</v>
      </c>
      <c r="K991" s="424">
        <f t="shared" si="2247"/>
        <v>2.9514078110808355</v>
      </c>
      <c r="L991" s="424">
        <f t="shared" si="2247"/>
        <v>2.8573357335733571</v>
      </c>
      <c r="M991" s="424">
        <f t="shared" si="2247"/>
        <v>2.9322256230870134</v>
      </c>
      <c r="N991" s="424">
        <f t="shared" si="2247"/>
        <v>2.8086393088552914</v>
      </c>
      <c r="O991" s="424">
        <f t="shared" si="2247"/>
        <v>2.7872616984402079</v>
      </c>
      <c r="P991" s="424">
        <f t="shared" si="2247"/>
        <v>2.6562360303978543</v>
      </c>
      <c r="Q991" s="424">
        <f t="shared" si="2247"/>
        <v>2.9390529770276608</v>
      </c>
      <c r="R991" s="424">
        <f t="shared" si="2247"/>
        <v>2.9615938550168028</v>
      </c>
      <c r="S991" s="424">
        <f t="shared" ref="S991:X991" si="2248">IFERROR(S982/S988,"NA  ")</f>
        <v>2.9995002498750623</v>
      </c>
      <c r="T991" s="424">
        <f t="shared" si="2248"/>
        <v>2.7890000000000001</v>
      </c>
      <c r="U991" s="424">
        <f t="shared" si="2248"/>
        <v>2.7874875868917579</v>
      </c>
      <c r="V991" s="424">
        <f t="shared" si="2248"/>
        <v>3.0077562326869804</v>
      </c>
      <c r="W991" s="424">
        <f t="shared" si="2248"/>
        <v>2.9902522935779818</v>
      </c>
      <c r="X991" s="424">
        <f t="shared" si="2248"/>
        <v>2.8234636871508378</v>
      </c>
      <c r="Y991" s="424">
        <f t="shared" ref="Y991:AF991" si="2249">IFERROR(Y982/Y988,"NA  ")</f>
        <v>2.7414741474147415</v>
      </c>
      <c r="Z991" s="424">
        <f t="shared" si="2249"/>
        <v>2.3790944123314066</v>
      </c>
      <c r="AA991" s="424">
        <f t="shared" si="2249"/>
        <v>2.1795340338053908</v>
      </c>
      <c r="AB991" s="424">
        <f t="shared" si="2249"/>
        <v>2.1629084215370455</v>
      </c>
      <c r="AC991" s="424">
        <f t="shared" si="2249"/>
        <v>2.3098057792515396</v>
      </c>
      <c r="AD991" s="424">
        <f t="shared" si="2249"/>
        <v>2.1513282732447818</v>
      </c>
      <c r="AE991" s="424">
        <f t="shared" si="2249"/>
        <v>2.3182275931520646</v>
      </c>
      <c r="AF991" s="424">
        <f t="shared" si="2249"/>
        <v>2.5649779735682818</v>
      </c>
      <c r="AG991" s="424">
        <f t="shared" ref="AG991" si="2250">IFERROR(AG982/AG988,"NA  ")</f>
        <v>2.881346263548203</v>
      </c>
      <c r="AH991" s="424">
        <f ca="1">IFERROR(AH982/AH988,"NA  ")</f>
        <v>2.7779211501943868</v>
      </c>
      <c r="AI991" s="424">
        <f ca="1">IFERROR(AI982/AI988,"NA  ")</f>
        <v>2.5823891588882262</v>
      </c>
      <c r="AJ991" s="424">
        <f ca="1">IFERROR(AJ982/AJ988,"NA  ")</f>
        <v>2.3177436795138697</v>
      </c>
      <c r="AK991" s="79"/>
      <c r="AL991" s="424">
        <f t="shared" ref="AL991:AT991" si="2251">IFERROR(AL982/AL987,"NA  ")</f>
        <v>3.5555016965584101</v>
      </c>
      <c r="AM991" s="424">
        <f t="shared" si="2251"/>
        <v>2.9673000441891295</v>
      </c>
      <c r="AN991" s="424">
        <f t="shared" si="2251"/>
        <v>3.0335856196783348</v>
      </c>
      <c r="AO991" s="424">
        <f t="shared" si="2251"/>
        <v>2.8573357335733571</v>
      </c>
      <c r="AP991" s="424">
        <f t="shared" si="2251"/>
        <v>2.6562360303978543</v>
      </c>
      <c r="AQ991" s="424">
        <f t="shared" si="2251"/>
        <v>2.7890000000000001</v>
      </c>
      <c r="AR991" s="424">
        <f t="shared" si="2251"/>
        <v>2.8234636871508378</v>
      </c>
      <c r="AS991" s="424">
        <f t="shared" si="2251"/>
        <v>2.1629084215370455</v>
      </c>
      <c r="AT991" s="424">
        <f t="shared" si="2251"/>
        <v>2.5649779735682818</v>
      </c>
      <c r="AU991" s="424">
        <f ca="1">IFERROR(AU982/AU987,"NA  ")</f>
        <v>2.3177436795138693</v>
      </c>
      <c r="AV991" s="424">
        <f ca="1">IFERROR(AV982/AV987,"NA  ")</f>
        <v>2.0342005208667353</v>
      </c>
      <c r="AW991" s="424">
        <f ca="1">IFERROR(AW982/AW987,"NA  ")</f>
        <v>1.779369294993097</v>
      </c>
      <c r="AX991" s="424">
        <f ca="1">IFERROR(AX982/AX987,"NA  ")</f>
        <v>1.4129837797511082</v>
      </c>
      <c r="AY991" s="1"/>
      <c r="BY991" s="835"/>
      <c r="BZ991" s="835"/>
      <c r="CA991" s="835"/>
    </row>
    <row r="992" spans="2:79" s="154" customFormat="1" ht="11.25" customHeight="1">
      <c r="B992" s="150"/>
      <c r="C992" s="51" t="s">
        <v>476</v>
      </c>
      <c r="E992" s="216">
        <f t="shared" ref="E992:X992" si="2252">E980/E984</f>
        <v>1.6518086347724621</v>
      </c>
      <c r="F992" s="216">
        <f t="shared" si="2252"/>
        <v>1.5279586795418818</v>
      </c>
      <c r="G992" s="216">
        <f t="shared" si="2252"/>
        <v>1.4632418069087689</v>
      </c>
      <c r="H992" s="216">
        <f t="shared" si="2252"/>
        <v>1.4309895833333333</v>
      </c>
      <c r="I992" s="216">
        <f t="shared" si="2252"/>
        <v>1.4561032367251956</v>
      </c>
      <c r="J992" s="216">
        <f t="shared" si="2252"/>
        <v>1.407157464212679</v>
      </c>
      <c r="K992" s="216">
        <f t="shared" si="2252"/>
        <v>1.3128064326338498</v>
      </c>
      <c r="L992" s="216">
        <f t="shared" si="2252"/>
        <v>1.1934306569343065</v>
      </c>
      <c r="M992" s="216">
        <f t="shared" si="2252"/>
        <v>1.2277580071174377</v>
      </c>
      <c r="N992" s="216">
        <f t="shared" si="2252"/>
        <v>1.1595081399376514</v>
      </c>
      <c r="O992" s="216">
        <f t="shared" si="2252"/>
        <v>1.105254378648874</v>
      </c>
      <c r="P992" s="216">
        <f t="shared" si="2252"/>
        <v>1.0493365090166724</v>
      </c>
      <c r="Q992" s="216">
        <f t="shared" si="2252"/>
        <v>1.0920763642507181</v>
      </c>
      <c r="R992" s="216">
        <f t="shared" si="2252"/>
        <v>1.0687857383114698</v>
      </c>
      <c r="S992" s="216">
        <f t="shared" si="2252"/>
        <v>1.0183696900114811</v>
      </c>
      <c r="T992" s="216">
        <f t="shared" si="2252"/>
        <v>0.95855437665782495</v>
      </c>
      <c r="U992" s="216">
        <f t="shared" si="2252"/>
        <v>1.0164728682170543</v>
      </c>
      <c r="V992" s="216">
        <f t="shared" si="2252"/>
        <v>1.0057395867497541</v>
      </c>
      <c r="W992" s="216">
        <f t="shared" si="2252"/>
        <v>0.95272904483430798</v>
      </c>
      <c r="X992" s="216">
        <f t="shared" si="2252"/>
        <v>0.91977734119187948</v>
      </c>
      <c r="Y992" s="216">
        <f t="shared" ref="Y992:AF992" si="2253">Y980/Y984</f>
        <v>0.87418895394840956</v>
      </c>
      <c r="Z992" s="216">
        <f t="shared" si="2253"/>
        <v>0.92037159920371603</v>
      </c>
      <c r="AA992" s="216">
        <f t="shared" si="2253"/>
        <v>0.88416304172708238</v>
      </c>
      <c r="AB992" s="216">
        <f t="shared" si="2253"/>
        <v>0.89132688320663445</v>
      </c>
      <c r="AC992" s="216">
        <f t="shared" si="2253"/>
        <v>0.89727287937092182</v>
      </c>
      <c r="AD992" s="216">
        <f t="shared" si="2253"/>
        <v>0.92306269650453121</v>
      </c>
      <c r="AE992" s="216">
        <f t="shared" si="2253"/>
        <v>0.92646789829888421</v>
      </c>
      <c r="AF992" s="216">
        <f t="shared" si="2253"/>
        <v>0.98376623376623373</v>
      </c>
      <c r="AG992" s="216">
        <f t="shared" ref="AG992" si="2254">AG980/AG984</f>
        <v>1.0737362219688331</v>
      </c>
      <c r="AH992" s="216">
        <f ca="1">AH980/AH984</f>
        <v>0.88908466857813229</v>
      </c>
      <c r="AI992" s="216">
        <f ca="1">AI980/AI984</f>
        <v>0.85788993415576054</v>
      </c>
      <c r="AJ992" s="216">
        <f ca="1">AJ980/AJ984</f>
        <v>0.83690572728057655</v>
      </c>
      <c r="AK992" s="79"/>
      <c r="AL992" s="216">
        <f t="shared" ref="AL992:AT992" si="2255">AL980/AL984</f>
        <v>2.1027855153203343</v>
      </c>
      <c r="AM992" s="216">
        <f t="shared" si="2255"/>
        <v>1.7428500373041531</v>
      </c>
      <c r="AN992" s="216">
        <f t="shared" si="2255"/>
        <v>1.4309895833333333</v>
      </c>
      <c r="AO992" s="216">
        <f t="shared" si="2255"/>
        <v>1.1934306569343065</v>
      </c>
      <c r="AP992" s="216">
        <f t="shared" si="2255"/>
        <v>1.0493365090166724</v>
      </c>
      <c r="AQ992" s="216">
        <f t="shared" si="2255"/>
        <v>0.95855437665782495</v>
      </c>
      <c r="AR992" s="216">
        <f t="shared" si="2255"/>
        <v>0.91977734119187948</v>
      </c>
      <c r="AS992" s="216">
        <f t="shared" si="2255"/>
        <v>0.89132688320663445</v>
      </c>
      <c r="AT992" s="216">
        <f t="shared" si="2255"/>
        <v>0.98376623376623373</v>
      </c>
      <c r="AU992" s="216">
        <f ca="1">AU980/AU984</f>
        <v>0.83690572728057655</v>
      </c>
      <c r="AV992" s="216">
        <f ca="1">AV980/AV984</f>
        <v>0.71536606108349643</v>
      </c>
      <c r="AW992" s="216">
        <f ca="1">AW980/AW984</f>
        <v>0.54755809744450357</v>
      </c>
      <c r="AX992" s="216">
        <f ca="1">AX980/AX984</f>
        <v>0.42747498234165804</v>
      </c>
      <c r="AY992" s="1"/>
      <c r="BY992" s="835"/>
      <c r="BZ992" s="835"/>
      <c r="CA992" s="835"/>
    </row>
    <row r="993" spans="2:79" s="154" customFormat="1" ht="11.25" customHeight="1">
      <c r="B993" s="150"/>
      <c r="C993" s="51" t="s">
        <v>477</v>
      </c>
      <c r="E993" s="216">
        <f>E986/E983</f>
        <v>6.34375</v>
      </c>
      <c r="F993" s="216">
        <f t="shared" ref="F993:R993" si="2256">F986/F983</f>
        <v>5.9682539682539684</v>
      </c>
      <c r="G993" s="216">
        <f t="shared" si="2256"/>
        <v>6.5</v>
      </c>
      <c r="H993" s="216">
        <f t="shared" si="2256"/>
        <v>5.25</v>
      </c>
      <c r="I993" s="216">
        <f t="shared" si="2256"/>
        <v>6.6833333333333336</v>
      </c>
      <c r="J993" s="216">
        <f t="shared" si="2256"/>
        <v>6.8852459016393439</v>
      </c>
      <c r="K993" s="216">
        <f t="shared" si="2256"/>
        <v>7.557377049180328</v>
      </c>
      <c r="L993" s="216">
        <f t="shared" si="2256"/>
        <v>5.9830508474576272</v>
      </c>
      <c r="M993" s="216">
        <f t="shared" si="2256"/>
        <v>7.7796610169491522</v>
      </c>
      <c r="N993" s="216">
        <f t="shared" si="2256"/>
        <v>7.3278688524590168</v>
      </c>
      <c r="O993" s="216">
        <f t="shared" si="2256"/>
        <v>7.7758620689655169</v>
      </c>
      <c r="P993" s="216">
        <f t="shared" si="2256"/>
        <v>4.8421052631578947</v>
      </c>
      <c r="Q993" s="216">
        <f t="shared" si="2256"/>
        <v>6.2857142857142856</v>
      </c>
      <c r="R993" s="216">
        <f t="shared" si="2256"/>
        <v>7.0727272727272723</v>
      </c>
      <c r="S993" s="216">
        <f t="shared" ref="S993:X993" si="2257">S986/S983</f>
        <v>6.833333333333333</v>
      </c>
      <c r="T993" s="216">
        <f t="shared" si="2257"/>
        <v>5.2641509433962268</v>
      </c>
      <c r="U993" s="216">
        <f t="shared" si="2257"/>
        <v>7.3461538461538458</v>
      </c>
      <c r="V993" s="216">
        <f t="shared" si="2257"/>
        <v>3.5454545454545454</v>
      </c>
      <c r="W993" s="216">
        <f t="shared" si="2257"/>
        <v>5.9615384615384617</v>
      </c>
      <c r="X993" s="216">
        <f t="shared" si="2257"/>
        <v>6.4509803921568629</v>
      </c>
      <c r="Y993" s="216">
        <f t="shared" ref="Y993:AF993" si="2258">Y986/Y983</f>
        <v>8</v>
      </c>
      <c r="Z993" s="216">
        <f t="shared" si="2258"/>
        <v>8.8039215686274517</v>
      </c>
      <c r="AA993" s="216">
        <f t="shared" si="2258"/>
        <v>9.0204081632653068</v>
      </c>
      <c r="AB993" s="216">
        <f t="shared" si="2258"/>
        <v>6.854166666666667</v>
      </c>
      <c r="AC993" s="216">
        <f t="shared" si="2258"/>
        <v>7.9565217391304346</v>
      </c>
      <c r="AD993" s="216">
        <f t="shared" si="2258"/>
        <v>10.422222222222222</v>
      </c>
      <c r="AE993" s="216">
        <f t="shared" si="2258"/>
        <v>7.7441860465116283</v>
      </c>
      <c r="AF993" s="216">
        <f t="shared" si="2258"/>
        <v>3.5625</v>
      </c>
      <c r="AG993" s="216">
        <f t="shared" ref="AG993" si="2259">AG986/AG983</f>
        <v>5.4423076923076925</v>
      </c>
      <c r="AH993" s="216">
        <f ca="1">AH986/AH983</f>
        <v>7.2510529124760206</v>
      </c>
      <c r="AI993" s="216">
        <f ca="1">AI986/AI983</f>
        <v>7.9633302744355365</v>
      </c>
      <c r="AJ993" s="216">
        <f ca="1">AJ986/AJ983</f>
        <v>6.6536598920001895</v>
      </c>
      <c r="AK993" s="79"/>
      <c r="AL993" s="216">
        <f t="shared" ref="AL993:AT993" si="2260">AL986/AL983</f>
        <v>8.6256684491978604</v>
      </c>
      <c r="AM993" s="216">
        <f t="shared" si="2260"/>
        <v>6.4334600760456278</v>
      </c>
      <c r="AN993" s="216">
        <f t="shared" si="2260"/>
        <v>6.0156862745098039</v>
      </c>
      <c r="AO993" s="216">
        <f t="shared" si="2260"/>
        <v>6.7842323651452281</v>
      </c>
      <c r="AP993" s="216">
        <f t="shared" si="2260"/>
        <v>6.9489361702127663</v>
      </c>
      <c r="AQ993" s="216">
        <f t="shared" si="2260"/>
        <v>6.3715596330275233</v>
      </c>
      <c r="AR993" s="216">
        <f t="shared" si="2260"/>
        <v>5.7904761904761903</v>
      </c>
      <c r="AS993" s="216">
        <f t="shared" si="2260"/>
        <v>8.1818181818181817</v>
      </c>
      <c r="AT993" s="216">
        <f t="shared" si="2260"/>
        <v>7.3571428571428568</v>
      </c>
      <c r="AU993" s="216">
        <f ca="1">AU986/AU983</f>
        <v>6.825934564159378</v>
      </c>
      <c r="AV993" s="216">
        <f ca="1">AV986/AV983</f>
        <v>7.7257844858488482</v>
      </c>
      <c r="AW993" s="216">
        <f ca="1">AW986/AW983</f>
        <v>9.1681927355516724</v>
      </c>
      <c r="AX993" s="216">
        <f ca="1">AX986/AX983</f>
        <v>10.837495679264958</v>
      </c>
      <c r="AY993" s="1"/>
      <c r="BY993" s="835"/>
      <c r="BZ993" s="835"/>
      <c r="CA993" s="835"/>
    </row>
    <row r="994" spans="2:79" s="154" customFormat="1" ht="11.25" customHeight="1">
      <c r="B994" s="150"/>
      <c r="C994" s="51" t="s">
        <v>478</v>
      </c>
      <c r="E994" s="216">
        <f>E987/E983</f>
        <v>8.640625</v>
      </c>
      <c r="F994" s="216">
        <f t="shared" ref="F994:R994" si="2261">F987/F983</f>
        <v>8.2539682539682548</v>
      </c>
      <c r="G994" s="216">
        <f t="shared" si="2261"/>
        <v>8.765625</v>
      </c>
      <c r="H994" s="216">
        <f t="shared" si="2261"/>
        <v>7.5</v>
      </c>
      <c r="I994" s="216">
        <f t="shared" si="2261"/>
        <v>9.1</v>
      </c>
      <c r="J994" s="216">
        <f t="shared" si="2261"/>
        <v>9.2950819672131146</v>
      </c>
      <c r="K994" s="216">
        <f t="shared" si="2261"/>
        <v>9.9836065573770494</v>
      </c>
      <c r="L994" s="216">
        <f t="shared" si="2261"/>
        <v>8.4745762711864412</v>
      </c>
      <c r="M994" s="216">
        <f t="shared" si="2261"/>
        <v>10.35593220338983</v>
      </c>
      <c r="N994" s="216">
        <f t="shared" si="2261"/>
        <v>9.7540983606557372</v>
      </c>
      <c r="O994" s="216">
        <f t="shared" si="2261"/>
        <v>10.379310344827585</v>
      </c>
      <c r="P994" s="216">
        <f t="shared" si="2261"/>
        <v>7.5263157894736841</v>
      </c>
      <c r="Q994" s="216">
        <f t="shared" si="2261"/>
        <v>9.0535714285714288</v>
      </c>
      <c r="R994" s="216">
        <f t="shared" si="2261"/>
        <v>9.9090909090909083</v>
      </c>
      <c r="S994" s="216">
        <f t="shared" ref="S994:X994" si="2262">S987/S983</f>
        <v>9.6296296296296298</v>
      </c>
      <c r="T994" s="216">
        <f t="shared" si="2262"/>
        <v>8.0754716981132084</v>
      </c>
      <c r="U994" s="216">
        <f t="shared" si="2262"/>
        <v>10.01923076923077</v>
      </c>
      <c r="V994" s="216">
        <f t="shared" si="2262"/>
        <v>6.1090909090909093</v>
      </c>
      <c r="W994" s="216">
        <f t="shared" si="2262"/>
        <v>8.8269230769230766</v>
      </c>
      <c r="X994" s="216">
        <f t="shared" si="2262"/>
        <v>9.2941176470588243</v>
      </c>
      <c r="Y994" s="216">
        <f t="shared" ref="Y994:AF994" si="2263">Y987/Y983</f>
        <v>10.98</v>
      </c>
      <c r="Z994" s="216">
        <f t="shared" si="2263"/>
        <v>11.647058823529411</v>
      </c>
      <c r="AA994" s="216">
        <f t="shared" si="2263"/>
        <v>11.673469387755102</v>
      </c>
      <c r="AB994" s="216">
        <f t="shared" si="2263"/>
        <v>9.5416666666666661</v>
      </c>
      <c r="AC994" s="216">
        <f t="shared" si="2263"/>
        <v>10.586956521739131</v>
      </c>
      <c r="AD994" s="216">
        <f t="shared" si="2263"/>
        <v>13.133333333333333</v>
      </c>
      <c r="AE994" s="216">
        <f t="shared" si="2263"/>
        <v>10.465116279069768</v>
      </c>
      <c r="AF994" s="216">
        <f t="shared" si="2263"/>
        <v>6</v>
      </c>
      <c r="AG994" s="216">
        <f t="shared" ref="AG994" si="2264">AG987/AG983</f>
        <v>8.1538461538461533</v>
      </c>
      <c r="AH994" s="216">
        <f ca="1">AH987/AH983</f>
        <v>9.6392746723227312</v>
      </c>
      <c r="AI994" s="216">
        <f ca="1">AI987/AI983</f>
        <v>10.454232713499144</v>
      </c>
      <c r="AJ994" s="216">
        <f ca="1">AJ987/AJ983</f>
        <v>9.1759942503760854</v>
      </c>
      <c r="AK994" s="79"/>
      <c r="AL994" s="216">
        <f t="shared" ref="AL994:AT994" si="2265">AL987/AL983</f>
        <v>11.032085561497325</v>
      </c>
      <c r="AM994" s="216">
        <f t="shared" si="2265"/>
        <v>8.6045627376425848</v>
      </c>
      <c r="AN994" s="216">
        <f t="shared" si="2265"/>
        <v>8.2901960784313733</v>
      </c>
      <c r="AO994" s="216">
        <f t="shared" si="2265"/>
        <v>9.219917012448132</v>
      </c>
      <c r="AP994" s="216">
        <f t="shared" si="2265"/>
        <v>9.5191489361702128</v>
      </c>
      <c r="AQ994" s="216">
        <f t="shared" si="2265"/>
        <v>9.1743119266055047</v>
      </c>
      <c r="AR994" s="216">
        <f t="shared" si="2265"/>
        <v>8.5238095238095237</v>
      </c>
      <c r="AS994" s="216">
        <f t="shared" si="2265"/>
        <v>10.974747474747474</v>
      </c>
      <c r="AT994" s="216">
        <f t="shared" si="2265"/>
        <v>9.9780219780219781</v>
      </c>
      <c r="AU994" s="216">
        <f ca="1">AU987/AU983</f>
        <v>9.3537828441418593</v>
      </c>
      <c r="AV994" s="216">
        <f ca="1">AV987/AV983</f>
        <v>10.377626895558898</v>
      </c>
      <c r="AW994" s="216">
        <f ca="1">AW987/AW983</f>
        <v>12.213268013991549</v>
      </c>
      <c r="AX994" s="216">
        <f ca="1">AX987/AX983</f>
        <v>14.36205876630792</v>
      </c>
      <c r="AY994" s="1"/>
      <c r="BY994" s="835"/>
      <c r="BZ994" s="835"/>
      <c r="CA994" s="835"/>
    </row>
    <row r="995" spans="2:79" s="154" customFormat="1" ht="11.25" customHeight="1">
      <c r="B995" s="150"/>
      <c r="C995" s="51" t="s">
        <v>479</v>
      </c>
      <c r="E995" s="167">
        <f t="shared" ref="E995:X995" si="2266">E980/E985</f>
        <v>0.83743492664458119</v>
      </c>
      <c r="F995" s="167">
        <f t="shared" si="2266"/>
        <v>0.80264244426094133</v>
      </c>
      <c r="G995" s="167">
        <f t="shared" si="2266"/>
        <v>0.77998111425873462</v>
      </c>
      <c r="H995" s="167">
        <f t="shared" si="2266"/>
        <v>0.7733083147648645</v>
      </c>
      <c r="I995" s="167">
        <f t="shared" si="2266"/>
        <v>0.77888423673192264</v>
      </c>
      <c r="J995" s="167">
        <f t="shared" si="2266"/>
        <v>0.76252216312056742</v>
      </c>
      <c r="K995" s="167">
        <f t="shared" si="2266"/>
        <v>0.73560439560439561</v>
      </c>
      <c r="L995" s="167">
        <f t="shared" si="2266"/>
        <v>0.71876030333003627</v>
      </c>
      <c r="M995" s="167">
        <f t="shared" si="2266"/>
        <v>0.72807850585628364</v>
      </c>
      <c r="N995" s="167">
        <f t="shared" si="2266"/>
        <v>0.70711871567384876</v>
      </c>
      <c r="O995" s="167">
        <f t="shared" si="2266"/>
        <v>0.68863022240698402</v>
      </c>
      <c r="P995" s="167">
        <f t="shared" si="2266"/>
        <v>0.66017339184416135</v>
      </c>
      <c r="Q995" s="167">
        <f t="shared" si="2266"/>
        <v>0.66270248103342222</v>
      </c>
      <c r="R995" s="167">
        <f t="shared" si="2266"/>
        <v>0.65637265027886804</v>
      </c>
      <c r="S995" s="167">
        <f t="shared" si="2266"/>
        <v>0.64415395787944807</v>
      </c>
      <c r="T995" s="167">
        <f t="shared" si="2266"/>
        <v>0.6044323646247125</v>
      </c>
      <c r="U995" s="167">
        <f t="shared" si="2266"/>
        <v>0.6240333135038667</v>
      </c>
      <c r="V995" s="167">
        <f t="shared" si="2266"/>
        <v>0.6302538279724591</v>
      </c>
      <c r="W995" s="167">
        <f t="shared" si="2266"/>
        <v>0.60067595247849237</v>
      </c>
      <c r="X995" s="167">
        <f t="shared" si="2266"/>
        <v>0.57174842255241198</v>
      </c>
      <c r="Y995" s="167">
        <f t="shared" ref="Y995:AF995" si="2267">Y980/Y985</f>
        <v>0.55195843325339733</v>
      </c>
      <c r="Z995" s="167">
        <f t="shared" si="2267"/>
        <v>0.52069450961989672</v>
      </c>
      <c r="AA995" s="167">
        <f t="shared" si="2267"/>
        <v>0.50777202072538863</v>
      </c>
      <c r="AB995" s="167">
        <f t="shared" si="2267"/>
        <v>0.4905857740585774</v>
      </c>
      <c r="AC995" s="167">
        <f t="shared" si="2267"/>
        <v>0.49483299501753092</v>
      </c>
      <c r="AD995" s="167">
        <f t="shared" si="2267"/>
        <v>0.50090325170614214</v>
      </c>
      <c r="AE995" s="167">
        <f t="shared" si="2267"/>
        <v>0.49975333004440059</v>
      </c>
      <c r="AF995" s="167">
        <f t="shared" si="2267"/>
        <v>0.5259879505769427</v>
      </c>
      <c r="AG995" s="167">
        <f t="shared" ref="AG995" si="2268">AG980/AG985</f>
        <v>0.56068274287982534</v>
      </c>
      <c r="AH995" s="167">
        <f ca="1">AH980/AH985</f>
        <v>0.51152243706002343</v>
      </c>
      <c r="AI995" s="167">
        <f ca="1">AI980/AI985</f>
        <v>0.50397047795685335</v>
      </c>
      <c r="AJ995" s="167">
        <f ca="1">AJ980/AJ985</f>
        <v>0.50029839258251929</v>
      </c>
      <c r="AK995" s="79"/>
      <c r="AL995" s="167">
        <f t="shared" ref="AL995:AT995" si="2269">AL980/AL985</f>
        <v>0.86960027646584492</v>
      </c>
      <c r="AM995" s="167">
        <f t="shared" si="2269"/>
        <v>0.83309557774607701</v>
      </c>
      <c r="AN995" s="167">
        <f t="shared" si="2269"/>
        <v>0.7733083147648645</v>
      </c>
      <c r="AO995" s="167">
        <f t="shared" si="2269"/>
        <v>0.71876030333003627</v>
      </c>
      <c r="AP995" s="167">
        <f t="shared" si="2269"/>
        <v>0.66017339184416135</v>
      </c>
      <c r="AQ995" s="167">
        <f t="shared" si="2269"/>
        <v>0.6044323646247125</v>
      </c>
      <c r="AR995" s="167">
        <f t="shared" si="2269"/>
        <v>0.57174842255241198</v>
      </c>
      <c r="AS995" s="167">
        <f t="shared" si="2269"/>
        <v>0.4905857740585774</v>
      </c>
      <c r="AT995" s="167">
        <f t="shared" si="2269"/>
        <v>0.5259879505769427</v>
      </c>
      <c r="AU995" s="167">
        <f ca="1">AU980/AU985</f>
        <v>0.50029839258251929</v>
      </c>
      <c r="AV995" s="167">
        <f ca="1">AV980/AV985</f>
        <v>0.46404564270360693</v>
      </c>
      <c r="AW995" s="167">
        <f ca="1">AW980/AW985</f>
        <v>0.39670037366690553</v>
      </c>
      <c r="AX995" s="167">
        <f ca="1">AX980/AX985</f>
        <v>0.33787607246446005</v>
      </c>
      <c r="AY995" s="1"/>
      <c r="BY995" s="835"/>
      <c r="BZ995" s="835"/>
      <c r="CA995" s="835"/>
    </row>
    <row r="996" spans="2:79" s="154" customFormat="1" ht="11.25" customHeight="1">
      <c r="B996" s="150"/>
      <c r="C996" s="51" t="s">
        <v>480</v>
      </c>
      <c r="E996" s="215"/>
      <c r="F996" s="215"/>
      <c r="G996" s="215"/>
      <c r="H996" s="167">
        <f>SUM(E983:H983)/AVERAGE(H980,AM980)</f>
        <v>3.7494486104984563E-2</v>
      </c>
      <c r="I996" s="167">
        <f>SUM(F983:I983)/AVERAGE(I980,E980)</f>
        <v>3.5957309648305992E-2</v>
      </c>
      <c r="J996" s="167">
        <f t="shared" ref="J996:S996" si="2270">SUM(G983:J983)/AVERAGE(J980,F980)</f>
        <v>3.6390208257215929E-2</v>
      </c>
      <c r="K996" s="167">
        <f t="shared" si="2270"/>
        <v>3.6986919260261618E-2</v>
      </c>
      <c r="L996" s="167">
        <f t="shared" si="2270"/>
        <v>3.6698644738845744E-2</v>
      </c>
      <c r="M996" s="167">
        <f t="shared" si="2270"/>
        <v>3.4825509685844878E-2</v>
      </c>
      <c r="N996" s="167">
        <f t="shared" si="2270"/>
        <v>3.5356511490866237E-2</v>
      </c>
      <c r="O996" s="167">
        <f t="shared" si="2270"/>
        <v>3.5585585585585583E-2</v>
      </c>
      <c r="P996" s="167">
        <f t="shared" si="2270"/>
        <v>3.6984576644633303E-2</v>
      </c>
      <c r="Q996" s="167">
        <f t="shared" si="2270"/>
        <v>3.4720143669560014E-2</v>
      </c>
      <c r="R996" s="167">
        <f t="shared" si="2270"/>
        <v>3.4636015325670497E-2</v>
      </c>
      <c r="S996" s="167">
        <f t="shared" si="2270"/>
        <v>3.4592910011686795E-2</v>
      </c>
      <c r="T996" s="167">
        <f t="shared" ref="T996:Y996" si="2271">SUM(Q983:T983)/AVERAGE(T980,P980)</f>
        <v>3.6485355648535563E-2</v>
      </c>
      <c r="U996" s="167">
        <f t="shared" si="2271"/>
        <v>3.354757799028061E-2</v>
      </c>
      <c r="V996" s="167">
        <f t="shared" si="2271"/>
        <v>3.4272901985906469E-2</v>
      </c>
      <c r="W996" s="167">
        <f t="shared" si="2271"/>
        <v>3.511677985754514E-2</v>
      </c>
      <c r="X996" s="167">
        <f t="shared" si="2271"/>
        <v>3.6842105263157891E-2</v>
      </c>
      <c r="Y996" s="167">
        <f t="shared" si="2271"/>
        <v>3.5200541546793029E-2</v>
      </c>
      <c r="Z996" s="167">
        <f t="shared" ref="Z996:AG996" si="2272">SUM(W983:Z983)/AVERAGE(Z980,V980)</f>
        <v>3.4928516394144335E-2</v>
      </c>
      <c r="AA996" s="167">
        <f t="shared" si="2272"/>
        <v>3.5409142957808511E-2</v>
      </c>
      <c r="AB996" s="167">
        <f t="shared" si="2272"/>
        <v>3.6744919736475826E-2</v>
      </c>
      <c r="AC996" s="167">
        <f t="shared" si="2272"/>
        <v>3.5638835308165702E-2</v>
      </c>
      <c r="AD996" s="167">
        <f t="shared" si="2272"/>
        <v>3.5677009203909288E-2</v>
      </c>
      <c r="AE996" s="167">
        <f t="shared" si="2272"/>
        <v>3.4492561356960105E-2</v>
      </c>
      <c r="AF996" s="167">
        <f t="shared" si="2272"/>
        <v>3.5305528612997093E-2</v>
      </c>
      <c r="AG996" s="167">
        <f t="shared" si="2272"/>
        <v>3.4141469172795785E-2</v>
      </c>
      <c r="AH996" s="167">
        <f ca="1">SUM(AE983:AH983)/AVERAGE(AH980,AD980)</f>
        <v>3.9860521628498728E-2</v>
      </c>
      <c r="AI996" s="167">
        <f ca="1">SUM(AF983:AI983)/AVERAGE(AI980,AE980)</f>
        <v>4.1236412768966564E-2</v>
      </c>
      <c r="AJ996" s="167">
        <f ca="1">SUM(AG983:AJ983)/AVERAGE(AJ980,AF980)</f>
        <v>4.1539196294441659E-2</v>
      </c>
      <c r="AK996" s="79"/>
      <c r="AL996" s="215"/>
      <c r="AM996" s="167">
        <f t="shared" ref="AM996:AT996" si="2273">AM983/AVERAGE(AL980,AM980)</f>
        <v>3.6133818781342308E-2</v>
      </c>
      <c r="AN996" s="167">
        <f t="shared" si="2273"/>
        <v>3.7494486104984563E-2</v>
      </c>
      <c r="AO996" s="167">
        <f t="shared" si="2273"/>
        <v>3.6698644738845744E-2</v>
      </c>
      <c r="AP996" s="167">
        <f t="shared" si="2273"/>
        <v>3.6984576644633303E-2</v>
      </c>
      <c r="AQ996" s="167">
        <f t="shared" si="2273"/>
        <v>3.6485355648535563E-2</v>
      </c>
      <c r="AR996" s="167">
        <f t="shared" si="2273"/>
        <v>3.6842105263157891E-2</v>
      </c>
      <c r="AS996" s="167">
        <f t="shared" si="2273"/>
        <v>3.6744919736475826E-2</v>
      </c>
      <c r="AT996" s="167">
        <f t="shared" si="2273"/>
        <v>3.5305528612997093E-2</v>
      </c>
      <c r="AU996" s="167">
        <f ca="1">AU983/AVERAGE(AT980,AU980)</f>
        <v>4.1539196294441659E-2</v>
      </c>
      <c r="AV996" s="167">
        <f ca="1">AV983/AVERAGE(AU980,AV980)</f>
        <v>4.1651081998514902E-2</v>
      </c>
      <c r="AW996" s="167">
        <f ca="1">AW983/AVERAGE(AV980,AW980)</f>
        <v>4.1054992934526614E-2</v>
      </c>
      <c r="AX996" s="167">
        <f ca="1">AX983/AVERAGE(AW980,AX980)</f>
        <v>4.30132993384785E-2</v>
      </c>
      <c r="AY996" s="1"/>
      <c r="BY996" s="835"/>
      <c r="BZ996" s="835"/>
      <c r="CA996" s="835"/>
    </row>
    <row r="998" spans="2:79" ht="11.25" customHeight="1">
      <c r="B998" s="27" t="s">
        <v>14</v>
      </c>
    </row>
  </sheetData>
  <mergeCells count="1">
    <mergeCell ref="AZ6:BO6"/>
  </mergeCells>
  <conditionalFormatting sqref="AD31:AE31">
    <cfRule type="expression" dxfId="78" priority="10">
      <formula>$AB$2=0</formula>
    </cfRule>
  </conditionalFormatting>
  <conditionalFormatting sqref="AH14:AJ16 AH18:AJ20 AH22:AJ24 AH26:AJ28 AH30:AJ33">
    <cfRule type="expression" dxfId="77" priority="29">
      <formula>$AB$2=0</formula>
    </cfRule>
  </conditionalFormatting>
  <conditionalFormatting sqref="AU14:AX16 AU18:AX20 AU30:AX33">
    <cfRule type="expression" dxfId="76" priority="9">
      <formula>$AB$2=0</formula>
    </cfRule>
  </conditionalFormatting>
  <conditionalFormatting sqref="AU22:AX24">
    <cfRule type="expression" dxfId="75" priority="8">
      <formula>$AB$2=0</formula>
    </cfRule>
  </conditionalFormatting>
  <conditionalFormatting sqref="AU26:AX28">
    <cfRule type="expression" dxfId="74" priority="7">
      <formula>$AB$2=0</formula>
    </cfRule>
  </conditionalFormatting>
  <conditionalFormatting sqref="BN222:BN235">
    <cfRule type="colorScale" priority="4">
      <colorScale>
        <cfvo type="min"/>
        <cfvo type="percentile" val="50"/>
        <cfvo type="max"/>
        <color rgb="FFF8696B"/>
        <color rgb="FFFCFCFF"/>
        <color rgb="FF63BE7B"/>
      </colorScale>
    </cfRule>
  </conditionalFormatting>
  <dataValidations disablePrompts="1" count="1">
    <dataValidation type="list" allowBlank="1" showInputMessage="1" showErrorMessage="1" sqref="AB2" xr:uid="{0D435529-6567-47B8-98EA-BCDC2458D245}">
      <formula1>$AC$2:$AC$3</formula1>
    </dataValidation>
  </dataValidations>
  <pageMargins left="0.70866141732283472" right="0.70866141732283472" top="0.74803149606299213" bottom="0.74803149606299213" header="0.31496062992125984" footer="0.31496062992125984"/>
  <pageSetup scale="10" orientation="portrait" r:id="rId1"/>
  <ignoredErrors>
    <ignoredError sqref="I914:M914 I958:M958 I953:M955 J952:M952 H951:M951 Q914:Q932 AL196:AM197 H950 I917:M932 E196:R197 S200 AS209:AT209 AN47:AR47 Q934:Q955 I934:M950 S938:S939 U200:X200 U197:X198 S197:S198" formula="1"/>
    <ignoredError sqref="E520:P520 AN440 AL484:AM484 AL257:AM258 AM360 I441:R441 E440:P440 AM441 AL440 AM513 AL512 AM520:AO521 AM483 I258:R258 E257:P257 S857:X857 H854:R857 E359:R360 Q519:R520 Q438:R440 T432 I40:R40 H844:S846 S855:S856 X512 X483:X484" formulaRange="1"/>
    <ignoredError sqref="H69:R69 AL69:AP69"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F2CBBB5E-97EB-449D-A504-C75FA1E30C0C}">
            <x14:iconSet iconSet="3Triangles">
              <x14:cfvo type="percent">
                <xm:f>0</xm:f>
              </x14:cfvo>
              <x14:cfvo type="percent">
                <xm:f>33</xm:f>
              </x14:cfvo>
              <x14:cfvo type="percent">
                <xm:f>67</xm:f>
              </x14:cfvo>
            </x14:iconSet>
          </x14:cfRule>
          <xm:sqref>AL98:AT98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2479-7F33-436D-BEF7-812580C11EF1}">
  <sheetPr codeName="Sheet13">
    <tabColor theme="4" tint="0.39997558519241921"/>
    <pageSetUpPr fitToPage="1"/>
  </sheetPr>
  <dimension ref="A1"/>
  <sheetViews>
    <sheetView showGridLines="0" view="pageBreakPreview" zoomScale="60" zoomScaleNormal="100" workbookViewId="0">
      <selection activeCell="J17" sqref="J17"/>
    </sheetView>
  </sheetViews>
  <sheetFormatPr defaultColWidth="9.19921875" defaultRowHeight="11.25" customHeight="1"/>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62B7-D24B-4BE2-93A4-45E77612273F}">
  <sheetPr codeName="Sheet14">
    <pageSetUpPr fitToPage="1"/>
  </sheetPr>
  <dimension ref="A1:P187"/>
  <sheetViews>
    <sheetView showGridLines="0" topLeftCell="A127" workbookViewId="0">
      <selection activeCell="J18" sqref="J18"/>
    </sheetView>
  </sheetViews>
  <sheetFormatPr defaultColWidth="9.19921875" defaultRowHeight="11.25" customHeight="1"/>
  <cols>
    <col min="2" max="2" width="12.19921875" bestFit="1" customWidth="1"/>
    <col min="3" max="3" width="15.53125" bestFit="1" customWidth="1"/>
  </cols>
  <sheetData>
    <row r="1" spans="1:2" ht="11.25" customHeight="1">
      <c r="A1" s="68" t="s">
        <v>202</v>
      </c>
    </row>
    <row r="2" spans="1:2" ht="11.25" customHeight="1">
      <c r="A2" s="68"/>
    </row>
    <row r="3" spans="1:2" ht="11.25" customHeight="1">
      <c r="B3" t="s">
        <v>205</v>
      </c>
    </row>
    <row r="4" spans="1:2" ht="11.25" customHeight="1">
      <c r="B4" s="70" t="s">
        <v>203</v>
      </c>
    </row>
    <row r="6" spans="1:2" ht="11.25" customHeight="1">
      <c r="B6" t="s">
        <v>206</v>
      </c>
    </row>
    <row r="7" spans="1:2" ht="11.25" customHeight="1">
      <c r="B7" s="69" t="s">
        <v>686</v>
      </c>
    </row>
    <row r="8" spans="1:2" ht="11.25" customHeight="1">
      <c r="B8" s="69" t="s">
        <v>687</v>
      </c>
    </row>
    <row r="10" spans="1:2" ht="11.25" customHeight="1">
      <c r="B10" t="s">
        <v>207</v>
      </c>
    </row>
    <row r="11" spans="1:2" ht="11.25" customHeight="1">
      <c r="B11" s="69" t="s">
        <v>204</v>
      </c>
    </row>
    <row r="12" spans="1:2" ht="11.25" customHeight="1">
      <c r="B12" s="70"/>
    </row>
    <row r="14" spans="1:2" ht="11.25" customHeight="1">
      <c r="B14" s="68" t="s">
        <v>208</v>
      </c>
    </row>
    <row r="15" spans="1:2" ht="11.25" customHeight="1">
      <c r="B15" s="68"/>
    </row>
    <row r="16" spans="1:2" ht="11.25" customHeight="1">
      <c r="B16" t="s">
        <v>210</v>
      </c>
    </row>
    <row r="17" spans="2:2" ht="11.25" customHeight="1">
      <c r="B17" s="69" t="s">
        <v>209</v>
      </c>
    </row>
    <row r="18" spans="2:2" ht="11.25" customHeight="1">
      <c r="B18" s="69"/>
    </row>
    <row r="19" spans="2:2" ht="11.25" customHeight="1">
      <c r="B19" s="71" t="s">
        <v>214</v>
      </c>
    </row>
    <row r="20" spans="2:2" ht="11.25" customHeight="1">
      <c r="B20" s="69" t="s">
        <v>211</v>
      </c>
    </row>
    <row r="21" spans="2:2" ht="11.25" customHeight="1">
      <c r="B21" s="69" t="s">
        <v>212</v>
      </c>
    </row>
    <row r="22" spans="2:2" ht="11.25" customHeight="1">
      <c r="B22" s="69" t="s">
        <v>213</v>
      </c>
    </row>
    <row r="24" spans="2:2" ht="11.25" customHeight="1">
      <c r="B24" s="72" t="s">
        <v>215</v>
      </c>
    </row>
    <row r="26" spans="2:2" ht="11.25" customHeight="1">
      <c r="B26" s="73" t="s">
        <v>228</v>
      </c>
    </row>
    <row r="27" spans="2:2" ht="11.25" customHeight="1">
      <c r="B27" s="73" t="s">
        <v>216</v>
      </c>
    </row>
    <row r="28" spans="2:2" ht="11.25" customHeight="1">
      <c r="B28" s="73" t="s">
        <v>217</v>
      </c>
    </row>
    <row r="29" spans="2:2" ht="11.25" customHeight="1">
      <c r="B29" s="70"/>
    </row>
    <row r="30" spans="2:2" ht="11.25" customHeight="1">
      <c r="B30" s="74" t="s">
        <v>229</v>
      </c>
    </row>
    <row r="31" spans="2:2" ht="11.25" customHeight="1">
      <c r="B31" s="75" t="s">
        <v>218</v>
      </c>
    </row>
    <row r="32" spans="2:2" ht="11.25" customHeight="1">
      <c r="B32" s="75" t="s">
        <v>219</v>
      </c>
    </row>
    <row r="33" spans="2:2" ht="11.25" customHeight="1">
      <c r="B33" s="74"/>
    </row>
    <row r="34" spans="2:2" ht="11.25" customHeight="1">
      <c r="B34" s="74" t="s">
        <v>230</v>
      </c>
    </row>
    <row r="35" spans="2:2" ht="11.25" customHeight="1">
      <c r="B35" s="75" t="s">
        <v>220</v>
      </c>
    </row>
    <row r="36" spans="2:2" ht="11.25" customHeight="1">
      <c r="B36" s="75" t="s">
        <v>221</v>
      </c>
    </row>
    <row r="37" spans="2:2" ht="11.25" customHeight="1">
      <c r="B37" s="74"/>
    </row>
    <row r="38" spans="2:2" ht="11.25" customHeight="1">
      <c r="B38" s="74" t="s">
        <v>231</v>
      </c>
    </row>
    <row r="39" spans="2:2" ht="11.25" customHeight="1">
      <c r="B39" s="75" t="s">
        <v>222</v>
      </c>
    </row>
    <row r="40" spans="2:2" ht="11.25" customHeight="1">
      <c r="B40" s="75" t="s">
        <v>223</v>
      </c>
    </row>
    <row r="41" spans="2:2" ht="11.25" customHeight="1">
      <c r="B41" s="74"/>
    </row>
    <row r="42" spans="2:2" ht="11.25" customHeight="1">
      <c r="B42" s="74" t="s">
        <v>232</v>
      </c>
    </row>
    <row r="43" spans="2:2" ht="11.25" customHeight="1">
      <c r="B43" s="75" t="s">
        <v>224</v>
      </c>
    </row>
    <row r="44" spans="2:2" ht="11.25" customHeight="1">
      <c r="B44" s="74"/>
    </row>
    <row r="45" spans="2:2" ht="11.25" customHeight="1">
      <c r="B45" s="74" t="s">
        <v>233</v>
      </c>
    </row>
    <row r="46" spans="2:2" ht="11.25" customHeight="1">
      <c r="B46" s="75" t="s">
        <v>225</v>
      </c>
    </row>
    <row r="47" spans="2:2" ht="11.25" customHeight="1">
      <c r="B47" s="75" t="s">
        <v>226</v>
      </c>
    </row>
    <row r="48" spans="2:2" ht="11.25" customHeight="1">
      <c r="B48" s="74"/>
    </row>
    <row r="49" spans="2:2" ht="11.25" customHeight="1">
      <c r="B49" s="74" t="s">
        <v>234</v>
      </c>
    </row>
    <row r="50" spans="2:2" ht="11.25" customHeight="1">
      <c r="B50" s="74"/>
    </row>
    <row r="51" spans="2:2" ht="11.25" customHeight="1">
      <c r="B51" s="74" t="s">
        <v>235</v>
      </c>
    </row>
    <row r="52" spans="2:2" ht="11.25" customHeight="1">
      <c r="B52" s="75" t="s">
        <v>227</v>
      </c>
    </row>
    <row r="53" spans="2:2" ht="11.25" customHeight="1">
      <c r="B53" s="74"/>
    </row>
    <row r="54" spans="2:2" ht="11.25" customHeight="1">
      <c r="B54" s="74" t="s">
        <v>236</v>
      </c>
    </row>
    <row r="55" spans="2:2" ht="11.25" customHeight="1">
      <c r="B55" s="74"/>
    </row>
    <row r="56" spans="2:2" ht="11.25" customHeight="1">
      <c r="B56" s="74" t="s">
        <v>237</v>
      </c>
    </row>
    <row r="58" spans="2:2" ht="11.25" customHeight="1">
      <c r="B58" s="72" t="s">
        <v>238</v>
      </c>
    </row>
    <row r="60" spans="2:2" ht="11.25" customHeight="1">
      <c r="B60" s="73" t="s">
        <v>241</v>
      </c>
    </row>
    <row r="61" spans="2:2" ht="11.25" customHeight="1">
      <c r="B61" s="73" t="s">
        <v>240</v>
      </c>
    </row>
    <row r="62" spans="2:2" ht="11.25" customHeight="1">
      <c r="B62" s="73" t="s">
        <v>239</v>
      </c>
    </row>
    <row r="64" spans="2:2" ht="11.25" customHeight="1">
      <c r="B64" s="73" t="s">
        <v>246</v>
      </c>
    </row>
    <row r="65" spans="2:2" ht="11.25" customHeight="1">
      <c r="B65" s="73"/>
    </row>
    <row r="66" spans="2:2" ht="11.25" customHeight="1">
      <c r="B66" s="74" t="s">
        <v>251</v>
      </c>
    </row>
    <row r="67" spans="2:2" ht="11.25" customHeight="1">
      <c r="B67" s="74"/>
    </row>
    <row r="68" spans="2:2" ht="11.25" customHeight="1">
      <c r="B68" s="74" t="s">
        <v>250</v>
      </c>
    </row>
    <row r="69" spans="2:2" ht="11.25" customHeight="1">
      <c r="B69" s="456" t="s">
        <v>242</v>
      </c>
    </row>
    <row r="70" spans="2:2" ht="11.25" customHeight="1">
      <c r="B70" s="75"/>
    </row>
    <row r="71" spans="2:2" ht="11.25" customHeight="1">
      <c r="B71" s="74" t="s">
        <v>247</v>
      </c>
    </row>
    <row r="72" spans="2:2" ht="11.25" customHeight="1">
      <c r="B72" s="75" t="s">
        <v>243</v>
      </c>
    </row>
    <row r="73" spans="2:2" ht="11.25" customHeight="1">
      <c r="B73" s="75"/>
    </row>
    <row r="74" spans="2:2" ht="11.25" customHeight="1">
      <c r="B74" s="74" t="s">
        <v>248</v>
      </c>
    </row>
    <row r="75" spans="2:2" ht="11.25" customHeight="1">
      <c r="B75" s="74"/>
    </row>
    <row r="76" spans="2:2" ht="11.25" customHeight="1">
      <c r="B76" s="74" t="s">
        <v>249</v>
      </c>
    </row>
    <row r="77" spans="2:2" ht="11.25" customHeight="1">
      <c r="B77" s="75" t="s">
        <v>244</v>
      </c>
    </row>
    <row r="78" spans="2:2" ht="11.25" customHeight="1">
      <c r="B78" s="75" t="s">
        <v>245</v>
      </c>
    </row>
    <row r="80" spans="2:2" ht="11.25" customHeight="1">
      <c r="B80" s="68" t="s">
        <v>646</v>
      </c>
    </row>
    <row r="81" spans="2:2" ht="11.25" customHeight="1">
      <c r="B81" s="68"/>
    </row>
    <row r="82" spans="2:2" ht="11.25" customHeight="1">
      <c r="B82" s="73" t="s">
        <v>647</v>
      </c>
    </row>
    <row r="83" spans="2:2" ht="11.25" customHeight="1">
      <c r="B83" s="74" t="s">
        <v>709</v>
      </c>
    </row>
    <row r="84" spans="2:2" ht="11.25" customHeight="1">
      <c r="B84" s="74" t="s">
        <v>710</v>
      </c>
    </row>
    <row r="85" spans="2:2" ht="11.25" customHeight="1">
      <c r="B85" s="73"/>
    </row>
    <row r="86" spans="2:2" ht="11.25" customHeight="1">
      <c r="B86" s="73" t="s">
        <v>648</v>
      </c>
    </row>
    <row r="87" spans="2:2" ht="11.25" customHeight="1">
      <c r="B87" s="74" t="s">
        <v>642</v>
      </c>
    </row>
    <row r="88" spans="2:2" ht="11.25" customHeight="1">
      <c r="B88" s="74" t="s">
        <v>643</v>
      </c>
    </row>
    <row r="89" spans="2:2" ht="11.25" customHeight="1">
      <c r="B89" s="74" t="s">
        <v>644</v>
      </c>
    </row>
    <row r="90" spans="2:2" ht="11.25" customHeight="1">
      <c r="B90" s="73"/>
    </row>
    <row r="91" spans="2:2" ht="11.25" customHeight="1">
      <c r="B91" s="73" t="s">
        <v>649</v>
      </c>
    </row>
    <row r="92" spans="2:2" ht="11.25" customHeight="1">
      <c r="B92" s="74" t="s">
        <v>645</v>
      </c>
    </row>
    <row r="95" spans="2:2" ht="11.25" customHeight="1">
      <c r="B95" s="68" t="s">
        <v>1079</v>
      </c>
    </row>
    <row r="97" spans="2:2" ht="11.25" customHeight="1">
      <c r="B97" s="73" t="s">
        <v>653</v>
      </c>
    </row>
    <row r="98" spans="2:2" ht="11.25" customHeight="1">
      <c r="B98" s="73"/>
    </row>
    <row r="99" spans="2:2" ht="11.25" customHeight="1">
      <c r="B99" s="73" t="s">
        <v>654</v>
      </c>
    </row>
    <row r="100" spans="2:2" ht="11.25" customHeight="1">
      <c r="B100" s="73"/>
    </row>
    <row r="101" spans="2:2" ht="11.25" customHeight="1">
      <c r="B101" s="73" t="s">
        <v>655</v>
      </c>
    </row>
    <row r="103" spans="2:2" ht="11.25" customHeight="1">
      <c r="B103" s="413" t="s">
        <v>656</v>
      </c>
    </row>
    <row r="104" spans="2:2" ht="11.25" customHeight="1">
      <c r="B104" s="413"/>
    </row>
    <row r="105" spans="2:2" ht="11.25" customHeight="1">
      <c r="B105" s="73" t="s">
        <v>657</v>
      </c>
    </row>
    <row r="106" spans="2:2" ht="11.25" customHeight="1">
      <c r="B106" s="73"/>
    </row>
    <row r="107" spans="2:2" ht="11.25" customHeight="1">
      <c r="B107" s="73" t="s">
        <v>658</v>
      </c>
    </row>
    <row r="108" spans="2:2" ht="11.25" customHeight="1">
      <c r="B108" s="73"/>
    </row>
    <row r="109" spans="2:2" ht="11.25" customHeight="1">
      <c r="B109" s="73" t="s">
        <v>721</v>
      </c>
    </row>
    <row r="110" spans="2:2" ht="11.25" customHeight="1">
      <c r="B110" s="74" t="s">
        <v>722</v>
      </c>
    </row>
    <row r="111" spans="2:2" ht="11.25" customHeight="1">
      <c r="B111" s="74"/>
    </row>
    <row r="112" spans="2:2" ht="11.25" customHeight="1">
      <c r="B112" s="77"/>
    </row>
    <row r="113" spans="2:2" ht="11.25" customHeight="1">
      <c r="B113" s="68" t="s">
        <v>685</v>
      </c>
    </row>
    <row r="115" spans="2:2" ht="11.25" customHeight="1">
      <c r="B115" s="70" t="s">
        <v>665</v>
      </c>
    </row>
    <row r="116" spans="2:2" ht="11.25" customHeight="1">
      <c r="B116" s="70"/>
    </row>
    <row r="117" spans="2:2" ht="11.25" customHeight="1">
      <c r="B117" s="70" t="s">
        <v>666</v>
      </c>
    </row>
    <row r="118" spans="2:2" ht="11.25" customHeight="1">
      <c r="B118" s="73" t="s">
        <v>672</v>
      </c>
    </row>
    <row r="119" spans="2:2" ht="11.25" customHeight="1">
      <c r="B119" s="73"/>
    </row>
    <row r="120" spans="2:2" ht="11.25" customHeight="1">
      <c r="B120" s="70" t="s">
        <v>673</v>
      </c>
    </row>
    <row r="121" spans="2:2" ht="11.25" customHeight="1">
      <c r="B121" s="70"/>
    </row>
    <row r="122" spans="2:2" ht="11.25" customHeight="1">
      <c r="B122" s="70" t="s">
        <v>667</v>
      </c>
    </row>
    <row r="124" spans="2:2" ht="11.25" customHeight="1">
      <c r="B124" s="70" t="s">
        <v>720</v>
      </c>
    </row>
    <row r="125" spans="2:2" ht="11.25" customHeight="1">
      <c r="B125" s="73" t="s">
        <v>705</v>
      </c>
    </row>
    <row r="128" spans="2:2" ht="11.25" customHeight="1">
      <c r="B128" s="68" t="s">
        <v>701</v>
      </c>
    </row>
    <row r="129" spans="1:10" ht="11.25" customHeight="1">
      <c r="B129" s="68"/>
    </row>
    <row r="130" spans="1:10" ht="11.25" customHeight="1">
      <c r="B130" s="70" t="s">
        <v>700</v>
      </c>
    </row>
    <row r="131" spans="1:10" ht="11.25" customHeight="1">
      <c r="B131" s="73" t="s">
        <v>696</v>
      </c>
    </row>
    <row r="132" spans="1:10" ht="11.25" customHeight="1">
      <c r="B132" s="73" t="s">
        <v>697</v>
      </c>
    </row>
    <row r="133" spans="1:10" ht="11.25" customHeight="1">
      <c r="B133" s="70"/>
    </row>
    <row r="134" spans="1:10" ht="11.25" customHeight="1">
      <c r="B134" s="70" t="s">
        <v>699</v>
      </c>
    </row>
    <row r="135" spans="1:10" ht="11.25" customHeight="1">
      <c r="B135" s="73" t="s">
        <v>698</v>
      </c>
    </row>
    <row r="136" spans="1:10" ht="11.25" customHeight="1">
      <c r="C136" s="70"/>
    </row>
    <row r="138" spans="1:10" ht="11.25" customHeight="1">
      <c r="A138" s="76" t="s">
        <v>14</v>
      </c>
      <c r="B138" s="68" t="s">
        <v>716</v>
      </c>
    </row>
    <row r="140" spans="1:10" ht="11.25" customHeight="1">
      <c r="C140" s="447"/>
      <c r="D140" s="448">
        <v>2016</v>
      </c>
      <c r="E140" s="448">
        <f>D140+1</f>
        <v>2017</v>
      </c>
      <c r="F140" s="448">
        <f t="shared" ref="F140:J140" si="0">E140+1</f>
        <v>2018</v>
      </c>
      <c r="G140" s="448">
        <f t="shared" si="0"/>
        <v>2019</v>
      </c>
      <c r="H140" s="448">
        <f t="shared" si="0"/>
        <v>2020</v>
      </c>
      <c r="I140" s="448">
        <f t="shared" si="0"/>
        <v>2021</v>
      </c>
      <c r="J140" s="448">
        <f t="shared" si="0"/>
        <v>2022</v>
      </c>
    </row>
    <row r="141" spans="1:10" ht="11.25" customHeight="1">
      <c r="C141" s="447"/>
      <c r="D141" s="447"/>
      <c r="E141" s="447"/>
      <c r="F141" s="447"/>
      <c r="G141" s="447"/>
      <c r="H141" s="447"/>
      <c r="I141" s="447"/>
      <c r="J141" s="447"/>
    </row>
    <row r="142" spans="1:10" ht="11.25" customHeight="1">
      <c r="C142" s="447" t="s">
        <v>493</v>
      </c>
      <c r="D142" s="449">
        <f>+Financials!AN11</f>
        <v>9008</v>
      </c>
      <c r="E142" s="449">
        <f>+Financials!AO11</f>
        <v>9549</v>
      </c>
      <c r="F142" s="449">
        <f>+Financials!AP11</f>
        <v>10151</v>
      </c>
      <c r="G142" s="449">
        <f>+Financials!AQ11</f>
        <v>9273</v>
      </c>
      <c r="H142" s="449">
        <f>+Financials!AR11</f>
        <v>8473</v>
      </c>
      <c r="I142" s="449">
        <f>+Financials!AS11</f>
        <v>10476</v>
      </c>
      <c r="J142" s="449">
        <f>+Financials!AT11</f>
        <v>10580</v>
      </c>
    </row>
    <row r="143" spans="1:10" ht="11.25" customHeight="1">
      <c r="C143" s="447" t="s">
        <v>706</v>
      </c>
      <c r="D143" s="450"/>
      <c r="E143" s="451">
        <f>+E142/D142-1</f>
        <v>6.0057726465364114E-2</v>
      </c>
      <c r="F143" s="451">
        <f>+F142/E142-1</f>
        <v>6.3043250602157208E-2</v>
      </c>
      <c r="G143" s="451">
        <f t="shared" ref="G143:J143" si="1">+G142/F142-1</f>
        <v>-8.6493941483597681E-2</v>
      </c>
      <c r="H143" s="451">
        <f t="shared" si="1"/>
        <v>-8.6271972392968799E-2</v>
      </c>
      <c r="I143" s="451">
        <f t="shared" si="1"/>
        <v>0.23639797002242413</v>
      </c>
      <c r="J143" s="451">
        <f t="shared" si="1"/>
        <v>9.9274532264221893E-3</v>
      </c>
    </row>
    <row r="144" spans="1:10" ht="11.25" customHeight="1">
      <c r="C144" s="447" t="s">
        <v>472</v>
      </c>
      <c r="D144" s="449">
        <f>+Financials!AN119</f>
        <v>2114</v>
      </c>
      <c r="E144" s="449">
        <f>+Financials!AO119</f>
        <v>2222</v>
      </c>
      <c r="F144" s="449">
        <f>+Financials!AP119</f>
        <v>2237</v>
      </c>
      <c r="G144" s="449">
        <f>+Financials!AQ119</f>
        <v>2000</v>
      </c>
      <c r="H144" s="449">
        <f>+Financials!AR119</f>
        <v>1790</v>
      </c>
      <c r="I144" s="449">
        <f>+Financials!AS119</f>
        <v>2173</v>
      </c>
      <c r="J144" s="449">
        <f>+Financials!AT119</f>
        <v>1816</v>
      </c>
    </row>
    <row r="145" spans="1:16" ht="11.25" customHeight="1">
      <c r="C145" s="447" t="s">
        <v>707</v>
      </c>
      <c r="D145" s="451">
        <f>+D144/D142</f>
        <v>0.23468028419182949</v>
      </c>
      <c r="E145" s="451">
        <f>+E144/E142</f>
        <v>0.23269452298670018</v>
      </c>
      <c r="F145" s="451">
        <f>+F144/F142</f>
        <v>0.22037237710570387</v>
      </c>
      <c r="G145" s="451">
        <f t="shared" ref="G145:J145" si="2">+G144/G142</f>
        <v>0.21567993098242208</v>
      </c>
      <c r="H145" s="451">
        <f t="shared" si="2"/>
        <v>0.21125929422872655</v>
      </c>
      <c r="I145" s="451">
        <f t="shared" si="2"/>
        <v>0.20742649866361207</v>
      </c>
      <c r="J145" s="451">
        <f t="shared" si="2"/>
        <v>0.1716446124763705</v>
      </c>
    </row>
    <row r="146" spans="1:16" ht="11.25" customHeight="1">
      <c r="H146" s="700"/>
    </row>
    <row r="147" spans="1:16" ht="11.25" customHeight="1">
      <c r="A147" s="76"/>
    </row>
    <row r="148" spans="1:16" ht="11.25" customHeight="1">
      <c r="P148" t="s">
        <v>394</v>
      </c>
    </row>
    <row r="187" spans="1:1" ht="11.25" customHeight="1">
      <c r="A187" s="76" t="s">
        <v>14</v>
      </c>
    </row>
  </sheetData>
  <hyperlinks>
    <hyperlink ref="B105" r:id="rId1" display="http://s21.q4cdn.com/813101928/files/doc_presentations/2018/11/19/DuPont-Investor-Day-Business-Presentations.pdf?mod=article_inline" xr:uid="{404D9A8B-D0C8-4A69-A6A3-AE60BECCA928}"/>
  </hyperlinks>
  <pageMargins left="0.7" right="0.7" top="0.75" bottom="0.75" header="0.3" footer="0.3"/>
  <pageSetup scale="32" orientation="portrait" horizontalDpi="300" verticalDpi="300"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1C92-00EC-400A-91AD-588E77895A7E}">
  <sheetPr codeName="Sheet15">
    <tabColor rgb="FFFF0000"/>
    <pageSetUpPr fitToPage="1"/>
  </sheetPr>
  <dimension ref="A1:V176"/>
  <sheetViews>
    <sheetView showGridLines="0" zoomScale="120" zoomScaleNormal="120" workbookViewId="0">
      <selection activeCell="B20" sqref="B20"/>
    </sheetView>
  </sheetViews>
  <sheetFormatPr defaultColWidth="8.796875" defaultRowHeight="11.25" customHeight="1"/>
  <cols>
    <col min="1" max="1" width="1.796875" style="24" customWidth="1"/>
    <col min="2" max="2" width="8.796875" style="24"/>
    <col min="3" max="4" width="15.53125" style="24" bestFit="1" customWidth="1"/>
    <col min="5" max="16384" width="8.796875" style="24"/>
  </cols>
  <sheetData>
    <row r="1" spans="1:3" ht="11.25" customHeight="1">
      <c r="A1" s="742" t="s">
        <v>252</v>
      </c>
    </row>
    <row r="3" spans="1:3" ht="11.25" customHeight="1">
      <c r="B3" s="27"/>
      <c r="C3" s="56" t="s">
        <v>1684</v>
      </c>
    </row>
    <row r="4" spans="1:3" ht="11.25" customHeight="1">
      <c r="C4" s="43"/>
    </row>
    <row r="5" spans="1:3" ht="11.25" customHeight="1">
      <c r="C5" s="43" t="s">
        <v>1685</v>
      </c>
    </row>
    <row r="6" spans="1:3" ht="11.25" customHeight="1">
      <c r="C6" s="112"/>
    </row>
    <row r="7" spans="1:3" ht="11.25" customHeight="1">
      <c r="C7" s="43" t="s">
        <v>671</v>
      </c>
    </row>
    <row r="8" spans="1:3" ht="11.25" customHeight="1">
      <c r="C8" s="43"/>
    </row>
    <row r="9" spans="1:3" ht="11.25" customHeight="1">
      <c r="C9" s="43" t="s">
        <v>670</v>
      </c>
    </row>
    <row r="10" spans="1:3" ht="11.25" customHeight="1">
      <c r="C10" s="44" t="s">
        <v>669</v>
      </c>
    </row>
    <row r="11" spans="1:3" ht="11.25" customHeight="1">
      <c r="C11" s="43"/>
    </row>
    <row r="12" spans="1:3" ht="11.25" customHeight="1">
      <c r="C12" s="45" t="s">
        <v>668</v>
      </c>
    </row>
    <row r="13" spans="1:3" ht="11.25" customHeight="1">
      <c r="C13" s="57" t="s">
        <v>254</v>
      </c>
    </row>
    <row r="14" spans="1:3" ht="11.25" customHeight="1">
      <c r="C14" s="57" t="s">
        <v>253</v>
      </c>
    </row>
    <row r="15" spans="1:3" ht="11.25" customHeight="1">
      <c r="C15" s="57" t="s">
        <v>255</v>
      </c>
    </row>
    <row r="16" spans="1:3" ht="11.25" customHeight="1">
      <c r="C16" s="57" t="s">
        <v>256</v>
      </c>
    </row>
    <row r="17" spans="3:22" ht="11.25" customHeight="1">
      <c r="C17" s="57" t="s">
        <v>257</v>
      </c>
    </row>
    <row r="18" spans="3:22" ht="11.25" customHeight="1">
      <c r="C18" s="57" t="s">
        <v>258</v>
      </c>
    </row>
    <row r="20" spans="3:22" ht="11.25" customHeight="1">
      <c r="C20" s="43" t="s">
        <v>260</v>
      </c>
    </row>
    <row r="21" spans="3:22" ht="11.25" customHeight="1">
      <c r="C21" s="44" t="s">
        <v>259</v>
      </c>
    </row>
    <row r="22" spans="3:22" ht="11.25" customHeight="1">
      <c r="C22" s="44" t="s">
        <v>261</v>
      </c>
    </row>
    <row r="23" spans="3:22" ht="11.25" customHeight="1">
      <c r="C23" s="44"/>
    </row>
    <row r="24" spans="3:22" ht="11.25" customHeight="1">
      <c r="C24" s="43" t="s">
        <v>262</v>
      </c>
    </row>
    <row r="25" spans="3:22" ht="11.25" customHeight="1">
      <c r="C25" s="44" t="s">
        <v>263</v>
      </c>
    </row>
    <row r="26" spans="3:22" ht="11.25" customHeight="1">
      <c r="C26" s="44"/>
    </row>
    <row r="27" spans="3:22" ht="11.25" customHeight="1">
      <c r="C27" s="43" t="s">
        <v>264</v>
      </c>
      <c r="V27" s="742"/>
    </row>
    <row r="119" spans="1:4" ht="11.25" customHeight="1">
      <c r="A119" s="27" t="s">
        <v>14</v>
      </c>
      <c r="C119" s="43" t="s">
        <v>681</v>
      </c>
    </row>
    <row r="120" spans="1:4" ht="11.25" customHeight="1">
      <c r="C120" s="43"/>
    </row>
    <row r="121" spans="1:4" ht="11.25" customHeight="1">
      <c r="C121" s="43" t="s">
        <v>682</v>
      </c>
    </row>
    <row r="122" spans="1:4" ht="11.25" customHeight="1">
      <c r="C122" s="43"/>
      <c r="D122" s="24" t="s">
        <v>1682</v>
      </c>
    </row>
    <row r="123" spans="1:4" ht="11.25" customHeight="1">
      <c r="C123" s="43"/>
      <c r="D123" s="27" t="s">
        <v>1145</v>
      </c>
    </row>
    <row r="124" spans="1:4" ht="11.25" customHeight="1">
      <c r="C124" s="43"/>
      <c r="D124" s="24" t="s">
        <v>1683</v>
      </c>
    </row>
    <row r="125" spans="1:4" ht="11.25" customHeight="1">
      <c r="C125" s="43"/>
      <c r="D125" s="24" t="s">
        <v>1146</v>
      </c>
    </row>
    <row r="126" spans="1:4" ht="11.25" customHeight="1">
      <c r="C126" s="43"/>
      <c r="D126" s="24" t="s">
        <v>1147</v>
      </c>
    </row>
    <row r="127" spans="1:4" ht="11.25" customHeight="1">
      <c r="C127" s="43"/>
    </row>
    <row r="128" spans="1:4" ht="11.25" customHeight="1">
      <c r="C128" s="43"/>
    </row>
    <row r="129" spans="3:4" ht="11.25" customHeight="1">
      <c r="C129" s="43"/>
    </row>
    <row r="130" spans="3:4" ht="11.25" customHeight="1">
      <c r="C130" s="43"/>
    </row>
    <row r="131" spans="3:4" ht="11.25" customHeight="1">
      <c r="C131" s="43"/>
    </row>
    <row r="132" spans="3:4" ht="11.25" customHeight="1">
      <c r="C132" s="43"/>
    </row>
    <row r="133" spans="3:4" ht="11.25" customHeight="1">
      <c r="C133" s="43"/>
    </row>
    <row r="134" spans="3:4" ht="11.25" customHeight="1">
      <c r="C134" s="43"/>
    </row>
    <row r="135" spans="3:4" ht="11.25" customHeight="1">
      <c r="C135" s="43"/>
    </row>
    <row r="136" spans="3:4" ht="11.25" customHeight="1">
      <c r="C136" s="43"/>
    </row>
    <row r="137" spans="3:4" ht="11.25" customHeight="1">
      <c r="C137" s="43" t="s">
        <v>1087</v>
      </c>
    </row>
    <row r="138" spans="3:4" ht="11.25" customHeight="1">
      <c r="C138" s="43"/>
      <c r="D138" s="24" t="s">
        <v>1148</v>
      </c>
    </row>
    <row r="139" spans="3:4" ht="11.25" customHeight="1">
      <c r="C139" s="43"/>
      <c r="D139" s="24" t="s">
        <v>1149</v>
      </c>
    </row>
    <row r="140" spans="3:4" ht="11.25" customHeight="1">
      <c r="C140" s="43"/>
      <c r="D140" s="24" t="s">
        <v>1150</v>
      </c>
    </row>
    <row r="141" spans="3:4" ht="11.25" customHeight="1">
      <c r="C141" s="43"/>
    </row>
    <row r="142" spans="3:4" ht="11.25" customHeight="1">
      <c r="C142" s="43"/>
    </row>
    <row r="143" spans="3:4" ht="11.25" customHeight="1">
      <c r="C143" s="43" t="s">
        <v>1086</v>
      </c>
    </row>
    <row r="144" spans="3:4" ht="11.25" customHeight="1">
      <c r="C144" s="43"/>
    </row>
    <row r="145" spans="3:3" ht="11.25" customHeight="1">
      <c r="C145" s="43" t="s">
        <v>1085</v>
      </c>
    </row>
    <row r="146" spans="3:3" ht="11.25" customHeight="1">
      <c r="C146" s="43"/>
    </row>
    <row r="147" spans="3:3" ht="11.25" customHeight="1">
      <c r="C147" s="43" t="s">
        <v>1084</v>
      </c>
    </row>
    <row r="148" spans="3:3" ht="11.25" customHeight="1">
      <c r="C148" s="43"/>
    </row>
    <row r="150" spans="3:3" ht="11.25" customHeight="1">
      <c r="C150" s="742" t="s">
        <v>265</v>
      </c>
    </row>
    <row r="152" spans="3:3" ht="11.25" customHeight="1">
      <c r="C152" s="25" t="s">
        <v>268</v>
      </c>
    </row>
    <row r="153" spans="3:3" ht="11.25" customHeight="1">
      <c r="C153" s="43" t="s">
        <v>266</v>
      </c>
    </row>
    <row r="154" spans="3:3" ht="11.25" customHeight="1">
      <c r="C154" s="43" t="s">
        <v>267</v>
      </c>
    </row>
    <row r="156" spans="3:3" ht="11.25" customHeight="1">
      <c r="C156" s="25" t="s">
        <v>271</v>
      </c>
    </row>
    <row r="157" spans="3:3" ht="11.25" customHeight="1">
      <c r="C157" s="43" t="s">
        <v>269</v>
      </c>
    </row>
    <row r="158" spans="3:3" ht="11.25" customHeight="1">
      <c r="C158" s="43" t="s">
        <v>270</v>
      </c>
    </row>
    <row r="160" spans="3:3" ht="11.25" customHeight="1">
      <c r="C160" s="25" t="s">
        <v>274</v>
      </c>
    </row>
    <row r="161" spans="1:11" ht="11.25" customHeight="1">
      <c r="C161" s="43" t="s">
        <v>272</v>
      </c>
    </row>
    <row r="162" spans="1:11" ht="11.25" customHeight="1">
      <c r="C162" s="43" t="s">
        <v>273</v>
      </c>
    </row>
    <row r="165" spans="1:11" ht="11.25" customHeight="1">
      <c r="C165" s="742" t="s">
        <v>708</v>
      </c>
    </row>
    <row r="167" spans="1:11" ht="11.25" customHeight="1">
      <c r="D167" s="1277"/>
      <c r="E167" s="454">
        <v>2016</v>
      </c>
      <c r="F167" s="454">
        <v>2017</v>
      </c>
      <c r="G167" s="454">
        <v>2018</v>
      </c>
      <c r="H167" s="454">
        <v>2019</v>
      </c>
      <c r="I167" s="454" t="s">
        <v>1119</v>
      </c>
      <c r="J167" s="1278" t="s">
        <v>1120</v>
      </c>
      <c r="K167" s="1279"/>
    </row>
    <row r="168" spans="1:11" ht="11.25" customHeight="1">
      <c r="D168" s="1277"/>
      <c r="E168" s="1277"/>
      <c r="F168" s="1277"/>
      <c r="G168" s="1277"/>
      <c r="H168" s="1277"/>
      <c r="I168" s="1277"/>
      <c r="J168" s="1280"/>
      <c r="K168" s="1281"/>
    </row>
    <row r="169" spans="1:11" ht="11.25" customHeight="1">
      <c r="D169" s="1277" t="s">
        <v>493</v>
      </c>
      <c r="E169" s="1282">
        <f>+Financials!AN250</f>
        <v>2979</v>
      </c>
      <c r="F169" s="1282">
        <f>+Financials!AO250</f>
        <v>3343</v>
      </c>
      <c r="G169" s="1282">
        <f>+Financials!AP250</f>
        <v>3647</v>
      </c>
      <c r="H169" s="1282">
        <f>+Financials!AQ250</f>
        <v>2455</v>
      </c>
      <c r="I169" s="1282">
        <f>+Financials!P250</f>
        <v>851</v>
      </c>
      <c r="J169" s="1283">
        <f>+Financials!T250</f>
        <v>568</v>
      </c>
      <c r="K169" s="1284"/>
    </row>
    <row r="170" spans="1:11" ht="11.25" customHeight="1">
      <c r="D170" s="1277" t="s">
        <v>706</v>
      </c>
      <c r="E170" s="1285"/>
      <c r="F170" s="1286">
        <f>+F169/E169-1</f>
        <v>0.12218865391070821</v>
      </c>
      <c r="G170" s="1286">
        <f>+G169/F169-1</f>
        <v>9.0936284774155052E-2</v>
      </c>
      <c r="H170" s="1286">
        <f>+H169/G169-1</f>
        <v>-0.32684398135453796</v>
      </c>
      <c r="I170" s="1286"/>
      <c r="J170" s="1287">
        <f>+J169/I169-1</f>
        <v>-0.33254994124559345</v>
      </c>
      <c r="K170" s="1288"/>
    </row>
    <row r="171" spans="1:11" ht="11.25" customHeight="1">
      <c r="D171" s="1277" t="s">
        <v>472</v>
      </c>
      <c r="E171" s="1282">
        <f>+Financials!AN283</f>
        <v>819</v>
      </c>
      <c r="F171" s="1282">
        <f>+Financials!AO283</f>
        <v>874</v>
      </c>
      <c r="G171" s="1282">
        <f>+Financials!AP283</f>
        <v>890</v>
      </c>
      <c r="H171" s="1282">
        <f>+Financials!AQ283</f>
        <v>631</v>
      </c>
      <c r="I171" s="1282">
        <f>+Financials!P283</f>
        <v>178.4751655629139</v>
      </c>
      <c r="J171" s="1283">
        <f>+Financials!T283</f>
        <v>134.91980360065466</v>
      </c>
      <c r="K171" s="1284"/>
    </row>
    <row r="172" spans="1:11" ht="11.25" customHeight="1">
      <c r="D172" s="1277" t="s">
        <v>707</v>
      </c>
      <c r="E172" s="1286">
        <f t="shared" ref="E172:J172" si="0">+E171/E169</f>
        <v>0.27492447129909364</v>
      </c>
      <c r="F172" s="1286">
        <f t="shared" si="0"/>
        <v>0.2614418187256955</v>
      </c>
      <c r="G172" s="1286">
        <f t="shared" si="0"/>
        <v>0.24403619413216343</v>
      </c>
      <c r="H172" s="1286">
        <f t="shared" si="0"/>
        <v>0.25702647657841138</v>
      </c>
      <c r="I172" s="1286">
        <f t="shared" si="0"/>
        <v>0.20972404884008683</v>
      </c>
      <c r="J172" s="1287">
        <f t="shared" si="0"/>
        <v>0.23753486549411032</v>
      </c>
      <c r="K172" s="1288"/>
    </row>
    <row r="176" spans="1:11" ht="11.25" customHeight="1">
      <c r="A176" s="27" t="s">
        <v>14</v>
      </c>
    </row>
  </sheetData>
  <pageMargins left="0.7" right="0.7" top="0.75" bottom="0.75" header="0.3" footer="0.3"/>
  <pageSetup scale="33"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1810-4460-4FA9-A17E-1521D06F535A}">
  <sheetPr codeName="Sheet16">
    <tabColor rgb="FFFF0000"/>
    <pageSetUpPr fitToPage="1"/>
  </sheetPr>
  <dimension ref="A1:V110"/>
  <sheetViews>
    <sheetView showGridLines="0" workbookViewId="0">
      <selection activeCell="C10" sqref="C10"/>
    </sheetView>
  </sheetViews>
  <sheetFormatPr defaultRowHeight="11.25" customHeight="1"/>
  <cols>
    <col min="1" max="1" width="1.796875" customWidth="1"/>
    <col min="4" max="4" width="15.53125" bestFit="1" customWidth="1"/>
  </cols>
  <sheetData>
    <row r="1" spans="1:3" ht="11.25" customHeight="1">
      <c r="A1" s="68" t="s">
        <v>275</v>
      </c>
    </row>
    <row r="3" spans="1:3" ht="11.25" customHeight="1">
      <c r="C3" t="s">
        <v>277</v>
      </c>
    </row>
    <row r="4" spans="1:3" ht="11.25" customHeight="1">
      <c r="C4" s="69" t="s">
        <v>276</v>
      </c>
    </row>
    <row r="5" spans="1:3" ht="11.25" customHeight="1">
      <c r="C5" s="69"/>
    </row>
    <row r="6" spans="1:3" ht="11.25" customHeight="1">
      <c r="C6" s="70" t="s">
        <v>278</v>
      </c>
    </row>
    <row r="7" spans="1:3" ht="11.25" customHeight="1">
      <c r="C7" s="70"/>
    </row>
    <row r="8" spans="1:3" ht="11.25" customHeight="1">
      <c r="C8" s="70" t="s">
        <v>254</v>
      </c>
    </row>
    <row r="9" spans="1:3" ht="11.25" customHeight="1">
      <c r="C9" s="70"/>
    </row>
    <row r="10" spans="1:3" ht="11.25" customHeight="1">
      <c r="C10" s="70" t="s">
        <v>279</v>
      </c>
    </row>
    <row r="11" spans="1:3" ht="11.25" customHeight="1">
      <c r="C11" s="73" t="s">
        <v>280</v>
      </c>
    </row>
    <row r="12" spans="1:3" ht="11.25" customHeight="1">
      <c r="C12" s="69"/>
    </row>
    <row r="13" spans="1:3" ht="11.25" customHeight="1">
      <c r="C13" s="70" t="s">
        <v>281</v>
      </c>
    </row>
    <row r="14" spans="1:3" ht="11.25" customHeight="1">
      <c r="C14" s="73" t="s">
        <v>282</v>
      </c>
    </row>
    <row r="15" spans="1:3" ht="11.25" customHeight="1">
      <c r="C15" s="69"/>
    </row>
    <row r="16" spans="1:3" ht="11.25" customHeight="1">
      <c r="C16" s="70" t="s">
        <v>283</v>
      </c>
    </row>
    <row r="17" spans="1:22" ht="11.25" customHeight="1">
      <c r="C17" s="73" t="s">
        <v>284</v>
      </c>
    </row>
    <row r="19" spans="1:22" ht="11.25" customHeight="1">
      <c r="C19" t="s">
        <v>287</v>
      </c>
    </row>
    <row r="20" spans="1:22" ht="11.25" customHeight="1">
      <c r="C20" s="69" t="s">
        <v>285</v>
      </c>
    </row>
    <row r="21" spans="1:22" ht="11.25" customHeight="1">
      <c r="C21" s="69" t="s">
        <v>286</v>
      </c>
      <c r="U21" t="s">
        <v>663</v>
      </c>
      <c r="V21" t="s">
        <v>428</v>
      </c>
    </row>
    <row r="24" spans="1:22" ht="11.25" customHeight="1">
      <c r="A24" s="76" t="s">
        <v>14</v>
      </c>
    </row>
    <row r="74" spans="3:3" ht="11.25" customHeight="1">
      <c r="C74" s="70" t="s">
        <v>717</v>
      </c>
    </row>
    <row r="75" spans="3:3" ht="11.25" customHeight="1">
      <c r="C75" s="70"/>
    </row>
    <row r="76" spans="3:3" ht="11.25" customHeight="1">
      <c r="C76" s="70" t="s">
        <v>718</v>
      </c>
    </row>
    <row r="77" spans="3:3" ht="11.25" customHeight="1">
      <c r="C77" s="70"/>
    </row>
    <row r="78" spans="3:3" ht="11.25" customHeight="1">
      <c r="C78" s="70" t="s">
        <v>675</v>
      </c>
    </row>
    <row r="81" spans="2:3" ht="11.25" customHeight="1">
      <c r="C81" s="68" t="s">
        <v>265</v>
      </c>
    </row>
    <row r="83" spans="2:3" ht="11.25" customHeight="1">
      <c r="C83" s="69" t="s">
        <v>290</v>
      </c>
    </row>
    <row r="84" spans="2:3" ht="11.25" customHeight="1">
      <c r="B84" s="76"/>
      <c r="C84" s="70" t="s">
        <v>288</v>
      </c>
    </row>
    <row r="85" spans="2:3" ht="11.25" customHeight="1">
      <c r="C85" s="70" t="s">
        <v>289</v>
      </c>
    </row>
    <row r="87" spans="2:3" ht="11.25" customHeight="1">
      <c r="C87" s="69" t="s">
        <v>293</v>
      </c>
    </row>
    <row r="88" spans="2:3" ht="11.25" customHeight="1">
      <c r="C88" s="70" t="s">
        <v>291</v>
      </c>
    </row>
    <row r="89" spans="2:3" ht="11.25" customHeight="1">
      <c r="C89" s="70" t="s">
        <v>292</v>
      </c>
    </row>
    <row r="91" spans="2:3" ht="11.25" customHeight="1">
      <c r="C91" s="69" t="s">
        <v>296</v>
      </c>
    </row>
    <row r="92" spans="2:3" ht="11.25" customHeight="1">
      <c r="C92" s="70" t="s">
        <v>294</v>
      </c>
    </row>
    <row r="93" spans="2:3" ht="11.25" customHeight="1">
      <c r="C93" s="70" t="s">
        <v>295</v>
      </c>
    </row>
    <row r="95" spans="2:3" ht="11.25" customHeight="1">
      <c r="C95" s="69" t="s">
        <v>1080</v>
      </c>
    </row>
    <row r="96" spans="2:3" ht="11.25" customHeight="1">
      <c r="C96" s="70" t="s">
        <v>297</v>
      </c>
    </row>
    <row r="97" spans="1:11" ht="11.25" customHeight="1">
      <c r="C97" s="70" t="s">
        <v>298</v>
      </c>
    </row>
    <row r="100" spans="1:11" ht="11.25" customHeight="1">
      <c r="C100" s="68" t="s">
        <v>708</v>
      </c>
    </row>
    <row r="101" spans="1:11" ht="11.25" customHeight="1">
      <c r="C101" s="68"/>
    </row>
    <row r="102" spans="1:11" ht="11.25" customHeight="1">
      <c r="C102" s="68"/>
    </row>
    <row r="103" spans="1:11" ht="11.25" customHeight="1">
      <c r="D103" s="447"/>
      <c r="E103" s="448">
        <v>2016</v>
      </c>
      <c r="F103" s="448">
        <v>2017</v>
      </c>
      <c r="G103" s="448">
        <v>2018</v>
      </c>
      <c r="H103" s="448">
        <v>2019</v>
      </c>
      <c r="I103" s="448" t="s">
        <v>1119</v>
      </c>
      <c r="J103" s="692" t="s">
        <v>1120</v>
      </c>
      <c r="K103" s="696"/>
    </row>
    <row r="104" spans="1:11" ht="11.25" customHeight="1">
      <c r="D104" s="447"/>
      <c r="E104" s="447"/>
      <c r="F104" s="447"/>
      <c r="G104" s="447"/>
      <c r="H104" s="447"/>
      <c r="I104" s="447"/>
      <c r="J104" s="693"/>
      <c r="K104" s="697"/>
    </row>
    <row r="105" spans="1:11" ht="11.25" customHeight="1">
      <c r="D105" s="447" t="s">
        <v>493</v>
      </c>
      <c r="E105" s="449">
        <f>+Financials!AN352</f>
        <v>2457</v>
      </c>
      <c r="F105" s="449">
        <f>+Financials!AO352</f>
        <v>2572</v>
      </c>
      <c r="G105" s="449">
        <f>+Financials!AP352</f>
        <v>2755</v>
      </c>
      <c r="H105" s="449">
        <f>+Financials!AQ352</f>
        <v>2688</v>
      </c>
      <c r="I105" s="449">
        <f>+Financials!P352</f>
        <v>624</v>
      </c>
      <c r="J105" s="694">
        <f>+Financials!T352</f>
        <v>638</v>
      </c>
      <c r="K105" s="698"/>
    </row>
    <row r="106" spans="1:11" ht="11.25" customHeight="1">
      <c r="D106" s="447" t="s">
        <v>706</v>
      </c>
      <c r="E106" s="450"/>
      <c r="F106" s="451">
        <f>+F105/E105-1</f>
        <v>4.6805046805046713E-2</v>
      </c>
      <c r="G106" s="451">
        <f>+G105/F105-1</f>
        <v>7.1150855365474275E-2</v>
      </c>
      <c r="H106" s="451">
        <f>+H105/G105-1</f>
        <v>-2.4319419237749496E-2</v>
      </c>
      <c r="I106" s="451"/>
      <c r="J106" s="695">
        <f>+J105/I105-1</f>
        <v>2.2435897435897356E-2</v>
      </c>
      <c r="K106" s="699"/>
    </row>
    <row r="107" spans="1:11" ht="11.25" customHeight="1">
      <c r="D107" s="447" t="s">
        <v>472</v>
      </c>
      <c r="E107" s="449">
        <f>+Financials!AN404</f>
        <v>631</v>
      </c>
      <c r="F107" s="449">
        <f>+Financials!AO404</f>
        <v>658</v>
      </c>
      <c r="G107" s="449">
        <f>+Financials!AP404</f>
        <v>670</v>
      </c>
      <c r="H107" s="449">
        <f>+Financials!AQ404</f>
        <v>690</v>
      </c>
      <c r="I107" s="449">
        <f>+Financials!P404</f>
        <v>114.80960264900662</v>
      </c>
      <c r="J107" s="694">
        <f>+Financials!T404</f>
        <v>153.9443535188216</v>
      </c>
      <c r="K107" s="698"/>
    </row>
    <row r="108" spans="1:11" ht="11.25" customHeight="1">
      <c r="D108" s="447" t="s">
        <v>707</v>
      </c>
      <c r="E108" s="451">
        <f t="shared" ref="E108:J108" si="0">+E107/E105</f>
        <v>0.25681725681725681</v>
      </c>
      <c r="F108" s="451">
        <f t="shared" si="0"/>
        <v>0.2558320373250389</v>
      </c>
      <c r="G108" s="451">
        <f t="shared" si="0"/>
        <v>0.24319419237749546</v>
      </c>
      <c r="H108" s="451">
        <f t="shared" si="0"/>
        <v>0.25669642857142855</v>
      </c>
      <c r="I108" s="451">
        <f t="shared" si="0"/>
        <v>0.18398974783494651</v>
      </c>
      <c r="J108" s="695">
        <f t="shared" si="0"/>
        <v>0.24129209015489278</v>
      </c>
      <c r="K108" s="699"/>
    </row>
    <row r="110" spans="1:11" ht="11.25" customHeight="1">
      <c r="A110" s="76" t="s">
        <v>14</v>
      </c>
    </row>
  </sheetData>
  <pageMargins left="0.7" right="0.7" top="0.75" bottom="0.75" header="0.3" footer="0.3"/>
  <pageSetup scale="3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1D184-98F4-4E25-B876-F2BFBC829773}">
  <sheetPr codeName="Sheet17">
    <tabColor rgb="FFFF0000"/>
    <pageSetUpPr fitToPage="1"/>
  </sheetPr>
  <dimension ref="A1:J105"/>
  <sheetViews>
    <sheetView showGridLines="0" workbookViewId="0"/>
  </sheetViews>
  <sheetFormatPr defaultRowHeight="11.25" customHeight="1"/>
  <cols>
    <col min="1" max="1" width="1.796875" customWidth="1"/>
    <col min="4" max="4" width="15.53125" bestFit="1" customWidth="1"/>
  </cols>
  <sheetData>
    <row r="1" spans="1:3" ht="11.25" customHeight="1">
      <c r="A1" s="68" t="s">
        <v>299</v>
      </c>
    </row>
    <row r="3" spans="1:3" ht="11.25" customHeight="1">
      <c r="C3" t="s">
        <v>300</v>
      </c>
    </row>
    <row r="4" spans="1:3" ht="11.25" customHeight="1">
      <c r="C4" s="70" t="s">
        <v>301</v>
      </c>
    </row>
    <row r="5" spans="1:3" ht="11.25" customHeight="1">
      <c r="C5" s="70"/>
    </row>
    <row r="6" spans="1:3" ht="11.25" customHeight="1">
      <c r="C6" s="71" t="s">
        <v>302</v>
      </c>
    </row>
    <row r="7" spans="1:3" ht="11.25" customHeight="1">
      <c r="C7" s="70" t="s">
        <v>303</v>
      </c>
    </row>
    <row r="8" spans="1:3" ht="11.25" customHeight="1">
      <c r="C8" s="70"/>
    </row>
    <row r="9" spans="1:3" ht="11.25" customHeight="1">
      <c r="C9" s="70" t="s">
        <v>304</v>
      </c>
    </row>
    <row r="10" spans="1:3" ht="11.25" customHeight="1">
      <c r="C10" s="70"/>
    </row>
    <row r="11" spans="1:3" ht="11.25" customHeight="1">
      <c r="C11" s="70" t="s">
        <v>305</v>
      </c>
    </row>
    <row r="13" spans="1:3" ht="11.25" customHeight="1">
      <c r="C13" s="70" t="s">
        <v>306</v>
      </c>
    </row>
    <row r="15" spans="1:3" ht="11.25" customHeight="1">
      <c r="C15" s="70" t="s">
        <v>664</v>
      </c>
    </row>
    <row r="17" spans="1:3" ht="11.25" customHeight="1">
      <c r="C17" s="70" t="s">
        <v>307</v>
      </c>
    </row>
    <row r="19" spans="1:3" ht="11.25" customHeight="1">
      <c r="C19" t="s">
        <v>308</v>
      </c>
    </row>
    <row r="21" spans="1:3" ht="11.25" customHeight="1">
      <c r="C21" t="s">
        <v>309</v>
      </c>
    </row>
    <row r="24" spans="1:3" ht="11.25" customHeight="1">
      <c r="A24" s="76" t="s">
        <v>14</v>
      </c>
    </row>
    <row r="78" spans="3:3" ht="11.25" customHeight="1">
      <c r="C78" s="69" t="s">
        <v>676</v>
      </c>
    </row>
    <row r="79" spans="3:3" ht="11.25" customHeight="1">
      <c r="C79" s="69"/>
    </row>
    <row r="80" spans="3:3" ht="11.25" customHeight="1">
      <c r="C80" s="69" t="s">
        <v>680</v>
      </c>
    </row>
    <row r="81" spans="3:3" ht="11.25" customHeight="1">
      <c r="C81" s="69"/>
    </row>
    <row r="82" spans="3:3" ht="11.25" customHeight="1">
      <c r="C82" s="69" t="s">
        <v>677</v>
      </c>
    </row>
    <row r="85" spans="3:3" ht="11.25" customHeight="1">
      <c r="C85" s="68" t="s">
        <v>265</v>
      </c>
    </row>
    <row r="87" spans="3:3" ht="11.25" customHeight="1">
      <c r="C87" s="69" t="s">
        <v>311</v>
      </c>
    </row>
    <row r="88" spans="3:3" ht="11.25" customHeight="1">
      <c r="C88" s="70" t="s">
        <v>310</v>
      </c>
    </row>
    <row r="89" spans="3:3" ht="11.25" customHeight="1">
      <c r="C89" s="70" t="s">
        <v>312</v>
      </c>
    </row>
    <row r="90" spans="3:3" ht="11.25" customHeight="1">
      <c r="C90" s="77"/>
    </row>
    <row r="91" spans="3:3" ht="11.25" customHeight="1">
      <c r="C91" s="69" t="s">
        <v>314</v>
      </c>
    </row>
    <row r="92" spans="3:3" ht="11.25" customHeight="1">
      <c r="C92" s="70" t="s">
        <v>313</v>
      </c>
    </row>
    <row r="95" spans="3:3" ht="11.25" customHeight="1">
      <c r="C95" s="68" t="s">
        <v>708</v>
      </c>
    </row>
    <row r="98" spans="1:10" ht="11.25" customHeight="1">
      <c r="D98" s="447"/>
      <c r="E98" s="448">
        <v>2016</v>
      </c>
      <c r="F98" s="448">
        <f>+E98+1</f>
        <v>2017</v>
      </c>
      <c r="G98" s="448">
        <f>+F98+1</f>
        <v>2018</v>
      </c>
      <c r="H98" s="703">
        <v>2018</v>
      </c>
      <c r="I98" s="692" t="s">
        <v>1083</v>
      </c>
      <c r="J98" s="696"/>
    </row>
    <row r="99" spans="1:10" ht="11.25" customHeight="1">
      <c r="D99" s="447"/>
      <c r="E99" s="447"/>
      <c r="F99" s="447"/>
      <c r="G99" s="447"/>
      <c r="H99" s="447"/>
      <c r="I99" s="693"/>
      <c r="J99" s="697"/>
    </row>
    <row r="100" spans="1:10" ht="11.25" customHeight="1">
      <c r="D100" s="447" t="s">
        <v>493</v>
      </c>
      <c r="E100" s="449">
        <f>+Financials!AN433</f>
        <v>2534</v>
      </c>
      <c r="F100" s="449">
        <f>+Financials!AO433</f>
        <v>2728</v>
      </c>
      <c r="G100" s="449">
        <f>+Financials!AP433</f>
        <v>2831</v>
      </c>
      <c r="H100" s="449">
        <f>+Financials!O433</f>
        <v>703</v>
      </c>
      <c r="I100" s="694">
        <f>+Financials!S433</f>
        <v>533</v>
      </c>
      <c r="J100" s="698"/>
    </row>
    <row r="101" spans="1:10" ht="11.25" customHeight="1">
      <c r="D101" s="447" t="s">
        <v>706</v>
      </c>
      <c r="E101" s="450"/>
      <c r="F101" s="451">
        <f>+F100/E100-1</f>
        <v>7.6558800315706499E-2</v>
      </c>
      <c r="G101" s="451">
        <f>+G100/F100-1</f>
        <v>3.7756598240469286E-2</v>
      </c>
      <c r="H101" s="451"/>
      <c r="I101" s="695">
        <f>+I100/H100-1</f>
        <v>-0.24182076813655762</v>
      </c>
      <c r="J101" s="699"/>
    </row>
    <row r="102" spans="1:10" ht="11.25" customHeight="1">
      <c r="D102" s="447" t="s">
        <v>472</v>
      </c>
      <c r="E102" s="449">
        <f>+Financials!AN485</f>
        <v>328</v>
      </c>
      <c r="F102" s="449">
        <f>+Financials!AO485</f>
        <v>447</v>
      </c>
      <c r="G102" s="449">
        <f>+Financials!AP485</f>
        <v>429</v>
      </c>
      <c r="H102" s="449">
        <f>+Financials!O485</f>
        <v>116.75</v>
      </c>
      <c r="I102" s="694">
        <f>+Financials!S485</f>
        <v>50.207855973813423</v>
      </c>
      <c r="J102" s="698"/>
    </row>
    <row r="103" spans="1:10" ht="11.25" customHeight="1">
      <c r="D103" s="447" t="s">
        <v>707</v>
      </c>
      <c r="E103" s="451">
        <f>+E102/E100</f>
        <v>0.12943962115232832</v>
      </c>
      <c r="F103" s="451">
        <f>+F102/F100</f>
        <v>0.16385630498533724</v>
      </c>
      <c r="G103" s="451">
        <f>+G102/G100</f>
        <v>0.15153655951960437</v>
      </c>
      <c r="H103" s="451">
        <f>+H102/H100</f>
        <v>0.16607396870554766</v>
      </c>
      <c r="I103" s="695">
        <f>+I102/I100</f>
        <v>9.4198604078449197E-2</v>
      </c>
      <c r="J103" s="699"/>
    </row>
    <row r="105" spans="1:10" ht="11.25" customHeight="1">
      <c r="A105" s="76" t="s">
        <v>14</v>
      </c>
    </row>
  </sheetData>
  <pageMargins left="0.7" right="0.7" top="0.75" bottom="0.75" header="0.3" footer="0.3"/>
  <pageSetup scale="35"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ED974-5564-4D0E-B309-EFD59428A740}">
  <sheetPr codeName="Sheet18">
    <tabColor rgb="FFFF0000"/>
    <pageSetUpPr fitToPage="1"/>
  </sheetPr>
  <dimension ref="A1:J109"/>
  <sheetViews>
    <sheetView showGridLines="0" zoomScale="81" workbookViewId="0">
      <selection activeCell="A33" sqref="A33"/>
    </sheetView>
  </sheetViews>
  <sheetFormatPr defaultColWidth="9.19921875" defaultRowHeight="11.25" customHeight="1"/>
  <cols>
    <col min="1" max="1" width="1.796875" customWidth="1"/>
    <col min="4" max="4" width="15.53125" bestFit="1" customWidth="1"/>
  </cols>
  <sheetData>
    <row r="1" spans="1:3" ht="11.25" customHeight="1">
      <c r="A1" s="68" t="s">
        <v>315</v>
      </c>
    </row>
    <row r="3" spans="1:3" ht="11.25" customHeight="1">
      <c r="C3" t="s">
        <v>316</v>
      </c>
    </row>
    <row r="4" spans="1:3" ht="11.25" customHeight="1">
      <c r="C4" s="70" t="s">
        <v>1095</v>
      </c>
    </row>
    <row r="5" spans="1:3" ht="11.25" customHeight="1">
      <c r="C5" s="70" t="s">
        <v>719</v>
      </c>
    </row>
    <row r="6" spans="1:3" ht="11.25" customHeight="1">
      <c r="C6" s="70" t="s">
        <v>317</v>
      </c>
    </row>
    <row r="8" spans="1:3" ht="11.25" customHeight="1">
      <c r="C8" s="71" t="s">
        <v>321</v>
      </c>
    </row>
    <row r="9" spans="1:3" ht="11.25" customHeight="1">
      <c r="C9" s="70" t="s">
        <v>318</v>
      </c>
    </row>
    <row r="10" spans="1:3" ht="11.25" customHeight="1">
      <c r="C10" s="70" t="s">
        <v>319</v>
      </c>
    </row>
    <row r="11" spans="1:3" ht="11.25" customHeight="1">
      <c r="C11" s="70" t="s">
        <v>320</v>
      </c>
    </row>
    <row r="13" spans="1:3" ht="11.25" customHeight="1">
      <c r="C13" t="s">
        <v>674</v>
      </c>
    </row>
    <row r="14" spans="1:3" ht="11.25" customHeight="1">
      <c r="C14" s="70" t="s">
        <v>322</v>
      </c>
    </row>
    <row r="15" spans="1:3" ht="11.25" customHeight="1">
      <c r="C15" s="70" t="s">
        <v>323</v>
      </c>
    </row>
    <row r="18" spans="1:1" ht="11.25" customHeight="1">
      <c r="A18" s="76" t="s">
        <v>14</v>
      </c>
    </row>
    <row r="66" spans="2:3" ht="11.25" customHeight="1">
      <c r="C66" s="70" t="s">
        <v>683</v>
      </c>
    </row>
    <row r="67" spans="2:3" ht="11.25" customHeight="1">
      <c r="C67" s="70"/>
    </row>
    <row r="68" spans="2:3" ht="11.25" customHeight="1">
      <c r="C68" s="70" t="s">
        <v>684</v>
      </c>
    </row>
    <row r="69" spans="2:3" ht="11.25" customHeight="1">
      <c r="C69" s="70"/>
    </row>
    <row r="70" spans="2:3" ht="11.25" customHeight="1">
      <c r="C70" s="70" t="s">
        <v>678</v>
      </c>
    </row>
    <row r="71" spans="2:3" ht="11.25" customHeight="1">
      <c r="C71" s="70"/>
    </row>
    <row r="72" spans="2:3" ht="11.25" customHeight="1">
      <c r="C72" s="70" t="s">
        <v>679</v>
      </c>
    </row>
    <row r="75" spans="2:3" ht="11.25" customHeight="1">
      <c r="B75" s="76"/>
      <c r="C75" s="68" t="s">
        <v>265</v>
      </c>
    </row>
    <row r="77" spans="2:3" ht="11.25" customHeight="1">
      <c r="C77" s="70" t="s">
        <v>325</v>
      </c>
    </row>
    <row r="78" spans="2:3" ht="11.25" customHeight="1">
      <c r="C78" s="73" t="s">
        <v>324</v>
      </c>
    </row>
    <row r="80" spans="2:3" ht="11.25" customHeight="1">
      <c r="C80" s="70" t="s">
        <v>327</v>
      </c>
    </row>
    <row r="81" spans="3:3" ht="11.25" customHeight="1">
      <c r="C81" s="73" t="s">
        <v>326</v>
      </c>
    </row>
    <row r="83" spans="3:3" ht="11.25" customHeight="1">
      <c r="C83" s="70" t="s">
        <v>329</v>
      </c>
    </row>
    <row r="84" spans="3:3" ht="11.25" customHeight="1">
      <c r="C84" s="73" t="s">
        <v>328</v>
      </c>
    </row>
    <row r="85" spans="3:3" ht="11.25" customHeight="1">
      <c r="C85" s="73" t="s">
        <v>330</v>
      </c>
    </row>
    <row r="86" spans="3:3" ht="11.25" customHeight="1">
      <c r="C86" s="73"/>
    </row>
    <row r="87" spans="3:3" ht="11.25" customHeight="1">
      <c r="C87" s="74" t="s">
        <v>331</v>
      </c>
    </row>
    <row r="88" spans="3:3" ht="11.25" customHeight="1">
      <c r="C88" s="74"/>
    </row>
    <row r="89" spans="3:3" ht="11.25" customHeight="1">
      <c r="C89" s="74" t="s">
        <v>332</v>
      </c>
    </row>
    <row r="90" spans="3:3" ht="11.25" customHeight="1">
      <c r="C90" s="75" t="s">
        <v>333</v>
      </c>
    </row>
    <row r="91" spans="3:3" ht="11.25" customHeight="1">
      <c r="C91" s="75"/>
    </row>
    <row r="92" spans="3:3" ht="11.25" customHeight="1">
      <c r="C92" s="74" t="s">
        <v>236</v>
      </c>
    </row>
    <row r="96" spans="3:3" ht="11.25" customHeight="1">
      <c r="C96" s="68" t="s">
        <v>708</v>
      </c>
    </row>
    <row r="97" spans="1:10" ht="11.25" customHeight="1">
      <c r="C97" s="68"/>
    </row>
    <row r="99" spans="1:10" ht="11.25" customHeight="1">
      <c r="D99" s="447"/>
      <c r="E99" s="448">
        <v>2016</v>
      </c>
      <c r="F99" s="448">
        <v>2017</v>
      </c>
      <c r="G99" s="448">
        <v>2018</v>
      </c>
      <c r="H99" s="448" t="s">
        <v>1082</v>
      </c>
      <c r="I99" s="692" t="s">
        <v>1083</v>
      </c>
      <c r="J99" s="696"/>
    </row>
    <row r="100" spans="1:10" ht="11.25" customHeight="1">
      <c r="D100" s="447"/>
      <c r="E100" s="447"/>
      <c r="F100" s="447"/>
      <c r="G100" s="447"/>
      <c r="H100" s="447"/>
      <c r="I100" s="693"/>
      <c r="J100" s="697"/>
    </row>
    <row r="101" spans="1:10" ht="11.25" customHeight="1">
      <c r="D101" s="447" t="s">
        <v>493</v>
      </c>
      <c r="E101" s="449">
        <f>+Financials!AN513</f>
        <v>992</v>
      </c>
      <c r="F101" s="449">
        <f>+Financials!AO513</f>
        <v>852</v>
      </c>
      <c r="G101" s="449">
        <f>+Financials!AP513</f>
        <v>918</v>
      </c>
      <c r="H101" s="449">
        <f>+Financials!O513</f>
        <v>220</v>
      </c>
      <c r="I101" s="694">
        <f>+Financials!S513</f>
        <v>217</v>
      </c>
      <c r="J101" s="698"/>
    </row>
    <row r="102" spans="1:10" ht="11.25" customHeight="1">
      <c r="D102" s="447" t="s">
        <v>706</v>
      </c>
      <c r="E102" s="450"/>
      <c r="F102" s="451">
        <f>+F101/E101-1</f>
        <v>-0.1411290322580645</v>
      </c>
      <c r="G102" s="451">
        <f>+G101/F101-1</f>
        <v>7.7464788732394263E-2</v>
      </c>
      <c r="H102" s="451"/>
      <c r="I102" s="695">
        <f>+I101/H101-1</f>
        <v>-1.3636363636363669E-2</v>
      </c>
      <c r="J102" s="699"/>
    </row>
    <row r="103" spans="1:10" ht="11.25" customHeight="1">
      <c r="D103" s="447" t="s">
        <v>472</v>
      </c>
      <c r="E103" s="449">
        <f>+Financials!AN563</f>
        <v>361</v>
      </c>
      <c r="F103" s="449">
        <f>+Financials!AO563</f>
        <v>288</v>
      </c>
      <c r="G103" s="449">
        <f>+Financials!AP563</f>
        <v>283</v>
      </c>
      <c r="H103" s="449">
        <f>+Financials!O563</f>
        <v>73</v>
      </c>
      <c r="I103" s="694">
        <f>+Financials!S563</f>
        <v>66.816693944353517</v>
      </c>
      <c r="J103" s="698"/>
    </row>
    <row r="104" spans="1:10" ht="11.25" customHeight="1">
      <c r="D104" s="447" t="s">
        <v>707</v>
      </c>
      <c r="E104" s="451">
        <f>+E103/E101</f>
        <v>0.36391129032258063</v>
      </c>
      <c r="F104" s="451">
        <f>+F103/F101</f>
        <v>0.3380281690140845</v>
      </c>
      <c r="G104" s="451">
        <f>+G103/G101</f>
        <v>0.30827886710239649</v>
      </c>
      <c r="H104" s="451">
        <f>+H103/H101</f>
        <v>0.33181818181818185</v>
      </c>
      <c r="I104" s="695">
        <f>+I103/I101</f>
        <v>0.30791103200162911</v>
      </c>
      <c r="J104" s="699"/>
    </row>
    <row r="109" spans="1:10" ht="11.25" customHeight="1">
      <c r="A109" s="76" t="s">
        <v>14</v>
      </c>
    </row>
  </sheetData>
  <pageMargins left="0.7" right="0.7" top="0.75" bottom="0.75" header="0.3" footer="0.3"/>
  <pageSetup scale="5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079-1CE5-4B3B-BE9D-5CCEC5CEC83E}">
  <sheetPr codeName="Sheet19"/>
  <dimension ref="A1:R214"/>
  <sheetViews>
    <sheetView workbookViewId="0">
      <pane xSplit="2" ySplit="5" topLeftCell="G35" activePane="bottomRight" state="frozen"/>
      <selection activeCell="E27" sqref="E27"/>
      <selection pane="topRight" activeCell="E27" sqref="E27"/>
      <selection pane="bottomLeft" activeCell="E27" sqref="E27"/>
      <selection pane="bottomRight" activeCell="G37" sqref="G37"/>
    </sheetView>
  </sheetViews>
  <sheetFormatPr defaultColWidth="9.19921875" defaultRowHeight="14.25"/>
  <cols>
    <col min="1" max="1" width="35.19921875" style="474" customWidth="1"/>
    <col min="2" max="2" width="9.19921875" style="474" customWidth="1"/>
    <col min="3" max="18" width="14.19921875" style="474" customWidth="1"/>
    <col min="19" max="16384" width="9.19921875" style="474"/>
  </cols>
  <sheetData>
    <row r="1" spans="1:18">
      <c r="A1" s="459"/>
      <c r="B1" s="459"/>
      <c r="C1" s="459"/>
      <c r="D1" s="459"/>
      <c r="E1" s="459"/>
      <c r="F1" s="459"/>
      <c r="G1" s="459"/>
      <c r="H1" s="459"/>
      <c r="I1" s="459"/>
      <c r="J1" s="459"/>
      <c r="K1" s="459"/>
      <c r="L1" s="459"/>
      <c r="M1" s="459"/>
      <c r="N1" s="459"/>
      <c r="O1" s="459"/>
      <c r="P1" s="459"/>
      <c r="Q1" s="459"/>
      <c r="R1" s="459"/>
    </row>
    <row r="2" spans="1:18" ht="20.65">
      <c r="A2" s="475" t="s">
        <v>728</v>
      </c>
      <c r="B2" s="475"/>
      <c r="C2" s="475"/>
      <c r="D2" s="475"/>
      <c r="E2" s="475"/>
      <c r="F2" s="475"/>
      <c r="G2" s="475"/>
      <c r="H2" s="475"/>
      <c r="I2" s="475"/>
      <c r="J2" s="475"/>
      <c r="K2" s="475"/>
      <c r="L2" s="475"/>
      <c r="M2" s="475"/>
      <c r="N2" s="475"/>
      <c r="O2" s="475"/>
      <c r="P2" s="475"/>
      <c r="Q2" s="475"/>
      <c r="R2" s="475"/>
    </row>
    <row r="3" spans="1:18">
      <c r="A3" s="476"/>
      <c r="B3" s="476"/>
      <c r="C3" s="476"/>
      <c r="D3" s="476"/>
      <c r="E3" s="476"/>
      <c r="F3" s="476"/>
      <c r="G3" s="476"/>
      <c r="H3" s="476"/>
      <c r="I3" s="476"/>
      <c r="J3" s="476"/>
      <c r="K3" s="476"/>
      <c r="L3" s="476"/>
      <c r="M3" s="476"/>
      <c r="N3" s="476"/>
      <c r="O3" s="476"/>
      <c r="P3" s="476"/>
      <c r="Q3" s="476"/>
      <c r="R3" s="476"/>
    </row>
    <row r="4" spans="1:18">
      <c r="A4" s="477" t="s">
        <v>729</v>
      </c>
      <c r="B4" s="477"/>
      <c r="C4" s="478" t="s">
        <v>730</v>
      </c>
      <c r="D4" s="478" t="s">
        <v>731</v>
      </c>
      <c r="E4" s="478" t="s">
        <v>732</v>
      </c>
      <c r="F4" s="478" t="s">
        <v>733</v>
      </c>
      <c r="G4" s="478" t="s">
        <v>734</v>
      </c>
      <c r="H4" s="478" t="s">
        <v>735</v>
      </c>
      <c r="I4" s="478" t="s">
        <v>736</v>
      </c>
      <c r="J4" s="478" t="s">
        <v>737</v>
      </c>
      <c r="K4" s="478" t="s">
        <v>738</v>
      </c>
      <c r="L4" s="478" t="s">
        <v>739</v>
      </c>
      <c r="M4" s="478" t="s">
        <v>740</v>
      </c>
      <c r="N4" s="478" t="s">
        <v>741</v>
      </c>
      <c r="O4" s="478" t="s">
        <v>742</v>
      </c>
      <c r="P4" s="478" t="s">
        <v>743</v>
      </c>
      <c r="Q4" s="478" t="s">
        <v>744</v>
      </c>
      <c r="R4" s="478" t="s">
        <v>745</v>
      </c>
    </row>
    <row r="5" spans="1:18">
      <c r="A5" s="479" t="s">
        <v>746</v>
      </c>
      <c r="B5" s="479"/>
      <c r="C5" s="480" t="s">
        <v>747</v>
      </c>
      <c r="D5" s="480" t="s">
        <v>748</v>
      </c>
      <c r="E5" s="480" t="s">
        <v>749</v>
      </c>
      <c r="F5" s="480" t="s">
        <v>750</v>
      </c>
      <c r="G5" s="480" t="s">
        <v>751</v>
      </c>
      <c r="H5" s="480" t="s">
        <v>752</v>
      </c>
      <c r="I5" s="480" t="s">
        <v>753</v>
      </c>
      <c r="J5" s="480" t="s">
        <v>754</v>
      </c>
      <c r="K5" s="480" t="s">
        <v>755</v>
      </c>
      <c r="L5" s="480" t="s">
        <v>756</v>
      </c>
      <c r="M5" s="480" t="s">
        <v>757</v>
      </c>
      <c r="N5" s="480" t="s">
        <v>758</v>
      </c>
      <c r="O5" s="480" t="s">
        <v>759</v>
      </c>
      <c r="P5" s="480" t="s">
        <v>760</v>
      </c>
      <c r="Q5" s="480" t="s">
        <v>761</v>
      </c>
      <c r="R5" s="480" t="s">
        <v>762</v>
      </c>
    </row>
    <row r="6" spans="1:18">
      <c r="A6" s="481" t="s">
        <v>104</v>
      </c>
      <c r="B6" s="482"/>
      <c r="C6" s="482"/>
      <c r="D6" s="482"/>
      <c r="E6" s="482"/>
      <c r="F6" s="482"/>
      <c r="G6" s="482"/>
      <c r="H6" s="482"/>
      <c r="I6" s="482"/>
      <c r="J6" s="482"/>
      <c r="K6" s="482"/>
      <c r="L6" s="482"/>
      <c r="M6" s="482"/>
      <c r="N6" s="482"/>
      <c r="O6" s="482"/>
      <c r="P6" s="482"/>
      <c r="Q6" s="482"/>
      <c r="R6" s="482"/>
    </row>
    <row r="7" spans="1:18">
      <c r="A7" s="483" t="s">
        <v>763</v>
      </c>
      <c r="B7" s="483"/>
      <c r="C7" s="484" t="s">
        <v>764</v>
      </c>
      <c r="D7" s="484" t="s">
        <v>764</v>
      </c>
      <c r="E7" s="484" t="s">
        <v>764</v>
      </c>
      <c r="F7" s="484" t="s">
        <v>764</v>
      </c>
      <c r="G7" s="484" t="s">
        <v>764</v>
      </c>
      <c r="H7" s="484" t="s">
        <v>764</v>
      </c>
      <c r="I7" s="484" t="s">
        <v>764</v>
      </c>
      <c r="J7" s="484">
        <v>931</v>
      </c>
      <c r="K7" s="484">
        <v>1067</v>
      </c>
      <c r="L7" s="484">
        <v>1332</v>
      </c>
      <c r="M7" s="484">
        <v>1719</v>
      </c>
      <c r="N7" s="484">
        <v>1821</v>
      </c>
      <c r="O7" s="484">
        <v>3159</v>
      </c>
      <c r="P7" s="484">
        <v>2979</v>
      </c>
      <c r="Q7" s="484">
        <v>3343</v>
      </c>
      <c r="R7" s="484">
        <v>3647</v>
      </c>
    </row>
    <row r="8" spans="1:18">
      <c r="A8" s="483" t="s">
        <v>765</v>
      </c>
      <c r="B8" s="483"/>
      <c r="C8" s="484" t="s">
        <v>764</v>
      </c>
      <c r="D8" s="484" t="s">
        <v>764</v>
      </c>
      <c r="E8" s="484" t="s">
        <v>764</v>
      </c>
      <c r="F8" s="484" t="s">
        <v>764</v>
      </c>
      <c r="G8" s="484" t="s">
        <v>764</v>
      </c>
      <c r="H8" s="484" t="s">
        <v>764</v>
      </c>
      <c r="I8" s="484" t="s">
        <v>764</v>
      </c>
      <c r="J8" s="484">
        <v>204</v>
      </c>
      <c r="K8" s="484">
        <v>215</v>
      </c>
      <c r="L8" s="484">
        <v>285</v>
      </c>
      <c r="M8" s="484">
        <v>405</v>
      </c>
      <c r="N8" s="484">
        <v>329</v>
      </c>
      <c r="O8" s="484">
        <v>660</v>
      </c>
      <c r="P8" s="484">
        <v>601</v>
      </c>
      <c r="Q8" s="484">
        <v>653</v>
      </c>
      <c r="R8" s="484">
        <v>639</v>
      </c>
    </row>
    <row r="9" spans="1:18">
      <c r="A9" s="483" t="s">
        <v>766</v>
      </c>
      <c r="B9" s="483"/>
      <c r="C9" s="484" t="s">
        <v>764</v>
      </c>
      <c r="D9" s="484" t="s">
        <v>764</v>
      </c>
      <c r="E9" s="484" t="s">
        <v>764</v>
      </c>
      <c r="F9" s="484" t="s">
        <v>764</v>
      </c>
      <c r="G9" s="484" t="s">
        <v>764</v>
      </c>
      <c r="H9" s="484" t="s">
        <v>764</v>
      </c>
      <c r="I9" s="484" t="s">
        <v>764</v>
      </c>
      <c r="J9" s="484" t="s">
        <v>764</v>
      </c>
      <c r="K9" s="484">
        <v>836</v>
      </c>
      <c r="L9" s="484">
        <v>2892</v>
      </c>
      <c r="M9" s="484">
        <v>2940</v>
      </c>
      <c r="N9" s="484">
        <v>4900</v>
      </c>
      <c r="O9" s="484">
        <v>6370</v>
      </c>
      <c r="P9" s="484">
        <v>6255</v>
      </c>
      <c r="Q9" s="484">
        <v>6648</v>
      </c>
      <c r="R9" s="484">
        <v>6545</v>
      </c>
    </row>
    <row r="10" spans="1:18">
      <c r="A10" s="483" t="s">
        <v>767</v>
      </c>
      <c r="B10" s="483"/>
      <c r="C10" s="484" t="s">
        <v>764</v>
      </c>
      <c r="D10" s="484" t="s">
        <v>764</v>
      </c>
      <c r="E10" s="484" t="s">
        <v>764</v>
      </c>
      <c r="F10" s="484" t="s">
        <v>764</v>
      </c>
      <c r="G10" s="484" t="s">
        <v>764</v>
      </c>
      <c r="H10" s="484" t="s">
        <v>764</v>
      </c>
      <c r="I10" s="484" t="s">
        <v>764</v>
      </c>
      <c r="J10" s="484">
        <v>28</v>
      </c>
      <c r="K10" s="484">
        <v>33</v>
      </c>
      <c r="L10" s="484">
        <v>63</v>
      </c>
      <c r="M10" s="484">
        <v>95</v>
      </c>
      <c r="N10" s="484">
        <v>104</v>
      </c>
      <c r="O10" s="484">
        <v>203</v>
      </c>
      <c r="P10" s="484">
        <v>208</v>
      </c>
      <c r="Q10" s="484">
        <v>213</v>
      </c>
      <c r="R10" s="484">
        <v>219</v>
      </c>
    </row>
    <row r="11" spans="1:18">
      <c r="A11" s="483" t="s">
        <v>768</v>
      </c>
      <c r="B11" s="483"/>
      <c r="C11" s="484" t="s">
        <v>764</v>
      </c>
      <c r="D11" s="484" t="s">
        <v>764</v>
      </c>
      <c r="E11" s="484" t="s">
        <v>764</v>
      </c>
      <c r="F11" s="484" t="s">
        <v>764</v>
      </c>
      <c r="G11" s="484" t="s">
        <v>764</v>
      </c>
      <c r="H11" s="484" t="s">
        <v>764</v>
      </c>
      <c r="I11" s="484" t="s">
        <v>764</v>
      </c>
      <c r="J11" s="484">
        <v>-24</v>
      </c>
      <c r="K11" s="484">
        <v>-44</v>
      </c>
      <c r="L11" s="484">
        <v>-70</v>
      </c>
      <c r="M11" s="484">
        <v>-74</v>
      </c>
      <c r="N11" s="484">
        <v>-111</v>
      </c>
      <c r="O11" s="484">
        <v>-227</v>
      </c>
      <c r="P11" s="484">
        <v>-212</v>
      </c>
      <c r="Q11" s="484">
        <v>-229</v>
      </c>
      <c r="R11" s="484">
        <v>-150</v>
      </c>
    </row>
    <row r="12" spans="1:18">
      <c r="A12" s="483" t="s">
        <v>769</v>
      </c>
      <c r="B12" s="483"/>
      <c r="C12" s="484" t="s">
        <v>764</v>
      </c>
      <c r="D12" s="484" t="s">
        <v>764</v>
      </c>
      <c r="E12" s="484" t="s">
        <v>764</v>
      </c>
      <c r="F12" s="484" t="s">
        <v>764</v>
      </c>
      <c r="G12" s="484" t="s">
        <v>764</v>
      </c>
      <c r="H12" s="484" t="s">
        <v>764</v>
      </c>
      <c r="I12" s="484" t="s">
        <v>764</v>
      </c>
      <c r="J12" s="484">
        <v>210</v>
      </c>
      <c r="K12" s="484">
        <v>211</v>
      </c>
      <c r="L12" s="484">
        <v>945</v>
      </c>
      <c r="M12" s="484">
        <v>948</v>
      </c>
      <c r="N12" s="484">
        <v>1858</v>
      </c>
      <c r="O12" s="484">
        <v>1865</v>
      </c>
      <c r="P12" s="484">
        <v>2416</v>
      </c>
      <c r="Q12" s="484">
        <v>2459</v>
      </c>
      <c r="R12" s="484">
        <v>2410</v>
      </c>
    </row>
    <row r="13" spans="1:18">
      <c r="A13" s="483" t="s">
        <v>770</v>
      </c>
      <c r="B13" s="483"/>
      <c r="C13" s="484" t="s">
        <v>764</v>
      </c>
      <c r="D13" s="484" t="s">
        <v>764</v>
      </c>
      <c r="E13" s="484" t="s">
        <v>764</v>
      </c>
      <c r="F13" s="484" t="s">
        <v>764</v>
      </c>
      <c r="G13" s="484" t="s">
        <v>764</v>
      </c>
      <c r="H13" s="484" t="s">
        <v>764</v>
      </c>
      <c r="I13" s="484" t="s">
        <v>764</v>
      </c>
      <c r="J13" s="484" t="s">
        <v>764</v>
      </c>
      <c r="K13" s="484">
        <v>15</v>
      </c>
      <c r="L13" s="484">
        <v>25</v>
      </c>
      <c r="M13" s="484">
        <v>29</v>
      </c>
      <c r="N13" s="484">
        <v>6</v>
      </c>
      <c r="O13" s="484">
        <v>20</v>
      </c>
      <c r="P13" s="484">
        <v>-6</v>
      </c>
      <c r="Q13" s="484">
        <v>12</v>
      </c>
      <c r="R13" s="484">
        <v>9</v>
      </c>
    </row>
    <row r="14" spans="1:18">
      <c r="A14" s="483" t="s">
        <v>771</v>
      </c>
      <c r="B14" s="483"/>
      <c r="C14" s="484" t="s">
        <v>764</v>
      </c>
      <c r="D14" s="484" t="s">
        <v>764</v>
      </c>
      <c r="E14" s="484" t="s">
        <v>764</v>
      </c>
      <c r="F14" s="484" t="s">
        <v>764</v>
      </c>
      <c r="G14" s="484" t="s">
        <v>764</v>
      </c>
      <c r="H14" s="484" t="s">
        <v>764</v>
      </c>
      <c r="I14" s="484" t="s">
        <v>764</v>
      </c>
      <c r="J14" s="484" t="s">
        <v>764</v>
      </c>
      <c r="K14" s="484">
        <v>5</v>
      </c>
      <c r="L14" s="484">
        <v>33</v>
      </c>
      <c r="M14" s="484">
        <v>42</v>
      </c>
      <c r="N14" s="484">
        <v>-19</v>
      </c>
      <c r="O14" s="484">
        <v>43</v>
      </c>
      <c r="P14" s="484">
        <v>-9</v>
      </c>
      <c r="Q14" s="484">
        <v>8</v>
      </c>
      <c r="R14" s="484">
        <v>-2</v>
      </c>
    </row>
    <row r="15" spans="1:18">
      <c r="A15" s="483" t="s">
        <v>772</v>
      </c>
      <c r="B15" s="483"/>
      <c r="C15" s="484" t="s">
        <v>764</v>
      </c>
      <c r="D15" s="484" t="s">
        <v>764</v>
      </c>
      <c r="E15" s="484" t="s">
        <v>764</v>
      </c>
      <c r="F15" s="484" t="s">
        <v>764</v>
      </c>
      <c r="G15" s="484" t="s">
        <v>764</v>
      </c>
      <c r="H15" s="484" t="s">
        <v>764</v>
      </c>
      <c r="I15" s="484" t="s">
        <v>764</v>
      </c>
      <c r="J15" s="484" t="s">
        <v>764</v>
      </c>
      <c r="K15" s="484" t="s">
        <v>764</v>
      </c>
      <c r="L15" s="484">
        <v>29</v>
      </c>
      <c r="M15" s="484">
        <v>29</v>
      </c>
      <c r="N15" s="484">
        <v>5</v>
      </c>
      <c r="O15" s="484">
        <v>-2</v>
      </c>
      <c r="P15" s="484">
        <v>1</v>
      </c>
      <c r="Q15" s="484">
        <v>10</v>
      </c>
      <c r="R15" s="484">
        <v>4</v>
      </c>
    </row>
    <row r="16" spans="1:18">
      <c r="A16" s="483" t="s">
        <v>773</v>
      </c>
      <c r="B16" s="483"/>
      <c r="C16" s="484" t="s">
        <v>764</v>
      </c>
      <c r="D16" s="484" t="s">
        <v>764</v>
      </c>
      <c r="E16" s="484" t="s">
        <v>764</v>
      </c>
      <c r="F16" s="484" t="s">
        <v>764</v>
      </c>
      <c r="G16" s="484" t="s">
        <v>764</v>
      </c>
      <c r="H16" s="484" t="s">
        <v>764</v>
      </c>
      <c r="I16" s="484" t="s">
        <v>764</v>
      </c>
      <c r="J16" s="484" t="s">
        <v>764</v>
      </c>
      <c r="K16" s="484" t="s">
        <v>764</v>
      </c>
      <c r="L16" s="484">
        <v>-4</v>
      </c>
      <c r="M16" s="484">
        <v>0</v>
      </c>
      <c r="N16" s="484">
        <v>1</v>
      </c>
      <c r="O16" s="484">
        <v>-4</v>
      </c>
      <c r="P16" s="484">
        <v>-7</v>
      </c>
      <c r="Q16" s="484">
        <v>2</v>
      </c>
      <c r="R16" s="484">
        <v>3</v>
      </c>
    </row>
    <row r="17" spans="1:18">
      <c r="A17" s="483" t="s">
        <v>774</v>
      </c>
      <c r="B17" s="483"/>
      <c r="C17" s="484" t="s">
        <v>764</v>
      </c>
      <c r="D17" s="484" t="s">
        <v>764</v>
      </c>
      <c r="E17" s="484" t="s">
        <v>764</v>
      </c>
      <c r="F17" s="484" t="s">
        <v>764</v>
      </c>
      <c r="G17" s="484" t="s">
        <v>764</v>
      </c>
      <c r="H17" s="484" t="s">
        <v>764</v>
      </c>
      <c r="I17" s="484" t="s">
        <v>764</v>
      </c>
      <c r="J17" s="484" t="s">
        <v>764</v>
      </c>
      <c r="K17" s="484" t="s">
        <v>764</v>
      </c>
      <c r="L17" s="484">
        <v>0</v>
      </c>
      <c r="M17" s="484">
        <v>0</v>
      </c>
      <c r="N17" s="484">
        <v>0</v>
      </c>
      <c r="O17" s="484">
        <v>-3</v>
      </c>
      <c r="P17" s="484">
        <v>0</v>
      </c>
      <c r="Q17" s="484">
        <v>0</v>
      </c>
      <c r="R17" s="484">
        <v>2</v>
      </c>
    </row>
    <row r="18" spans="1:18">
      <c r="A18" s="483" t="s">
        <v>775</v>
      </c>
      <c r="B18" s="483"/>
      <c r="C18" s="484" t="s">
        <v>764</v>
      </c>
      <c r="D18" s="484" t="s">
        <v>764</v>
      </c>
      <c r="E18" s="484" t="s">
        <v>764</v>
      </c>
      <c r="F18" s="484" t="s">
        <v>764</v>
      </c>
      <c r="G18" s="484" t="s">
        <v>764</v>
      </c>
      <c r="H18" s="484" t="s">
        <v>764</v>
      </c>
      <c r="I18" s="484" t="s">
        <v>764</v>
      </c>
      <c r="J18" s="484" t="s">
        <v>764</v>
      </c>
      <c r="K18" s="484" t="s">
        <v>764</v>
      </c>
      <c r="L18" s="484" t="s">
        <v>764</v>
      </c>
      <c r="M18" s="484">
        <v>406</v>
      </c>
      <c r="N18" s="484">
        <v>539</v>
      </c>
      <c r="O18" s="484">
        <v>624</v>
      </c>
      <c r="P18" s="484">
        <v>611</v>
      </c>
      <c r="Q18" s="484">
        <v>657</v>
      </c>
      <c r="R18" s="484">
        <v>671</v>
      </c>
    </row>
    <row r="19" spans="1:18">
      <c r="A19" s="483" t="s">
        <v>776</v>
      </c>
      <c r="B19" s="483"/>
      <c r="C19" s="484" t="s">
        <v>764</v>
      </c>
      <c r="D19" s="484" t="s">
        <v>764</v>
      </c>
      <c r="E19" s="484" t="s">
        <v>764</v>
      </c>
      <c r="F19" s="484" t="s">
        <v>764</v>
      </c>
      <c r="G19" s="484" t="s">
        <v>764</v>
      </c>
      <c r="H19" s="484" t="s">
        <v>764</v>
      </c>
      <c r="I19" s="484" t="s">
        <v>764</v>
      </c>
      <c r="J19" s="484" t="s">
        <v>764</v>
      </c>
      <c r="K19" s="484">
        <v>63</v>
      </c>
      <c r="L19" s="484">
        <v>312</v>
      </c>
      <c r="M19" s="484">
        <v>393</v>
      </c>
      <c r="N19" s="484">
        <v>82</v>
      </c>
      <c r="O19" s="484">
        <v>-43</v>
      </c>
      <c r="P19" s="484">
        <v>46</v>
      </c>
      <c r="Q19" s="484">
        <v>313</v>
      </c>
      <c r="R19" s="484">
        <v>151</v>
      </c>
    </row>
    <row r="20" spans="1:18">
      <c r="A20" s="483" t="s">
        <v>777</v>
      </c>
      <c r="B20" s="483"/>
      <c r="C20" s="484" t="s">
        <v>764</v>
      </c>
      <c r="D20" s="484" t="s">
        <v>764</v>
      </c>
      <c r="E20" s="484" t="s">
        <v>764</v>
      </c>
      <c r="F20" s="484" t="s">
        <v>764</v>
      </c>
      <c r="G20" s="484" t="s">
        <v>764</v>
      </c>
      <c r="H20" s="484" t="s">
        <v>764</v>
      </c>
      <c r="I20" s="484" t="s">
        <v>764</v>
      </c>
      <c r="J20" s="484" t="s">
        <v>764</v>
      </c>
      <c r="K20" s="484">
        <v>73</v>
      </c>
      <c r="L20" s="484">
        <v>-43</v>
      </c>
      <c r="M20" s="484">
        <v>-5</v>
      </c>
      <c r="N20" s="484">
        <v>20</v>
      </c>
      <c r="O20" s="484">
        <v>-97</v>
      </c>
      <c r="P20" s="484">
        <v>-214</v>
      </c>
      <c r="Q20" s="484">
        <v>45</v>
      </c>
      <c r="R20" s="484">
        <v>98</v>
      </c>
    </row>
    <row r="21" spans="1:18">
      <c r="A21" s="483" t="s">
        <v>778</v>
      </c>
      <c r="B21" s="483"/>
      <c r="C21" s="484" t="s">
        <v>764</v>
      </c>
      <c r="D21" s="484" t="s">
        <v>764</v>
      </c>
      <c r="E21" s="484" t="s">
        <v>764</v>
      </c>
      <c r="F21" s="484" t="s">
        <v>764</v>
      </c>
      <c r="G21" s="484" t="s">
        <v>764</v>
      </c>
      <c r="H21" s="484" t="s">
        <v>764</v>
      </c>
      <c r="I21" s="484" t="s">
        <v>764</v>
      </c>
      <c r="J21" s="484" t="s">
        <v>764</v>
      </c>
      <c r="K21" s="484">
        <v>0</v>
      </c>
      <c r="L21" s="484">
        <v>-4</v>
      </c>
      <c r="M21" s="484">
        <v>-1</v>
      </c>
      <c r="N21" s="484">
        <v>0</v>
      </c>
      <c r="O21" s="484">
        <v>-91</v>
      </c>
      <c r="P21" s="484">
        <v>-12</v>
      </c>
      <c r="Q21" s="484">
        <v>6</v>
      </c>
      <c r="R21" s="484">
        <v>55</v>
      </c>
    </row>
    <row r="22" spans="1:18">
      <c r="A22" s="483" t="s">
        <v>779</v>
      </c>
      <c r="B22" s="483"/>
      <c r="C22" s="484" t="s">
        <v>764</v>
      </c>
      <c r="D22" s="484" t="s">
        <v>764</v>
      </c>
      <c r="E22" s="484" t="s">
        <v>764</v>
      </c>
      <c r="F22" s="484" t="s">
        <v>764</v>
      </c>
      <c r="G22" s="484" t="s">
        <v>764</v>
      </c>
      <c r="H22" s="484" t="s">
        <v>764</v>
      </c>
      <c r="I22" s="484" t="s">
        <v>764</v>
      </c>
      <c r="J22" s="484" t="s">
        <v>764</v>
      </c>
      <c r="K22" s="484">
        <v>100</v>
      </c>
      <c r="L22" s="484">
        <v>100</v>
      </c>
      <c r="M22" s="484">
        <v>100</v>
      </c>
      <c r="N22" s="484">
        <v>100</v>
      </c>
      <c r="O22" s="484">
        <v>100</v>
      </c>
      <c r="P22" s="484">
        <v>100</v>
      </c>
      <c r="Q22" s="484">
        <v>100</v>
      </c>
      <c r="R22" s="484">
        <v>100</v>
      </c>
    </row>
    <row r="23" spans="1:18">
      <c r="A23" s="483" t="s">
        <v>780</v>
      </c>
      <c r="B23" s="483"/>
      <c r="C23" s="484" t="s">
        <v>764</v>
      </c>
      <c r="D23" s="484" t="s">
        <v>764</v>
      </c>
      <c r="E23" s="484" t="s">
        <v>764</v>
      </c>
      <c r="F23" s="484" t="s">
        <v>764</v>
      </c>
      <c r="G23" s="484" t="s">
        <v>764</v>
      </c>
      <c r="H23" s="484" t="s">
        <v>764</v>
      </c>
      <c r="I23" s="484" t="s">
        <v>764</v>
      </c>
      <c r="J23" s="484" t="s">
        <v>764</v>
      </c>
      <c r="K23" s="484">
        <v>215</v>
      </c>
      <c r="L23" s="484">
        <v>323</v>
      </c>
      <c r="M23" s="484">
        <v>406</v>
      </c>
      <c r="N23" s="484">
        <v>539</v>
      </c>
      <c r="O23" s="484" t="s">
        <v>764</v>
      </c>
      <c r="P23" s="484" t="s">
        <v>764</v>
      </c>
      <c r="Q23" s="484" t="s">
        <v>764</v>
      </c>
      <c r="R23" s="484" t="s">
        <v>764</v>
      </c>
    </row>
    <row r="24" spans="1:18">
      <c r="A24" s="483" t="s">
        <v>781</v>
      </c>
      <c r="B24" s="483"/>
      <c r="C24" s="484" t="s">
        <v>764</v>
      </c>
      <c r="D24" s="484" t="s">
        <v>764</v>
      </c>
      <c r="E24" s="484" t="s">
        <v>764</v>
      </c>
      <c r="F24" s="484" t="s">
        <v>764</v>
      </c>
      <c r="G24" s="484" t="s">
        <v>764</v>
      </c>
      <c r="H24" s="484" t="s">
        <v>764</v>
      </c>
      <c r="I24" s="484" t="s">
        <v>764</v>
      </c>
      <c r="J24" s="484">
        <v>28</v>
      </c>
      <c r="K24" s="484" t="s">
        <v>764</v>
      </c>
      <c r="L24" s="484" t="s">
        <v>764</v>
      </c>
      <c r="M24" s="484" t="s">
        <v>764</v>
      </c>
      <c r="N24" s="484" t="s">
        <v>764</v>
      </c>
      <c r="O24" s="484" t="s">
        <v>764</v>
      </c>
      <c r="P24" s="484" t="s">
        <v>764</v>
      </c>
      <c r="Q24" s="484" t="s">
        <v>764</v>
      </c>
      <c r="R24" s="484" t="s">
        <v>764</v>
      </c>
    </row>
    <row r="25" spans="1:18">
      <c r="A25" s="481" t="s">
        <v>108</v>
      </c>
      <c r="B25" s="482"/>
      <c r="C25" s="482"/>
      <c r="D25" s="482"/>
      <c r="E25" s="482"/>
      <c r="F25" s="482"/>
      <c r="G25" s="482"/>
      <c r="H25" s="482"/>
      <c r="I25" s="482"/>
      <c r="J25" s="482"/>
      <c r="K25" s="482"/>
      <c r="L25" s="482"/>
      <c r="M25" s="482"/>
      <c r="N25" s="482"/>
      <c r="O25" s="482"/>
      <c r="P25" s="482"/>
      <c r="Q25" s="482"/>
      <c r="R25" s="482"/>
    </row>
    <row r="26" spans="1:18">
      <c r="A26" s="483" t="s">
        <v>763</v>
      </c>
      <c r="B26" s="483"/>
      <c r="C26" s="484" t="s">
        <v>764</v>
      </c>
      <c r="D26" s="484">
        <v>121</v>
      </c>
      <c r="E26" s="484">
        <v>27</v>
      </c>
      <c r="F26" s="484" t="s">
        <v>764</v>
      </c>
      <c r="G26" s="484" t="s">
        <v>764</v>
      </c>
      <c r="H26" s="484" t="s">
        <v>764</v>
      </c>
      <c r="I26" s="484" t="s">
        <v>764</v>
      </c>
      <c r="J26" s="484">
        <v>0</v>
      </c>
      <c r="K26" s="484">
        <v>0</v>
      </c>
      <c r="L26" s="484">
        <v>11</v>
      </c>
      <c r="M26" s="484">
        <v>18</v>
      </c>
      <c r="N26" s="484">
        <v>18</v>
      </c>
      <c r="O26" s="484">
        <v>45</v>
      </c>
      <c r="P26" s="484">
        <v>46</v>
      </c>
      <c r="Q26" s="484">
        <v>54</v>
      </c>
      <c r="R26" s="484">
        <v>0</v>
      </c>
    </row>
    <row r="27" spans="1:18">
      <c r="A27" s="483" t="s">
        <v>767</v>
      </c>
      <c r="B27" s="483"/>
      <c r="C27" s="484" t="s">
        <v>764</v>
      </c>
      <c r="D27" s="484" t="s">
        <v>764</v>
      </c>
      <c r="E27" s="484" t="s">
        <v>764</v>
      </c>
      <c r="F27" s="484" t="s">
        <v>764</v>
      </c>
      <c r="G27" s="484" t="s">
        <v>764</v>
      </c>
      <c r="H27" s="484" t="s">
        <v>764</v>
      </c>
      <c r="I27" s="484" t="s">
        <v>764</v>
      </c>
      <c r="J27" s="484">
        <v>3</v>
      </c>
      <c r="K27" s="484">
        <v>4</v>
      </c>
      <c r="L27" s="484">
        <v>4</v>
      </c>
      <c r="M27" s="484">
        <v>4</v>
      </c>
      <c r="N27" s="484">
        <v>2</v>
      </c>
      <c r="O27" s="484">
        <v>3</v>
      </c>
      <c r="P27" s="484">
        <v>4</v>
      </c>
      <c r="Q27" s="484">
        <v>4</v>
      </c>
      <c r="R27" s="484">
        <v>1</v>
      </c>
    </row>
    <row r="28" spans="1:18">
      <c r="A28" s="483" t="s">
        <v>768</v>
      </c>
      <c r="B28" s="483"/>
      <c r="C28" s="484" t="s">
        <v>764</v>
      </c>
      <c r="D28" s="484">
        <v>-16</v>
      </c>
      <c r="E28" s="484">
        <v>-2</v>
      </c>
      <c r="F28" s="484" t="s">
        <v>764</v>
      </c>
      <c r="G28" s="484" t="s">
        <v>764</v>
      </c>
      <c r="H28" s="484" t="s">
        <v>764</v>
      </c>
      <c r="I28" s="484" t="s">
        <v>764</v>
      </c>
      <c r="J28" s="484">
        <v>-31</v>
      </c>
      <c r="K28" s="484">
        <v>-32</v>
      </c>
      <c r="L28" s="484">
        <v>-11</v>
      </c>
      <c r="M28" s="484">
        <v>-5</v>
      </c>
      <c r="N28" s="484">
        <v>-8</v>
      </c>
      <c r="O28" s="484">
        <v>-4</v>
      </c>
      <c r="P28" s="484">
        <v>-4</v>
      </c>
      <c r="Q28" s="484">
        <v>-4</v>
      </c>
      <c r="R28" s="484">
        <v>-4</v>
      </c>
    </row>
    <row r="29" spans="1:18">
      <c r="A29" s="483" t="s">
        <v>769</v>
      </c>
      <c r="B29" s="483"/>
      <c r="C29" s="484">
        <v>11</v>
      </c>
      <c r="D29" s="484">
        <v>6</v>
      </c>
      <c r="E29" s="484">
        <v>6</v>
      </c>
      <c r="F29" s="484" t="s">
        <v>764</v>
      </c>
      <c r="G29" s="484" t="s">
        <v>764</v>
      </c>
      <c r="H29" s="484" t="s">
        <v>764</v>
      </c>
      <c r="I29" s="484" t="s">
        <v>764</v>
      </c>
      <c r="J29" s="484">
        <v>3</v>
      </c>
      <c r="K29" s="484">
        <v>4</v>
      </c>
      <c r="L29" s="484">
        <v>3</v>
      </c>
      <c r="M29" s="484">
        <v>3</v>
      </c>
      <c r="N29" s="484">
        <v>13</v>
      </c>
      <c r="O29" s="484">
        <v>10</v>
      </c>
      <c r="P29" s="484">
        <v>10</v>
      </c>
      <c r="Q29" s="484">
        <v>10</v>
      </c>
      <c r="R29" s="484">
        <v>10</v>
      </c>
    </row>
    <row r="30" spans="1:18">
      <c r="A30" s="483" t="s">
        <v>775</v>
      </c>
      <c r="B30" s="483"/>
      <c r="C30" s="484" t="s">
        <v>764</v>
      </c>
      <c r="D30" s="484" t="s">
        <v>764</v>
      </c>
      <c r="E30" s="484">
        <v>0</v>
      </c>
      <c r="F30" s="484" t="s">
        <v>764</v>
      </c>
      <c r="G30" s="484" t="s">
        <v>764</v>
      </c>
      <c r="H30" s="484" t="s">
        <v>764</v>
      </c>
      <c r="I30" s="484" t="s">
        <v>764</v>
      </c>
      <c r="J30" s="484" t="s">
        <v>764</v>
      </c>
      <c r="K30" s="484" t="s">
        <v>764</v>
      </c>
      <c r="L30" s="484" t="s">
        <v>764</v>
      </c>
      <c r="M30" s="484">
        <v>-74</v>
      </c>
      <c r="N30" s="484">
        <v>-53</v>
      </c>
      <c r="O30" s="484" t="s">
        <v>764</v>
      </c>
      <c r="P30" s="484">
        <v>-29</v>
      </c>
      <c r="Q30" s="484">
        <v>-42</v>
      </c>
      <c r="R30" s="484">
        <v>-36</v>
      </c>
    </row>
    <row r="31" spans="1:18">
      <c r="A31" s="483" t="s">
        <v>765</v>
      </c>
      <c r="B31" s="483"/>
      <c r="C31" s="484" t="s">
        <v>764</v>
      </c>
      <c r="D31" s="484">
        <v>-86</v>
      </c>
      <c r="E31" s="484">
        <v>-70</v>
      </c>
      <c r="F31" s="484" t="s">
        <v>764</v>
      </c>
      <c r="G31" s="484" t="s">
        <v>764</v>
      </c>
      <c r="H31" s="484" t="s">
        <v>764</v>
      </c>
      <c r="I31" s="484" t="s">
        <v>764</v>
      </c>
      <c r="J31" s="484" t="s">
        <v>764</v>
      </c>
      <c r="K31" s="484">
        <v>-50</v>
      </c>
      <c r="L31" s="484" t="s">
        <v>764</v>
      </c>
      <c r="M31" s="484" t="s">
        <v>764</v>
      </c>
      <c r="N31" s="484" t="s">
        <v>764</v>
      </c>
      <c r="O31" s="484" t="s">
        <v>764</v>
      </c>
      <c r="P31" s="484" t="s">
        <v>764</v>
      </c>
      <c r="Q31" s="484" t="s">
        <v>764</v>
      </c>
      <c r="R31" s="484" t="s">
        <v>764</v>
      </c>
    </row>
    <row r="32" spans="1:18">
      <c r="A32" s="483" t="s">
        <v>781</v>
      </c>
      <c r="B32" s="483"/>
      <c r="C32" s="484" t="s">
        <v>764</v>
      </c>
      <c r="D32" s="484">
        <v>4</v>
      </c>
      <c r="E32" s="484">
        <v>0</v>
      </c>
      <c r="F32" s="484" t="s">
        <v>764</v>
      </c>
      <c r="G32" s="484" t="s">
        <v>764</v>
      </c>
      <c r="H32" s="484" t="s">
        <v>764</v>
      </c>
      <c r="I32" s="484" t="s">
        <v>764</v>
      </c>
      <c r="J32" s="484">
        <v>3</v>
      </c>
      <c r="K32" s="484">
        <v>2</v>
      </c>
      <c r="L32" s="484" t="s">
        <v>764</v>
      </c>
      <c r="M32" s="484" t="s">
        <v>764</v>
      </c>
      <c r="N32" s="484" t="s">
        <v>764</v>
      </c>
      <c r="O32" s="484" t="s">
        <v>764</v>
      </c>
      <c r="P32" s="484" t="s">
        <v>764</v>
      </c>
      <c r="Q32" s="484" t="s">
        <v>764</v>
      </c>
      <c r="R32" s="484" t="s">
        <v>764</v>
      </c>
    </row>
    <row r="33" spans="1:18">
      <c r="A33" s="483" t="s">
        <v>766</v>
      </c>
      <c r="B33" s="483"/>
      <c r="C33" s="484" t="s">
        <v>764</v>
      </c>
      <c r="D33" s="484" t="s">
        <v>764</v>
      </c>
      <c r="E33" s="484">
        <v>13</v>
      </c>
      <c r="F33" s="484" t="s">
        <v>764</v>
      </c>
      <c r="G33" s="484" t="s">
        <v>764</v>
      </c>
      <c r="H33" s="484" t="s">
        <v>764</v>
      </c>
      <c r="I33" s="484" t="s">
        <v>764</v>
      </c>
      <c r="J33" s="484" t="s">
        <v>764</v>
      </c>
      <c r="K33" s="484" t="s">
        <v>764</v>
      </c>
      <c r="L33" s="484" t="s">
        <v>764</v>
      </c>
      <c r="M33" s="484" t="s">
        <v>764</v>
      </c>
      <c r="N33" s="484" t="s">
        <v>764</v>
      </c>
      <c r="O33" s="484" t="s">
        <v>764</v>
      </c>
      <c r="P33" s="484" t="s">
        <v>764</v>
      </c>
      <c r="Q33" s="484" t="s">
        <v>764</v>
      </c>
      <c r="R33" s="484" t="s">
        <v>764</v>
      </c>
    </row>
    <row r="34" spans="1:18">
      <c r="A34" s="481" t="s">
        <v>105</v>
      </c>
      <c r="B34" s="482"/>
      <c r="C34" s="482"/>
      <c r="D34" s="482"/>
      <c r="E34" s="482"/>
      <c r="F34" s="482"/>
      <c r="G34" s="482"/>
      <c r="H34" s="482"/>
      <c r="I34" s="482"/>
      <c r="J34" s="482"/>
      <c r="K34" s="482"/>
      <c r="L34" s="482"/>
      <c r="M34" s="482"/>
      <c r="N34" s="482"/>
      <c r="O34" s="482"/>
      <c r="P34" s="482"/>
      <c r="Q34" s="482"/>
      <c r="R34" s="482"/>
    </row>
    <row r="35" spans="1:18">
      <c r="A35" s="483" t="s">
        <v>763</v>
      </c>
      <c r="B35" s="483"/>
      <c r="C35" s="484" t="s">
        <v>764</v>
      </c>
      <c r="D35" s="484" t="s">
        <v>764</v>
      </c>
      <c r="E35" s="484" t="s">
        <v>764</v>
      </c>
      <c r="F35" s="484" t="s">
        <v>764</v>
      </c>
      <c r="G35" s="484" t="s">
        <v>764</v>
      </c>
      <c r="H35" s="484" t="s">
        <v>764</v>
      </c>
      <c r="I35" s="484" t="s">
        <v>764</v>
      </c>
      <c r="J35" s="484">
        <v>1043</v>
      </c>
      <c r="K35" s="484">
        <v>1195</v>
      </c>
      <c r="L35" s="484">
        <v>1694</v>
      </c>
      <c r="M35" s="484">
        <v>2349</v>
      </c>
      <c r="N35" s="484">
        <v>2378</v>
      </c>
      <c r="O35" s="484">
        <v>2414</v>
      </c>
      <c r="P35" s="484">
        <v>2457</v>
      </c>
      <c r="Q35" s="484">
        <v>2572</v>
      </c>
      <c r="R35" s="484">
        <v>2755</v>
      </c>
    </row>
    <row r="36" spans="1:18">
      <c r="A36" s="483" t="s">
        <v>765</v>
      </c>
      <c r="B36" s="483"/>
      <c r="C36" s="484" t="s">
        <v>764</v>
      </c>
      <c r="D36" s="484" t="s">
        <v>764</v>
      </c>
      <c r="E36" s="484" t="s">
        <v>764</v>
      </c>
      <c r="F36" s="484" t="s">
        <v>764</v>
      </c>
      <c r="G36" s="484" t="s">
        <v>764</v>
      </c>
      <c r="H36" s="484" t="s">
        <v>764</v>
      </c>
      <c r="I36" s="484" t="s">
        <v>764</v>
      </c>
      <c r="J36" s="484">
        <v>103</v>
      </c>
      <c r="K36" s="484">
        <v>125</v>
      </c>
      <c r="L36" s="484">
        <v>84</v>
      </c>
      <c r="M36" s="484">
        <v>257</v>
      </c>
      <c r="N36" s="484">
        <v>276</v>
      </c>
      <c r="O36" s="484">
        <v>384</v>
      </c>
      <c r="P36" s="484">
        <v>471</v>
      </c>
      <c r="Q36" s="484">
        <v>483</v>
      </c>
      <c r="R36" s="484">
        <v>509</v>
      </c>
    </row>
    <row r="37" spans="1:18">
      <c r="A37" s="483" t="s">
        <v>766</v>
      </c>
      <c r="B37" s="483"/>
      <c r="C37" s="484" t="s">
        <v>764</v>
      </c>
      <c r="D37" s="484" t="s">
        <v>764</v>
      </c>
      <c r="E37" s="484" t="s">
        <v>764</v>
      </c>
      <c r="F37" s="484" t="s">
        <v>764</v>
      </c>
      <c r="G37" s="484" t="s">
        <v>764</v>
      </c>
      <c r="H37" s="484" t="s">
        <v>764</v>
      </c>
      <c r="I37" s="484" t="s">
        <v>764</v>
      </c>
      <c r="J37" s="484">
        <v>1017</v>
      </c>
      <c r="K37" s="484">
        <v>1194</v>
      </c>
      <c r="L37" s="484">
        <v>3744</v>
      </c>
      <c r="M37" s="484">
        <v>3807</v>
      </c>
      <c r="N37" s="484">
        <v>4235</v>
      </c>
      <c r="O37" s="484">
        <v>4227</v>
      </c>
      <c r="P37" s="484">
        <v>4247</v>
      </c>
      <c r="Q37" s="484">
        <v>4379</v>
      </c>
      <c r="R37" s="484">
        <v>4456</v>
      </c>
    </row>
    <row r="38" spans="1:18">
      <c r="A38" s="483" t="s">
        <v>767</v>
      </c>
      <c r="B38" s="483"/>
      <c r="C38" s="484" t="s">
        <v>764</v>
      </c>
      <c r="D38" s="484" t="s">
        <v>764</v>
      </c>
      <c r="E38" s="484" t="s">
        <v>764</v>
      </c>
      <c r="F38" s="484" t="s">
        <v>764</v>
      </c>
      <c r="G38" s="484" t="s">
        <v>764</v>
      </c>
      <c r="H38" s="484" t="s">
        <v>764</v>
      </c>
      <c r="I38" s="484" t="s">
        <v>764</v>
      </c>
      <c r="J38" s="484">
        <v>63</v>
      </c>
      <c r="K38" s="484">
        <v>64</v>
      </c>
      <c r="L38" s="484">
        <v>109</v>
      </c>
      <c r="M38" s="484">
        <v>144</v>
      </c>
      <c r="N38" s="484">
        <v>143</v>
      </c>
      <c r="O38" s="484">
        <v>161</v>
      </c>
      <c r="P38" s="484">
        <v>160</v>
      </c>
      <c r="Q38" s="484">
        <v>164</v>
      </c>
      <c r="R38" s="484">
        <v>169</v>
      </c>
    </row>
    <row r="39" spans="1:18">
      <c r="A39" s="483" t="s">
        <v>768</v>
      </c>
      <c r="B39" s="483"/>
      <c r="C39" s="484" t="s">
        <v>764</v>
      </c>
      <c r="D39" s="484" t="s">
        <v>764</v>
      </c>
      <c r="E39" s="484" t="s">
        <v>764</v>
      </c>
      <c r="F39" s="484" t="s">
        <v>764</v>
      </c>
      <c r="G39" s="484" t="s">
        <v>764</v>
      </c>
      <c r="H39" s="484" t="s">
        <v>764</v>
      </c>
      <c r="I39" s="484" t="s">
        <v>764</v>
      </c>
      <c r="J39" s="484">
        <v>-73</v>
      </c>
      <c r="K39" s="484">
        <v>-193</v>
      </c>
      <c r="L39" s="484">
        <v>-153</v>
      </c>
      <c r="M39" s="484">
        <v>-170</v>
      </c>
      <c r="N39" s="484">
        <v>-176</v>
      </c>
      <c r="O39" s="484">
        <v>-225</v>
      </c>
      <c r="P39" s="484">
        <v>-244</v>
      </c>
      <c r="Q39" s="484">
        <v>-248</v>
      </c>
      <c r="R39" s="484">
        <v>-187</v>
      </c>
    </row>
    <row r="40" spans="1:18">
      <c r="A40" s="483" t="s">
        <v>769</v>
      </c>
      <c r="B40" s="483"/>
      <c r="C40" s="484" t="s">
        <v>764</v>
      </c>
      <c r="D40" s="484" t="s">
        <v>764</v>
      </c>
      <c r="E40" s="484" t="s">
        <v>764</v>
      </c>
      <c r="F40" s="484" t="s">
        <v>764</v>
      </c>
      <c r="G40" s="484" t="s">
        <v>764</v>
      </c>
      <c r="H40" s="484" t="s">
        <v>764</v>
      </c>
      <c r="I40" s="484" t="s">
        <v>764</v>
      </c>
      <c r="J40" s="484">
        <v>1</v>
      </c>
      <c r="K40" s="484">
        <v>1</v>
      </c>
      <c r="L40" s="484">
        <v>1044</v>
      </c>
      <c r="M40" s="484">
        <v>1040</v>
      </c>
      <c r="N40" s="484">
        <v>1297</v>
      </c>
      <c r="O40" s="484">
        <v>1293</v>
      </c>
      <c r="P40" s="484">
        <v>1275</v>
      </c>
      <c r="Q40" s="484">
        <v>1289</v>
      </c>
      <c r="R40" s="484">
        <v>1283</v>
      </c>
    </row>
    <row r="41" spans="1:18">
      <c r="A41" s="483" t="s">
        <v>770</v>
      </c>
      <c r="B41" s="483"/>
      <c r="C41" s="484" t="s">
        <v>764</v>
      </c>
      <c r="D41" s="484">
        <v>15</v>
      </c>
      <c r="E41" s="484" t="s">
        <v>764</v>
      </c>
      <c r="F41" s="484" t="s">
        <v>764</v>
      </c>
      <c r="G41" s="484" t="s">
        <v>764</v>
      </c>
      <c r="H41" s="484" t="s">
        <v>764</v>
      </c>
      <c r="I41" s="484" t="s">
        <v>764</v>
      </c>
      <c r="J41" s="484">
        <v>39</v>
      </c>
      <c r="K41" s="484">
        <v>15</v>
      </c>
      <c r="L41" s="484">
        <v>42</v>
      </c>
      <c r="M41" s="484">
        <v>39</v>
      </c>
      <c r="N41" s="484">
        <v>1</v>
      </c>
      <c r="O41" s="484">
        <v>2</v>
      </c>
      <c r="P41" s="484">
        <v>2</v>
      </c>
      <c r="Q41" s="484">
        <v>5</v>
      </c>
      <c r="R41" s="484">
        <v>7</v>
      </c>
    </row>
    <row r="42" spans="1:18">
      <c r="A42" s="483" t="s">
        <v>771</v>
      </c>
      <c r="B42" s="483"/>
      <c r="C42" s="484">
        <v>85</v>
      </c>
      <c r="D42" s="484">
        <v>-79</v>
      </c>
      <c r="E42" s="484">
        <v>100</v>
      </c>
      <c r="F42" s="484">
        <v>-28</v>
      </c>
      <c r="G42" s="484">
        <v>41</v>
      </c>
      <c r="H42" s="484">
        <v>-46</v>
      </c>
      <c r="I42" s="484">
        <v>-60</v>
      </c>
      <c r="J42" s="484">
        <v>100</v>
      </c>
      <c r="K42" s="484">
        <v>21</v>
      </c>
      <c r="L42" s="484">
        <v>-33</v>
      </c>
      <c r="M42" s="484">
        <v>206</v>
      </c>
      <c r="N42" s="484">
        <v>7</v>
      </c>
      <c r="O42" s="484">
        <v>39</v>
      </c>
      <c r="P42" s="484">
        <v>23</v>
      </c>
      <c r="Q42" s="484">
        <v>2</v>
      </c>
      <c r="R42" s="484">
        <v>5</v>
      </c>
    </row>
    <row r="43" spans="1:18">
      <c r="A43" s="483" t="s">
        <v>772</v>
      </c>
      <c r="B43" s="483"/>
      <c r="C43" s="484">
        <v>1</v>
      </c>
      <c r="D43" s="484">
        <v>12</v>
      </c>
      <c r="E43" s="484" t="s">
        <v>764</v>
      </c>
      <c r="F43" s="484" t="s">
        <v>764</v>
      </c>
      <c r="G43" s="484" t="s">
        <v>764</v>
      </c>
      <c r="H43" s="484" t="s">
        <v>764</v>
      </c>
      <c r="I43" s="484" t="s">
        <v>764</v>
      </c>
      <c r="J43" s="484">
        <v>32</v>
      </c>
      <c r="K43" s="484">
        <v>-2</v>
      </c>
      <c r="L43" s="484">
        <v>40</v>
      </c>
      <c r="M43" s="484">
        <v>39</v>
      </c>
      <c r="N43" s="484">
        <v>2</v>
      </c>
      <c r="O43" s="484">
        <v>4</v>
      </c>
      <c r="P43" s="484">
        <v>5</v>
      </c>
      <c r="Q43" s="484">
        <v>5</v>
      </c>
      <c r="R43" s="484">
        <v>5</v>
      </c>
    </row>
    <row r="44" spans="1:18">
      <c r="A44" s="483" t="s">
        <v>773</v>
      </c>
      <c r="B44" s="483"/>
      <c r="C44" s="484">
        <v>0</v>
      </c>
      <c r="D44" s="484">
        <v>1</v>
      </c>
      <c r="E44" s="484" t="s">
        <v>764</v>
      </c>
      <c r="F44" s="484" t="s">
        <v>764</v>
      </c>
      <c r="G44" s="484" t="s">
        <v>764</v>
      </c>
      <c r="H44" s="484" t="s">
        <v>764</v>
      </c>
      <c r="I44" s="484" t="s">
        <v>764</v>
      </c>
      <c r="J44" s="484">
        <v>2</v>
      </c>
      <c r="K44" s="484">
        <v>16</v>
      </c>
      <c r="L44" s="484">
        <v>2</v>
      </c>
      <c r="M44" s="484">
        <v>0</v>
      </c>
      <c r="N44" s="484">
        <v>-1</v>
      </c>
      <c r="O44" s="484">
        <v>-3</v>
      </c>
      <c r="P44" s="484">
        <v>-3</v>
      </c>
      <c r="Q44" s="484">
        <v>0</v>
      </c>
      <c r="R44" s="484">
        <v>1</v>
      </c>
    </row>
    <row r="45" spans="1:18">
      <c r="A45" s="483" t="s">
        <v>774</v>
      </c>
      <c r="B45" s="483"/>
      <c r="C45" s="484">
        <v>4</v>
      </c>
      <c r="D45" s="484">
        <v>2</v>
      </c>
      <c r="E45" s="484" t="s">
        <v>764</v>
      </c>
      <c r="F45" s="484" t="s">
        <v>764</v>
      </c>
      <c r="G45" s="484" t="s">
        <v>764</v>
      </c>
      <c r="H45" s="484" t="s">
        <v>764</v>
      </c>
      <c r="I45" s="484" t="s">
        <v>764</v>
      </c>
      <c r="J45" s="484">
        <v>0</v>
      </c>
      <c r="K45" s="484">
        <v>0</v>
      </c>
      <c r="L45" s="484">
        <v>0</v>
      </c>
      <c r="M45" s="484">
        <v>0</v>
      </c>
      <c r="N45" s="484">
        <v>0</v>
      </c>
      <c r="O45" s="484">
        <v>-4</v>
      </c>
      <c r="P45" s="484">
        <v>0</v>
      </c>
      <c r="Q45" s="484">
        <v>0</v>
      </c>
      <c r="R45" s="484">
        <v>1</v>
      </c>
    </row>
    <row r="46" spans="1:18">
      <c r="A46" s="483" t="s">
        <v>775</v>
      </c>
      <c r="B46" s="483"/>
      <c r="C46" s="484" t="s">
        <v>764</v>
      </c>
      <c r="D46" s="484" t="s">
        <v>764</v>
      </c>
      <c r="E46" s="484" t="s">
        <v>764</v>
      </c>
      <c r="F46" s="484" t="s">
        <v>764</v>
      </c>
      <c r="G46" s="484" t="s">
        <v>764</v>
      </c>
      <c r="H46" s="484" t="s">
        <v>764</v>
      </c>
      <c r="I46" s="484" t="s">
        <v>764</v>
      </c>
      <c r="J46" s="484" t="s">
        <v>764</v>
      </c>
      <c r="K46" s="484" t="s">
        <v>764</v>
      </c>
      <c r="L46" s="484" t="s">
        <v>764</v>
      </c>
      <c r="M46" s="484">
        <v>260</v>
      </c>
      <c r="N46" s="484">
        <v>293</v>
      </c>
      <c r="O46" s="484">
        <v>409</v>
      </c>
      <c r="P46" s="484">
        <v>471</v>
      </c>
      <c r="Q46" s="484">
        <v>493</v>
      </c>
      <c r="R46" s="484">
        <v>501</v>
      </c>
    </row>
    <row r="47" spans="1:18">
      <c r="A47" s="483" t="s">
        <v>776</v>
      </c>
      <c r="B47" s="483"/>
      <c r="C47" s="484" t="s">
        <v>764</v>
      </c>
      <c r="D47" s="484" t="s">
        <v>764</v>
      </c>
      <c r="E47" s="484" t="s">
        <v>764</v>
      </c>
      <c r="F47" s="484" t="s">
        <v>764</v>
      </c>
      <c r="G47" s="484" t="s">
        <v>764</v>
      </c>
      <c r="H47" s="484" t="s">
        <v>764</v>
      </c>
      <c r="I47" s="484" t="s">
        <v>764</v>
      </c>
      <c r="J47" s="484">
        <v>240</v>
      </c>
      <c r="K47" s="484">
        <v>-12</v>
      </c>
      <c r="L47" s="484">
        <v>482</v>
      </c>
      <c r="M47" s="484">
        <v>665</v>
      </c>
      <c r="N47" s="484">
        <v>56</v>
      </c>
      <c r="O47" s="484">
        <v>88</v>
      </c>
      <c r="P47" s="484">
        <v>119</v>
      </c>
      <c r="Q47" s="484">
        <v>113</v>
      </c>
      <c r="R47" s="484">
        <v>130</v>
      </c>
    </row>
    <row r="48" spans="1:18">
      <c r="A48" s="483" t="s">
        <v>777</v>
      </c>
      <c r="B48" s="483"/>
      <c r="C48" s="484" t="s">
        <v>764</v>
      </c>
      <c r="D48" s="484" t="s">
        <v>764</v>
      </c>
      <c r="E48" s="484" t="s">
        <v>764</v>
      </c>
      <c r="F48" s="484" t="s">
        <v>764</v>
      </c>
      <c r="G48" s="484" t="s">
        <v>764</v>
      </c>
      <c r="H48" s="484" t="s">
        <v>764</v>
      </c>
      <c r="I48" s="484" t="s">
        <v>764</v>
      </c>
      <c r="J48" s="484">
        <v>14</v>
      </c>
      <c r="K48" s="484">
        <v>162</v>
      </c>
      <c r="L48" s="484">
        <v>22</v>
      </c>
      <c r="M48" s="484">
        <v>-8</v>
      </c>
      <c r="N48" s="484">
        <v>-23</v>
      </c>
      <c r="O48" s="484">
        <v>-84</v>
      </c>
      <c r="P48" s="484">
        <v>-67</v>
      </c>
      <c r="Q48" s="484">
        <v>1</v>
      </c>
      <c r="R48" s="484">
        <v>22</v>
      </c>
    </row>
    <row r="49" spans="1:18">
      <c r="A49" s="483" t="s">
        <v>778</v>
      </c>
      <c r="B49" s="483"/>
      <c r="C49" s="484" t="s">
        <v>764</v>
      </c>
      <c r="D49" s="484" t="s">
        <v>764</v>
      </c>
      <c r="E49" s="484" t="s">
        <v>764</v>
      </c>
      <c r="F49" s="484" t="s">
        <v>764</v>
      </c>
      <c r="G49" s="484" t="s">
        <v>764</v>
      </c>
      <c r="H49" s="484" t="s">
        <v>764</v>
      </c>
      <c r="I49" s="484" t="s">
        <v>764</v>
      </c>
      <c r="J49" s="484">
        <v>3</v>
      </c>
      <c r="K49" s="484">
        <v>2</v>
      </c>
      <c r="L49" s="484">
        <v>-5</v>
      </c>
      <c r="M49" s="484">
        <v>-2</v>
      </c>
      <c r="N49" s="484">
        <v>-4</v>
      </c>
      <c r="O49" s="484">
        <v>-91</v>
      </c>
      <c r="P49" s="484">
        <v>-9</v>
      </c>
      <c r="Q49" s="484">
        <v>1</v>
      </c>
      <c r="R49" s="484">
        <v>31</v>
      </c>
    </row>
    <row r="50" spans="1:18">
      <c r="A50" s="483" t="s">
        <v>779</v>
      </c>
      <c r="B50" s="483"/>
      <c r="C50" s="484" t="s">
        <v>764</v>
      </c>
      <c r="D50" s="484" t="s">
        <v>764</v>
      </c>
      <c r="E50" s="484" t="s">
        <v>764</v>
      </c>
      <c r="F50" s="484" t="s">
        <v>764</v>
      </c>
      <c r="G50" s="484" t="s">
        <v>764</v>
      </c>
      <c r="H50" s="484" t="s">
        <v>764</v>
      </c>
      <c r="I50" s="484" t="s">
        <v>764</v>
      </c>
      <c r="J50" s="484" t="s">
        <v>764</v>
      </c>
      <c r="K50" s="484">
        <v>100</v>
      </c>
      <c r="L50" s="484">
        <v>100</v>
      </c>
      <c r="M50" s="484">
        <v>100</v>
      </c>
      <c r="N50" s="484">
        <v>100</v>
      </c>
      <c r="O50" s="484">
        <v>100</v>
      </c>
      <c r="P50" s="484">
        <v>100</v>
      </c>
      <c r="Q50" s="484">
        <v>100</v>
      </c>
      <c r="R50" s="484">
        <v>100</v>
      </c>
    </row>
    <row r="51" spans="1:18">
      <c r="A51" s="483" t="s">
        <v>780</v>
      </c>
      <c r="B51" s="483"/>
      <c r="C51" s="484" t="s">
        <v>764</v>
      </c>
      <c r="D51" s="484" t="s">
        <v>764</v>
      </c>
      <c r="E51" s="484" t="s">
        <v>764</v>
      </c>
      <c r="F51" s="484" t="s">
        <v>764</v>
      </c>
      <c r="G51" s="484" t="s">
        <v>764</v>
      </c>
      <c r="H51" s="484" t="s">
        <v>764</v>
      </c>
      <c r="I51" s="484" t="s">
        <v>764</v>
      </c>
      <c r="J51" s="484">
        <v>93</v>
      </c>
      <c r="K51" s="484">
        <v>125</v>
      </c>
      <c r="L51" s="484">
        <v>154</v>
      </c>
      <c r="M51" s="484">
        <v>260</v>
      </c>
      <c r="N51" s="484">
        <v>293</v>
      </c>
      <c r="O51" s="484" t="s">
        <v>764</v>
      </c>
      <c r="P51" s="484" t="s">
        <v>764</v>
      </c>
      <c r="Q51" s="484" t="s">
        <v>764</v>
      </c>
      <c r="R51" s="484" t="s">
        <v>764</v>
      </c>
    </row>
    <row r="52" spans="1:18">
      <c r="A52" s="483" t="s">
        <v>781</v>
      </c>
      <c r="B52" s="483"/>
      <c r="C52" s="484" t="s">
        <v>764</v>
      </c>
      <c r="D52" s="484" t="s">
        <v>764</v>
      </c>
      <c r="E52" s="484" t="s">
        <v>764</v>
      </c>
      <c r="F52" s="484" t="s">
        <v>764</v>
      </c>
      <c r="G52" s="484" t="s">
        <v>764</v>
      </c>
      <c r="H52" s="484" t="s">
        <v>764</v>
      </c>
      <c r="I52" s="484" t="s">
        <v>764</v>
      </c>
      <c r="J52" s="484">
        <v>63</v>
      </c>
      <c r="K52" s="484">
        <v>62</v>
      </c>
      <c r="L52" s="484" t="s">
        <v>764</v>
      </c>
      <c r="M52" s="484" t="s">
        <v>764</v>
      </c>
      <c r="N52" s="484" t="s">
        <v>764</v>
      </c>
      <c r="O52" s="484" t="s">
        <v>764</v>
      </c>
      <c r="P52" s="484" t="s">
        <v>764</v>
      </c>
      <c r="Q52" s="484" t="s">
        <v>764</v>
      </c>
      <c r="R52" s="484" t="s">
        <v>764</v>
      </c>
    </row>
    <row r="53" spans="1:18">
      <c r="A53" s="483" t="s">
        <v>782</v>
      </c>
      <c r="B53" s="483"/>
      <c r="C53" s="484">
        <v>1</v>
      </c>
      <c r="D53" s="484">
        <v>0</v>
      </c>
      <c r="E53" s="484" t="s">
        <v>764</v>
      </c>
      <c r="F53" s="484" t="s">
        <v>764</v>
      </c>
      <c r="G53" s="484" t="s">
        <v>764</v>
      </c>
      <c r="H53" s="484" t="s">
        <v>764</v>
      </c>
      <c r="I53" s="484" t="s">
        <v>764</v>
      </c>
      <c r="J53" s="484">
        <v>5</v>
      </c>
      <c r="K53" s="484">
        <v>1</v>
      </c>
      <c r="L53" s="484" t="s">
        <v>764</v>
      </c>
      <c r="M53" s="484" t="s">
        <v>764</v>
      </c>
      <c r="N53" s="484" t="s">
        <v>764</v>
      </c>
      <c r="O53" s="484" t="s">
        <v>764</v>
      </c>
      <c r="P53" s="484" t="s">
        <v>764</v>
      </c>
      <c r="Q53" s="484" t="s">
        <v>764</v>
      </c>
      <c r="R53" s="484" t="s">
        <v>764</v>
      </c>
    </row>
    <row r="54" spans="1:18">
      <c r="A54" s="483" t="s">
        <v>783</v>
      </c>
      <c r="B54" s="483"/>
      <c r="C54" s="484" t="s">
        <v>764</v>
      </c>
      <c r="D54" s="484" t="s">
        <v>764</v>
      </c>
      <c r="E54" s="484" t="s">
        <v>764</v>
      </c>
      <c r="F54" s="484" t="s">
        <v>764</v>
      </c>
      <c r="G54" s="484" t="s">
        <v>764</v>
      </c>
      <c r="H54" s="484" t="s">
        <v>764</v>
      </c>
      <c r="I54" s="484" t="s">
        <v>764</v>
      </c>
      <c r="J54" s="484">
        <v>37</v>
      </c>
      <c r="K54" s="484">
        <v>11</v>
      </c>
      <c r="L54" s="484" t="s">
        <v>764</v>
      </c>
      <c r="M54" s="484" t="s">
        <v>764</v>
      </c>
      <c r="N54" s="484" t="s">
        <v>764</v>
      </c>
      <c r="O54" s="484" t="s">
        <v>764</v>
      </c>
      <c r="P54" s="484" t="s">
        <v>764</v>
      </c>
      <c r="Q54" s="484" t="s">
        <v>764</v>
      </c>
      <c r="R54" s="484" t="s">
        <v>764</v>
      </c>
    </row>
    <row r="55" spans="1:18">
      <c r="A55" s="481" t="s">
        <v>784</v>
      </c>
      <c r="B55" s="482"/>
      <c r="C55" s="482"/>
      <c r="D55" s="482"/>
      <c r="E55" s="482"/>
      <c r="F55" s="482"/>
      <c r="G55" s="482"/>
      <c r="H55" s="482"/>
      <c r="I55" s="482"/>
      <c r="J55" s="482"/>
      <c r="K55" s="482"/>
      <c r="L55" s="482"/>
      <c r="M55" s="482"/>
      <c r="N55" s="482"/>
      <c r="O55" s="482"/>
      <c r="P55" s="482"/>
      <c r="Q55" s="482"/>
      <c r="R55" s="482"/>
    </row>
    <row r="56" spans="1:18">
      <c r="A56" s="483" t="s">
        <v>763</v>
      </c>
      <c r="B56" s="483"/>
      <c r="C56" s="484" t="s">
        <v>764</v>
      </c>
      <c r="D56" s="484" t="s">
        <v>764</v>
      </c>
      <c r="E56" s="484" t="s">
        <v>764</v>
      </c>
      <c r="F56" s="484" t="s">
        <v>764</v>
      </c>
      <c r="G56" s="484" t="s">
        <v>764</v>
      </c>
      <c r="H56" s="484" t="s">
        <v>764</v>
      </c>
      <c r="I56" s="484" t="s">
        <v>764</v>
      </c>
      <c r="J56" s="484">
        <v>1142</v>
      </c>
      <c r="K56" s="484">
        <v>1279</v>
      </c>
      <c r="L56" s="484">
        <v>1315</v>
      </c>
      <c r="M56" s="484">
        <v>1441</v>
      </c>
      <c r="N56" s="484">
        <v>1457</v>
      </c>
      <c r="O56" s="484">
        <v>1219</v>
      </c>
      <c r="P56" s="484">
        <v>992</v>
      </c>
      <c r="Q56" s="484">
        <v>852</v>
      </c>
      <c r="R56" s="484">
        <v>918</v>
      </c>
    </row>
    <row r="57" spans="1:18">
      <c r="A57" s="483" t="s">
        <v>765</v>
      </c>
      <c r="B57" s="483"/>
      <c r="C57" s="484" t="s">
        <v>764</v>
      </c>
      <c r="D57" s="484" t="s">
        <v>764</v>
      </c>
      <c r="E57" s="484" t="s">
        <v>764</v>
      </c>
      <c r="F57" s="484" t="s">
        <v>764</v>
      </c>
      <c r="G57" s="484" t="s">
        <v>764</v>
      </c>
      <c r="H57" s="484" t="s">
        <v>764</v>
      </c>
      <c r="I57" s="484" t="s">
        <v>764</v>
      </c>
      <c r="J57" s="484">
        <v>339</v>
      </c>
      <c r="K57" s="484">
        <v>365</v>
      </c>
      <c r="L57" s="484">
        <v>385</v>
      </c>
      <c r="M57" s="484">
        <v>462</v>
      </c>
      <c r="N57" s="484">
        <v>474</v>
      </c>
      <c r="O57" s="484">
        <v>292</v>
      </c>
      <c r="P57" s="484">
        <v>310</v>
      </c>
      <c r="Q57" s="484">
        <v>181</v>
      </c>
      <c r="R57" s="484">
        <v>257</v>
      </c>
    </row>
    <row r="58" spans="1:18">
      <c r="A58" s="483" t="s">
        <v>766</v>
      </c>
      <c r="B58" s="483"/>
      <c r="C58" s="484" t="s">
        <v>764</v>
      </c>
      <c r="D58" s="484" t="s">
        <v>764</v>
      </c>
      <c r="E58" s="484" t="s">
        <v>764</v>
      </c>
      <c r="F58" s="484" t="s">
        <v>764</v>
      </c>
      <c r="G58" s="484" t="s">
        <v>764</v>
      </c>
      <c r="H58" s="484" t="s">
        <v>764</v>
      </c>
      <c r="I58" s="484" t="s">
        <v>764</v>
      </c>
      <c r="J58" s="484">
        <v>874</v>
      </c>
      <c r="K58" s="484">
        <v>921</v>
      </c>
      <c r="L58" s="484">
        <v>937</v>
      </c>
      <c r="M58" s="484">
        <v>974</v>
      </c>
      <c r="N58" s="484">
        <v>986</v>
      </c>
      <c r="O58" s="484">
        <v>969</v>
      </c>
      <c r="P58" s="484">
        <v>920</v>
      </c>
      <c r="Q58" s="484">
        <v>929</v>
      </c>
      <c r="R58" s="484">
        <v>978</v>
      </c>
    </row>
    <row r="59" spans="1:18">
      <c r="A59" s="483" t="s">
        <v>767</v>
      </c>
      <c r="B59" s="483"/>
      <c r="C59" s="484" t="s">
        <v>764</v>
      </c>
      <c r="D59" s="484" t="s">
        <v>764</v>
      </c>
      <c r="E59" s="484" t="s">
        <v>764</v>
      </c>
      <c r="F59" s="484" t="s">
        <v>764</v>
      </c>
      <c r="G59" s="484" t="s">
        <v>764</v>
      </c>
      <c r="H59" s="484" t="s">
        <v>764</v>
      </c>
      <c r="I59" s="484" t="s">
        <v>764</v>
      </c>
      <c r="J59" s="484">
        <v>61</v>
      </c>
      <c r="K59" s="484">
        <v>68</v>
      </c>
      <c r="L59" s="484">
        <v>66</v>
      </c>
      <c r="M59" s="484">
        <v>65</v>
      </c>
      <c r="N59" s="484">
        <v>66</v>
      </c>
      <c r="O59" s="484">
        <v>55</v>
      </c>
      <c r="P59" s="484">
        <v>51</v>
      </c>
      <c r="Q59" s="484">
        <v>58</v>
      </c>
      <c r="R59" s="484">
        <v>64</v>
      </c>
    </row>
    <row r="60" spans="1:18">
      <c r="A60" s="483" t="s">
        <v>768</v>
      </c>
      <c r="B60" s="483"/>
      <c r="C60" s="484" t="s">
        <v>764</v>
      </c>
      <c r="D60" s="484" t="s">
        <v>764</v>
      </c>
      <c r="E60" s="484" t="s">
        <v>764</v>
      </c>
      <c r="F60" s="484" t="s">
        <v>764</v>
      </c>
      <c r="G60" s="484" t="s">
        <v>764</v>
      </c>
      <c r="H60" s="484" t="s">
        <v>764</v>
      </c>
      <c r="I60" s="484" t="s">
        <v>764</v>
      </c>
      <c r="J60" s="484">
        <v>-39</v>
      </c>
      <c r="K60" s="484">
        <v>-51</v>
      </c>
      <c r="L60" s="484">
        <v>-52</v>
      </c>
      <c r="M60" s="484">
        <v>-65</v>
      </c>
      <c r="N60" s="484">
        <v>-53</v>
      </c>
      <c r="O60" s="484">
        <v>-57</v>
      </c>
      <c r="P60" s="484">
        <v>-38</v>
      </c>
      <c r="Q60" s="484">
        <v>-52</v>
      </c>
      <c r="R60" s="484">
        <v>-50</v>
      </c>
    </row>
    <row r="61" spans="1:18">
      <c r="A61" s="483" t="s">
        <v>770</v>
      </c>
      <c r="B61" s="483"/>
      <c r="C61" s="484" t="s">
        <v>764</v>
      </c>
      <c r="D61" s="484">
        <v>15</v>
      </c>
      <c r="E61" s="484" t="s">
        <v>764</v>
      </c>
      <c r="F61" s="484" t="s">
        <v>764</v>
      </c>
      <c r="G61" s="484" t="s">
        <v>764</v>
      </c>
      <c r="H61" s="484" t="s">
        <v>764</v>
      </c>
      <c r="I61" s="484" t="s">
        <v>764</v>
      </c>
      <c r="J61" s="484">
        <v>11</v>
      </c>
      <c r="K61" s="484">
        <v>12</v>
      </c>
      <c r="L61" s="484">
        <v>3</v>
      </c>
      <c r="M61" s="484">
        <v>10</v>
      </c>
      <c r="N61" s="484">
        <v>1</v>
      </c>
      <c r="O61" s="484">
        <v>-16</v>
      </c>
      <c r="P61" s="484">
        <v>-19</v>
      </c>
      <c r="Q61" s="484">
        <v>-14</v>
      </c>
      <c r="R61" s="484">
        <v>8</v>
      </c>
    </row>
    <row r="62" spans="1:18">
      <c r="A62" s="483" t="s">
        <v>771</v>
      </c>
      <c r="B62" s="483"/>
      <c r="C62" s="484">
        <v>-6</v>
      </c>
      <c r="D62" s="484">
        <v>17</v>
      </c>
      <c r="E62" s="484">
        <v>39</v>
      </c>
      <c r="F62" s="484">
        <v>5</v>
      </c>
      <c r="G62" s="484">
        <v>5</v>
      </c>
      <c r="H62" s="484">
        <v>0</v>
      </c>
      <c r="I62" s="484">
        <v>24</v>
      </c>
      <c r="J62" s="484">
        <v>11</v>
      </c>
      <c r="K62" s="484">
        <v>8</v>
      </c>
      <c r="L62" s="484">
        <v>5</v>
      </c>
      <c r="M62" s="484">
        <v>20</v>
      </c>
      <c r="N62" s="484">
        <v>3</v>
      </c>
      <c r="O62" s="484">
        <v>-38</v>
      </c>
      <c r="P62" s="484">
        <v>6</v>
      </c>
      <c r="Q62" s="484">
        <v>-45</v>
      </c>
      <c r="R62" s="484">
        <v>42</v>
      </c>
    </row>
    <row r="63" spans="1:18">
      <c r="A63" s="483" t="s">
        <v>772</v>
      </c>
      <c r="B63" s="483"/>
      <c r="C63" s="484">
        <v>4</v>
      </c>
      <c r="D63" s="484">
        <v>13</v>
      </c>
      <c r="E63" s="484">
        <v>7</v>
      </c>
      <c r="F63" s="484" t="s">
        <v>764</v>
      </c>
      <c r="G63" s="484" t="s">
        <v>764</v>
      </c>
      <c r="H63" s="484" t="s">
        <v>764</v>
      </c>
      <c r="I63" s="484" t="s">
        <v>764</v>
      </c>
      <c r="J63" s="484" t="s">
        <v>764</v>
      </c>
      <c r="K63" s="484">
        <v>3</v>
      </c>
      <c r="L63" s="484">
        <v>-2</v>
      </c>
      <c r="M63" s="484">
        <v>4</v>
      </c>
      <c r="N63" s="484">
        <v>-3</v>
      </c>
      <c r="O63" s="484">
        <v>-15</v>
      </c>
      <c r="P63" s="484">
        <v>-13</v>
      </c>
      <c r="Q63" s="484">
        <v>-5</v>
      </c>
      <c r="R63" s="484">
        <v>11</v>
      </c>
    </row>
    <row r="64" spans="1:18">
      <c r="A64" s="483" t="s">
        <v>773</v>
      </c>
      <c r="B64" s="483"/>
      <c r="C64" s="484">
        <v>1</v>
      </c>
      <c r="D64" s="484">
        <v>-2</v>
      </c>
      <c r="E64" s="484">
        <v>11</v>
      </c>
      <c r="F64" s="484" t="s">
        <v>764</v>
      </c>
      <c r="G64" s="484" t="s">
        <v>764</v>
      </c>
      <c r="H64" s="484" t="s">
        <v>764</v>
      </c>
      <c r="I64" s="484" t="s">
        <v>764</v>
      </c>
      <c r="J64" s="484" t="s">
        <v>764</v>
      </c>
      <c r="K64" s="484">
        <v>4</v>
      </c>
      <c r="L64" s="484">
        <v>5</v>
      </c>
      <c r="M64" s="484">
        <v>6</v>
      </c>
      <c r="N64" s="484">
        <v>4</v>
      </c>
      <c r="O64" s="484">
        <v>-1</v>
      </c>
      <c r="P64" s="484">
        <v>-6</v>
      </c>
      <c r="Q64" s="484">
        <v>-9</v>
      </c>
      <c r="R64" s="484">
        <v>-3</v>
      </c>
    </row>
    <row r="65" spans="1:18">
      <c r="A65" s="483" t="s">
        <v>774</v>
      </c>
      <c r="B65" s="483"/>
      <c r="C65" s="484">
        <v>3</v>
      </c>
      <c r="D65" s="484">
        <v>1</v>
      </c>
      <c r="E65" s="484">
        <v>0</v>
      </c>
      <c r="F65" s="484" t="s">
        <v>764</v>
      </c>
      <c r="G65" s="484" t="s">
        <v>764</v>
      </c>
      <c r="H65" s="484" t="s">
        <v>764</v>
      </c>
      <c r="I65" s="484" t="s">
        <v>764</v>
      </c>
      <c r="J65" s="484" t="s">
        <v>764</v>
      </c>
      <c r="K65" s="484">
        <v>0</v>
      </c>
      <c r="L65" s="484">
        <v>0</v>
      </c>
      <c r="M65" s="484">
        <v>0</v>
      </c>
      <c r="N65" s="484">
        <v>0</v>
      </c>
      <c r="O65" s="484">
        <v>0</v>
      </c>
      <c r="P65" s="484">
        <v>0</v>
      </c>
      <c r="Q65" s="484">
        <v>0</v>
      </c>
      <c r="R65" s="484">
        <v>0</v>
      </c>
    </row>
    <row r="66" spans="1:18">
      <c r="A66" s="483" t="s">
        <v>775</v>
      </c>
      <c r="B66" s="483"/>
      <c r="C66" s="484" t="s">
        <v>764</v>
      </c>
      <c r="D66" s="484" t="s">
        <v>764</v>
      </c>
      <c r="E66" s="484" t="s">
        <v>764</v>
      </c>
      <c r="F66" s="484" t="s">
        <v>764</v>
      </c>
      <c r="G66" s="484" t="s">
        <v>764</v>
      </c>
      <c r="H66" s="484" t="s">
        <v>764</v>
      </c>
      <c r="I66" s="484" t="s">
        <v>764</v>
      </c>
      <c r="J66" s="484" t="s">
        <v>764</v>
      </c>
      <c r="K66" s="484" t="s">
        <v>764</v>
      </c>
      <c r="L66" s="484" t="s">
        <v>764</v>
      </c>
      <c r="M66" s="484">
        <v>462</v>
      </c>
      <c r="N66" s="484">
        <v>474</v>
      </c>
      <c r="O66" s="484">
        <v>390</v>
      </c>
      <c r="P66" s="484">
        <v>310</v>
      </c>
      <c r="Q66" s="484">
        <v>224</v>
      </c>
      <c r="R66" s="484">
        <v>219</v>
      </c>
    </row>
    <row r="67" spans="1:18">
      <c r="A67" s="483" t="s">
        <v>776</v>
      </c>
      <c r="B67" s="483"/>
      <c r="C67" s="484" t="s">
        <v>764</v>
      </c>
      <c r="D67" s="484" t="s">
        <v>764</v>
      </c>
      <c r="E67" s="484" t="s">
        <v>764</v>
      </c>
      <c r="F67" s="484" t="s">
        <v>764</v>
      </c>
      <c r="G67" s="484" t="s">
        <v>764</v>
      </c>
      <c r="H67" s="484" t="s">
        <v>764</v>
      </c>
      <c r="I67" s="484" t="s">
        <v>764</v>
      </c>
      <c r="J67" s="484">
        <v>61</v>
      </c>
      <c r="K67" s="484">
        <v>90</v>
      </c>
      <c r="L67" s="484">
        <v>-21</v>
      </c>
      <c r="M67" s="484">
        <v>49</v>
      </c>
      <c r="N67" s="484">
        <v>-38</v>
      </c>
      <c r="O67" s="484">
        <v>-219</v>
      </c>
      <c r="P67" s="484">
        <v>-150</v>
      </c>
      <c r="Q67" s="484">
        <v>-53</v>
      </c>
      <c r="R67" s="484">
        <v>95</v>
      </c>
    </row>
    <row r="68" spans="1:18">
      <c r="A68" s="483" t="s">
        <v>777</v>
      </c>
      <c r="B68" s="483"/>
      <c r="C68" s="484" t="s">
        <v>764</v>
      </c>
      <c r="D68" s="484" t="s">
        <v>764</v>
      </c>
      <c r="E68" s="484" t="s">
        <v>764</v>
      </c>
      <c r="F68" s="484" t="s">
        <v>764</v>
      </c>
      <c r="G68" s="484" t="s">
        <v>764</v>
      </c>
      <c r="H68" s="484" t="s">
        <v>764</v>
      </c>
      <c r="I68" s="484" t="s">
        <v>764</v>
      </c>
      <c r="J68" s="484">
        <v>4</v>
      </c>
      <c r="K68" s="484">
        <v>46</v>
      </c>
      <c r="L68" s="484">
        <v>61</v>
      </c>
      <c r="M68" s="484">
        <v>78</v>
      </c>
      <c r="N68" s="484">
        <v>52</v>
      </c>
      <c r="O68" s="484">
        <v>-10</v>
      </c>
      <c r="P68" s="484">
        <v>-74</v>
      </c>
      <c r="Q68" s="484">
        <v>-86</v>
      </c>
      <c r="R68" s="484">
        <v>-30</v>
      </c>
    </row>
    <row r="69" spans="1:18">
      <c r="A69" s="483" t="s">
        <v>778</v>
      </c>
      <c r="B69" s="483"/>
      <c r="C69" s="484" t="s">
        <v>764</v>
      </c>
      <c r="D69" s="484" t="s">
        <v>764</v>
      </c>
      <c r="E69" s="484" t="s">
        <v>764</v>
      </c>
      <c r="F69" s="484" t="s">
        <v>764</v>
      </c>
      <c r="G69" s="484" t="s">
        <v>764</v>
      </c>
      <c r="H69" s="484" t="s">
        <v>764</v>
      </c>
      <c r="I69" s="484" t="s">
        <v>764</v>
      </c>
      <c r="J69" s="484">
        <v>-1</v>
      </c>
      <c r="K69" s="484">
        <v>1</v>
      </c>
      <c r="L69" s="484">
        <v>-4</v>
      </c>
      <c r="M69" s="484">
        <v>-1</v>
      </c>
      <c r="N69" s="484">
        <v>2</v>
      </c>
      <c r="O69" s="484">
        <v>-9</v>
      </c>
      <c r="P69" s="484">
        <v>-3</v>
      </c>
      <c r="Q69" s="484">
        <v>-1</v>
      </c>
      <c r="R69" s="484">
        <v>1</v>
      </c>
    </row>
    <row r="70" spans="1:18">
      <c r="A70" s="483" t="s">
        <v>779</v>
      </c>
      <c r="B70" s="483"/>
      <c r="C70" s="484" t="s">
        <v>764</v>
      </c>
      <c r="D70" s="484" t="s">
        <v>764</v>
      </c>
      <c r="E70" s="484" t="s">
        <v>764</v>
      </c>
      <c r="F70" s="484" t="s">
        <v>764</v>
      </c>
      <c r="G70" s="484" t="s">
        <v>764</v>
      </c>
      <c r="H70" s="484" t="s">
        <v>764</v>
      </c>
      <c r="I70" s="484" t="s">
        <v>764</v>
      </c>
      <c r="J70" s="484" t="s">
        <v>764</v>
      </c>
      <c r="K70" s="484">
        <v>100</v>
      </c>
      <c r="L70" s="484">
        <v>100</v>
      </c>
      <c r="M70" s="484">
        <v>100</v>
      </c>
      <c r="N70" s="484">
        <v>100</v>
      </c>
      <c r="O70" s="484">
        <v>100</v>
      </c>
      <c r="P70" s="484">
        <v>100</v>
      </c>
      <c r="Q70" s="484">
        <v>100</v>
      </c>
      <c r="R70" s="484">
        <v>100</v>
      </c>
    </row>
    <row r="71" spans="1:18">
      <c r="A71" s="483" t="s">
        <v>769</v>
      </c>
      <c r="B71" s="483"/>
      <c r="C71" s="484" t="s">
        <v>764</v>
      </c>
      <c r="D71" s="484" t="s">
        <v>764</v>
      </c>
      <c r="E71" s="484" t="s">
        <v>764</v>
      </c>
      <c r="F71" s="484" t="s">
        <v>764</v>
      </c>
      <c r="G71" s="484" t="s">
        <v>764</v>
      </c>
      <c r="H71" s="484" t="s">
        <v>764</v>
      </c>
      <c r="I71" s="484" t="s">
        <v>764</v>
      </c>
      <c r="J71" s="484" t="s">
        <v>764</v>
      </c>
      <c r="K71" s="484" t="s">
        <v>764</v>
      </c>
      <c r="L71" s="484" t="s">
        <v>764</v>
      </c>
      <c r="M71" s="484" t="s">
        <v>764</v>
      </c>
      <c r="N71" s="484">
        <v>118</v>
      </c>
      <c r="O71" s="484" t="s">
        <v>764</v>
      </c>
      <c r="P71" s="484" t="s">
        <v>764</v>
      </c>
      <c r="Q71" s="484" t="s">
        <v>764</v>
      </c>
      <c r="R71" s="484" t="s">
        <v>764</v>
      </c>
    </row>
    <row r="72" spans="1:18">
      <c r="A72" s="483" t="s">
        <v>780</v>
      </c>
      <c r="B72" s="483"/>
      <c r="C72" s="484" t="s">
        <v>764</v>
      </c>
      <c r="D72" s="484" t="s">
        <v>764</v>
      </c>
      <c r="E72" s="484" t="s">
        <v>764</v>
      </c>
      <c r="F72" s="484" t="s">
        <v>764</v>
      </c>
      <c r="G72" s="484" t="s">
        <v>764</v>
      </c>
      <c r="H72" s="484" t="s">
        <v>764</v>
      </c>
      <c r="I72" s="484" t="s">
        <v>764</v>
      </c>
      <c r="J72" s="484">
        <v>326</v>
      </c>
      <c r="K72" s="484">
        <v>365</v>
      </c>
      <c r="L72" s="484">
        <v>388</v>
      </c>
      <c r="M72" s="484">
        <v>462</v>
      </c>
      <c r="N72" s="484">
        <v>474</v>
      </c>
      <c r="O72" s="484" t="s">
        <v>764</v>
      </c>
      <c r="P72" s="484" t="s">
        <v>764</v>
      </c>
      <c r="Q72" s="484" t="s">
        <v>764</v>
      </c>
      <c r="R72" s="484" t="s">
        <v>764</v>
      </c>
    </row>
    <row r="73" spans="1:18">
      <c r="A73" s="483" t="s">
        <v>781</v>
      </c>
      <c r="B73" s="483"/>
      <c r="C73" s="484" t="s">
        <v>764</v>
      </c>
      <c r="D73" s="484" t="s">
        <v>764</v>
      </c>
      <c r="E73" s="484" t="s">
        <v>764</v>
      </c>
      <c r="F73" s="484" t="s">
        <v>764</v>
      </c>
      <c r="G73" s="484" t="s">
        <v>764</v>
      </c>
      <c r="H73" s="484" t="s">
        <v>764</v>
      </c>
      <c r="I73" s="484" t="s">
        <v>764</v>
      </c>
      <c r="J73" s="484">
        <v>61</v>
      </c>
      <c r="K73" s="484">
        <v>65</v>
      </c>
      <c r="L73" s="484" t="s">
        <v>764</v>
      </c>
      <c r="M73" s="484" t="s">
        <v>764</v>
      </c>
      <c r="N73" s="484" t="s">
        <v>764</v>
      </c>
      <c r="O73" s="484" t="s">
        <v>764</v>
      </c>
      <c r="P73" s="484" t="s">
        <v>764</v>
      </c>
      <c r="Q73" s="484" t="s">
        <v>764</v>
      </c>
      <c r="R73" s="484" t="s">
        <v>764</v>
      </c>
    </row>
    <row r="74" spans="1:18">
      <c r="A74" s="483" t="s">
        <v>782</v>
      </c>
      <c r="B74" s="483"/>
      <c r="C74" s="484">
        <v>-9</v>
      </c>
      <c r="D74" s="484">
        <v>3</v>
      </c>
      <c r="E74" s="484">
        <v>1</v>
      </c>
      <c r="F74" s="484" t="s">
        <v>764</v>
      </c>
      <c r="G74" s="484" t="s">
        <v>764</v>
      </c>
      <c r="H74" s="484" t="s">
        <v>764</v>
      </c>
      <c r="I74" s="484" t="s">
        <v>764</v>
      </c>
      <c r="J74" s="484" t="s">
        <v>764</v>
      </c>
      <c r="K74" s="484">
        <v>5</v>
      </c>
      <c r="L74" s="484" t="s">
        <v>764</v>
      </c>
      <c r="M74" s="484" t="s">
        <v>764</v>
      </c>
      <c r="N74" s="484" t="s">
        <v>764</v>
      </c>
      <c r="O74" s="484" t="s">
        <v>764</v>
      </c>
      <c r="P74" s="484" t="s">
        <v>764</v>
      </c>
      <c r="Q74" s="484" t="s">
        <v>764</v>
      </c>
      <c r="R74" s="484" t="s">
        <v>764</v>
      </c>
    </row>
    <row r="75" spans="1:18">
      <c r="A75" s="483" t="s">
        <v>783</v>
      </c>
      <c r="B75" s="483"/>
      <c r="C75" s="484" t="s">
        <v>764</v>
      </c>
      <c r="D75" s="484" t="s">
        <v>764</v>
      </c>
      <c r="E75" s="484" t="s">
        <v>764</v>
      </c>
      <c r="F75" s="484" t="s">
        <v>764</v>
      </c>
      <c r="G75" s="484" t="s">
        <v>764</v>
      </c>
      <c r="H75" s="484" t="s">
        <v>764</v>
      </c>
      <c r="I75" s="484" t="s">
        <v>764</v>
      </c>
      <c r="J75" s="484">
        <v>46</v>
      </c>
      <c r="K75" s="484">
        <v>55</v>
      </c>
      <c r="L75" s="484" t="s">
        <v>764</v>
      </c>
      <c r="M75" s="484" t="s">
        <v>764</v>
      </c>
      <c r="N75" s="484" t="s">
        <v>764</v>
      </c>
      <c r="O75" s="484" t="s">
        <v>764</v>
      </c>
      <c r="P75" s="484" t="s">
        <v>764</v>
      </c>
      <c r="Q75" s="484" t="s">
        <v>764</v>
      </c>
      <c r="R75" s="484" t="s">
        <v>764</v>
      </c>
    </row>
    <row r="76" spans="1:18">
      <c r="A76" s="481" t="s">
        <v>106</v>
      </c>
      <c r="B76" s="482"/>
      <c r="C76" s="482"/>
      <c r="D76" s="482"/>
      <c r="E76" s="482"/>
      <c r="F76" s="482"/>
      <c r="G76" s="482"/>
      <c r="H76" s="482"/>
      <c r="I76" s="482"/>
      <c r="J76" s="482"/>
      <c r="K76" s="482"/>
      <c r="L76" s="482"/>
      <c r="M76" s="482"/>
      <c r="N76" s="482"/>
      <c r="O76" s="482"/>
      <c r="P76" s="482"/>
      <c r="Q76" s="482"/>
      <c r="R76" s="482"/>
    </row>
    <row r="77" spans="1:18">
      <c r="A77" s="483" t="s">
        <v>763</v>
      </c>
      <c r="B77" s="483"/>
      <c r="C77" s="484" t="s">
        <v>764</v>
      </c>
      <c r="D77" s="484" t="s">
        <v>764</v>
      </c>
      <c r="E77" s="484" t="s">
        <v>764</v>
      </c>
      <c r="F77" s="484" t="s">
        <v>764</v>
      </c>
      <c r="G77" s="484" t="s">
        <v>764</v>
      </c>
      <c r="H77" s="484" t="s">
        <v>764</v>
      </c>
      <c r="I77" s="484" t="s">
        <v>764</v>
      </c>
      <c r="J77" s="484" t="s">
        <v>764</v>
      </c>
      <c r="K77" s="484" t="s">
        <v>764</v>
      </c>
      <c r="L77" s="484" t="s">
        <v>764</v>
      </c>
      <c r="M77" s="484" t="s">
        <v>764</v>
      </c>
      <c r="N77" s="484">
        <v>3853</v>
      </c>
      <c r="O77" s="484">
        <v>2811</v>
      </c>
      <c r="P77" s="484">
        <v>2534</v>
      </c>
      <c r="Q77" s="484">
        <v>2728</v>
      </c>
      <c r="R77" s="484">
        <v>2831</v>
      </c>
    </row>
    <row r="78" spans="1:18">
      <c r="A78" s="483" t="s">
        <v>765</v>
      </c>
      <c r="B78" s="483"/>
      <c r="C78" s="484" t="s">
        <v>764</v>
      </c>
      <c r="D78" s="484" t="s">
        <v>764</v>
      </c>
      <c r="E78" s="484" t="s">
        <v>764</v>
      </c>
      <c r="F78" s="484" t="s">
        <v>764</v>
      </c>
      <c r="G78" s="484" t="s">
        <v>764</v>
      </c>
      <c r="H78" s="484" t="s">
        <v>764</v>
      </c>
      <c r="I78" s="484" t="s">
        <v>764</v>
      </c>
      <c r="J78" s="484" t="s">
        <v>764</v>
      </c>
      <c r="K78" s="484" t="s">
        <v>764</v>
      </c>
      <c r="L78" s="484" t="s">
        <v>764</v>
      </c>
      <c r="M78" s="484" t="s">
        <v>764</v>
      </c>
      <c r="N78" s="484" t="s">
        <v>764</v>
      </c>
      <c r="O78" s="484">
        <v>294</v>
      </c>
      <c r="P78" s="484">
        <v>171</v>
      </c>
      <c r="Q78" s="484">
        <v>255</v>
      </c>
      <c r="R78" s="484">
        <v>308</v>
      </c>
    </row>
    <row r="79" spans="1:18">
      <c r="A79" s="483" t="s">
        <v>766</v>
      </c>
      <c r="B79" s="483"/>
      <c r="C79" s="484" t="s">
        <v>764</v>
      </c>
      <c r="D79" s="484" t="s">
        <v>764</v>
      </c>
      <c r="E79" s="484" t="s">
        <v>764</v>
      </c>
      <c r="F79" s="484" t="s">
        <v>764</v>
      </c>
      <c r="G79" s="484" t="s">
        <v>764</v>
      </c>
      <c r="H79" s="484" t="s">
        <v>764</v>
      </c>
      <c r="I79" s="484" t="s">
        <v>764</v>
      </c>
      <c r="J79" s="484" t="s">
        <v>764</v>
      </c>
      <c r="K79" s="484" t="s">
        <v>764</v>
      </c>
      <c r="L79" s="484" t="s">
        <v>764</v>
      </c>
      <c r="M79" s="484" t="s">
        <v>764</v>
      </c>
      <c r="N79" s="484" t="s">
        <v>764</v>
      </c>
      <c r="O79" s="484">
        <v>2930</v>
      </c>
      <c r="P79" s="484">
        <v>2927</v>
      </c>
      <c r="Q79" s="484">
        <v>3000</v>
      </c>
      <c r="R79" s="484">
        <v>2934</v>
      </c>
    </row>
    <row r="80" spans="1:18">
      <c r="A80" s="483" t="s">
        <v>767</v>
      </c>
      <c r="B80" s="483"/>
      <c r="C80" s="484" t="s">
        <v>764</v>
      </c>
      <c r="D80" s="484" t="s">
        <v>764</v>
      </c>
      <c r="E80" s="484" t="s">
        <v>764</v>
      </c>
      <c r="F80" s="484" t="s">
        <v>764</v>
      </c>
      <c r="G80" s="484" t="s">
        <v>764</v>
      </c>
      <c r="H80" s="484" t="s">
        <v>764</v>
      </c>
      <c r="I80" s="484" t="s">
        <v>764</v>
      </c>
      <c r="J80" s="484" t="s">
        <v>764</v>
      </c>
      <c r="K80" s="484" t="s">
        <v>764</v>
      </c>
      <c r="L80" s="484" t="s">
        <v>764</v>
      </c>
      <c r="M80" s="484" t="s">
        <v>764</v>
      </c>
      <c r="N80" s="484" t="s">
        <v>764</v>
      </c>
      <c r="O80" s="484">
        <v>149</v>
      </c>
      <c r="P80" s="484">
        <v>157</v>
      </c>
      <c r="Q80" s="484">
        <v>148</v>
      </c>
      <c r="R80" s="484">
        <v>151</v>
      </c>
    </row>
    <row r="81" spans="1:18">
      <c r="A81" s="483" t="s">
        <v>768</v>
      </c>
      <c r="B81" s="483"/>
      <c r="C81" s="484" t="s">
        <v>764</v>
      </c>
      <c r="D81" s="484" t="s">
        <v>764</v>
      </c>
      <c r="E81" s="484" t="s">
        <v>764</v>
      </c>
      <c r="F81" s="484" t="s">
        <v>764</v>
      </c>
      <c r="G81" s="484" t="s">
        <v>764</v>
      </c>
      <c r="H81" s="484" t="s">
        <v>764</v>
      </c>
      <c r="I81" s="484" t="s">
        <v>764</v>
      </c>
      <c r="J81" s="484" t="s">
        <v>764</v>
      </c>
      <c r="K81" s="484" t="s">
        <v>764</v>
      </c>
      <c r="L81" s="484" t="s">
        <v>764</v>
      </c>
      <c r="M81" s="484" t="s">
        <v>764</v>
      </c>
      <c r="N81" s="484" t="s">
        <v>764</v>
      </c>
      <c r="O81" s="484">
        <v>-139</v>
      </c>
      <c r="P81" s="484">
        <v>-128</v>
      </c>
      <c r="Q81" s="484">
        <v>-116</v>
      </c>
      <c r="R81" s="484">
        <v>-137</v>
      </c>
    </row>
    <row r="82" spans="1:18">
      <c r="A82" s="483" t="s">
        <v>769</v>
      </c>
      <c r="B82" s="483"/>
      <c r="C82" s="484" t="s">
        <v>764</v>
      </c>
      <c r="D82" s="484" t="s">
        <v>764</v>
      </c>
      <c r="E82" s="484" t="s">
        <v>764</v>
      </c>
      <c r="F82" s="484" t="s">
        <v>764</v>
      </c>
      <c r="G82" s="484" t="s">
        <v>764</v>
      </c>
      <c r="H82" s="484" t="s">
        <v>764</v>
      </c>
      <c r="I82" s="484" t="s">
        <v>764</v>
      </c>
      <c r="J82" s="484" t="s">
        <v>764</v>
      </c>
      <c r="K82" s="484" t="s">
        <v>764</v>
      </c>
      <c r="L82" s="484" t="s">
        <v>764</v>
      </c>
      <c r="M82" s="484" t="s">
        <v>764</v>
      </c>
      <c r="N82" s="484">
        <v>1200</v>
      </c>
      <c r="O82" s="484">
        <v>1239</v>
      </c>
      <c r="P82" s="484">
        <v>760</v>
      </c>
      <c r="Q82" s="484">
        <v>769</v>
      </c>
      <c r="R82" s="484">
        <v>764</v>
      </c>
    </row>
    <row r="83" spans="1:18">
      <c r="A83" s="483" t="s">
        <v>770</v>
      </c>
      <c r="B83" s="483"/>
      <c r="C83" s="484" t="s">
        <v>764</v>
      </c>
      <c r="D83" s="484" t="s">
        <v>764</v>
      </c>
      <c r="E83" s="484" t="s">
        <v>764</v>
      </c>
      <c r="F83" s="484" t="s">
        <v>764</v>
      </c>
      <c r="G83" s="484" t="s">
        <v>764</v>
      </c>
      <c r="H83" s="484" t="s">
        <v>764</v>
      </c>
      <c r="I83" s="484" t="s">
        <v>764</v>
      </c>
      <c r="J83" s="484" t="s">
        <v>764</v>
      </c>
      <c r="K83" s="484" t="s">
        <v>764</v>
      </c>
      <c r="L83" s="484" t="s">
        <v>764</v>
      </c>
      <c r="M83" s="484" t="s">
        <v>764</v>
      </c>
      <c r="N83" s="484" t="s">
        <v>764</v>
      </c>
      <c r="O83" s="484">
        <v>-7</v>
      </c>
      <c r="P83" s="484">
        <v>-10</v>
      </c>
      <c r="Q83" s="484">
        <v>8</v>
      </c>
      <c r="R83" s="484">
        <v>4</v>
      </c>
    </row>
    <row r="84" spans="1:18">
      <c r="A84" s="483" t="s">
        <v>771</v>
      </c>
      <c r="B84" s="483"/>
      <c r="C84" s="484" t="s">
        <v>764</v>
      </c>
      <c r="D84" s="484" t="s">
        <v>764</v>
      </c>
      <c r="E84" s="484" t="s">
        <v>764</v>
      </c>
      <c r="F84" s="484" t="s">
        <v>764</v>
      </c>
      <c r="G84" s="484" t="s">
        <v>764</v>
      </c>
      <c r="H84" s="484" t="s">
        <v>764</v>
      </c>
      <c r="I84" s="484" t="s">
        <v>764</v>
      </c>
      <c r="J84" s="484" t="s">
        <v>764</v>
      </c>
      <c r="K84" s="484" t="s">
        <v>764</v>
      </c>
      <c r="L84" s="484" t="s">
        <v>764</v>
      </c>
      <c r="M84" s="484" t="s">
        <v>764</v>
      </c>
      <c r="N84" s="484" t="s">
        <v>764</v>
      </c>
      <c r="O84" s="484">
        <v>-16</v>
      </c>
      <c r="P84" s="484">
        <v>-42</v>
      </c>
      <c r="Q84" s="484">
        <v>49</v>
      </c>
      <c r="R84" s="484">
        <v>21</v>
      </c>
    </row>
    <row r="85" spans="1:18">
      <c r="A85" s="483" t="s">
        <v>772</v>
      </c>
      <c r="B85" s="483"/>
      <c r="C85" s="484" t="s">
        <v>764</v>
      </c>
      <c r="D85" s="484" t="s">
        <v>764</v>
      </c>
      <c r="E85" s="484" t="s">
        <v>764</v>
      </c>
      <c r="F85" s="484" t="s">
        <v>764</v>
      </c>
      <c r="G85" s="484" t="s">
        <v>764</v>
      </c>
      <c r="H85" s="484" t="s">
        <v>764</v>
      </c>
      <c r="I85" s="484" t="s">
        <v>764</v>
      </c>
      <c r="J85" s="484" t="s">
        <v>764</v>
      </c>
      <c r="K85" s="484" t="s">
        <v>764</v>
      </c>
      <c r="L85" s="484" t="s">
        <v>764</v>
      </c>
      <c r="M85" s="484" t="s">
        <v>764</v>
      </c>
      <c r="N85" s="484" t="s">
        <v>764</v>
      </c>
      <c r="O85" s="484">
        <v>-1</v>
      </c>
      <c r="P85" s="484">
        <v>2</v>
      </c>
      <c r="Q85" s="484">
        <v>-2</v>
      </c>
      <c r="R85" s="484">
        <v>-5</v>
      </c>
    </row>
    <row r="86" spans="1:18">
      <c r="A86" s="483" t="s">
        <v>773</v>
      </c>
      <c r="B86" s="483"/>
      <c r="C86" s="484" t="s">
        <v>764</v>
      </c>
      <c r="D86" s="484" t="s">
        <v>764</v>
      </c>
      <c r="E86" s="484" t="s">
        <v>764</v>
      </c>
      <c r="F86" s="484" t="s">
        <v>764</v>
      </c>
      <c r="G86" s="484" t="s">
        <v>764</v>
      </c>
      <c r="H86" s="484" t="s">
        <v>764</v>
      </c>
      <c r="I86" s="484" t="s">
        <v>764</v>
      </c>
      <c r="J86" s="484" t="s">
        <v>764</v>
      </c>
      <c r="K86" s="484" t="s">
        <v>764</v>
      </c>
      <c r="L86" s="484" t="s">
        <v>764</v>
      </c>
      <c r="M86" s="484" t="s">
        <v>764</v>
      </c>
      <c r="N86" s="484" t="s">
        <v>764</v>
      </c>
      <c r="O86" s="484">
        <v>-17</v>
      </c>
      <c r="P86" s="484">
        <v>-11</v>
      </c>
      <c r="Q86" s="484">
        <v>10</v>
      </c>
      <c r="R86" s="484">
        <v>8</v>
      </c>
    </row>
    <row r="87" spans="1:18">
      <c r="A87" s="483" t="s">
        <v>774</v>
      </c>
      <c r="B87" s="483"/>
      <c r="C87" s="484" t="s">
        <v>764</v>
      </c>
      <c r="D87" s="484" t="s">
        <v>764</v>
      </c>
      <c r="E87" s="484" t="s">
        <v>764</v>
      </c>
      <c r="F87" s="484" t="s">
        <v>764</v>
      </c>
      <c r="G87" s="484" t="s">
        <v>764</v>
      </c>
      <c r="H87" s="484" t="s">
        <v>764</v>
      </c>
      <c r="I87" s="484" t="s">
        <v>764</v>
      </c>
      <c r="J87" s="484" t="s">
        <v>764</v>
      </c>
      <c r="K87" s="484" t="s">
        <v>764</v>
      </c>
      <c r="L87" s="484" t="s">
        <v>764</v>
      </c>
      <c r="M87" s="484" t="s">
        <v>764</v>
      </c>
      <c r="N87" s="484" t="s">
        <v>764</v>
      </c>
      <c r="O87" s="484">
        <v>-1</v>
      </c>
      <c r="P87" s="484">
        <v>-1</v>
      </c>
      <c r="Q87" s="484">
        <v>0</v>
      </c>
      <c r="R87" s="484">
        <v>1</v>
      </c>
    </row>
    <row r="88" spans="1:18">
      <c r="A88" s="483" t="s">
        <v>775</v>
      </c>
      <c r="B88" s="483"/>
      <c r="C88" s="484" t="s">
        <v>764</v>
      </c>
      <c r="D88" s="484" t="s">
        <v>764</v>
      </c>
      <c r="E88" s="484" t="s">
        <v>764</v>
      </c>
      <c r="F88" s="484" t="s">
        <v>764</v>
      </c>
      <c r="G88" s="484" t="s">
        <v>764</v>
      </c>
      <c r="H88" s="484" t="s">
        <v>764</v>
      </c>
      <c r="I88" s="484" t="s">
        <v>764</v>
      </c>
      <c r="J88" s="484" t="s">
        <v>764</v>
      </c>
      <c r="K88" s="484" t="s">
        <v>764</v>
      </c>
      <c r="L88" s="484" t="s">
        <v>764</v>
      </c>
      <c r="M88" s="484" t="s">
        <v>764</v>
      </c>
      <c r="N88" s="484">
        <v>360</v>
      </c>
      <c r="O88" s="484" t="s">
        <v>764</v>
      </c>
      <c r="P88" s="484">
        <v>171</v>
      </c>
      <c r="Q88" s="484">
        <v>299</v>
      </c>
      <c r="R88" s="484">
        <v>278</v>
      </c>
    </row>
    <row r="89" spans="1:18">
      <c r="A89" s="483" t="s">
        <v>776</v>
      </c>
      <c r="B89" s="483"/>
      <c r="C89" s="484" t="s">
        <v>764</v>
      </c>
      <c r="D89" s="484" t="s">
        <v>764</v>
      </c>
      <c r="E89" s="484" t="s">
        <v>764</v>
      </c>
      <c r="F89" s="484" t="s">
        <v>764</v>
      </c>
      <c r="G89" s="484" t="s">
        <v>764</v>
      </c>
      <c r="H89" s="484" t="s">
        <v>764</v>
      </c>
      <c r="I89" s="484" t="s">
        <v>764</v>
      </c>
      <c r="J89" s="484" t="s">
        <v>764</v>
      </c>
      <c r="K89" s="484" t="s">
        <v>764</v>
      </c>
      <c r="L89" s="484" t="s">
        <v>764</v>
      </c>
      <c r="M89" s="484" t="s">
        <v>764</v>
      </c>
      <c r="N89" s="484" t="s">
        <v>764</v>
      </c>
      <c r="O89" s="484">
        <v>-47</v>
      </c>
      <c r="P89" s="484">
        <v>48</v>
      </c>
      <c r="Q89" s="484">
        <v>-55</v>
      </c>
      <c r="R89" s="484">
        <v>-142</v>
      </c>
    </row>
    <row r="90" spans="1:18">
      <c r="A90" s="483" t="s">
        <v>777</v>
      </c>
      <c r="B90" s="483"/>
      <c r="C90" s="484" t="s">
        <v>764</v>
      </c>
      <c r="D90" s="484" t="s">
        <v>764</v>
      </c>
      <c r="E90" s="484" t="s">
        <v>764</v>
      </c>
      <c r="F90" s="484" t="s">
        <v>764</v>
      </c>
      <c r="G90" s="484" t="s">
        <v>764</v>
      </c>
      <c r="H90" s="484" t="s">
        <v>764</v>
      </c>
      <c r="I90" s="484" t="s">
        <v>764</v>
      </c>
      <c r="J90" s="484" t="s">
        <v>764</v>
      </c>
      <c r="K90" s="484" t="s">
        <v>764</v>
      </c>
      <c r="L90" s="484" t="s">
        <v>764</v>
      </c>
      <c r="M90" s="484" t="s">
        <v>764</v>
      </c>
      <c r="N90" s="484" t="s">
        <v>764</v>
      </c>
      <c r="O90" s="484">
        <v>-527</v>
      </c>
      <c r="P90" s="484">
        <v>-317</v>
      </c>
      <c r="Q90" s="484">
        <v>253</v>
      </c>
      <c r="R90" s="484">
        <v>229</v>
      </c>
    </row>
    <row r="91" spans="1:18">
      <c r="A91" s="483" t="s">
        <v>778</v>
      </c>
      <c r="B91" s="483"/>
      <c r="C91" s="484" t="s">
        <v>764</v>
      </c>
      <c r="D91" s="484" t="s">
        <v>764</v>
      </c>
      <c r="E91" s="484" t="s">
        <v>764</v>
      </c>
      <c r="F91" s="484" t="s">
        <v>764</v>
      </c>
      <c r="G91" s="484" t="s">
        <v>764</v>
      </c>
      <c r="H91" s="484" t="s">
        <v>764</v>
      </c>
      <c r="I91" s="484" t="s">
        <v>764</v>
      </c>
      <c r="J91" s="484" t="s">
        <v>764</v>
      </c>
      <c r="K91" s="484" t="s">
        <v>764</v>
      </c>
      <c r="L91" s="484" t="s">
        <v>764</v>
      </c>
      <c r="M91" s="484" t="s">
        <v>764</v>
      </c>
      <c r="N91" s="484" t="s">
        <v>764</v>
      </c>
      <c r="O91" s="484">
        <v>-22</v>
      </c>
      <c r="P91" s="484">
        <v>-8</v>
      </c>
      <c r="Q91" s="484">
        <v>-4</v>
      </c>
      <c r="R91" s="484">
        <v>16</v>
      </c>
    </row>
    <row r="92" spans="1:18">
      <c r="A92" s="483" t="s">
        <v>779</v>
      </c>
      <c r="B92" s="483"/>
      <c r="C92" s="484" t="s">
        <v>764</v>
      </c>
      <c r="D92" s="484" t="s">
        <v>764</v>
      </c>
      <c r="E92" s="484" t="s">
        <v>764</v>
      </c>
      <c r="F92" s="484" t="s">
        <v>764</v>
      </c>
      <c r="G92" s="484" t="s">
        <v>764</v>
      </c>
      <c r="H92" s="484" t="s">
        <v>764</v>
      </c>
      <c r="I92" s="484" t="s">
        <v>764</v>
      </c>
      <c r="J92" s="484" t="s">
        <v>764</v>
      </c>
      <c r="K92" s="484" t="s">
        <v>764</v>
      </c>
      <c r="L92" s="484" t="s">
        <v>764</v>
      </c>
      <c r="M92" s="484" t="s">
        <v>764</v>
      </c>
      <c r="N92" s="484" t="s">
        <v>764</v>
      </c>
      <c r="O92" s="484" t="s">
        <v>764</v>
      </c>
      <c r="P92" s="484">
        <v>100</v>
      </c>
      <c r="Q92" s="484">
        <v>100</v>
      </c>
      <c r="R92" s="484">
        <v>100</v>
      </c>
    </row>
    <row r="93" spans="1:18">
      <c r="A93" s="481" t="s">
        <v>785</v>
      </c>
      <c r="B93" s="482"/>
      <c r="C93" s="482"/>
      <c r="D93" s="482"/>
      <c r="E93" s="482"/>
      <c r="F93" s="482"/>
      <c r="G93" s="482"/>
      <c r="H93" s="482"/>
      <c r="I93" s="482"/>
      <c r="J93" s="482"/>
      <c r="K93" s="482"/>
      <c r="L93" s="482"/>
      <c r="M93" s="482"/>
      <c r="N93" s="482"/>
      <c r="O93" s="482"/>
      <c r="P93" s="482"/>
      <c r="Q93" s="482"/>
      <c r="R93" s="482"/>
    </row>
    <row r="94" spans="1:18">
      <c r="A94" s="483" t="s">
        <v>765</v>
      </c>
      <c r="B94" s="483"/>
      <c r="C94" s="484">
        <v>490</v>
      </c>
      <c r="D94" s="484">
        <v>86</v>
      </c>
      <c r="E94" s="484">
        <v>17</v>
      </c>
      <c r="F94" s="484">
        <v>101</v>
      </c>
      <c r="G94" s="484">
        <v>112</v>
      </c>
      <c r="H94" s="484">
        <v>46</v>
      </c>
      <c r="I94" s="484" t="s">
        <v>764</v>
      </c>
      <c r="J94" s="484">
        <v>-136</v>
      </c>
      <c r="K94" s="484">
        <v>-172</v>
      </c>
      <c r="L94" s="484">
        <v>-502</v>
      </c>
      <c r="M94" s="484">
        <v>203</v>
      </c>
      <c r="N94" s="484">
        <v>83</v>
      </c>
      <c r="O94" s="484">
        <v>-246</v>
      </c>
      <c r="P94" s="484">
        <v>-170</v>
      </c>
      <c r="Q94" s="484">
        <v>-42</v>
      </c>
      <c r="R94" s="484">
        <v>-161</v>
      </c>
    </row>
    <row r="95" spans="1:18">
      <c r="A95" s="483" t="s">
        <v>766</v>
      </c>
      <c r="B95" s="483"/>
      <c r="C95" s="484" t="s">
        <v>764</v>
      </c>
      <c r="D95" s="484">
        <v>-104</v>
      </c>
      <c r="E95" s="484">
        <v>1052</v>
      </c>
      <c r="F95" s="484">
        <v>1439</v>
      </c>
      <c r="G95" s="484">
        <v>1792</v>
      </c>
      <c r="H95" s="484">
        <v>1085</v>
      </c>
      <c r="I95" s="484">
        <v>1347</v>
      </c>
      <c r="J95" s="484">
        <v>4095</v>
      </c>
      <c r="K95" s="484">
        <v>1225</v>
      </c>
      <c r="L95" s="484">
        <v>1062</v>
      </c>
      <c r="M95" s="484">
        <v>1074</v>
      </c>
      <c r="N95" s="484">
        <v>5951</v>
      </c>
      <c r="O95" s="484">
        <v>1084</v>
      </c>
      <c r="P95" s="484">
        <v>1108</v>
      </c>
      <c r="Q95" s="484">
        <v>1043</v>
      </c>
      <c r="R95" s="484">
        <v>1082</v>
      </c>
    </row>
    <row r="96" spans="1:18">
      <c r="A96" s="483" t="s">
        <v>767</v>
      </c>
      <c r="B96" s="483"/>
      <c r="C96" s="484" t="s">
        <v>764</v>
      </c>
      <c r="D96" s="484" t="s">
        <v>764</v>
      </c>
      <c r="E96" s="484" t="s">
        <v>764</v>
      </c>
      <c r="F96" s="484" t="s">
        <v>764</v>
      </c>
      <c r="G96" s="484" t="s">
        <v>764</v>
      </c>
      <c r="H96" s="484" t="s">
        <v>764</v>
      </c>
      <c r="I96" s="484" t="s">
        <v>764</v>
      </c>
      <c r="J96" s="484">
        <v>36</v>
      </c>
      <c r="K96" s="484" t="s">
        <v>764</v>
      </c>
      <c r="L96" s="484" t="s">
        <v>764</v>
      </c>
      <c r="M96" s="484" t="s">
        <v>764</v>
      </c>
      <c r="N96" s="484">
        <v>135</v>
      </c>
      <c r="O96" s="484" t="s">
        <v>764</v>
      </c>
      <c r="P96" s="484" t="s">
        <v>764</v>
      </c>
      <c r="Q96" s="484" t="s">
        <v>764</v>
      </c>
      <c r="R96" s="484" t="s">
        <v>764</v>
      </c>
    </row>
    <row r="97" spans="1:18">
      <c r="A97" s="483" t="s">
        <v>781</v>
      </c>
      <c r="B97" s="483"/>
      <c r="C97" s="484">
        <v>33</v>
      </c>
      <c r="D97" s="484">
        <v>111</v>
      </c>
      <c r="E97" s="484" t="s">
        <v>764</v>
      </c>
      <c r="F97" s="484" t="s">
        <v>764</v>
      </c>
      <c r="G97" s="484" t="s">
        <v>764</v>
      </c>
      <c r="H97" s="484" t="s">
        <v>764</v>
      </c>
      <c r="I97" s="484" t="s">
        <v>764</v>
      </c>
      <c r="J97" s="484">
        <v>-6</v>
      </c>
      <c r="K97" s="484">
        <v>132</v>
      </c>
      <c r="L97" s="484" t="s">
        <v>764</v>
      </c>
      <c r="M97" s="484" t="s">
        <v>764</v>
      </c>
      <c r="N97" s="484" t="s">
        <v>764</v>
      </c>
      <c r="O97" s="484" t="s">
        <v>764</v>
      </c>
      <c r="P97" s="484" t="s">
        <v>764</v>
      </c>
      <c r="Q97" s="484" t="s">
        <v>764</v>
      </c>
      <c r="R97" s="484" t="s">
        <v>764</v>
      </c>
    </row>
    <row r="98" spans="1:18">
      <c r="A98" s="481" t="s">
        <v>17</v>
      </c>
      <c r="B98" s="482"/>
      <c r="C98" s="482"/>
      <c r="D98" s="482"/>
      <c r="E98" s="482"/>
      <c r="F98" s="482"/>
      <c r="G98" s="482"/>
      <c r="H98" s="482"/>
      <c r="I98" s="482"/>
      <c r="J98" s="482"/>
      <c r="K98" s="482"/>
      <c r="L98" s="482"/>
      <c r="M98" s="482"/>
      <c r="N98" s="482"/>
      <c r="O98" s="482"/>
      <c r="P98" s="482"/>
      <c r="Q98" s="482"/>
      <c r="R98" s="482"/>
    </row>
    <row r="99" spans="1:18">
      <c r="A99" s="483" t="s">
        <v>786</v>
      </c>
      <c r="B99" s="483"/>
      <c r="C99" s="484" t="s">
        <v>764</v>
      </c>
      <c r="D99" s="484" t="s">
        <v>764</v>
      </c>
      <c r="E99" s="484" t="s">
        <v>764</v>
      </c>
      <c r="F99" s="484" t="s">
        <v>764</v>
      </c>
      <c r="G99" s="484" t="s">
        <v>764</v>
      </c>
      <c r="H99" s="484" t="s">
        <v>764</v>
      </c>
      <c r="I99" s="484" t="s">
        <v>764</v>
      </c>
      <c r="J99" s="484" t="s">
        <v>764</v>
      </c>
      <c r="K99" s="484">
        <v>7178</v>
      </c>
      <c r="L99" s="484">
        <v>8102</v>
      </c>
      <c r="M99" s="484">
        <v>9350</v>
      </c>
      <c r="N99" s="484">
        <v>9527.1</v>
      </c>
      <c r="O99" s="484">
        <v>9648</v>
      </c>
      <c r="P99" s="484">
        <v>9008.1</v>
      </c>
      <c r="Q99" s="484">
        <v>9549</v>
      </c>
      <c r="R99" s="484" t="s">
        <v>764</v>
      </c>
    </row>
    <row r="100" spans="1:18">
      <c r="A100" s="481" t="s">
        <v>787</v>
      </c>
      <c r="B100" s="482"/>
      <c r="C100" s="482"/>
      <c r="D100" s="482"/>
      <c r="E100" s="482"/>
      <c r="F100" s="482"/>
      <c r="G100" s="482"/>
      <c r="H100" s="482"/>
      <c r="I100" s="482"/>
      <c r="J100" s="482"/>
      <c r="K100" s="482"/>
      <c r="L100" s="482"/>
      <c r="M100" s="482"/>
      <c r="N100" s="482"/>
      <c r="O100" s="482"/>
      <c r="P100" s="482"/>
      <c r="Q100" s="482"/>
      <c r="R100" s="482"/>
    </row>
    <row r="101" spans="1:18">
      <c r="A101" s="483" t="s">
        <v>769</v>
      </c>
      <c r="B101" s="483"/>
      <c r="C101" s="484" t="s">
        <v>764</v>
      </c>
      <c r="D101" s="484" t="s">
        <v>764</v>
      </c>
      <c r="E101" s="484" t="s">
        <v>764</v>
      </c>
      <c r="F101" s="484" t="s">
        <v>764</v>
      </c>
      <c r="G101" s="484" t="s">
        <v>764</v>
      </c>
      <c r="H101" s="484" t="s">
        <v>764</v>
      </c>
      <c r="I101" s="484" t="s">
        <v>764</v>
      </c>
      <c r="J101" s="484">
        <v>105</v>
      </c>
      <c r="K101" s="484">
        <v>134</v>
      </c>
      <c r="L101" s="484">
        <v>133</v>
      </c>
      <c r="M101" s="484">
        <v>132</v>
      </c>
      <c r="N101" s="484" t="s">
        <v>764</v>
      </c>
      <c r="O101" s="484">
        <v>111</v>
      </c>
      <c r="P101" s="484">
        <v>0</v>
      </c>
      <c r="Q101" s="484" t="s">
        <v>764</v>
      </c>
      <c r="R101" s="484" t="s">
        <v>764</v>
      </c>
    </row>
    <row r="102" spans="1:18">
      <c r="A102" s="483" t="s">
        <v>775</v>
      </c>
      <c r="B102" s="483"/>
      <c r="C102" s="484" t="s">
        <v>764</v>
      </c>
      <c r="D102" s="484" t="s">
        <v>764</v>
      </c>
      <c r="E102" s="484" t="s">
        <v>764</v>
      </c>
      <c r="F102" s="484" t="s">
        <v>764</v>
      </c>
      <c r="G102" s="484" t="s">
        <v>764</v>
      </c>
      <c r="H102" s="484" t="s">
        <v>764</v>
      </c>
      <c r="I102" s="484" t="s">
        <v>764</v>
      </c>
      <c r="J102" s="484" t="s">
        <v>764</v>
      </c>
      <c r="K102" s="484" t="s">
        <v>764</v>
      </c>
      <c r="L102" s="484" t="s">
        <v>764</v>
      </c>
      <c r="M102" s="484">
        <v>173</v>
      </c>
      <c r="N102" s="484" t="s">
        <v>764</v>
      </c>
      <c r="O102" s="484">
        <v>41</v>
      </c>
      <c r="P102" s="484" t="s">
        <v>764</v>
      </c>
      <c r="Q102" s="484" t="s">
        <v>764</v>
      </c>
      <c r="R102" s="484" t="s">
        <v>764</v>
      </c>
    </row>
    <row r="103" spans="1:18">
      <c r="A103" s="483" t="s">
        <v>780</v>
      </c>
      <c r="B103" s="483"/>
      <c r="C103" s="484" t="s">
        <v>764</v>
      </c>
      <c r="D103" s="484" t="s">
        <v>764</v>
      </c>
      <c r="E103" s="484" t="s">
        <v>764</v>
      </c>
      <c r="F103" s="484" t="s">
        <v>764</v>
      </c>
      <c r="G103" s="484" t="s">
        <v>764</v>
      </c>
      <c r="H103" s="484" t="s">
        <v>764</v>
      </c>
      <c r="I103" s="484" t="s">
        <v>764</v>
      </c>
      <c r="J103" s="484" t="s">
        <v>764</v>
      </c>
      <c r="K103" s="484">
        <v>250</v>
      </c>
      <c r="L103" s="484">
        <v>263</v>
      </c>
      <c r="M103" s="484">
        <v>173</v>
      </c>
      <c r="N103" s="484">
        <v>55</v>
      </c>
      <c r="O103" s="484" t="s">
        <v>764</v>
      </c>
      <c r="P103" s="484" t="s">
        <v>764</v>
      </c>
      <c r="Q103" s="484" t="s">
        <v>764</v>
      </c>
      <c r="R103" s="484" t="s">
        <v>764</v>
      </c>
    </row>
    <row r="104" spans="1:18">
      <c r="A104" s="483" t="s">
        <v>763</v>
      </c>
      <c r="B104" s="483"/>
      <c r="C104" s="484" t="s">
        <v>764</v>
      </c>
      <c r="D104" s="484" t="s">
        <v>764</v>
      </c>
      <c r="E104" s="484" t="s">
        <v>764</v>
      </c>
      <c r="F104" s="484" t="s">
        <v>764</v>
      </c>
      <c r="G104" s="484" t="s">
        <v>764</v>
      </c>
      <c r="H104" s="484" t="s">
        <v>764</v>
      </c>
      <c r="I104" s="484" t="s">
        <v>764</v>
      </c>
      <c r="J104" s="484">
        <v>1050</v>
      </c>
      <c r="K104" s="484">
        <v>1381</v>
      </c>
      <c r="L104" s="484">
        <v>1432</v>
      </c>
      <c r="M104" s="484">
        <v>1326</v>
      </c>
      <c r="N104" s="484" t="s">
        <v>764</v>
      </c>
      <c r="O104" s="484" t="s">
        <v>764</v>
      </c>
      <c r="P104" s="484" t="s">
        <v>764</v>
      </c>
      <c r="Q104" s="484" t="s">
        <v>764</v>
      </c>
      <c r="R104" s="484" t="s">
        <v>764</v>
      </c>
    </row>
    <row r="105" spans="1:18">
      <c r="A105" s="483" t="s">
        <v>765</v>
      </c>
      <c r="B105" s="483"/>
      <c r="C105" s="484" t="s">
        <v>764</v>
      </c>
      <c r="D105" s="484" t="s">
        <v>764</v>
      </c>
      <c r="E105" s="484" t="s">
        <v>764</v>
      </c>
      <c r="F105" s="484" t="s">
        <v>764</v>
      </c>
      <c r="G105" s="484" t="s">
        <v>764</v>
      </c>
      <c r="H105" s="484" t="s">
        <v>764</v>
      </c>
      <c r="I105" s="484" t="s">
        <v>764</v>
      </c>
      <c r="J105" s="484">
        <v>182</v>
      </c>
      <c r="K105" s="484">
        <v>250</v>
      </c>
      <c r="L105" s="484">
        <v>260</v>
      </c>
      <c r="M105" s="484">
        <v>172</v>
      </c>
      <c r="N105" s="484" t="s">
        <v>764</v>
      </c>
      <c r="O105" s="484" t="s">
        <v>764</v>
      </c>
      <c r="P105" s="484" t="s">
        <v>764</v>
      </c>
      <c r="Q105" s="484" t="s">
        <v>764</v>
      </c>
      <c r="R105" s="484" t="s">
        <v>764</v>
      </c>
    </row>
    <row r="106" spans="1:18">
      <c r="A106" s="483" t="s">
        <v>766</v>
      </c>
      <c r="B106" s="483"/>
      <c r="C106" s="484" t="s">
        <v>764</v>
      </c>
      <c r="D106" s="484" t="s">
        <v>764</v>
      </c>
      <c r="E106" s="484" t="s">
        <v>764</v>
      </c>
      <c r="F106" s="484" t="s">
        <v>764</v>
      </c>
      <c r="G106" s="484" t="s">
        <v>764</v>
      </c>
      <c r="H106" s="484" t="s">
        <v>764</v>
      </c>
      <c r="I106" s="484" t="s">
        <v>764</v>
      </c>
      <c r="J106" s="484" t="s">
        <v>764</v>
      </c>
      <c r="K106" s="484">
        <v>1011</v>
      </c>
      <c r="L106" s="484">
        <v>1088</v>
      </c>
      <c r="M106" s="484">
        <v>996</v>
      </c>
      <c r="N106" s="484" t="s">
        <v>764</v>
      </c>
      <c r="O106" s="484" t="s">
        <v>764</v>
      </c>
      <c r="P106" s="484" t="s">
        <v>764</v>
      </c>
      <c r="Q106" s="484" t="s">
        <v>764</v>
      </c>
      <c r="R106" s="484" t="s">
        <v>764</v>
      </c>
    </row>
    <row r="107" spans="1:18">
      <c r="A107" s="483" t="s">
        <v>767</v>
      </c>
      <c r="B107" s="483"/>
      <c r="C107" s="484" t="s">
        <v>764</v>
      </c>
      <c r="D107" s="484" t="s">
        <v>764</v>
      </c>
      <c r="E107" s="484" t="s">
        <v>764</v>
      </c>
      <c r="F107" s="484" t="s">
        <v>764</v>
      </c>
      <c r="G107" s="484" t="s">
        <v>764</v>
      </c>
      <c r="H107" s="484" t="s">
        <v>764</v>
      </c>
      <c r="I107" s="484" t="s">
        <v>764</v>
      </c>
      <c r="J107" s="484">
        <v>37</v>
      </c>
      <c r="K107" s="484">
        <v>44</v>
      </c>
      <c r="L107" s="484">
        <v>46</v>
      </c>
      <c r="M107" s="484">
        <v>45</v>
      </c>
      <c r="N107" s="484" t="s">
        <v>764</v>
      </c>
      <c r="O107" s="484" t="s">
        <v>764</v>
      </c>
      <c r="P107" s="484" t="s">
        <v>764</v>
      </c>
      <c r="Q107" s="484" t="s">
        <v>764</v>
      </c>
      <c r="R107" s="484" t="s">
        <v>764</v>
      </c>
    </row>
    <row r="108" spans="1:18">
      <c r="A108" s="483" t="s">
        <v>768</v>
      </c>
      <c r="B108" s="483"/>
      <c r="C108" s="484" t="s">
        <v>764</v>
      </c>
      <c r="D108" s="484" t="s">
        <v>764</v>
      </c>
      <c r="E108" s="484" t="s">
        <v>764</v>
      </c>
      <c r="F108" s="484" t="s">
        <v>764</v>
      </c>
      <c r="G108" s="484" t="s">
        <v>764</v>
      </c>
      <c r="H108" s="484" t="s">
        <v>764</v>
      </c>
      <c r="I108" s="484" t="s">
        <v>764</v>
      </c>
      <c r="J108" s="484">
        <v>-33</v>
      </c>
      <c r="K108" s="484">
        <v>-58</v>
      </c>
      <c r="L108" s="484">
        <v>-51</v>
      </c>
      <c r="M108" s="484">
        <v>-56</v>
      </c>
      <c r="N108" s="484" t="s">
        <v>764</v>
      </c>
      <c r="O108" s="484" t="s">
        <v>764</v>
      </c>
      <c r="P108" s="484" t="s">
        <v>764</v>
      </c>
      <c r="Q108" s="484" t="s">
        <v>764</v>
      </c>
      <c r="R108" s="484" t="s">
        <v>764</v>
      </c>
    </row>
    <row r="109" spans="1:18">
      <c r="A109" s="483" t="s">
        <v>770</v>
      </c>
      <c r="B109" s="483"/>
      <c r="C109" s="484" t="s">
        <v>764</v>
      </c>
      <c r="D109" s="484" t="s">
        <v>764</v>
      </c>
      <c r="E109" s="484" t="s">
        <v>764</v>
      </c>
      <c r="F109" s="484" t="s">
        <v>764</v>
      </c>
      <c r="G109" s="484" t="s">
        <v>764</v>
      </c>
      <c r="H109" s="484" t="s">
        <v>764</v>
      </c>
      <c r="I109" s="484" t="s">
        <v>764</v>
      </c>
      <c r="J109" s="484" t="s">
        <v>764</v>
      </c>
      <c r="K109" s="484">
        <v>32</v>
      </c>
      <c r="L109" s="484">
        <v>4</v>
      </c>
      <c r="M109" s="484">
        <v>-7</v>
      </c>
      <c r="N109" s="484" t="s">
        <v>764</v>
      </c>
      <c r="O109" s="484" t="s">
        <v>764</v>
      </c>
      <c r="P109" s="484" t="s">
        <v>764</v>
      </c>
      <c r="Q109" s="484" t="s">
        <v>764</v>
      </c>
      <c r="R109" s="484" t="s">
        <v>764</v>
      </c>
    </row>
    <row r="110" spans="1:18">
      <c r="A110" s="483" t="s">
        <v>771</v>
      </c>
      <c r="B110" s="483"/>
      <c r="C110" s="484" t="s">
        <v>764</v>
      </c>
      <c r="D110" s="484" t="s">
        <v>764</v>
      </c>
      <c r="E110" s="484" t="s">
        <v>764</v>
      </c>
      <c r="F110" s="484" t="s">
        <v>764</v>
      </c>
      <c r="G110" s="484" t="s">
        <v>764</v>
      </c>
      <c r="H110" s="484" t="s">
        <v>764</v>
      </c>
      <c r="I110" s="484" t="s">
        <v>764</v>
      </c>
      <c r="J110" s="484" t="s">
        <v>764</v>
      </c>
      <c r="K110" s="484">
        <v>37</v>
      </c>
      <c r="L110" s="484">
        <v>4</v>
      </c>
      <c r="M110" s="484">
        <v>-34</v>
      </c>
      <c r="N110" s="484" t="s">
        <v>764</v>
      </c>
      <c r="O110" s="484" t="s">
        <v>764</v>
      </c>
      <c r="P110" s="484" t="s">
        <v>764</v>
      </c>
      <c r="Q110" s="484" t="s">
        <v>764</v>
      </c>
      <c r="R110" s="484" t="s">
        <v>764</v>
      </c>
    </row>
    <row r="111" spans="1:18">
      <c r="A111" s="483" t="s">
        <v>772</v>
      </c>
      <c r="B111" s="483"/>
      <c r="C111" s="484" t="s">
        <v>764</v>
      </c>
      <c r="D111" s="484" t="s">
        <v>764</v>
      </c>
      <c r="E111" s="484" t="s">
        <v>764</v>
      </c>
      <c r="F111" s="484" t="s">
        <v>764</v>
      </c>
      <c r="G111" s="484" t="s">
        <v>764</v>
      </c>
      <c r="H111" s="484" t="s">
        <v>764</v>
      </c>
      <c r="I111" s="484" t="s">
        <v>764</v>
      </c>
      <c r="J111" s="484" t="s">
        <v>764</v>
      </c>
      <c r="K111" s="484" t="s">
        <v>764</v>
      </c>
      <c r="L111" s="484">
        <v>5</v>
      </c>
      <c r="M111" s="484">
        <v>-5</v>
      </c>
      <c r="N111" s="484" t="s">
        <v>764</v>
      </c>
      <c r="O111" s="484" t="s">
        <v>764</v>
      </c>
      <c r="P111" s="484" t="s">
        <v>764</v>
      </c>
      <c r="Q111" s="484" t="s">
        <v>764</v>
      </c>
      <c r="R111" s="484" t="s">
        <v>764</v>
      </c>
    </row>
    <row r="112" spans="1:18">
      <c r="A112" s="483" t="s">
        <v>773</v>
      </c>
      <c r="B112" s="483"/>
      <c r="C112" s="484" t="s">
        <v>764</v>
      </c>
      <c r="D112" s="484" t="s">
        <v>764</v>
      </c>
      <c r="E112" s="484" t="s">
        <v>764</v>
      </c>
      <c r="F112" s="484" t="s">
        <v>764</v>
      </c>
      <c r="G112" s="484" t="s">
        <v>764</v>
      </c>
      <c r="H112" s="484" t="s">
        <v>764</v>
      </c>
      <c r="I112" s="484" t="s">
        <v>764</v>
      </c>
      <c r="J112" s="484" t="s">
        <v>764</v>
      </c>
      <c r="K112" s="484" t="s">
        <v>764</v>
      </c>
      <c r="L112" s="484">
        <v>0</v>
      </c>
      <c r="M112" s="484">
        <v>-2</v>
      </c>
      <c r="N112" s="484" t="s">
        <v>764</v>
      </c>
      <c r="O112" s="484" t="s">
        <v>764</v>
      </c>
      <c r="P112" s="484" t="s">
        <v>764</v>
      </c>
      <c r="Q112" s="484" t="s">
        <v>764</v>
      </c>
      <c r="R112" s="484" t="s">
        <v>764</v>
      </c>
    </row>
    <row r="113" spans="1:18">
      <c r="A113" s="483" t="s">
        <v>774</v>
      </c>
      <c r="B113" s="483"/>
      <c r="C113" s="484" t="s">
        <v>764</v>
      </c>
      <c r="D113" s="484" t="s">
        <v>764</v>
      </c>
      <c r="E113" s="484" t="s">
        <v>764</v>
      </c>
      <c r="F113" s="484" t="s">
        <v>764</v>
      </c>
      <c r="G113" s="484" t="s">
        <v>764</v>
      </c>
      <c r="H113" s="484" t="s">
        <v>764</v>
      </c>
      <c r="I113" s="484" t="s">
        <v>764</v>
      </c>
      <c r="J113" s="484" t="s">
        <v>764</v>
      </c>
      <c r="K113" s="484" t="s">
        <v>764</v>
      </c>
      <c r="L113" s="484">
        <v>-1</v>
      </c>
      <c r="M113" s="484">
        <v>0</v>
      </c>
      <c r="N113" s="484" t="s">
        <v>764</v>
      </c>
      <c r="O113" s="484" t="s">
        <v>764</v>
      </c>
      <c r="P113" s="484" t="s">
        <v>764</v>
      </c>
      <c r="Q113" s="484" t="s">
        <v>764</v>
      </c>
      <c r="R113" s="484" t="s">
        <v>764</v>
      </c>
    </row>
    <row r="114" spans="1:18">
      <c r="A114" s="483" t="s">
        <v>776</v>
      </c>
      <c r="B114" s="483"/>
      <c r="C114" s="484" t="s">
        <v>764</v>
      </c>
      <c r="D114" s="484" t="s">
        <v>764</v>
      </c>
      <c r="E114" s="484" t="s">
        <v>764</v>
      </c>
      <c r="F114" s="484" t="s">
        <v>764</v>
      </c>
      <c r="G114" s="484" t="s">
        <v>764</v>
      </c>
      <c r="H114" s="484" t="s">
        <v>764</v>
      </c>
      <c r="I114" s="484" t="s">
        <v>764</v>
      </c>
      <c r="J114" s="484" t="s">
        <v>764</v>
      </c>
      <c r="K114" s="484">
        <v>124</v>
      </c>
      <c r="L114" s="484">
        <v>71</v>
      </c>
      <c r="M114" s="484">
        <v>-69</v>
      </c>
      <c r="N114" s="484" t="s">
        <v>764</v>
      </c>
      <c r="O114" s="484" t="s">
        <v>764</v>
      </c>
      <c r="P114" s="484" t="s">
        <v>764</v>
      </c>
      <c r="Q114" s="484" t="s">
        <v>764</v>
      </c>
      <c r="R114" s="484" t="s">
        <v>764</v>
      </c>
    </row>
    <row r="115" spans="1:18">
      <c r="A115" s="483" t="s">
        <v>777</v>
      </c>
      <c r="B115" s="483"/>
      <c r="C115" s="484" t="s">
        <v>764</v>
      </c>
      <c r="D115" s="484" t="s">
        <v>764</v>
      </c>
      <c r="E115" s="484" t="s">
        <v>764</v>
      </c>
      <c r="F115" s="484" t="s">
        <v>764</v>
      </c>
      <c r="G115" s="484" t="s">
        <v>764</v>
      </c>
      <c r="H115" s="484" t="s">
        <v>764</v>
      </c>
      <c r="I115" s="484" t="s">
        <v>764</v>
      </c>
      <c r="J115" s="484" t="s">
        <v>764</v>
      </c>
      <c r="K115" s="484">
        <v>198</v>
      </c>
      <c r="L115" s="484">
        <v>-5</v>
      </c>
      <c r="M115" s="484">
        <v>-30</v>
      </c>
      <c r="N115" s="484" t="s">
        <v>764</v>
      </c>
      <c r="O115" s="484" t="s">
        <v>764</v>
      </c>
      <c r="P115" s="484" t="s">
        <v>764</v>
      </c>
      <c r="Q115" s="484" t="s">
        <v>764</v>
      </c>
      <c r="R115" s="484" t="s">
        <v>764</v>
      </c>
    </row>
    <row r="116" spans="1:18">
      <c r="A116" s="483" t="s">
        <v>778</v>
      </c>
      <c r="B116" s="483"/>
      <c r="C116" s="484" t="s">
        <v>764</v>
      </c>
      <c r="D116" s="484" t="s">
        <v>764</v>
      </c>
      <c r="E116" s="484" t="s">
        <v>764</v>
      </c>
      <c r="F116" s="484" t="s">
        <v>764</v>
      </c>
      <c r="G116" s="484" t="s">
        <v>764</v>
      </c>
      <c r="H116" s="484" t="s">
        <v>764</v>
      </c>
      <c r="I116" s="484" t="s">
        <v>764</v>
      </c>
      <c r="J116" s="484" t="s">
        <v>764</v>
      </c>
      <c r="K116" s="484">
        <v>9</v>
      </c>
      <c r="L116" s="484">
        <v>-15</v>
      </c>
      <c r="M116" s="484">
        <v>-7</v>
      </c>
      <c r="N116" s="484" t="s">
        <v>764</v>
      </c>
      <c r="O116" s="484" t="s">
        <v>764</v>
      </c>
      <c r="P116" s="484" t="s">
        <v>764</v>
      </c>
      <c r="Q116" s="484" t="s">
        <v>764</v>
      </c>
      <c r="R116" s="484" t="s">
        <v>764</v>
      </c>
    </row>
    <row r="117" spans="1:18">
      <c r="A117" s="483" t="s">
        <v>779</v>
      </c>
      <c r="B117" s="483"/>
      <c r="C117" s="484" t="s">
        <v>764</v>
      </c>
      <c r="D117" s="484" t="s">
        <v>764</v>
      </c>
      <c r="E117" s="484" t="s">
        <v>764</v>
      </c>
      <c r="F117" s="484" t="s">
        <v>764</v>
      </c>
      <c r="G117" s="484" t="s">
        <v>764</v>
      </c>
      <c r="H117" s="484" t="s">
        <v>764</v>
      </c>
      <c r="I117" s="484" t="s">
        <v>764</v>
      </c>
      <c r="J117" s="484" t="s">
        <v>764</v>
      </c>
      <c r="K117" s="484">
        <v>100</v>
      </c>
      <c r="L117" s="484">
        <v>100</v>
      </c>
      <c r="M117" s="484">
        <v>100</v>
      </c>
      <c r="N117" s="484" t="s">
        <v>764</v>
      </c>
      <c r="O117" s="484" t="s">
        <v>764</v>
      </c>
      <c r="P117" s="484" t="s">
        <v>764</v>
      </c>
      <c r="Q117" s="484" t="s">
        <v>764</v>
      </c>
      <c r="R117" s="484" t="s">
        <v>764</v>
      </c>
    </row>
    <row r="118" spans="1:18">
      <c r="A118" s="483" t="s">
        <v>781</v>
      </c>
      <c r="B118" s="483"/>
      <c r="C118" s="484" t="s">
        <v>764</v>
      </c>
      <c r="D118" s="484" t="s">
        <v>764</v>
      </c>
      <c r="E118" s="484" t="s">
        <v>764</v>
      </c>
      <c r="F118" s="484" t="s">
        <v>764</v>
      </c>
      <c r="G118" s="484" t="s">
        <v>764</v>
      </c>
      <c r="H118" s="484" t="s">
        <v>764</v>
      </c>
      <c r="I118" s="484" t="s">
        <v>764</v>
      </c>
      <c r="J118" s="484">
        <v>37</v>
      </c>
      <c r="K118" s="484" t="s">
        <v>764</v>
      </c>
      <c r="L118" s="484" t="s">
        <v>764</v>
      </c>
      <c r="M118" s="484" t="s">
        <v>764</v>
      </c>
      <c r="N118" s="484" t="s">
        <v>764</v>
      </c>
      <c r="O118" s="484" t="s">
        <v>764</v>
      </c>
      <c r="P118" s="484" t="s">
        <v>764</v>
      </c>
      <c r="Q118" s="484" t="s">
        <v>764</v>
      </c>
      <c r="R118" s="484" t="s">
        <v>764</v>
      </c>
    </row>
    <row r="119" spans="1:18">
      <c r="A119" s="481" t="s">
        <v>788</v>
      </c>
      <c r="B119" s="482"/>
      <c r="C119" s="482"/>
      <c r="D119" s="482"/>
      <c r="E119" s="482"/>
      <c r="F119" s="482"/>
      <c r="G119" s="482"/>
      <c r="H119" s="482"/>
      <c r="I119" s="482"/>
      <c r="J119" s="482"/>
      <c r="K119" s="482"/>
      <c r="L119" s="482"/>
      <c r="M119" s="482"/>
      <c r="N119" s="482"/>
      <c r="O119" s="482"/>
      <c r="P119" s="482"/>
      <c r="Q119" s="482"/>
      <c r="R119" s="482"/>
    </row>
    <row r="120" spans="1:18">
      <c r="A120" s="483" t="s">
        <v>763</v>
      </c>
      <c r="B120" s="483"/>
      <c r="C120" s="484" t="s">
        <v>764</v>
      </c>
      <c r="D120" s="484" t="s">
        <v>764</v>
      </c>
      <c r="E120" s="484" t="s">
        <v>764</v>
      </c>
      <c r="F120" s="484" t="s">
        <v>764</v>
      </c>
      <c r="G120" s="484" t="s">
        <v>764</v>
      </c>
      <c r="H120" s="484" t="s">
        <v>764</v>
      </c>
      <c r="I120" s="484" t="s">
        <v>764</v>
      </c>
      <c r="J120" s="484">
        <v>1676</v>
      </c>
      <c r="K120" s="484">
        <v>2256</v>
      </c>
      <c r="L120" s="484">
        <v>2318</v>
      </c>
      <c r="M120" s="484">
        <v>2497</v>
      </c>
      <c r="N120" s="484" t="s">
        <v>764</v>
      </c>
      <c r="O120" s="484" t="s">
        <v>764</v>
      </c>
      <c r="P120" s="484" t="s">
        <v>764</v>
      </c>
      <c r="Q120" s="484" t="s">
        <v>764</v>
      </c>
      <c r="R120" s="484" t="s">
        <v>764</v>
      </c>
    </row>
    <row r="121" spans="1:18">
      <c r="A121" s="483" t="s">
        <v>765</v>
      </c>
      <c r="B121" s="483"/>
      <c r="C121" s="484" t="s">
        <v>764</v>
      </c>
      <c r="D121" s="484" t="s">
        <v>764</v>
      </c>
      <c r="E121" s="484" t="s">
        <v>764</v>
      </c>
      <c r="F121" s="484" t="s">
        <v>764</v>
      </c>
      <c r="G121" s="484" t="s">
        <v>764</v>
      </c>
      <c r="H121" s="484" t="s">
        <v>764</v>
      </c>
      <c r="I121" s="484" t="s">
        <v>764</v>
      </c>
      <c r="J121" s="484">
        <v>170</v>
      </c>
      <c r="K121" s="484">
        <v>204</v>
      </c>
      <c r="L121" s="484">
        <v>288</v>
      </c>
      <c r="M121" s="484">
        <v>363</v>
      </c>
      <c r="N121" s="484" t="s">
        <v>764</v>
      </c>
      <c r="O121" s="484" t="s">
        <v>764</v>
      </c>
      <c r="P121" s="484" t="s">
        <v>764</v>
      </c>
      <c r="Q121" s="484" t="s">
        <v>764</v>
      </c>
      <c r="R121" s="484" t="s">
        <v>764</v>
      </c>
    </row>
    <row r="122" spans="1:18">
      <c r="A122" s="483" t="s">
        <v>766</v>
      </c>
      <c r="B122" s="483"/>
      <c r="C122" s="484" t="s">
        <v>764</v>
      </c>
      <c r="D122" s="484" t="s">
        <v>764</v>
      </c>
      <c r="E122" s="484" t="s">
        <v>764</v>
      </c>
      <c r="F122" s="484" t="s">
        <v>764</v>
      </c>
      <c r="G122" s="484" t="s">
        <v>764</v>
      </c>
      <c r="H122" s="484" t="s">
        <v>764</v>
      </c>
      <c r="I122" s="484" t="s">
        <v>764</v>
      </c>
      <c r="J122" s="484" t="s">
        <v>764</v>
      </c>
      <c r="K122" s="484">
        <v>997</v>
      </c>
      <c r="L122" s="484">
        <v>1987</v>
      </c>
      <c r="M122" s="484">
        <v>2054</v>
      </c>
      <c r="N122" s="484" t="s">
        <v>764</v>
      </c>
      <c r="O122" s="484" t="s">
        <v>764</v>
      </c>
      <c r="P122" s="484" t="s">
        <v>764</v>
      </c>
      <c r="Q122" s="484" t="s">
        <v>764</v>
      </c>
      <c r="R122" s="484" t="s">
        <v>764</v>
      </c>
    </row>
    <row r="123" spans="1:18">
      <c r="A123" s="483" t="s">
        <v>767</v>
      </c>
      <c r="B123" s="483"/>
      <c r="C123" s="484" t="s">
        <v>764</v>
      </c>
      <c r="D123" s="484" t="s">
        <v>764</v>
      </c>
      <c r="E123" s="484" t="s">
        <v>764</v>
      </c>
      <c r="F123" s="484" t="s">
        <v>764</v>
      </c>
      <c r="G123" s="484" t="s">
        <v>764</v>
      </c>
      <c r="H123" s="484" t="s">
        <v>764</v>
      </c>
      <c r="I123" s="484" t="s">
        <v>764</v>
      </c>
      <c r="J123" s="484">
        <v>52</v>
      </c>
      <c r="K123" s="484">
        <v>60</v>
      </c>
      <c r="L123" s="484">
        <v>72</v>
      </c>
      <c r="M123" s="484">
        <v>80</v>
      </c>
      <c r="N123" s="484" t="s">
        <v>764</v>
      </c>
      <c r="O123" s="484" t="s">
        <v>764</v>
      </c>
      <c r="P123" s="484" t="s">
        <v>764</v>
      </c>
      <c r="Q123" s="484" t="s">
        <v>764</v>
      </c>
      <c r="R123" s="484" t="s">
        <v>764</v>
      </c>
    </row>
    <row r="124" spans="1:18">
      <c r="A124" s="483" t="s">
        <v>768</v>
      </c>
      <c r="B124" s="483"/>
      <c r="C124" s="484" t="s">
        <v>764</v>
      </c>
      <c r="D124" s="484" t="s">
        <v>764</v>
      </c>
      <c r="E124" s="484" t="s">
        <v>764</v>
      </c>
      <c r="F124" s="484" t="s">
        <v>764</v>
      </c>
      <c r="G124" s="484" t="s">
        <v>764</v>
      </c>
      <c r="H124" s="484" t="s">
        <v>764</v>
      </c>
      <c r="I124" s="484" t="s">
        <v>764</v>
      </c>
      <c r="J124" s="484">
        <v>-43</v>
      </c>
      <c r="K124" s="484">
        <v>-79</v>
      </c>
      <c r="L124" s="484">
        <v>-128</v>
      </c>
      <c r="M124" s="484">
        <v>-113</v>
      </c>
      <c r="N124" s="484" t="s">
        <v>764</v>
      </c>
      <c r="O124" s="484" t="s">
        <v>764</v>
      </c>
      <c r="P124" s="484" t="s">
        <v>764</v>
      </c>
      <c r="Q124" s="484" t="s">
        <v>764</v>
      </c>
      <c r="R124" s="484" t="s">
        <v>764</v>
      </c>
    </row>
    <row r="125" spans="1:18">
      <c r="A125" s="483" t="s">
        <v>769</v>
      </c>
      <c r="B125" s="483"/>
      <c r="C125" s="484" t="s">
        <v>764</v>
      </c>
      <c r="D125" s="484" t="s">
        <v>764</v>
      </c>
      <c r="E125" s="484" t="s">
        <v>764</v>
      </c>
      <c r="F125" s="484" t="s">
        <v>764</v>
      </c>
      <c r="G125" s="484" t="s">
        <v>764</v>
      </c>
      <c r="H125" s="484" t="s">
        <v>764</v>
      </c>
      <c r="I125" s="484" t="s">
        <v>764</v>
      </c>
      <c r="J125" s="484">
        <v>56</v>
      </c>
      <c r="K125" s="484">
        <v>56</v>
      </c>
      <c r="L125" s="484">
        <v>519</v>
      </c>
      <c r="M125" s="484">
        <v>514</v>
      </c>
      <c r="N125" s="484" t="s">
        <v>764</v>
      </c>
      <c r="O125" s="484" t="s">
        <v>764</v>
      </c>
      <c r="P125" s="484" t="s">
        <v>764</v>
      </c>
      <c r="Q125" s="484" t="s">
        <v>764</v>
      </c>
      <c r="R125" s="484" t="s">
        <v>764</v>
      </c>
    </row>
    <row r="126" spans="1:18">
      <c r="A126" s="483" t="s">
        <v>770</v>
      </c>
      <c r="B126" s="483"/>
      <c r="C126" s="484" t="s">
        <v>764</v>
      </c>
      <c r="D126" s="484" t="s">
        <v>764</v>
      </c>
      <c r="E126" s="484" t="s">
        <v>764</v>
      </c>
      <c r="F126" s="484" t="s">
        <v>764</v>
      </c>
      <c r="G126" s="484" t="s">
        <v>764</v>
      </c>
      <c r="H126" s="484" t="s">
        <v>764</v>
      </c>
      <c r="I126" s="484" t="s">
        <v>764</v>
      </c>
      <c r="J126" s="484" t="s">
        <v>764</v>
      </c>
      <c r="K126" s="484">
        <v>35</v>
      </c>
      <c r="L126" s="484">
        <v>3</v>
      </c>
      <c r="M126" s="484">
        <v>8</v>
      </c>
      <c r="N126" s="484" t="s">
        <v>764</v>
      </c>
      <c r="O126" s="484" t="s">
        <v>764</v>
      </c>
      <c r="P126" s="484" t="s">
        <v>764</v>
      </c>
      <c r="Q126" s="484" t="s">
        <v>764</v>
      </c>
      <c r="R126" s="484" t="s">
        <v>764</v>
      </c>
    </row>
    <row r="127" spans="1:18">
      <c r="A127" s="483" t="s">
        <v>771</v>
      </c>
      <c r="B127" s="483"/>
      <c r="C127" s="484" t="s">
        <v>764</v>
      </c>
      <c r="D127" s="484" t="s">
        <v>764</v>
      </c>
      <c r="E127" s="484" t="s">
        <v>764</v>
      </c>
      <c r="F127" s="484" t="s">
        <v>764</v>
      </c>
      <c r="G127" s="484" t="s">
        <v>764</v>
      </c>
      <c r="H127" s="484" t="s">
        <v>764</v>
      </c>
      <c r="I127" s="484" t="s">
        <v>764</v>
      </c>
      <c r="J127" s="484" t="s">
        <v>764</v>
      </c>
      <c r="K127" s="484">
        <v>20</v>
      </c>
      <c r="L127" s="484">
        <v>41</v>
      </c>
      <c r="M127" s="484">
        <v>26</v>
      </c>
      <c r="N127" s="484" t="s">
        <v>764</v>
      </c>
      <c r="O127" s="484" t="s">
        <v>764</v>
      </c>
      <c r="P127" s="484" t="s">
        <v>764</v>
      </c>
      <c r="Q127" s="484" t="s">
        <v>764</v>
      </c>
      <c r="R127" s="484" t="s">
        <v>764</v>
      </c>
    </row>
    <row r="128" spans="1:18">
      <c r="A128" s="483" t="s">
        <v>772</v>
      </c>
      <c r="B128" s="483"/>
      <c r="C128" s="484" t="s">
        <v>764</v>
      </c>
      <c r="D128" s="484" t="s">
        <v>764</v>
      </c>
      <c r="E128" s="484" t="s">
        <v>764</v>
      </c>
      <c r="F128" s="484" t="s">
        <v>764</v>
      </c>
      <c r="G128" s="484" t="s">
        <v>764</v>
      </c>
      <c r="H128" s="484" t="s">
        <v>764</v>
      </c>
      <c r="I128" s="484" t="s">
        <v>764</v>
      </c>
      <c r="J128" s="484" t="s">
        <v>764</v>
      </c>
      <c r="K128" s="484" t="s">
        <v>764</v>
      </c>
      <c r="L128" s="484">
        <v>7</v>
      </c>
      <c r="M128" s="484">
        <v>9</v>
      </c>
      <c r="N128" s="484" t="s">
        <v>764</v>
      </c>
      <c r="O128" s="484" t="s">
        <v>764</v>
      </c>
      <c r="P128" s="484" t="s">
        <v>764</v>
      </c>
      <c r="Q128" s="484" t="s">
        <v>764</v>
      </c>
      <c r="R128" s="484" t="s">
        <v>764</v>
      </c>
    </row>
    <row r="129" spans="1:18">
      <c r="A129" s="483" t="s">
        <v>773</v>
      </c>
      <c r="B129" s="483"/>
      <c r="C129" s="484" t="s">
        <v>764</v>
      </c>
      <c r="D129" s="484" t="s">
        <v>764</v>
      </c>
      <c r="E129" s="484" t="s">
        <v>764</v>
      </c>
      <c r="F129" s="484" t="s">
        <v>764</v>
      </c>
      <c r="G129" s="484" t="s">
        <v>764</v>
      </c>
      <c r="H129" s="484" t="s">
        <v>764</v>
      </c>
      <c r="I129" s="484" t="s">
        <v>764</v>
      </c>
      <c r="J129" s="484" t="s">
        <v>764</v>
      </c>
      <c r="K129" s="484" t="s">
        <v>764</v>
      </c>
      <c r="L129" s="484">
        <v>-4</v>
      </c>
      <c r="M129" s="484">
        <v>-1</v>
      </c>
      <c r="N129" s="484" t="s">
        <v>764</v>
      </c>
      <c r="O129" s="484" t="s">
        <v>764</v>
      </c>
      <c r="P129" s="484" t="s">
        <v>764</v>
      </c>
      <c r="Q129" s="484" t="s">
        <v>764</v>
      </c>
      <c r="R129" s="484" t="s">
        <v>764</v>
      </c>
    </row>
    <row r="130" spans="1:18">
      <c r="A130" s="483" t="s">
        <v>774</v>
      </c>
      <c r="B130" s="483"/>
      <c r="C130" s="484" t="s">
        <v>764</v>
      </c>
      <c r="D130" s="484" t="s">
        <v>764</v>
      </c>
      <c r="E130" s="484" t="s">
        <v>764</v>
      </c>
      <c r="F130" s="484" t="s">
        <v>764</v>
      </c>
      <c r="G130" s="484" t="s">
        <v>764</v>
      </c>
      <c r="H130" s="484" t="s">
        <v>764</v>
      </c>
      <c r="I130" s="484" t="s">
        <v>764</v>
      </c>
      <c r="J130" s="484" t="s">
        <v>764</v>
      </c>
      <c r="K130" s="484" t="s">
        <v>764</v>
      </c>
      <c r="L130" s="484">
        <v>0</v>
      </c>
      <c r="M130" s="484">
        <v>0</v>
      </c>
      <c r="N130" s="484" t="s">
        <v>764</v>
      </c>
      <c r="O130" s="484" t="s">
        <v>764</v>
      </c>
      <c r="P130" s="484" t="s">
        <v>764</v>
      </c>
      <c r="Q130" s="484" t="s">
        <v>764</v>
      </c>
      <c r="R130" s="484" t="s">
        <v>764</v>
      </c>
    </row>
    <row r="131" spans="1:18">
      <c r="A131" s="483" t="s">
        <v>775</v>
      </c>
      <c r="B131" s="483"/>
      <c r="C131" s="484" t="s">
        <v>764</v>
      </c>
      <c r="D131" s="484" t="s">
        <v>764</v>
      </c>
      <c r="E131" s="484" t="s">
        <v>764</v>
      </c>
      <c r="F131" s="484" t="s">
        <v>764</v>
      </c>
      <c r="G131" s="484" t="s">
        <v>764</v>
      </c>
      <c r="H131" s="484" t="s">
        <v>764</v>
      </c>
      <c r="I131" s="484" t="s">
        <v>764</v>
      </c>
      <c r="J131" s="484" t="s">
        <v>764</v>
      </c>
      <c r="K131" s="484" t="s">
        <v>764</v>
      </c>
      <c r="L131" s="484" t="s">
        <v>764</v>
      </c>
      <c r="M131" s="484">
        <v>364</v>
      </c>
      <c r="N131" s="484" t="s">
        <v>764</v>
      </c>
      <c r="O131" s="484" t="s">
        <v>764</v>
      </c>
      <c r="P131" s="484" t="s">
        <v>764</v>
      </c>
      <c r="Q131" s="484" t="s">
        <v>764</v>
      </c>
      <c r="R131" s="484" t="s">
        <v>764</v>
      </c>
    </row>
    <row r="132" spans="1:18">
      <c r="A132" s="483" t="s">
        <v>776</v>
      </c>
      <c r="B132" s="483"/>
      <c r="C132" s="484" t="s">
        <v>764</v>
      </c>
      <c r="D132" s="484" t="s">
        <v>764</v>
      </c>
      <c r="E132" s="484" t="s">
        <v>764</v>
      </c>
      <c r="F132" s="484" t="s">
        <v>764</v>
      </c>
      <c r="G132" s="484" t="s">
        <v>764</v>
      </c>
      <c r="H132" s="484" t="s">
        <v>764</v>
      </c>
      <c r="I132" s="484" t="s">
        <v>764</v>
      </c>
      <c r="J132" s="484" t="s">
        <v>764</v>
      </c>
      <c r="K132" s="484">
        <v>258</v>
      </c>
      <c r="L132" s="484">
        <v>166</v>
      </c>
      <c r="M132" s="484">
        <v>197</v>
      </c>
      <c r="N132" s="484" t="s">
        <v>764</v>
      </c>
      <c r="O132" s="484" t="s">
        <v>764</v>
      </c>
      <c r="P132" s="484" t="s">
        <v>764</v>
      </c>
      <c r="Q132" s="484" t="s">
        <v>764</v>
      </c>
      <c r="R132" s="484" t="s">
        <v>764</v>
      </c>
    </row>
    <row r="133" spans="1:18">
      <c r="A133" s="483" t="s">
        <v>777</v>
      </c>
      <c r="B133" s="483"/>
      <c r="C133" s="484" t="s">
        <v>764</v>
      </c>
      <c r="D133" s="484" t="s">
        <v>764</v>
      </c>
      <c r="E133" s="484" t="s">
        <v>764</v>
      </c>
      <c r="F133" s="484" t="s">
        <v>764</v>
      </c>
      <c r="G133" s="484" t="s">
        <v>764</v>
      </c>
      <c r="H133" s="484" t="s">
        <v>764</v>
      </c>
      <c r="I133" s="484" t="s">
        <v>764</v>
      </c>
      <c r="J133" s="484" t="s">
        <v>764</v>
      </c>
      <c r="K133" s="484">
        <v>318</v>
      </c>
      <c r="L133" s="484">
        <v>-96</v>
      </c>
      <c r="M133" s="484">
        <v>-16</v>
      </c>
      <c r="N133" s="484" t="s">
        <v>764</v>
      </c>
      <c r="O133" s="484" t="s">
        <v>764</v>
      </c>
      <c r="P133" s="484" t="s">
        <v>764</v>
      </c>
      <c r="Q133" s="484" t="s">
        <v>764</v>
      </c>
      <c r="R133" s="484" t="s">
        <v>764</v>
      </c>
    </row>
    <row r="134" spans="1:18">
      <c r="A134" s="483" t="s">
        <v>778</v>
      </c>
      <c r="B134" s="483"/>
      <c r="C134" s="484" t="s">
        <v>764</v>
      </c>
      <c r="D134" s="484" t="s">
        <v>764</v>
      </c>
      <c r="E134" s="484" t="s">
        <v>764</v>
      </c>
      <c r="F134" s="484" t="s">
        <v>764</v>
      </c>
      <c r="G134" s="484" t="s">
        <v>764</v>
      </c>
      <c r="H134" s="484" t="s">
        <v>764</v>
      </c>
      <c r="I134" s="484" t="s">
        <v>764</v>
      </c>
      <c r="J134" s="484" t="s">
        <v>764</v>
      </c>
      <c r="K134" s="484">
        <v>4</v>
      </c>
      <c r="L134" s="484">
        <v>-8</v>
      </c>
      <c r="M134" s="484">
        <v>-2</v>
      </c>
      <c r="N134" s="484" t="s">
        <v>764</v>
      </c>
      <c r="O134" s="484" t="s">
        <v>764</v>
      </c>
      <c r="P134" s="484" t="s">
        <v>764</v>
      </c>
      <c r="Q134" s="484" t="s">
        <v>764</v>
      </c>
      <c r="R134" s="484" t="s">
        <v>764</v>
      </c>
    </row>
    <row r="135" spans="1:18">
      <c r="A135" s="483" t="s">
        <v>780</v>
      </c>
      <c r="B135" s="483"/>
      <c r="C135" s="484" t="s">
        <v>764</v>
      </c>
      <c r="D135" s="484" t="s">
        <v>764</v>
      </c>
      <c r="E135" s="484" t="s">
        <v>764</v>
      </c>
      <c r="F135" s="484" t="s">
        <v>764</v>
      </c>
      <c r="G135" s="484" t="s">
        <v>764</v>
      </c>
      <c r="H135" s="484" t="s">
        <v>764</v>
      </c>
      <c r="I135" s="484" t="s">
        <v>764</v>
      </c>
      <c r="J135" s="484" t="s">
        <v>764</v>
      </c>
      <c r="K135" s="484">
        <v>211</v>
      </c>
      <c r="L135" s="484">
        <v>314</v>
      </c>
      <c r="M135" s="484">
        <v>364</v>
      </c>
      <c r="N135" s="484" t="s">
        <v>764</v>
      </c>
      <c r="O135" s="484" t="s">
        <v>764</v>
      </c>
      <c r="P135" s="484" t="s">
        <v>764</v>
      </c>
      <c r="Q135" s="484" t="s">
        <v>764</v>
      </c>
      <c r="R135" s="484" t="s">
        <v>764</v>
      </c>
    </row>
    <row r="136" spans="1:18">
      <c r="A136" s="483" t="s">
        <v>779</v>
      </c>
      <c r="B136" s="483"/>
      <c r="C136" s="484" t="s">
        <v>764</v>
      </c>
      <c r="D136" s="484" t="s">
        <v>764</v>
      </c>
      <c r="E136" s="484" t="s">
        <v>764</v>
      </c>
      <c r="F136" s="484" t="s">
        <v>764</v>
      </c>
      <c r="G136" s="484" t="s">
        <v>764</v>
      </c>
      <c r="H136" s="484" t="s">
        <v>764</v>
      </c>
      <c r="I136" s="484" t="s">
        <v>764</v>
      </c>
      <c r="J136" s="484" t="s">
        <v>764</v>
      </c>
      <c r="K136" s="484">
        <v>100</v>
      </c>
      <c r="L136" s="484">
        <v>100</v>
      </c>
      <c r="M136" s="484">
        <v>100</v>
      </c>
      <c r="N136" s="484" t="s">
        <v>764</v>
      </c>
      <c r="O136" s="484" t="s">
        <v>764</v>
      </c>
      <c r="P136" s="484" t="s">
        <v>764</v>
      </c>
      <c r="Q136" s="484" t="s">
        <v>764</v>
      </c>
      <c r="R136" s="484" t="s">
        <v>764</v>
      </c>
    </row>
    <row r="137" spans="1:18">
      <c r="A137" s="483" t="s">
        <v>781</v>
      </c>
      <c r="B137" s="483"/>
      <c r="C137" s="484" t="s">
        <v>764</v>
      </c>
      <c r="D137" s="484" t="s">
        <v>764</v>
      </c>
      <c r="E137" s="484" t="s">
        <v>764</v>
      </c>
      <c r="F137" s="484" t="s">
        <v>764</v>
      </c>
      <c r="G137" s="484" t="s">
        <v>764</v>
      </c>
      <c r="H137" s="484" t="s">
        <v>764</v>
      </c>
      <c r="I137" s="484" t="s">
        <v>764</v>
      </c>
      <c r="J137" s="484">
        <v>52</v>
      </c>
      <c r="K137" s="484" t="s">
        <v>764</v>
      </c>
      <c r="L137" s="484" t="s">
        <v>764</v>
      </c>
      <c r="M137" s="484" t="s">
        <v>764</v>
      </c>
      <c r="N137" s="484" t="s">
        <v>764</v>
      </c>
      <c r="O137" s="484" t="s">
        <v>764</v>
      </c>
      <c r="P137" s="484" t="s">
        <v>764</v>
      </c>
      <c r="Q137" s="484" t="s">
        <v>764</v>
      </c>
      <c r="R137" s="484" t="s">
        <v>764</v>
      </c>
    </row>
    <row r="138" spans="1:18">
      <c r="A138" s="481" t="s">
        <v>789</v>
      </c>
      <c r="B138" s="482"/>
      <c r="C138" s="482"/>
      <c r="D138" s="482"/>
      <c r="E138" s="482"/>
      <c r="F138" s="482"/>
      <c r="G138" s="482"/>
      <c r="H138" s="482"/>
      <c r="I138" s="482"/>
      <c r="J138" s="482"/>
      <c r="K138" s="482"/>
      <c r="L138" s="482"/>
      <c r="M138" s="482"/>
      <c r="N138" s="482"/>
      <c r="O138" s="482"/>
      <c r="P138" s="482"/>
      <c r="Q138" s="482"/>
      <c r="R138" s="482"/>
    </row>
    <row r="139" spans="1:18">
      <c r="A139" s="483" t="s">
        <v>790</v>
      </c>
      <c r="B139" s="483"/>
      <c r="C139" s="484" t="s">
        <v>764</v>
      </c>
      <c r="D139" s="484" t="s">
        <v>764</v>
      </c>
      <c r="E139" s="484" t="s">
        <v>764</v>
      </c>
      <c r="F139" s="484" t="s">
        <v>764</v>
      </c>
      <c r="G139" s="484" t="s">
        <v>764</v>
      </c>
      <c r="H139" s="484">
        <v>1267000</v>
      </c>
      <c r="I139" s="484">
        <v>1386000</v>
      </c>
      <c r="J139" s="484">
        <v>1396000</v>
      </c>
      <c r="K139" s="484" t="s">
        <v>764</v>
      </c>
      <c r="L139" s="484" t="s">
        <v>764</v>
      </c>
      <c r="M139" s="484" t="s">
        <v>764</v>
      </c>
      <c r="N139" s="484" t="s">
        <v>764</v>
      </c>
      <c r="O139" s="484" t="s">
        <v>764</v>
      </c>
      <c r="P139" s="484" t="s">
        <v>764</v>
      </c>
      <c r="Q139" s="484" t="s">
        <v>764</v>
      </c>
      <c r="R139" s="484" t="s">
        <v>764</v>
      </c>
    </row>
    <row r="140" spans="1:18">
      <c r="A140" s="481" t="s">
        <v>791</v>
      </c>
      <c r="B140" s="482"/>
      <c r="C140" s="482"/>
      <c r="D140" s="482"/>
      <c r="E140" s="482"/>
      <c r="F140" s="482"/>
      <c r="G140" s="482"/>
      <c r="H140" s="482"/>
      <c r="I140" s="482"/>
      <c r="J140" s="482"/>
      <c r="K140" s="482"/>
      <c r="L140" s="482"/>
      <c r="M140" s="482"/>
      <c r="N140" s="482"/>
      <c r="O140" s="482"/>
      <c r="P140" s="482"/>
      <c r="Q140" s="482"/>
      <c r="R140" s="482"/>
    </row>
    <row r="141" spans="1:18">
      <c r="A141" s="483" t="s">
        <v>790</v>
      </c>
      <c r="B141" s="483"/>
      <c r="C141" s="484" t="s">
        <v>764</v>
      </c>
      <c r="D141" s="484" t="s">
        <v>764</v>
      </c>
      <c r="E141" s="484" t="s">
        <v>764</v>
      </c>
      <c r="F141" s="484" t="s">
        <v>764</v>
      </c>
      <c r="G141" s="484" t="s">
        <v>764</v>
      </c>
      <c r="H141" s="484">
        <v>596000</v>
      </c>
      <c r="I141" s="484">
        <v>445000</v>
      </c>
      <c r="J141" s="484">
        <v>458000</v>
      </c>
      <c r="K141" s="484" t="s">
        <v>764</v>
      </c>
      <c r="L141" s="484" t="s">
        <v>764</v>
      </c>
      <c r="M141" s="484" t="s">
        <v>764</v>
      </c>
      <c r="N141" s="484" t="s">
        <v>764</v>
      </c>
      <c r="O141" s="484" t="s">
        <v>764</v>
      </c>
      <c r="P141" s="484" t="s">
        <v>764</v>
      </c>
      <c r="Q141" s="484" t="s">
        <v>764</v>
      </c>
      <c r="R141" s="484" t="s">
        <v>764</v>
      </c>
    </row>
    <row r="142" spans="1:18">
      <c r="A142" s="481" t="s">
        <v>792</v>
      </c>
      <c r="B142" s="482"/>
      <c r="C142" s="482"/>
      <c r="D142" s="482"/>
      <c r="E142" s="482"/>
      <c r="F142" s="482"/>
      <c r="G142" s="482"/>
      <c r="H142" s="482"/>
      <c r="I142" s="482"/>
      <c r="J142" s="482"/>
      <c r="K142" s="482"/>
      <c r="L142" s="482"/>
      <c r="M142" s="482"/>
      <c r="N142" s="482"/>
      <c r="O142" s="482"/>
      <c r="P142" s="482"/>
      <c r="Q142" s="482"/>
      <c r="R142" s="482"/>
    </row>
    <row r="143" spans="1:18">
      <c r="A143" s="483" t="s">
        <v>790</v>
      </c>
      <c r="B143" s="483"/>
      <c r="C143" s="484" t="s">
        <v>764</v>
      </c>
      <c r="D143" s="484" t="s">
        <v>764</v>
      </c>
      <c r="E143" s="484" t="s">
        <v>764</v>
      </c>
      <c r="F143" s="484" t="s">
        <v>764</v>
      </c>
      <c r="G143" s="484" t="s">
        <v>764</v>
      </c>
      <c r="H143" s="484">
        <v>403000</v>
      </c>
      <c r="I143" s="484">
        <v>405000</v>
      </c>
      <c r="J143" s="484">
        <v>414000</v>
      </c>
      <c r="K143" s="484" t="s">
        <v>764</v>
      </c>
      <c r="L143" s="484" t="s">
        <v>764</v>
      </c>
      <c r="M143" s="484" t="s">
        <v>764</v>
      </c>
      <c r="N143" s="484" t="s">
        <v>764</v>
      </c>
      <c r="O143" s="484" t="s">
        <v>764</v>
      </c>
      <c r="P143" s="484" t="s">
        <v>764</v>
      </c>
      <c r="Q143" s="484" t="s">
        <v>764</v>
      </c>
      <c r="R143" s="484" t="s">
        <v>764</v>
      </c>
    </row>
    <row r="144" spans="1:18">
      <c r="A144" s="481" t="s">
        <v>784</v>
      </c>
      <c r="B144" s="482"/>
      <c r="C144" s="482"/>
      <c r="D144" s="482"/>
      <c r="E144" s="482"/>
      <c r="F144" s="482"/>
      <c r="G144" s="482"/>
      <c r="H144" s="482"/>
      <c r="I144" s="482"/>
      <c r="J144" s="482"/>
      <c r="K144" s="482"/>
      <c r="L144" s="482"/>
      <c r="M144" s="482"/>
      <c r="N144" s="482"/>
      <c r="O144" s="482"/>
      <c r="P144" s="482"/>
      <c r="Q144" s="482"/>
      <c r="R144" s="482"/>
    </row>
    <row r="145" spans="1:18">
      <c r="A145" s="483" t="s">
        <v>790</v>
      </c>
      <c r="B145" s="483"/>
      <c r="C145" s="484" t="s">
        <v>764</v>
      </c>
      <c r="D145" s="484" t="s">
        <v>764</v>
      </c>
      <c r="E145" s="484" t="s">
        <v>764</v>
      </c>
      <c r="F145" s="484" t="s">
        <v>764</v>
      </c>
      <c r="G145" s="484" t="s">
        <v>764</v>
      </c>
      <c r="H145" s="484">
        <v>205000</v>
      </c>
      <c r="I145" s="484">
        <v>205000</v>
      </c>
      <c r="J145" s="484">
        <v>232000</v>
      </c>
      <c r="K145" s="484" t="s">
        <v>764</v>
      </c>
      <c r="L145" s="484" t="s">
        <v>764</v>
      </c>
      <c r="M145" s="484" t="s">
        <v>764</v>
      </c>
      <c r="N145" s="484" t="s">
        <v>764</v>
      </c>
      <c r="O145" s="484" t="s">
        <v>764</v>
      </c>
      <c r="P145" s="484" t="s">
        <v>764</v>
      </c>
      <c r="Q145" s="484" t="s">
        <v>764</v>
      </c>
      <c r="R145" s="484" t="s">
        <v>764</v>
      </c>
    </row>
    <row r="146" spans="1:18">
      <c r="A146" s="481" t="s">
        <v>793</v>
      </c>
      <c r="B146" s="482"/>
      <c r="C146" s="482"/>
      <c r="D146" s="482"/>
      <c r="E146" s="482"/>
      <c r="F146" s="482"/>
      <c r="G146" s="482"/>
      <c r="H146" s="482"/>
      <c r="I146" s="482"/>
      <c r="J146" s="482"/>
      <c r="K146" s="482"/>
      <c r="L146" s="482"/>
      <c r="M146" s="482"/>
      <c r="N146" s="482"/>
      <c r="O146" s="482"/>
      <c r="P146" s="482"/>
      <c r="Q146" s="482"/>
      <c r="R146" s="482"/>
    </row>
    <row r="147" spans="1:18">
      <c r="A147" s="483" t="s">
        <v>790</v>
      </c>
      <c r="B147" s="483"/>
      <c r="C147" s="484" t="s">
        <v>764</v>
      </c>
      <c r="D147" s="484" t="s">
        <v>764</v>
      </c>
      <c r="E147" s="484" t="s">
        <v>764</v>
      </c>
      <c r="F147" s="484" t="s">
        <v>764</v>
      </c>
      <c r="G147" s="484" t="s">
        <v>764</v>
      </c>
      <c r="H147" s="484">
        <v>262000</v>
      </c>
      <c r="I147" s="484">
        <v>186000</v>
      </c>
      <c r="J147" s="484">
        <v>178000</v>
      </c>
      <c r="K147" s="484" t="s">
        <v>764</v>
      </c>
      <c r="L147" s="484" t="s">
        <v>764</v>
      </c>
      <c r="M147" s="484" t="s">
        <v>764</v>
      </c>
      <c r="N147" s="484" t="s">
        <v>764</v>
      </c>
      <c r="O147" s="484" t="s">
        <v>764</v>
      </c>
      <c r="P147" s="484" t="s">
        <v>764</v>
      </c>
      <c r="Q147" s="484" t="s">
        <v>764</v>
      </c>
      <c r="R147" s="484" t="s">
        <v>764</v>
      </c>
    </row>
    <row r="148" spans="1:18">
      <c r="A148" s="481" t="s">
        <v>794</v>
      </c>
      <c r="B148" s="482"/>
      <c r="C148" s="482"/>
      <c r="D148" s="482"/>
      <c r="E148" s="482"/>
      <c r="F148" s="482"/>
      <c r="G148" s="482"/>
      <c r="H148" s="482"/>
      <c r="I148" s="482"/>
      <c r="J148" s="482"/>
      <c r="K148" s="482"/>
      <c r="L148" s="482"/>
      <c r="M148" s="482"/>
      <c r="N148" s="482"/>
      <c r="O148" s="482"/>
      <c r="P148" s="482"/>
      <c r="Q148" s="482"/>
      <c r="R148" s="482"/>
    </row>
    <row r="149" spans="1:18">
      <c r="A149" s="483" t="s">
        <v>790</v>
      </c>
      <c r="B149" s="483"/>
      <c r="C149" s="484" t="s">
        <v>764</v>
      </c>
      <c r="D149" s="484" t="s">
        <v>764</v>
      </c>
      <c r="E149" s="484" t="s">
        <v>764</v>
      </c>
      <c r="F149" s="484" t="s">
        <v>764</v>
      </c>
      <c r="G149" s="484" t="s">
        <v>764</v>
      </c>
      <c r="H149" s="484">
        <v>118000</v>
      </c>
      <c r="I149" s="484">
        <v>119000</v>
      </c>
      <c r="J149" s="484">
        <v>130000</v>
      </c>
      <c r="K149" s="484" t="s">
        <v>764</v>
      </c>
      <c r="L149" s="484" t="s">
        <v>764</v>
      </c>
      <c r="M149" s="484" t="s">
        <v>764</v>
      </c>
      <c r="N149" s="484" t="s">
        <v>764</v>
      </c>
      <c r="O149" s="484" t="s">
        <v>764</v>
      </c>
      <c r="P149" s="484" t="s">
        <v>764</v>
      </c>
      <c r="Q149" s="484" t="s">
        <v>764</v>
      </c>
      <c r="R149" s="484" t="s">
        <v>764</v>
      </c>
    </row>
    <row r="150" spans="1:18">
      <c r="A150" s="481" t="s">
        <v>795</v>
      </c>
      <c r="B150" s="482"/>
      <c r="C150" s="482"/>
      <c r="D150" s="482"/>
      <c r="E150" s="482"/>
      <c r="F150" s="482"/>
      <c r="G150" s="482"/>
      <c r="H150" s="482"/>
      <c r="I150" s="482"/>
      <c r="J150" s="482"/>
      <c r="K150" s="482"/>
      <c r="L150" s="482"/>
      <c r="M150" s="482"/>
      <c r="N150" s="482"/>
      <c r="O150" s="482"/>
      <c r="P150" s="482"/>
      <c r="Q150" s="482"/>
      <c r="R150" s="482"/>
    </row>
    <row r="151" spans="1:18">
      <c r="A151" s="483" t="s">
        <v>763</v>
      </c>
      <c r="B151" s="483"/>
      <c r="C151" s="484">
        <v>5800</v>
      </c>
      <c r="D151" s="484">
        <v>6459</v>
      </c>
      <c r="E151" s="484">
        <v>7032</v>
      </c>
      <c r="F151" s="484">
        <v>6779</v>
      </c>
      <c r="G151" s="484">
        <v>6830</v>
      </c>
      <c r="H151" s="484">
        <v>6726</v>
      </c>
      <c r="I151" s="484">
        <v>4396</v>
      </c>
      <c r="J151" s="484" t="s">
        <v>764</v>
      </c>
      <c r="K151" s="484" t="s">
        <v>764</v>
      </c>
      <c r="L151" s="484" t="s">
        <v>764</v>
      </c>
      <c r="M151" s="484" t="s">
        <v>764</v>
      </c>
      <c r="N151" s="484" t="s">
        <v>764</v>
      </c>
      <c r="O151" s="484" t="s">
        <v>764</v>
      </c>
      <c r="P151" s="484" t="s">
        <v>764</v>
      </c>
      <c r="Q151" s="484" t="s">
        <v>764</v>
      </c>
      <c r="R151" s="484" t="s">
        <v>764</v>
      </c>
    </row>
    <row r="152" spans="1:18">
      <c r="A152" s="483" t="s">
        <v>765</v>
      </c>
      <c r="B152" s="483"/>
      <c r="C152" s="484">
        <v>-267</v>
      </c>
      <c r="D152" s="484">
        <v>175</v>
      </c>
      <c r="E152" s="484">
        <v>810</v>
      </c>
      <c r="F152" s="484">
        <v>654</v>
      </c>
      <c r="G152" s="484">
        <v>504</v>
      </c>
      <c r="H152" s="484">
        <v>519</v>
      </c>
      <c r="I152" s="484">
        <v>345</v>
      </c>
      <c r="J152" s="484" t="s">
        <v>764</v>
      </c>
      <c r="K152" s="484" t="s">
        <v>764</v>
      </c>
      <c r="L152" s="484" t="s">
        <v>764</v>
      </c>
      <c r="M152" s="484" t="s">
        <v>764</v>
      </c>
      <c r="N152" s="484" t="s">
        <v>764</v>
      </c>
      <c r="O152" s="484" t="s">
        <v>764</v>
      </c>
      <c r="P152" s="484" t="s">
        <v>764</v>
      </c>
      <c r="Q152" s="484" t="s">
        <v>764</v>
      </c>
      <c r="R152" s="484" t="s">
        <v>764</v>
      </c>
    </row>
    <row r="153" spans="1:18">
      <c r="A153" s="483" t="s">
        <v>766</v>
      </c>
      <c r="B153" s="483"/>
      <c r="C153" s="484">
        <v>6230</v>
      </c>
      <c r="D153" s="484">
        <v>5872</v>
      </c>
      <c r="E153" s="484">
        <v>4708</v>
      </c>
      <c r="F153" s="484">
        <v>4734</v>
      </c>
      <c r="G153" s="484">
        <v>4217</v>
      </c>
      <c r="H153" s="484">
        <v>4196</v>
      </c>
      <c r="I153" s="484">
        <v>4168</v>
      </c>
      <c r="J153" s="484" t="s">
        <v>764</v>
      </c>
      <c r="K153" s="484" t="s">
        <v>764</v>
      </c>
      <c r="L153" s="484" t="s">
        <v>764</v>
      </c>
      <c r="M153" s="484" t="s">
        <v>764</v>
      </c>
      <c r="N153" s="484" t="s">
        <v>764</v>
      </c>
      <c r="O153" s="484" t="s">
        <v>764</v>
      </c>
      <c r="P153" s="484" t="s">
        <v>764</v>
      </c>
      <c r="Q153" s="484" t="s">
        <v>764</v>
      </c>
      <c r="R153" s="484" t="s">
        <v>764</v>
      </c>
    </row>
    <row r="154" spans="1:18">
      <c r="A154" s="483" t="s">
        <v>768</v>
      </c>
      <c r="B154" s="483"/>
      <c r="C154" s="484">
        <v>-230</v>
      </c>
      <c r="D154" s="484">
        <v>-248</v>
      </c>
      <c r="E154" s="484">
        <v>-343</v>
      </c>
      <c r="F154" s="484">
        <v>-389</v>
      </c>
      <c r="G154" s="484">
        <v>-518</v>
      </c>
      <c r="H154" s="484">
        <v>-650</v>
      </c>
      <c r="I154" s="484">
        <v>-310</v>
      </c>
      <c r="J154" s="484" t="s">
        <v>764</v>
      </c>
      <c r="K154" s="484" t="s">
        <v>764</v>
      </c>
      <c r="L154" s="484" t="s">
        <v>764</v>
      </c>
      <c r="M154" s="484" t="s">
        <v>764</v>
      </c>
      <c r="N154" s="484" t="s">
        <v>764</v>
      </c>
      <c r="O154" s="484" t="s">
        <v>764</v>
      </c>
      <c r="P154" s="484" t="s">
        <v>764</v>
      </c>
      <c r="Q154" s="484" t="s">
        <v>764</v>
      </c>
      <c r="R154" s="484" t="s">
        <v>764</v>
      </c>
    </row>
    <row r="155" spans="1:18">
      <c r="A155" s="483" t="s">
        <v>769</v>
      </c>
      <c r="B155" s="483"/>
      <c r="C155" s="484">
        <v>306</v>
      </c>
      <c r="D155" s="484">
        <v>308</v>
      </c>
      <c r="E155" s="484">
        <v>306</v>
      </c>
      <c r="F155" s="484">
        <v>314</v>
      </c>
      <c r="G155" s="484">
        <v>316</v>
      </c>
      <c r="H155" s="484">
        <v>325</v>
      </c>
      <c r="I155" s="484">
        <v>315</v>
      </c>
      <c r="J155" s="484" t="s">
        <v>764</v>
      </c>
      <c r="K155" s="484" t="s">
        <v>764</v>
      </c>
      <c r="L155" s="484" t="s">
        <v>764</v>
      </c>
      <c r="M155" s="484" t="s">
        <v>764</v>
      </c>
      <c r="N155" s="484" t="s">
        <v>764</v>
      </c>
      <c r="O155" s="484" t="s">
        <v>764</v>
      </c>
      <c r="P155" s="484" t="s">
        <v>764</v>
      </c>
      <c r="Q155" s="484" t="s">
        <v>764</v>
      </c>
      <c r="R155" s="484" t="s">
        <v>764</v>
      </c>
    </row>
    <row r="156" spans="1:18">
      <c r="A156" s="483" t="s">
        <v>781</v>
      </c>
      <c r="B156" s="483"/>
      <c r="C156" s="484">
        <v>334</v>
      </c>
      <c r="D156" s="484">
        <v>187</v>
      </c>
      <c r="E156" s="484">
        <v>287</v>
      </c>
      <c r="F156" s="484">
        <v>294</v>
      </c>
      <c r="G156" s="484">
        <v>313</v>
      </c>
      <c r="H156" s="484">
        <v>256</v>
      </c>
      <c r="I156" s="484">
        <v>227</v>
      </c>
      <c r="J156" s="484" t="s">
        <v>764</v>
      </c>
      <c r="K156" s="484" t="s">
        <v>764</v>
      </c>
      <c r="L156" s="484" t="s">
        <v>764</v>
      </c>
      <c r="M156" s="484" t="s">
        <v>764</v>
      </c>
      <c r="N156" s="484" t="s">
        <v>764</v>
      </c>
      <c r="O156" s="484" t="s">
        <v>764</v>
      </c>
      <c r="P156" s="484" t="s">
        <v>764</v>
      </c>
      <c r="Q156" s="484" t="s">
        <v>764</v>
      </c>
      <c r="R156" s="484" t="s">
        <v>764</v>
      </c>
    </row>
    <row r="157" spans="1:18">
      <c r="A157" s="483" t="s">
        <v>770</v>
      </c>
      <c r="B157" s="483"/>
      <c r="C157" s="484">
        <v>9</v>
      </c>
      <c r="D157" s="484" t="s">
        <v>764</v>
      </c>
      <c r="E157" s="484">
        <v>7</v>
      </c>
      <c r="F157" s="484">
        <v>6</v>
      </c>
      <c r="G157" s="484">
        <v>1</v>
      </c>
      <c r="H157" s="484">
        <v>-1</v>
      </c>
      <c r="I157" s="484">
        <v>-25</v>
      </c>
      <c r="J157" s="484" t="s">
        <v>764</v>
      </c>
      <c r="K157" s="484" t="s">
        <v>764</v>
      </c>
      <c r="L157" s="484" t="s">
        <v>764</v>
      </c>
      <c r="M157" s="484" t="s">
        <v>764</v>
      </c>
      <c r="N157" s="484" t="s">
        <v>764</v>
      </c>
      <c r="O157" s="484" t="s">
        <v>764</v>
      </c>
      <c r="P157" s="484" t="s">
        <v>764</v>
      </c>
      <c r="Q157" s="484" t="s">
        <v>764</v>
      </c>
      <c r="R157" s="484" t="s">
        <v>764</v>
      </c>
    </row>
    <row r="158" spans="1:18">
      <c r="A158" s="483" t="s">
        <v>772</v>
      </c>
      <c r="B158" s="483"/>
      <c r="C158" s="484" t="s">
        <v>764</v>
      </c>
      <c r="D158" s="484" t="s">
        <v>764</v>
      </c>
      <c r="E158" s="484" t="s">
        <v>764</v>
      </c>
      <c r="F158" s="484">
        <v>1</v>
      </c>
      <c r="G158" s="484">
        <v>-3</v>
      </c>
      <c r="H158" s="484">
        <v>-11</v>
      </c>
      <c r="I158" s="484">
        <v>-13</v>
      </c>
      <c r="J158" s="484" t="s">
        <v>764</v>
      </c>
      <c r="K158" s="484" t="s">
        <v>764</v>
      </c>
      <c r="L158" s="484" t="s">
        <v>764</v>
      </c>
      <c r="M158" s="484" t="s">
        <v>764</v>
      </c>
      <c r="N158" s="484" t="s">
        <v>764</v>
      </c>
      <c r="O158" s="484" t="s">
        <v>764</v>
      </c>
      <c r="P158" s="484" t="s">
        <v>764</v>
      </c>
      <c r="Q158" s="484" t="s">
        <v>764</v>
      </c>
      <c r="R158" s="484" t="s">
        <v>764</v>
      </c>
    </row>
    <row r="159" spans="1:18">
      <c r="A159" s="483" t="s">
        <v>773</v>
      </c>
      <c r="B159" s="483"/>
      <c r="C159" s="484" t="s">
        <v>764</v>
      </c>
      <c r="D159" s="484" t="s">
        <v>764</v>
      </c>
      <c r="E159" s="484" t="s">
        <v>764</v>
      </c>
      <c r="F159" s="484">
        <v>5</v>
      </c>
      <c r="G159" s="484">
        <v>3</v>
      </c>
      <c r="H159" s="484">
        <v>9</v>
      </c>
      <c r="I159" s="484">
        <v>-12</v>
      </c>
      <c r="J159" s="484" t="s">
        <v>764</v>
      </c>
      <c r="K159" s="484" t="s">
        <v>764</v>
      </c>
      <c r="L159" s="484" t="s">
        <v>764</v>
      </c>
      <c r="M159" s="484" t="s">
        <v>764</v>
      </c>
      <c r="N159" s="484" t="s">
        <v>764</v>
      </c>
      <c r="O159" s="484" t="s">
        <v>764</v>
      </c>
      <c r="P159" s="484" t="s">
        <v>764</v>
      </c>
      <c r="Q159" s="484" t="s">
        <v>764</v>
      </c>
      <c r="R159" s="484" t="s">
        <v>764</v>
      </c>
    </row>
    <row r="160" spans="1:18">
      <c r="A160" s="483" t="s">
        <v>774</v>
      </c>
      <c r="B160" s="483"/>
      <c r="C160" s="484" t="s">
        <v>764</v>
      </c>
      <c r="D160" s="484" t="s">
        <v>764</v>
      </c>
      <c r="E160" s="484" t="s">
        <v>764</v>
      </c>
      <c r="F160" s="484">
        <v>0</v>
      </c>
      <c r="G160" s="484">
        <v>1</v>
      </c>
      <c r="H160" s="484">
        <v>1</v>
      </c>
      <c r="I160" s="484">
        <v>0</v>
      </c>
      <c r="J160" s="484" t="s">
        <v>764</v>
      </c>
      <c r="K160" s="484" t="s">
        <v>764</v>
      </c>
      <c r="L160" s="484" t="s">
        <v>764</v>
      </c>
      <c r="M160" s="484" t="s">
        <v>764</v>
      </c>
      <c r="N160" s="484" t="s">
        <v>764</v>
      </c>
      <c r="O160" s="484" t="s">
        <v>764</v>
      </c>
      <c r="P160" s="484" t="s">
        <v>764</v>
      </c>
      <c r="Q160" s="484" t="s">
        <v>764</v>
      </c>
      <c r="R160" s="484" t="s">
        <v>764</v>
      </c>
    </row>
    <row r="161" spans="1:18">
      <c r="A161" s="483" t="s">
        <v>782</v>
      </c>
      <c r="B161" s="483"/>
      <c r="C161" s="484" t="s">
        <v>764</v>
      </c>
      <c r="D161" s="484" t="s">
        <v>764</v>
      </c>
      <c r="E161" s="484" t="s">
        <v>764</v>
      </c>
      <c r="F161" s="484">
        <v>-1</v>
      </c>
      <c r="G161" s="484">
        <v>0</v>
      </c>
      <c r="H161" s="484">
        <v>0</v>
      </c>
      <c r="I161" s="484">
        <v>0</v>
      </c>
      <c r="J161" s="484" t="s">
        <v>764</v>
      </c>
      <c r="K161" s="484" t="s">
        <v>764</v>
      </c>
      <c r="L161" s="484" t="s">
        <v>764</v>
      </c>
      <c r="M161" s="484" t="s">
        <v>764</v>
      </c>
      <c r="N161" s="484" t="s">
        <v>764</v>
      </c>
      <c r="O161" s="484" t="s">
        <v>764</v>
      </c>
      <c r="P161" s="484" t="s">
        <v>764</v>
      </c>
      <c r="Q161" s="484" t="s">
        <v>764</v>
      </c>
      <c r="R161" s="484" t="s">
        <v>764</v>
      </c>
    </row>
    <row r="162" spans="1:18">
      <c r="A162" s="483" t="s">
        <v>776</v>
      </c>
      <c r="B162" s="483"/>
      <c r="C162" s="484" t="s">
        <v>764</v>
      </c>
      <c r="D162" s="484" t="s">
        <v>764</v>
      </c>
      <c r="E162" s="484" t="s">
        <v>764</v>
      </c>
      <c r="F162" s="484">
        <v>146</v>
      </c>
      <c r="G162" s="484">
        <v>-189</v>
      </c>
      <c r="H162" s="484">
        <v>-756</v>
      </c>
      <c r="I162" s="484">
        <v>-875</v>
      </c>
      <c r="J162" s="484" t="s">
        <v>764</v>
      </c>
      <c r="K162" s="484" t="s">
        <v>764</v>
      </c>
      <c r="L162" s="484" t="s">
        <v>764</v>
      </c>
      <c r="M162" s="484" t="s">
        <v>764</v>
      </c>
      <c r="N162" s="484" t="s">
        <v>764</v>
      </c>
      <c r="O162" s="484" t="s">
        <v>764</v>
      </c>
      <c r="P162" s="484" t="s">
        <v>764</v>
      </c>
      <c r="Q162" s="484" t="s">
        <v>764</v>
      </c>
      <c r="R162" s="484" t="s">
        <v>764</v>
      </c>
    </row>
    <row r="163" spans="1:18">
      <c r="A163" s="483" t="s">
        <v>777</v>
      </c>
      <c r="B163" s="483"/>
      <c r="C163" s="484" t="s">
        <v>764</v>
      </c>
      <c r="D163" s="484" t="s">
        <v>764</v>
      </c>
      <c r="E163" s="484" t="s">
        <v>764</v>
      </c>
      <c r="F163" s="484">
        <v>324</v>
      </c>
      <c r="G163" s="484">
        <v>191</v>
      </c>
      <c r="H163" s="484">
        <v>594</v>
      </c>
      <c r="I163" s="484">
        <v>-818</v>
      </c>
      <c r="J163" s="484" t="s">
        <v>764</v>
      </c>
      <c r="K163" s="484" t="s">
        <v>764</v>
      </c>
      <c r="L163" s="484" t="s">
        <v>764</v>
      </c>
      <c r="M163" s="484" t="s">
        <v>764</v>
      </c>
      <c r="N163" s="484" t="s">
        <v>764</v>
      </c>
      <c r="O163" s="484" t="s">
        <v>764</v>
      </c>
      <c r="P163" s="484" t="s">
        <v>764</v>
      </c>
      <c r="Q163" s="484" t="s">
        <v>764</v>
      </c>
      <c r="R163" s="484" t="s">
        <v>764</v>
      </c>
    </row>
    <row r="164" spans="1:18">
      <c r="A164" s="483" t="s">
        <v>778</v>
      </c>
      <c r="B164" s="483"/>
      <c r="C164" s="484" t="s">
        <v>764</v>
      </c>
      <c r="D164" s="484" t="s">
        <v>764</v>
      </c>
      <c r="E164" s="484" t="s">
        <v>764</v>
      </c>
      <c r="F164" s="484">
        <v>-34</v>
      </c>
      <c r="G164" s="484">
        <v>49</v>
      </c>
      <c r="H164" s="484">
        <v>49</v>
      </c>
      <c r="I164" s="484">
        <v>15</v>
      </c>
      <c r="J164" s="484" t="s">
        <v>764</v>
      </c>
      <c r="K164" s="484" t="s">
        <v>764</v>
      </c>
      <c r="L164" s="484" t="s">
        <v>764</v>
      </c>
      <c r="M164" s="484" t="s">
        <v>764</v>
      </c>
      <c r="N164" s="484" t="s">
        <v>764</v>
      </c>
      <c r="O164" s="484" t="s">
        <v>764</v>
      </c>
      <c r="P164" s="484" t="s">
        <v>764</v>
      </c>
      <c r="Q164" s="484" t="s">
        <v>764</v>
      </c>
      <c r="R164" s="484" t="s">
        <v>764</v>
      </c>
    </row>
    <row r="165" spans="1:18">
      <c r="A165" s="483" t="s">
        <v>783</v>
      </c>
      <c r="B165" s="483"/>
      <c r="C165" s="484" t="s">
        <v>764</v>
      </c>
      <c r="D165" s="484" t="s">
        <v>764</v>
      </c>
      <c r="E165" s="484" t="s">
        <v>764</v>
      </c>
      <c r="F165" s="484">
        <v>-49</v>
      </c>
      <c r="G165" s="484">
        <v>0</v>
      </c>
      <c r="H165" s="484">
        <v>9</v>
      </c>
      <c r="I165" s="484">
        <v>-26</v>
      </c>
      <c r="J165" s="484" t="s">
        <v>764</v>
      </c>
      <c r="K165" s="484" t="s">
        <v>764</v>
      </c>
      <c r="L165" s="484" t="s">
        <v>764</v>
      </c>
      <c r="M165" s="484" t="s">
        <v>764</v>
      </c>
      <c r="N165" s="484" t="s">
        <v>764</v>
      </c>
      <c r="O165" s="484" t="s">
        <v>764</v>
      </c>
      <c r="P165" s="484" t="s">
        <v>764</v>
      </c>
      <c r="Q165" s="484" t="s">
        <v>764</v>
      </c>
      <c r="R165" s="484" t="s">
        <v>764</v>
      </c>
    </row>
    <row r="166" spans="1:18">
      <c r="A166" s="483" t="s">
        <v>780</v>
      </c>
      <c r="B166" s="483"/>
      <c r="C166" s="484" t="s">
        <v>764</v>
      </c>
      <c r="D166" s="484" t="s">
        <v>764</v>
      </c>
      <c r="E166" s="484" t="s">
        <v>764</v>
      </c>
      <c r="F166" s="484" t="s">
        <v>764</v>
      </c>
      <c r="G166" s="484" t="s">
        <v>764</v>
      </c>
      <c r="H166" s="484" t="s">
        <v>764</v>
      </c>
      <c r="I166" s="484">
        <v>555</v>
      </c>
      <c r="J166" s="484" t="s">
        <v>764</v>
      </c>
      <c r="K166" s="484" t="s">
        <v>764</v>
      </c>
      <c r="L166" s="484" t="s">
        <v>764</v>
      </c>
      <c r="M166" s="484" t="s">
        <v>764</v>
      </c>
      <c r="N166" s="484" t="s">
        <v>764</v>
      </c>
      <c r="O166" s="484" t="s">
        <v>764</v>
      </c>
      <c r="P166" s="484" t="s">
        <v>764</v>
      </c>
      <c r="Q166" s="484" t="s">
        <v>764</v>
      </c>
      <c r="R166" s="484" t="s">
        <v>764</v>
      </c>
    </row>
    <row r="167" spans="1:18">
      <c r="A167" s="483" t="s">
        <v>775</v>
      </c>
      <c r="B167" s="483"/>
      <c r="C167" s="484" t="s">
        <v>764</v>
      </c>
      <c r="D167" s="484">
        <v>322</v>
      </c>
      <c r="E167" s="484">
        <v>738</v>
      </c>
      <c r="F167" s="484">
        <v>740</v>
      </c>
      <c r="G167" s="484">
        <v>665</v>
      </c>
      <c r="H167" s="484">
        <v>558</v>
      </c>
      <c r="I167" s="484" t="s">
        <v>764</v>
      </c>
      <c r="J167" s="484" t="s">
        <v>764</v>
      </c>
      <c r="K167" s="484" t="s">
        <v>764</v>
      </c>
      <c r="L167" s="484" t="s">
        <v>764</v>
      </c>
      <c r="M167" s="484" t="s">
        <v>764</v>
      </c>
      <c r="N167" s="484" t="s">
        <v>764</v>
      </c>
      <c r="O167" s="484" t="s">
        <v>764</v>
      </c>
      <c r="P167" s="484" t="s">
        <v>764</v>
      </c>
      <c r="Q167" s="484" t="s">
        <v>764</v>
      </c>
      <c r="R167" s="484" t="s">
        <v>764</v>
      </c>
    </row>
    <row r="168" spans="1:18">
      <c r="A168" s="483" t="s">
        <v>796</v>
      </c>
      <c r="B168" s="483"/>
      <c r="C168" s="484">
        <v>1088</v>
      </c>
      <c r="D168" s="484">
        <v>1216</v>
      </c>
      <c r="E168" s="484">
        <v>226</v>
      </c>
      <c r="F168" s="484" t="s">
        <v>764</v>
      </c>
      <c r="G168" s="484" t="s">
        <v>764</v>
      </c>
      <c r="H168" s="484" t="s">
        <v>764</v>
      </c>
      <c r="I168" s="484" t="s">
        <v>764</v>
      </c>
      <c r="J168" s="484" t="s">
        <v>764</v>
      </c>
      <c r="K168" s="484" t="s">
        <v>764</v>
      </c>
      <c r="L168" s="484" t="s">
        <v>764</v>
      </c>
      <c r="M168" s="484" t="s">
        <v>764</v>
      </c>
      <c r="N168" s="484" t="s">
        <v>764</v>
      </c>
      <c r="O168" s="484" t="s">
        <v>764</v>
      </c>
      <c r="P168" s="484" t="s">
        <v>764</v>
      </c>
      <c r="Q168" s="484" t="s">
        <v>764</v>
      </c>
      <c r="R168" s="484" t="s">
        <v>764</v>
      </c>
    </row>
    <row r="169" spans="1:18">
      <c r="A169" s="483" t="s">
        <v>797</v>
      </c>
      <c r="B169" s="483"/>
      <c r="C169" s="484">
        <v>6423</v>
      </c>
      <c r="D169" s="484">
        <v>792</v>
      </c>
      <c r="E169" s="484">
        <v>7933</v>
      </c>
      <c r="F169" s="484" t="s">
        <v>764</v>
      </c>
      <c r="G169" s="484" t="s">
        <v>764</v>
      </c>
      <c r="H169" s="484" t="s">
        <v>764</v>
      </c>
      <c r="I169" s="484" t="s">
        <v>764</v>
      </c>
      <c r="J169" s="484" t="s">
        <v>764</v>
      </c>
      <c r="K169" s="484" t="s">
        <v>764</v>
      </c>
      <c r="L169" s="484" t="s">
        <v>764</v>
      </c>
      <c r="M169" s="484" t="s">
        <v>764</v>
      </c>
      <c r="N169" s="484" t="s">
        <v>764</v>
      </c>
      <c r="O169" s="484" t="s">
        <v>764</v>
      </c>
      <c r="P169" s="484" t="s">
        <v>764</v>
      </c>
      <c r="Q169" s="484" t="s">
        <v>764</v>
      </c>
      <c r="R169" s="484" t="s">
        <v>764</v>
      </c>
    </row>
    <row r="170" spans="1:18">
      <c r="A170" s="481" t="s">
        <v>798</v>
      </c>
      <c r="B170" s="482"/>
      <c r="C170" s="482"/>
      <c r="D170" s="482"/>
      <c r="E170" s="482"/>
      <c r="F170" s="482"/>
      <c r="G170" s="482"/>
      <c r="H170" s="482"/>
      <c r="I170" s="482"/>
      <c r="J170" s="482"/>
      <c r="K170" s="482"/>
      <c r="L170" s="482"/>
      <c r="M170" s="482"/>
      <c r="N170" s="482"/>
      <c r="O170" s="482"/>
      <c r="P170" s="482"/>
      <c r="Q170" s="482"/>
      <c r="R170" s="482"/>
    </row>
    <row r="171" spans="1:18">
      <c r="A171" s="483" t="s">
        <v>771</v>
      </c>
      <c r="B171" s="483"/>
      <c r="C171" s="484" t="s">
        <v>764</v>
      </c>
      <c r="D171" s="484">
        <v>100</v>
      </c>
      <c r="E171" s="484">
        <v>100</v>
      </c>
      <c r="F171" s="484">
        <v>-8</v>
      </c>
      <c r="G171" s="484">
        <v>67</v>
      </c>
      <c r="H171" s="484">
        <v>-31</v>
      </c>
      <c r="I171" s="484">
        <v>-59</v>
      </c>
      <c r="J171" s="484" t="s">
        <v>764</v>
      </c>
      <c r="K171" s="484" t="s">
        <v>764</v>
      </c>
      <c r="L171" s="484" t="s">
        <v>764</v>
      </c>
      <c r="M171" s="484" t="s">
        <v>764</v>
      </c>
      <c r="N171" s="484" t="s">
        <v>764</v>
      </c>
      <c r="O171" s="484" t="s">
        <v>764</v>
      </c>
      <c r="P171" s="484" t="s">
        <v>764</v>
      </c>
      <c r="Q171" s="484" t="s">
        <v>764</v>
      </c>
      <c r="R171" s="484" t="s">
        <v>764</v>
      </c>
    </row>
    <row r="172" spans="1:18">
      <c r="A172" s="483" t="s">
        <v>770</v>
      </c>
      <c r="B172" s="483"/>
      <c r="C172" s="484" t="s">
        <v>764</v>
      </c>
      <c r="D172" s="484">
        <v>23</v>
      </c>
      <c r="E172" s="484" t="s">
        <v>764</v>
      </c>
      <c r="F172" s="484" t="s">
        <v>764</v>
      </c>
      <c r="G172" s="484" t="s">
        <v>764</v>
      </c>
      <c r="H172" s="484" t="s">
        <v>764</v>
      </c>
      <c r="I172" s="484" t="s">
        <v>764</v>
      </c>
      <c r="J172" s="484" t="s">
        <v>764</v>
      </c>
      <c r="K172" s="484" t="s">
        <v>764</v>
      </c>
      <c r="L172" s="484" t="s">
        <v>764</v>
      </c>
      <c r="M172" s="484" t="s">
        <v>764</v>
      </c>
      <c r="N172" s="484" t="s">
        <v>764</v>
      </c>
      <c r="O172" s="484" t="s">
        <v>764</v>
      </c>
      <c r="P172" s="484" t="s">
        <v>764</v>
      </c>
      <c r="Q172" s="484" t="s">
        <v>764</v>
      </c>
      <c r="R172" s="484" t="s">
        <v>764</v>
      </c>
    </row>
    <row r="173" spans="1:18">
      <c r="A173" s="483" t="s">
        <v>772</v>
      </c>
      <c r="B173" s="483"/>
      <c r="C173" s="484">
        <v>0</v>
      </c>
      <c r="D173" s="484">
        <v>12</v>
      </c>
      <c r="E173" s="484" t="s">
        <v>764</v>
      </c>
      <c r="F173" s="484" t="s">
        <v>764</v>
      </c>
      <c r="G173" s="484" t="s">
        <v>764</v>
      </c>
      <c r="H173" s="484" t="s">
        <v>764</v>
      </c>
      <c r="I173" s="484" t="s">
        <v>764</v>
      </c>
      <c r="J173" s="484" t="s">
        <v>764</v>
      </c>
      <c r="K173" s="484" t="s">
        <v>764</v>
      </c>
      <c r="L173" s="484" t="s">
        <v>764</v>
      </c>
      <c r="M173" s="484" t="s">
        <v>764</v>
      </c>
      <c r="N173" s="484" t="s">
        <v>764</v>
      </c>
      <c r="O173" s="484" t="s">
        <v>764</v>
      </c>
      <c r="P173" s="484" t="s">
        <v>764</v>
      </c>
      <c r="Q173" s="484" t="s">
        <v>764</v>
      </c>
      <c r="R173" s="484" t="s">
        <v>764</v>
      </c>
    </row>
    <row r="174" spans="1:18">
      <c r="A174" s="483" t="s">
        <v>773</v>
      </c>
      <c r="B174" s="483"/>
      <c r="C174" s="484">
        <v>7</v>
      </c>
      <c r="D174" s="484">
        <v>11</v>
      </c>
      <c r="E174" s="484" t="s">
        <v>764</v>
      </c>
      <c r="F174" s="484" t="s">
        <v>764</v>
      </c>
      <c r="G174" s="484" t="s">
        <v>764</v>
      </c>
      <c r="H174" s="484" t="s">
        <v>764</v>
      </c>
      <c r="I174" s="484" t="s">
        <v>764</v>
      </c>
      <c r="J174" s="484" t="s">
        <v>764</v>
      </c>
      <c r="K174" s="484" t="s">
        <v>764</v>
      </c>
      <c r="L174" s="484" t="s">
        <v>764</v>
      </c>
      <c r="M174" s="484" t="s">
        <v>764</v>
      </c>
      <c r="N174" s="484" t="s">
        <v>764</v>
      </c>
      <c r="O174" s="484" t="s">
        <v>764</v>
      </c>
      <c r="P174" s="484" t="s">
        <v>764</v>
      </c>
      <c r="Q174" s="484" t="s">
        <v>764</v>
      </c>
      <c r="R174" s="484" t="s">
        <v>764</v>
      </c>
    </row>
    <row r="175" spans="1:18">
      <c r="A175" s="483" t="s">
        <v>774</v>
      </c>
      <c r="B175" s="483"/>
      <c r="C175" s="484">
        <v>2</v>
      </c>
      <c r="D175" s="484">
        <v>1</v>
      </c>
      <c r="E175" s="484" t="s">
        <v>764</v>
      </c>
      <c r="F175" s="484" t="s">
        <v>764</v>
      </c>
      <c r="G175" s="484" t="s">
        <v>764</v>
      </c>
      <c r="H175" s="484" t="s">
        <v>764</v>
      </c>
      <c r="I175" s="484" t="s">
        <v>764</v>
      </c>
      <c r="J175" s="484" t="s">
        <v>764</v>
      </c>
      <c r="K175" s="484" t="s">
        <v>764</v>
      </c>
      <c r="L175" s="484" t="s">
        <v>764</v>
      </c>
      <c r="M175" s="484" t="s">
        <v>764</v>
      </c>
      <c r="N175" s="484" t="s">
        <v>764</v>
      </c>
      <c r="O175" s="484" t="s">
        <v>764</v>
      </c>
      <c r="P175" s="484" t="s">
        <v>764</v>
      </c>
      <c r="Q175" s="484" t="s">
        <v>764</v>
      </c>
      <c r="R175" s="484" t="s">
        <v>764</v>
      </c>
    </row>
    <row r="176" spans="1:18">
      <c r="A176" s="483" t="s">
        <v>782</v>
      </c>
      <c r="B176" s="483"/>
      <c r="C176" s="484">
        <v>0</v>
      </c>
      <c r="D176" s="484">
        <v>-1</v>
      </c>
      <c r="E176" s="484" t="s">
        <v>764</v>
      </c>
      <c r="F176" s="484" t="s">
        <v>764</v>
      </c>
      <c r="G176" s="484" t="s">
        <v>764</v>
      </c>
      <c r="H176" s="484" t="s">
        <v>764</v>
      </c>
      <c r="I176" s="484" t="s">
        <v>764</v>
      </c>
      <c r="J176" s="484" t="s">
        <v>764</v>
      </c>
      <c r="K176" s="484" t="s">
        <v>764</v>
      </c>
      <c r="L176" s="484" t="s">
        <v>764</v>
      </c>
      <c r="M176" s="484" t="s">
        <v>764</v>
      </c>
      <c r="N176" s="484" t="s">
        <v>764</v>
      </c>
      <c r="O176" s="484" t="s">
        <v>764</v>
      </c>
      <c r="P176" s="484" t="s">
        <v>764</v>
      </c>
      <c r="Q176" s="484" t="s">
        <v>764</v>
      </c>
      <c r="R176" s="484" t="s">
        <v>764</v>
      </c>
    </row>
    <row r="177" spans="1:18">
      <c r="A177" s="481" t="s">
        <v>799</v>
      </c>
      <c r="B177" s="482"/>
      <c r="C177" s="482"/>
      <c r="D177" s="482"/>
      <c r="E177" s="482"/>
      <c r="F177" s="482"/>
      <c r="G177" s="482"/>
      <c r="H177" s="482"/>
      <c r="I177" s="482"/>
      <c r="J177" s="482"/>
      <c r="K177" s="482"/>
      <c r="L177" s="482"/>
      <c r="M177" s="482"/>
      <c r="N177" s="482"/>
      <c r="O177" s="482"/>
      <c r="P177" s="482"/>
      <c r="Q177" s="482"/>
      <c r="R177" s="482"/>
    </row>
    <row r="178" spans="1:18">
      <c r="A178" s="483" t="s">
        <v>771</v>
      </c>
      <c r="B178" s="483"/>
      <c r="C178" s="484" t="s">
        <v>764</v>
      </c>
      <c r="D178" s="484">
        <v>100</v>
      </c>
      <c r="E178" s="484">
        <v>100</v>
      </c>
      <c r="F178" s="484">
        <v>0</v>
      </c>
      <c r="G178" s="484">
        <v>3</v>
      </c>
      <c r="H178" s="484">
        <v>-14</v>
      </c>
      <c r="I178" s="484">
        <v>12</v>
      </c>
      <c r="J178" s="484" t="s">
        <v>764</v>
      </c>
      <c r="K178" s="484" t="s">
        <v>764</v>
      </c>
      <c r="L178" s="484" t="s">
        <v>764</v>
      </c>
      <c r="M178" s="484" t="s">
        <v>764</v>
      </c>
      <c r="N178" s="484" t="s">
        <v>764</v>
      </c>
      <c r="O178" s="484" t="s">
        <v>764</v>
      </c>
      <c r="P178" s="484" t="s">
        <v>764</v>
      </c>
      <c r="Q178" s="484" t="s">
        <v>764</v>
      </c>
      <c r="R178" s="484" t="s">
        <v>764</v>
      </c>
    </row>
    <row r="179" spans="1:18">
      <c r="A179" s="483" t="s">
        <v>770</v>
      </c>
      <c r="B179" s="483"/>
      <c r="C179" s="484" t="s">
        <v>764</v>
      </c>
      <c r="D179" s="484">
        <v>-8</v>
      </c>
      <c r="E179" s="484" t="s">
        <v>764</v>
      </c>
      <c r="F179" s="484" t="s">
        <v>764</v>
      </c>
      <c r="G179" s="484" t="s">
        <v>764</v>
      </c>
      <c r="H179" s="484" t="s">
        <v>764</v>
      </c>
      <c r="I179" s="484" t="s">
        <v>764</v>
      </c>
      <c r="J179" s="484" t="s">
        <v>764</v>
      </c>
      <c r="K179" s="484" t="s">
        <v>764</v>
      </c>
      <c r="L179" s="484" t="s">
        <v>764</v>
      </c>
      <c r="M179" s="484" t="s">
        <v>764</v>
      </c>
      <c r="N179" s="484" t="s">
        <v>764</v>
      </c>
      <c r="O179" s="484" t="s">
        <v>764</v>
      </c>
      <c r="P179" s="484" t="s">
        <v>764</v>
      </c>
      <c r="Q179" s="484" t="s">
        <v>764</v>
      </c>
      <c r="R179" s="484" t="s">
        <v>764</v>
      </c>
    </row>
    <row r="180" spans="1:18">
      <c r="A180" s="483" t="s">
        <v>772</v>
      </c>
      <c r="B180" s="483"/>
      <c r="C180" s="484">
        <v>-6</v>
      </c>
      <c r="D180" s="484">
        <v>-11</v>
      </c>
      <c r="E180" s="484" t="s">
        <v>764</v>
      </c>
      <c r="F180" s="484" t="s">
        <v>764</v>
      </c>
      <c r="G180" s="484" t="s">
        <v>764</v>
      </c>
      <c r="H180" s="484" t="s">
        <v>764</v>
      </c>
      <c r="I180" s="484" t="s">
        <v>764</v>
      </c>
      <c r="J180" s="484" t="s">
        <v>764</v>
      </c>
      <c r="K180" s="484" t="s">
        <v>764</v>
      </c>
      <c r="L180" s="484" t="s">
        <v>764</v>
      </c>
      <c r="M180" s="484" t="s">
        <v>764</v>
      </c>
      <c r="N180" s="484" t="s">
        <v>764</v>
      </c>
      <c r="O180" s="484" t="s">
        <v>764</v>
      </c>
      <c r="P180" s="484" t="s">
        <v>764</v>
      </c>
      <c r="Q180" s="484" t="s">
        <v>764</v>
      </c>
      <c r="R180" s="484" t="s">
        <v>764</v>
      </c>
    </row>
    <row r="181" spans="1:18">
      <c r="A181" s="483" t="s">
        <v>773</v>
      </c>
      <c r="B181" s="483"/>
      <c r="C181" s="484">
        <v>2</v>
      </c>
      <c r="D181" s="484">
        <v>2</v>
      </c>
      <c r="E181" s="484" t="s">
        <v>764</v>
      </c>
      <c r="F181" s="484" t="s">
        <v>764</v>
      </c>
      <c r="G181" s="484" t="s">
        <v>764</v>
      </c>
      <c r="H181" s="484" t="s">
        <v>764</v>
      </c>
      <c r="I181" s="484" t="s">
        <v>764</v>
      </c>
      <c r="J181" s="484" t="s">
        <v>764</v>
      </c>
      <c r="K181" s="484" t="s">
        <v>764</v>
      </c>
      <c r="L181" s="484" t="s">
        <v>764</v>
      </c>
      <c r="M181" s="484" t="s">
        <v>764</v>
      </c>
      <c r="N181" s="484" t="s">
        <v>764</v>
      </c>
      <c r="O181" s="484" t="s">
        <v>764</v>
      </c>
      <c r="P181" s="484" t="s">
        <v>764</v>
      </c>
      <c r="Q181" s="484" t="s">
        <v>764</v>
      </c>
      <c r="R181" s="484" t="s">
        <v>764</v>
      </c>
    </row>
    <row r="182" spans="1:18">
      <c r="A182" s="483" t="s">
        <v>774</v>
      </c>
      <c r="B182" s="483"/>
      <c r="C182" s="484">
        <v>5</v>
      </c>
      <c r="D182" s="484">
        <v>2</v>
      </c>
      <c r="E182" s="484" t="s">
        <v>764</v>
      </c>
      <c r="F182" s="484" t="s">
        <v>764</v>
      </c>
      <c r="G182" s="484" t="s">
        <v>764</v>
      </c>
      <c r="H182" s="484" t="s">
        <v>764</v>
      </c>
      <c r="I182" s="484" t="s">
        <v>764</v>
      </c>
      <c r="J182" s="484" t="s">
        <v>764</v>
      </c>
      <c r="K182" s="484" t="s">
        <v>764</v>
      </c>
      <c r="L182" s="484" t="s">
        <v>764</v>
      </c>
      <c r="M182" s="484" t="s">
        <v>764</v>
      </c>
      <c r="N182" s="484" t="s">
        <v>764</v>
      </c>
      <c r="O182" s="484" t="s">
        <v>764</v>
      </c>
      <c r="P182" s="484" t="s">
        <v>764</v>
      </c>
      <c r="Q182" s="484" t="s">
        <v>764</v>
      </c>
      <c r="R182" s="484" t="s">
        <v>764</v>
      </c>
    </row>
    <row r="183" spans="1:18">
      <c r="A183" s="483" t="s">
        <v>782</v>
      </c>
      <c r="B183" s="483"/>
      <c r="C183" s="484">
        <v>3</v>
      </c>
      <c r="D183" s="484">
        <v>-1</v>
      </c>
      <c r="E183" s="484" t="s">
        <v>764</v>
      </c>
      <c r="F183" s="484" t="s">
        <v>764</v>
      </c>
      <c r="G183" s="484" t="s">
        <v>764</v>
      </c>
      <c r="H183" s="484" t="s">
        <v>764</v>
      </c>
      <c r="I183" s="484" t="s">
        <v>764</v>
      </c>
      <c r="J183" s="484" t="s">
        <v>764</v>
      </c>
      <c r="K183" s="484" t="s">
        <v>764</v>
      </c>
      <c r="L183" s="484" t="s">
        <v>764</v>
      </c>
      <c r="M183" s="484" t="s">
        <v>764</v>
      </c>
      <c r="N183" s="484" t="s">
        <v>764</v>
      </c>
      <c r="O183" s="484" t="s">
        <v>764</v>
      </c>
      <c r="P183" s="484" t="s">
        <v>764</v>
      </c>
      <c r="Q183" s="484" t="s">
        <v>764</v>
      </c>
      <c r="R183" s="484" t="s">
        <v>764</v>
      </c>
    </row>
    <row r="184" spans="1:18">
      <c r="A184" s="481" t="s">
        <v>800</v>
      </c>
      <c r="B184" s="482"/>
      <c r="C184" s="482"/>
      <c r="D184" s="482"/>
      <c r="E184" s="482"/>
      <c r="F184" s="482"/>
      <c r="G184" s="482"/>
      <c r="H184" s="482"/>
      <c r="I184" s="482"/>
      <c r="J184" s="482"/>
      <c r="K184" s="482"/>
      <c r="L184" s="482"/>
      <c r="M184" s="482"/>
      <c r="N184" s="482"/>
      <c r="O184" s="482"/>
      <c r="P184" s="482"/>
      <c r="Q184" s="482"/>
      <c r="R184" s="482"/>
    </row>
    <row r="185" spans="1:18">
      <c r="A185" s="483" t="s">
        <v>790</v>
      </c>
      <c r="B185" s="483"/>
      <c r="C185" s="484" t="s">
        <v>764</v>
      </c>
      <c r="D185" s="484" t="s">
        <v>764</v>
      </c>
      <c r="E185" s="484" t="s">
        <v>764</v>
      </c>
      <c r="F185" s="484" t="s">
        <v>764</v>
      </c>
      <c r="G185" s="484" t="s">
        <v>764</v>
      </c>
      <c r="H185" s="484">
        <v>1629000</v>
      </c>
      <c r="I185" s="484">
        <v>2076000</v>
      </c>
      <c r="J185" s="484" t="s">
        <v>764</v>
      </c>
      <c r="K185" s="484" t="s">
        <v>764</v>
      </c>
      <c r="L185" s="484" t="s">
        <v>764</v>
      </c>
      <c r="M185" s="484" t="s">
        <v>764</v>
      </c>
      <c r="N185" s="484" t="s">
        <v>764</v>
      </c>
      <c r="O185" s="484" t="s">
        <v>764</v>
      </c>
      <c r="P185" s="484" t="s">
        <v>764</v>
      </c>
      <c r="Q185" s="484" t="s">
        <v>764</v>
      </c>
      <c r="R185" s="484" t="s">
        <v>764</v>
      </c>
    </row>
    <row r="186" spans="1:18">
      <c r="A186" s="481" t="s">
        <v>801</v>
      </c>
      <c r="B186" s="482"/>
      <c r="C186" s="482"/>
      <c r="D186" s="482"/>
      <c r="E186" s="482"/>
      <c r="F186" s="482"/>
      <c r="G186" s="482"/>
      <c r="H186" s="482"/>
      <c r="I186" s="482"/>
      <c r="J186" s="482"/>
      <c r="K186" s="482"/>
      <c r="L186" s="482"/>
      <c r="M186" s="482"/>
      <c r="N186" s="482"/>
      <c r="O186" s="482"/>
      <c r="P186" s="482"/>
      <c r="Q186" s="482"/>
      <c r="R186" s="482"/>
    </row>
    <row r="187" spans="1:18">
      <c r="A187" s="483" t="s">
        <v>771</v>
      </c>
      <c r="B187" s="483"/>
      <c r="C187" s="484">
        <v>77</v>
      </c>
      <c r="D187" s="484">
        <v>-60</v>
      </c>
      <c r="E187" s="484">
        <v>100</v>
      </c>
      <c r="F187" s="484">
        <v>-69</v>
      </c>
      <c r="G187" s="484">
        <v>-100</v>
      </c>
      <c r="H187" s="484">
        <v>73</v>
      </c>
      <c r="I187" s="484" t="s">
        <v>764</v>
      </c>
      <c r="J187" s="484" t="s">
        <v>764</v>
      </c>
      <c r="K187" s="484" t="s">
        <v>764</v>
      </c>
      <c r="L187" s="484" t="s">
        <v>764</v>
      </c>
      <c r="M187" s="484" t="s">
        <v>764</v>
      </c>
      <c r="N187" s="484" t="s">
        <v>764</v>
      </c>
      <c r="O187" s="484" t="s">
        <v>764</v>
      </c>
      <c r="P187" s="484" t="s">
        <v>764</v>
      </c>
      <c r="Q187" s="484" t="s">
        <v>764</v>
      </c>
      <c r="R187" s="484" t="s">
        <v>764</v>
      </c>
    </row>
    <row r="188" spans="1:18">
      <c r="A188" s="483" t="s">
        <v>772</v>
      </c>
      <c r="B188" s="483"/>
      <c r="C188" s="484">
        <v>2</v>
      </c>
      <c r="D188" s="484">
        <v>9</v>
      </c>
      <c r="E188" s="484">
        <v>-4</v>
      </c>
      <c r="F188" s="484" t="s">
        <v>764</v>
      </c>
      <c r="G188" s="484" t="s">
        <v>764</v>
      </c>
      <c r="H188" s="484" t="s">
        <v>764</v>
      </c>
      <c r="I188" s="484" t="s">
        <v>764</v>
      </c>
      <c r="J188" s="484" t="s">
        <v>764</v>
      </c>
      <c r="K188" s="484" t="s">
        <v>764</v>
      </c>
      <c r="L188" s="484" t="s">
        <v>764</v>
      </c>
      <c r="M188" s="484" t="s">
        <v>764</v>
      </c>
      <c r="N188" s="484" t="s">
        <v>764</v>
      </c>
      <c r="O188" s="484" t="s">
        <v>764</v>
      </c>
      <c r="P188" s="484" t="s">
        <v>764</v>
      </c>
      <c r="Q188" s="484" t="s">
        <v>764</v>
      </c>
      <c r="R188" s="484" t="s">
        <v>764</v>
      </c>
    </row>
    <row r="189" spans="1:18">
      <c r="A189" s="483" t="s">
        <v>773</v>
      </c>
      <c r="B189" s="483"/>
      <c r="C189" s="484">
        <v>11</v>
      </c>
      <c r="D189" s="484">
        <v>12</v>
      </c>
      <c r="E189" s="484">
        <v>19</v>
      </c>
      <c r="F189" s="484" t="s">
        <v>764</v>
      </c>
      <c r="G189" s="484" t="s">
        <v>764</v>
      </c>
      <c r="H189" s="484" t="s">
        <v>764</v>
      </c>
      <c r="I189" s="484" t="s">
        <v>764</v>
      </c>
      <c r="J189" s="484" t="s">
        <v>764</v>
      </c>
      <c r="K189" s="484" t="s">
        <v>764</v>
      </c>
      <c r="L189" s="484" t="s">
        <v>764</v>
      </c>
      <c r="M189" s="484" t="s">
        <v>764</v>
      </c>
      <c r="N189" s="484" t="s">
        <v>764</v>
      </c>
      <c r="O189" s="484" t="s">
        <v>764</v>
      </c>
      <c r="P189" s="484" t="s">
        <v>764</v>
      </c>
      <c r="Q189" s="484" t="s">
        <v>764</v>
      </c>
      <c r="R189" s="484" t="s">
        <v>764</v>
      </c>
    </row>
    <row r="190" spans="1:18">
      <c r="A190" s="483" t="s">
        <v>774</v>
      </c>
      <c r="B190" s="483"/>
      <c r="C190" s="484">
        <v>4</v>
      </c>
      <c r="D190" s="484">
        <v>3</v>
      </c>
      <c r="E190" s="484">
        <v>1</v>
      </c>
      <c r="F190" s="484" t="s">
        <v>764</v>
      </c>
      <c r="G190" s="484" t="s">
        <v>764</v>
      </c>
      <c r="H190" s="484" t="s">
        <v>764</v>
      </c>
      <c r="I190" s="484" t="s">
        <v>764</v>
      </c>
      <c r="J190" s="484" t="s">
        <v>764</v>
      </c>
      <c r="K190" s="484" t="s">
        <v>764</v>
      </c>
      <c r="L190" s="484" t="s">
        <v>764</v>
      </c>
      <c r="M190" s="484" t="s">
        <v>764</v>
      </c>
      <c r="N190" s="484" t="s">
        <v>764</v>
      </c>
      <c r="O190" s="484" t="s">
        <v>764</v>
      </c>
      <c r="P190" s="484" t="s">
        <v>764</v>
      </c>
      <c r="Q190" s="484" t="s">
        <v>764</v>
      </c>
      <c r="R190" s="484" t="s">
        <v>764</v>
      </c>
    </row>
    <row r="191" spans="1:18">
      <c r="A191" s="483" t="s">
        <v>782</v>
      </c>
      <c r="B191" s="483"/>
      <c r="C191" s="484">
        <v>-1</v>
      </c>
      <c r="D191" s="484">
        <v>0</v>
      </c>
      <c r="E191" s="484">
        <v>0</v>
      </c>
      <c r="F191" s="484" t="s">
        <v>764</v>
      </c>
      <c r="G191" s="484" t="s">
        <v>764</v>
      </c>
      <c r="H191" s="484" t="s">
        <v>764</v>
      </c>
      <c r="I191" s="484" t="s">
        <v>764</v>
      </c>
      <c r="J191" s="484" t="s">
        <v>764</v>
      </c>
      <c r="K191" s="484" t="s">
        <v>764</v>
      </c>
      <c r="L191" s="484" t="s">
        <v>764</v>
      </c>
      <c r="M191" s="484" t="s">
        <v>764</v>
      </c>
      <c r="N191" s="484" t="s">
        <v>764</v>
      </c>
      <c r="O191" s="484" t="s">
        <v>764</v>
      </c>
      <c r="P191" s="484" t="s">
        <v>764</v>
      </c>
      <c r="Q191" s="484" t="s">
        <v>764</v>
      </c>
      <c r="R191" s="484" t="s">
        <v>764</v>
      </c>
    </row>
    <row r="192" spans="1:18">
      <c r="A192" s="483" t="s">
        <v>770</v>
      </c>
      <c r="B192" s="483"/>
      <c r="C192" s="484" t="s">
        <v>764</v>
      </c>
      <c r="D192" s="484">
        <v>24</v>
      </c>
      <c r="E192" s="484" t="s">
        <v>764</v>
      </c>
      <c r="F192" s="484" t="s">
        <v>764</v>
      </c>
      <c r="G192" s="484" t="s">
        <v>764</v>
      </c>
      <c r="H192" s="484" t="s">
        <v>764</v>
      </c>
      <c r="I192" s="484" t="s">
        <v>764</v>
      </c>
      <c r="J192" s="484" t="s">
        <v>764</v>
      </c>
      <c r="K192" s="484" t="s">
        <v>764</v>
      </c>
      <c r="L192" s="484" t="s">
        <v>764</v>
      </c>
      <c r="M192" s="484" t="s">
        <v>764</v>
      </c>
      <c r="N192" s="484" t="s">
        <v>764</v>
      </c>
      <c r="O192" s="484" t="s">
        <v>764</v>
      </c>
      <c r="P192" s="484" t="s">
        <v>764</v>
      </c>
      <c r="Q192" s="484" t="s">
        <v>764</v>
      </c>
      <c r="R192" s="484" t="s">
        <v>764</v>
      </c>
    </row>
    <row r="193" spans="1:18">
      <c r="A193" s="481" t="s">
        <v>802</v>
      </c>
      <c r="B193" s="482"/>
      <c r="C193" s="482"/>
      <c r="D193" s="482"/>
      <c r="E193" s="482"/>
      <c r="F193" s="482"/>
      <c r="G193" s="482"/>
      <c r="H193" s="482"/>
      <c r="I193" s="482"/>
      <c r="J193" s="482"/>
      <c r="K193" s="482"/>
      <c r="L193" s="482"/>
      <c r="M193" s="482"/>
      <c r="N193" s="482"/>
      <c r="O193" s="482"/>
      <c r="P193" s="482"/>
      <c r="Q193" s="482"/>
      <c r="R193" s="482"/>
    </row>
    <row r="194" spans="1:18">
      <c r="A194" s="483" t="s">
        <v>772</v>
      </c>
      <c r="B194" s="483"/>
      <c r="C194" s="484" t="s">
        <v>764</v>
      </c>
      <c r="D194" s="484" t="s">
        <v>764</v>
      </c>
      <c r="E194" s="484">
        <v>-7</v>
      </c>
      <c r="F194" s="484" t="s">
        <v>764</v>
      </c>
      <c r="G194" s="484" t="s">
        <v>764</v>
      </c>
      <c r="H194" s="484" t="s">
        <v>764</v>
      </c>
      <c r="I194" s="484" t="s">
        <v>764</v>
      </c>
      <c r="J194" s="484" t="s">
        <v>764</v>
      </c>
      <c r="K194" s="484" t="s">
        <v>764</v>
      </c>
      <c r="L194" s="484" t="s">
        <v>764</v>
      </c>
      <c r="M194" s="484" t="s">
        <v>764</v>
      </c>
      <c r="N194" s="484" t="s">
        <v>764</v>
      </c>
      <c r="O194" s="484" t="s">
        <v>764</v>
      </c>
      <c r="P194" s="484" t="s">
        <v>764</v>
      </c>
      <c r="Q194" s="484" t="s">
        <v>764</v>
      </c>
      <c r="R194" s="484" t="s">
        <v>764</v>
      </c>
    </row>
    <row r="195" spans="1:18">
      <c r="A195" s="483" t="s">
        <v>773</v>
      </c>
      <c r="B195" s="483"/>
      <c r="C195" s="484" t="s">
        <v>764</v>
      </c>
      <c r="D195" s="484" t="s">
        <v>764</v>
      </c>
      <c r="E195" s="484">
        <v>15</v>
      </c>
      <c r="F195" s="484" t="s">
        <v>764</v>
      </c>
      <c r="G195" s="484" t="s">
        <v>764</v>
      </c>
      <c r="H195" s="484" t="s">
        <v>764</v>
      </c>
      <c r="I195" s="484" t="s">
        <v>764</v>
      </c>
      <c r="J195" s="484" t="s">
        <v>764</v>
      </c>
      <c r="K195" s="484" t="s">
        <v>764</v>
      </c>
      <c r="L195" s="484" t="s">
        <v>764</v>
      </c>
      <c r="M195" s="484" t="s">
        <v>764</v>
      </c>
      <c r="N195" s="484" t="s">
        <v>764</v>
      </c>
      <c r="O195" s="484" t="s">
        <v>764</v>
      </c>
      <c r="P195" s="484" t="s">
        <v>764</v>
      </c>
      <c r="Q195" s="484" t="s">
        <v>764</v>
      </c>
      <c r="R195" s="484" t="s">
        <v>764</v>
      </c>
    </row>
    <row r="196" spans="1:18">
      <c r="A196" s="483" t="s">
        <v>774</v>
      </c>
      <c r="B196" s="483"/>
      <c r="C196" s="484" t="s">
        <v>764</v>
      </c>
      <c r="D196" s="484" t="s">
        <v>764</v>
      </c>
      <c r="E196" s="484">
        <v>0</v>
      </c>
      <c r="F196" s="484" t="s">
        <v>764</v>
      </c>
      <c r="G196" s="484" t="s">
        <v>764</v>
      </c>
      <c r="H196" s="484" t="s">
        <v>764</v>
      </c>
      <c r="I196" s="484" t="s">
        <v>764</v>
      </c>
      <c r="J196" s="484" t="s">
        <v>764</v>
      </c>
      <c r="K196" s="484" t="s">
        <v>764</v>
      </c>
      <c r="L196" s="484" t="s">
        <v>764</v>
      </c>
      <c r="M196" s="484" t="s">
        <v>764</v>
      </c>
      <c r="N196" s="484" t="s">
        <v>764</v>
      </c>
      <c r="O196" s="484" t="s">
        <v>764</v>
      </c>
      <c r="P196" s="484" t="s">
        <v>764</v>
      </c>
      <c r="Q196" s="484" t="s">
        <v>764</v>
      </c>
      <c r="R196" s="484" t="s">
        <v>764</v>
      </c>
    </row>
    <row r="197" spans="1:18">
      <c r="A197" s="483" t="s">
        <v>782</v>
      </c>
      <c r="B197" s="483"/>
      <c r="C197" s="484" t="s">
        <v>764</v>
      </c>
      <c r="D197" s="484" t="s">
        <v>764</v>
      </c>
      <c r="E197" s="484">
        <v>-1</v>
      </c>
      <c r="F197" s="484" t="s">
        <v>764</v>
      </c>
      <c r="G197" s="484" t="s">
        <v>764</v>
      </c>
      <c r="H197" s="484" t="s">
        <v>764</v>
      </c>
      <c r="I197" s="484" t="s">
        <v>764</v>
      </c>
      <c r="J197" s="484" t="s">
        <v>764</v>
      </c>
      <c r="K197" s="484" t="s">
        <v>764</v>
      </c>
      <c r="L197" s="484" t="s">
        <v>764</v>
      </c>
      <c r="M197" s="484" t="s">
        <v>764</v>
      </c>
      <c r="N197" s="484" t="s">
        <v>764</v>
      </c>
      <c r="O197" s="484" t="s">
        <v>764</v>
      </c>
      <c r="P197" s="484" t="s">
        <v>764</v>
      </c>
      <c r="Q197" s="484" t="s">
        <v>764</v>
      </c>
      <c r="R197" s="484" t="s">
        <v>764</v>
      </c>
    </row>
    <row r="198" spans="1:18">
      <c r="A198" s="483" t="s">
        <v>776</v>
      </c>
      <c r="B198" s="483"/>
      <c r="C198" s="484" t="s">
        <v>764</v>
      </c>
      <c r="D198" s="484" t="s">
        <v>764</v>
      </c>
      <c r="E198" s="484">
        <v>-426</v>
      </c>
      <c r="F198" s="484" t="s">
        <v>764</v>
      </c>
      <c r="G198" s="484" t="s">
        <v>764</v>
      </c>
      <c r="H198" s="484" t="s">
        <v>764</v>
      </c>
      <c r="I198" s="484" t="s">
        <v>764</v>
      </c>
      <c r="J198" s="484" t="s">
        <v>764</v>
      </c>
      <c r="K198" s="484" t="s">
        <v>764</v>
      </c>
      <c r="L198" s="484" t="s">
        <v>764</v>
      </c>
      <c r="M198" s="484" t="s">
        <v>764</v>
      </c>
      <c r="N198" s="484" t="s">
        <v>764</v>
      </c>
      <c r="O198" s="484" t="s">
        <v>764</v>
      </c>
      <c r="P198" s="484" t="s">
        <v>764</v>
      </c>
      <c r="Q198" s="484" t="s">
        <v>764</v>
      </c>
      <c r="R198" s="484" t="s">
        <v>764</v>
      </c>
    </row>
    <row r="199" spans="1:18">
      <c r="A199" s="481" t="s">
        <v>803</v>
      </c>
      <c r="B199" s="482"/>
      <c r="C199" s="482"/>
      <c r="D199" s="482"/>
      <c r="E199" s="482"/>
      <c r="F199" s="482"/>
      <c r="G199" s="482"/>
      <c r="H199" s="482"/>
      <c r="I199" s="482"/>
      <c r="J199" s="482"/>
      <c r="K199" s="482"/>
      <c r="L199" s="482"/>
      <c r="M199" s="482"/>
      <c r="N199" s="482"/>
      <c r="O199" s="482"/>
      <c r="P199" s="482"/>
      <c r="Q199" s="482"/>
      <c r="R199" s="482"/>
    </row>
    <row r="200" spans="1:18">
      <c r="A200" s="483" t="s">
        <v>776</v>
      </c>
      <c r="B200" s="483"/>
      <c r="C200" s="484" t="s">
        <v>764</v>
      </c>
      <c r="D200" s="484" t="s">
        <v>764</v>
      </c>
      <c r="E200" s="484">
        <v>-22</v>
      </c>
      <c r="F200" s="484" t="s">
        <v>764</v>
      </c>
      <c r="G200" s="484" t="s">
        <v>764</v>
      </c>
      <c r="H200" s="484" t="s">
        <v>764</v>
      </c>
      <c r="I200" s="484" t="s">
        <v>764</v>
      </c>
      <c r="J200" s="484" t="s">
        <v>764</v>
      </c>
      <c r="K200" s="484" t="s">
        <v>764</v>
      </c>
      <c r="L200" s="484" t="s">
        <v>764</v>
      </c>
      <c r="M200" s="484" t="s">
        <v>764</v>
      </c>
      <c r="N200" s="484" t="s">
        <v>764</v>
      </c>
      <c r="O200" s="484" t="s">
        <v>764</v>
      </c>
      <c r="P200" s="484" t="s">
        <v>764</v>
      </c>
      <c r="Q200" s="484" t="s">
        <v>764</v>
      </c>
      <c r="R200" s="484" t="s">
        <v>764</v>
      </c>
    </row>
    <row r="201" spans="1:18">
      <c r="A201" s="481" t="s">
        <v>804</v>
      </c>
      <c r="B201" s="482"/>
      <c r="C201" s="482"/>
      <c r="D201" s="482"/>
      <c r="E201" s="482"/>
      <c r="F201" s="482"/>
      <c r="G201" s="482"/>
      <c r="H201" s="482"/>
      <c r="I201" s="482"/>
      <c r="J201" s="482"/>
      <c r="K201" s="482"/>
      <c r="L201" s="482"/>
      <c r="M201" s="482"/>
      <c r="N201" s="482"/>
      <c r="O201" s="482"/>
      <c r="P201" s="482"/>
      <c r="Q201" s="482"/>
      <c r="R201" s="482"/>
    </row>
    <row r="202" spans="1:18">
      <c r="A202" s="483" t="s">
        <v>777</v>
      </c>
      <c r="B202" s="483"/>
      <c r="C202" s="484" t="s">
        <v>764</v>
      </c>
      <c r="D202" s="484" t="s">
        <v>764</v>
      </c>
      <c r="E202" s="484">
        <v>511</v>
      </c>
      <c r="F202" s="484" t="s">
        <v>764</v>
      </c>
      <c r="G202" s="484" t="s">
        <v>764</v>
      </c>
      <c r="H202" s="484" t="s">
        <v>764</v>
      </c>
      <c r="I202" s="484" t="s">
        <v>764</v>
      </c>
      <c r="J202" s="484" t="s">
        <v>764</v>
      </c>
      <c r="K202" s="484" t="s">
        <v>764</v>
      </c>
      <c r="L202" s="484" t="s">
        <v>764</v>
      </c>
      <c r="M202" s="484" t="s">
        <v>764</v>
      </c>
      <c r="N202" s="484" t="s">
        <v>764</v>
      </c>
      <c r="O202" s="484" t="s">
        <v>764</v>
      </c>
      <c r="P202" s="484" t="s">
        <v>764</v>
      </c>
      <c r="Q202" s="484" t="s">
        <v>764</v>
      </c>
      <c r="R202" s="484" t="s">
        <v>764</v>
      </c>
    </row>
    <row r="203" spans="1:18">
      <c r="A203" s="483" t="s">
        <v>778</v>
      </c>
      <c r="B203" s="483"/>
      <c r="C203" s="484" t="s">
        <v>764</v>
      </c>
      <c r="D203" s="484" t="s">
        <v>764</v>
      </c>
      <c r="E203" s="484">
        <v>8</v>
      </c>
      <c r="F203" s="484" t="s">
        <v>764</v>
      </c>
      <c r="G203" s="484" t="s">
        <v>764</v>
      </c>
      <c r="H203" s="484" t="s">
        <v>764</v>
      </c>
      <c r="I203" s="484" t="s">
        <v>764</v>
      </c>
      <c r="J203" s="484" t="s">
        <v>764</v>
      </c>
      <c r="K203" s="484" t="s">
        <v>764</v>
      </c>
      <c r="L203" s="484" t="s">
        <v>764</v>
      </c>
      <c r="M203" s="484" t="s">
        <v>764</v>
      </c>
      <c r="N203" s="484" t="s">
        <v>764</v>
      </c>
      <c r="O203" s="484" t="s">
        <v>764</v>
      </c>
      <c r="P203" s="484" t="s">
        <v>764</v>
      </c>
      <c r="Q203" s="484" t="s">
        <v>764</v>
      </c>
      <c r="R203" s="484" t="s">
        <v>764</v>
      </c>
    </row>
    <row r="204" spans="1:18">
      <c r="A204" s="483" t="s">
        <v>783</v>
      </c>
      <c r="B204" s="483"/>
      <c r="C204" s="484" t="s">
        <v>764</v>
      </c>
      <c r="D204" s="484" t="s">
        <v>764</v>
      </c>
      <c r="E204" s="484">
        <v>-18</v>
      </c>
      <c r="F204" s="484" t="s">
        <v>764</v>
      </c>
      <c r="G204" s="484" t="s">
        <v>764</v>
      </c>
      <c r="H204" s="484" t="s">
        <v>764</v>
      </c>
      <c r="I204" s="484" t="s">
        <v>764</v>
      </c>
      <c r="J204" s="484" t="s">
        <v>764</v>
      </c>
      <c r="K204" s="484" t="s">
        <v>764</v>
      </c>
      <c r="L204" s="484" t="s">
        <v>764</v>
      </c>
      <c r="M204" s="484" t="s">
        <v>764</v>
      </c>
      <c r="N204" s="484" t="s">
        <v>764</v>
      </c>
      <c r="O204" s="484" t="s">
        <v>764</v>
      </c>
      <c r="P204" s="484" t="s">
        <v>764</v>
      </c>
      <c r="Q204" s="484" t="s">
        <v>764</v>
      </c>
      <c r="R204" s="484" t="s">
        <v>764</v>
      </c>
    </row>
    <row r="205" spans="1:18">
      <c r="A205" s="481" t="s">
        <v>804</v>
      </c>
      <c r="B205" s="482"/>
      <c r="C205" s="482"/>
      <c r="D205" s="482"/>
      <c r="E205" s="482"/>
      <c r="F205" s="482"/>
      <c r="G205" s="482"/>
      <c r="H205" s="482"/>
      <c r="I205" s="482"/>
      <c r="J205" s="482"/>
      <c r="K205" s="482"/>
      <c r="L205" s="482"/>
      <c r="M205" s="482"/>
      <c r="N205" s="482"/>
      <c r="O205" s="482"/>
      <c r="P205" s="482"/>
      <c r="Q205" s="482"/>
      <c r="R205" s="482"/>
    </row>
    <row r="206" spans="1:18">
      <c r="A206" s="483" t="s">
        <v>777</v>
      </c>
      <c r="B206" s="483"/>
      <c r="C206" s="484" t="s">
        <v>764</v>
      </c>
      <c r="D206" s="484" t="s">
        <v>764</v>
      </c>
      <c r="E206" s="484">
        <v>500</v>
      </c>
      <c r="F206" s="484" t="s">
        <v>764</v>
      </c>
      <c r="G206" s="484" t="s">
        <v>764</v>
      </c>
      <c r="H206" s="484" t="s">
        <v>764</v>
      </c>
      <c r="I206" s="484" t="s">
        <v>764</v>
      </c>
      <c r="J206" s="484" t="s">
        <v>764</v>
      </c>
      <c r="K206" s="484" t="s">
        <v>764</v>
      </c>
      <c r="L206" s="484" t="s">
        <v>764</v>
      </c>
      <c r="M206" s="484" t="s">
        <v>764</v>
      </c>
      <c r="N206" s="484" t="s">
        <v>764</v>
      </c>
      <c r="O206" s="484" t="s">
        <v>764</v>
      </c>
      <c r="P206" s="484" t="s">
        <v>764</v>
      </c>
      <c r="Q206" s="484" t="s">
        <v>764</v>
      </c>
      <c r="R206" s="484" t="s">
        <v>764</v>
      </c>
    </row>
    <row r="207" spans="1:18">
      <c r="A207" s="483" t="s">
        <v>778</v>
      </c>
      <c r="B207" s="483"/>
      <c r="C207" s="484" t="s">
        <v>764</v>
      </c>
      <c r="D207" s="484" t="s">
        <v>764</v>
      </c>
      <c r="E207" s="484">
        <v>14</v>
      </c>
      <c r="F207" s="484" t="s">
        <v>764</v>
      </c>
      <c r="G207" s="484" t="s">
        <v>764</v>
      </c>
      <c r="H207" s="484" t="s">
        <v>764</v>
      </c>
      <c r="I207" s="484" t="s">
        <v>764</v>
      </c>
      <c r="J207" s="484" t="s">
        <v>764</v>
      </c>
      <c r="K207" s="484" t="s">
        <v>764</v>
      </c>
      <c r="L207" s="484" t="s">
        <v>764</v>
      </c>
      <c r="M207" s="484" t="s">
        <v>764</v>
      </c>
      <c r="N207" s="484" t="s">
        <v>764</v>
      </c>
      <c r="O207" s="484" t="s">
        <v>764</v>
      </c>
      <c r="P207" s="484" t="s">
        <v>764</v>
      </c>
      <c r="Q207" s="484" t="s">
        <v>764</v>
      </c>
      <c r="R207" s="484" t="s">
        <v>764</v>
      </c>
    </row>
    <row r="208" spans="1:18">
      <c r="A208" s="483" t="s">
        <v>783</v>
      </c>
      <c r="B208" s="483"/>
      <c r="C208" s="484" t="s">
        <v>764</v>
      </c>
      <c r="D208" s="484" t="s">
        <v>764</v>
      </c>
      <c r="E208" s="484">
        <v>6</v>
      </c>
      <c r="F208" s="484" t="s">
        <v>764</v>
      </c>
      <c r="G208" s="484" t="s">
        <v>764</v>
      </c>
      <c r="H208" s="484" t="s">
        <v>764</v>
      </c>
      <c r="I208" s="484" t="s">
        <v>764</v>
      </c>
      <c r="J208" s="484" t="s">
        <v>764</v>
      </c>
      <c r="K208" s="484" t="s">
        <v>764</v>
      </c>
      <c r="L208" s="484" t="s">
        <v>764</v>
      </c>
      <c r="M208" s="484" t="s">
        <v>764</v>
      </c>
      <c r="N208" s="484" t="s">
        <v>764</v>
      </c>
      <c r="O208" s="484" t="s">
        <v>764</v>
      </c>
      <c r="P208" s="484" t="s">
        <v>764</v>
      </c>
      <c r="Q208" s="484" t="s">
        <v>764</v>
      </c>
      <c r="R208" s="484" t="s">
        <v>764</v>
      </c>
    </row>
    <row r="209" spans="1:18">
      <c r="A209" s="481" t="s">
        <v>805</v>
      </c>
      <c r="B209" s="482"/>
      <c r="C209" s="482"/>
      <c r="D209" s="482"/>
      <c r="E209" s="482"/>
      <c r="F209" s="482"/>
      <c r="G209" s="482"/>
      <c r="H209" s="482"/>
      <c r="I209" s="482"/>
      <c r="J209" s="482"/>
      <c r="K209" s="482"/>
      <c r="L209" s="482"/>
      <c r="M209" s="482"/>
      <c r="N209" s="482"/>
      <c r="O209" s="482"/>
      <c r="P209" s="482"/>
      <c r="Q209" s="482"/>
      <c r="R209" s="482"/>
    </row>
    <row r="210" spans="1:18">
      <c r="A210" s="483" t="s">
        <v>770</v>
      </c>
      <c r="B210" s="483"/>
      <c r="C210" s="484" t="s">
        <v>764</v>
      </c>
      <c r="D210" s="484">
        <v>75</v>
      </c>
      <c r="E210" s="484" t="s">
        <v>764</v>
      </c>
      <c r="F210" s="484" t="s">
        <v>764</v>
      </c>
      <c r="G210" s="484" t="s">
        <v>764</v>
      </c>
      <c r="H210" s="484" t="s">
        <v>764</v>
      </c>
      <c r="I210" s="484" t="s">
        <v>764</v>
      </c>
      <c r="J210" s="484" t="s">
        <v>764</v>
      </c>
      <c r="K210" s="484" t="s">
        <v>764</v>
      </c>
      <c r="L210" s="484" t="s">
        <v>764</v>
      </c>
      <c r="M210" s="484" t="s">
        <v>764</v>
      </c>
      <c r="N210" s="484" t="s">
        <v>764</v>
      </c>
      <c r="O210" s="484" t="s">
        <v>764</v>
      </c>
      <c r="P210" s="484" t="s">
        <v>764</v>
      </c>
      <c r="Q210" s="484" t="s">
        <v>764</v>
      </c>
      <c r="R210" s="484" t="s">
        <v>764</v>
      </c>
    </row>
    <row r="211" spans="1:18">
      <c r="A211" s="483" t="s">
        <v>771</v>
      </c>
      <c r="B211" s="483"/>
      <c r="C211" s="484" t="s">
        <v>764</v>
      </c>
      <c r="D211" s="484">
        <v>-32</v>
      </c>
      <c r="E211" s="484" t="s">
        <v>764</v>
      </c>
      <c r="F211" s="484" t="s">
        <v>764</v>
      </c>
      <c r="G211" s="484" t="s">
        <v>764</v>
      </c>
      <c r="H211" s="484" t="s">
        <v>764</v>
      </c>
      <c r="I211" s="484" t="s">
        <v>764</v>
      </c>
      <c r="J211" s="484" t="s">
        <v>764</v>
      </c>
      <c r="K211" s="484" t="s">
        <v>764</v>
      </c>
      <c r="L211" s="484" t="s">
        <v>764</v>
      </c>
      <c r="M211" s="484" t="s">
        <v>764</v>
      </c>
      <c r="N211" s="484" t="s">
        <v>764</v>
      </c>
      <c r="O211" s="484" t="s">
        <v>764</v>
      </c>
      <c r="P211" s="484" t="s">
        <v>764</v>
      </c>
      <c r="Q211" s="484" t="s">
        <v>764</v>
      </c>
      <c r="R211" s="484" t="s">
        <v>764</v>
      </c>
    </row>
    <row r="212" spans="1:18">
      <c r="A212" s="481" t="s">
        <v>806</v>
      </c>
      <c r="B212" s="482"/>
      <c r="C212" s="482"/>
      <c r="D212" s="482"/>
      <c r="E212" s="482"/>
      <c r="F212" s="482"/>
      <c r="G212" s="482"/>
      <c r="H212" s="482"/>
      <c r="I212" s="482"/>
      <c r="J212" s="482"/>
      <c r="K212" s="482"/>
      <c r="L212" s="482"/>
      <c r="M212" s="482"/>
      <c r="N212" s="482"/>
      <c r="O212" s="482"/>
      <c r="P212" s="482"/>
      <c r="Q212" s="482"/>
      <c r="R212" s="482"/>
    </row>
    <row r="213" spans="1:18">
      <c r="A213" s="483" t="s">
        <v>771</v>
      </c>
      <c r="B213" s="483"/>
      <c r="C213" s="484">
        <v>7</v>
      </c>
      <c r="D213" s="484" t="s">
        <v>764</v>
      </c>
      <c r="E213" s="484" t="s">
        <v>764</v>
      </c>
      <c r="F213" s="484" t="s">
        <v>764</v>
      </c>
      <c r="G213" s="484" t="s">
        <v>764</v>
      </c>
      <c r="H213" s="484" t="s">
        <v>764</v>
      </c>
      <c r="I213" s="484" t="s">
        <v>764</v>
      </c>
      <c r="J213" s="484" t="s">
        <v>764</v>
      </c>
      <c r="K213" s="484" t="s">
        <v>764</v>
      </c>
      <c r="L213" s="484" t="s">
        <v>764</v>
      </c>
      <c r="M213" s="484" t="s">
        <v>764</v>
      </c>
      <c r="N213" s="484" t="s">
        <v>764</v>
      </c>
      <c r="O213" s="484" t="s">
        <v>764</v>
      </c>
      <c r="P213" s="484" t="s">
        <v>764</v>
      </c>
      <c r="Q213" s="484" t="s">
        <v>764</v>
      </c>
      <c r="R213" s="484" t="s">
        <v>764</v>
      </c>
    </row>
    <row r="214" spans="1:18">
      <c r="A214" s="485" t="s">
        <v>807</v>
      </c>
      <c r="B214" s="485"/>
      <c r="C214" s="485"/>
      <c r="D214" s="485"/>
      <c r="E214" s="485"/>
      <c r="F214" s="485"/>
      <c r="G214" s="485"/>
      <c r="H214" s="485"/>
      <c r="I214" s="485"/>
      <c r="J214" s="485"/>
      <c r="K214" s="485"/>
      <c r="L214" s="485"/>
      <c r="M214" s="485"/>
      <c r="N214" s="485"/>
      <c r="O214" s="485"/>
      <c r="P214" s="485"/>
      <c r="Q214" s="485"/>
      <c r="R214" s="48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7693F-DF81-47B5-B339-29CB26B9C6F8}">
  <sheetPr codeName="Sheet20">
    <pageSetUpPr fitToPage="1"/>
  </sheetPr>
  <dimension ref="A1:O76"/>
  <sheetViews>
    <sheetView showGridLines="0" topLeftCell="A22" zoomScaleNormal="100" zoomScaleSheetLayoutView="100" workbookViewId="0">
      <selection activeCell="K45" sqref="K45"/>
    </sheetView>
  </sheetViews>
  <sheetFormatPr defaultColWidth="9.19921875" defaultRowHeight="11.25" customHeight="1"/>
  <cols>
    <col min="1" max="1" width="1.796875" style="487" customWidth="1"/>
    <col min="2" max="16384" width="9.19921875" style="487"/>
  </cols>
  <sheetData>
    <row r="1" spans="1:15" ht="11.25" customHeight="1">
      <c r="A1" s="486" t="s">
        <v>808</v>
      </c>
    </row>
    <row r="2" spans="1:15" ht="11.25" customHeight="1">
      <c r="B2" s="486"/>
    </row>
    <row r="3" spans="1:15" ht="11.25" customHeight="1">
      <c r="B3" s="486"/>
    </row>
    <row r="4" spans="1:15" ht="11.25" customHeight="1">
      <c r="E4" s="535">
        <v>2010</v>
      </c>
      <c r="F4" s="535">
        <f>+E4+1</f>
        <v>2011</v>
      </c>
      <c r="G4" s="535">
        <f t="shared" ref="G4:M4" si="0">+F4+1</f>
        <v>2012</v>
      </c>
      <c r="H4" s="535">
        <f t="shared" si="0"/>
        <v>2013</v>
      </c>
      <c r="I4" s="535">
        <f t="shared" si="0"/>
        <v>2014</v>
      </c>
      <c r="J4" s="535">
        <f t="shared" si="0"/>
        <v>2015</v>
      </c>
      <c r="K4" s="535">
        <f t="shared" si="0"/>
        <v>2016</v>
      </c>
      <c r="L4" s="535">
        <f t="shared" si="0"/>
        <v>2017</v>
      </c>
      <c r="M4" s="535">
        <f t="shared" si="0"/>
        <v>2018</v>
      </c>
    </row>
    <row r="6" spans="1:15" ht="11.25" customHeight="1">
      <c r="A6" s="487" t="s">
        <v>14</v>
      </c>
      <c r="B6" s="486" t="s">
        <v>809</v>
      </c>
    </row>
    <row r="7" spans="1:15" ht="5.2" customHeight="1"/>
    <row r="8" spans="1:15" ht="11.25" customHeight="1">
      <c r="B8" s="487" t="s">
        <v>493</v>
      </c>
      <c r="E8" s="488">
        <f>+'By Segment'!J7</f>
        <v>931</v>
      </c>
      <c r="F8" s="488">
        <f>+'By Segment'!K7</f>
        <v>1067</v>
      </c>
      <c r="G8" s="488">
        <f>+'By Segment'!L7</f>
        <v>1332</v>
      </c>
      <c r="H8" s="488">
        <f>+'By Segment'!M7</f>
        <v>1719</v>
      </c>
      <c r="I8" s="488">
        <f>+'By Segment'!N7</f>
        <v>1821</v>
      </c>
      <c r="J8" s="488">
        <f>+'By Segment'!O7</f>
        <v>3159</v>
      </c>
      <c r="K8" s="488">
        <f>+'By Segment'!P7</f>
        <v>2979</v>
      </c>
      <c r="L8" s="488">
        <f>+'By Segment'!Q7</f>
        <v>3343</v>
      </c>
      <c r="M8" s="488">
        <f>+'By Segment'!R7</f>
        <v>3647</v>
      </c>
      <c r="N8" s="487" t="str">
        <f>'Segment Snapshot'!C46</f>
        <v>Additives &amp; Functional Products</v>
      </c>
      <c r="O8" s="491">
        <f>'Segment Snapshot'!AX46</f>
        <v>0.15712230215827339</v>
      </c>
    </row>
    <row r="9" spans="1:15" s="489" customFormat="1" ht="11.25" customHeight="1">
      <c r="B9" s="489" t="s">
        <v>810</v>
      </c>
      <c r="F9" s="490">
        <f>+F8/E8-1</f>
        <v>0.14607948442534902</v>
      </c>
      <c r="G9" s="490">
        <f t="shared" ref="G9:M9" si="1">+G8/F8-1</f>
        <v>0.24835988753514537</v>
      </c>
      <c r="H9" s="490">
        <f t="shared" si="1"/>
        <v>0.29054054054054057</v>
      </c>
      <c r="I9" s="490">
        <f t="shared" si="1"/>
        <v>5.9336823734729593E-2</v>
      </c>
      <c r="J9" s="490">
        <f t="shared" si="1"/>
        <v>0.73476112026359153</v>
      </c>
      <c r="K9" s="490">
        <f t="shared" si="1"/>
        <v>-5.6980056980056926E-2</v>
      </c>
      <c r="L9" s="490">
        <f t="shared" si="1"/>
        <v>0.12218865391070821</v>
      </c>
      <c r="M9" s="490">
        <f t="shared" si="1"/>
        <v>9.0936284774155052E-2</v>
      </c>
      <c r="N9" s="489" t="str">
        <f>'Segment Snapshot'!C47</f>
        <v>Advanced Materials</v>
      </c>
      <c r="O9" s="490">
        <f>'Segment Snapshot'!AX47</f>
        <v>0.12316806984720922</v>
      </c>
    </row>
    <row r="10" spans="1:15" ht="11.25" customHeight="1">
      <c r="N10" s="487" t="str">
        <f>'Segment Snapshot'!C48</f>
        <v>Chemical Intermediates</v>
      </c>
      <c r="O10" s="491">
        <f>'Segment Snapshot'!AX48</f>
        <v>0.12849779086892488</v>
      </c>
    </row>
    <row r="11" spans="1:15" ht="11.25" customHeight="1">
      <c r="B11" s="487" t="s">
        <v>650</v>
      </c>
      <c r="E11" s="488">
        <f>+'By Segment'!J10</f>
        <v>28</v>
      </c>
      <c r="F11" s="488">
        <f>+'By Segment'!K10</f>
        <v>33</v>
      </c>
      <c r="G11" s="488">
        <f>+'By Segment'!L10</f>
        <v>63</v>
      </c>
      <c r="H11" s="488">
        <f>+'By Segment'!M10</f>
        <v>95</v>
      </c>
      <c r="I11" s="488">
        <f>+'By Segment'!N10</f>
        <v>104</v>
      </c>
      <c r="J11" s="488">
        <f>+'By Segment'!O10</f>
        <v>203</v>
      </c>
      <c r="K11" s="488">
        <f>+'By Segment'!P10</f>
        <v>208</v>
      </c>
      <c r="L11" s="488">
        <f>+'By Segment'!Q10</f>
        <v>213</v>
      </c>
      <c r="M11" s="488">
        <f>+'By Segment'!R10</f>
        <v>219</v>
      </c>
      <c r="N11" s="487" t="str">
        <f>'Segment Snapshot'!C49</f>
        <v>Fiber</v>
      </c>
      <c r="O11" s="491">
        <f>'Segment Snapshot'!AX49</f>
        <v>0.13698630136986301</v>
      </c>
    </row>
    <row r="12" spans="1:15" ht="11.25" customHeight="1">
      <c r="N12" s="487" t="str">
        <f>'Segment Snapshot'!C50</f>
        <v>Other</v>
      </c>
      <c r="O12" s="491">
        <f>'Segment Snapshot'!AX50</f>
        <v>-0.56874999999999998</v>
      </c>
    </row>
    <row r="13" spans="1:15" ht="11.25" customHeight="1">
      <c r="B13" s="487" t="s">
        <v>811</v>
      </c>
      <c r="E13" s="488">
        <f>+'By Segment'!J8</f>
        <v>204</v>
      </c>
      <c r="F13" s="488">
        <f>+'By Segment'!K8</f>
        <v>215</v>
      </c>
      <c r="G13" s="488">
        <f>+'By Segment'!L8</f>
        <v>285</v>
      </c>
      <c r="H13" s="488">
        <f>+'By Segment'!M8</f>
        <v>405</v>
      </c>
      <c r="I13" s="488">
        <f>+'By Segment'!N8</f>
        <v>329</v>
      </c>
      <c r="J13" s="488">
        <f>+'By Segment'!O8</f>
        <v>660</v>
      </c>
      <c r="K13" s="488">
        <f>+'By Segment'!P8</f>
        <v>601</v>
      </c>
      <c r="L13" s="488">
        <f>+'By Segment'!Q8</f>
        <v>653</v>
      </c>
      <c r="M13" s="488">
        <f>+'By Segment'!R8</f>
        <v>639</v>
      </c>
      <c r="N13" s="487" t="str">
        <f>'Segment Snapshot'!C51</f>
        <v>Total</v>
      </c>
      <c r="O13" s="491">
        <f>'Segment Snapshot'!AX51</f>
        <v>0.12655954631379962</v>
      </c>
    </row>
    <row r="14" spans="1:15" s="489" customFormat="1" ht="11.25" customHeight="1">
      <c r="B14" s="489" t="s">
        <v>810</v>
      </c>
      <c r="F14" s="490">
        <f>+F13/E13-1</f>
        <v>5.3921568627451011E-2</v>
      </c>
      <c r="G14" s="490">
        <f t="shared" ref="G14:M14" si="2">+G13/F13-1</f>
        <v>0.32558139534883712</v>
      </c>
      <c r="H14" s="490">
        <f t="shared" si="2"/>
        <v>0.42105263157894735</v>
      </c>
      <c r="I14" s="490">
        <f t="shared" si="2"/>
        <v>-0.18765432098765433</v>
      </c>
      <c r="J14" s="490">
        <f t="shared" si="2"/>
        <v>1.0060790273556233</v>
      </c>
      <c r="K14" s="490">
        <f t="shared" si="2"/>
        <v>-8.9393939393939359E-2</v>
      </c>
      <c r="L14" s="490">
        <f t="shared" si="2"/>
        <v>8.652246256239593E-2</v>
      </c>
      <c r="M14" s="490">
        <f t="shared" si="2"/>
        <v>-2.1439509954058189E-2</v>
      </c>
    </row>
    <row r="15" spans="1:15" ht="11.25" customHeight="1">
      <c r="B15" s="489" t="s">
        <v>812</v>
      </c>
      <c r="F15" s="491">
        <f>+F13/F8</f>
        <v>0.20149953139643861</v>
      </c>
      <c r="G15" s="491">
        <f t="shared" ref="G15:M15" si="3">+G13/G8</f>
        <v>0.21396396396396397</v>
      </c>
      <c r="H15" s="491">
        <f t="shared" si="3"/>
        <v>0.2356020942408377</v>
      </c>
      <c r="I15" s="491">
        <f t="shared" si="3"/>
        <v>0.18066996155958265</v>
      </c>
      <c r="J15" s="491">
        <f t="shared" si="3"/>
        <v>0.20892687559354226</v>
      </c>
      <c r="K15" s="491">
        <f t="shared" si="3"/>
        <v>0.20174555219872439</v>
      </c>
      <c r="L15" s="491">
        <f t="shared" si="3"/>
        <v>0.19533353275501047</v>
      </c>
      <c r="M15" s="491">
        <f t="shared" si="3"/>
        <v>0.17521250342747463</v>
      </c>
    </row>
    <row r="16" spans="1:15" s="489" customFormat="1" ht="11.25" customHeight="1">
      <c r="F16" s="490"/>
      <c r="G16" s="490"/>
      <c r="H16" s="490"/>
      <c r="I16" s="490"/>
      <c r="J16" s="490"/>
      <c r="K16" s="490"/>
      <c r="L16" s="490"/>
      <c r="M16" s="490"/>
    </row>
    <row r="17" spans="1:13" ht="11.25" customHeight="1">
      <c r="B17" s="487" t="s">
        <v>472</v>
      </c>
      <c r="E17" s="518">
        <f>+E13+E11</f>
        <v>232</v>
      </c>
      <c r="F17" s="518">
        <f t="shared" ref="F17:M17" si="4">+F13+F11</f>
        <v>248</v>
      </c>
      <c r="G17" s="518">
        <f t="shared" si="4"/>
        <v>348</v>
      </c>
      <c r="H17" s="518">
        <f t="shared" si="4"/>
        <v>500</v>
      </c>
      <c r="I17" s="518">
        <f t="shared" si="4"/>
        <v>433</v>
      </c>
      <c r="J17" s="518">
        <f t="shared" si="4"/>
        <v>863</v>
      </c>
      <c r="K17" s="518">
        <f t="shared" si="4"/>
        <v>809</v>
      </c>
      <c r="L17" s="518">
        <f t="shared" si="4"/>
        <v>866</v>
      </c>
      <c r="M17" s="518">
        <f t="shared" si="4"/>
        <v>858</v>
      </c>
    </row>
    <row r="18" spans="1:13" s="489" customFormat="1" ht="11.25" customHeight="1">
      <c r="B18" s="489" t="s">
        <v>810</v>
      </c>
      <c r="F18" s="490">
        <f>+F17/E17-1</f>
        <v>6.8965517241379226E-2</v>
      </c>
      <c r="G18" s="490">
        <f t="shared" ref="G18:M18" si="5">+G17/F17-1</f>
        <v>0.40322580645161299</v>
      </c>
      <c r="H18" s="490">
        <f t="shared" si="5"/>
        <v>0.43678160919540221</v>
      </c>
      <c r="I18" s="490">
        <f t="shared" si="5"/>
        <v>-0.13400000000000001</v>
      </c>
      <c r="J18" s="490">
        <f t="shared" si="5"/>
        <v>0.99307159353348728</v>
      </c>
      <c r="K18" s="490">
        <f t="shared" si="5"/>
        <v>-6.2572421784472754E-2</v>
      </c>
      <c r="L18" s="490">
        <f t="shared" si="5"/>
        <v>7.0457354758961754E-2</v>
      </c>
      <c r="M18" s="490">
        <f t="shared" si="5"/>
        <v>-9.2378752886835835E-3</v>
      </c>
    </row>
    <row r="19" spans="1:13" ht="11.25" customHeight="1">
      <c r="B19" s="489" t="s">
        <v>812</v>
      </c>
      <c r="F19" s="491">
        <f>+F17/F8</f>
        <v>0.23242736644798501</v>
      </c>
      <c r="G19" s="491">
        <f t="shared" ref="G19:M19" si="6">+G17/G8</f>
        <v>0.26126126126126126</v>
      </c>
      <c r="H19" s="491">
        <f t="shared" si="6"/>
        <v>0.29086678301337987</v>
      </c>
      <c r="I19" s="491">
        <f t="shared" si="6"/>
        <v>0.23778143876990665</v>
      </c>
      <c r="J19" s="491">
        <f t="shared" si="6"/>
        <v>0.2731877176321621</v>
      </c>
      <c r="K19" s="491">
        <f t="shared" si="6"/>
        <v>0.27156764014770057</v>
      </c>
      <c r="L19" s="491">
        <f t="shared" si="6"/>
        <v>0.25904875860005983</v>
      </c>
      <c r="M19" s="491">
        <f t="shared" si="6"/>
        <v>0.23526185906224295</v>
      </c>
    </row>
    <row r="21" spans="1:13" ht="11.25" customHeight="1">
      <c r="A21" s="487" t="s">
        <v>14</v>
      </c>
      <c r="B21" s="486" t="s">
        <v>105</v>
      </c>
    </row>
    <row r="22" spans="1:13" ht="5.2" customHeight="1"/>
    <row r="23" spans="1:13" ht="11.25" customHeight="1">
      <c r="B23" s="487" t="s">
        <v>493</v>
      </c>
      <c r="E23" s="488">
        <f>+'By Segment'!J35</f>
        <v>1043</v>
      </c>
      <c r="F23" s="488">
        <f>+'By Segment'!K35</f>
        <v>1195</v>
      </c>
      <c r="G23" s="488">
        <f>+'By Segment'!L35</f>
        <v>1694</v>
      </c>
      <c r="H23" s="488">
        <f>+'By Segment'!M35</f>
        <v>2349</v>
      </c>
      <c r="I23" s="488">
        <f>+'By Segment'!N35</f>
        <v>2378</v>
      </c>
      <c r="J23" s="488">
        <f>+'By Segment'!O35</f>
        <v>2414</v>
      </c>
      <c r="K23" s="488">
        <f>+'By Segment'!P35</f>
        <v>2457</v>
      </c>
      <c r="L23" s="488">
        <f>+'By Segment'!Q35</f>
        <v>2572</v>
      </c>
      <c r="M23" s="488">
        <f>+'By Segment'!R35</f>
        <v>2755</v>
      </c>
    </row>
    <row r="24" spans="1:13" ht="11.25" customHeight="1">
      <c r="B24" s="489" t="s">
        <v>810</v>
      </c>
      <c r="F24" s="490">
        <f>+F23/E23-1</f>
        <v>0.14573346116970276</v>
      </c>
      <c r="G24" s="490">
        <f t="shared" ref="G24:M24" si="7">+G23/F23-1</f>
        <v>0.41757322175732225</v>
      </c>
      <c r="H24" s="490">
        <f t="shared" si="7"/>
        <v>0.38665879574970474</v>
      </c>
      <c r="I24" s="490">
        <f t="shared" si="7"/>
        <v>1.2345679012345734E-2</v>
      </c>
      <c r="J24" s="490">
        <f t="shared" si="7"/>
        <v>1.5138772077375906E-2</v>
      </c>
      <c r="K24" s="490">
        <f t="shared" si="7"/>
        <v>1.7812758906379456E-2</v>
      </c>
      <c r="L24" s="490">
        <f t="shared" si="7"/>
        <v>4.6805046805046713E-2</v>
      </c>
      <c r="M24" s="490">
        <f t="shared" si="7"/>
        <v>7.1150855365474275E-2</v>
      </c>
    </row>
    <row r="26" spans="1:13" ht="11.25" customHeight="1">
      <c r="B26" s="487" t="s">
        <v>650</v>
      </c>
      <c r="E26" s="488">
        <f>+'By Segment'!J38</f>
        <v>63</v>
      </c>
      <c r="F26" s="488">
        <f>+'By Segment'!K38</f>
        <v>64</v>
      </c>
      <c r="G26" s="488">
        <f>+'By Segment'!L38</f>
        <v>109</v>
      </c>
      <c r="H26" s="488">
        <f>+'By Segment'!M38</f>
        <v>144</v>
      </c>
      <c r="I26" s="488">
        <f>+'By Segment'!N38</f>
        <v>143</v>
      </c>
      <c r="J26" s="488">
        <f>+'By Segment'!O38</f>
        <v>161</v>
      </c>
      <c r="K26" s="488">
        <f>+'By Segment'!P38</f>
        <v>160</v>
      </c>
      <c r="L26" s="488">
        <f>+'By Segment'!Q38</f>
        <v>164</v>
      </c>
      <c r="M26" s="488">
        <f>+'By Segment'!R38</f>
        <v>169</v>
      </c>
    </row>
    <row r="28" spans="1:13" ht="11.25" customHeight="1">
      <c r="B28" s="487" t="s">
        <v>811</v>
      </c>
      <c r="E28" s="488">
        <f>+'By Segment'!J36</f>
        <v>103</v>
      </c>
      <c r="F28" s="488">
        <f>+'By Segment'!K36</f>
        <v>125</v>
      </c>
      <c r="G28" s="488">
        <f>+'By Segment'!L36</f>
        <v>84</v>
      </c>
      <c r="H28" s="488">
        <f>+'By Segment'!M36</f>
        <v>257</v>
      </c>
      <c r="I28" s="488">
        <f>+'By Segment'!N36</f>
        <v>276</v>
      </c>
      <c r="J28" s="488">
        <f>+'By Segment'!O36</f>
        <v>384</v>
      </c>
      <c r="K28" s="488">
        <f>+'By Segment'!P36</f>
        <v>471</v>
      </c>
      <c r="L28" s="488">
        <f>+'By Segment'!Q36</f>
        <v>483</v>
      </c>
      <c r="M28" s="488">
        <f>+'By Segment'!R36</f>
        <v>509</v>
      </c>
    </row>
    <row r="29" spans="1:13" ht="11.25" customHeight="1">
      <c r="B29" s="489" t="s">
        <v>810</v>
      </c>
      <c r="F29" s="490">
        <f>+F28/E28-1</f>
        <v>0.21359223300970864</v>
      </c>
      <c r="G29" s="490">
        <f t="shared" ref="G29:M29" si="8">+G28/F28-1</f>
        <v>-0.32799999999999996</v>
      </c>
      <c r="H29" s="490">
        <f t="shared" si="8"/>
        <v>2.0595238095238093</v>
      </c>
      <c r="I29" s="490">
        <f t="shared" si="8"/>
        <v>7.3929961089494123E-2</v>
      </c>
      <c r="J29" s="490">
        <f t="shared" si="8"/>
        <v>0.39130434782608692</v>
      </c>
      <c r="K29" s="490">
        <f t="shared" si="8"/>
        <v>0.2265625</v>
      </c>
      <c r="L29" s="490">
        <f t="shared" si="8"/>
        <v>2.5477707006369421E-2</v>
      </c>
      <c r="M29" s="490">
        <f t="shared" si="8"/>
        <v>5.3830227743271175E-2</v>
      </c>
    </row>
    <row r="30" spans="1:13" ht="11.25" customHeight="1">
      <c r="B30" s="489" t="s">
        <v>812</v>
      </c>
      <c r="F30" s="491">
        <f>+F28/F23</f>
        <v>0.10460251046025104</v>
      </c>
      <c r="G30" s="491">
        <f t="shared" ref="G30:M30" si="9">+G28/G23</f>
        <v>4.9586776859504134E-2</v>
      </c>
      <c r="H30" s="491">
        <f t="shared" si="9"/>
        <v>0.10940825883354618</v>
      </c>
      <c r="I30" s="491">
        <f t="shared" si="9"/>
        <v>0.11606391925988226</v>
      </c>
      <c r="J30" s="491">
        <f t="shared" si="9"/>
        <v>0.15907207953603977</v>
      </c>
      <c r="K30" s="491">
        <f t="shared" si="9"/>
        <v>0.19169719169719171</v>
      </c>
      <c r="L30" s="491">
        <f t="shared" si="9"/>
        <v>0.18779160186625193</v>
      </c>
      <c r="M30" s="491">
        <f t="shared" si="9"/>
        <v>0.18475499092558983</v>
      </c>
    </row>
    <row r="31" spans="1:13" ht="11.25" customHeight="1">
      <c r="B31" s="489"/>
    </row>
    <row r="32" spans="1:13" ht="11.25" customHeight="1">
      <c r="B32" s="487" t="s">
        <v>472</v>
      </c>
      <c r="E32" s="518">
        <f>+E28+E26</f>
        <v>166</v>
      </c>
      <c r="F32" s="518">
        <f t="shared" ref="F32:M32" si="10">+F28+F26</f>
        <v>189</v>
      </c>
      <c r="G32" s="518">
        <f t="shared" si="10"/>
        <v>193</v>
      </c>
      <c r="H32" s="518">
        <f t="shared" si="10"/>
        <v>401</v>
      </c>
      <c r="I32" s="518">
        <f t="shared" si="10"/>
        <v>419</v>
      </c>
      <c r="J32" s="518">
        <f t="shared" si="10"/>
        <v>545</v>
      </c>
      <c r="K32" s="518">
        <f t="shared" si="10"/>
        <v>631</v>
      </c>
      <c r="L32" s="518">
        <f t="shared" si="10"/>
        <v>647</v>
      </c>
      <c r="M32" s="518">
        <f t="shared" si="10"/>
        <v>678</v>
      </c>
    </row>
    <row r="33" spans="1:13" ht="11.25" customHeight="1">
      <c r="B33" s="489" t="s">
        <v>810</v>
      </c>
      <c r="F33" s="490">
        <f>+F32/E32-1</f>
        <v>0.13855421686746983</v>
      </c>
      <c r="G33" s="490">
        <f t="shared" ref="G33:M33" si="11">+G32/F32-1</f>
        <v>2.1164021164021163E-2</v>
      </c>
      <c r="H33" s="490">
        <f t="shared" si="11"/>
        <v>1.0777202072538858</v>
      </c>
      <c r="I33" s="490">
        <f t="shared" si="11"/>
        <v>4.488778054862852E-2</v>
      </c>
      <c r="J33" s="490">
        <f t="shared" si="11"/>
        <v>0.30071599045346065</v>
      </c>
      <c r="K33" s="490">
        <f t="shared" si="11"/>
        <v>0.15779816513761458</v>
      </c>
      <c r="L33" s="490">
        <f t="shared" si="11"/>
        <v>2.5356576862123559E-2</v>
      </c>
      <c r="M33" s="490">
        <f t="shared" si="11"/>
        <v>4.7913446676970617E-2</v>
      </c>
    </row>
    <row r="34" spans="1:13" ht="11.25" customHeight="1">
      <c r="B34" s="489" t="s">
        <v>812</v>
      </c>
      <c r="F34" s="491">
        <f>+F32/F23</f>
        <v>0.15815899581589959</v>
      </c>
      <c r="G34" s="491">
        <f t="shared" ref="G34:M34" si="12">+G32/G23</f>
        <v>0.11393152302243212</v>
      </c>
      <c r="H34" s="491">
        <f t="shared" si="12"/>
        <v>0.17071094082588337</v>
      </c>
      <c r="I34" s="491">
        <f t="shared" si="12"/>
        <v>0.17619848612279226</v>
      </c>
      <c r="J34" s="491">
        <f t="shared" si="12"/>
        <v>0.22576636288318144</v>
      </c>
      <c r="K34" s="491">
        <f t="shared" si="12"/>
        <v>0.25681725681725681</v>
      </c>
      <c r="L34" s="491">
        <f t="shared" si="12"/>
        <v>0.25155520995334368</v>
      </c>
      <c r="M34" s="491">
        <f t="shared" si="12"/>
        <v>0.24609800362976406</v>
      </c>
    </row>
    <row r="36" spans="1:13" ht="11.25" customHeight="1">
      <c r="A36" s="487" t="s">
        <v>14</v>
      </c>
      <c r="B36" s="486" t="s">
        <v>784</v>
      </c>
    </row>
    <row r="38" spans="1:13" ht="11.25" customHeight="1">
      <c r="B38" s="487" t="s">
        <v>493</v>
      </c>
      <c r="E38" s="488">
        <f>+'By Segment'!J56</f>
        <v>1142</v>
      </c>
      <c r="F38" s="488">
        <f>+'By Segment'!K56</f>
        <v>1279</v>
      </c>
      <c r="G38" s="488">
        <f>+'By Segment'!L56</f>
        <v>1315</v>
      </c>
      <c r="H38" s="488">
        <f>+'By Segment'!M56</f>
        <v>1441</v>
      </c>
      <c r="I38" s="488">
        <f>+'By Segment'!N56</f>
        <v>1457</v>
      </c>
      <c r="J38" s="488">
        <f>+'By Segment'!O56</f>
        <v>1219</v>
      </c>
      <c r="K38" s="488">
        <f>+'By Segment'!P56</f>
        <v>992</v>
      </c>
      <c r="L38" s="488">
        <f>+'By Segment'!Q56</f>
        <v>852</v>
      </c>
      <c r="M38" s="488">
        <f>+'By Segment'!R56</f>
        <v>918</v>
      </c>
    </row>
    <row r="39" spans="1:13" ht="11.25" customHeight="1">
      <c r="B39" s="489" t="s">
        <v>810</v>
      </c>
      <c r="F39" s="490">
        <f>+F38/E38-1</f>
        <v>0.11996497373029769</v>
      </c>
      <c r="G39" s="490">
        <f t="shared" ref="G39:M39" si="13">+G38/F38-1</f>
        <v>2.8146989835809322E-2</v>
      </c>
      <c r="H39" s="490">
        <f t="shared" si="13"/>
        <v>9.5817490494296553E-2</v>
      </c>
      <c r="I39" s="490">
        <f t="shared" si="13"/>
        <v>1.1103400416377474E-2</v>
      </c>
      <c r="J39" s="490">
        <f t="shared" si="13"/>
        <v>-0.16334934797529166</v>
      </c>
      <c r="K39" s="490">
        <f t="shared" si="13"/>
        <v>-0.18621821164889252</v>
      </c>
      <c r="L39" s="490">
        <f t="shared" si="13"/>
        <v>-0.1411290322580645</v>
      </c>
      <c r="M39" s="490">
        <f t="shared" si="13"/>
        <v>7.7464788732394263E-2</v>
      </c>
    </row>
    <row r="41" spans="1:13" ht="11.25" customHeight="1">
      <c r="B41" s="487" t="s">
        <v>650</v>
      </c>
      <c r="E41" s="488">
        <f>+'By Segment'!J59</f>
        <v>61</v>
      </c>
      <c r="F41" s="488">
        <f>+'By Segment'!K59</f>
        <v>68</v>
      </c>
      <c r="G41" s="488">
        <f>+'By Segment'!L59</f>
        <v>66</v>
      </c>
      <c r="H41" s="488">
        <f>+'By Segment'!M59</f>
        <v>65</v>
      </c>
      <c r="I41" s="488">
        <f>+'By Segment'!N59</f>
        <v>66</v>
      </c>
      <c r="J41" s="488">
        <f>+'By Segment'!O59</f>
        <v>55</v>
      </c>
      <c r="K41" s="488">
        <f>+'By Segment'!P59</f>
        <v>51</v>
      </c>
      <c r="L41" s="488">
        <f>+'By Segment'!Q59</f>
        <v>58</v>
      </c>
      <c r="M41" s="488">
        <f>+'By Segment'!R59</f>
        <v>64</v>
      </c>
    </row>
    <row r="43" spans="1:13" ht="11.25" customHeight="1">
      <c r="B43" s="487" t="s">
        <v>811</v>
      </c>
      <c r="E43" s="488">
        <f>+'By Segment'!J57</f>
        <v>339</v>
      </c>
      <c r="F43" s="488">
        <f>+'By Segment'!K57</f>
        <v>365</v>
      </c>
      <c r="G43" s="488">
        <f>+'By Segment'!L57</f>
        <v>385</v>
      </c>
      <c r="H43" s="488">
        <f>+'By Segment'!M57</f>
        <v>462</v>
      </c>
      <c r="I43" s="488">
        <f>+'By Segment'!N57</f>
        <v>474</v>
      </c>
      <c r="J43" s="488">
        <f>+'By Segment'!O57</f>
        <v>292</v>
      </c>
      <c r="K43" s="488">
        <f>+'By Segment'!P57</f>
        <v>310</v>
      </c>
      <c r="L43" s="488">
        <f>+'By Segment'!Q57</f>
        <v>181</v>
      </c>
      <c r="M43" s="488">
        <f>+'By Segment'!R57</f>
        <v>257</v>
      </c>
    </row>
    <row r="44" spans="1:13" ht="11.25" customHeight="1">
      <c r="B44" s="489" t="s">
        <v>810</v>
      </c>
      <c r="F44" s="490">
        <f>+F43/E43-1</f>
        <v>7.6696165191740384E-2</v>
      </c>
      <c r="G44" s="490">
        <f t="shared" ref="G44:M44" si="14">+G43/F43-1</f>
        <v>5.4794520547945202E-2</v>
      </c>
      <c r="H44" s="490">
        <f t="shared" si="14"/>
        <v>0.19999999999999996</v>
      </c>
      <c r="I44" s="490">
        <f t="shared" si="14"/>
        <v>2.5974025974025983E-2</v>
      </c>
      <c r="J44" s="490">
        <f t="shared" si="14"/>
        <v>-0.38396624472573837</v>
      </c>
      <c r="K44" s="490">
        <f t="shared" si="14"/>
        <v>6.164383561643838E-2</v>
      </c>
      <c r="L44" s="490">
        <f t="shared" si="14"/>
        <v>-0.41612903225806452</v>
      </c>
      <c r="M44" s="490">
        <f t="shared" si="14"/>
        <v>0.41988950276243098</v>
      </c>
    </row>
    <row r="45" spans="1:13" ht="11.25" customHeight="1">
      <c r="B45" s="489" t="s">
        <v>812</v>
      </c>
      <c r="E45" s="491">
        <f>+E43/E38</f>
        <v>0.29684763572679512</v>
      </c>
      <c r="F45" s="491">
        <f>+F43/F38</f>
        <v>0.28537920250195464</v>
      </c>
      <c r="G45" s="491">
        <f t="shared" ref="G45:M45" si="15">+G43/G38</f>
        <v>0.29277566539923955</v>
      </c>
      <c r="H45" s="491">
        <f t="shared" si="15"/>
        <v>0.32061068702290074</v>
      </c>
      <c r="I45" s="491">
        <f t="shared" si="15"/>
        <v>0.32532601235415237</v>
      </c>
      <c r="J45" s="491">
        <f t="shared" si="15"/>
        <v>0.23954060705496308</v>
      </c>
      <c r="K45" s="491">
        <f t="shared" si="15"/>
        <v>0.3125</v>
      </c>
      <c r="L45" s="491">
        <f t="shared" si="15"/>
        <v>0.21244131455399062</v>
      </c>
      <c r="M45" s="491">
        <f t="shared" si="15"/>
        <v>0.27995642701525053</v>
      </c>
    </row>
    <row r="46" spans="1:13" ht="11.25" customHeight="1">
      <c r="B46" s="489"/>
    </row>
    <row r="47" spans="1:13" ht="11.25" customHeight="1">
      <c r="B47" s="487" t="s">
        <v>472</v>
      </c>
      <c r="E47" s="534">
        <f>+E43+E41</f>
        <v>400</v>
      </c>
      <c r="F47" s="534">
        <f t="shared" ref="F47:M47" si="16">+F43+F41</f>
        <v>433</v>
      </c>
      <c r="G47" s="534">
        <f t="shared" si="16"/>
        <v>451</v>
      </c>
      <c r="H47" s="534">
        <f t="shared" si="16"/>
        <v>527</v>
      </c>
      <c r="I47" s="534">
        <f t="shared" si="16"/>
        <v>540</v>
      </c>
      <c r="J47" s="534">
        <f t="shared" si="16"/>
        <v>347</v>
      </c>
      <c r="K47" s="534">
        <f t="shared" si="16"/>
        <v>361</v>
      </c>
      <c r="L47" s="534">
        <f t="shared" si="16"/>
        <v>239</v>
      </c>
      <c r="M47" s="534">
        <f t="shared" si="16"/>
        <v>321</v>
      </c>
    </row>
    <row r="48" spans="1:13" ht="11.25" customHeight="1">
      <c r="B48" s="489" t="s">
        <v>810</v>
      </c>
      <c r="F48" s="490">
        <f>+F47/E47-1</f>
        <v>8.2500000000000018E-2</v>
      </c>
      <c r="G48" s="490">
        <f t="shared" ref="G48:M48" si="17">+G47/F47-1</f>
        <v>4.1570438799076292E-2</v>
      </c>
      <c r="H48" s="490">
        <f t="shared" si="17"/>
        <v>0.16851441241685139</v>
      </c>
      <c r="I48" s="490">
        <f t="shared" si="17"/>
        <v>2.4667931688804545E-2</v>
      </c>
      <c r="J48" s="490">
        <f t="shared" si="17"/>
        <v>-0.3574074074074074</v>
      </c>
      <c r="K48" s="490">
        <f t="shared" si="17"/>
        <v>4.0345821325648457E-2</v>
      </c>
      <c r="L48" s="490">
        <f t="shared" si="17"/>
        <v>-0.33795013850415512</v>
      </c>
      <c r="M48" s="490">
        <f t="shared" si="17"/>
        <v>0.34309623430962333</v>
      </c>
    </row>
    <row r="49" spans="1:13" ht="11.25" customHeight="1">
      <c r="B49" s="489" t="s">
        <v>812</v>
      </c>
      <c r="F49" s="491">
        <f>+F47/F38</f>
        <v>0.33854573885848321</v>
      </c>
      <c r="G49" s="491">
        <f t="shared" ref="G49:M49" si="18">+G47/G38</f>
        <v>0.34296577946768059</v>
      </c>
      <c r="H49" s="491">
        <f t="shared" si="18"/>
        <v>0.36571825121443441</v>
      </c>
      <c r="I49" s="491">
        <f t="shared" si="18"/>
        <v>0.37062457103637614</v>
      </c>
      <c r="J49" s="491">
        <f t="shared" si="18"/>
        <v>0.28465955701394585</v>
      </c>
      <c r="K49" s="491">
        <f t="shared" si="18"/>
        <v>0.36391129032258063</v>
      </c>
      <c r="L49" s="491">
        <f t="shared" si="18"/>
        <v>0.28051643192488263</v>
      </c>
      <c r="M49" s="491">
        <f t="shared" si="18"/>
        <v>0.34967320261437906</v>
      </c>
    </row>
    <row r="52" spans="1:13" ht="11.25" customHeight="1">
      <c r="A52" s="487" t="s">
        <v>14</v>
      </c>
      <c r="B52" s="486" t="s">
        <v>106</v>
      </c>
    </row>
    <row r="54" spans="1:13" ht="11.25" customHeight="1">
      <c r="B54" s="487" t="s">
        <v>493</v>
      </c>
      <c r="I54" s="488">
        <f>+'By Segment'!N77</f>
        <v>3853</v>
      </c>
      <c r="J54" s="488">
        <f>+'By Segment'!O77</f>
        <v>2811</v>
      </c>
      <c r="K54" s="488">
        <f>+'By Segment'!P77</f>
        <v>2534</v>
      </c>
      <c r="L54" s="488">
        <f>+'By Segment'!Q77</f>
        <v>2728</v>
      </c>
      <c r="M54" s="488">
        <f>+'By Segment'!R77</f>
        <v>2831</v>
      </c>
    </row>
    <row r="55" spans="1:13" ht="11.25" customHeight="1">
      <c r="B55" s="489" t="s">
        <v>810</v>
      </c>
      <c r="J55" s="490">
        <f>+J54/I54-1</f>
        <v>-0.27043861925772128</v>
      </c>
      <c r="K55" s="490">
        <f>+K54/J54-1</f>
        <v>-9.8541444325862648E-2</v>
      </c>
      <c r="L55" s="490">
        <f>+L54/K54-1</f>
        <v>7.6558800315706499E-2</v>
      </c>
      <c r="M55" s="490">
        <f>+M54/L54-1</f>
        <v>3.7756598240469286E-2</v>
      </c>
    </row>
    <row r="57" spans="1:13" ht="11.25" customHeight="1">
      <c r="B57" s="487" t="s">
        <v>650</v>
      </c>
      <c r="J57" s="488">
        <f>+'By Segment'!O80</f>
        <v>149</v>
      </c>
      <c r="K57" s="488">
        <f>+'By Segment'!P80</f>
        <v>157</v>
      </c>
      <c r="L57" s="488">
        <f>+'By Segment'!Q80</f>
        <v>148</v>
      </c>
      <c r="M57" s="488">
        <f>+'By Segment'!R80</f>
        <v>151</v>
      </c>
    </row>
    <row r="59" spans="1:13" ht="11.25" customHeight="1">
      <c r="B59" s="487" t="s">
        <v>811</v>
      </c>
      <c r="J59" s="488">
        <f>+'By Segment'!O78</f>
        <v>294</v>
      </c>
      <c r="K59" s="488">
        <f>+'By Segment'!P78</f>
        <v>171</v>
      </c>
      <c r="L59" s="488">
        <f>+'By Segment'!Q78</f>
        <v>255</v>
      </c>
      <c r="M59" s="488">
        <f>+'By Segment'!R78</f>
        <v>308</v>
      </c>
    </row>
    <row r="60" spans="1:13" ht="11.25" customHeight="1">
      <c r="B60" s="489" t="s">
        <v>810</v>
      </c>
      <c r="J60" s="490"/>
      <c r="K60" s="490">
        <f>+K59/J59-1</f>
        <v>-0.41836734693877553</v>
      </c>
      <c r="L60" s="490">
        <f>+L59/K59-1</f>
        <v>0.49122807017543857</v>
      </c>
      <c r="M60" s="490">
        <f>+M59/L59-1</f>
        <v>0.20784313725490189</v>
      </c>
    </row>
    <row r="61" spans="1:13" ht="11.25" customHeight="1">
      <c r="B61" s="489" t="s">
        <v>812</v>
      </c>
      <c r="F61" s="491"/>
      <c r="G61" s="491"/>
      <c r="H61" s="491"/>
      <c r="I61" s="491"/>
      <c r="J61" s="491"/>
      <c r="K61" s="491">
        <f>+K59/K54</f>
        <v>6.7482241515390687E-2</v>
      </c>
      <c r="L61" s="491">
        <f>+L59/L54</f>
        <v>9.3475073313782991E-2</v>
      </c>
      <c r="M61" s="491">
        <f>+M59/M54</f>
        <v>0.10879547862945955</v>
      </c>
    </row>
    <row r="62" spans="1:13" ht="11.25" customHeight="1">
      <c r="B62" s="489"/>
    </row>
    <row r="63" spans="1:13" ht="11.25" customHeight="1">
      <c r="B63" s="487" t="s">
        <v>472</v>
      </c>
      <c r="J63" s="534">
        <f>+J59+J57</f>
        <v>443</v>
      </c>
      <c r="K63" s="534">
        <f>+K59+K57</f>
        <v>328</v>
      </c>
      <c r="L63" s="534">
        <f>+L59+L57</f>
        <v>403</v>
      </c>
      <c r="M63" s="534">
        <f>+M59+M57</f>
        <v>459</v>
      </c>
    </row>
    <row r="64" spans="1:13" ht="11.25" customHeight="1">
      <c r="B64" s="489" t="s">
        <v>810</v>
      </c>
      <c r="J64" s="490"/>
      <c r="K64" s="490">
        <f>+K63/J63-1</f>
        <v>-0.2595936794582393</v>
      </c>
      <c r="L64" s="490">
        <f>+L63/K63-1</f>
        <v>0.22865853658536595</v>
      </c>
      <c r="M64" s="490">
        <f>+M63/L63-1</f>
        <v>0.13895781637717119</v>
      </c>
    </row>
    <row r="65" spans="1:13" ht="11.25" customHeight="1">
      <c r="B65" s="489" t="s">
        <v>812</v>
      </c>
      <c r="F65" s="491"/>
      <c r="G65" s="491"/>
      <c r="H65" s="491"/>
      <c r="I65" s="491"/>
      <c r="J65" s="491"/>
      <c r="K65" s="491">
        <f>+K63/K54</f>
        <v>0.12943962115232832</v>
      </c>
      <c r="L65" s="491">
        <f>+L63/L54</f>
        <v>0.14772727272727273</v>
      </c>
      <c r="M65" s="491">
        <f>+M63/M54</f>
        <v>0.16213352172377252</v>
      </c>
    </row>
    <row r="76" spans="1:13" ht="11.25" customHeight="1">
      <c r="A76" s="487" t="s">
        <v>852</v>
      </c>
    </row>
  </sheetData>
  <pageMargins left="0.7" right="0.7" top="0.75" bottom="0.75" header="0.3" footer="0.3"/>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DC439-B13E-4C88-A292-A2446BF42E2B}">
  <sheetPr codeName="Sheet22"/>
  <dimension ref="A1:J33"/>
  <sheetViews>
    <sheetView workbookViewId="0">
      <selection activeCell="B26" sqref="B26"/>
    </sheetView>
  </sheetViews>
  <sheetFormatPr defaultRowHeight="14.25"/>
  <cols>
    <col min="1" max="1" width="15.796875" style="631" customWidth="1"/>
    <col min="2" max="2" width="37.796875" style="631" customWidth="1"/>
    <col min="3" max="5" width="15.796875" style="631" customWidth="1"/>
    <col min="6" max="6" width="30.796875" style="631" customWidth="1"/>
    <col min="7" max="7" width="37.796875" style="631" customWidth="1"/>
    <col min="8" max="8" width="20.19921875" style="631" customWidth="1"/>
    <col min="9" max="9" width="37.796875" style="631" customWidth="1"/>
    <col min="10" max="10" width="26.53125" style="631" customWidth="1"/>
    <col min="11" max="256" width="9.19921875" style="631"/>
    <col min="257" max="257" width="15.796875" style="631" customWidth="1"/>
    <col min="258" max="258" width="37.796875" style="631" customWidth="1"/>
    <col min="259" max="261" width="15.796875" style="631" customWidth="1"/>
    <col min="262" max="262" width="30.796875" style="631" customWidth="1"/>
    <col min="263" max="263" width="37.796875" style="631" customWidth="1"/>
    <col min="264" max="264" width="20.19921875" style="631" customWidth="1"/>
    <col min="265" max="265" width="37.796875" style="631" customWidth="1"/>
    <col min="266" max="266" width="26.53125" style="631" customWidth="1"/>
    <col min="267" max="512" width="9.19921875" style="631"/>
    <col min="513" max="513" width="15.796875" style="631" customWidth="1"/>
    <col min="514" max="514" width="37.796875" style="631" customWidth="1"/>
    <col min="515" max="517" width="15.796875" style="631" customWidth="1"/>
    <col min="518" max="518" width="30.796875" style="631" customWidth="1"/>
    <col min="519" max="519" width="37.796875" style="631" customWidth="1"/>
    <col min="520" max="520" width="20.19921875" style="631" customWidth="1"/>
    <col min="521" max="521" width="37.796875" style="631" customWidth="1"/>
    <col min="522" max="522" width="26.53125" style="631" customWidth="1"/>
    <col min="523" max="768" width="9.19921875" style="631"/>
    <col min="769" max="769" width="15.796875" style="631" customWidth="1"/>
    <col min="770" max="770" width="37.796875" style="631" customWidth="1"/>
    <col min="771" max="773" width="15.796875" style="631" customWidth="1"/>
    <col min="774" max="774" width="30.796875" style="631" customWidth="1"/>
    <col min="775" max="775" width="37.796875" style="631" customWidth="1"/>
    <col min="776" max="776" width="20.19921875" style="631" customWidth="1"/>
    <col min="777" max="777" width="37.796875" style="631" customWidth="1"/>
    <col min="778" max="778" width="26.53125" style="631" customWidth="1"/>
    <col min="779" max="1024" width="9.19921875" style="631"/>
    <col min="1025" max="1025" width="15.796875" style="631" customWidth="1"/>
    <col min="1026" max="1026" width="37.796875" style="631" customWidth="1"/>
    <col min="1027" max="1029" width="15.796875" style="631" customWidth="1"/>
    <col min="1030" max="1030" width="30.796875" style="631" customWidth="1"/>
    <col min="1031" max="1031" width="37.796875" style="631" customWidth="1"/>
    <col min="1032" max="1032" width="20.19921875" style="631" customWidth="1"/>
    <col min="1033" max="1033" width="37.796875" style="631" customWidth="1"/>
    <col min="1034" max="1034" width="26.53125" style="631" customWidth="1"/>
    <col min="1035" max="1280" width="9.19921875" style="631"/>
    <col min="1281" max="1281" width="15.796875" style="631" customWidth="1"/>
    <col min="1282" max="1282" width="37.796875" style="631" customWidth="1"/>
    <col min="1283" max="1285" width="15.796875" style="631" customWidth="1"/>
    <col min="1286" max="1286" width="30.796875" style="631" customWidth="1"/>
    <col min="1287" max="1287" width="37.796875" style="631" customWidth="1"/>
    <col min="1288" max="1288" width="20.19921875" style="631" customWidth="1"/>
    <col min="1289" max="1289" width="37.796875" style="631" customWidth="1"/>
    <col min="1290" max="1290" width="26.53125" style="631" customWidth="1"/>
    <col min="1291" max="1536" width="9.19921875" style="631"/>
    <col min="1537" max="1537" width="15.796875" style="631" customWidth="1"/>
    <col min="1538" max="1538" width="37.796875" style="631" customWidth="1"/>
    <col min="1539" max="1541" width="15.796875" style="631" customWidth="1"/>
    <col min="1542" max="1542" width="30.796875" style="631" customWidth="1"/>
    <col min="1543" max="1543" width="37.796875" style="631" customWidth="1"/>
    <col min="1544" max="1544" width="20.19921875" style="631" customWidth="1"/>
    <col min="1545" max="1545" width="37.796875" style="631" customWidth="1"/>
    <col min="1546" max="1546" width="26.53125" style="631" customWidth="1"/>
    <col min="1547" max="1792" width="9.19921875" style="631"/>
    <col min="1793" max="1793" width="15.796875" style="631" customWidth="1"/>
    <col min="1794" max="1794" width="37.796875" style="631" customWidth="1"/>
    <col min="1795" max="1797" width="15.796875" style="631" customWidth="1"/>
    <col min="1798" max="1798" width="30.796875" style="631" customWidth="1"/>
    <col min="1799" max="1799" width="37.796875" style="631" customWidth="1"/>
    <col min="1800" max="1800" width="20.19921875" style="631" customWidth="1"/>
    <col min="1801" max="1801" width="37.796875" style="631" customWidth="1"/>
    <col min="1802" max="1802" width="26.53125" style="631" customWidth="1"/>
    <col min="1803" max="2048" width="9.19921875" style="631"/>
    <col min="2049" max="2049" width="15.796875" style="631" customWidth="1"/>
    <col min="2050" max="2050" width="37.796875" style="631" customWidth="1"/>
    <col min="2051" max="2053" width="15.796875" style="631" customWidth="1"/>
    <col min="2054" max="2054" width="30.796875" style="631" customWidth="1"/>
    <col min="2055" max="2055" width="37.796875" style="631" customWidth="1"/>
    <col min="2056" max="2056" width="20.19921875" style="631" customWidth="1"/>
    <col min="2057" max="2057" width="37.796875" style="631" customWidth="1"/>
    <col min="2058" max="2058" width="26.53125" style="631" customWidth="1"/>
    <col min="2059" max="2304" width="9.19921875" style="631"/>
    <col min="2305" max="2305" width="15.796875" style="631" customWidth="1"/>
    <col min="2306" max="2306" width="37.796875" style="631" customWidth="1"/>
    <col min="2307" max="2309" width="15.796875" style="631" customWidth="1"/>
    <col min="2310" max="2310" width="30.796875" style="631" customWidth="1"/>
    <col min="2311" max="2311" width="37.796875" style="631" customWidth="1"/>
    <col min="2312" max="2312" width="20.19921875" style="631" customWidth="1"/>
    <col min="2313" max="2313" width="37.796875" style="631" customWidth="1"/>
    <col min="2314" max="2314" width="26.53125" style="631" customWidth="1"/>
    <col min="2315" max="2560" width="9.19921875" style="631"/>
    <col min="2561" max="2561" width="15.796875" style="631" customWidth="1"/>
    <col min="2562" max="2562" width="37.796875" style="631" customWidth="1"/>
    <col min="2563" max="2565" width="15.796875" style="631" customWidth="1"/>
    <col min="2566" max="2566" width="30.796875" style="631" customWidth="1"/>
    <col min="2567" max="2567" width="37.796875" style="631" customWidth="1"/>
    <col min="2568" max="2568" width="20.19921875" style="631" customWidth="1"/>
    <col min="2569" max="2569" width="37.796875" style="631" customWidth="1"/>
    <col min="2570" max="2570" width="26.53125" style="631" customWidth="1"/>
    <col min="2571" max="2816" width="9.19921875" style="631"/>
    <col min="2817" max="2817" width="15.796875" style="631" customWidth="1"/>
    <col min="2818" max="2818" width="37.796875" style="631" customWidth="1"/>
    <col min="2819" max="2821" width="15.796875" style="631" customWidth="1"/>
    <col min="2822" max="2822" width="30.796875" style="631" customWidth="1"/>
    <col min="2823" max="2823" width="37.796875" style="631" customWidth="1"/>
    <col min="2824" max="2824" width="20.19921875" style="631" customWidth="1"/>
    <col min="2825" max="2825" width="37.796875" style="631" customWidth="1"/>
    <col min="2826" max="2826" width="26.53125" style="631" customWidth="1"/>
    <col min="2827" max="3072" width="9.19921875" style="631"/>
    <col min="3073" max="3073" width="15.796875" style="631" customWidth="1"/>
    <col min="3074" max="3074" width="37.796875" style="631" customWidth="1"/>
    <col min="3075" max="3077" width="15.796875" style="631" customWidth="1"/>
    <col min="3078" max="3078" width="30.796875" style="631" customWidth="1"/>
    <col min="3079" max="3079" width="37.796875" style="631" customWidth="1"/>
    <col min="3080" max="3080" width="20.19921875" style="631" customWidth="1"/>
    <col min="3081" max="3081" width="37.796875" style="631" customWidth="1"/>
    <col min="3082" max="3082" width="26.53125" style="631" customWidth="1"/>
    <col min="3083" max="3328" width="9.19921875" style="631"/>
    <col min="3329" max="3329" width="15.796875" style="631" customWidth="1"/>
    <col min="3330" max="3330" width="37.796875" style="631" customWidth="1"/>
    <col min="3331" max="3333" width="15.796875" style="631" customWidth="1"/>
    <col min="3334" max="3334" width="30.796875" style="631" customWidth="1"/>
    <col min="3335" max="3335" width="37.796875" style="631" customWidth="1"/>
    <col min="3336" max="3336" width="20.19921875" style="631" customWidth="1"/>
    <col min="3337" max="3337" width="37.796875" style="631" customWidth="1"/>
    <col min="3338" max="3338" width="26.53125" style="631" customWidth="1"/>
    <col min="3339" max="3584" width="9.19921875" style="631"/>
    <col min="3585" max="3585" width="15.796875" style="631" customWidth="1"/>
    <col min="3586" max="3586" width="37.796875" style="631" customWidth="1"/>
    <col min="3587" max="3589" width="15.796875" style="631" customWidth="1"/>
    <col min="3590" max="3590" width="30.796875" style="631" customWidth="1"/>
    <col min="3591" max="3591" width="37.796875" style="631" customWidth="1"/>
    <col min="3592" max="3592" width="20.19921875" style="631" customWidth="1"/>
    <col min="3593" max="3593" width="37.796875" style="631" customWidth="1"/>
    <col min="3594" max="3594" width="26.53125" style="631" customWidth="1"/>
    <col min="3595" max="3840" width="9.19921875" style="631"/>
    <col min="3841" max="3841" width="15.796875" style="631" customWidth="1"/>
    <col min="3842" max="3842" width="37.796875" style="631" customWidth="1"/>
    <col min="3843" max="3845" width="15.796875" style="631" customWidth="1"/>
    <col min="3846" max="3846" width="30.796875" style="631" customWidth="1"/>
    <col min="3847" max="3847" width="37.796875" style="631" customWidth="1"/>
    <col min="3848" max="3848" width="20.19921875" style="631" customWidth="1"/>
    <col min="3849" max="3849" width="37.796875" style="631" customWidth="1"/>
    <col min="3850" max="3850" width="26.53125" style="631" customWidth="1"/>
    <col min="3851" max="4096" width="9.19921875" style="631"/>
    <col min="4097" max="4097" width="15.796875" style="631" customWidth="1"/>
    <col min="4098" max="4098" width="37.796875" style="631" customWidth="1"/>
    <col min="4099" max="4101" width="15.796875" style="631" customWidth="1"/>
    <col min="4102" max="4102" width="30.796875" style="631" customWidth="1"/>
    <col min="4103" max="4103" width="37.796875" style="631" customWidth="1"/>
    <col min="4104" max="4104" width="20.19921875" style="631" customWidth="1"/>
    <col min="4105" max="4105" width="37.796875" style="631" customWidth="1"/>
    <col min="4106" max="4106" width="26.53125" style="631" customWidth="1"/>
    <col min="4107" max="4352" width="9.19921875" style="631"/>
    <col min="4353" max="4353" width="15.796875" style="631" customWidth="1"/>
    <col min="4354" max="4354" width="37.796875" style="631" customWidth="1"/>
    <col min="4355" max="4357" width="15.796875" style="631" customWidth="1"/>
    <col min="4358" max="4358" width="30.796875" style="631" customWidth="1"/>
    <col min="4359" max="4359" width="37.796875" style="631" customWidth="1"/>
    <col min="4360" max="4360" width="20.19921875" style="631" customWidth="1"/>
    <col min="4361" max="4361" width="37.796875" style="631" customWidth="1"/>
    <col min="4362" max="4362" width="26.53125" style="631" customWidth="1"/>
    <col min="4363" max="4608" width="9.19921875" style="631"/>
    <col min="4609" max="4609" width="15.796875" style="631" customWidth="1"/>
    <col min="4610" max="4610" width="37.796875" style="631" customWidth="1"/>
    <col min="4611" max="4613" width="15.796875" style="631" customWidth="1"/>
    <col min="4614" max="4614" width="30.796875" style="631" customWidth="1"/>
    <col min="4615" max="4615" width="37.796875" style="631" customWidth="1"/>
    <col min="4616" max="4616" width="20.19921875" style="631" customWidth="1"/>
    <col min="4617" max="4617" width="37.796875" style="631" customWidth="1"/>
    <col min="4618" max="4618" width="26.53125" style="631" customWidth="1"/>
    <col min="4619" max="4864" width="9.19921875" style="631"/>
    <col min="4865" max="4865" width="15.796875" style="631" customWidth="1"/>
    <col min="4866" max="4866" width="37.796875" style="631" customWidth="1"/>
    <col min="4867" max="4869" width="15.796875" style="631" customWidth="1"/>
    <col min="4870" max="4870" width="30.796875" style="631" customWidth="1"/>
    <col min="4871" max="4871" width="37.796875" style="631" customWidth="1"/>
    <col min="4872" max="4872" width="20.19921875" style="631" customWidth="1"/>
    <col min="4873" max="4873" width="37.796875" style="631" customWidth="1"/>
    <col min="4874" max="4874" width="26.53125" style="631" customWidth="1"/>
    <col min="4875" max="5120" width="9.19921875" style="631"/>
    <col min="5121" max="5121" width="15.796875" style="631" customWidth="1"/>
    <col min="5122" max="5122" width="37.796875" style="631" customWidth="1"/>
    <col min="5123" max="5125" width="15.796875" style="631" customWidth="1"/>
    <col min="5126" max="5126" width="30.796875" style="631" customWidth="1"/>
    <col min="5127" max="5127" width="37.796875" style="631" customWidth="1"/>
    <col min="5128" max="5128" width="20.19921875" style="631" customWidth="1"/>
    <col min="5129" max="5129" width="37.796875" style="631" customWidth="1"/>
    <col min="5130" max="5130" width="26.53125" style="631" customWidth="1"/>
    <col min="5131" max="5376" width="9.19921875" style="631"/>
    <col min="5377" max="5377" width="15.796875" style="631" customWidth="1"/>
    <col min="5378" max="5378" width="37.796875" style="631" customWidth="1"/>
    <col min="5379" max="5381" width="15.796875" style="631" customWidth="1"/>
    <col min="5382" max="5382" width="30.796875" style="631" customWidth="1"/>
    <col min="5383" max="5383" width="37.796875" style="631" customWidth="1"/>
    <col min="5384" max="5384" width="20.19921875" style="631" customWidth="1"/>
    <col min="5385" max="5385" width="37.796875" style="631" customWidth="1"/>
    <col min="5386" max="5386" width="26.53125" style="631" customWidth="1"/>
    <col min="5387" max="5632" width="9.19921875" style="631"/>
    <col min="5633" max="5633" width="15.796875" style="631" customWidth="1"/>
    <col min="5634" max="5634" width="37.796875" style="631" customWidth="1"/>
    <col min="5635" max="5637" width="15.796875" style="631" customWidth="1"/>
    <col min="5638" max="5638" width="30.796875" style="631" customWidth="1"/>
    <col min="5639" max="5639" width="37.796875" style="631" customWidth="1"/>
    <col min="5640" max="5640" width="20.19921875" style="631" customWidth="1"/>
    <col min="5641" max="5641" width="37.796875" style="631" customWidth="1"/>
    <col min="5642" max="5642" width="26.53125" style="631" customWidth="1"/>
    <col min="5643" max="5888" width="9.19921875" style="631"/>
    <col min="5889" max="5889" width="15.796875" style="631" customWidth="1"/>
    <col min="5890" max="5890" width="37.796875" style="631" customWidth="1"/>
    <col min="5891" max="5893" width="15.796875" style="631" customWidth="1"/>
    <col min="5894" max="5894" width="30.796875" style="631" customWidth="1"/>
    <col min="5895" max="5895" width="37.796875" style="631" customWidth="1"/>
    <col min="5896" max="5896" width="20.19921875" style="631" customWidth="1"/>
    <col min="5897" max="5897" width="37.796875" style="631" customWidth="1"/>
    <col min="5898" max="5898" width="26.53125" style="631" customWidth="1"/>
    <col min="5899" max="6144" width="9.19921875" style="631"/>
    <col min="6145" max="6145" width="15.796875" style="631" customWidth="1"/>
    <col min="6146" max="6146" width="37.796875" style="631" customWidth="1"/>
    <col min="6147" max="6149" width="15.796875" style="631" customWidth="1"/>
    <col min="6150" max="6150" width="30.796875" style="631" customWidth="1"/>
    <col min="6151" max="6151" width="37.796875" style="631" customWidth="1"/>
    <col min="6152" max="6152" width="20.19921875" style="631" customWidth="1"/>
    <col min="6153" max="6153" width="37.796875" style="631" customWidth="1"/>
    <col min="6154" max="6154" width="26.53125" style="631" customWidth="1"/>
    <col min="6155" max="6400" width="9.19921875" style="631"/>
    <col min="6401" max="6401" width="15.796875" style="631" customWidth="1"/>
    <col min="6402" max="6402" width="37.796875" style="631" customWidth="1"/>
    <col min="6403" max="6405" width="15.796875" style="631" customWidth="1"/>
    <col min="6406" max="6406" width="30.796875" style="631" customWidth="1"/>
    <col min="6407" max="6407" width="37.796875" style="631" customWidth="1"/>
    <col min="6408" max="6408" width="20.19921875" style="631" customWidth="1"/>
    <col min="6409" max="6409" width="37.796875" style="631" customWidth="1"/>
    <col min="6410" max="6410" width="26.53125" style="631" customWidth="1"/>
    <col min="6411" max="6656" width="9.19921875" style="631"/>
    <col min="6657" max="6657" width="15.796875" style="631" customWidth="1"/>
    <col min="6658" max="6658" width="37.796875" style="631" customWidth="1"/>
    <col min="6659" max="6661" width="15.796875" style="631" customWidth="1"/>
    <col min="6662" max="6662" width="30.796875" style="631" customWidth="1"/>
    <col min="6663" max="6663" width="37.796875" style="631" customWidth="1"/>
    <col min="6664" max="6664" width="20.19921875" style="631" customWidth="1"/>
    <col min="6665" max="6665" width="37.796875" style="631" customWidth="1"/>
    <col min="6666" max="6666" width="26.53125" style="631" customWidth="1"/>
    <col min="6667" max="6912" width="9.19921875" style="631"/>
    <col min="6913" max="6913" width="15.796875" style="631" customWidth="1"/>
    <col min="6914" max="6914" width="37.796875" style="631" customWidth="1"/>
    <col min="6915" max="6917" width="15.796875" style="631" customWidth="1"/>
    <col min="6918" max="6918" width="30.796875" style="631" customWidth="1"/>
    <col min="6919" max="6919" width="37.796875" style="631" customWidth="1"/>
    <col min="6920" max="6920" width="20.19921875" style="631" customWidth="1"/>
    <col min="6921" max="6921" width="37.796875" style="631" customWidth="1"/>
    <col min="6922" max="6922" width="26.53125" style="631" customWidth="1"/>
    <col min="6923" max="7168" width="9.19921875" style="631"/>
    <col min="7169" max="7169" width="15.796875" style="631" customWidth="1"/>
    <col min="7170" max="7170" width="37.796875" style="631" customWidth="1"/>
    <col min="7171" max="7173" width="15.796875" style="631" customWidth="1"/>
    <col min="7174" max="7174" width="30.796875" style="631" customWidth="1"/>
    <col min="7175" max="7175" width="37.796875" style="631" customWidth="1"/>
    <col min="7176" max="7176" width="20.19921875" style="631" customWidth="1"/>
    <col min="7177" max="7177" width="37.796875" style="631" customWidth="1"/>
    <col min="7178" max="7178" width="26.53125" style="631" customWidth="1"/>
    <col min="7179" max="7424" width="9.19921875" style="631"/>
    <col min="7425" max="7425" width="15.796875" style="631" customWidth="1"/>
    <col min="7426" max="7426" width="37.796875" style="631" customWidth="1"/>
    <col min="7427" max="7429" width="15.796875" style="631" customWidth="1"/>
    <col min="7430" max="7430" width="30.796875" style="631" customWidth="1"/>
    <col min="7431" max="7431" width="37.796875" style="631" customWidth="1"/>
    <col min="7432" max="7432" width="20.19921875" style="631" customWidth="1"/>
    <col min="7433" max="7433" width="37.796875" style="631" customWidth="1"/>
    <col min="7434" max="7434" width="26.53125" style="631" customWidth="1"/>
    <col min="7435" max="7680" width="9.19921875" style="631"/>
    <col min="7681" max="7681" width="15.796875" style="631" customWidth="1"/>
    <col min="7682" max="7682" width="37.796875" style="631" customWidth="1"/>
    <col min="7683" max="7685" width="15.796875" style="631" customWidth="1"/>
    <col min="7686" max="7686" width="30.796875" style="631" customWidth="1"/>
    <col min="7687" max="7687" width="37.796875" style="631" customWidth="1"/>
    <col min="7688" max="7688" width="20.19921875" style="631" customWidth="1"/>
    <col min="7689" max="7689" width="37.796875" style="631" customWidth="1"/>
    <col min="7690" max="7690" width="26.53125" style="631" customWidth="1"/>
    <col min="7691" max="7936" width="9.19921875" style="631"/>
    <col min="7937" max="7937" width="15.796875" style="631" customWidth="1"/>
    <col min="7938" max="7938" width="37.796875" style="631" customWidth="1"/>
    <col min="7939" max="7941" width="15.796875" style="631" customWidth="1"/>
    <col min="7942" max="7942" width="30.796875" style="631" customWidth="1"/>
    <col min="7943" max="7943" width="37.796875" style="631" customWidth="1"/>
    <col min="7944" max="7944" width="20.19921875" style="631" customWidth="1"/>
    <col min="7945" max="7945" width="37.796875" style="631" customWidth="1"/>
    <col min="7946" max="7946" width="26.53125" style="631" customWidth="1"/>
    <col min="7947" max="8192" width="9.19921875" style="631"/>
    <col min="8193" max="8193" width="15.796875" style="631" customWidth="1"/>
    <col min="8194" max="8194" width="37.796875" style="631" customWidth="1"/>
    <col min="8195" max="8197" width="15.796875" style="631" customWidth="1"/>
    <col min="8198" max="8198" width="30.796875" style="631" customWidth="1"/>
    <col min="8199" max="8199" width="37.796875" style="631" customWidth="1"/>
    <col min="8200" max="8200" width="20.19921875" style="631" customWidth="1"/>
    <col min="8201" max="8201" width="37.796875" style="631" customWidth="1"/>
    <col min="8202" max="8202" width="26.53125" style="631" customWidth="1"/>
    <col min="8203" max="8448" width="9.19921875" style="631"/>
    <col min="8449" max="8449" width="15.796875" style="631" customWidth="1"/>
    <col min="8450" max="8450" width="37.796875" style="631" customWidth="1"/>
    <col min="8451" max="8453" width="15.796875" style="631" customWidth="1"/>
    <col min="8454" max="8454" width="30.796875" style="631" customWidth="1"/>
    <col min="8455" max="8455" width="37.796875" style="631" customWidth="1"/>
    <col min="8456" max="8456" width="20.19921875" style="631" customWidth="1"/>
    <col min="8457" max="8457" width="37.796875" style="631" customWidth="1"/>
    <col min="8458" max="8458" width="26.53125" style="631" customWidth="1"/>
    <col min="8459" max="8704" width="9.19921875" style="631"/>
    <col min="8705" max="8705" width="15.796875" style="631" customWidth="1"/>
    <col min="8706" max="8706" width="37.796875" style="631" customWidth="1"/>
    <col min="8707" max="8709" width="15.796875" style="631" customWidth="1"/>
    <col min="8710" max="8710" width="30.796875" style="631" customWidth="1"/>
    <col min="8711" max="8711" width="37.796875" style="631" customWidth="1"/>
    <col min="8712" max="8712" width="20.19921875" style="631" customWidth="1"/>
    <col min="8713" max="8713" width="37.796875" style="631" customWidth="1"/>
    <col min="8714" max="8714" width="26.53125" style="631" customWidth="1"/>
    <col min="8715" max="8960" width="9.19921875" style="631"/>
    <col min="8961" max="8961" width="15.796875" style="631" customWidth="1"/>
    <col min="8962" max="8962" width="37.796875" style="631" customWidth="1"/>
    <col min="8963" max="8965" width="15.796875" style="631" customWidth="1"/>
    <col min="8966" max="8966" width="30.796875" style="631" customWidth="1"/>
    <col min="8967" max="8967" width="37.796875" style="631" customWidth="1"/>
    <col min="8968" max="8968" width="20.19921875" style="631" customWidth="1"/>
    <col min="8969" max="8969" width="37.796875" style="631" customWidth="1"/>
    <col min="8970" max="8970" width="26.53125" style="631" customWidth="1"/>
    <col min="8971" max="9216" width="9.19921875" style="631"/>
    <col min="9217" max="9217" width="15.796875" style="631" customWidth="1"/>
    <col min="9218" max="9218" width="37.796875" style="631" customWidth="1"/>
    <col min="9219" max="9221" width="15.796875" style="631" customWidth="1"/>
    <col min="9222" max="9222" width="30.796875" style="631" customWidth="1"/>
    <col min="9223" max="9223" width="37.796875" style="631" customWidth="1"/>
    <col min="9224" max="9224" width="20.19921875" style="631" customWidth="1"/>
    <col min="9225" max="9225" width="37.796875" style="631" customWidth="1"/>
    <col min="9226" max="9226" width="26.53125" style="631" customWidth="1"/>
    <col min="9227" max="9472" width="9.19921875" style="631"/>
    <col min="9473" max="9473" width="15.796875" style="631" customWidth="1"/>
    <col min="9474" max="9474" width="37.796875" style="631" customWidth="1"/>
    <col min="9475" max="9477" width="15.796875" style="631" customWidth="1"/>
    <col min="9478" max="9478" width="30.796875" style="631" customWidth="1"/>
    <col min="9479" max="9479" width="37.796875" style="631" customWidth="1"/>
    <col min="9480" max="9480" width="20.19921875" style="631" customWidth="1"/>
    <col min="9481" max="9481" width="37.796875" style="631" customWidth="1"/>
    <col min="9482" max="9482" width="26.53125" style="631" customWidth="1"/>
    <col min="9483" max="9728" width="9.19921875" style="631"/>
    <col min="9729" max="9729" width="15.796875" style="631" customWidth="1"/>
    <col min="9730" max="9730" width="37.796875" style="631" customWidth="1"/>
    <col min="9731" max="9733" width="15.796875" style="631" customWidth="1"/>
    <col min="9734" max="9734" width="30.796875" style="631" customWidth="1"/>
    <col min="9735" max="9735" width="37.796875" style="631" customWidth="1"/>
    <col min="9736" max="9736" width="20.19921875" style="631" customWidth="1"/>
    <col min="9737" max="9737" width="37.796875" style="631" customWidth="1"/>
    <col min="9738" max="9738" width="26.53125" style="631" customWidth="1"/>
    <col min="9739" max="9984" width="9.19921875" style="631"/>
    <col min="9985" max="9985" width="15.796875" style="631" customWidth="1"/>
    <col min="9986" max="9986" width="37.796875" style="631" customWidth="1"/>
    <col min="9987" max="9989" width="15.796875" style="631" customWidth="1"/>
    <col min="9990" max="9990" width="30.796875" style="631" customWidth="1"/>
    <col min="9991" max="9991" width="37.796875" style="631" customWidth="1"/>
    <col min="9992" max="9992" width="20.19921875" style="631" customWidth="1"/>
    <col min="9993" max="9993" width="37.796875" style="631" customWidth="1"/>
    <col min="9994" max="9994" width="26.53125" style="631" customWidth="1"/>
    <col min="9995" max="10240" width="9.19921875" style="631"/>
    <col min="10241" max="10241" width="15.796875" style="631" customWidth="1"/>
    <col min="10242" max="10242" width="37.796875" style="631" customWidth="1"/>
    <col min="10243" max="10245" width="15.796875" style="631" customWidth="1"/>
    <col min="10246" max="10246" width="30.796875" style="631" customWidth="1"/>
    <col min="10247" max="10247" width="37.796875" style="631" customWidth="1"/>
    <col min="10248" max="10248" width="20.19921875" style="631" customWidth="1"/>
    <col min="10249" max="10249" width="37.796875" style="631" customWidth="1"/>
    <col min="10250" max="10250" width="26.53125" style="631" customWidth="1"/>
    <col min="10251" max="10496" width="9.19921875" style="631"/>
    <col min="10497" max="10497" width="15.796875" style="631" customWidth="1"/>
    <col min="10498" max="10498" width="37.796875" style="631" customWidth="1"/>
    <col min="10499" max="10501" width="15.796875" style="631" customWidth="1"/>
    <col min="10502" max="10502" width="30.796875" style="631" customWidth="1"/>
    <col min="10503" max="10503" width="37.796875" style="631" customWidth="1"/>
    <col min="10504" max="10504" width="20.19921875" style="631" customWidth="1"/>
    <col min="10505" max="10505" width="37.796875" style="631" customWidth="1"/>
    <col min="10506" max="10506" width="26.53125" style="631" customWidth="1"/>
    <col min="10507" max="10752" width="9.19921875" style="631"/>
    <col min="10753" max="10753" width="15.796875" style="631" customWidth="1"/>
    <col min="10754" max="10754" width="37.796875" style="631" customWidth="1"/>
    <col min="10755" max="10757" width="15.796875" style="631" customWidth="1"/>
    <col min="10758" max="10758" width="30.796875" style="631" customWidth="1"/>
    <col min="10759" max="10759" width="37.796875" style="631" customWidth="1"/>
    <col min="10760" max="10760" width="20.19921875" style="631" customWidth="1"/>
    <col min="10761" max="10761" width="37.796875" style="631" customWidth="1"/>
    <col min="10762" max="10762" width="26.53125" style="631" customWidth="1"/>
    <col min="10763" max="11008" width="9.19921875" style="631"/>
    <col min="11009" max="11009" width="15.796875" style="631" customWidth="1"/>
    <col min="11010" max="11010" width="37.796875" style="631" customWidth="1"/>
    <col min="11011" max="11013" width="15.796875" style="631" customWidth="1"/>
    <col min="11014" max="11014" width="30.796875" style="631" customWidth="1"/>
    <col min="11015" max="11015" width="37.796875" style="631" customWidth="1"/>
    <col min="11016" max="11016" width="20.19921875" style="631" customWidth="1"/>
    <col min="11017" max="11017" width="37.796875" style="631" customWidth="1"/>
    <col min="11018" max="11018" width="26.53125" style="631" customWidth="1"/>
    <col min="11019" max="11264" width="9.19921875" style="631"/>
    <col min="11265" max="11265" width="15.796875" style="631" customWidth="1"/>
    <col min="11266" max="11266" width="37.796875" style="631" customWidth="1"/>
    <col min="11267" max="11269" width="15.796875" style="631" customWidth="1"/>
    <col min="11270" max="11270" width="30.796875" style="631" customWidth="1"/>
    <col min="11271" max="11271" width="37.796875" style="631" customWidth="1"/>
    <col min="11272" max="11272" width="20.19921875" style="631" customWidth="1"/>
    <col min="11273" max="11273" width="37.796875" style="631" customWidth="1"/>
    <col min="11274" max="11274" width="26.53125" style="631" customWidth="1"/>
    <col min="11275" max="11520" width="9.19921875" style="631"/>
    <col min="11521" max="11521" width="15.796875" style="631" customWidth="1"/>
    <col min="11522" max="11522" width="37.796875" style="631" customWidth="1"/>
    <col min="11523" max="11525" width="15.796875" style="631" customWidth="1"/>
    <col min="11526" max="11526" width="30.796875" style="631" customWidth="1"/>
    <col min="11527" max="11527" width="37.796875" style="631" customWidth="1"/>
    <col min="11528" max="11528" width="20.19921875" style="631" customWidth="1"/>
    <col min="11529" max="11529" width="37.796875" style="631" customWidth="1"/>
    <col min="11530" max="11530" width="26.53125" style="631" customWidth="1"/>
    <col min="11531" max="11776" width="9.19921875" style="631"/>
    <col min="11777" max="11777" width="15.796875" style="631" customWidth="1"/>
    <col min="11778" max="11778" width="37.796875" style="631" customWidth="1"/>
    <col min="11779" max="11781" width="15.796875" style="631" customWidth="1"/>
    <col min="11782" max="11782" width="30.796875" style="631" customWidth="1"/>
    <col min="11783" max="11783" width="37.796875" style="631" customWidth="1"/>
    <col min="11784" max="11784" width="20.19921875" style="631" customWidth="1"/>
    <col min="11785" max="11785" width="37.796875" style="631" customWidth="1"/>
    <col min="11786" max="11786" width="26.53125" style="631" customWidth="1"/>
    <col min="11787" max="12032" width="9.19921875" style="631"/>
    <col min="12033" max="12033" width="15.796875" style="631" customWidth="1"/>
    <col min="12034" max="12034" width="37.796875" style="631" customWidth="1"/>
    <col min="12035" max="12037" width="15.796875" style="631" customWidth="1"/>
    <col min="12038" max="12038" width="30.796875" style="631" customWidth="1"/>
    <col min="12039" max="12039" width="37.796875" style="631" customWidth="1"/>
    <col min="12040" max="12040" width="20.19921875" style="631" customWidth="1"/>
    <col min="12041" max="12041" width="37.796875" style="631" customWidth="1"/>
    <col min="12042" max="12042" width="26.53125" style="631" customWidth="1"/>
    <col min="12043" max="12288" width="9.19921875" style="631"/>
    <col min="12289" max="12289" width="15.796875" style="631" customWidth="1"/>
    <col min="12290" max="12290" width="37.796875" style="631" customWidth="1"/>
    <col min="12291" max="12293" width="15.796875" style="631" customWidth="1"/>
    <col min="12294" max="12294" width="30.796875" style="631" customWidth="1"/>
    <col min="12295" max="12295" width="37.796875" style="631" customWidth="1"/>
    <col min="12296" max="12296" width="20.19921875" style="631" customWidth="1"/>
    <col min="12297" max="12297" width="37.796875" style="631" customWidth="1"/>
    <col min="12298" max="12298" width="26.53125" style="631" customWidth="1"/>
    <col min="12299" max="12544" width="9.19921875" style="631"/>
    <col min="12545" max="12545" width="15.796875" style="631" customWidth="1"/>
    <col min="12546" max="12546" width="37.796875" style="631" customWidth="1"/>
    <col min="12547" max="12549" width="15.796875" style="631" customWidth="1"/>
    <col min="12550" max="12550" width="30.796875" style="631" customWidth="1"/>
    <col min="12551" max="12551" width="37.796875" style="631" customWidth="1"/>
    <col min="12552" max="12552" width="20.19921875" style="631" customWidth="1"/>
    <col min="12553" max="12553" width="37.796875" style="631" customWidth="1"/>
    <col min="12554" max="12554" width="26.53125" style="631" customWidth="1"/>
    <col min="12555" max="12800" width="9.19921875" style="631"/>
    <col min="12801" max="12801" width="15.796875" style="631" customWidth="1"/>
    <col min="12802" max="12802" width="37.796875" style="631" customWidth="1"/>
    <col min="12803" max="12805" width="15.796875" style="631" customWidth="1"/>
    <col min="12806" max="12806" width="30.796875" style="631" customWidth="1"/>
    <col min="12807" max="12807" width="37.796875" style="631" customWidth="1"/>
    <col min="12808" max="12808" width="20.19921875" style="631" customWidth="1"/>
    <col min="12809" max="12809" width="37.796875" style="631" customWidth="1"/>
    <col min="12810" max="12810" width="26.53125" style="631" customWidth="1"/>
    <col min="12811" max="13056" width="9.19921875" style="631"/>
    <col min="13057" max="13057" width="15.796875" style="631" customWidth="1"/>
    <col min="13058" max="13058" width="37.796875" style="631" customWidth="1"/>
    <col min="13059" max="13061" width="15.796875" style="631" customWidth="1"/>
    <col min="13062" max="13062" width="30.796875" style="631" customWidth="1"/>
    <col min="13063" max="13063" width="37.796875" style="631" customWidth="1"/>
    <col min="13064" max="13064" width="20.19921875" style="631" customWidth="1"/>
    <col min="13065" max="13065" width="37.796875" style="631" customWidth="1"/>
    <col min="13066" max="13066" width="26.53125" style="631" customWidth="1"/>
    <col min="13067" max="13312" width="9.19921875" style="631"/>
    <col min="13313" max="13313" width="15.796875" style="631" customWidth="1"/>
    <col min="13314" max="13314" width="37.796875" style="631" customWidth="1"/>
    <col min="13315" max="13317" width="15.796875" style="631" customWidth="1"/>
    <col min="13318" max="13318" width="30.796875" style="631" customWidth="1"/>
    <col min="13319" max="13319" width="37.796875" style="631" customWidth="1"/>
    <col min="13320" max="13320" width="20.19921875" style="631" customWidth="1"/>
    <col min="13321" max="13321" width="37.796875" style="631" customWidth="1"/>
    <col min="13322" max="13322" width="26.53125" style="631" customWidth="1"/>
    <col min="13323" max="13568" width="9.19921875" style="631"/>
    <col min="13569" max="13569" width="15.796875" style="631" customWidth="1"/>
    <col min="13570" max="13570" width="37.796875" style="631" customWidth="1"/>
    <col min="13571" max="13573" width="15.796875" style="631" customWidth="1"/>
    <col min="13574" max="13574" width="30.796875" style="631" customWidth="1"/>
    <col min="13575" max="13575" width="37.796875" style="631" customWidth="1"/>
    <col min="13576" max="13576" width="20.19921875" style="631" customWidth="1"/>
    <col min="13577" max="13577" width="37.796875" style="631" customWidth="1"/>
    <col min="13578" max="13578" width="26.53125" style="631" customWidth="1"/>
    <col min="13579" max="13824" width="9.19921875" style="631"/>
    <col min="13825" max="13825" width="15.796875" style="631" customWidth="1"/>
    <col min="13826" max="13826" width="37.796875" style="631" customWidth="1"/>
    <col min="13827" max="13829" width="15.796875" style="631" customWidth="1"/>
    <col min="13830" max="13830" width="30.796875" style="631" customWidth="1"/>
    <col min="13831" max="13831" width="37.796875" style="631" customWidth="1"/>
    <col min="13832" max="13832" width="20.19921875" style="631" customWidth="1"/>
    <col min="13833" max="13833" width="37.796875" style="631" customWidth="1"/>
    <col min="13834" max="13834" width="26.53125" style="631" customWidth="1"/>
    <col min="13835" max="14080" width="9.19921875" style="631"/>
    <col min="14081" max="14081" width="15.796875" style="631" customWidth="1"/>
    <col min="14082" max="14082" width="37.796875" style="631" customWidth="1"/>
    <col min="14083" max="14085" width="15.796875" style="631" customWidth="1"/>
    <col min="14086" max="14086" width="30.796875" style="631" customWidth="1"/>
    <col min="14087" max="14087" width="37.796875" style="631" customWidth="1"/>
    <col min="14088" max="14088" width="20.19921875" style="631" customWidth="1"/>
    <col min="14089" max="14089" width="37.796875" style="631" customWidth="1"/>
    <col min="14090" max="14090" width="26.53125" style="631" customWidth="1"/>
    <col min="14091" max="14336" width="9.19921875" style="631"/>
    <col min="14337" max="14337" width="15.796875" style="631" customWidth="1"/>
    <col min="14338" max="14338" width="37.796875" style="631" customWidth="1"/>
    <col min="14339" max="14341" width="15.796875" style="631" customWidth="1"/>
    <col min="14342" max="14342" width="30.796875" style="631" customWidth="1"/>
    <col min="14343" max="14343" width="37.796875" style="631" customWidth="1"/>
    <col min="14344" max="14344" width="20.19921875" style="631" customWidth="1"/>
    <col min="14345" max="14345" width="37.796875" style="631" customWidth="1"/>
    <col min="14346" max="14346" width="26.53125" style="631" customWidth="1"/>
    <col min="14347" max="14592" width="9.19921875" style="631"/>
    <col min="14593" max="14593" width="15.796875" style="631" customWidth="1"/>
    <col min="14594" max="14594" width="37.796875" style="631" customWidth="1"/>
    <col min="14595" max="14597" width="15.796875" style="631" customWidth="1"/>
    <col min="14598" max="14598" width="30.796875" style="631" customWidth="1"/>
    <col min="14599" max="14599" width="37.796875" style="631" customWidth="1"/>
    <col min="14600" max="14600" width="20.19921875" style="631" customWidth="1"/>
    <col min="14601" max="14601" width="37.796875" style="631" customWidth="1"/>
    <col min="14602" max="14602" width="26.53125" style="631" customWidth="1"/>
    <col min="14603" max="14848" width="9.19921875" style="631"/>
    <col min="14849" max="14849" width="15.796875" style="631" customWidth="1"/>
    <col min="14850" max="14850" width="37.796875" style="631" customWidth="1"/>
    <col min="14851" max="14853" width="15.796875" style="631" customWidth="1"/>
    <col min="14854" max="14854" width="30.796875" style="631" customWidth="1"/>
    <col min="14855" max="14855" width="37.796875" style="631" customWidth="1"/>
    <col min="14856" max="14856" width="20.19921875" style="631" customWidth="1"/>
    <col min="14857" max="14857" width="37.796875" style="631" customWidth="1"/>
    <col min="14858" max="14858" width="26.53125" style="631" customWidth="1"/>
    <col min="14859" max="15104" width="9.19921875" style="631"/>
    <col min="15105" max="15105" width="15.796875" style="631" customWidth="1"/>
    <col min="15106" max="15106" width="37.796875" style="631" customWidth="1"/>
    <col min="15107" max="15109" width="15.796875" style="631" customWidth="1"/>
    <col min="15110" max="15110" width="30.796875" style="631" customWidth="1"/>
    <col min="15111" max="15111" width="37.796875" style="631" customWidth="1"/>
    <col min="15112" max="15112" width="20.19921875" style="631" customWidth="1"/>
    <col min="15113" max="15113" width="37.796875" style="631" customWidth="1"/>
    <col min="15114" max="15114" width="26.53125" style="631" customWidth="1"/>
    <col min="15115" max="15360" width="9.19921875" style="631"/>
    <col min="15361" max="15361" width="15.796875" style="631" customWidth="1"/>
    <col min="15362" max="15362" width="37.796875" style="631" customWidth="1"/>
    <col min="15363" max="15365" width="15.796875" style="631" customWidth="1"/>
    <col min="15366" max="15366" width="30.796875" style="631" customWidth="1"/>
    <col min="15367" max="15367" width="37.796875" style="631" customWidth="1"/>
    <col min="15368" max="15368" width="20.19921875" style="631" customWidth="1"/>
    <col min="15369" max="15369" width="37.796875" style="631" customWidth="1"/>
    <col min="15370" max="15370" width="26.53125" style="631" customWidth="1"/>
    <col min="15371" max="15616" width="9.19921875" style="631"/>
    <col min="15617" max="15617" width="15.796875" style="631" customWidth="1"/>
    <col min="15618" max="15618" width="37.796875" style="631" customWidth="1"/>
    <col min="15619" max="15621" width="15.796875" style="631" customWidth="1"/>
    <col min="15622" max="15622" width="30.796875" style="631" customWidth="1"/>
    <col min="15623" max="15623" width="37.796875" style="631" customWidth="1"/>
    <col min="15624" max="15624" width="20.19921875" style="631" customWidth="1"/>
    <col min="15625" max="15625" width="37.796875" style="631" customWidth="1"/>
    <col min="15626" max="15626" width="26.53125" style="631" customWidth="1"/>
    <col min="15627" max="15872" width="9.19921875" style="631"/>
    <col min="15873" max="15873" width="15.796875" style="631" customWidth="1"/>
    <col min="15874" max="15874" width="37.796875" style="631" customWidth="1"/>
    <col min="15875" max="15877" width="15.796875" style="631" customWidth="1"/>
    <col min="15878" max="15878" width="30.796875" style="631" customWidth="1"/>
    <col min="15879" max="15879" width="37.796875" style="631" customWidth="1"/>
    <col min="15880" max="15880" width="20.19921875" style="631" customWidth="1"/>
    <col min="15881" max="15881" width="37.796875" style="631" customWidth="1"/>
    <col min="15882" max="15882" width="26.53125" style="631" customWidth="1"/>
    <col min="15883" max="16128" width="9.19921875" style="631"/>
    <col min="16129" max="16129" width="15.796875" style="631" customWidth="1"/>
    <col min="16130" max="16130" width="37.796875" style="631" customWidth="1"/>
    <col min="16131" max="16133" width="15.796875" style="631" customWidth="1"/>
    <col min="16134" max="16134" width="30.796875" style="631" customWidth="1"/>
    <col min="16135" max="16135" width="37.796875" style="631" customWidth="1"/>
    <col min="16136" max="16136" width="20.19921875" style="631" customWidth="1"/>
    <col min="16137" max="16137" width="37.796875" style="631" customWidth="1"/>
    <col min="16138" max="16138" width="26.53125" style="631" customWidth="1"/>
    <col min="16139" max="16384" width="9.19921875" style="631"/>
  </cols>
  <sheetData>
    <row r="1" spans="1:10" ht="40.049999999999997" customHeight="1">
      <c r="A1" s="630" t="s">
        <v>866</v>
      </c>
      <c r="B1" s="630" t="s">
        <v>867</v>
      </c>
      <c r="C1" s="630" t="s">
        <v>868</v>
      </c>
      <c r="D1" s="630" t="s">
        <v>869</v>
      </c>
      <c r="E1" s="630" t="s">
        <v>870</v>
      </c>
      <c r="F1" s="630" t="s">
        <v>871</v>
      </c>
      <c r="G1" s="630" t="s">
        <v>872</v>
      </c>
      <c r="H1" s="630" t="s">
        <v>873</v>
      </c>
      <c r="I1" s="630" t="s">
        <v>874</v>
      </c>
      <c r="J1" s="630" t="s">
        <v>875</v>
      </c>
    </row>
    <row r="2" spans="1:10">
      <c r="A2" s="632" t="s">
        <v>876</v>
      </c>
      <c r="B2" s="632" t="s">
        <v>877</v>
      </c>
      <c r="C2" s="633">
        <v>3.3460000000000001</v>
      </c>
      <c r="D2" s="634">
        <v>43555</v>
      </c>
      <c r="E2" s="632" t="s">
        <v>878</v>
      </c>
      <c r="F2" s="632" t="s">
        <v>879</v>
      </c>
      <c r="G2" s="632" t="s">
        <v>877</v>
      </c>
      <c r="H2" s="632" t="s">
        <v>880</v>
      </c>
      <c r="I2" s="635" t="s">
        <v>881</v>
      </c>
      <c r="J2" s="633">
        <v>4.9970759999999999</v>
      </c>
    </row>
    <row r="3" spans="1:10">
      <c r="A3" s="636" t="s">
        <v>882</v>
      </c>
      <c r="B3" s="636" t="s">
        <v>883</v>
      </c>
      <c r="C3" s="637">
        <v>6992.8920369999996</v>
      </c>
      <c r="D3" s="638">
        <v>43465</v>
      </c>
      <c r="E3" s="636" t="s">
        <v>878</v>
      </c>
      <c r="F3" s="636" t="s">
        <v>884</v>
      </c>
      <c r="G3" s="636" t="s">
        <v>885</v>
      </c>
      <c r="H3" s="636" t="s">
        <v>886</v>
      </c>
      <c r="I3" s="635" t="s">
        <v>887</v>
      </c>
      <c r="J3" s="637">
        <v>5.896331</v>
      </c>
    </row>
    <row r="4" spans="1:10">
      <c r="A4" s="632" t="s">
        <v>888</v>
      </c>
      <c r="B4" s="632" t="s">
        <v>889</v>
      </c>
      <c r="C4" s="633">
        <v>0.38224399999999997</v>
      </c>
      <c r="D4" s="634">
        <v>43465</v>
      </c>
      <c r="E4" s="632" t="s">
        <v>878</v>
      </c>
      <c r="F4" s="632" t="s">
        <v>890</v>
      </c>
      <c r="G4" s="632" t="s">
        <v>889</v>
      </c>
      <c r="H4" s="632" t="s">
        <v>880</v>
      </c>
      <c r="I4" s="635" t="s">
        <v>891</v>
      </c>
      <c r="J4" s="633" t="s">
        <v>892</v>
      </c>
    </row>
    <row r="5" spans="1:10">
      <c r="A5" s="636" t="s">
        <v>893</v>
      </c>
      <c r="B5" s="636" t="s">
        <v>894</v>
      </c>
      <c r="C5" s="637">
        <v>3041.002</v>
      </c>
      <c r="D5" s="638">
        <v>43435</v>
      </c>
      <c r="E5" s="636" t="s">
        <v>878</v>
      </c>
      <c r="F5" s="636" t="s">
        <v>895</v>
      </c>
      <c r="G5" s="636" t="s">
        <v>894</v>
      </c>
      <c r="H5" s="636" t="s">
        <v>880</v>
      </c>
      <c r="I5" s="635" t="s">
        <v>896</v>
      </c>
      <c r="J5" s="637">
        <v>11.264086000000001</v>
      </c>
    </row>
    <row r="6" spans="1:10">
      <c r="A6" s="636" t="s">
        <v>897</v>
      </c>
      <c r="B6" s="636" t="s">
        <v>898</v>
      </c>
      <c r="C6" s="637">
        <v>0.77398500000000003</v>
      </c>
      <c r="D6" s="638">
        <v>43281</v>
      </c>
      <c r="E6" s="636" t="s">
        <v>878</v>
      </c>
      <c r="F6" s="636" t="s">
        <v>884</v>
      </c>
      <c r="G6" s="636" t="s">
        <v>898</v>
      </c>
      <c r="H6" s="636" t="s">
        <v>899</v>
      </c>
      <c r="I6" s="635" t="s">
        <v>900</v>
      </c>
      <c r="J6" s="637" t="s">
        <v>892</v>
      </c>
    </row>
    <row r="7" spans="1:10">
      <c r="A7" s="632" t="s">
        <v>901</v>
      </c>
      <c r="B7" s="632" t="s">
        <v>902</v>
      </c>
      <c r="C7" s="633">
        <v>9379</v>
      </c>
      <c r="D7" s="634">
        <v>43465</v>
      </c>
      <c r="E7" s="632" t="s">
        <v>878</v>
      </c>
      <c r="F7" s="632" t="s">
        <v>890</v>
      </c>
      <c r="G7" s="632" t="s">
        <v>902</v>
      </c>
      <c r="H7" s="632" t="s">
        <v>880</v>
      </c>
      <c r="I7" s="635" t="s">
        <v>903</v>
      </c>
      <c r="J7" s="633">
        <v>4.9563230000000003</v>
      </c>
    </row>
    <row r="8" spans="1:10">
      <c r="A8" s="632" t="s">
        <v>904</v>
      </c>
      <c r="B8" s="632" t="s">
        <v>905</v>
      </c>
      <c r="C8" s="633">
        <v>2011.675</v>
      </c>
      <c r="D8" s="634">
        <v>43465</v>
      </c>
      <c r="E8" s="632" t="s">
        <v>878</v>
      </c>
      <c r="F8" s="632" t="s">
        <v>895</v>
      </c>
      <c r="G8" s="632" t="s">
        <v>905</v>
      </c>
      <c r="H8" s="632" t="s">
        <v>880</v>
      </c>
      <c r="I8" s="635" t="s">
        <v>906</v>
      </c>
      <c r="J8" s="633">
        <v>5.5799440000000002</v>
      </c>
    </row>
    <row r="9" spans="1:10">
      <c r="A9" s="636" t="s">
        <v>907</v>
      </c>
      <c r="B9" s="636" t="s">
        <v>908</v>
      </c>
      <c r="C9" s="637">
        <v>2134.413</v>
      </c>
      <c r="D9" s="638">
        <v>43465</v>
      </c>
      <c r="E9" s="636" t="s">
        <v>878</v>
      </c>
      <c r="F9" s="636" t="s">
        <v>884</v>
      </c>
      <c r="G9" s="636" t="s">
        <v>908</v>
      </c>
      <c r="H9" s="636" t="s">
        <v>880</v>
      </c>
      <c r="I9" s="635" t="s">
        <v>909</v>
      </c>
      <c r="J9" s="637">
        <v>4.8394640000000004</v>
      </c>
    </row>
    <row r="10" spans="1:10">
      <c r="A10" s="632" t="s">
        <v>910</v>
      </c>
      <c r="B10" s="632" t="s">
        <v>911</v>
      </c>
      <c r="C10" s="633">
        <v>17534.492999999999</v>
      </c>
      <c r="D10" s="634">
        <v>43465</v>
      </c>
      <c r="E10" s="632" t="s">
        <v>878</v>
      </c>
      <c r="F10" s="632" t="s">
        <v>895</v>
      </c>
      <c r="G10" s="632" t="s">
        <v>911</v>
      </c>
      <c r="H10" s="632" t="s">
        <v>880</v>
      </c>
      <c r="I10" s="635" t="s">
        <v>912</v>
      </c>
      <c r="J10" s="633">
        <v>18.613119000000001</v>
      </c>
    </row>
    <row r="11" spans="1:10">
      <c r="A11" s="636" t="s">
        <v>913</v>
      </c>
      <c r="B11" s="636" t="s">
        <v>914</v>
      </c>
      <c r="C11" s="637">
        <v>4622.8</v>
      </c>
      <c r="D11" s="638">
        <v>43465</v>
      </c>
      <c r="E11" s="636" t="s">
        <v>878</v>
      </c>
      <c r="F11" s="636" t="s">
        <v>895</v>
      </c>
      <c r="G11" s="636" t="s">
        <v>914</v>
      </c>
      <c r="H11" s="636" t="s">
        <v>880</v>
      </c>
      <c r="I11" s="635" t="s">
        <v>915</v>
      </c>
      <c r="J11" s="637">
        <v>6.7263149999999996</v>
      </c>
    </row>
    <row r="12" spans="1:10">
      <c r="A12" s="632" t="s">
        <v>916</v>
      </c>
      <c r="B12" s="632" t="s">
        <v>917</v>
      </c>
      <c r="C12" s="633">
        <v>8635</v>
      </c>
      <c r="D12" s="634">
        <v>43465</v>
      </c>
      <c r="E12" s="632" t="s">
        <v>878</v>
      </c>
      <c r="F12" s="632" t="s">
        <v>890</v>
      </c>
      <c r="G12" s="632" t="s">
        <v>918</v>
      </c>
      <c r="H12" s="632" t="s">
        <v>880</v>
      </c>
      <c r="I12" s="635" t="s">
        <v>919</v>
      </c>
      <c r="J12" s="633">
        <v>5.2844179999999996</v>
      </c>
    </row>
    <row r="14" spans="1:10">
      <c r="J14" s="639">
        <f>+AVERAGE(J2:J12)</f>
        <v>7.5730084444444445</v>
      </c>
    </row>
    <row r="16" spans="1:10" ht="20.2" customHeight="1">
      <c r="A16" s="640" t="s">
        <v>920</v>
      </c>
      <c r="B16" s="640" t="s">
        <v>394</v>
      </c>
    </row>
    <row r="17" spans="1:2">
      <c r="A17" s="641" t="s">
        <v>867</v>
      </c>
      <c r="B17" s="641" t="s">
        <v>921</v>
      </c>
    </row>
    <row r="18" spans="1:2">
      <c r="A18" s="642" t="s">
        <v>922</v>
      </c>
      <c r="B18" s="642" t="s">
        <v>923</v>
      </c>
    </row>
    <row r="19" spans="1:2">
      <c r="A19" s="641" t="s">
        <v>924</v>
      </c>
      <c r="B19" s="641" t="s">
        <v>925</v>
      </c>
    </row>
    <row r="20" spans="1:2">
      <c r="A20" s="642" t="s">
        <v>926</v>
      </c>
      <c r="B20" s="643">
        <v>43728.26840277778</v>
      </c>
    </row>
    <row r="21" spans="1:2">
      <c r="A21" s="641" t="s">
        <v>927</v>
      </c>
      <c r="B21" s="641">
        <v>1450840</v>
      </c>
    </row>
    <row r="22" spans="1:2">
      <c r="A22" s="642"/>
      <c r="B22" s="642"/>
    </row>
    <row r="23" spans="1:2" ht="20.2" customHeight="1">
      <c r="A23" s="640" t="s">
        <v>928</v>
      </c>
      <c r="B23" s="640" t="s">
        <v>394</v>
      </c>
    </row>
    <row r="24" spans="1:2">
      <c r="A24" s="641" t="s">
        <v>929</v>
      </c>
      <c r="B24" s="641" t="s">
        <v>930</v>
      </c>
    </row>
    <row r="25" spans="1:2">
      <c r="A25" s="642" t="s">
        <v>931</v>
      </c>
      <c r="B25" s="642" t="s">
        <v>932</v>
      </c>
    </row>
    <row r="26" spans="1:2">
      <c r="A26" s="641" t="s">
        <v>933</v>
      </c>
      <c r="B26" s="641" t="s">
        <v>934</v>
      </c>
    </row>
    <row r="27" spans="1:2">
      <c r="A27" s="642" t="s">
        <v>935</v>
      </c>
      <c r="B27" s="642" t="s">
        <v>936</v>
      </c>
    </row>
    <row r="28" spans="1:2">
      <c r="A28" s="641" t="s">
        <v>937</v>
      </c>
      <c r="B28" s="641" t="s">
        <v>938</v>
      </c>
    </row>
    <row r="29" spans="1:2">
      <c r="A29" s="642"/>
      <c r="B29" s="642"/>
    </row>
    <row r="30" spans="1:2">
      <c r="A30" s="641" t="s">
        <v>939</v>
      </c>
      <c r="B30" s="641" t="s">
        <v>940</v>
      </c>
    </row>
    <row r="31" spans="1:2">
      <c r="A31" s="642"/>
      <c r="B31" s="642"/>
    </row>
    <row r="32" spans="1:2" ht="20.2" customHeight="1">
      <c r="A32" s="640" t="s">
        <v>941</v>
      </c>
      <c r="B32" s="640" t="s">
        <v>394</v>
      </c>
    </row>
    <row r="33" spans="1:2">
      <c r="A33" s="641" t="s">
        <v>942</v>
      </c>
      <c r="B33" s="641" t="s">
        <v>943</v>
      </c>
    </row>
  </sheetData>
  <hyperlinks>
    <hyperlink ref="I2" r:id="rId1" tooltip="http://www.advbiomaterials.com" xr:uid="{0A592841-93D4-42B5-800C-C0CCF845A6A1}"/>
    <hyperlink ref="I3" r:id="rId2" tooltip="http://www.alpek.com" xr:uid="{906EC3A0-DBB6-42E5-926E-AA51DA92C0BA}"/>
    <hyperlink ref="I4" r:id="rId3" tooltip="http://www.cbondsystems.com" xr:uid="{8284FB27-5682-45FE-8356-3440D722A5E8}"/>
    <hyperlink ref="I6" r:id="rId4" tooltip="http://www.hitcase.com" xr:uid="{86910A90-8806-4852-9F66-94C42C89A1A6}"/>
    <hyperlink ref="I7" r:id="rId5" tooltip="http://www.huntsman.com" xr:uid="{8E44A3FB-C0CA-429A-90FD-A1C7CAF10F09}"/>
    <hyperlink ref="I8" r:id="rId6" tooltip="http://www.kraton.com" xr:uid="{4D87D1F3-0935-40F0-BE16-9798DD88D93D}"/>
    <hyperlink ref="I9" r:id="rId7" tooltip="http://www.rayonieram.com" xr:uid="{DB8496F3-BA76-4992-90EF-B40491341E21}"/>
    <hyperlink ref="I10" r:id="rId8" tooltip="http://www.sherwin-williams.com" xr:uid="{7A1EAAF8-3FA2-4F21-8FF9-21A4D5688EE9}"/>
    <hyperlink ref="I11" r:id="rId9" tooltip="http://www.trinseo.com" xr:uid="{EB6E453B-51C6-41E2-A24A-51007E9EC077}"/>
    <hyperlink ref="I12" r:id="rId10" tooltip="http://www.westlake.com" xr:uid="{6613C613-607F-4DDF-B7FE-45DCA4F46279}"/>
    <hyperlink ref="I5" r:id="rId11" tooltip="http://www.hbfuller.com" xr:uid="{0D379BC1-0059-4BA5-92FA-06B15733D752}"/>
  </hyperlink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AC771-D124-4448-8FAA-21BD31B7E936}">
  <sheetPr codeName="Sheet23"/>
  <dimension ref="A1:J157"/>
  <sheetViews>
    <sheetView workbookViewId="0">
      <selection activeCell="I14" sqref="I14"/>
    </sheetView>
  </sheetViews>
  <sheetFormatPr defaultRowHeight="14.25"/>
  <cols>
    <col min="1" max="1" width="15.796875" style="631" customWidth="1"/>
    <col min="2" max="2" width="37.796875" style="631" customWidth="1"/>
    <col min="3" max="5" width="15.796875" style="631" customWidth="1"/>
    <col min="6" max="6" width="33.796875" style="631" customWidth="1"/>
    <col min="7" max="7" width="37.796875" style="631" customWidth="1"/>
    <col min="8" max="8" width="20.19921875" style="631" customWidth="1"/>
    <col min="9" max="9" width="37.796875" style="631" customWidth="1"/>
    <col min="10" max="10" width="26.53125" style="631" customWidth="1"/>
    <col min="11" max="256" width="9.19921875" style="631"/>
    <col min="257" max="257" width="15.796875" style="631" customWidth="1"/>
    <col min="258" max="258" width="37.796875" style="631" customWidth="1"/>
    <col min="259" max="261" width="15.796875" style="631" customWidth="1"/>
    <col min="262" max="262" width="33.796875" style="631" customWidth="1"/>
    <col min="263" max="263" width="37.796875" style="631" customWidth="1"/>
    <col min="264" max="264" width="20.19921875" style="631" customWidth="1"/>
    <col min="265" max="265" width="37.796875" style="631" customWidth="1"/>
    <col min="266" max="266" width="26.53125" style="631" customWidth="1"/>
    <col min="267" max="512" width="9.19921875" style="631"/>
    <col min="513" max="513" width="15.796875" style="631" customWidth="1"/>
    <col min="514" max="514" width="37.796875" style="631" customWidth="1"/>
    <col min="515" max="517" width="15.796875" style="631" customWidth="1"/>
    <col min="518" max="518" width="33.796875" style="631" customWidth="1"/>
    <col min="519" max="519" width="37.796875" style="631" customWidth="1"/>
    <col min="520" max="520" width="20.19921875" style="631" customWidth="1"/>
    <col min="521" max="521" width="37.796875" style="631" customWidth="1"/>
    <col min="522" max="522" width="26.53125" style="631" customWidth="1"/>
    <col min="523" max="768" width="9.19921875" style="631"/>
    <col min="769" max="769" width="15.796875" style="631" customWidth="1"/>
    <col min="770" max="770" width="37.796875" style="631" customWidth="1"/>
    <col min="771" max="773" width="15.796875" style="631" customWidth="1"/>
    <col min="774" max="774" width="33.796875" style="631" customWidth="1"/>
    <col min="775" max="775" width="37.796875" style="631" customWidth="1"/>
    <col min="776" max="776" width="20.19921875" style="631" customWidth="1"/>
    <col min="777" max="777" width="37.796875" style="631" customWidth="1"/>
    <col min="778" max="778" width="26.53125" style="631" customWidth="1"/>
    <col min="779" max="1024" width="9.19921875" style="631"/>
    <col min="1025" max="1025" width="15.796875" style="631" customWidth="1"/>
    <col min="1026" max="1026" width="37.796875" style="631" customWidth="1"/>
    <col min="1027" max="1029" width="15.796875" style="631" customWidth="1"/>
    <col min="1030" max="1030" width="33.796875" style="631" customWidth="1"/>
    <col min="1031" max="1031" width="37.796875" style="631" customWidth="1"/>
    <col min="1032" max="1032" width="20.19921875" style="631" customWidth="1"/>
    <col min="1033" max="1033" width="37.796875" style="631" customWidth="1"/>
    <col min="1034" max="1034" width="26.53125" style="631" customWidth="1"/>
    <col min="1035" max="1280" width="9.19921875" style="631"/>
    <col min="1281" max="1281" width="15.796875" style="631" customWidth="1"/>
    <col min="1282" max="1282" width="37.796875" style="631" customWidth="1"/>
    <col min="1283" max="1285" width="15.796875" style="631" customWidth="1"/>
    <col min="1286" max="1286" width="33.796875" style="631" customWidth="1"/>
    <col min="1287" max="1287" width="37.796875" style="631" customWidth="1"/>
    <col min="1288" max="1288" width="20.19921875" style="631" customWidth="1"/>
    <col min="1289" max="1289" width="37.796875" style="631" customWidth="1"/>
    <col min="1290" max="1290" width="26.53125" style="631" customWidth="1"/>
    <col min="1291" max="1536" width="9.19921875" style="631"/>
    <col min="1537" max="1537" width="15.796875" style="631" customWidth="1"/>
    <col min="1538" max="1538" width="37.796875" style="631" customWidth="1"/>
    <col min="1539" max="1541" width="15.796875" style="631" customWidth="1"/>
    <col min="1542" max="1542" width="33.796875" style="631" customWidth="1"/>
    <col min="1543" max="1543" width="37.796875" style="631" customWidth="1"/>
    <col min="1544" max="1544" width="20.19921875" style="631" customWidth="1"/>
    <col min="1545" max="1545" width="37.796875" style="631" customWidth="1"/>
    <col min="1546" max="1546" width="26.53125" style="631" customWidth="1"/>
    <col min="1547" max="1792" width="9.19921875" style="631"/>
    <col min="1793" max="1793" width="15.796875" style="631" customWidth="1"/>
    <col min="1794" max="1794" width="37.796875" style="631" customWidth="1"/>
    <col min="1795" max="1797" width="15.796875" style="631" customWidth="1"/>
    <col min="1798" max="1798" width="33.796875" style="631" customWidth="1"/>
    <col min="1799" max="1799" width="37.796875" style="631" customWidth="1"/>
    <col min="1800" max="1800" width="20.19921875" style="631" customWidth="1"/>
    <col min="1801" max="1801" width="37.796875" style="631" customWidth="1"/>
    <col min="1802" max="1802" width="26.53125" style="631" customWidth="1"/>
    <col min="1803" max="2048" width="9.19921875" style="631"/>
    <col min="2049" max="2049" width="15.796875" style="631" customWidth="1"/>
    <col min="2050" max="2050" width="37.796875" style="631" customWidth="1"/>
    <col min="2051" max="2053" width="15.796875" style="631" customWidth="1"/>
    <col min="2054" max="2054" width="33.796875" style="631" customWidth="1"/>
    <col min="2055" max="2055" width="37.796875" style="631" customWidth="1"/>
    <col min="2056" max="2056" width="20.19921875" style="631" customWidth="1"/>
    <col min="2057" max="2057" width="37.796875" style="631" customWidth="1"/>
    <col min="2058" max="2058" width="26.53125" style="631" customWidth="1"/>
    <col min="2059" max="2304" width="9.19921875" style="631"/>
    <col min="2305" max="2305" width="15.796875" style="631" customWidth="1"/>
    <col min="2306" max="2306" width="37.796875" style="631" customWidth="1"/>
    <col min="2307" max="2309" width="15.796875" style="631" customWidth="1"/>
    <col min="2310" max="2310" width="33.796875" style="631" customWidth="1"/>
    <col min="2311" max="2311" width="37.796875" style="631" customWidth="1"/>
    <col min="2312" max="2312" width="20.19921875" style="631" customWidth="1"/>
    <col min="2313" max="2313" width="37.796875" style="631" customWidth="1"/>
    <col min="2314" max="2314" width="26.53125" style="631" customWidth="1"/>
    <col min="2315" max="2560" width="9.19921875" style="631"/>
    <col min="2561" max="2561" width="15.796875" style="631" customWidth="1"/>
    <col min="2562" max="2562" width="37.796875" style="631" customWidth="1"/>
    <col min="2563" max="2565" width="15.796875" style="631" customWidth="1"/>
    <col min="2566" max="2566" width="33.796875" style="631" customWidth="1"/>
    <col min="2567" max="2567" width="37.796875" style="631" customWidth="1"/>
    <col min="2568" max="2568" width="20.19921875" style="631" customWidth="1"/>
    <col min="2569" max="2569" width="37.796875" style="631" customWidth="1"/>
    <col min="2570" max="2570" width="26.53125" style="631" customWidth="1"/>
    <col min="2571" max="2816" width="9.19921875" style="631"/>
    <col min="2817" max="2817" width="15.796875" style="631" customWidth="1"/>
    <col min="2818" max="2818" width="37.796875" style="631" customWidth="1"/>
    <col min="2819" max="2821" width="15.796875" style="631" customWidth="1"/>
    <col min="2822" max="2822" width="33.796875" style="631" customWidth="1"/>
    <col min="2823" max="2823" width="37.796875" style="631" customWidth="1"/>
    <col min="2824" max="2824" width="20.19921875" style="631" customWidth="1"/>
    <col min="2825" max="2825" width="37.796875" style="631" customWidth="1"/>
    <col min="2826" max="2826" width="26.53125" style="631" customWidth="1"/>
    <col min="2827" max="3072" width="9.19921875" style="631"/>
    <col min="3073" max="3073" width="15.796875" style="631" customWidth="1"/>
    <col min="3074" max="3074" width="37.796875" style="631" customWidth="1"/>
    <col min="3075" max="3077" width="15.796875" style="631" customWidth="1"/>
    <col min="3078" max="3078" width="33.796875" style="631" customWidth="1"/>
    <col min="3079" max="3079" width="37.796875" style="631" customWidth="1"/>
    <col min="3080" max="3080" width="20.19921875" style="631" customWidth="1"/>
    <col min="3081" max="3081" width="37.796875" style="631" customWidth="1"/>
    <col min="3082" max="3082" width="26.53125" style="631" customWidth="1"/>
    <col min="3083" max="3328" width="9.19921875" style="631"/>
    <col min="3329" max="3329" width="15.796875" style="631" customWidth="1"/>
    <col min="3330" max="3330" width="37.796875" style="631" customWidth="1"/>
    <col min="3331" max="3333" width="15.796875" style="631" customWidth="1"/>
    <col min="3334" max="3334" width="33.796875" style="631" customWidth="1"/>
    <col min="3335" max="3335" width="37.796875" style="631" customWidth="1"/>
    <col min="3336" max="3336" width="20.19921875" style="631" customWidth="1"/>
    <col min="3337" max="3337" width="37.796875" style="631" customWidth="1"/>
    <col min="3338" max="3338" width="26.53125" style="631" customWidth="1"/>
    <col min="3339" max="3584" width="9.19921875" style="631"/>
    <col min="3585" max="3585" width="15.796875" style="631" customWidth="1"/>
    <col min="3586" max="3586" width="37.796875" style="631" customWidth="1"/>
    <col min="3587" max="3589" width="15.796875" style="631" customWidth="1"/>
    <col min="3590" max="3590" width="33.796875" style="631" customWidth="1"/>
    <col min="3591" max="3591" width="37.796875" style="631" customWidth="1"/>
    <col min="3592" max="3592" width="20.19921875" style="631" customWidth="1"/>
    <col min="3593" max="3593" width="37.796875" style="631" customWidth="1"/>
    <col min="3594" max="3594" width="26.53125" style="631" customWidth="1"/>
    <col min="3595" max="3840" width="9.19921875" style="631"/>
    <col min="3841" max="3841" width="15.796875" style="631" customWidth="1"/>
    <col min="3842" max="3842" width="37.796875" style="631" customWidth="1"/>
    <col min="3843" max="3845" width="15.796875" style="631" customWidth="1"/>
    <col min="3846" max="3846" width="33.796875" style="631" customWidth="1"/>
    <col min="3847" max="3847" width="37.796875" style="631" customWidth="1"/>
    <col min="3848" max="3848" width="20.19921875" style="631" customWidth="1"/>
    <col min="3849" max="3849" width="37.796875" style="631" customWidth="1"/>
    <col min="3850" max="3850" width="26.53125" style="631" customWidth="1"/>
    <col min="3851" max="4096" width="9.19921875" style="631"/>
    <col min="4097" max="4097" width="15.796875" style="631" customWidth="1"/>
    <col min="4098" max="4098" width="37.796875" style="631" customWidth="1"/>
    <col min="4099" max="4101" width="15.796875" style="631" customWidth="1"/>
    <col min="4102" max="4102" width="33.796875" style="631" customWidth="1"/>
    <col min="4103" max="4103" width="37.796875" style="631" customWidth="1"/>
    <col min="4104" max="4104" width="20.19921875" style="631" customWidth="1"/>
    <col min="4105" max="4105" width="37.796875" style="631" customWidth="1"/>
    <col min="4106" max="4106" width="26.53125" style="631" customWidth="1"/>
    <col min="4107" max="4352" width="9.19921875" style="631"/>
    <col min="4353" max="4353" width="15.796875" style="631" customWidth="1"/>
    <col min="4354" max="4354" width="37.796875" style="631" customWidth="1"/>
    <col min="4355" max="4357" width="15.796875" style="631" customWidth="1"/>
    <col min="4358" max="4358" width="33.796875" style="631" customWidth="1"/>
    <col min="4359" max="4359" width="37.796875" style="631" customWidth="1"/>
    <col min="4360" max="4360" width="20.19921875" style="631" customWidth="1"/>
    <col min="4361" max="4361" width="37.796875" style="631" customWidth="1"/>
    <col min="4362" max="4362" width="26.53125" style="631" customWidth="1"/>
    <col min="4363" max="4608" width="9.19921875" style="631"/>
    <col min="4609" max="4609" width="15.796875" style="631" customWidth="1"/>
    <col min="4610" max="4610" width="37.796875" style="631" customWidth="1"/>
    <col min="4611" max="4613" width="15.796875" style="631" customWidth="1"/>
    <col min="4614" max="4614" width="33.796875" style="631" customWidth="1"/>
    <col min="4615" max="4615" width="37.796875" style="631" customWidth="1"/>
    <col min="4616" max="4616" width="20.19921875" style="631" customWidth="1"/>
    <col min="4617" max="4617" width="37.796875" style="631" customWidth="1"/>
    <col min="4618" max="4618" width="26.53125" style="631" customWidth="1"/>
    <col min="4619" max="4864" width="9.19921875" style="631"/>
    <col min="4865" max="4865" width="15.796875" style="631" customWidth="1"/>
    <col min="4866" max="4866" width="37.796875" style="631" customWidth="1"/>
    <col min="4867" max="4869" width="15.796875" style="631" customWidth="1"/>
    <col min="4870" max="4870" width="33.796875" style="631" customWidth="1"/>
    <col min="4871" max="4871" width="37.796875" style="631" customWidth="1"/>
    <col min="4872" max="4872" width="20.19921875" style="631" customWidth="1"/>
    <col min="4873" max="4873" width="37.796875" style="631" customWidth="1"/>
    <col min="4874" max="4874" width="26.53125" style="631" customWidth="1"/>
    <col min="4875" max="5120" width="9.19921875" style="631"/>
    <col min="5121" max="5121" width="15.796875" style="631" customWidth="1"/>
    <col min="5122" max="5122" width="37.796875" style="631" customWidth="1"/>
    <col min="5123" max="5125" width="15.796875" style="631" customWidth="1"/>
    <col min="5126" max="5126" width="33.796875" style="631" customWidth="1"/>
    <col min="5127" max="5127" width="37.796875" style="631" customWidth="1"/>
    <col min="5128" max="5128" width="20.19921875" style="631" customWidth="1"/>
    <col min="5129" max="5129" width="37.796875" style="631" customWidth="1"/>
    <col min="5130" max="5130" width="26.53125" style="631" customWidth="1"/>
    <col min="5131" max="5376" width="9.19921875" style="631"/>
    <col min="5377" max="5377" width="15.796875" style="631" customWidth="1"/>
    <col min="5378" max="5378" width="37.796875" style="631" customWidth="1"/>
    <col min="5379" max="5381" width="15.796875" style="631" customWidth="1"/>
    <col min="5382" max="5382" width="33.796875" style="631" customWidth="1"/>
    <col min="5383" max="5383" width="37.796875" style="631" customWidth="1"/>
    <col min="5384" max="5384" width="20.19921875" style="631" customWidth="1"/>
    <col min="5385" max="5385" width="37.796875" style="631" customWidth="1"/>
    <col min="5386" max="5386" width="26.53125" style="631" customWidth="1"/>
    <col min="5387" max="5632" width="9.19921875" style="631"/>
    <col min="5633" max="5633" width="15.796875" style="631" customWidth="1"/>
    <col min="5634" max="5634" width="37.796875" style="631" customWidth="1"/>
    <col min="5635" max="5637" width="15.796875" style="631" customWidth="1"/>
    <col min="5638" max="5638" width="33.796875" style="631" customWidth="1"/>
    <col min="5639" max="5639" width="37.796875" style="631" customWidth="1"/>
    <col min="5640" max="5640" width="20.19921875" style="631" customWidth="1"/>
    <col min="5641" max="5641" width="37.796875" style="631" customWidth="1"/>
    <col min="5642" max="5642" width="26.53125" style="631" customWidth="1"/>
    <col min="5643" max="5888" width="9.19921875" style="631"/>
    <col min="5889" max="5889" width="15.796875" style="631" customWidth="1"/>
    <col min="5890" max="5890" width="37.796875" style="631" customWidth="1"/>
    <col min="5891" max="5893" width="15.796875" style="631" customWidth="1"/>
    <col min="5894" max="5894" width="33.796875" style="631" customWidth="1"/>
    <col min="5895" max="5895" width="37.796875" style="631" customWidth="1"/>
    <col min="5896" max="5896" width="20.19921875" style="631" customWidth="1"/>
    <col min="5897" max="5897" width="37.796875" style="631" customWidth="1"/>
    <col min="5898" max="5898" width="26.53125" style="631" customWidth="1"/>
    <col min="5899" max="6144" width="9.19921875" style="631"/>
    <col min="6145" max="6145" width="15.796875" style="631" customWidth="1"/>
    <col min="6146" max="6146" width="37.796875" style="631" customWidth="1"/>
    <col min="6147" max="6149" width="15.796875" style="631" customWidth="1"/>
    <col min="6150" max="6150" width="33.796875" style="631" customWidth="1"/>
    <col min="6151" max="6151" width="37.796875" style="631" customWidth="1"/>
    <col min="6152" max="6152" width="20.19921875" style="631" customWidth="1"/>
    <col min="6153" max="6153" width="37.796875" style="631" customWidth="1"/>
    <col min="6154" max="6154" width="26.53125" style="631" customWidth="1"/>
    <col min="6155" max="6400" width="9.19921875" style="631"/>
    <col min="6401" max="6401" width="15.796875" style="631" customWidth="1"/>
    <col min="6402" max="6402" width="37.796875" style="631" customWidth="1"/>
    <col min="6403" max="6405" width="15.796875" style="631" customWidth="1"/>
    <col min="6406" max="6406" width="33.796875" style="631" customWidth="1"/>
    <col min="6407" max="6407" width="37.796875" style="631" customWidth="1"/>
    <col min="6408" max="6408" width="20.19921875" style="631" customWidth="1"/>
    <col min="6409" max="6409" width="37.796875" style="631" customWidth="1"/>
    <col min="6410" max="6410" width="26.53125" style="631" customWidth="1"/>
    <col min="6411" max="6656" width="9.19921875" style="631"/>
    <col min="6657" max="6657" width="15.796875" style="631" customWidth="1"/>
    <col min="6658" max="6658" width="37.796875" style="631" customWidth="1"/>
    <col min="6659" max="6661" width="15.796875" style="631" customWidth="1"/>
    <col min="6662" max="6662" width="33.796875" style="631" customWidth="1"/>
    <col min="6663" max="6663" width="37.796875" style="631" customWidth="1"/>
    <col min="6664" max="6664" width="20.19921875" style="631" customWidth="1"/>
    <col min="6665" max="6665" width="37.796875" style="631" customWidth="1"/>
    <col min="6666" max="6666" width="26.53125" style="631" customWidth="1"/>
    <col min="6667" max="6912" width="9.19921875" style="631"/>
    <col min="6913" max="6913" width="15.796875" style="631" customWidth="1"/>
    <col min="6914" max="6914" width="37.796875" style="631" customWidth="1"/>
    <col min="6915" max="6917" width="15.796875" style="631" customWidth="1"/>
    <col min="6918" max="6918" width="33.796875" style="631" customWidth="1"/>
    <col min="6919" max="6919" width="37.796875" style="631" customWidth="1"/>
    <col min="6920" max="6920" width="20.19921875" style="631" customWidth="1"/>
    <col min="6921" max="6921" width="37.796875" style="631" customWidth="1"/>
    <col min="6922" max="6922" width="26.53125" style="631" customWidth="1"/>
    <col min="6923" max="7168" width="9.19921875" style="631"/>
    <col min="7169" max="7169" width="15.796875" style="631" customWidth="1"/>
    <col min="7170" max="7170" width="37.796875" style="631" customWidth="1"/>
    <col min="7171" max="7173" width="15.796875" style="631" customWidth="1"/>
    <col min="7174" max="7174" width="33.796875" style="631" customWidth="1"/>
    <col min="7175" max="7175" width="37.796875" style="631" customWidth="1"/>
    <col min="7176" max="7176" width="20.19921875" style="631" customWidth="1"/>
    <col min="7177" max="7177" width="37.796875" style="631" customWidth="1"/>
    <col min="7178" max="7178" width="26.53125" style="631" customWidth="1"/>
    <col min="7179" max="7424" width="9.19921875" style="631"/>
    <col min="7425" max="7425" width="15.796875" style="631" customWidth="1"/>
    <col min="7426" max="7426" width="37.796875" style="631" customWidth="1"/>
    <col min="7427" max="7429" width="15.796875" style="631" customWidth="1"/>
    <col min="7430" max="7430" width="33.796875" style="631" customWidth="1"/>
    <col min="7431" max="7431" width="37.796875" style="631" customWidth="1"/>
    <col min="7432" max="7432" width="20.19921875" style="631" customWidth="1"/>
    <col min="7433" max="7433" width="37.796875" style="631" customWidth="1"/>
    <col min="7434" max="7434" width="26.53125" style="631" customWidth="1"/>
    <col min="7435" max="7680" width="9.19921875" style="631"/>
    <col min="7681" max="7681" width="15.796875" style="631" customWidth="1"/>
    <col min="7682" max="7682" width="37.796875" style="631" customWidth="1"/>
    <col min="7683" max="7685" width="15.796875" style="631" customWidth="1"/>
    <col min="7686" max="7686" width="33.796875" style="631" customWidth="1"/>
    <col min="7687" max="7687" width="37.796875" style="631" customWidth="1"/>
    <col min="7688" max="7688" width="20.19921875" style="631" customWidth="1"/>
    <col min="7689" max="7689" width="37.796875" style="631" customWidth="1"/>
    <col min="7690" max="7690" width="26.53125" style="631" customWidth="1"/>
    <col min="7691" max="7936" width="9.19921875" style="631"/>
    <col min="7937" max="7937" width="15.796875" style="631" customWidth="1"/>
    <col min="7938" max="7938" width="37.796875" style="631" customWidth="1"/>
    <col min="7939" max="7941" width="15.796875" style="631" customWidth="1"/>
    <col min="7942" max="7942" width="33.796875" style="631" customWidth="1"/>
    <col min="7943" max="7943" width="37.796875" style="631" customWidth="1"/>
    <col min="7944" max="7944" width="20.19921875" style="631" customWidth="1"/>
    <col min="7945" max="7945" width="37.796875" style="631" customWidth="1"/>
    <col min="7946" max="7946" width="26.53125" style="631" customWidth="1"/>
    <col min="7947" max="8192" width="9.19921875" style="631"/>
    <col min="8193" max="8193" width="15.796875" style="631" customWidth="1"/>
    <col min="8194" max="8194" width="37.796875" style="631" customWidth="1"/>
    <col min="8195" max="8197" width="15.796875" style="631" customWidth="1"/>
    <col min="8198" max="8198" width="33.796875" style="631" customWidth="1"/>
    <col min="8199" max="8199" width="37.796875" style="631" customWidth="1"/>
    <col min="8200" max="8200" width="20.19921875" style="631" customWidth="1"/>
    <col min="8201" max="8201" width="37.796875" style="631" customWidth="1"/>
    <col min="8202" max="8202" width="26.53125" style="631" customWidth="1"/>
    <col min="8203" max="8448" width="9.19921875" style="631"/>
    <col min="8449" max="8449" width="15.796875" style="631" customWidth="1"/>
    <col min="8450" max="8450" width="37.796875" style="631" customWidth="1"/>
    <col min="8451" max="8453" width="15.796875" style="631" customWidth="1"/>
    <col min="8454" max="8454" width="33.796875" style="631" customWidth="1"/>
    <col min="8455" max="8455" width="37.796875" style="631" customWidth="1"/>
    <col min="8456" max="8456" width="20.19921875" style="631" customWidth="1"/>
    <col min="8457" max="8457" width="37.796875" style="631" customWidth="1"/>
    <col min="8458" max="8458" width="26.53125" style="631" customWidth="1"/>
    <col min="8459" max="8704" width="9.19921875" style="631"/>
    <col min="8705" max="8705" width="15.796875" style="631" customWidth="1"/>
    <col min="8706" max="8706" width="37.796875" style="631" customWidth="1"/>
    <col min="8707" max="8709" width="15.796875" style="631" customWidth="1"/>
    <col min="8710" max="8710" width="33.796875" style="631" customWidth="1"/>
    <col min="8711" max="8711" width="37.796875" style="631" customWidth="1"/>
    <col min="8712" max="8712" width="20.19921875" style="631" customWidth="1"/>
    <col min="8713" max="8713" width="37.796875" style="631" customWidth="1"/>
    <col min="8714" max="8714" width="26.53125" style="631" customWidth="1"/>
    <col min="8715" max="8960" width="9.19921875" style="631"/>
    <col min="8961" max="8961" width="15.796875" style="631" customWidth="1"/>
    <col min="8962" max="8962" width="37.796875" style="631" customWidth="1"/>
    <col min="8963" max="8965" width="15.796875" style="631" customWidth="1"/>
    <col min="8966" max="8966" width="33.796875" style="631" customWidth="1"/>
    <col min="8967" max="8967" width="37.796875" style="631" customWidth="1"/>
    <col min="8968" max="8968" width="20.19921875" style="631" customWidth="1"/>
    <col min="8969" max="8969" width="37.796875" style="631" customWidth="1"/>
    <col min="8970" max="8970" width="26.53125" style="631" customWidth="1"/>
    <col min="8971" max="9216" width="9.19921875" style="631"/>
    <col min="9217" max="9217" width="15.796875" style="631" customWidth="1"/>
    <col min="9218" max="9218" width="37.796875" style="631" customWidth="1"/>
    <col min="9219" max="9221" width="15.796875" style="631" customWidth="1"/>
    <col min="9222" max="9222" width="33.796875" style="631" customWidth="1"/>
    <col min="9223" max="9223" width="37.796875" style="631" customWidth="1"/>
    <col min="9224" max="9224" width="20.19921875" style="631" customWidth="1"/>
    <col min="9225" max="9225" width="37.796875" style="631" customWidth="1"/>
    <col min="9226" max="9226" width="26.53125" style="631" customWidth="1"/>
    <col min="9227" max="9472" width="9.19921875" style="631"/>
    <col min="9473" max="9473" width="15.796875" style="631" customWidth="1"/>
    <col min="9474" max="9474" width="37.796875" style="631" customWidth="1"/>
    <col min="9475" max="9477" width="15.796875" style="631" customWidth="1"/>
    <col min="9478" max="9478" width="33.796875" style="631" customWidth="1"/>
    <col min="9479" max="9479" width="37.796875" style="631" customWidth="1"/>
    <col min="9480" max="9480" width="20.19921875" style="631" customWidth="1"/>
    <col min="9481" max="9481" width="37.796875" style="631" customWidth="1"/>
    <col min="9482" max="9482" width="26.53125" style="631" customWidth="1"/>
    <col min="9483" max="9728" width="9.19921875" style="631"/>
    <col min="9729" max="9729" width="15.796875" style="631" customWidth="1"/>
    <col min="9730" max="9730" width="37.796875" style="631" customWidth="1"/>
    <col min="9731" max="9733" width="15.796875" style="631" customWidth="1"/>
    <col min="9734" max="9734" width="33.796875" style="631" customWidth="1"/>
    <col min="9735" max="9735" width="37.796875" style="631" customWidth="1"/>
    <col min="9736" max="9736" width="20.19921875" style="631" customWidth="1"/>
    <col min="9737" max="9737" width="37.796875" style="631" customWidth="1"/>
    <col min="9738" max="9738" width="26.53125" style="631" customWidth="1"/>
    <col min="9739" max="9984" width="9.19921875" style="631"/>
    <col min="9985" max="9985" width="15.796875" style="631" customWidth="1"/>
    <col min="9986" max="9986" width="37.796875" style="631" customWidth="1"/>
    <col min="9987" max="9989" width="15.796875" style="631" customWidth="1"/>
    <col min="9990" max="9990" width="33.796875" style="631" customWidth="1"/>
    <col min="9991" max="9991" width="37.796875" style="631" customWidth="1"/>
    <col min="9992" max="9992" width="20.19921875" style="631" customWidth="1"/>
    <col min="9993" max="9993" width="37.796875" style="631" customWidth="1"/>
    <col min="9994" max="9994" width="26.53125" style="631" customWidth="1"/>
    <col min="9995" max="10240" width="9.19921875" style="631"/>
    <col min="10241" max="10241" width="15.796875" style="631" customWidth="1"/>
    <col min="10242" max="10242" width="37.796875" style="631" customWidth="1"/>
    <col min="10243" max="10245" width="15.796875" style="631" customWidth="1"/>
    <col min="10246" max="10246" width="33.796875" style="631" customWidth="1"/>
    <col min="10247" max="10247" width="37.796875" style="631" customWidth="1"/>
    <col min="10248" max="10248" width="20.19921875" style="631" customWidth="1"/>
    <col min="10249" max="10249" width="37.796875" style="631" customWidth="1"/>
    <col min="10250" max="10250" width="26.53125" style="631" customWidth="1"/>
    <col min="10251" max="10496" width="9.19921875" style="631"/>
    <col min="10497" max="10497" width="15.796875" style="631" customWidth="1"/>
    <col min="10498" max="10498" width="37.796875" style="631" customWidth="1"/>
    <col min="10499" max="10501" width="15.796875" style="631" customWidth="1"/>
    <col min="10502" max="10502" width="33.796875" style="631" customWidth="1"/>
    <col min="10503" max="10503" width="37.796875" style="631" customWidth="1"/>
    <col min="10504" max="10504" width="20.19921875" style="631" customWidth="1"/>
    <col min="10505" max="10505" width="37.796875" style="631" customWidth="1"/>
    <col min="10506" max="10506" width="26.53125" style="631" customWidth="1"/>
    <col min="10507" max="10752" width="9.19921875" style="631"/>
    <col min="10753" max="10753" width="15.796875" style="631" customWidth="1"/>
    <col min="10754" max="10754" width="37.796875" style="631" customWidth="1"/>
    <col min="10755" max="10757" width="15.796875" style="631" customWidth="1"/>
    <col min="10758" max="10758" width="33.796875" style="631" customWidth="1"/>
    <col min="10759" max="10759" width="37.796875" style="631" customWidth="1"/>
    <col min="10760" max="10760" width="20.19921875" style="631" customWidth="1"/>
    <col min="10761" max="10761" width="37.796875" style="631" customWidth="1"/>
    <col min="10762" max="10762" width="26.53125" style="631" customWidth="1"/>
    <col min="10763" max="11008" width="9.19921875" style="631"/>
    <col min="11009" max="11009" width="15.796875" style="631" customWidth="1"/>
    <col min="11010" max="11010" width="37.796875" style="631" customWidth="1"/>
    <col min="11011" max="11013" width="15.796875" style="631" customWidth="1"/>
    <col min="11014" max="11014" width="33.796875" style="631" customWidth="1"/>
    <col min="11015" max="11015" width="37.796875" style="631" customWidth="1"/>
    <col min="11016" max="11016" width="20.19921875" style="631" customWidth="1"/>
    <col min="11017" max="11017" width="37.796875" style="631" customWidth="1"/>
    <col min="11018" max="11018" width="26.53125" style="631" customWidth="1"/>
    <col min="11019" max="11264" width="9.19921875" style="631"/>
    <col min="11265" max="11265" width="15.796875" style="631" customWidth="1"/>
    <col min="11266" max="11266" width="37.796875" style="631" customWidth="1"/>
    <col min="11267" max="11269" width="15.796875" style="631" customWidth="1"/>
    <col min="11270" max="11270" width="33.796875" style="631" customWidth="1"/>
    <col min="11271" max="11271" width="37.796875" style="631" customWidth="1"/>
    <col min="11272" max="11272" width="20.19921875" style="631" customWidth="1"/>
    <col min="11273" max="11273" width="37.796875" style="631" customWidth="1"/>
    <col min="11274" max="11274" width="26.53125" style="631" customWidth="1"/>
    <col min="11275" max="11520" width="9.19921875" style="631"/>
    <col min="11521" max="11521" width="15.796875" style="631" customWidth="1"/>
    <col min="11522" max="11522" width="37.796875" style="631" customWidth="1"/>
    <col min="11523" max="11525" width="15.796875" style="631" customWidth="1"/>
    <col min="11526" max="11526" width="33.796875" style="631" customWidth="1"/>
    <col min="11527" max="11527" width="37.796875" style="631" customWidth="1"/>
    <col min="11528" max="11528" width="20.19921875" style="631" customWidth="1"/>
    <col min="11529" max="11529" width="37.796875" style="631" customWidth="1"/>
    <col min="11530" max="11530" width="26.53125" style="631" customWidth="1"/>
    <col min="11531" max="11776" width="9.19921875" style="631"/>
    <col min="11777" max="11777" width="15.796875" style="631" customWidth="1"/>
    <col min="11778" max="11778" width="37.796875" style="631" customWidth="1"/>
    <col min="11779" max="11781" width="15.796875" style="631" customWidth="1"/>
    <col min="11782" max="11782" width="33.796875" style="631" customWidth="1"/>
    <col min="11783" max="11783" width="37.796875" style="631" customWidth="1"/>
    <col min="11784" max="11784" width="20.19921875" style="631" customWidth="1"/>
    <col min="11785" max="11785" width="37.796875" style="631" customWidth="1"/>
    <col min="11786" max="11786" width="26.53125" style="631" customWidth="1"/>
    <col min="11787" max="12032" width="9.19921875" style="631"/>
    <col min="12033" max="12033" width="15.796875" style="631" customWidth="1"/>
    <col min="12034" max="12034" width="37.796875" style="631" customWidth="1"/>
    <col min="12035" max="12037" width="15.796875" style="631" customWidth="1"/>
    <col min="12038" max="12038" width="33.796875" style="631" customWidth="1"/>
    <col min="12039" max="12039" width="37.796875" style="631" customWidth="1"/>
    <col min="12040" max="12040" width="20.19921875" style="631" customWidth="1"/>
    <col min="12041" max="12041" width="37.796875" style="631" customWidth="1"/>
    <col min="12042" max="12042" width="26.53125" style="631" customWidth="1"/>
    <col min="12043" max="12288" width="9.19921875" style="631"/>
    <col min="12289" max="12289" width="15.796875" style="631" customWidth="1"/>
    <col min="12290" max="12290" width="37.796875" style="631" customWidth="1"/>
    <col min="12291" max="12293" width="15.796875" style="631" customWidth="1"/>
    <col min="12294" max="12294" width="33.796875" style="631" customWidth="1"/>
    <col min="12295" max="12295" width="37.796875" style="631" customWidth="1"/>
    <col min="12296" max="12296" width="20.19921875" style="631" customWidth="1"/>
    <col min="12297" max="12297" width="37.796875" style="631" customWidth="1"/>
    <col min="12298" max="12298" width="26.53125" style="631" customWidth="1"/>
    <col min="12299" max="12544" width="9.19921875" style="631"/>
    <col min="12545" max="12545" width="15.796875" style="631" customWidth="1"/>
    <col min="12546" max="12546" width="37.796875" style="631" customWidth="1"/>
    <col min="12547" max="12549" width="15.796875" style="631" customWidth="1"/>
    <col min="12550" max="12550" width="33.796875" style="631" customWidth="1"/>
    <col min="12551" max="12551" width="37.796875" style="631" customWidth="1"/>
    <col min="12552" max="12552" width="20.19921875" style="631" customWidth="1"/>
    <col min="12553" max="12553" width="37.796875" style="631" customWidth="1"/>
    <col min="12554" max="12554" width="26.53125" style="631" customWidth="1"/>
    <col min="12555" max="12800" width="9.19921875" style="631"/>
    <col min="12801" max="12801" width="15.796875" style="631" customWidth="1"/>
    <col min="12802" max="12802" width="37.796875" style="631" customWidth="1"/>
    <col min="12803" max="12805" width="15.796875" style="631" customWidth="1"/>
    <col min="12806" max="12806" width="33.796875" style="631" customWidth="1"/>
    <col min="12807" max="12807" width="37.796875" style="631" customWidth="1"/>
    <col min="12808" max="12808" width="20.19921875" style="631" customWidth="1"/>
    <col min="12809" max="12809" width="37.796875" style="631" customWidth="1"/>
    <col min="12810" max="12810" width="26.53125" style="631" customWidth="1"/>
    <col min="12811" max="13056" width="9.19921875" style="631"/>
    <col min="13057" max="13057" width="15.796875" style="631" customWidth="1"/>
    <col min="13058" max="13058" width="37.796875" style="631" customWidth="1"/>
    <col min="13059" max="13061" width="15.796875" style="631" customWidth="1"/>
    <col min="13062" max="13062" width="33.796875" style="631" customWidth="1"/>
    <col min="13063" max="13063" width="37.796875" style="631" customWidth="1"/>
    <col min="13064" max="13064" width="20.19921875" style="631" customWidth="1"/>
    <col min="13065" max="13065" width="37.796875" style="631" customWidth="1"/>
    <col min="13066" max="13066" width="26.53125" style="631" customWidth="1"/>
    <col min="13067" max="13312" width="9.19921875" style="631"/>
    <col min="13313" max="13313" width="15.796875" style="631" customWidth="1"/>
    <col min="13314" max="13314" width="37.796875" style="631" customWidth="1"/>
    <col min="13315" max="13317" width="15.796875" style="631" customWidth="1"/>
    <col min="13318" max="13318" width="33.796875" style="631" customWidth="1"/>
    <col min="13319" max="13319" width="37.796875" style="631" customWidth="1"/>
    <col min="13320" max="13320" width="20.19921875" style="631" customWidth="1"/>
    <col min="13321" max="13321" width="37.796875" style="631" customWidth="1"/>
    <col min="13322" max="13322" width="26.53125" style="631" customWidth="1"/>
    <col min="13323" max="13568" width="9.19921875" style="631"/>
    <col min="13569" max="13569" width="15.796875" style="631" customWidth="1"/>
    <col min="13570" max="13570" width="37.796875" style="631" customWidth="1"/>
    <col min="13571" max="13573" width="15.796875" style="631" customWidth="1"/>
    <col min="13574" max="13574" width="33.796875" style="631" customWidth="1"/>
    <col min="13575" max="13575" width="37.796875" style="631" customWidth="1"/>
    <col min="13576" max="13576" width="20.19921875" style="631" customWidth="1"/>
    <col min="13577" max="13577" width="37.796875" style="631" customWidth="1"/>
    <col min="13578" max="13578" width="26.53125" style="631" customWidth="1"/>
    <col min="13579" max="13824" width="9.19921875" style="631"/>
    <col min="13825" max="13825" width="15.796875" style="631" customWidth="1"/>
    <col min="13826" max="13826" width="37.796875" style="631" customWidth="1"/>
    <col min="13827" max="13829" width="15.796875" style="631" customWidth="1"/>
    <col min="13830" max="13830" width="33.796875" style="631" customWidth="1"/>
    <col min="13831" max="13831" width="37.796875" style="631" customWidth="1"/>
    <col min="13832" max="13832" width="20.19921875" style="631" customWidth="1"/>
    <col min="13833" max="13833" width="37.796875" style="631" customWidth="1"/>
    <col min="13834" max="13834" width="26.53125" style="631" customWidth="1"/>
    <col min="13835" max="14080" width="9.19921875" style="631"/>
    <col min="14081" max="14081" width="15.796875" style="631" customWidth="1"/>
    <col min="14082" max="14082" width="37.796875" style="631" customWidth="1"/>
    <col min="14083" max="14085" width="15.796875" style="631" customWidth="1"/>
    <col min="14086" max="14086" width="33.796875" style="631" customWidth="1"/>
    <col min="14087" max="14087" width="37.796875" style="631" customWidth="1"/>
    <col min="14088" max="14088" width="20.19921875" style="631" customWidth="1"/>
    <col min="14089" max="14089" width="37.796875" style="631" customWidth="1"/>
    <col min="14090" max="14090" width="26.53125" style="631" customWidth="1"/>
    <col min="14091" max="14336" width="9.19921875" style="631"/>
    <col min="14337" max="14337" width="15.796875" style="631" customWidth="1"/>
    <col min="14338" max="14338" width="37.796875" style="631" customWidth="1"/>
    <col min="14339" max="14341" width="15.796875" style="631" customWidth="1"/>
    <col min="14342" max="14342" width="33.796875" style="631" customWidth="1"/>
    <col min="14343" max="14343" width="37.796875" style="631" customWidth="1"/>
    <col min="14344" max="14344" width="20.19921875" style="631" customWidth="1"/>
    <col min="14345" max="14345" width="37.796875" style="631" customWidth="1"/>
    <col min="14346" max="14346" width="26.53125" style="631" customWidth="1"/>
    <col min="14347" max="14592" width="9.19921875" style="631"/>
    <col min="14593" max="14593" width="15.796875" style="631" customWidth="1"/>
    <col min="14594" max="14594" width="37.796875" style="631" customWidth="1"/>
    <col min="14595" max="14597" width="15.796875" style="631" customWidth="1"/>
    <col min="14598" max="14598" width="33.796875" style="631" customWidth="1"/>
    <col min="14599" max="14599" width="37.796875" style="631" customWidth="1"/>
    <col min="14600" max="14600" width="20.19921875" style="631" customWidth="1"/>
    <col min="14601" max="14601" width="37.796875" style="631" customWidth="1"/>
    <col min="14602" max="14602" width="26.53125" style="631" customWidth="1"/>
    <col min="14603" max="14848" width="9.19921875" style="631"/>
    <col min="14849" max="14849" width="15.796875" style="631" customWidth="1"/>
    <col min="14850" max="14850" width="37.796875" style="631" customWidth="1"/>
    <col min="14851" max="14853" width="15.796875" style="631" customWidth="1"/>
    <col min="14854" max="14854" width="33.796875" style="631" customWidth="1"/>
    <col min="14855" max="14855" width="37.796875" style="631" customWidth="1"/>
    <col min="14856" max="14856" width="20.19921875" style="631" customWidth="1"/>
    <col min="14857" max="14857" width="37.796875" style="631" customWidth="1"/>
    <col min="14858" max="14858" width="26.53125" style="631" customWidth="1"/>
    <col min="14859" max="15104" width="9.19921875" style="631"/>
    <col min="15105" max="15105" width="15.796875" style="631" customWidth="1"/>
    <col min="15106" max="15106" width="37.796875" style="631" customWidth="1"/>
    <col min="15107" max="15109" width="15.796875" style="631" customWidth="1"/>
    <col min="15110" max="15110" width="33.796875" style="631" customWidth="1"/>
    <col min="15111" max="15111" width="37.796875" style="631" customWidth="1"/>
    <col min="15112" max="15112" width="20.19921875" style="631" customWidth="1"/>
    <col min="15113" max="15113" width="37.796875" style="631" customWidth="1"/>
    <col min="15114" max="15114" width="26.53125" style="631" customWidth="1"/>
    <col min="15115" max="15360" width="9.19921875" style="631"/>
    <col min="15361" max="15361" width="15.796875" style="631" customWidth="1"/>
    <col min="15362" max="15362" width="37.796875" style="631" customWidth="1"/>
    <col min="15363" max="15365" width="15.796875" style="631" customWidth="1"/>
    <col min="15366" max="15366" width="33.796875" style="631" customWidth="1"/>
    <col min="15367" max="15367" width="37.796875" style="631" customWidth="1"/>
    <col min="15368" max="15368" width="20.19921875" style="631" customWidth="1"/>
    <col min="15369" max="15369" width="37.796875" style="631" customWidth="1"/>
    <col min="15370" max="15370" width="26.53125" style="631" customWidth="1"/>
    <col min="15371" max="15616" width="9.19921875" style="631"/>
    <col min="15617" max="15617" width="15.796875" style="631" customWidth="1"/>
    <col min="15618" max="15618" width="37.796875" style="631" customWidth="1"/>
    <col min="15619" max="15621" width="15.796875" style="631" customWidth="1"/>
    <col min="15622" max="15622" width="33.796875" style="631" customWidth="1"/>
    <col min="15623" max="15623" width="37.796875" style="631" customWidth="1"/>
    <col min="15624" max="15624" width="20.19921875" style="631" customWidth="1"/>
    <col min="15625" max="15625" width="37.796875" style="631" customWidth="1"/>
    <col min="15626" max="15626" width="26.53125" style="631" customWidth="1"/>
    <col min="15627" max="15872" width="9.19921875" style="631"/>
    <col min="15873" max="15873" width="15.796875" style="631" customWidth="1"/>
    <col min="15874" max="15874" width="37.796875" style="631" customWidth="1"/>
    <col min="15875" max="15877" width="15.796875" style="631" customWidth="1"/>
    <col min="15878" max="15878" width="33.796875" style="631" customWidth="1"/>
    <col min="15879" max="15879" width="37.796875" style="631" customWidth="1"/>
    <col min="15880" max="15880" width="20.19921875" style="631" customWidth="1"/>
    <col min="15881" max="15881" width="37.796875" style="631" customWidth="1"/>
    <col min="15882" max="15882" width="26.53125" style="631" customWidth="1"/>
    <col min="15883" max="16128" width="9.19921875" style="631"/>
    <col min="16129" max="16129" width="15.796875" style="631" customWidth="1"/>
    <col min="16130" max="16130" width="37.796875" style="631" customWidth="1"/>
    <col min="16131" max="16133" width="15.796875" style="631" customWidth="1"/>
    <col min="16134" max="16134" width="33.796875" style="631" customWidth="1"/>
    <col min="16135" max="16135" width="37.796875" style="631" customWidth="1"/>
    <col min="16136" max="16136" width="20.19921875" style="631" customWidth="1"/>
    <col min="16137" max="16137" width="37.796875" style="631" customWidth="1"/>
    <col min="16138" max="16138" width="26.53125" style="631" customWidth="1"/>
    <col min="16139" max="16384" width="9.19921875" style="631"/>
  </cols>
  <sheetData>
    <row r="1" spans="1:10" ht="40.049999999999997" customHeight="1">
      <c r="A1" s="630" t="s">
        <v>866</v>
      </c>
      <c r="B1" s="630" t="s">
        <v>867</v>
      </c>
      <c r="C1" s="630" t="s">
        <v>868</v>
      </c>
      <c r="D1" s="630" t="s">
        <v>869</v>
      </c>
      <c r="E1" s="630" t="s">
        <v>870</v>
      </c>
      <c r="F1" s="630" t="s">
        <v>871</v>
      </c>
      <c r="G1" s="630" t="s">
        <v>872</v>
      </c>
      <c r="H1" s="630" t="s">
        <v>873</v>
      </c>
      <c r="I1" s="630" t="s">
        <v>874</v>
      </c>
      <c r="J1" s="630" t="s">
        <v>875</v>
      </c>
    </row>
    <row r="2" spans="1:10">
      <c r="A2" s="636" t="s">
        <v>944</v>
      </c>
      <c r="B2" s="636" t="s">
        <v>945</v>
      </c>
      <c r="C2" s="637">
        <v>85977</v>
      </c>
      <c r="D2" s="638">
        <v>43465</v>
      </c>
      <c r="E2" s="636" t="s">
        <v>878</v>
      </c>
      <c r="F2" s="636" t="s">
        <v>890</v>
      </c>
      <c r="G2" s="636" t="s">
        <v>945</v>
      </c>
      <c r="H2" s="636" t="s">
        <v>880</v>
      </c>
      <c r="I2" s="635" t="s">
        <v>946</v>
      </c>
      <c r="J2" s="637">
        <v>9.1707180000000008</v>
      </c>
    </row>
    <row r="3" spans="1:10">
      <c r="A3" s="632" t="s">
        <v>947</v>
      </c>
      <c r="B3" s="632" t="s">
        <v>948</v>
      </c>
      <c r="C3" s="633">
        <v>26279</v>
      </c>
      <c r="D3" s="634">
        <v>43465</v>
      </c>
      <c r="E3" s="632" t="s">
        <v>878</v>
      </c>
      <c r="F3" s="632" t="s">
        <v>949</v>
      </c>
      <c r="G3" s="632" t="s">
        <v>948</v>
      </c>
      <c r="H3" s="632" t="s">
        <v>880</v>
      </c>
      <c r="I3" s="635" t="s">
        <v>950</v>
      </c>
      <c r="J3" s="633" t="s">
        <v>892</v>
      </c>
    </row>
    <row r="4" spans="1:10">
      <c r="A4" s="632" t="s">
        <v>951</v>
      </c>
      <c r="B4" s="632" t="s">
        <v>952</v>
      </c>
      <c r="C4" s="633">
        <v>19636</v>
      </c>
      <c r="D4" s="634">
        <v>43465</v>
      </c>
      <c r="E4" s="632" t="s">
        <v>878</v>
      </c>
      <c r="F4" s="632" t="s">
        <v>949</v>
      </c>
      <c r="G4" s="632" t="s">
        <v>952</v>
      </c>
      <c r="H4" s="632" t="s">
        <v>899</v>
      </c>
      <c r="I4" s="635" t="s">
        <v>953</v>
      </c>
      <c r="J4" s="633">
        <v>9.8999120000000005</v>
      </c>
    </row>
    <row r="5" spans="1:10">
      <c r="A5" s="632" t="s">
        <v>910</v>
      </c>
      <c r="B5" s="632" t="s">
        <v>911</v>
      </c>
      <c r="C5" s="633">
        <v>17534.492999999999</v>
      </c>
      <c r="D5" s="634">
        <v>43465</v>
      </c>
      <c r="E5" s="632" t="s">
        <v>878</v>
      </c>
      <c r="F5" s="632" t="s">
        <v>895</v>
      </c>
      <c r="G5" s="632" t="s">
        <v>911</v>
      </c>
      <c r="H5" s="632" t="s">
        <v>880</v>
      </c>
      <c r="I5" s="635" t="s">
        <v>912</v>
      </c>
      <c r="J5" s="633">
        <v>18.613119000000001</v>
      </c>
    </row>
    <row r="6" spans="1:10">
      <c r="A6" s="632" t="s">
        <v>954</v>
      </c>
      <c r="B6" s="632" t="s">
        <v>955</v>
      </c>
      <c r="C6" s="633">
        <v>15374</v>
      </c>
      <c r="D6" s="634">
        <v>43465</v>
      </c>
      <c r="E6" s="632" t="s">
        <v>878</v>
      </c>
      <c r="F6" s="632" t="s">
        <v>895</v>
      </c>
      <c r="G6" s="632" t="s">
        <v>955</v>
      </c>
      <c r="H6" s="632" t="s">
        <v>880</v>
      </c>
      <c r="I6" s="635" t="s">
        <v>956</v>
      </c>
      <c r="J6" s="633">
        <v>12.983233999999999</v>
      </c>
    </row>
    <row r="7" spans="1:10">
      <c r="A7" s="636" t="s">
        <v>957</v>
      </c>
      <c r="B7" s="636" t="s">
        <v>958</v>
      </c>
      <c r="C7" s="637">
        <v>14668.2</v>
      </c>
      <c r="D7" s="638">
        <v>43465</v>
      </c>
      <c r="E7" s="636" t="s">
        <v>878</v>
      </c>
      <c r="F7" s="636" t="s">
        <v>884</v>
      </c>
      <c r="G7" s="636" t="s">
        <v>958</v>
      </c>
      <c r="H7" s="636" t="s">
        <v>880</v>
      </c>
      <c r="I7" s="635" t="s">
        <v>959</v>
      </c>
      <c r="J7" s="637">
        <v>17.152605999999999</v>
      </c>
    </row>
    <row r="8" spans="1:10">
      <c r="A8" s="636" t="s">
        <v>960</v>
      </c>
      <c r="B8" s="636" t="s">
        <v>202</v>
      </c>
      <c r="C8" s="637">
        <v>10122</v>
      </c>
      <c r="D8" s="638">
        <v>43465</v>
      </c>
      <c r="E8" s="636" t="s">
        <v>878</v>
      </c>
      <c r="F8" s="636" t="s">
        <v>890</v>
      </c>
      <c r="G8" s="636" t="s">
        <v>202</v>
      </c>
      <c r="H8" s="636" t="s">
        <v>880</v>
      </c>
      <c r="I8" s="635" t="s">
        <v>961</v>
      </c>
      <c r="J8" s="637">
        <v>7.9384860000000002</v>
      </c>
    </row>
    <row r="9" spans="1:10">
      <c r="A9" s="636" t="s">
        <v>962</v>
      </c>
      <c r="B9" s="636" t="s">
        <v>963</v>
      </c>
      <c r="C9" s="637">
        <v>9587.2999999999993</v>
      </c>
      <c r="D9" s="638">
        <v>43465</v>
      </c>
      <c r="E9" s="636" t="s">
        <v>878</v>
      </c>
      <c r="F9" s="636" t="s">
        <v>949</v>
      </c>
      <c r="G9" s="636" t="s">
        <v>963</v>
      </c>
      <c r="H9" s="636" t="s">
        <v>880</v>
      </c>
      <c r="I9" s="635" t="s">
        <v>964</v>
      </c>
      <c r="J9" s="637">
        <v>7.1486210000000003</v>
      </c>
    </row>
    <row r="10" spans="1:10">
      <c r="A10" s="636" t="s">
        <v>901</v>
      </c>
      <c r="B10" s="636" t="s">
        <v>902</v>
      </c>
      <c r="C10" s="637">
        <v>9379</v>
      </c>
      <c r="D10" s="638">
        <v>43465</v>
      </c>
      <c r="E10" s="636" t="s">
        <v>878</v>
      </c>
      <c r="F10" s="636" t="s">
        <v>890</v>
      </c>
      <c r="G10" s="636" t="s">
        <v>902</v>
      </c>
      <c r="H10" s="636" t="s">
        <v>880</v>
      </c>
      <c r="I10" s="635" t="s">
        <v>903</v>
      </c>
      <c r="J10" s="637">
        <v>4.9563230000000003</v>
      </c>
    </row>
    <row r="11" spans="1:10">
      <c r="A11" s="632" t="s">
        <v>916</v>
      </c>
      <c r="B11" s="632" t="s">
        <v>917</v>
      </c>
      <c r="C11" s="633">
        <v>8635</v>
      </c>
      <c r="D11" s="634">
        <v>43465</v>
      </c>
      <c r="E11" s="632" t="s">
        <v>878</v>
      </c>
      <c r="F11" s="632" t="s">
        <v>890</v>
      </c>
      <c r="G11" s="632" t="s">
        <v>918</v>
      </c>
      <c r="H11" s="632" t="s">
        <v>880</v>
      </c>
      <c r="I11" s="635" t="s">
        <v>919</v>
      </c>
      <c r="J11" s="633">
        <v>5.2844179999999996</v>
      </c>
    </row>
    <row r="12" spans="1:10">
      <c r="A12" s="632" t="s">
        <v>882</v>
      </c>
      <c r="B12" s="632" t="s">
        <v>883</v>
      </c>
      <c r="C12" s="633">
        <v>6992.8920369999996</v>
      </c>
      <c r="D12" s="634">
        <v>43465</v>
      </c>
      <c r="E12" s="632" t="s">
        <v>878</v>
      </c>
      <c r="F12" s="632" t="s">
        <v>884</v>
      </c>
      <c r="G12" s="632" t="s">
        <v>885</v>
      </c>
      <c r="H12" s="632" t="s">
        <v>886</v>
      </c>
      <c r="I12" s="635" t="s">
        <v>887</v>
      </c>
      <c r="J12" s="633">
        <v>5.896331</v>
      </c>
    </row>
    <row r="13" spans="1:10">
      <c r="A13" s="632" t="s">
        <v>965</v>
      </c>
      <c r="B13" s="632" t="s">
        <v>966</v>
      </c>
      <c r="C13" s="633">
        <v>6638</v>
      </c>
      <c r="D13" s="634">
        <v>43465</v>
      </c>
      <c r="E13" s="632" t="s">
        <v>878</v>
      </c>
      <c r="F13" s="632" t="s">
        <v>895</v>
      </c>
      <c r="G13" s="632" t="s">
        <v>966</v>
      </c>
      <c r="H13" s="632" t="s">
        <v>880</v>
      </c>
      <c r="I13" s="635" t="s">
        <v>967</v>
      </c>
      <c r="J13" s="633">
        <v>5.2441680000000002</v>
      </c>
    </row>
    <row r="14" spans="1:10">
      <c r="A14" s="636" t="s">
        <v>968</v>
      </c>
      <c r="B14" s="636" t="s">
        <v>969</v>
      </c>
      <c r="C14" s="637">
        <v>5564.5510000000004</v>
      </c>
      <c r="D14" s="638">
        <v>43616</v>
      </c>
      <c r="E14" s="636" t="s">
        <v>878</v>
      </c>
      <c r="F14" s="636" t="s">
        <v>895</v>
      </c>
      <c r="G14" s="636" t="s">
        <v>969</v>
      </c>
      <c r="H14" s="636" t="s">
        <v>880</v>
      </c>
      <c r="I14" s="635" t="s">
        <v>970</v>
      </c>
      <c r="J14" s="637">
        <v>14.881117</v>
      </c>
    </row>
    <row r="15" spans="1:10">
      <c r="A15" s="636" t="s">
        <v>971</v>
      </c>
      <c r="B15" s="636" t="s">
        <v>972</v>
      </c>
      <c r="C15" s="637">
        <v>4727.8</v>
      </c>
      <c r="D15" s="638">
        <v>43465</v>
      </c>
      <c r="E15" s="636" t="s">
        <v>878</v>
      </c>
      <c r="F15" s="636" t="s">
        <v>949</v>
      </c>
      <c r="G15" s="636" t="s">
        <v>972</v>
      </c>
      <c r="H15" s="636" t="s">
        <v>880</v>
      </c>
      <c r="I15" s="635" t="s">
        <v>973</v>
      </c>
      <c r="J15" s="637">
        <v>9.8744169999999993</v>
      </c>
    </row>
    <row r="16" spans="1:10">
      <c r="A16" s="632" t="s">
        <v>974</v>
      </c>
      <c r="B16" s="632" t="s">
        <v>975</v>
      </c>
      <c r="C16" s="633">
        <v>4696</v>
      </c>
      <c r="D16" s="634">
        <v>43465</v>
      </c>
      <c r="E16" s="632" t="s">
        <v>878</v>
      </c>
      <c r="F16" s="632" t="s">
        <v>895</v>
      </c>
      <c r="G16" s="632" t="s">
        <v>975</v>
      </c>
      <c r="H16" s="632" t="s">
        <v>880</v>
      </c>
      <c r="I16" s="635" t="s">
        <v>976</v>
      </c>
      <c r="J16" s="633">
        <v>10.058045</v>
      </c>
    </row>
    <row r="17" spans="1:10">
      <c r="A17" s="636" t="s">
        <v>913</v>
      </c>
      <c r="B17" s="636" t="s">
        <v>914</v>
      </c>
      <c r="C17" s="637">
        <v>4622.8</v>
      </c>
      <c r="D17" s="638">
        <v>43465</v>
      </c>
      <c r="E17" s="636" t="s">
        <v>878</v>
      </c>
      <c r="F17" s="636" t="s">
        <v>895</v>
      </c>
      <c r="G17" s="636" t="s">
        <v>914</v>
      </c>
      <c r="H17" s="636" t="s">
        <v>880</v>
      </c>
      <c r="I17" s="635" t="s">
        <v>915</v>
      </c>
      <c r="J17" s="637">
        <v>6.7263149999999996</v>
      </c>
    </row>
    <row r="18" spans="1:10">
      <c r="A18" s="636" t="s">
        <v>977</v>
      </c>
      <c r="B18" s="636" t="s">
        <v>978</v>
      </c>
      <c r="C18" s="637">
        <v>4429</v>
      </c>
      <c r="D18" s="638">
        <v>43465</v>
      </c>
      <c r="E18" s="636" t="s">
        <v>878</v>
      </c>
      <c r="F18" s="636" t="s">
        <v>949</v>
      </c>
      <c r="G18" s="636" t="s">
        <v>978</v>
      </c>
      <c r="H18" s="636" t="s">
        <v>880</v>
      </c>
      <c r="I18" s="635" t="s">
        <v>979</v>
      </c>
      <c r="J18" s="637">
        <v>10.831186000000001</v>
      </c>
    </row>
    <row r="19" spans="1:10">
      <c r="A19" s="632" t="s">
        <v>980</v>
      </c>
      <c r="B19" s="632" t="s">
        <v>981</v>
      </c>
      <c r="C19" s="633">
        <v>3977.5390000000002</v>
      </c>
      <c r="D19" s="634">
        <v>43465</v>
      </c>
      <c r="E19" s="632" t="s">
        <v>878</v>
      </c>
      <c r="F19" s="632" t="s">
        <v>982</v>
      </c>
      <c r="G19" s="632" t="s">
        <v>981</v>
      </c>
      <c r="H19" s="632" t="s">
        <v>880</v>
      </c>
      <c r="I19" s="635" t="s">
        <v>983</v>
      </c>
      <c r="J19" s="633">
        <v>18.115532999999999</v>
      </c>
    </row>
    <row r="20" spans="1:10">
      <c r="A20" s="636" t="s">
        <v>984</v>
      </c>
      <c r="B20" s="636" t="s">
        <v>985</v>
      </c>
      <c r="C20" s="637">
        <v>3743</v>
      </c>
      <c r="D20" s="638">
        <v>43373</v>
      </c>
      <c r="E20" s="636" t="s">
        <v>878</v>
      </c>
      <c r="F20" s="636" t="s">
        <v>884</v>
      </c>
      <c r="G20" s="636" t="s">
        <v>985</v>
      </c>
      <c r="H20" s="636" t="s">
        <v>880</v>
      </c>
      <c r="I20" s="635" t="s">
        <v>986</v>
      </c>
      <c r="J20" s="637">
        <v>11.005872</v>
      </c>
    </row>
    <row r="21" spans="1:10">
      <c r="A21" s="636" t="s">
        <v>987</v>
      </c>
      <c r="B21" s="636" t="s">
        <v>988</v>
      </c>
      <c r="C21" s="637">
        <v>3533.4</v>
      </c>
      <c r="D21" s="638">
        <v>43465</v>
      </c>
      <c r="E21" s="636" t="s">
        <v>878</v>
      </c>
      <c r="F21" s="636" t="s">
        <v>884</v>
      </c>
      <c r="G21" s="636" t="s">
        <v>988</v>
      </c>
      <c r="H21" s="636" t="s">
        <v>880</v>
      </c>
      <c r="I21" s="635" t="s">
        <v>989</v>
      </c>
      <c r="J21" s="637">
        <v>9.1438989999999993</v>
      </c>
    </row>
    <row r="22" spans="1:10">
      <c r="A22" s="632" t="s">
        <v>990</v>
      </c>
      <c r="B22" s="632" t="s">
        <v>991</v>
      </c>
      <c r="C22" s="633">
        <v>3374.95</v>
      </c>
      <c r="D22" s="634">
        <v>43465</v>
      </c>
      <c r="E22" s="632" t="s">
        <v>878</v>
      </c>
      <c r="F22" s="632" t="s">
        <v>884</v>
      </c>
      <c r="G22" s="632" t="s">
        <v>991</v>
      </c>
      <c r="H22" s="632" t="s">
        <v>880</v>
      </c>
      <c r="I22" s="635" t="s">
        <v>992</v>
      </c>
      <c r="J22" s="633">
        <v>10.55081</v>
      </c>
    </row>
    <row r="23" spans="1:10">
      <c r="A23" s="632" t="s">
        <v>893</v>
      </c>
      <c r="B23" s="632" t="s">
        <v>894</v>
      </c>
      <c r="C23" s="633">
        <v>3041.002</v>
      </c>
      <c r="D23" s="634">
        <v>43435</v>
      </c>
      <c r="E23" s="632" t="s">
        <v>878</v>
      </c>
      <c r="F23" s="632" t="s">
        <v>895</v>
      </c>
      <c r="G23" s="632" t="s">
        <v>894</v>
      </c>
      <c r="H23" s="632" t="s">
        <v>880</v>
      </c>
      <c r="I23" s="635" t="s">
        <v>896</v>
      </c>
      <c r="J23" s="633">
        <v>11.264086000000001</v>
      </c>
    </row>
    <row r="24" spans="1:10">
      <c r="A24" s="636" t="s">
        <v>993</v>
      </c>
      <c r="B24" s="636" t="s">
        <v>994</v>
      </c>
      <c r="C24" s="637">
        <v>2664.2</v>
      </c>
      <c r="D24" s="638">
        <v>43373</v>
      </c>
      <c r="E24" s="636" t="s">
        <v>878</v>
      </c>
      <c r="F24" s="636" t="s">
        <v>949</v>
      </c>
      <c r="G24" s="636" t="s">
        <v>994</v>
      </c>
      <c r="H24" s="636" t="s">
        <v>880</v>
      </c>
      <c r="I24" s="635" t="s">
        <v>995</v>
      </c>
      <c r="J24" s="637">
        <v>15.326200999999999</v>
      </c>
    </row>
    <row r="25" spans="1:10">
      <c r="A25" s="636" t="s">
        <v>996</v>
      </c>
      <c r="B25" s="636" t="s">
        <v>997</v>
      </c>
      <c r="C25" s="637">
        <v>2289.6750000000002</v>
      </c>
      <c r="D25" s="638">
        <v>43465</v>
      </c>
      <c r="E25" s="636" t="s">
        <v>878</v>
      </c>
      <c r="F25" s="636" t="s">
        <v>884</v>
      </c>
      <c r="G25" s="636" t="s">
        <v>997</v>
      </c>
      <c r="H25" s="636" t="s">
        <v>880</v>
      </c>
      <c r="I25" s="635" t="s">
        <v>998</v>
      </c>
      <c r="J25" s="637">
        <v>14.991379999999999</v>
      </c>
    </row>
    <row r="26" spans="1:10">
      <c r="A26" s="632" t="s">
        <v>999</v>
      </c>
      <c r="B26" s="632" t="s">
        <v>1000</v>
      </c>
      <c r="C26" s="633">
        <v>2285</v>
      </c>
      <c r="D26" s="634">
        <v>43373</v>
      </c>
      <c r="E26" s="632" t="s">
        <v>878</v>
      </c>
      <c r="F26" s="632" t="s">
        <v>890</v>
      </c>
      <c r="G26" s="632" t="s">
        <v>1000</v>
      </c>
      <c r="H26" s="632" t="s">
        <v>880</v>
      </c>
      <c r="I26" s="635" t="s">
        <v>1001</v>
      </c>
      <c r="J26" s="633">
        <v>12.815047</v>
      </c>
    </row>
    <row r="27" spans="1:10">
      <c r="A27" s="632" t="s">
        <v>907</v>
      </c>
      <c r="B27" s="632" t="s">
        <v>908</v>
      </c>
      <c r="C27" s="633">
        <v>2134.413</v>
      </c>
      <c r="D27" s="634">
        <v>43465</v>
      </c>
      <c r="E27" s="632" t="s">
        <v>878</v>
      </c>
      <c r="F27" s="632" t="s">
        <v>884</v>
      </c>
      <c r="G27" s="632" t="s">
        <v>908</v>
      </c>
      <c r="H27" s="632" t="s">
        <v>880</v>
      </c>
      <c r="I27" s="635" t="s">
        <v>909</v>
      </c>
      <c r="J27" s="633">
        <v>4.8394640000000004</v>
      </c>
    </row>
    <row r="28" spans="1:10">
      <c r="A28" s="632" t="s">
        <v>904</v>
      </c>
      <c r="B28" s="632" t="s">
        <v>905</v>
      </c>
      <c r="C28" s="633">
        <v>2011.675</v>
      </c>
      <c r="D28" s="634">
        <v>43465</v>
      </c>
      <c r="E28" s="632" t="s">
        <v>878</v>
      </c>
      <c r="F28" s="632" t="s">
        <v>895</v>
      </c>
      <c r="G28" s="632" t="s">
        <v>905</v>
      </c>
      <c r="H28" s="632" t="s">
        <v>880</v>
      </c>
      <c r="I28" s="635" t="s">
        <v>906</v>
      </c>
      <c r="J28" s="633">
        <v>5.5799440000000002</v>
      </c>
    </row>
    <row r="29" spans="1:10">
      <c r="A29" s="632" t="s">
        <v>1002</v>
      </c>
      <c r="B29" s="632" t="s">
        <v>1003</v>
      </c>
      <c r="C29" s="633">
        <v>1993.857</v>
      </c>
      <c r="D29" s="634">
        <v>43465</v>
      </c>
      <c r="E29" s="632" t="s">
        <v>878</v>
      </c>
      <c r="F29" s="632" t="s">
        <v>884</v>
      </c>
      <c r="G29" s="632" t="s">
        <v>1003</v>
      </c>
      <c r="H29" s="632" t="s">
        <v>880</v>
      </c>
      <c r="I29" s="635" t="s">
        <v>1004</v>
      </c>
      <c r="J29" s="633">
        <v>7.2420629999999999</v>
      </c>
    </row>
    <row r="30" spans="1:10">
      <c r="A30" s="636" t="s">
        <v>1005</v>
      </c>
      <c r="B30" s="636" t="s">
        <v>1006</v>
      </c>
      <c r="C30" s="637">
        <v>1961</v>
      </c>
      <c r="D30" s="638">
        <v>43465</v>
      </c>
      <c r="E30" s="636" t="s">
        <v>878</v>
      </c>
      <c r="F30" s="636" t="s">
        <v>884</v>
      </c>
      <c r="G30" s="636" t="s">
        <v>1006</v>
      </c>
      <c r="H30" s="636" t="s">
        <v>880</v>
      </c>
      <c r="I30" s="635" t="s">
        <v>1007</v>
      </c>
      <c r="J30" s="637">
        <v>19.906210999999999</v>
      </c>
    </row>
    <row r="31" spans="1:10">
      <c r="A31" s="632" t="s">
        <v>1008</v>
      </c>
      <c r="B31" s="632" t="s">
        <v>1009</v>
      </c>
      <c r="C31" s="633">
        <v>1932.1</v>
      </c>
      <c r="D31" s="634">
        <v>43465</v>
      </c>
      <c r="E31" s="632" t="s">
        <v>878</v>
      </c>
      <c r="F31" s="632" t="s">
        <v>884</v>
      </c>
      <c r="G31" s="632" t="s">
        <v>1009</v>
      </c>
      <c r="H31" s="632" t="s">
        <v>880</v>
      </c>
      <c r="I31" s="635" t="s">
        <v>1010</v>
      </c>
      <c r="J31" s="633">
        <v>12.368105999999999</v>
      </c>
    </row>
    <row r="32" spans="1:10">
      <c r="A32" s="636" t="s">
        <v>1011</v>
      </c>
      <c r="B32" s="636" t="s">
        <v>1012</v>
      </c>
      <c r="C32" s="637">
        <v>1820.1</v>
      </c>
      <c r="D32" s="638">
        <v>43465</v>
      </c>
      <c r="E32" s="636" t="s">
        <v>878</v>
      </c>
      <c r="F32" s="636" t="s">
        <v>884</v>
      </c>
      <c r="G32" s="636" t="s">
        <v>1013</v>
      </c>
      <c r="H32" s="636" t="s">
        <v>880</v>
      </c>
      <c r="I32" s="635" t="s">
        <v>1014</v>
      </c>
      <c r="J32" s="637">
        <v>5.4923380000000002</v>
      </c>
    </row>
    <row r="33" spans="1:10">
      <c r="A33" s="636" t="s">
        <v>1015</v>
      </c>
      <c r="B33" s="636" t="s">
        <v>1016</v>
      </c>
      <c r="C33" s="637">
        <v>1661.9</v>
      </c>
      <c r="D33" s="638">
        <v>43465</v>
      </c>
      <c r="E33" s="636" t="s">
        <v>878</v>
      </c>
      <c r="F33" s="636" t="s">
        <v>884</v>
      </c>
      <c r="G33" s="636" t="s">
        <v>1013</v>
      </c>
      <c r="H33" s="636" t="s">
        <v>880</v>
      </c>
      <c r="I33" s="635" t="s">
        <v>1017</v>
      </c>
      <c r="J33" s="637">
        <v>3.8309489999999999</v>
      </c>
    </row>
    <row r="34" spans="1:10">
      <c r="A34" s="636" t="s">
        <v>1018</v>
      </c>
      <c r="B34" s="636" t="s">
        <v>1019</v>
      </c>
      <c r="C34" s="637">
        <v>1612.4079999999999</v>
      </c>
      <c r="D34" s="638">
        <v>43465</v>
      </c>
      <c r="E34" s="636" t="s">
        <v>878</v>
      </c>
      <c r="F34" s="636" t="s">
        <v>895</v>
      </c>
      <c r="G34" s="636" t="s">
        <v>1019</v>
      </c>
      <c r="H34" s="636" t="s">
        <v>880</v>
      </c>
      <c r="I34" s="635" t="s">
        <v>1020</v>
      </c>
      <c r="J34" s="637">
        <v>8.8834949999999999</v>
      </c>
    </row>
    <row r="35" spans="1:10">
      <c r="A35" s="636" t="s">
        <v>1021</v>
      </c>
      <c r="B35" s="636" t="s">
        <v>1022</v>
      </c>
      <c r="C35" s="637">
        <v>1608.154</v>
      </c>
      <c r="D35" s="638">
        <v>43465</v>
      </c>
      <c r="E35" s="636" t="s">
        <v>878</v>
      </c>
      <c r="F35" s="636" t="s">
        <v>884</v>
      </c>
      <c r="G35" s="636" t="s">
        <v>1022</v>
      </c>
      <c r="H35" s="636" t="s">
        <v>880</v>
      </c>
      <c r="I35" s="635" t="s">
        <v>1023</v>
      </c>
      <c r="J35" s="637">
        <v>11.366790999999999</v>
      </c>
    </row>
    <row r="36" spans="1:10">
      <c r="A36" s="636" t="s">
        <v>1024</v>
      </c>
      <c r="B36" s="636" t="s">
        <v>1025</v>
      </c>
      <c r="C36" s="637">
        <v>1514.9839999999999</v>
      </c>
      <c r="D36" s="638">
        <v>43465</v>
      </c>
      <c r="E36" s="636" t="s">
        <v>878</v>
      </c>
      <c r="F36" s="636" t="s">
        <v>884</v>
      </c>
      <c r="G36" s="636" t="s">
        <v>1025</v>
      </c>
      <c r="H36" s="636" t="s">
        <v>880</v>
      </c>
      <c r="I36" s="635" t="s">
        <v>1026</v>
      </c>
      <c r="J36" s="637">
        <v>6.445252</v>
      </c>
    </row>
    <row r="37" spans="1:10">
      <c r="A37" s="632" t="s">
        <v>1027</v>
      </c>
      <c r="B37" s="632" t="s">
        <v>1028</v>
      </c>
      <c r="C37" s="633">
        <v>1476.9</v>
      </c>
      <c r="D37" s="634">
        <v>43465</v>
      </c>
      <c r="E37" s="632" t="s">
        <v>878</v>
      </c>
      <c r="F37" s="632" t="s">
        <v>884</v>
      </c>
      <c r="G37" s="632" t="s">
        <v>1028</v>
      </c>
      <c r="H37" s="632" t="s">
        <v>880</v>
      </c>
      <c r="I37" s="635" t="s">
        <v>1029</v>
      </c>
      <c r="J37" s="633">
        <v>8.190429</v>
      </c>
    </row>
    <row r="38" spans="1:10">
      <c r="A38" s="636" t="s">
        <v>1030</v>
      </c>
      <c r="B38" s="636" t="s">
        <v>1031</v>
      </c>
      <c r="C38" s="637">
        <v>1386.8150000000001</v>
      </c>
      <c r="D38" s="638">
        <v>43465</v>
      </c>
      <c r="E38" s="636" t="s">
        <v>878</v>
      </c>
      <c r="F38" s="636" t="s">
        <v>890</v>
      </c>
      <c r="G38" s="636" t="s">
        <v>1031</v>
      </c>
      <c r="H38" s="636" t="s">
        <v>880</v>
      </c>
      <c r="I38" s="635" t="s">
        <v>1032</v>
      </c>
      <c r="J38" s="637">
        <v>11.890123000000001</v>
      </c>
    </row>
    <row r="39" spans="1:10">
      <c r="A39" s="632" t="s">
        <v>1033</v>
      </c>
      <c r="B39" s="632" t="s">
        <v>1034</v>
      </c>
      <c r="C39" s="633">
        <v>1372.3</v>
      </c>
      <c r="D39" s="634">
        <v>43373</v>
      </c>
      <c r="E39" s="632" t="s">
        <v>878</v>
      </c>
      <c r="F39" s="632" t="s">
        <v>1035</v>
      </c>
      <c r="G39" s="632" t="s">
        <v>1034</v>
      </c>
      <c r="H39" s="632" t="s">
        <v>880</v>
      </c>
      <c r="I39" s="635" t="s">
        <v>1036</v>
      </c>
      <c r="J39" s="633">
        <v>10.316165</v>
      </c>
    </row>
    <row r="40" spans="1:10">
      <c r="A40" s="632" t="s">
        <v>1037</v>
      </c>
      <c r="B40" s="632" t="s">
        <v>1038</v>
      </c>
      <c r="C40" s="633">
        <v>1207.8150000000001</v>
      </c>
      <c r="D40" s="634">
        <v>43465</v>
      </c>
      <c r="E40" s="632" t="s">
        <v>878</v>
      </c>
      <c r="F40" s="632" t="s">
        <v>1039</v>
      </c>
      <c r="G40" s="632" t="s">
        <v>1038</v>
      </c>
      <c r="H40" s="632" t="s">
        <v>880</v>
      </c>
      <c r="I40" s="635" t="s">
        <v>1040</v>
      </c>
      <c r="J40" s="633">
        <v>8.4190839999999998</v>
      </c>
    </row>
    <row r="41" spans="1:10">
      <c r="A41" s="636" t="s">
        <v>1041</v>
      </c>
      <c r="B41" s="636" t="s">
        <v>1042</v>
      </c>
      <c r="C41" s="637">
        <v>1133.5999999999999</v>
      </c>
      <c r="D41" s="638">
        <v>43465</v>
      </c>
      <c r="E41" s="636" t="s">
        <v>878</v>
      </c>
      <c r="F41" s="636" t="s">
        <v>890</v>
      </c>
      <c r="G41" s="636" t="s">
        <v>1042</v>
      </c>
      <c r="H41" s="636" t="s">
        <v>880</v>
      </c>
      <c r="I41" s="635" t="s">
        <v>1043</v>
      </c>
      <c r="J41" s="637">
        <v>13.215329000000001</v>
      </c>
    </row>
    <row r="42" spans="1:10">
      <c r="A42" s="632" t="s">
        <v>1044</v>
      </c>
      <c r="B42" s="632" t="s">
        <v>1045</v>
      </c>
      <c r="C42" s="633">
        <v>1125.4000000000001</v>
      </c>
      <c r="D42" s="634">
        <v>43465</v>
      </c>
      <c r="E42" s="632" t="s">
        <v>878</v>
      </c>
      <c r="F42" s="632" t="s">
        <v>895</v>
      </c>
      <c r="G42" s="632" t="s">
        <v>1045</v>
      </c>
      <c r="H42" s="632" t="s">
        <v>880</v>
      </c>
      <c r="I42" s="635" t="s">
        <v>1046</v>
      </c>
      <c r="J42" s="633">
        <v>12.641339</v>
      </c>
    </row>
    <row r="43" spans="1:10">
      <c r="A43" s="632" t="s">
        <v>1047</v>
      </c>
      <c r="B43" s="632" t="s">
        <v>1048</v>
      </c>
      <c r="C43" s="633">
        <v>980.63719500000002</v>
      </c>
      <c r="D43" s="634">
        <v>43465</v>
      </c>
      <c r="E43" s="632" t="s">
        <v>878</v>
      </c>
      <c r="F43" s="632" t="s">
        <v>890</v>
      </c>
      <c r="G43" s="632" t="s">
        <v>1048</v>
      </c>
      <c r="H43" s="632" t="s">
        <v>899</v>
      </c>
      <c r="I43" s="635" t="s">
        <v>1049</v>
      </c>
      <c r="J43" s="633">
        <v>9.6666329999999991</v>
      </c>
    </row>
    <row r="44" spans="1:10">
      <c r="A44" s="632" t="s">
        <v>1050</v>
      </c>
      <c r="B44" s="632" t="s">
        <v>1051</v>
      </c>
      <c r="C44" s="633">
        <v>879.09100000000001</v>
      </c>
      <c r="D44" s="634">
        <v>43465</v>
      </c>
      <c r="E44" s="632" t="s">
        <v>878</v>
      </c>
      <c r="F44" s="632" t="s">
        <v>1052</v>
      </c>
      <c r="G44" s="632" t="s">
        <v>1051</v>
      </c>
      <c r="H44" s="632" t="s">
        <v>880</v>
      </c>
      <c r="I44" s="635" t="s">
        <v>1053</v>
      </c>
      <c r="J44" s="633">
        <v>11.690557999999999</v>
      </c>
    </row>
    <row r="45" spans="1:10">
      <c r="A45" s="636" t="s">
        <v>1054</v>
      </c>
      <c r="B45" s="636" t="s">
        <v>1055</v>
      </c>
      <c r="C45" s="637">
        <v>867.52</v>
      </c>
      <c r="D45" s="638">
        <v>43465</v>
      </c>
      <c r="E45" s="636" t="s">
        <v>878</v>
      </c>
      <c r="F45" s="636" t="s">
        <v>884</v>
      </c>
      <c r="G45" s="636" t="s">
        <v>1055</v>
      </c>
      <c r="H45" s="636" t="s">
        <v>880</v>
      </c>
      <c r="I45" s="635" t="s">
        <v>1056</v>
      </c>
      <c r="J45" s="637">
        <v>18.510245000000001</v>
      </c>
    </row>
    <row r="46" spans="1:10">
      <c r="A46" s="636" t="s">
        <v>1057</v>
      </c>
      <c r="B46" s="636" t="s">
        <v>1058</v>
      </c>
      <c r="C46" s="637">
        <v>801.84199999999998</v>
      </c>
      <c r="D46" s="638">
        <v>43465</v>
      </c>
      <c r="E46" s="636" t="s">
        <v>878</v>
      </c>
      <c r="F46" s="636" t="s">
        <v>884</v>
      </c>
      <c r="G46" s="636" t="s">
        <v>1058</v>
      </c>
      <c r="H46" s="636" t="s">
        <v>880</v>
      </c>
      <c r="I46" s="635" t="s">
        <v>1059</v>
      </c>
      <c r="J46" s="637">
        <v>6.8051279999999998</v>
      </c>
    </row>
    <row r="47" spans="1:10">
      <c r="A47" s="632" t="s">
        <v>1060</v>
      </c>
      <c r="B47" s="632" t="s">
        <v>1061</v>
      </c>
      <c r="C47" s="633">
        <v>769.8</v>
      </c>
      <c r="D47" s="634">
        <v>43434</v>
      </c>
      <c r="E47" s="632" t="s">
        <v>878</v>
      </c>
      <c r="F47" s="632" t="s">
        <v>895</v>
      </c>
      <c r="G47" s="632" t="s">
        <v>1061</v>
      </c>
      <c r="H47" s="632" t="s">
        <v>880</v>
      </c>
      <c r="I47" s="635" t="s">
        <v>1062</v>
      </c>
      <c r="J47" s="633">
        <v>7.3379770000000004</v>
      </c>
    </row>
    <row r="48" spans="1:10">
      <c r="A48" s="636" t="s">
        <v>1063</v>
      </c>
      <c r="B48" s="636" t="s">
        <v>1064</v>
      </c>
      <c r="C48" s="637">
        <v>643.67899999999997</v>
      </c>
      <c r="D48" s="638">
        <v>43465</v>
      </c>
      <c r="E48" s="636" t="s">
        <v>878</v>
      </c>
      <c r="F48" s="636" t="s">
        <v>884</v>
      </c>
      <c r="G48" s="636" t="s">
        <v>1064</v>
      </c>
      <c r="H48" s="636" t="s">
        <v>880</v>
      </c>
      <c r="I48" s="635" t="s">
        <v>1065</v>
      </c>
      <c r="J48" s="637">
        <v>17.220804000000001</v>
      </c>
    </row>
    <row r="49" spans="1:10">
      <c r="A49" s="636" t="s">
        <v>1066</v>
      </c>
      <c r="B49" s="636" t="s">
        <v>1067</v>
      </c>
      <c r="C49" s="637">
        <v>590.12300000000005</v>
      </c>
      <c r="D49" s="638">
        <v>43373</v>
      </c>
      <c r="E49" s="636" t="s">
        <v>878</v>
      </c>
      <c r="F49" s="636" t="s">
        <v>895</v>
      </c>
      <c r="G49" s="636" t="s">
        <v>1067</v>
      </c>
      <c r="H49" s="636" t="s">
        <v>880</v>
      </c>
      <c r="I49" s="635" t="s">
        <v>1068</v>
      </c>
      <c r="J49" s="637">
        <v>12.476017000000001</v>
      </c>
    </row>
    <row r="50" spans="1:10">
      <c r="A50" s="636"/>
      <c r="B50" s="636"/>
      <c r="C50" s="637"/>
      <c r="D50" s="638"/>
      <c r="E50" s="636"/>
      <c r="F50" s="636"/>
      <c r="G50" s="636"/>
      <c r="H50" s="636"/>
      <c r="I50" s="635"/>
      <c r="J50" s="637"/>
    </row>
    <row r="51" spans="1:10">
      <c r="A51" s="636"/>
      <c r="B51" s="636"/>
      <c r="C51" s="637"/>
      <c r="D51" s="638"/>
      <c r="E51" s="636"/>
      <c r="F51" s="636"/>
      <c r="G51" s="636"/>
      <c r="H51" s="636"/>
      <c r="I51" s="635"/>
      <c r="J51" s="644">
        <f>+AVERAGE(J2:J49)</f>
        <v>10.515027404255319</v>
      </c>
    </row>
    <row r="52" spans="1:10">
      <c r="A52" s="636"/>
      <c r="B52" s="636"/>
      <c r="C52" s="637"/>
      <c r="D52" s="638"/>
      <c r="E52" s="636"/>
      <c r="F52" s="636"/>
      <c r="G52" s="636"/>
      <c r="H52" s="636"/>
      <c r="I52" s="635"/>
      <c r="J52" s="637"/>
    </row>
    <row r="53" spans="1:10">
      <c r="A53" s="636"/>
      <c r="B53" s="636"/>
      <c r="C53" s="637"/>
      <c r="D53" s="638"/>
      <c r="E53" s="636"/>
      <c r="F53" s="636"/>
      <c r="G53" s="636"/>
      <c r="H53" s="636"/>
      <c r="I53" s="635"/>
      <c r="J53" s="637"/>
    </row>
    <row r="54" spans="1:10">
      <c r="A54" s="640" t="s">
        <v>920</v>
      </c>
      <c r="B54" s="640" t="s">
        <v>394</v>
      </c>
    </row>
    <row r="55" spans="1:10">
      <c r="A55" s="641" t="s">
        <v>867</v>
      </c>
      <c r="B55" s="641" t="s">
        <v>921</v>
      </c>
    </row>
    <row r="56" spans="1:10">
      <c r="A56" s="642" t="s">
        <v>922</v>
      </c>
      <c r="B56" s="642" t="s">
        <v>923</v>
      </c>
    </row>
    <row r="57" spans="1:10">
      <c r="A57" s="641" t="s">
        <v>924</v>
      </c>
      <c r="B57" s="641" t="s">
        <v>925</v>
      </c>
    </row>
    <row r="58" spans="1:10">
      <c r="A58" s="642" t="s">
        <v>926</v>
      </c>
      <c r="B58" s="643">
        <v>43728.273530092592</v>
      </c>
    </row>
    <row r="59" spans="1:10">
      <c r="A59" s="641" t="s">
        <v>927</v>
      </c>
      <c r="B59" s="641">
        <v>1450840</v>
      </c>
    </row>
    <row r="60" spans="1:10">
      <c r="A60" s="642"/>
      <c r="B60" s="642"/>
    </row>
    <row r="61" spans="1:10">
      <c r="A61" s="640" t="s">
        <v>928</v>
      </c>
      <c r="B61" s="640" t="s">
        <v>394</v>
      </c>
    </row>
    <row r="62" spans="1:10">
      <c r="A62" s="641" t="s">
        <v>929</v>
      </c>
      <c r="B62" s="641" t="s">
        <v>930</v>
      </c>
    </row>
    <row r="63" spans="1:10">
      <c r="A63" s="642" t="s">
        <v>931</v>
      </c>
      <c r="B63" s="642" t="s">
        <v>932</v>
      </c>
    </row>
    <row r="64" spans="1:10">
      <c r="A64" s="641" t="s">
        <v>933</v>
      </c>
      <c r="B64" s="641" t="s">
        <v>1069</v>
      </c>
    </row>
    <row r="65" spans="1:2">
      <c r="A65" s="642" t="s">
        <v>935</v>
      </c>
      <c r="B65" s="642" t="s">
        <v>936</v>
      </c>
    </row>
    <row r="66" spans="1:2">
      <c r="A66" s="641" t="s">
        <v>937</v>
      </c>
      <c r="B66" s="641" t="s">
        <v>938</v>
      </c>
    </row>
    <row r="67" spans="1:2">
      <c r="A67" s="642"/>
      <c r="B67" s="642"/>
    </row>
    <row r="68" spans="1:2">
      <c r="A68" s="641" t="s">
        <v>939</v>
      </c>
      <c r="B68" s="641" t="s">
        <v>940</v>
      </c>
    </row>
    <row r="69" spans="1:2">
      <c r="A69" s="642"/>
      <c r="B69" s="642"/>
    </row>
    <row r="70" spans="1:2">
      <c r="A70" s="640" t="s">
        <v>941</v>
      </c>
      <c r="B70" s="640" t="s">
        <v>394</v>
      </c>
    </row>
    <row r="71" spans="1:2">
      <c r="A71" s="641" t="s">
        <v>942</v>
      </c>
      <c r="B71" s="641" t="s">
        <v>943</v>
      </c>
    </row>
    <row r="141" ht="20.2" customHeight="1"/>
    <row r="148" ht="20.2" customHeight="1"/>
    <row r="157" ht="20.2" customHeight="1"/>
  </sheetData>
  <autoFilter ref="A1:J51" xr:uid="{C47B82B8-DB04-4D6F-94EA-2AA0252AFA3A}">
    <sortState xmlns:xlrd2="http://schemas.microsoft.com/office/spreadsheetml/2017/richdata2" ref="A2:J51">
      <sortCondition descending="1" ref="C2:C51"/>
    </sortState>
  </autoFilter>
  <hyperlinks>
    <hyperlink ref="I36" r:id="rId1" tooltip="http://www.advansix.com" xr:uid="{8D0D250F-6709-402F-BCFF-0612AE591C9A}"/>
    <hyperlink ref="I22" r:id="rId2" tooltip="http://www.albemarle.com" xr:uid="{FA3E2912-6B78-4D43-B311-BE11BC5DEFCB}"/>
    <hyperlink ref="I12" r:id="rId3" tooltip="http://www.alpek.com" xr:uid="{8C675DA5-C746-472A-9CBB-6B0881ED7833}"/>
    <hyperlink ref="I20" r:id="rId4" tooltip="http://www.ashland.com" xr:uid="{24E10A32-A632-4555-96D8-E3AA019A74FA}"/>
    <hyperlink ref="I16" r:id="rId5" tooltip="http://www.axaltacoatingsystems.com" xr:uid="{4ED3D7DB-09F8-4B26-A299-69A3807EC762}"/>
    <hyperlink ref="I48" r:id="rId6" tooltip="http://www.balchem.com" xr:uid="{EB244A4A-5263-4C45-8012-DA1B57206E98}"/>
    <hyperlink ref="I49" r:id="rId7" tooltip="http://www.cabotcmp.com" xr:uid="{D0BE6057-AA43-42E2-BE14-ECD62D02B027}"/>
    <hyperlink ref="I43" r:id="rId8" tooltip="http://www.cesenergysolutions.com" xr:uid="{73316161-D7FC-41A6-8A02-BFC7DA9332FD}"/>
    <hyperlink ref="I18" r:id="rId9" tooltip="http://www.cfindustries.com" xr:uid="{DC98C0E6-F1E2-4BBC-8B7D-BD05F975073D}"/>
    <hyperlink ref="I13" r:id="rId10" tooltip="http://www.chemours.com" xr:uid="{1588E4EA-531E-42CC-9597-9D8F5D7D7098}"/>
    <hyperlink ref="I3" r:id="rId11" tooltip="http://www.corteva.com" xr:uid="{F2CCAA80-27B3-4D63-BC85-83EC4CC55E0C}"/>
    <hyperlink ref="I2" r:id="rId12" tooltip="http://www.dupont.com" xr:uid="{488C6C36-926C-4FAC-8F62-137E2D729022}"/>
    <hyperlink ref="I8" r:id="rId13" tooltip="http://www.eastman.com" xr:uid="{ED30D74E-2491-44C8-A004-F3C7E08B1494}"/>
    <hyperlink ref="I7" r:id="rId14" tooltip="http://www.ecolab.com" xr:uid="{B4938CCE-D7F4-4D3D-B269-CDE3268B2C16}"/>
    <hyperlink ref="I30" r:id="rId15" tooltip="http://www.elementsolutionsinc.com" xr:uid="{24577D1A-CF26-45D9-8526-12E3252743CE}"/>
    <hyperlink ref="I34" r:id="rId16" tooltip="http://www.ferro.com" xr:uid="{044D2834-DAC2-4139-8E20-ABB8344330DD}"/>
    <hyperlink ref="I15" r:id="rId17" tooltip="http://www.fmc.com" xr:uid="{95B58FA2-B977-4992-B4D8-1B2637A9FC4F}"/>
    <hyperlink ref="I42" r:id="rId18" tooltip="http://www.gcpat.com" xr:uid="{04B81957-3D4A-4A5A-BD7A-BAD3B9072345}"/>
    <hyperlink ref="I23" r:id="rId19" tooltip="http://www.hbfuller.com" xr:uid="{F723F370-7F95-446C-AC6E-A1033710DE4A}"/>
    <hyperlink ref="I10" r:id="rId20" tooltip="http://www.huntsman.com" xr:uid="{4C2410E5-7131-4D0D-A2B8-8D655103B855}"/>
    <hyperlink ref="I41" r:id="rId21" tooltip="http://www.ingevity.com" xr:uid="{C9C8CCBE-495F-4518-AC0A-D1B1BA730F55}"/>
    <hyperlink ref="I46" r:id="rId22" tooltip="http://www.innophos.com" xr:uid="{1C7004FB-AC6E-45CB-9B90-1C93B6AEE811}"/>
    <hyperlink ref="I37" r:id="rId23" tooltip="http://www.innospecinc.com" xr:uid="{D6B2B2F4-1373-4418-9B6C-4CBEB6F7ABC3}"/>
    <hyperlink ref="I19" r:id="rId24" tooltip="http://www.iff.com" xr:uid="{5F24A520-0A2A-497C-AA5B-0FA301852107}"/>
    <hyperlink ref="I28" r:id="rId25" tooltip="http://www.kraton.com" xr:uid="{AA437DEA-9FDD-4613-98FF-1D30DD18F6EB}"/>
    <hyperlink ref="I33" r:id="rId26" tooltip="http://www.kronostio2.com" xr:uid="{B551E705-8FCE-4E85-B06A-AB3910293084}"/>
    <hyperlink ref="I40" r:id="rId27" tooltip="http://www.materion.com" xr:uid="{4154D490-246C-48B9-A291-13A83A4E6E62}"/>
    <hyperlink ref="I9" r:id="rId28" tooltip="http://www.mosaicco.com" xr:uid="{49511315-090C-4ED4-B2DC-85CFA17CF2AA}"/>
    <hyperlink ref="I25" r:id="rId29" tooltip="http://www.newmarket.com" xr:uid="{A3CE57EC-07B6-40C7-BE3A-11EA625AB635}"/>
    <hyperlink ref="I4" r:id="rId30" tooltip="http://www.nutrien.com" xr:uid="{F2FB369B-8BB4-4B2C-848E-38A435C820A6}"/>
    <hyperlink ref="I47" r:id="rId31" tooltip="http://www.omnova.com" xr:uid="{BBAF3140-85E5-4956-B17E-188DBEF77E7E}"/>
    <hyperlink ref="I21" r:id="rId32" tooltip="http://www.polyone.com" xr:uid="{F9260713-427C-4667-816F-070D67A64747}"/>
    <hyperlink ref="I6" r:id="rId33" tooltip="http://www.ppg.com" xr:uid="{D48C3457-4FF9-462F-933C-08FBA8CC5074}"/>
    <hyperlink ref="I35" r:id="rId34" tooltip="http://www.pqcorp.com" xr:uid="{4373895F-6D19-435F-9CA5-16D03E0AD6F6}"/>
    <hyperlink ref="I45" r:id="rId35" tooltip="http://www.quakerchem.com" xr:uid="{CD608E4D-7BAA-4178-AA52-6C3814BCCC54}"/>
    <hyperlink ref="I27" r:id="rId36" tooltip="http://www.rayonieram.com" xr:uid="{535AD042-5BE0-47FC-B760-B5371C3F0432}"/>
    <hyperlink ref="I44" r:id="rId37" tooltip="http://www.rogerscorporation.com" xr:uid="{C31A7A9F-DE30-45AA-AF22-7FB16572A26C}"/>
    <hyperlink ref="I14" r:id="rId38" tooltip="http://www.rpminc.com" xr:uid="{C4BDE807-9A9A-4DE0-B315-0EF5C6328C4E}"/>
    <hyperlink ref="I24" r:id="rId39" tooltip="http://www.scottsmiraclegro.com" xr:uid="{C692ED7C-CC11-4612-91B8-18D703A41B88}"/>
    <hyperlink ref="I38" r:id="rId40" tooltip="http://www.sensient.com" xr:uid="{066C5969-2AD5-4ACF-9654-C23B9555A318}"/>
    <hyperlink ref="I5" r:id="rId41" tooltip="http://www.sherwin-williams.com" xr:uid="{7C130B0D-FA11-4799-BE45-03BBF880C845}"/>
    <hyperlink ref="I29" r:id="rId42" tooltip="http://www.stepan.com" xr:uid="{E6E625B8-5EEE-4FB6-A22A-347AA25C7138}"/>
    <hyperlink ref="I17" r:id="rId43" tooltip="http://www.trinseo.com" xr:uid="{A5721A54-1BBB-43C2-80C4-F0EA01F1B6BE}"/>
    <hyperlink ref="I32" r:id="rId44" tooltip="http://www.valhi.net" xr:uid="{4BDE22BC-230F-4459-A13B-720D76E9314C}"/>
    <hyperlink ref="I26" r:id="rId45" tooltip="http://www.valvoline.com" xr:uid="{B76E578F-845A-4572-8AF7-AAE29A93EFD3}"/>
    <hyperlink ref="I39" r:id="rId46" tooltip="http://www.versummaterials.com" xr:uid="{95A0BC4A-59C0-4A7A-A9AD-6828B63F16AC}"/>
    <hyperlink ref="I31" r:id="rId47" tooltip="http://www.grace.com" xr:uid="{D044B9D9-69CC-4BED-9C7C-D950BF9A0C86}"/>
    <hyperlink ref="I11" r:id="rId48" tooltip="http://www.westlake.com" xr:uid="{118E92EB-540F-45A0-9B82-9D850A8026E7}"/>
  </hyperlink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80D4-357E-4523-B289-C64A46B409A6}">
  <dimension ref="A1:G36"/>
  <sheetViews>
    <sheetView showGridLines="0" zoomScale="115" zoomScaleNormal="115" zoomScaleSheetLayoutView="100" workbookViewId="0"/>
  </sheetViews>
  <sheetFormatPr defaultColWidth="8.73046875" defaultRowHeight="11.25" customHeight="1" outlineLevelRow="1"/>
  <cols>
    <col min="1" max="2" width="1.73046875" style="1460" customWidth="1"/>
    <col min="3" max="3" width="25.73046875" style="1473" customWidth="1"/>
    <col min="4" max="5" width="8.73046875" style="1473"/>
    <col min="6" max="8" width="8.73046875" style="1460"/>
    <col min="9" max="9" width="25.73046875" style="1460" customWidth="1"/>
    <col min="10" max="16384" width="8.73046875" style="1460"/>
  </cols>
  <sheetData>
    <row r="1" spans="1:7" ht="11.25" customHeight="1">
      <c r="A1" s="1459" t="str">
        <f>Financials!A1</f>
        <v>Eastman Chemical Co.</v>
      </c>
      <c r="C1" s="1459"/>
      <c r="D1" s="1461"/>
      <c r="E1" s="1461"/>
    </row>
    <row r="2" spans="1:7" ht="11.25" customHeight="1">
      <c r="A2" s="1462" t="s">
        <v>1796</v>
      </c>
      <c r="C2" s="1463"/>
      <c r="D2" s="1464" t="s">
        <v>1789</v>
      </c>
      <c r="E2" s="1465" t="s">
        <v>1790</v>
      </c>
    </row>
    <row r="3" spans="1:7" ht="11.25" customHeight="1">
      <c r="C3" s="1466"/>
      <c r="D3" s="1461"/>
      <c r="E3" s="1466"/>
    </row>
    <row r="4" spans="1:7" s="1467" customFormat="1" ht="11.25" customHeight="1">
      <c r="B4" s="1468"/>
      <c r="C4" s="1469" t="s">
        <v>626</v>
      </c>
      <c r="D4" s="1545">
        <v>2023</v>
      </c>
      <c r="E4" s="1546"/>
      <c r="F4" s="1547" t="s">
        <v>1791</v>
      </c>
      <c r="G4" s="1548"/>
    </row>
    <row r="5" spans="1:7" s="1467" customFormat="1" ht="11.25" customHeight="1">
      <c r="B5" s="1470"/>
      <c r="C5" s="1470"/>
      <c r="D5" s="1471" t="s">
        <v>630</v>
      </c>
      <c r="E5" s="1471" t="s">
        <v>1792</v>
      </c>
      <c r="F5" s="1471" t="s">
        <v>1793</v>
      </c>
      <c r="G5" s="1472" t="s">
        <v>632</v>
      </c>
    </row>
    <row r="6" spans="1:7" ht="11.25" customHeight="1" outlineLevel="1">
      <c r="D6" s="1474"/>
      <c r="E6" s="1474"/>
    </row>
    <row r="7" spans="1:7" ht="11.25" customHeight="1" outlineLevel="1">
      <c r="C7" s="1489" t="s">
        <v>1802</v>
      </c>
      <c r="D7" s="1474"/>
      <c r="E7" s="1474"/>
    </row>
    <row r="8" spans="1:7" ht="11.25" customHeight="1" outlineLevel="1">
      <c r="C8" s="1479" t="s">
        <v>1795</v>
      </c>
      <c r="D8" s="1466">
        <v>2432.4899999999998</v>
      </c>
      <c r="E8" s="1475">
        <f>Financials!$AG$73</f>
        <v>2412</v>
      </c>
      <c r="F8" s="1476">
        <f>E8-D8</f>
        <v>-20.489999999999782</v>
      </c>
      <c r="G8" s="1477">
        <f>F8/ABS(D8)</f>
        <v>-8.4234673112735439E-3</v>
      </c>
    </row>
    <row r="9" spans="1:7" ht="11.25" customHeight="1" outlineLevel="1">
      <c r="C9" s="1479" t="s">
        <v>1794</v>
      </c>
      <c r="D9" s="1466">
        <v>343.49279546141372</v>
      </c>
      <c r="E9" s="1475">
        <f>Financials!$AG$119</f>
        <v>424</v>
      </c>
      <c r="F9" s="1476">
        <f>E9-D9</f>
        <v>80.507204538586279</v>
      </c>
      <c r="G9" s="1477">
        <f>F9/ABS(D9)</f>
        <v>0.23437814592425726</v>
      </c>
    </row>
    <row r="10" spans="1:7" ht="11.25" customHeight="1" outlineLevel="1">
      <c r="C10" s="1479" t="s">
        <v>1491</v>
      </c>
      <c r="D10" s="1466">
        <v>219.05995000000001</v>
      </c>
      <c r="E10" s="1475">
        <f>Financials!AG96</f>
        <v>283</v>
      </c>
      <c r="F10" s="1476">
        <f>E10-D10</f>
        <v>63.940049999999985</v>
      </c>
      <c r="G10" s="1477">
        <f>F10/ABS(D10)</f>
        <v>0.29188379710668233</v>
      </c>
    </row>
    <row r="11" spans="1:7" ht="11.25" customHeight="1" outlineLevel="1">
      <c r="D11" s="1466"/>
      <c r="E11" s="1475"/>
      <c r="F11" s="1475"/>
      <c r="G11" s="1475"/>
    </row>
    <row r="12" spans="1:7" ht="11.25" customHeight="1" outlineLevel="1">
      <c r="C12" s="1478" t="s">
        <v>1800</v>
      </c>
      <c r="D12" s="1466"/>
      <c r="E12" s="1475"/>
      <c r="F12" s="1475"/>
      <c r="G12" s="1475"/>
    </row>
    <row r="13" spans="1:7" ht="11.25" customHeight="1" outlineLevel="1">
      <c r="C13" s="1479" t="s">
        <v>1794</v>
      </c>
      <c r="D13" s="1486">
        <f>D9/D$8</f>
        <v>0.14121036282221663</v>
      </c>
      <c r="E13" s="1486">
        <f>E9/E$8</f>
        <v>0.175787728026534</v>
      </c>
      <c r="G13" s="1487" t="str">
        <f t="shared" ref="G13:G14" si="0">ROUND((E13-D13),3)*100&amp;" p.p."</f>
        <v>3.5 p.p.</v>
      </c>
    </row>
    <row r="14" spans="1:7" ht="11.25" customHeight="1" outlineLevel="1">
      <c r="C14" s="1479" t="s">
        <v>1491</v>
      </c>
      <c r="D14" s="1486">
        <f>D10/D$8</f>
        <v>9.0055848122705548E-2</v>
      </c>
      <c r="E14" s="1486">
        <f>E10/E$8</f>
        <v>0.11733001658374792</v>
      </c>
      <c r="G14" s="1487" t="str">
        <f t="shared" si="0"/>
        <v>2.7 p.p.</v>
      </c>
    </row>
    <row r="15" spans="1:7" ht="11.25" customHeight="1" outlineLevel="1">
      <c r="D15" s="1486"/>
      <c r="E15" s="1486"/>
      <c r="F15" s="1475"/>
      <c r="G15" s="1475"/>
    </row>
    <row r="16" spans="1:7" ht="11.25" customHeight="1" outlineLevel="1">
      <c r="C16" s="1489" t="s">
        <v>1803</v>
      </c>
    </row>
    <row r="17" spans="3:7" ht="11.25" customHeight="1">
      <c r="C17" s="1480" t="s">
        <v>1798</v>
      </c>
    </row>
    <row r="18" spans="3:7" ht="11.25" customHeight="1">
      <c r="C18" s="1479" t="s">
        <v>493</v>
      </c>
      <c r="D18" s="1466">
        <v>700.15</v>
      </c>
      <c r="E18" s="1475">
        <f>Financials!AG352</f>
        <v>742</v>
      </c>
      <c r="F18" s="1476">
        <f>E18-D18</f>
        <v>41.850000000000023</v>
      </c>
      <c r="G18" s="1477">
        <f>F18/ABS(D18)</f>
        <v>5.9772905805898773E-2</v>
      </c>
    </row>
    <row r="19" spans="3:7" s="1482" customFormat="1" ht="11.25" customHeight="1">
      <c r="C19" s="1481" t="s">
        <v>1669</v>
      </c>
      <c r="D19" s="1483">
        <v>-5.0000000000000044E-2</v>
      </c>
      <c r="E19" s="1484">
        <f>Financials!AG353</f>
        <v>6.7842605156038793E-3</v>
      </c>
      <c r="G19" s="1487" t="str">
        <f>ROUND((E19-D19),3)*100&amp;" p.p."</f>
        <v>5.7 p.p.</v>
      </c>
    </row>
    <row r="20" spans="3:7" ht="11.25" customHeight="1">
      <c r="D20" s="1466"/>
      <c r="E20" s="1475"/>
    </row>
    <row r="21" spans="3:7" ht="11.25" customHeight="1">
      <c r="C21" s="1479" t="s">
        <v>1491</v>
      </c>
      <c r="D21" s="1466">
        <v>56.012</v>
      </c>
      <c r="E21" s="1475">
        <f>Financials!AG380</f>
        <v>86</v>
      </c>
      <c r="F21" s="1476">
        <f>E21-D21</f>
        <v>29.988</v>
      </c>
      <c r="G21" s="1477">
        <f>F21/ABS(D21)</f>
        <v>0.53538527458401775</v>
      </c>
    </row>
    <row r="22" spans="3:7" s="1482" customFormat="1" ht="11.25" customHeight="1">
      <c r="C22" s="1481" t="s">
        <v>1720</v>
      </c>
      <c r="D22" s="1483">
        <v>0.08</v>
      </c>
      <c r="E22" s="1484">
        <f>Financials!AG382</f>
        <v>0.11590296495956873</v>
      </c>
      <c r="G22" s="1487" t="str">
        <f>ROUND((E22-D22),3)*100&amp;" p.p."</f>
        <v>3.6 p.p.</v>
      </c>
    </row>
    <row r="24" spans="3:7" ht="11.25" customHeight="1">
      <c r="C24" s="1480" t="s">
        <v>107</v>
      </c>
    </row>
    <row r="25" spans="3:7" ht="11.25" customHeight="1">
      <c r="C25" s="1479" t="s">
        <v>493</v>
      </c>
      <c r="D25" s="1466">
        <v>272.64</v>
      </c>
      <c r="E25" s="1475">
        <f>Financials!AG513</f>
        <v>303</v>
      </c>
      <c r="F25" s="1476">
        <f>E25-D25</f>
        <v>30.360000000000014</v>
      </c>
      <c r="G25" s="1477">
        <f>F25/ABS(D25)</f>
        <v>0.11135563380281696</v>
      </c>
    </row>
    <row r="26" spans="3:7" ht="11.25" customHeight="1">
      <c r="C26" s="1481" t="s">
        <v>1669</v>
      </c>
      <c r="D26" s="1483">
        <v>0.28000000000000003</v>
      </c>
      <c r="E26" s="1484">
        <f>Financials!AG514</f>
        <v>0.42253521126760574</v>
      </c>
      <c r="F26" s="1482"/>
      <c r="G26" s="1487" t="str">
        <f>ROUND((E26-D26),3)*100&amp;" p.p."</f>
        <v>14.3 p.p.</v>
      </c>
    </row>
    <row r="27" spans="3:7" ht="11.25" customHeight="1">
      <c r="D27" s="1466"/>
      <c r="E27" s="1475"/>
    </row>
    <row r="28" spans="3:7" ht="11.25" customHeight="1">
      <c r="C28" s="1479" t="s">
        <v>1491</v>
      </c>
      <c r="D28" s="1466">
        <v>43.622399999999999</v>
      </c>
      <c r="E28" s="1475">
        <f>Financials!AG539-23</f>
        <v>71</v>
      </c>
      <c r="F28" s="1476">
        <f>E28-D28</f>
        <v>27.377600000000001</v>
      </c>
      <c r="G28" s="1477">
        <f>F28/ABS(D28)</f>
        <v>0.62760416666666674</v>
      </c>
    </row>
    <row r="29" spans="3:7" ht="11.25" customHeight="1">
      <c r="C29" s="1481" t="s">
        <v>1720</v>
      </c>
      <c r="D29" s="1483">
        <v>0.16</v>
      </c>
      <c r="E29" s="1484">
        <f>E28/E25</f>
        <v>0.23432343234323433</v>
      </c>
      <c r="F29" s="1482"/>
      <c r="G29" s="1487" t="str">
        <f>ROUND((E29-D29),3)*100&amp;" p.p."</f>
        <v>7.4 p.p.</v>
      </c>
    </row>
    <row r="31" spans="3:7" ht="11.25" customHeight="1">
      <c r="C31" s="1480" t="s">
        <v>1801</v>
      </c>
    </row>
    <row r="32" spans="3:7" ht="11.25" customHeight="1">
      <c r="C32" s="1479" t="s">
        <v>493</v>
      </c>
      <c r="D32" s="1466">
        <f>[67]Financials!$AG$245+[67]Financials!$AG$426</f>
        <v>1459.7</v>
      </c>
      <c r="E32" s="1475">
        <f>Financials!AG250+Financials!AG433</f>
        <v>1366</v>
      </c>
      <c r="F32" s="1476">
        <f>E32-D32</f>
        <v>-93.700000000000045</v>
      </c>
      <c r="G32" s="1477">
        <f>F32/ABS(D32)</f>
        <v>-6.4191272179214942E-2</v>
      </c>
    </row>
    <row r="33" spans="3:7" ht="11.25" customHeight="1">
      <c r="C33" s="1481" t="s">
        <v>1669</v>
      </c>
      <c r="D33" s="1483">
        <v>-8.9962593516209499E-2</v>
      </c>
      <c r="E33" s="1483">
        <v>-0.14837905236907734</v>
      </c>
      <c r="F33" s="1482"/>
      <c r="G33" s="1487" t="str">
        <f>ROUND((E33-D33),3)*100&amp;" p.p."</f>
        <v>-5.8 p.p.</v>
      </c>
    </row>
    <row r="34" spans="3:7" ht="11.25" customHeight="1">
      <c r="D34" s="1466"/>
      <c r="E34" s="1475"/>
    </row>
    <row r="35" spans="3:7" ht="11.25" customHeight="1">
      <c r="C35" s="1479" t="s">
        <v>1491</v>
      </c>
      <c r="D35" s="1466">
        <f>[67]Financials!$AG$273+[67]Financials!$AG$454</f>
        <v>131.58800000000002</v>
      </c>
      <c r="E35" s="1475">
        <f>Financials!AG278+Financials!AG461</f>
        <v>166</v>
      </c>
      <c r="F35" s="1476">
        <f>E35-D35</f>
        <v>34.411999999999978</v>
      </c>
      <c r="G35" s="1477">
        <f>F35/ABS(D35)</f>
        <v>0.26151320789129684</v>
      </c>
    </row>
    <row r="36" spans="3:7" ht="11.25" customHeight="1">
      <c r="C36" s="1481" t="s">
        <v>1720</v>
      </c>
      <c r="D36" s="1488">
        <f>D35/D32</f>
        <v>9.0147290539151895E-2</v>
      </c>
      <c r="E36" s="1488">
        <f>E35/E32</f>
        <v>0.12152269399707175</v>
      </c>
      <c r="F36" s="1482"/>
      <c r="G36" s="1487" t="str">
        <f>ROUND((E36-D36),3)*100&amp;" p.p."</f>
        <v>3.1 p.p.</v>
      </c>
    </row>
  </sheetData>
  <mergeCells count="2">
    <mergeCell ref="D4:E4"/>
    <mergeCell ref="F4:G4"/>
  </mergeCells>
  <conditionalFormatting sqref="G8:G10">
    <cfRule type="expression" dxfId="73" priority="41">
      <formula>G8&lt;=0</formula>
    </cfRule>
    <cfRule type="expression" dxfId="72" priority="42">
      <formula>G8&gt;0</formula>
    </cfRule>
  </conditionalFormatting>
  <conditionalFormatting sqref="G13:G14">
    <cfRule type="expression" dxfId="71" priority="11">
      <formula>G13&lt;=0</formula>
    </cfRule>
    <cfRule type="expression" dxfId="70" priority="12">
      <formula>G13&gt;0</formula>
    </cfRule>
  </conditionalFormatting>
  <conditionalFormatting sqref="G18:G19">
    <cfRule type="expression" dxfId="69" priority="13">
      <formula>G18&lt;=0</formula>
    </cfRule>
    <cfRule type="expression" dxfId="68" priority="14">
      <formula>G18&gt;0</formula>
    </cfRule>
  </conditionalFormatting>
  <conditionalFormatting sqref="G21:G22">
    <cfRule type="expression" dxfId="67" priority="15">
      <formula>G21&lt;=0</formula>
    </cfRule>
    <cfRule type="expression" dxfId="66" priority="16">
      <formula>G21&gt;0</formula>
    </cfRule>
  </conditionalFormatting>
  <conditionalFormatting sqref="G25:G26">
    <cfRule type="expression" dxfId="65" priority="23">
      <formula>G25&lt;=0</formula>
    </cfRule>
    <cfRule type="expression" dxfId="64" priority="24">
      <formula>G25&gt;0</formula>
    </cfRule>
  </conditionalFormatting>
  <conditionalFormatting sqref="G28:G29">
    <cfRule type="expression" dxfId="63" priority="1">
      <formula>G28&lt;=0</formula>
    </cfRule>
    <cfRule type="expression" dxfId="62" priority="2">
      <formula>G28&gt;0</formula>
    </cfRule>
  </conditionalFormatting>
  <conditionalFormatting sqref="G32:G33">
    <cfRule type="expression" dxfId="61" priority="5">
      <formula>G32&lt;=0</formula>
    </cfRule>
    <cfRule type="expression" dxfId="60" priority="6">
      <formula>G32&gt;0</formula>
    </cfRule>
  </conditionalFormatting>
  <conditionalFormatting sqref="G35:G36">
    <cfRule type="expression" dxfId="59" priority="3">
      <formula>G35&lt;=0</formula>
    </cfRule>
    <cfRule type="expression" dxfId="58" priority="4">
      <formula>G35&gt;0</formula>
    </cfRule>
  </conditionalFormatting>
  <pageMargins left="0.39370078740157483" right="0" top="0" bottom="0" header="0" footer="0"/>
  <pageSetup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152F6-AAA7-4C1B-821C-418C94192F95}">
  <sheetPr codeName="Sheet3">
    <pageSetUpPr fitToPage="1"/>
  </sheetPr>
  <dimension ref="A1:BQ246"/>
  <sheetViews>
    <sheetView showGridLines="0" zoomScaleNormal="100" zoomScaleSheetLayoutView="80" workbookViewId="0">
      <pane xSplit="4" ySplit="7" topLeftCell="AG8" activePane="bottomRight" state="frozen"/>
      <selection pane="topRight" activeCell="E1" sqref="E1"/>
      <selection pane="bottomLeft" activeCell="A8" sqref="A8"/>
      <selection pane="bottomRight" activeCell="AY15" sqref="AY15"/>
    </sheetView>
  </sheetViews>
  <sheetFormatPr defaultColWidth="9.19921875" defaultRowHeight="10.5" customHeight="1" outlineLevelRow="1" outlineLevelCol="1"/>
  <cols>
    <col min="1" max="1" width="1.796875" style="24" customWidth="1"/>
    <col min="2" max="2" width="1.796875" style="27" customWidth="1"/>
    <col min="3" max="3" width="22.796875" style="565" bestFit="1" customWidth="1"/>
    <col min="4" max="4" width="0" style="24" hidden="1" customWidth="1" outlineLevel="1"/>
    <col min="5" max="5" width="9.19921875" style="24" collapsed="1"/>
    <col min="6" max="32" width="9.19921875" style="24"/>
    <col min="33" max="36" width="9.19921875" style="24" outlineLevel="1"/>
    <col min="37" max="50" width="9.19921875" style="24"/>
    <col min="51" max="54" width="9.19921875" style="24" outlineLevel="1"/>
    <col min="55" max="16384" width="9.19921875" style="24"/>
  </cols>
  <sheetData>
    <row r="1" spans="1:69" ht="11.25" customHeight="1">
      <c r="A1" s="27" t="s">
        <v>851</v>
      </c>
    </row>
    <row r="2" spans="1:69" ht="11.25" customHeight="1"/>
    <row r="3" spans="1:69" ht="11.25" customHeight="1"/>
    <row r="4" spans="1:69" ht="11.25" customHeight="1"/>
    <row r="5" spans="1:69" s="3" customFormat="1" ht="12.75" customHeight="1">
      <c r="B5" s="688"/>
      <c r="C5" s="563" t="s">
        <v>0</v>
      </c>
      <c r="D5" s="7"/>
      <c r="E5" s="8">
        <f>YEAR($H$6)</f>
        <v>2016</v>
      </c>
      <c r="F5" s="9">
        <f>YEAR(H6)</f>
        <v>2016</v>
      </c>
      <c r="G5" s="10">
        <f>YEAR(H6)</f>
        <v>2016</v>
      </c>
      <c r="H5" s="11">
        <f>YEAR(H6)</f>
        <v>2016</v>
      </c>
      <c r="I5" s="8">
        <f>YEAR(L6)</f>
        <v>2017</v>
      </c>
      <c r="J5" s="9">
        <f>YEAR(L6)</f>
        <v>2017</v>
      </c>
      <c r="K5" s="10">
        <f>YEAR(L6)</f>
        <v>2017</v>
      </c>
      <c r="L5" s="11">
        <f>YEAR(L6)</f>
        <v>2017</v>
      </c>
      <c r="M5" s="8">
        <f>YEAR(P6)</f>
        <v>2018</v>
      </c>
      <c r="N5" s="9">
        <f>YEAR(P6)</f>
        <v>2018</v>
      </c>
      <c r="O5" s="10">
        <f>YEAR(P6)</f>
        <v>2018</v>
      </c>
      <c r="P5" s="11">
        <f>YEAR(P6)</f>
        <v>2018</v>
      </c>
      <c r="Q5" s="8">
        <f>YEAR(T6)</f>
        <v>2019</v>
      </c>
      <c r="R5" s="9">
        <f>YEAR(T6)</f>
        <v>2019</v>
      </c>
      <c r="S5" s="10">
        <f>YEAR(T6)</f>
        <v>2019</v>
      </c>
      <c r="T5" s="11">
        <f>YEAR(T6)</f>
        <v>2019</v>
      </c>
      <c r="U5" s="8">
        <f>YEAR(X6)</f>
        <v>2020</v>
      </c>
      <c r="V5" s="9">
        <f>YEAR(X6)</f>
        <v>2020</v>
      </c>
      <c r="W5" s="10">
        <f>YEAR(X6)</f>
        <v>2020</v>
      </c>
      <c r="X5" s="11">
        <f>YEAR(X6)</f>
        <v>2020</v>
      </c>
      <c r="Y5" s="8">
        <f>YEAR(AB6)</f>
        <v>2021</v>
      </c>
      <c r="Z5" s="9">
        <f>YEAR(AB6)</f>
        <v>2021</v>
      </c>
      <c r="AA5" s="10">
        <f>YEAR(AB6)</f>
        <v>2021</v>
      </c>
      <c r="AB5" s="11">
        <f>YEAR(AB6)</f>
        <v>2021</v>
      </c>
      <c r="AC5" s="8">
        <f t="shared" ref="AC5:AF5" si="0">YEAR(AC6)</f>
        <v>2022</v>
      </c>
      <c r="AD5" s="9">
        <f t="shared" si="0"/>
        <v>2022</v>
      </c>
      <c r="AE5" s="10">
        <f t="shared" si="0"/>
        <v>2022</v>
      </c>
      <c r="AF5" s="11">
        <f t="shared" si="0"/>
        <v>2022</v>
      </c>
      <c r="AG5" s="8">
        <f>YEAR(AG6)</f>
        <v>2023</v>
      </c>
      <c r="AH5" s="9">
        <f t="shared" ref="AH5:AJ5" si="1">YEAR(AH6)</f>
        <v>2023</v>
      </c>
      <c r="AI5" s="10">
        <f t="shared" si="1"/>
        <v>2023</v>
      </c>
      <c r="AJ5" s="11">
        <f t="shared" si="1"/>
        <v>2023</v>
      </c>
      <c r="AK5" s="12"/>
      <c r="AL5" s="13">
        <f t="shared" ref="AL5:AO5" si="2">YEAR(AL6)</f>
        <v>2010</v>
      </c>
      <c r="AM5" s="13">
        <f t="shared" si="2"/>
        <v>2011</v>
      </c>
      <c r="AN5" s="13">
        <f t="shared" si="2"/>
        <v>2012</v>
      </c>
      <c r="AO5" s="13">
        <f t="shared" si="2"/>
        <v>2013</v>
      </c>
      <c r="AP5" s="13">
        <f t="shared" ref="AP5:BB5" si="3">YEAR(AP6)</f>
        <v>2014</v>
      </c>
      <c r="AQ5" s="13">
        <f t="shared" si="3"/>
        <v>2015</v>
      </c>
      <c r="AR5" s="13">
        <f t="shared" si="3"/>
        <v>2016</v>
      </c>
      <c r="AS5" s="13">
        <f t="shared" si="3"/>
        <v>2017</v>
      </c>
      <c r="AT5" s="13">
        <f t="shared" si="3"/>
        <v>2018</v>
      </c>
      <c r="AU5" s="13">
        <f t="shared" si="3"/>
        <v>2019</v>
      </c>
      <c r="AV5" s="13">
        <f t="shared" si="3"/>
        <v>2020</v>
      </c>
      <c r="AW5" s="13">
        <f t="shared" si="3"/>
        <v>2021</v>
      </c>
      <c r="AX5" s="13">
        <f t="shared" si="3"/>
        <v>2022</v>
      </c>
      <c r="AY5" s="710">
        <f t="shared" si="3"/>
        <v>2023</v>
      </c>
      <c r="AZ5" s="710">
        <f t="shared" si="3"/>
        <v>2024</v>
      </c>
      <c r="BA5" s="710">
        <f t="shared" si="3"/>
        <v>2025</v>
      </c>
      <c r="BB5" s="710">
        <f t="shared" si="3"/>
        <v>2026</v>
      </c>
      <c r="BD5" s="1543" t="s">
        <v>339</v>
      </c>
      <c r="BE5" s="1544"/>
      <c r="BF5" s="1544"/>
      <c r="BG5" s="1544"/>
      <c r="BH5" s="1544"/>
      <c r="BI5" s="1544"/>
      <c r="BJ5" s="1544"/>
      <c r="BK5" s="1544"/>
      <c r="BL5" s="1544"/>
      <c r="BM5" s="1544"/>
      <c r="BN5" s="1544"/>
      <c r="BO5" s="1544"/>
      <c r="BP5" s="1544"/>
      <c r="BQ5" s="1544"/>
    </row>
    <row r="6" spans="1:69" s="16" customFormat="1" ht="12.75" customHeight="1">
      <c r="B6" s="689"/>
      <c r="C6" s="564" t="s">
        <v>13</v>
      </c>
      <c r="D6" s="17"/>
      <c r="E6" s="17">
        <v>42460</v>
      </c>
      <c r="F6" s="17">
        <f t="shared" ref="F6:T6" si="4">+EOMONTH(E6,3)</f>
        <v>42551</v>
      </c>
      <c r="G6" s="17">
        <f t="shared" si="4"/>
        <v>42643</v>
      </c>
      <c r="H6" s="18">
        <f t="shared" si="4"/>
        <v>42735</v>
      </c>
      <c r="I6" s="17">
        <f t="shared" si="4"/>
        <v>42825</v>
      </c>
      <c r="J6" s="17">
        <f t="shared" si="4"/>
        <v>42916</v>
      </c>
      <c r="K6" s="17">
        <f t="shared" si="4"/>
        <v>43008</v>
      </c>
      <c r="L6" s="18">
        <f t="shared" si="4"/>
        <v>43100</v>
      </c>
      <c r="M6" s="17">
        <f t="shared" si="4"/>
        <v>43190</v>
      </c>
      <c r="N6" s="17">
        <f t="shared" si="4"/>
        <v>43281</v>
      </c>
      <c r="O6" s="17">
        <f t="shared" si="4"/>
        <v>43373</v>
      </c>
      <c r="P6" s="18">
        <f t="shared" si="4"/>
        <v>43465</v>
      </c>
      <c r="Q6" s="17">
        <f t="shared" si="4"/>
        <v>43555</v>
      </c>
      <c r="R6" s="17">
        <f t="shared" si="4"/>
        <v>43646</v>
      </c>
      <c r="S6" s="17">
        <f t="shared" si="4"/>
        <v>43738</v>
      </c>
      <c r="T6" s="17">
        <f t="shared" si="4"/>
        <v>43830</v>
      </c>
      <c r="U6" s="17">
        <f t="shared" ref="U6:AG6" si="5">+EOMONTH(T6,3)</f>
        <v>43921</v>
      </c>
      <c r="V6" s="17">
        <f t="shared" si="5"/>
        <v>44012</v>
      </c>
      <c r="W6" s="17">
        <f t="shared" si="5"/>
        <v>44104</v>
      </c>
      <c r="X6" s="17">
        <f t="shared" si="5"/>
        <v>44196</v>
      </c>
      <c r="Y6" s="17">
        <f t="shared" si="5"/>
        <v>44286</v>
      </c>
      <c r="Z6" s="17">
        <f t="shared" si="5"/>
        <v>44377</v>
      </c>
      <c r="AA6" s="17">
        <f t="shared" si="5"/>
        <v>44469</v>
      </c>
      <c r="AB6" s="17">
        <f t="shared" si="5"/>
        <v>44561</v>
      </c>
      <c r="AC6" s="17">
        <f t="shared" ref="AC6" si="6">+EOMONTH(AB6,3)</f>
        <v>44651</v>
      </c>
      <c r="AD6" s="17">
        <f t="shared" ref="AD6" si="7">+EOMONTH(AC6,3)</f>
        <v>44742</v>
      </c>
      <c r="AE6" s="17">
        <f t="shared" ref="AE6" si="8">+EOMONTH(AD6,3)</f>
        <v>44834</v>
      </c>
      <c r="AF6" s="17">
        <f t="shared" ref="AF6" si="9">+EOMONTH(AE6,3)</f>
        <v>44926</v>
      </c>
      <c r="AG6" s="17">
        <f t="shared" si="5"/>
        <v>45016</v>
      </c>
      <c r="AH6" s="17">
        <f t="shared" ref="AH6" si="10">+EOMONTH(AG6,3)</f>
        <v>45107</v>
      </c>
      <c r="AI6" s="17">
        <f t="shared" ref="AI6" si="11">+EOMONTH(AH6,3)</f>
        <v>45199</v>
      </c>
      <c r="AJ6" s="17">
        <f t="shared" ref="AJ6" si="12">+EOMONTH(AI6,3)</f>
        <v>45291</v>
      </c>
      <c r="AK6" s="12"/>
      <c r="AL6" s="18">
        <v>40543</v>
      </c>
      <c r="AM6" s="18">
        <f t="shared" ref="AM6" si="13">EOMONTH(AL6,12)</f>
        <v>40908</v>
      </c>
      <c r="AN6" s="18">
        <f t="shared" ref="AN6" si="14">EOMONTH(AM6,12)</f>
        <v>41274</v>
      </c>
      <c r="AO6" s="18">
        <f t="shared" ref="AO6" si="15">EOMONTH(AN6,12)</f>
        <v>41639</v>
      </c>
      <c r="AP6" s="18">
        <v>42004</v>
      </c>
      <c r="AQ6" s="18">
        <f t="shared" ref="AQ6:AZ6" si="16">EOMONTH(AP6,12)</f>
        <v>42369</v>
      </c>
      <c r="AR6" s="18">
        <f t="shared" si="16"/>
        <v>42735</v>
      </c>
      <c r="AS6" s="18">
        <f t="shared" si="16"/>
        <v>43100</v>
      </c>
      <c r="AT6" s="18">
        <f t="shared" si="16"/>
        <v>43465</v>
      </c>
      <c r="AU6" s="18">
        <f t="shared" si="16"/>
        <v>43830</v>
      </c>
      <c r="AV6" s="18">
        <f t="shared" si="16"/>
        <v>44196</v>
      </c>
      <c r="AW6" s="18">
        <f t="shared" si="16"/>
        <v>44561</v>
      </c>
      <c r="AX6" s="18">
        <f t="shared" si="16"/>
        <v>44926</v>
      </c>
      <c r="AY6" s="18">
        <f t="shared" si="16"/>
        <v>45291</v>
      </c>
      <c r="AZ6" s="18">
        <f t="shared" si="16"/>
        <v>45657</v>
      </c>
      <c r="BA6" s="18">
        <f t="shared" ref="BA6" si="17">EOMONTH(AZ6,12)</f>
        <v>46022</v>
      </c>
      <c r="BB6" s="18">
        <f t="shared" ref="BB6" si="18">EOMONTH(BA6,12)</f>
        <v>46387</v>
      </c>
      <c r="BC6" s="3"/>
      <c r="BD6" s="17">
        <v>42460</v>
      </c>
      <c r="BE6" s="17">
        <f t="shared" ref="BE6:BQ6" si="19">+EOMONTH(BD6,3)</f>
        <v>42551</v>
      </c>
      <c r="BF6" s="17">
        <f t="shared" si="19"/>
        <v>42643</v>
      </c>
      <c r="BG6" s="17">
        <f t="shared" si="19"/>
        <v>42735</v>
      </c>
      <c r="BH6" s="17">
        <f t="shared" si="19"/>
        <v>42825</v>
      </c>
      <c r="BI6" s="17">
        <f t="shared" si="19"/>
        <v>42916</v>
      </c>
      <c r="BJ6" s="17">
        <f t="shared" si="19"/>
        <v>43008</v>
      </c>
      <c r="BK6" s="17">
        <f t="shared" si="19"/>
        <v>43100</v>
      </c>
      <c r="BL6" s="17">
        <f t="shared" si="19"/>
        <v>43190</v>
      </c>
      <c r="BM6" s="17">
        <f t="shared" si="19"/>
        <v>43281</v>
      </c>
      <c r="BN6" s="17">
        <f t="shared" si="19"/>
        <v>43373</v>
      </c>
      <c r="BO6" s="17">
        <f t="shared" si="19"/>
        <v>43465</v>
      </c>
      <c r="BP6" s="17">
        <f t="shared" si="19"/>
        <v>43555</v>
      </c>
      <c r="BQ6" s="17">
        <f t="shared" si="19"/>
        <v>43646</v>
      </c>
    </row>
    <row r="7" spans="1:69" ht="11.25" customHeight="1"/>
    <row r="8" spans="1:69" ht="11.25" customHeight="1"/>
    <row r="9" spans="1:69" ht="11.25" customHeight="1">
      <c r="B9" s="27" t="s">
        <v>14</v>
      </c>
      <c r="C9" s="623" t="s">
        <v>493</v>
      </c>
    </row>
    <row r="10" spans="1:69" ht="11.25" customHeight="1">
      <c r="C10" s="25" t="s">
        <v>104</v>
      </c>
      <c r="E10" s="212">
        <f>+Financials!E250</f>
        <v>737</v>
      </c>
      <c r="F10" s="212">
        <f>+Financials!F250</f>
        <v>770</v>
      </c>
      <c r="G10" s="212">
        <f>+Financials!G250</f>
        <v>752</v>
      </c>
      <c r="H10" s="212">
        <f>+Financials!H250</f>
        <v>720</v>
      </c>
      <c r="I10" s="212">
        <f>+Financials!I250</f>
        <v>773</v>
      </c>
      <c r="J10" s="212">
        <f>+Financials!J250</f>
        <v>830</v>
      </c>
      <c r="K10" s="212">
        <f>+Financials!K250</f>
        <v>886</v>
      </c>
      <c r="L10" s="212">
        <f>+Financials!L250</f>
        <v>854</v>
      </c>
      <c r="M10" s="212">
        <f>+Financials!M250</f>
        <v>939</v>
      </c>
      <c r="N10" s="212">
        <f>+Financials!N250</f>
        <v>942</v>
      </c>
      <c r="O10" s="212">
        <f>+Financials!O250</f>
        <v>915</v>
      </c>
      <c r="P10" s="212">
        <f>+Financials!P250</f>
        <v>851</v>
      </c>
      <c r="Q10" s="212">
        <f>+Financials!Q250</f>
        <v>650</v>
      </c>
      <c r="R10" s="212">
        <f>+Financials!R250</f>
        <v>618</v>
      </c>
      <c r="S10" s="212">
        <f>+Financials!S250</f>
        <v>619</v>
      </c>
      <c r="T10" s="212">
        <f>+Financials!T250</f>
        <v>568</v>
      </c>
      <c r="U10" s="212">
        <f>+Financials!U250</f>
        <v>636</v>
      </c>
      <c r="V10" s="212">
        <f>+Financials!V250</f>
        <v>567</v>
      </c>
      <c r="W10" s="212">
        <f>+Financials!W250</f>
        <v>551</v>
      </c>
      <c r="X10" s="212">
        <f>+Financials!X250</f>
        <v>588</v>
      </c>
      <c r="Y10" s="212">
        <f>+Financials!Y250</f>
        <v>672</v>
      </c>
      <c r="Z10" s="212">
        <f>+Financials!Z250</f>
        <v>722</v>
      </c>
      <c r="AA10" s="212">
        <f>+Financials!AA250</f>
        <v>775</v>
      </c>
      <c r="AB10" s="212">
        <f>+Financials!AB250</f>
        <v>780</v>
      </c>
      <c r="AC10" s="212">
        <f>+Financials!AC250</f>
        <v>889</v>
      </c>
      <c r="AD10" s="212">
        <f>+Financials!AD250</f>
        <v>924</v>
      </c>
      <c r="AE10" s="212">
        <f>+Financials!AE250</f>
        <v>906</v>
      </c>
      <c r="AF10" s="212">
        <f>+Financials!AF250</f>
        <v>756</v>
      </c>
      <c r="AG10" s="212">
        <f>+Financials!AG250</f>
        <v>777</v>
      </c>
      <c r="AH10" s="212">
        <f>+Financials!AH250</f>
        <v>868.56</v>
      </c>
      <c r="AI10" s="212">
        <f>+Financials!AI250</f>
        <v>851.64</v>
      </c>
      <c r="AJ10" s="212">
        <f>+Financials!AJ250</f>
        <v>733.32</v>
      </c>
      <c r="AK10" s="580"/>
      <c r="AL10" s="212">
        <f>'Historical Segment'!E8</f>
        <v>931</v>
      </c>
      <c r="AM10" s="212">
        <f>'Historical Segment'!F8</f>
        <v>1067</v>
      </c>
      <c r="AN10" s="212">
        <f>'Historical Segment'!G8</f>
        <v>1332</v>
      </c>
      <c r="AO10" s="212">
        <f>'Historical Segment'!H8</f>
        <v>1719</v>
      </c>
      <c r="AP10" s="212">
        <f>+Financials!AL250</f>
        <v>2640</v>
      </c>
      <c r="AQ10" s="212">
        <f>+Financials!AM250</f>
        <v>3159</v>
      </c>
      <c r="AR10" s="212">
        <f>+Financials!AN250</f>
        <v>2979</v>
      </c>
      <c r="AS10" s="212">
        <f>+Financials!AO250</f>
        <v>3343</v>
      </c>
      <c r="AT10" s="212">
        <f>+Financials!AP250</f>
        <v>3647</v>
      </c>
      <c r="AU10" s="212">
        <f>+Financials!AQ250</f>
        <v>2455</v>
      </c>
      <c r="AV10" s="212">
        <f>+Financials!AR250</f>
        <v>2342</v>
      </c>
      <c r="AW10" s="212">
        <f>+Financials!AS250</f>
        <v>2949</v>
      </c>
      <c r="AX10" s="212">
        <f>+Financials!AT250</f>
        <v>3475</v>
      </c>
      <c r="AY10" s="212">
        <f>+Financials!AU250</f>
        <v>3230.52</v>
      </c>
      <c r="AZ10" s="212">
        <f>+Financials!AV250</f>
        <v>3327.4355999999998</v>
      </c>
      <c r="BA10" s="212">
        <f>+Financials!AW250</f>
        <v>3427.2586679999999</v>
      </c>
      <c r="BB10" s="212">
        <f>+Financials!AX250</f>
        <v>3530.0764280399999</v>
      </c>
      <c r="BC10" s="63">
        <f>RATE(YEARFRAC($AP$6,$AX$6,1),,-AP10,AX10)</f>
        <v>3.4946084115484749E-2</v>
      </c>
      <c r="BD10" s="63"/>
      <c r="BG10" s="63">
        <f t="shared" ref="BG10:BG11" si="20">RATE(YEARFRAC(AX$6,BB$6,1),,-AX10,BB10)</f>
        <v>3.9384579384690744E-3</v>
      </c>
    </row>
    <row r="11" spans="1:69" ht="11.25" customHeight="1">
      <c r="C11" s="624" t="s">
        <v>105</v>
      </c>
      <c r="E11" s="212">
        <f>+Financials!E352</f>
        <v>589</v>
      </c>
      <c r="F11" s="212">
        <f>+Financials!F352</f>
        <v>646</v>
      </c>
      <c r="G11" s="212">
        <f>+Financials!G352</f>
        <v>638</v>
      </c>
      <c r="H11" s="212">
        <f>+Financials!H352</f>
        <v>584</v>
      </c>
      <c r="I11" s="212">
        <f>+Financials!I352</f>
        <v>634</v>
      </c>
      <c r="J11" s="212">
        <f>+Financials!J352</f>
        <v>657</v>
      </c>
      <c r="K11" s="212">
        <f>+Financials!K352</f>
        <v>646</v>
      </c>
      <c r="L11" s="212">
        <f>+Financials!L352</f>
        <v>635</v>
      </c>
      <c r="M11" s="212">
        <f>+Financials!M352</f>
        <v>693</v>
      </c>
      <c r="N11" s="212">
        <f>+Financials!N352</f>
        <v>729</v>
      </c>
      <c r="O11" s="212">
        <f>+Financials!O352</f>
        <v>709</v>
      </c>
      <c r="P11" s="212">
        <f>+Financials!P352</f>
        <v>624</v>
      </c>
      <c r="Q11" s="212">
        <f>+Financials!Q352</f>
        <v>657</v>
      </c>
      <c r="R11" s="212">
        <f>+Financials!R352</f>
        <v>696</v>
      </c>
      <c r="S11" s="212">
        <f>+Financials!S352</f>
        <v>697</v>
      </c>
      <c r="T11" s="212">
        <f>+Financials!T352</f>
        <v>638</v>
      </c>
      <c r="U11" s="212">
        <f>+Financials!U352</f>
        <v>615</v>
      </c>
      <c r="V11" s="212">
        <f>+Financials!V352</f>
        <v>567</v>
      </c>
      <c r="W11" s="212">
        <f>+Financials!W352</f>
        <v>668</v>
      </c>
      <c r="X11" s="212">
        <f>+Financials!X352</f>
        <v>674</v>
      </c>
      <c r="Y11" s="212">
        <f>+Financials!Y352</f>
        <v>716</v>
      </c>
      <c r="Z11" s="212">
        <f>+Financials!Z352</f>
        <v>769</v>
      </c>
      <c r="AA11" s="212">
        <f>+Financials!AA352</f>
        <v>770</v>
      </c>
      <c r="AB11" s="212">
        <f>+Financials!AB352</f>
        <v>772</v>
      </c>
      <c r="AC11" s="212">
        <f>+Financials!AC352</f>
        <v>737</v>
      </c>
      <c r="AD11" s="212">
        <f>+Financials!AD352</f>
        <v>846</v>
      </c>
      <c r="AE11" s="212">
        <f>+Financials!AE352</f>
        <v>888</v>
      </c>
      <c r="AF11" s="212">
        <f>+Financials!AF352</f>
        <v>736</v>
      </c>
      <c r="AG11" s="212">
        <f>+Financials!AG352</f>
        <v>742</v>
      </c>
      <c r="AH11" s="212">
        <f>+Financials!AH352</f>
        <v>837.54</v>
      </c>
      <c r="AI11" s="212">
        <f>+Financials!AI352</f>
        <v>941.28</v>
      </c>
      <c r="AJ11" s="212">
        <f>+Financials!AJ352</f>
        <v>816.96</v>
      </c>
      <c r="AK11" s="579"/>
      <c r="AL11" s="212">
        <f>'Historical Segment'!E23</f>
        <v>1043</v>
      </c>
      <c r="AM11" s="212">
        <f>'Historical Segment'!F23</f>
        <v>1195</v>
      </c>
      <c r="AN11" s="212">
        <f>'Historical Segment'!G23</f>
        <v>1694</v>
      </c>
      <c r="AO11" s="212">
        <f>'Historical Segment'!H23</f>
        <v>2349</v>
      </c>
      <c r="AP11" s="212">
        <f>+Financials!AL352</f>
        <v>2378</v>
      </c>
      <c r="AQ11" s="212">
        <f>+Financials!AM352</f>
        <v>2414</v>
      </c>
      <c r="AR11" s="212">
        <f>+Financials!AN352</f>
        <v>2457</v>
      </c>
      <c r="AS11" s="212">
        <f>+Financials!AO352</f>
        <v>2572</v>
      </c>
      <c r="AT11" s="212">
        <f>+Financials!AP352</f>
        <v>2755</v>
      </c>
      <c r="AU11" s="212">
        <f>+Financials!AQ352</f>
        <v>2688</v>
      </c>
      <c r="AV11" s="212">
        <f>+Financials!AR352</f>
        <v>2524</v>
      </c>
      <c r="AW11" s="212">
        <f>+Financials!AS352</f>
        <v>3027</v>
      </c>
      <c r="AX11" s="212">
        <f>+Financials!AT352</f>
        <v>3207</v>
      </c>
      <c r="AY11" s="212">
        <f>+Financials!AU352</f>
        <v>3337.7799999999997</v>
      </c>
      <c r="AZ11" s="212">
        <f>+Financials!AV352</f>
        <v>3571.4245999999998</v>
      </c>
      <c r="BA11" s="212">
        <f>+Financials!AW352</f>
        <v>3749.9958299999998</v>
      </c>
      <c r="BB11" s="212">
        <f>+Financials!AX352</f>
        <v>3881.2456840499999</v>
      </c>
      <c r="BC11" s="63">
        <f>RATE(YEARFRAC($AP$6,$AX$6,1),,-AP11,AX11)</f>
        <v>3.808915496689369E-2</v>
      </c>
      <c r="BD11" s="63"/>
      <c r="BG11" s="63">
        <f t="shared" si="20"/>
        <v>4.885440745290015E-2</v>
      </c>
    </row>
    <row r="12" spans="1:69" ht="11.25" customHeight="1">
      <c r="C12" s="624" t="s">
        <v>106</v>
      </c>
      <c r="E12" s="212">
        <f>+Financials!E433</f>
        <v>620</v>
      </c>
      <c r="F12" s="212">
        <f>+Financials!F433</f>
        <v>633</v>
      </c>
      <c r="G12" s="212">
        <f>+Financials!G433</f>
        <v>638</v>
      </c>
      <c r="H12" s="212">
        <f>+Financials!H433</f>
        <v>643</v>
      </c>
      <c r="I12" s="212">
        <f>+Financials!I433</f>
        <v>670</v>
      </c>
      <c r="J12" s="212">
        <f>+Financials!J433</f>
        <v>703</v>
      </c>
      <c r="K12" s="212">
        <f>+Financials!K433</f>
        <v>696</v>
      </c>
      <c r="L12" s="212">
        <f>+Financials!L433</f>
        <v>659</v>
      </c>
      <c r="M12" s="212">
        <f>+Financials!M433</f>
        <v>730</v>
      </c>
      <c r="N12" s="212">
        <f>+Financials!N433</f>
        <v>709</v>
      </c>
      <c r="O12" s="212">
        <f>+Financials!O433</f>
        <v>703</v>
      </c>
      <c r="P12" s="212">
        <f>+Financials!P433</f>
        <v>689</v>
      </c>
      <c r="Q12" s="212">
        <f>+Financials!Q433</f>
        <v>592</v>
      </c>
      <c r="R12" s="212">
        <f>+Financials!R433</f>
        <v>572</v>
      </c>
      <c r="S12" s="212">
        <f>+Financials!S433</f>
        <v>533</v>
      </c>
      <c r="T12" s="212">
        <f>+Financials!T433</f>
        <v>534</v>
      </c>
      <c r="U12" s="212">
        <f>+Financials!U433</f>
        <v>516</v>
      </c>
      <c r="V12" s="212">
        <f>+Financials!V433</f>
        <v>392</v>
      </c>
      <c r="W12" s="212">
        <f>+Financials!W433</f>
        <v>464</v>
      </c>
      <c r="X12" s="212">
        <f>+Financials!X433</f>
        <v>471</v>
      </c>
      <c r="Y12" s="212">
        <f>+Financials!Y433</f>
        <v>542</v>
      </c>
      <c r="Z12" s="212">
        <f>+Financials!Z433</f>
        <v>669</v>
      </c>
      <c r="AA12" s="212">
        <f>+Financials!AA433</f>
        <v>685</v>
      </c>
      <c r="AB12" s="212">
        <f>+Financials!AB433</f>
        <v>712</v>
      </c>
      <c r="AC12" s="212">
        <f>+Financials!AC433</f>
        <v>715</v>
      </c>
      <c r="AD12" s="212">
        <f>+Financials!AD433</f>
        <v>772</v>
      </c>
      <c r="AE12" s="212">
        <f>+Financials!AE433</f>
        <v>665</v>
      </c>
      <c r="AF12" s="212">
        <f>+Financials!AF433</f>
        <v>564</v>
      </c>
      <c r="AG12" s="212">
        <f>+Financials!AG433</f>
        <v>589</v>
      </c>
      <c r="AH12" s="212">
        <f>+Financials!AH433</f>
        <v>725.68</v>
      </c>
      <c r="AI12" s="212">
        <f>+Financials!AI433</f>
        <v>625.1</v>
      </c>
      <c r="AJ12" s="212">
        <f>+Financials!AJ433</f>
        <v>530.16</v>
      </c>
      <c r="AK12" s="579"/>
      <c r="AL12" s="212"/>
      <c r="AM12" s="212"/>
      <c r="AN12" s="212"/>
      <c r="AO12" s="212"/>
      <c r="AP12" s="212">
        <f>+Financials!AL433</f>
        <v>3034</v>
      </c>
      <c r="AQ12" s="212">
        <f>+Financials!AM433</f>
        <v>2811</v>
      </c>
      <c r="AR12" s="212">
        <f>+Financials!AN433</f>
        <v>2534</v>
      </c>
      <c r="AS12" s="212">
        <f>+Financials!AO433</f>
        <v>2728</v>
      </c>
      <c r="AT12" s="212">
        <f>+Financials!AP433</f>
        <v>2831</v>
      </c>
      <c r="AU12" s="212">
        <f>+Financials!AQ433</f>
        <v>2231</v>
      </c>
      <c r="AV12" s="212">
        <f>+Financials!AR433</f>
        <v>1843</v>
      </c>
      <c r="AW12" s="212">
        <f>+Financials!AS433</f>
        <v>2608</v>
      </c>
      <c r="AX12" s="212">
        <f>+Financials!AT433</f>
        <v>2716</v>
      </c>
      <c r="AY12" s="212">
        <f>+Financials!AU433</f>
        <v>2469.9399999999996</v>
      </c>
      <c r="AZ12" s="212">
        <f>+Financials!AV433</f>
        <v>2494.6393999999996</v>
      </c>
      <c r="BA12" s="212">
        <f>+Financials!AW433</f>
        <v>2519.5857939999996</v>
      </c>
      <c r="BB12" s="212">
        <f>+Financials!AX433</f>
        <v>2544.7816519399994</v>
      </c>
      <c r="BC12" s="63">
        <f>RATE(YEARFRAC($AP$6,$AX$6,1),,-AP12,AX12)</f>
        <v>-1.374383543918405E-2</v>
      </c>
      <c r="BD12" s="63"/>
      <c r="BG12" s="63">
        <f>RATE(YEARFRAC(AX$6,BB$6,1),,-AX12,BB12)</f>
        <v>-1.6144862859611534E-2</v>
      </c>
    </row>
    <row r="13" spans="1:69" ht="11.25" customHeight="1">
      <c r="C13" s="624" t="s">
        <v>107</v>
      </c>
      <c r="E13" s="212">
        <f>+Financials!E513</f>
        <v>280</v>
      </c>
      <c r="F13" s="212">
        <f>+Financials!F513</f>
        <v>234</v>
      </c>
      <c r="G13" s="212">
        <f>+Financials!G513</f>
        <v>248</v>
      </c>
      <c r="H13" s="212">
        <f>+Financials!H513</f>
        <v>230</v>
      </c>
      <c r="I13" s="212">
        <f>+Financials!I513</f>
        <v>213</v>
      </c>
      <c r="J13" s="212">
        <f>+Financials!J513</f>
        <v>215</v>
      </c>
      <c r="K13" s="212">
        <f>+Financials!K513</f>
        <v>224</v>
      </c>
      <c r="L13" s="212">
        <f>+Financials!L513</f>
        <v>200</v>
      </c>
      <c r="M13" s="212">
        <f>+Financials!M513</f>
        <v>245</v>
      </c>
      <c r="N13" s="212">
        <f>+Financials!N513</f>
        <v>241</v>
      </c>
      <c r="O13" s="212">
        <f>+Financials!O513</f>
        <v>220</v>
      </c>
      <c r="P13" s="212">
        <f>+Financials!P513</f>
        <v>212</v>
      </c>
      <c r="Q13" s="212">
        <f>+Financials!Q513</f>
        <v>213</v>
      </c>
      <c r="R13" s="212">
        <f>+Financials!R513</f>
        <v>213</v>
      </c>
      <c r="S13" s="212">
        <f>+Financials!S513</f>
        <v>217</v>
      </c>
      <c r="T13" s="212">
        <f>+Financials!T513</f>
        <v>226</v>
      </c>
      <c r="U13" s="212">
        <f>+Financials!U513</f>
        <v>212</v>
      </c>
      <c r="V13" s="212">
        <f>+Financials!V513</f>
        <v>211</v>
      </c>
      <c r="W13" s="212">
        <f>+Financials!W513</f>
        <v>206</v>
      </c>
      <c r="X13" s="212">
        <f>+Financials!X513</f>
        <v>208</v>
      </c>
      <c r="Y13" s="212">
        <f>+Financials!Y513</f>
        <v>217</v>
      </c>
      <c r="Z13" s="212">
        <f>+Financials!Z513</f>
        <v>223</v>
      </c>
      <c r="AA13" s="212">
        <f>+Financials!AA513</f>
        <v>222</v>
      </c>
      <c r="AB13" s="212">
        <f>+Financials!AB513</f>
        <v>238</v>
      </c>
      <c r="AC13" s="212">
        <f>+Financials!AC513</f>
        <v>213</v>
      </c>
      <c r="AD13" s="212">
        <f>+Financials!AD513</f>
        <v>242</v>
      </c>
      <c r="AE13" s="212">
        <f>+Financials!AE513</f>
        <v>250</v>
      </c>
      <c r="AF13" s="212">
        <f>+Financials!AF513</f>
        <v>317</v>
      </c>
      <c r="AG13" s="212">
        <f>+Financials!AG513</f>
        <v>303</v>
      </c>
      <c r="AH13" s="212">
        <f>+Financials!AH513</f>
        <v>273.45999999999998</v>
      </c>
      <c r="AI13" s="212">
        <f>+Financials!AI513</f>
        <v>280</v>
      </c>
      <c r="AJ13" s="212">
        <f>+Financials!AJ513</f>
        <v>323.33999999999997</v>
      </c>
      <c r="AK13" s="579"/>
      <c r="AL13" s="212">
        <f>'Historical Segment'!E38</f>
        <v>1142</v>
      </c>
      <c r="AM13" s="212">
        <f>'Historical Segment'!F38</f>
        <v>1279</v>
      </c>
      <c r="AN13" s="212">
        <f>'Historical Segment'!G38</f>
        <v>1315</v>
      </c>
      <c r="AO13" s="212">
        <f>'Historical Segment'!H38</f>
        <v>1441</v>
      </c>
      <c r="AP13" s="212">
        <f>+Financials!AL513</f>
        <v>1457</v>
      </c>
      <c r="AQ13" s="212">
        <f>+Financials!AM513</f>
        <v>1219</v>
      </c>
      <c r="AR13" s="212">
        <f>+Financials!AN513</f>
        <v>992</v>
      </c>
      <c r="AS13" s="212">
        <f>+Financials!AO513</f>
        <v>852</v>
      </c>
      <c r="AT13" s="212">
        <f>+Financials!AP513</f>
        <v>918</v>
      </c>
      <c r="AU13" s="212">
        <f>+Financials!AQ513</f>
        <v>869</v>
      </c>
      <c r="AV13" s="212">
        <f>+Financials!AR513</f>
        <v>837</v>
      </c>
      <c r="AW13" s="212">
        <f>+Financials!AS513</f>
        <v>900</v>
      </c>
      <c r="AX13" s="212">
        <f>+Financials!AT513</f>
        <v>1022</v>
      </c>
      <c r="AY13" s="212">
        <f>+Financials!AU513</f>
        <v>1179.8</v>
      </c>
      <c r="AZ13" s="212">
        <f>+Financials!AV513</f>
        <v>1197.4969999999998</v>
      </c>
      <c r="BA13" s="212">
        <f>+Financials!AW513</f>
        <v>1215.4594549999999</v>
      </c>
      <c r="BB13" s="212">
        <f>+Financials!AX513</f>
        <v>1233.691346825</v>
      </c>
      <c r="BC13" s="63">
        <f>RATE(YEARFRAC(AP$6,AX$6,1),,-AP13,AX13)</f>
        <v>-4.335593372524707E-2</v>
      </c>
      <c r="BD13" s="63"/>
      <c r="BE13" s="63"/>
      <c r="BG13" s="63">
        <f>RATE(YEARFRAC(AX$6,BB$6,1),,-AX13,BB13)</f>
        <v>4.8180576725036964E-2</v>
      </c>
      <c r="BH13" s="63"/>
    </row>
    <row r="14" spans="1:69" ht="11.25" customHeight="1">
      <c r="C14" s="624" t="s">
        <v>108</v>
      </c>
      <c r="E14" s="212">
        <f>+Financials!E592</f>
        <v>10</v>
      </c>
      <c r="F14" s="212">
        <f>+Financials!F592</f>
        <v>14</v>
      </c>
      <c r="G14" s="212">
        <f>+Financials!G592</f>
        <v>11</v>
      </c>
      <c r="H14" s="212">
        <f>+Financials!H592</f>
        <v>11</v>
      </c>
      <c r="I14" s="212">
        <f>+Financials!I592</f>
        <v>13</v>
      </c>
      <c r="J14" s="212">
        <f>+Financials!J592</f>
        <v>14</v>
      </c>
      <c r="K14" s="212">
        <f>+Financials!K592</f>
        <v>13</v>
      </c>
      <c r="L14" s="212">
        <f>+Financials!L592</f>
        <v>14</v>
      </c>
      <c r="M14" s="212">
        <f>+Financials!M592</f>
        <v>0</v>
      </c>
      <c r="N14" s="212">
        <f>+Financials!N592</f>
        <v>0</v>
      </c>
      <c r="O14" s="212">
        <f>+Financials!O592</f>
        <v>0</v>
      </c>
      <c r="P14" s="212">
        <f>+Financials!P592</f>
        <v>0</v>
      </c>
      <c r="Q14" s="212">
        <f>+Financials!Q592</f>
        <v>268</v>
      </c>
      <c r="R14" s="212">
        <f>+Financials!R592</f>
        <v>264</v>
      </c>
      <c r="S14" s="212">
        <f>+Financials!S592</f>
        <v>259</v>
      </c>
      <c r="T14" s="212">
        <f>+Financials!T592</f>
        <v>230</v>
      </c>
      <c r="U14" s="212">
        <f>+Financials!U592</f>
        <v>262</v>
      </c>
      <c r="V14" s="212">
        <f>+Financials!V592</f>
        <v>187</v>
      </c>
      <c r="W14" s="212">
        <f>+Financials!W592</f>
        <v>233</v>
      </c>
      <c r="X14" s="212">
        <f>+Financials!X592</f>
        <v>245</v>
      </c>
      <c r="Y14" s="212">
        <f>+Financials!Y592</f>
        <v>262</v>
      </c>
      <c r="Z14" s="212">
        <f>+Financials!Z592</f>
        <v>270</v>
      </c>
      <c r="AA14" s="212">
        <f>+Financials!AA592</f>
        <v>268</v>
      </c>
      <c r="AB14" s="212">
        <f>+Financials!AB592</f>
        <v>192</v>
      </c>
      <c r="AC14" s="212">
        <f>+Financials!AC592</f>
        <v>160</v>
      </c>
      <c r="AD14" s="212">
        <f>+Financials!AD592</f>
        <v>0</v>
      </c>
      <c r="AE14" s="212">
        <f>+Financials!AE592</f>
        <v>0</v>
      </c>
      <c r="AF14" s="212">
        <f>+Financials!AF592</f>
        <v>0</v>
      </c>
      <c r="AG14" s="212">
        <f>+Financials!AG592</f>
        <v>1</v>
      </c>
      <c r="AH14" s="212">
        <f>+Financials!AH592</f>
        <v>0</v>
      </c>
      <c r="AI14" s="212">
        <f>+Financials!AI592</f>
        <v>0</v>
      </c>
      <c r="AJ14" s="212">
        <f>+Financials!AJ592</f>
        <v>0</v>
      </c>
      <c r="AK14" s="579"/>
      <c r="AL14" s="579"/>
      <c r="AM14" s="579"/>
      <c r="AN14" s="579"/>
      <c r="AO14" s="579"/>
      <c r="AP14" s="212">
        <f>+Financials!AL592</f>
        <v>18</v>
      </c>
      <c r="AQ14" s="212">
        <f>+Financials!AM592</f>
        <v>45</v>
      </c>
      <c r="AR14" s="212">
        <f>+Financials!AN592</f>
        <v>46</v>
      </c>
      <c r="AS14" s="212">
        <f>+Financials!AO592</f>
        <v>54</v>
      </c>
      <c r="AT14" s="212">
        <f>+Financials!AP592</f>
        <v>0</v>
      </c>
      <c r="AU14" s="212">
        <f>+Financials!AQ592</f>
        <v>1021</v>
      </c>
      <c r="AV14" s="212">
        <f>+Financials!AR592</f>
        <v>927</v>
      </c>
      <c r="AW14" s="212">
        <f>+Financials!AS592</f>
        <v>992</v>
      </c>
      <c r="AX14" s="212">
        <f>+Financials!AT592</f>
        <v>160</v>
      </c>
      <c r="AY14" s="212">
        <f>+Financials!AU592</f>
        <v>1</v>
      </c>
      <c r="AZ14" s="212">
        <f>+Financials!AV592</f>
        <v>0</v>
      </c>
      <c r="BA14" s="212">
        <f>+Financials!AW592</f>
        <v>0</v>
      </c>
      <c r="BB14" s="212">
        <f>+Financials!AX592</f>
        <v>0</v>
      </c>
      <c r="BC14" s="63"/>
      <c r="BE14" s="63"/>
    </row>
    <row r="15" spans="1:69" ht="11.25" customHeight="1">
      <c r="C15" s="645" t="s">
        <v>168</v>
      </c>
      <c r="E15" s="32">
        <f>SUM(E10:E14)</f>
        <v>2236</v>
      </c>
      <c r="F15" s="32">
        <f t="shared" ref="F15:X15" si="21">SUM(F10:F14)</f>
        <v>2297</v>
      </c>
      <c r="G15" s="32">
        <f t="shared" si="21"/>
        <v>2287</v>
      </c>
      <c r="H15" s="32">
        <f t="shared" si="21"/>
        <v>2188</v>
      </c>
      <c r="I15" s="32">
        <f t="shared" si="21"/>
        <v>2303</v>
      </c>
      <c r="J15" s="32">
        <f t="shared" si="21"/>
        <v>2419</v>
      </c>
      <c r="K15" s="32">
        <f t="shared" si="21"/>
        <v>2465</v>
      </c>
      <c r="L15" s="32">
        <f t="shared" si="21"/>
        <v>2362</v>
      </c>
      <c r="M15" s="32">
        <f t="shared" si="21"/>
        <v>2607</v>
      </c>
      <c r="N15" s="32">
        <f t="shared" si="21"/>
        <v>2621</v>
      </c>
      <c r="O15" s="32">
        <f t="shared" si="21"/>
        <v>2547</v>
      </c>
      <c r="P15" s="32">
        <f t="shared" si="21"/>
        <v>2376</v>
      </c>
      <c r="Q15" s="32">
        <f t="shared" si="21"/>
        <v>2380</v>
      </c>
      <c r="R15" s="32">
        <f t="shared" si="21"/>
        <v>2363</v>
      </c>
      <c r="S15" s="32">
        <f t="shared" si="21"/>
        <v>2325</v>
      </c>
      <c r="T15" s="32">
        <f>SUM(T10:T14)</f>
        <v>2196</v>
      </c>
      <c r="U15" s="32">
        <f t="shared" si="21"/>
        <v>2241</v>
      </c>
      <c r="V15" s="32">
        <f t="shared" si="21"/>
        <v>1924</v>
      </c>
      <c r="W15" s="32">
        <f t="shared" si="21"/>
        <v>2122</v>
      </c>
      <c r="X15" s="32">
        <f t="shared" si="21"/>
        <v>2186</v>
      </c>
      <c r="Y15" s="32">
        <f t="shared" ref="Y15:AB15" si="22">SUM(Y10:Y14)</f>
        <v>2409</v>
      </c>
      <c r="Z15" s="32">
        <f t="shared" si="22"/>
        <v>2653</v>
      </c>
      <c r="AA15" s="32">
        <f t="shared" si="22"/>
        <v>2720</v>
      </c>
      <c r="AB15" s="32">
        <f t="shared" si="22"/>
        <v>2694</v>
      </c>
      <c r="AC15" s="32">
        <f t="shared" ref="AC15:AF15" si="23">SUM(AC10:AC14)</f>
        <v>2714</v>
      </c>
      <c r="AD15" s="32">
        <f t="shared" si="23"/>
        <v>2784</v>
      </c>
      <c r="AE15" s="32">
        <f t="shared" si="23"/>
        <v>2709</v>
      </c>
      <c r="AF15" s="32">
        <f t="shared" si="23"/>
        <v>2373</v>
      </c>
      <c r="AG15" s="32">
        <f t="shared" ref="AG15:AJ15" si="24">SUM(AG10:AG14)</f>
        <v>2412</v>
      </c>
      <c r="AH15" s="32">
        <f t="shared" si="24"/>
        <v>2705.24</v>
      </c>
      <c r="AI15" s="32">
        <f t="shared" si="24"/>
        <v>2698.02</v>
      </c>
      <c r="AJ15" s="32">
        <f t="shared" si="24"/>
        <v>2403.7800000000002</v>
      </c>
      <c r="AK15" s="580"/>
      <c r="AL15" s="32">
        <f t="shared" ref="AL15:AO15" si="25">SUM(AL10:AL14)</f>
        <v>3116</v>
      </c>
      <c r="AM15" s="32">
        <f t="shared" si="25"/>
        <v>3541</v>
      </c>
      <c r="AN15" s="32">
        <f t="shared" si="25"/>
        <v>4341</v>
      </c>
      <c r="AO15" s="32">
        <f t="shared" si="25"/>
        <v>5509</v>
      </c>
      <c r="AP15" s="32">
        <f t="shared" ref="AP15:AY15" si="26">SUM(AP10:AP14)</f>
        <v>9527</v>
      </c>
      <c r="AQ15" s="32">
        <f t="shared" si="26"/>
        <v>9648</v>
      </c>
      <c r="AR15" s="32">
        <f t="shared" si="26"/>
        <v>9008</v>
      </c>
      <c r="AS15" s="32">
        <f t="shared" si="26"/>
        <v>9549</v>
      </c>
      <c r="AT15" s="32">
        <f t="shared" si="26"/>
        <v>10151</v>
      </c>
      <c r="AU15" s="32">
        <f t="shared" si="26"/>
        <v>9264</v>
      </c>
      <c r="AV15" s="32">
        <f t="shared" si="26"/>
        <v>8473</v>
      </c>
      <c r="AW15" s="32">
        <f t="shared" si="26"/>
        <v>10476</v>
      </c>
      <c r="AX15" s="32">
        <f t="shared" si="26"/>
        <v>10580</v>
      </c>
      <c r="AY15" s="32">
        <f t="shared" si="26"/>
        <v>10219.039999999997</v>
      </c>
      <c r="AZ15" s="32">
        <f t="shared" ref="AZ15:BB15" si="27">SUM(AZ10:AZ14)</f>
        <v>10590.996599999999</v>
      </c>
      <c r="BA15" s="32">
        <f t="shared" si="27"/>
        <v>10912.299747000001</v>
      </c>
      <c r="BB15" s="32">
        <f t="shared" si="27"/>
        <v>11189.795110854999</v>
      </c>
      <c r="BC15" s="63">
        <f>RATE(YEARFRAC($AP$6,$AX$6,1),,-AP15,AX15)</f>
        <v>1.3189673980786853E-2</v>
      </c>
      <c r="BG15" s="63">
        <f>RATE(YEARFRAC(AX$6,BB$6,1),,-AX15,BB15)</f>
        <v>1.4105840255635752E-2</v>
      </c>
    </row>
    <row r="16" spans="1:69" ht="11.25" customHeight="1">
      <c r="C16" s="646" t="s">
        <v>68</v>
      </c>
      <c r="E16" s="127">
        <f>+E15-Financials!E11</f>
        <v>0</v>
      </c>
      <c r="F16" s="127">
        <f>+F15-Financials!F11</f>
        <v>0</v>
      </c>
      <c r="G16" s="127">
        <f>+G15-Financials!G11</f>
        <v>0</v>
      </c>
      <c r="H16" s="127">
        <f>+H15-Financials!H11</f>
        <v>0</v>
      </c>
      <c r="I16" s="127">
        <f>+I15-Financials!I11</f>
        <v>0</v>
      </c>
      <c r="J16" s="127">
        <f>+J15-Financials!J11</f>
        <v>0</v>
      </c>
      <c r="K16" s="127">
        <f>+K15-Financials!K11</f>
        <v>0</v>
      </c>
      <c r="L16" s="127">
        <f>+L15-Financials!L11</f>
        <v>0</v>
      </c>
      <c r="M16" s="127">
        <f>+M15-Financials!M11</f>
        <v>0</v>
      </c>
      <c r="N16" s="127">
        <f>+N15-Financials!N11</f>
        <v>0</v>
      </c>
      <c r="O16" s="127">
        <f>+O15-Financials!O11</f>
        <v>0</v>
      </c>
      <c r="P16" s="127">
        <f>+P15-Financials!P11</f>
        <v>0</v>
      </c>
      <c r="Q16" s="127">
        <f>+Q15-Financials!Q11</f>
        <v>0</v>
      </c>
      <c r="R16" s="127">
        <f>+R15-Financials!R11</f>
        <v>0</v>
      </c>
      <c r="S16" s="127">
        <f>+S15-Financials!S11</f>
        <v>0</v>
      </c>
      <c r="T16" s="127">
        <f>+T15-Financials!T11</f>
        <v>-9</v>
      </c>
      <c r="U16" s="127">
        <f>+U15-Financials!U11</f>
        <v>0</v>
      </c>
      <c r="V16" s="127">
        <f>+V15-Financials!V11</f>
        <v>0</v>
      </c>
      <c r="W16" s="127">
        <f>+W15-Financials!W11</f>
        <v>0</v>
      </c>
      <c r="X16" s="127">
        <f>+X15-Financials!X11</f>
        <v>0</v>
      </c>
      <c r="Y16" s="127">
        <f>+Y15-Financials!Y11</f>
        <v>0</v>
      </c>
      <c r="Z16" s="127">
        <f>+Z15-Financials!Z11</f>
        <v>0</v>
      </c>
      <c r="AA16" s="127">
        <f>+AA15-Financials!AA11</f>
        <v>0</v>
      </c>
      <c r="AB16" s="127">
        <f>+AB15-Financials!AB11</f>
        <v>0</v>
      </c>
      <c r="AC16" s="127">
        <f>+AC15-Financials!AC11</f>
        <v>0</v>
      </c>
      <c r="AD16" s="127">
        <f>+AD15-Financials!AD11</f>
        <v>0</v>
      </c>
      <c r="AE16" s="127">
        <f>+AE15-Financials!AE11</f>
        <v>0</v>
      </c>
      <c r="AF16" s="127">
        <f>+AF15-Financials!AF11</f>
        <v>0</v>
      </c>
      <c r="AG16" s="127">
        <f>+AG15-Financials!AG11</f>
        <v>0</v>
      </c>
      <c r="AH16" s="127">
        <f>+AH15-Financials!AH11</f>
        <v>0</v>
      </c>
      <c r="AI16" s="127">
        <f>+AI15-Financials!AI11</f>
        <v>0</v>
      </c>
      <c r="AJ16" s="127">
        <f>+AJ15-Financials!AJ11</f>
        <v>0</v>
      </c>
      <c r="AK16" s="580"/>
      <c r="AL16" s="127"/>
      <c r="AM16" s="127"/>
      <c r="AN16" s="127"/>
      <c r="AO16" s="127"/>
      <c r="AP16" s="127">
        <f>+AP15-Financials!AL11</f>
        <v>0</v>
      </c>
      <c r="AQ16" s="127">
        <f>+AQ15-Financials!AM11</f>
        <v>0</v>
      </c>
      <c r="AR16" s="127">
        <f>+AR15-Financials!AN11</f>
        <v>0</v>
      </c>
      <c r="AS16" s="127">
        <f>+AS15-Financials!AO11</f>
        <v>0</v>
      </c>
      <c r="AT16" s="127">
        <f>+AT15-Financials!AP11</f>
        <v>0</v>
      </c>
      <c r="AU16" s="127">
        <f>+AU15-Financials!AQ11</f>
        <v>-9</v>
      </c>
      <c r="AV16" s="127">
        <f>+AV15-Financials!AR11</f>
        <v>0</v>
      </c>
      <c r="AW16" s="127">
        <f>+AW15-Financials!AS11</f>
        <v>0</v>
      </c>
      <c r="AX16" s="127">
        <f>+AX15-Financials!AT11</f>
        <v>0</v>
      </c>
      <c r="AY16" s="127">
        <f>+AY15-Financials!AU11</f>
        <v>0</v>
      </c>
      <c r="AZ16" s="127">
        <f>+AZ15-Financials!AV11</f>
        <v>0</v>
      </c>
      <c r="BA16" s="127">
        <f>+BA15-Financials!AW11</f>
        <v>0</v>
      </c>
      <c r="BB16" s="127">
        <f>+BB15-Financials!AX11</f>
        <v>0</v>
      </c>
    </row>
    <row r="17" spans="2:54" ht="11.25" customHeight="1">
      <c r="C17" s="645"/>
      <c r="E17" s="31"/>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80"/>
      <c r="AL17" s="580"/>
      <c r="AM17" s="580"/>
      <c r="AN17" s="580"/>
      <c r="AO17" s="580"/>
      <c r="AP17" s="579"/>
      <c r="AQ17" s="579"/>
      <c r="AR17" s="579"/>
      <c r="AS17" s="579"/>
      <c r="AT17" s="579"/>
      <c r="AU17" s="579"/>
      <c r="AV17" s="579"/>
      <c r="AW17" s="579"/>
      <c r="AX17" s="579"/>
      <c r="AY17" s="579"/>
      <c r="AZ17" s="579"/>
      <c r="BA17" s="579"/>
      <c r="BB17" s="579"/>
    </row>
    <row r="18" spans="2:54" ht="11.25" customHeight="1">
      <c r="B18" s="27" t="s">
        <v>14</v>
      </c>
      <c r="C18" s="623" t="s">
        <v>860</v>
      </c>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80"/>
      <c r="AL18" s="580"/>
      <c r="AM18" s="580"/>
      <c r="AN18" s="580"/>
      <c r="AO18" s="580"/>
      <c r="AP18" s="579"/>
      <c r="AQ18" s="579"/>
      <c r="AR18" s="579"/>
      <c r="AS18" s="579"/>
      <c r="AT18" s="579"/>
      <c r="AU18" s="579"/>
      <c r="AV18" s="579"/>
      <c r="AW18" s="579"/>
      <c r="AX18" s="579"/>
      <c r="AY18" s="579"/>
      <c r="AZ18" s="579"/>
      <c r="BA18" s="579"/>
      <c r="BB18" s="579"/>
    </row>
    <row r="19" spans="2:54" ht="11.25" customHeight="1">
      <c r="C19" s="25" t="s">
        <v>104</v>
      </c>
      <c r="E19" s="47"/>
      <c r="F19" s="568"/>
      <c r="G19" s="568"/>
      <c r="H19" s="568"/>
      <c r="I19" s="88">
        <f t="shared" ref="I19:Y22" si="28">+I10/E10-1</f>
        <v>4.8846675712347354E-2</v>
      </c>
      <c r="J19" s="88">
        <f t="shared" si="28"/>
        <v>7.7922077922077948E-2</v>
      </c>
      <c r="K19" s="88">
        <f t="shared" si="28"/>
        <v>0.17819148936170204</v>
      </c>
      <c r="L19" s="88">
        <f t="shared" si="28"/>
        <v>0.18611111111111112</v>
      </c>
      <c r="M19" s="88">
        <f t="shared" si="28"/>
        <v>0.21474773609314357</v>
      </c>
      <c r="N19" s="88">
        <f t="shared" si="28"/>
        <v>0.13493975903614452</v>
      </c>
      <c r="O19" s="88">
        <f t="shared" si="28"/>
        <v>3.2731376975169368E-2</v>
      </c>
      <c r="P19" s="88">
        <f t="shared" si="28"/>
        <v>-3.5128805620608938E-3</v>
      </c>
      <c r="Q19" s="88">
        <f t="shared" si="28"/>
        <v>-0.30777422790202347</v>
      </c>
      <c r="R19" s="88">
        <f t="shared" si="28"/>
        <v>-0.3439490445859873</v>
      </c>
      <c r="S19" s="88">
        <f t="shared" si="28"/>
        <v>-0.32349726775956289</v>
      </c>
      <c r="T19" s="88">
        <f t="shared" si="28"/>
        <v>-0.33254994124559345</v>
      </c>
      <c r="U19" s="88">
        <f t="shared" si="28"/>
        <v>-2.1538461538461506E-2</v>
      </c>
      <c r="V19" s="88">
        <f t="shared" si="28"/>
        <v>-8.2524271844660158E-2</v>
      </c>
      <c r="W19" s="88">
        <f t="shared" si="28"/>
        <v>-0.10985460420032311</v>
      </c>
      <c r="X19" s="88">
        <f t="shared" si="28"/>
        <v>3.5211267605633756E-2</v>
      </c>
      <c r="Y19" s="88">
        <f t="shared" si="28"/>
        <v>5.6603773584905648E-2</v>
      </c>
      <c r="Z19" s="88">
        <f t="shared" ref="Z19:AG22" si="29">+Z10/V10-1</f>
        <v>0.27336860670194008</v>
      </c>
      <c r="AA19" s="88">
        <f t="shared" si="29"/>
        <v>0.40653357531760426</v>
      </c>
      <c r="AB19" s="88">
        <f t="shared" si="29"/>
        <v>0.32653061224489788</v>
      </c>
      <c r="AC19" s="88">
        <f t="shared" ref="AC19:AC22" si="30">+AC10/Y10-1</f>
        <v>0.32291666666666674</v>
      </c>
      <c r="AD19" s="88">
        <f t="shared" ref="AD19:AD22" si="31">+AD10/Z10-1</f>
        <v>0.27977839335180055</v>
      </c>
      <c r="AE19" s="88">
        <f t="shared" ref="AE19:AE22" si="32">+AE10/AA10-1</f>
        <v>0.16903225806451605</v>
      </c>
      <c r="AF19" s="88">
        <f t="shared" ref="AF19:AF22" si="33">+AF10/AB10-1</f>
        <v>-3.0769230769230771E-2</v>
      </c>
      <c r="AG19" s="88">
        <f t="shared" si="29"/>
        <v>-0.12598425196850394</v>
      </c>
      <c r="AH19" s="88">
        <f t="shared" ref="AH19:AH22" si="34">+AH10/AD10-1</f>
        <v>-6.0000000000000053E-2</v>
      </c>
      <c r="AI19" s="88">
        <f t="shared" ref="AI19:AI22" si="35">+AI10/AE10-1</f>
        <v>-6.0000000000000053E-2</v>
      </c>
      <c r="AJ19" s="88">
        <f t="shared" ref="AJ19:AJ22" si="36">+AJ10/AF10-1</f>
        <v>-2.9999999999999916E-2</v>
      </c>
      <c r="AP19" s="25" t="s">
        <v>104</v>
      </c>
      <c r="AQ19" s="88">
        <f t="shared" ref="AQ19:AZ19" si="37">+AQ10/AP10-1</f>
        <v>0.19659090909090904</v>
      </c>
      <c r="AR19" s="88">
        <f t="shared" si="37"/>
        <v>-5.6980056980056926E-2</v>
      </c>
      <c r="AS19" s="88">
        <f t="shared" si="37"/>
        <v>0.12218865391070821</v>
      </c>
      <c r="AT19" s="88">
        <f t="shared" si="37"/>
        <v>9.0936284774155052E-2</v>
      </c>
      <c r="AU19" s="1490">
        <f t="shared" si="37"/>
        <v>-0.32684398135453796</v>
      </c>
      <c r="AV19" s="1490">
        <f t="shared" si="37"/>
        <v>-4.6028513238289159E-2</v>
      </c>
      <c r="AW19" s="1490">
        <f t="shared" si="37"/>
        <v>0.25918018787361219</v>
      </c>
      <c r="AX19" s="1490">
        <f t="shared" si="37"/>
        <v>0.17836554764326884</v>
      </c>
      <c r="AY19" s="88">
        <f t="shared" si="37"/>
        <v>-7.0353956834532383E-2</v>
      </c>
      <c r="AZ19" s="88">
        <f t="shared" si="37"/>
        <v>3.0000000000000027E-2</v>
      </c>
      <c r="BA19" s="88">
        <f t="shared" ref="BA19:BA22" si="38">+BA10/AZ10-1</f>
        <v>3.0000000000000027E-2</v>
      </c>
      <c r="BB19" s="88">
        <f t="shared" ref="BB19:BB22" si="39">+BB10/BA10-1</f>
        <v>3.0000000000000027E-2</v>
      </c>
    </row>
    <row r="20" spans="2:54" ht="11.25" customHeight="1">
      <c r="C20" s="624" t="s">
        <v>105</v>
      </c>
      <c r="E20" s="47"/>
      <c r="F20" s="568"/>
      <c r="G20" s="568"/>
      <c r="H20" s="568"/>
      <c r="I20" s="88">
        <f t="shared" si="28"/>
        <v>7.6400679117147652E-2</v>
      </c>
      <c r="J20" s="88">
        <f t="shared" si="28"/>
        <v>1.7027863777089758E-2</v>
      </c>
      <c r="K20" s="88">
        <f t="shared" si="28"/>
        <v>1.2539184952978122E-2</v>
      </c>
      <c r="L20" s="88">
        <f t="shared" si="28"/>
        <v>8.7328767123287632E-2</v>
      </c>
      <c r="M20" s="88">
        <f t="shared" si="28"/>
        <v>9.3059936908517438E-2</v>
      </c>
      <c r="N20" s="88">
        <f t="shared" si="28"/>
        <v>0.1095890410958904</v>
      </c>
      <c r="O20" s="88">
        <f t="shared" si="28"/>
        <v>9.7523219814241502E-2</v>
      </c>
      <c r="P20" s="88">
        <f t="shared" si="28"/>
        <v>-1.7322834645669305E-2</v>
      </c>
      <c r="Q20" s="88">
        <f t="shared" si="28"/>
        <v>-5.1948051948051965E-2</v>
      </c>
      <c r="R20" s="88">
        <f t="shared" si="28"/>
        <v>-4.5267489711934172E-2</v>
      </c>
      <c r="S20" s="88">
        <f t="shared" si="28"/>
        <v>-1.6925246826516194E-2</v>
      </c>
      <c r="T20" s="88">
        <f t="shared" si="28"/>
        <v>2.2435897435897356E-2</v>
      </c>
      <c r="U20" s="88">
        <f t="shared" si="28"/>
        <v>-6.3926940639269403E-2</v>
      </c>
      <c r="V20" s="88">
        <f t="shared" si="28"/>
        <v>-0.18534482758620685</v>
      </c>
      <c r="W20" s="88">
        <f t="shared" si="28"/>
        <v>-4.1606886657101882E-2</v>
      </c>
      <c r="X20" s="88">
        <f t="shared" si="28"/>
        <v>5.6426332288401326E-2</v>
      </c>
      <c r="Y20" s="88">
        <f t="shared" si="28"/>
        <v>0.16422764227642284</v>
      </c>
      <c r="Z20" s="88">
        <f t="shared" si="29"/>
        <v>0.35626102292768969</v>
      </c>
      <c r="AA20" s="88">
        <f t="shared" si="29"/>
        <v>0.15269461077844304</v>
      </c>
      <c r="AB20" s="88">
        <f t="shared" si="29"/>
        <v>0.14540059347181011</v>
      </c>
      <c r="AC20" s="88">
        <f t="shared" si="30"/>
        <v>2.9329608938547524E-2</v>
      </c>
      <c r="AD20" s="88">
        <f t="shared" si="31"/>
        <v>0.10013003901170348</v>
      </c>
      <c r="AE20" s="88">
        <f t="shared" si="32"/>
        <v>0.15324675324675319</v>
      </c>
      <c r="AF20" s="88">
        <f t="shared" si="33"/>
        <v>-4.6632124352331661E-2</v>
      </c>
      <c r="AG20" s="88">
        <f t="shared" si="29"/>
        <v>6.7842605156038793E-3</v>
      </c>
      <c r="AH20" s="88">
        <f t="shared" si="34"/>
        <v>-1.0000000000000009E-2</v>
      </c>
      <c r="AI20" s="88">
        <f t="shared" si="35"/>
        <v>6.0000000000000053E-2</v>
      </c>
      <c r="AJ20" s="88">
        <f t="shared" si="36"/>
        <v>0.1100000000000001</v>
      </c>
      <c r="AP20" s="624" t="s">
        <v>105</v>
      </c>
      <c r="AQ20" s="88">
        <f t="shared" ref="AQ20:AZ20" si="40">+AQ11/AP11-1</f>
        <v>1.5138772077375906E-2</v>
      </c>
      <c r="AR20" s="88">
        <f t="shared" si="40"/>
        <v>1.7812758906379456E-2</v>
      </c>
      <c r="AS20" s="88">
        <f t="shared" si="40"/>
        <v>4.6805046805046713E-2</v>
      </c>
      <c r="AT20" s="88">
        <f t="shared" si="40"/>
        <v>7.1150855365474275E-2</v>
      </c>
      <c r="AU20" s="1490">
        <f t="shared" si="40"/>
        <v>-2.4319419237749496E-2</v>
      </c>
      <c r="AV20" s="1490">
        <f t="shared" si="40"/>
        <v>-6.1011904761904767E-2</v>
      </c>
      <c r="AW20" s="1490">
        <f t="shared" si="40"/>
        <v>0.19928684627575288</v>
      </c>
      <c r="AX20" s="1490">
        <f t="shared" si="40"/>
        <v>5.9464816650148578E-2</v>
      </c>
      <c r="AY20" s="88">
        <f>+AY11/AX11-1</f>
        <v>4.0779544745868312E-2</v>
      </c>
      <c r="AZ20" s="88">
        <f t="shared" si="40"/>
        <v>7.0000000000000062E-2</v>
      </c>
      <c r="BA20" s="88">
        <f t="shared" si="38"/>
        <v>5.0000000000000044E-2</v>
      </c>
      <c r="BB20" s="88">
        <f t="shared" si="39"/>
        <v>3.499999999999992E-2</v>
      </c>
    </row>
    <row r="21" spans="2:54" ht="11.25" customHeight="1">
      <c r="C21" s="624" t="s">
        <v>106</v>
      </c>
      <c r="E21" s="47"/>
      <c r="F21" s="568"/>
      <c r="G21" s="568"/>
      <c r="H21" s="568"/>
      <c r="I21" s="88">
        <f t="shared" si="28"/>
        <v>8.0645161290322509E-2</v>
      </c>
      <c r="J21" s="88">
        <f t="shared" si="28"/>
        <v>0.11058451816745651</v>
      </c>
      <c r="K21" s="88">
        <f t="shared" si="28"/>
        <v>9.0909090909090828E-2</v>
      </c>
      <c r="L21" s="88">
        <f t="shared" si="28"/>
        <v>2.488335925349916E-2</v>
      </c>
      <c r="M21" s="88">
        <f t="shared" si="28"/>
        <v>8.9552238805970186E-2</v>
      </c>
      <c r="N21" s="88">
        <f t="shared" si="28"/>
        <v>8.5348506401137225E-3</v>
      </c>
      <c r="O21" s="88">
        <f t="shared" si="28"/>
        <v>1.0057471264367734E-2</v>
      </c>
      <c r="P21" s="88">
        <f t="shared" si="28"/>
        <v>4.5523520485584168E-2</v>
      </c>
      <c r="Q21" s="88">
        <f t="shared" si="28"/>
        <v>-0.18904109589041096</v>
      </c>
      <c r="R21" s="88">
        <f t="shared" si="28"/>
        <v>-0.19322990126939354</v>
      </c>
      <c r="S21" s="88">
        <f t="shared" si="28"/>
        <v>-0.24182076813655762</v>
      </c>
      <c r="T21" s="88">
        <f t="shared" si="28"/>
        <v>-0.22496371552975325</v>
      </c>
      <c r="U21" s="88">
        <f t="shared" si="28"/>
        <v>-0.1283783783783784</v>
      </c>
      <c r="V21" s="88">
        <f t="shared" si="28"/>
        <v>-0.31468531468531469</v>
      </c>
      <c r="W21" s="88">
        <f t="shared" si="28"/>
        <v>-0.12945590994371481</v>
      </c>
      <c r="X21" s="88">
        <f t="shared" si="28"/>
        <v>-0.1179775280898876</v>
      </c>
      <c r="Y21" s="88">
        <f t="shared" si="28"/>
        <v>5.0387596899224896E-2</v>
      </c>
      <c r="Z21" s="88">
        <f t="shared" si="29"/>
        <v>0.70663265306122458</v>
      </c>
      <c r="AA21" s="88">
        <f t="shared" si="29"/>
        <v>0.4762931034482758</v>
      </c>
      <c r="AB21" s="88">
        <f t="shared" si="29"/>
        <v>0.51167728237791943</v>
      </c>
      <c r="AC21" s="88">
        <f t="shared" si="30"/>
        <v>0.31918819188191883</v>
      </c>
      <c r="AD21" s="88">
        <f t="shared" si="31"/>
        <v>0.15396113602391637</v>
      </c>
      <c r="AE21" s="88">
        <f t="shared" si="32"/>
        <v>-2.9197080291970767E-2</v>
      </c>
      <c r="AF21" s="88">
        <f t="shared" si="33"/>
        <v>-0.2078651685393258</v>
      </c>
      <c r="AG21" s="88">
        <f t="shared" si="29"/>
        <v>-0.17622377622377627</v>
      </c>
      <c r="AH21" s="88">
        <f t="shared" si="34"/>
        <v>-6.0000000000000053E-2</v>
      </c>
      <c r="AI21" s="88">
        <f t="shared" si="35"/>
        <v>-5.9999999999999942E-2</v>
      </c>
      <c r="AJ21" s="88">
        <f t="shared" si="36"/>
        <v>-6.0000000000000053E-2</v>
      </c>
      <c r="AP21" s="624" t="s">
        <v>106</v>
      </c>
      <c r="AQ21" s="88">
        <f t="shared" ref="AQ21:AZ21" si="41">+AQ12/AP12-1</f>
        <v>-7.3500329597890546E-2</v>
      </c>
      <c r="AR21" s="88">
        <f t="shared" si="41"/>
        <v>-9.8541444325862648E-2</v>
      </c>
      <c r="AS21" s="88">
        <f t="shared" si="41"/>
        <v>7.6558800315706499E-2</v>
      </c>
      <c r="AT21" s="88">
        <f t="shared" si="41"/>
        <v>3.7756598240469286E-2</v>
      </c>
      <c r="AU21" s="1490">
        <f t="shared" si="41"/>
        <v>-0.21193924408336273</v>
      </c>
      <c r="AV21" s="1490">
        <f t="shared" si="41"/>
        <v>-0.17391304347826086</v>
      </c>
      <c r="AW21" s="1490">
        <f t="shared" si="41"/>
        <v>0.41508410200759638</v>
      </c>
      <c r="AX21" s="1490">
        <f t="shared" si="41"/>
        <v>4.141104294478537E-2</v>
      </c>
      <c r="AY21" s="88">
        <f t="shared" si="41"/>
        <v>-9.059646539027999E-2</v>
      </c>
      <c r="AZ21" s="88">
        <f t="shared" si="41"/>
        <v>1.0000000000000009E-2</v>
      </c>
      <c r="BA21" s="88">
        <f t="shared" si="38"/>
        <v>1.0000000000000009E-2</v>
      </c>
      <c r="BB21" s="88">
        <f t="shared" si="39"/>
        <v>1.0000000000000009E-2</v>
      </c>
    </row>
    <row r="22" spans="2:54" ht="11.25" customHeight="1">
      <c r="C22" s="624" t="s">
        <v>107</v>
      </c>
      <c r="E22" s="47"/>
      <c r="F22" s="568"/>
      <c r="G22" s="568"/>
      <c r="H22" s="568"/>
      <c r="I22" s="88">
        <f t="shared" si="28"/>
        <v>-0.23928571428571432</v>
      </c>
      <c r="J22" s="88">
        <f t="shared" si="28"/>
        <v>-8.1196581196581241E-2</v>
      </c>
      <c r="K22" s="88">
        <f t="shared" si="28"/>
        <v>-9.6774193548387122E-2</v>
      </c>
      <c r="L22" s="88">
        <f t="shared" si="28"/>
        <v>-0.13043478260869568</v>
      </c>
      <c r="M22" s="88">
        <f t="shared" si="28"/>
        <v>0.15023474178403751</v>
      </c>
      <c r="N22" s="88">
        <f t="shared" si="28"/>
        <v>0.12093023255813962</v>
      </c>
      <c r="O22" s="88">
        <f t="shared" si="28"/>
        <v>-1.7857142857142905E-2</v>
      </c>
      <c r="P22" s="88">
        <f t="shared" si="28"/>
        <v>6.0000000000000053E-2</v>
      </c>
      <c r="Q22" s="88">
        <f t="shared" si="28"/>
        <v>-0.1306122448979592</v>
      </c>
      <c r="R22" s="88">
        <f t="shared" si="28"/>
        <v>-0.11618257261410792</v>
      </c>
      <c r="S22" s="88">
        <f t="shared" si="28"/>
        <v>-1.3636363636363669E-2</v>
      </c>
      <c r="T22" s="88">
        <f t="shared" si="28"/>
        <v>6.60377358490567E-2</v>
      </c>
      <c r="U22" s="88">
        <f t="shared" si="28"/>
        <v>-4.6948356807511304E-3</v>
      </c>
      <c r="V22" s="88">
        <f t="shared" si="28"/>
        <v>-9.3896713615023719E-3</v>
      </c>
      <c r="W22" s="88">
        <f t="shared" si="28"/>
        <v>-5.0691244239631339E-2</v>
      </c>
      <c r="X22" s="88">
        <f t="shared" si="28"/>
        <v>-7.9646017699115057E-2</v>
      </c>
      <c r="Y22" s="88">
        <f t="shared" si="28"/>
        <v>2.3584905660377409E-2</v>
      </c>
      <c r="Z22" s="88">
        <f t="shared" si="29"/>
        <v>5.6872037914691864E-2</v>
      </c>
      <c r="AA22" s="88">
        <f t="shared" si="29"/>
        <v>7.7669902912621325E-2</v>
      </c>
      <c r="AB22" s="88">
        <f t="shared" si="29"/>
        <v>0.14423076923076916</v>
      </c>
      <c r="AC22" s="88">
        <f t="shared" si="30"/>
        <v>-1.8433179723502335E-2</v>
      </c>
      <c r="AD22" s="88">
        <f t="shared" si="31"/>
        <v>8.5201793721973118E-2</v>
      </c>
      <c r="AE22" s="88">
        <f t="shared" si="32"/>
        <v>0.12612612612612617</v>
      </c>
      <c r="AF22" s="88">
        <f t="shared" si="33"/>
        <v>0.33193277310924363</v>
      </c>
      <c r="AG22" s="88">
        <f t="shared" si="29"/>
        <v>0.42253521126760574</v>
      </c>
      <c r="AH22" s="88">
        <f t="shared" si="34"/>
        <v>0.12999999999999989</v>
      </c>
      <c r="AI22" s="88">
        <f t="shared" si="35"/>
        <v>0.12000000000000011</v>
      </c>
      <c r="AJ22" s="88">
        <f t="shared" si="36"/>
        <v>2.0000000000000018E-2</v>
      </c>
      <c r="AP22" s="624" t="s">
        <v>107</v>
      </c>
      <c r="AQ22" s="88">
        <f t="shared" ref="AQ22:AZ22" si="42">+AQ13/AP13-1</f>
        <v>-0.16334934797529166</v>
      </c>
      <c r="AR22" s="88">
        <f t="shared" si="42"/>
        <v>-0.18621821164889252</v>
      </c>
      <c r="AS22" s="88">
        <f t="shared" si="42"/>
        <v>-0.1411290322580645</v>
      </c>
      <c r="AT22" s="88">
        <f t="shared" si="42"/>
        <v>7.7464788732394263E-2</v>
      </c>
      <c r="AU22" s="1490">
        <f t="shared" si="42"/>
        <v>-5.3376906318082784E-2</v>
      </c>
      <c r="AV22" s="1490">
        <f t="shared" si="42"/>
        <v>-3.6823935558112808E-2</v>
      </c>
      <c r="AW22" s="1490">
        <f t="shared" si="42"/>
        <v>7.5268817204301008E-2</v>
      </c>
      <c r="AX22" s="1490">
        <f t="shared" si="42"/>
        <v>0.13555555555555565</v>
      </c>
      <c r="AY22" s="88">
        <f t="shared" si="42"/>
        <v>0.15440313111545989</v>
      </c>
      <c r="AZ22" s="88">
        <f t="shared" si="42"/>
        <v>1.4999999999999902E-2</v>
      </c>
      <c r="BA22" s="88">
        <f t="shared" si="38"/>
        <v>1.5000000000000124E-2</v>
      </c>
      <c r="BB22" s="88">
        <f t="shared" si="39"/>
        <v>1.5000000000000124E-2</v>
      </c>
    </row>
    <row r="23" spans="2:54" ht="11.25" hidden="1" customHeight="1" outlineLevel="1">
      <c r="C23" s="624" t="s">
        <v>108</v>
      </c>
      <c r="E23" s="47"/>
      <c r="F23" s="568"/>
      <c r="G23" s="568"/>
      <c r="H23" s="568"/>
      <c r="I23" s="88">
        <f>IFERROR(+I14/E14-1,"NA  ")</f>
        <v>0.30000000000000004</v>
      </c>
      <c r="J23" s="88">
        <f>IFERROR(+J14/F14-1,"NA  ")</f>
        <v>0</v>
      </c>
      <c r="K23" s="88">
        <f>IFERROR(+K14/G14-1,"NA  ")</f>
        <v>0.18181818181818188</v>
      </c>
      <c r="L23" s="88">
        <f>IFERROR(+L14/H14-1,"NA  ")</f>
        <v>0.27272727272727271</v>
      </c>
      <c r="M23" s="569" t="s">
        <v>702</v>
      </c>
      <c r="N23" s="569" t="s">
        <v>702</v>
      </c>
      <c r="O23" s="569" t="s">
        <v>702</v>
      </c>
      <c r="P23" s="569" t="s">
        <v>702</v>
      </c>
      <c r="Q23" s="569" t="s">
        <v>702</v>
      </c>
      <c r="R23" s="569" t="s">
        <v>702</v>
      </c>
      <c r="S23" s="569" t="s">
        <v>702</v>
      </c>
      <c r="T23" s="569" t="s">
        <v>702</v>
      </c>
      <c r="U23" s="569" t="s">
        <v>702</v>
      </c>
      <c r="V23" s="569" t="s">
        <v>702</v>
      </c>
      <c r="W23" s="569" t="s">
        <v>702</v>
      </c>
      <c r="X23" s="569" t="s">
        <v>702</v>
      </c>
      <c r="Y23" s="569" t="s">
        <v>702</v>
      </c>
      <c r="Z23" s="569" t="s">
        <v>702</v>
      </c>
      <c r="AA23" s="569" t="s">
        <v>702</v>
      </c>
      <c r="AB23" s="569" t="s">
        <v>702</v>
      </c>
      <c r="AC23" s="569" t="s">
        <v>702</v>
      </c>
      <c r="AD23" s="569" t="s">
        <v>702</v>
      </c>
      <c r="AE23" s="569" t="s">
        <v>702</v>
      </c>
      <c r="AF23" s="569" t="s">
        <v>702</v>
      </c>
      <c r="AG23" s="569" t="s">
        <v>702</v>
      </c>
      <c r="AH23" s="569" t="s">
        <v>702</v>
      </c>
      <c r="AI23" s="569" t="s">
        <v>702</v>
      </c>
      <c r="AJ23" s="569" t="s">
        <v>702</v>
      </c>
      <c r="AP23" s="624" t="s">
        <v>108</v>
      </c>
      <c r="AQ23" s="88">
        <f t="shared" ref="AQ23:AS24" si="43">IFERROR(+AQ14/AP14-1,"NA  ")</f>
        <v>1.5</v>
      </c>
      <c r="AR23" s="88">
        <f t="shared" si="43"/>
        <v>2.2222222222222143E-2</v>
      </c>
      <c r="AS23" s="88">
        <f t="shared" si="43"/>
        <v>0.17391304347826098</v>
      </c>
      <c r="AT23" s="569" t="s">
        <v>727</v>
      </c>
      <c r="AU23" s="1491" t="str">
        <f t="shared" ref="AU23:AZ24" si="44">IFERROR(+AU14/AT14-1,"NA  ")</f>
        <v xml:space="preserve">NA  </v>
      </c>
      <c r="AV23" s="1491">
        <f t="shared" si="44"/>
        <v>-9.2066601371204704E-2</v>
      </c>
      <c r="AW23" s="1491">
        <f t="shared" si="44"/>
        <v>7.0118662351672079E-2</v>
      </c>
      <c r="AX23" s="1491">
        <f t="shared" si="44"/>
        <v>-0.83870967741935487</v>
      </c>
      <c r="AY23" s="569">
        <f t="shared" si="44"/>
        <v>-0.99375000000000002</v>
      </c>
      <c r="AZ23" s="569">
        <f t="shared" si="44"/>
        <v>-1</v>
      </c>
      <c r="BA23" s="569" t="str">
        <f t="shared" ref="BA23:BA24" si="45">IFERROR(+BA14/AZ14-1,"NA  ")</f>
        <v xml:space="preserve">NA  </v>
      </c>
      <c r="BB23" s="569" t="str">
        <f t="shared" ref="BB23:BB24" si="46">IFERROR(+BB14/BA14-1,"NA  ")</f>
        <v xml:space="preserve">NA  </v>
      </c>
    </row>
    <row r="24" spans="2:54" ht="11.25" customHeight="1" collapsed="1">
      <c r="C24" s="645" t="s">
        <v>168</v>
      </c>
      <c r="E24" s="650"/>
      <c r="F24" s="654"/>
      <c r="G24" s="654"/>
      <c r="H24" s="654"/>
      <c r="I24" s="655">
        <f t="shared" ref="I24:Y24" si="47">+I15/E15-1</f>
        <v>2.9964221824686943E-2</v>
      </c>
      <c r="J24" s="655">
        <f t="shared" si="47"/>
        <v>5.3112755768393471E-2</v>
      </c>
      <c r="K24" s="655">
        <f t="shared" si="47"/>
        <v>7.7831219938784502E-2</v>
      </c>
      <c r="L24" s="655">
        <f t="shared" si="47"/>
        <v>7.9524680073126186E-2</v>
      </c>
      <c r="M24" s="649">
        <f t="shared" si="47"/>
        <v>0.13200173686495864</v>
      </c>
      <c r="N24" s="649">
        <f t="shared" si="47"/>
        <v>8.3505580818520109E-2</v>
      </c>
      <c r="O24" s="649">
        <f t="shared" si="47"/>
        <v>3.326572008113593E-2</v>
      </c>
      <c r="P24" s="649">
        <f t="shared" si="47"/>
        <v>5.92718035563089E-3</v>
      </c>
      <c r="Q24" s="649">
        <f t="shared" si="47"/>
        <v>-8.7073264288454189E-2</v>
      </c>
      <c r="R24" s="649">
        <f t="shared" si="47"/>
        <v>-9.8435711560473149E-2</v>
      </c>
      <c r="S24" s="649">
        <f t="shared" si="47"/>
        <v>-8.7161366313309729E-2</v>
      </c>
      <c r="T24" s="649">
        <f t="shared" si="47"/>
        <v>-7.5757575757575801E-2</v>
      </c>
      <c r="U24" s="649">
        <f t="shared" si="47"/>
        <v>-5.840336134453783E-2</v>
      </c>
      <c r="V24" s="649">
        <f t="shared" si="47"/>
        <v>-0.1857807871349979</v>
      </c>
      <c r="W24" s="649">
        <f t="shared" si="47"/>
        <v>-8.7311827956989219E-2</v>
      </c>
      <c r="X24" s="649">
        <f t="shared" si="47"/>
        <v>-4.5537340619308253E-3</v>
      </c>
      <c r="Y24" s="649">
        <f t="shared" si="47"/>
        <v>7.4966532797858143E-2</v>
      </c>
      <c r="Z24" s="649">
        <f t="shared" ref="Z24:AG24" si="48">+Z15/V15-1</f>
        <v>0.37889812889812879</v>
      </c>
      <c r="AA24" s="649">
        <f t="shared" si="48"/>
        <v>0.28180961357210177</v>
      </c>
      <c r="AB24" s="649">
        <f t="shared" si="48"/>
        <v>0.23238792314730095</v>
      </c>
      <c r="AC24" s="649">
        <f t="shared" ref="AC24" si="49">+AC15/Y15-1</f>
        <v>0.1266085512660855</v>
      </c>
      <c r="AD24" s="649">
        <f t="shared" ref="AD24" si="50">+AD15/Z15-1</f>
        <v>4.9378062570674786E-2</v>
      </c>
      <c r="AE24" s="649">
        <f t="shared" ref="AE24" si="51">+AE15/AA15-1</f>
        <v>-4.0441176470588092E-3</v>
      </c>
      <c r="AF24" s="649">
        <f t="shared" ref="AF24" si="52">+AF15/AB15-1</f>
        <v>-0.11915367483296213</v>
      </c>
      <c r="AG24" s="649">
        <f t="shared" si="48"/>
        <v>-0.11127487103905676</v>
      </c>
      <c r="AH24" s="649">
        <f t="shared" ref="AH24" si="53">+AH15/AD15-1</f>
        <v>-2.8290229885057583E-2</v>
      </c>
      <c r="AI24" s="649">
        <f t="shared" ref="AI24" si="54">+AI15/AE15-1</f>
        <v>-4.0531561461794041E-3</v>
      </c>
      <c r="AJ24" s="649">
        <f t="shared" ref="AJ24" si="55">+AJ15/AF15-1</f>
        <v>1.2970922882427294E-2</v>
      </c>
      <c r="AP24" s="645" t="s">
        <v>168</v>
      </c>
      <c r="AQ24" s="655">
        <f t="shared" si="43"/>
        <v>1.270074525034115E-2</v>
      </c>
      <c r="AR24" s="655">
        <f t="shared" si="43"/>
        <v>-6.6334991708126068E-2</v>
      </c>
      <c r="AS24" s="655">
        <f t="shared" si="43"/>
        <v>6.0057726465364114E-2</v>
      </c>
      <c r="AT24" s="655">
        <f>IFERROR(+AT15/AS15-1,"NA  ")</f>
        <v>6.3043250602157208E-2</v>
      </c>
      <c r="AU24" s="1492">
        <f t="shared" si="44"/>
        <v>-8.7380553640035497E-2</v>
      </c>
      <c r="AV24" s="1492">
        <f t="shared" si="44"/>
        <v>-8.5384283246977555E-2</v>
      </c>
      <c r="AW24" s="1492">
        <f t="shared" si="44"/>
        <v>0.23639797002242413</v>
      </c>
      <c r="AX24" s="1492">
        <f t="shared" si="44"/>
        <v>9.9274532264221893E-3</v>
      </c>
      <c r="AY24" s="655">
        <f t="shared" si="44"/>
        <v>-3.411720226843129E-2</v>
      </c>
      <c r="AZ24" s="655">
        <f t="shared" si="44"/>
        <v>3.639838967261122E-2</v>
      </c>
      <c r="BA24" s="655">
        <f t="shared" si="45"/>
        <v>3.0337385529894512E-2</v>
      </c>
      <c r="BB24" s="655">
        <f t="shared" si="46"/>
        <v>2.5429595070579625E-2</v>
      </c>
    </row>
    <row r="25" spans="2:54" ht="11.25" customHeight="1">
      <c r="C25" s="623"/>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80"/>
      <c r="AL25" s="580"/>
      <c r="AM25" s="580"/>
      <c r="AN25" s="580"/>
      <c r="AO25" s="580"/>
      <c r="AP25" s="579"/>
      <c r="AQ25" s="579"/>
      <c r="AR25" s="579"/>
      <c r="AS25" s="579"/>
      <c r="AT25" s="579"/>
      <c r="AU25" s="1493"/>
      <c r="AV25" s="1493"/>
      <c r="AW25" s="1493"/>
      <c r="AX25" s="1493"/>
      <c r="AY25" s="579"/>
      <c r="AZ25" s="579"/>
      <c r="BA25" s="579"/>
      <c r="BB25" s="579"/>
    </row>
    <row r="26" spans="2:54" ht="11.25" customHeight="1">
      <c r="B26" s="27" t="s">
        <v>14</v>
      </c>
      <c r="C26" s="567" t="s">
        <v>865</v>
      </c>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P26" s="31"/>
      <c r="AQ26" s="94"/>
      <c r="AR26" s="94"/>
      <c r="AS26" s="94"/>
      <c r="AT26" s="94"/>
      <c r="AU26" s="1030"/>
      <c r="AV26" s="1030"/>
      <c r="AW26" s="1030"/>
      <c r="AX26" s="1030"/>
      <c r="AY26" s="94"/>
      <c r="AZ26" s="94"/>
      <c r="BA26" s="94"/>
      <c r="BB26" s="94"/>
    </row>
    <row r="27" spans="2:54" ht="11.25" customHeight="1">
      <c r="C27" s="25" t="s">
        <v>104</v>
      </c>
      <c r="E27" s="88">
        <f t="shared" ref="E27:X27" si="56">+E10/SUM(E$10:E$14)</f>
        <v>0.32960644007155637</v>
      </c>
      <c r="F27" s="88">
        <f t="shared" si="56"/>
        <v>0.33521985198084459</v>
      </c>
      <c r="G27" s="88">
        <f t="shared" si="56"/>
        <v>0.32881504153913421</v>
      </c>
      <c r="H27" s="88">
        <f t="shared" si="56"/>
        <v>0.32906764168190128</v>
      </c>
      <c r="I27" s="88">
        <f t="shared" si="56"/>
        <v>0.33564915327833261</v>
      </c>
      <c r="J27" s="88">
        <f t="shared" si="56"/>
        <v>0.34311699049193883</v>
      </c>
      <c r="K27" s="88">
        <f t="shared" si="56"/>
        <v>0.3594320486815416</v>
      </c>
      <c r="L27" s="88">
        <f t="shared" si="56"/>
        <v>0.36155800169348012</v>
      </c>
      <c r="M27" s="88">
        <f t="shared" si="56"/>
        <v>0.36018411967779057</v>
      </c>
      <c r="N27" s="88">
        <f t="shared" si="56"/>
        <v>0.35940480732544833</v>
      </c>
      <c r="O27" s="88">
        <f>+O10/SUM(O$10:O$14)</f>
        <v>0.35924617196702002</v>
      </c>
      <c r="P27" s="88">
        <f t="shared" si="56"/>
        <v>0.35816498316498319</v>
      </c>
      <c r="Q27" s="88">
        <f t="shared" si="56"/>
        <v>0.27310924369747897</v>
      </c>
      <c r="R27" s="88">
        <f t="shared" si="56"/>
        <v>0.26153195090986037</v>
      </c>
      <c r="S27" s="88">
        <f t="shared" si="56"/>
        <v>0.26623655913978495</v>
      </c>
      <c r="T27" s="88">
        <f>+T10/SUM(T$10:T$14)</f>
        <v>0.25865209471766848</v>
      </c>
      <c r="U27" s="88">
        <f t="shared" si="56"/>
        <v>0.28380187416331992</v>
      </c>
      <c r="V27" s="88">
        <f t="shared" si="56"/>
        <v>0.29469854469854467</v>
      </c>
      <c r="W27" s="88">
        <f t="shared" si="56"/>
        <v>0.2596606974552309</v>
      </c>
      <c r="X27" s="88">
        <f t="shared" si="56"/>
        <v>0.26898444647758463</v>
      </c>
      <c r="Y27" s="88">
        <f t="shared" ref="Y27:AB27" si="57">+Y10/SUM(Y$10:Y$14)</f>
        <v>0.27895392278953923</v>
      </c>
      <c r="Z27" s="88">
        <f t="shared" si="57"/>
        <v>0.27214474180173387</v>
      </c>
      <c r="AA27" s="88">
        <f t="shared" si="57"/>
        <v>0.28492647058823528</v>
      </c>
      <c r="AB27" s="88">
        <f t="shared" si="57"/>
        <v>0.28953229398663699</v>
      </c>
      <c r="AC27" s="88">
        <f t="shared" ref="AC27:AF27" si="58">+AC10/SUM(AC$10:AC$14)</f>
        <v>0.32756079587324982</v>
      </c>
      <c r="AD27" s="88">
        <f t="shared" si="58"/>
        <v>0.33189655172413796</v>
      </c>
      <c r="AE27" s="88">
        <f t="shared" si="58"/>
        <v>0.33444075304540422</v>
      </c>
      <c r="AF27" s="88">
        <f t="shared" si="58"/>
        <v>0.31858407079646017</v>
      </c>
      <c r="AG27" s="88">
        <f t="shared" ref="AG27:AJ27" si="59">+AG10/SUM(AG$10:AG$14)</f>
        <v>0.32213930348258707</v>
      </c>
      <c r="AH27" s="88">
        <f t="shared" si="59"/>
        <v>0.32106578344250419</v>
      </c>
      <c r="AI27" s="88">
        <f t="shared" si="59"/>
        <v>0.31565370160339806</v>
      </c>
      <c r="AJ27" s="88">
        <f t="shared" si="59"/>
        <v>0.30506951551306694</v>
      </c>
      <c r="AK27" s="458"/>
      <c r="AL27" s="458"/>
      <c r="AM27" s="458"/>
      <c r="AN27" s="458"/>
      <c r="AO27" s="458"/>
      <c r="AP27" s="88">
        <f t="shared" ref="AP27:AY27" si="60">+AP10/SUM(AP$10:AP$14)</f>
        <v>0.27710716909835204</v>
      </c>
      <c r="AQ27" s="88">
        <f t="shared" si="60"/>
        <v>0.32742537313432835</v>
      </c>
      <c r="AR27" s="88">
        <f t="shared" si="60"/>
        <v>0.33070603907637658</v>
      </c>
      <c r="AS27" s="88">
        <f t="shared" si="60"/>
        <v>0.35008901455649805</v>
      </c>
      <c r="AT27" s="88">
        <f t="shared" si="60"/>
        <v>0.35927494828095752</v>
      </c>
      <c r="AU27" s="1490">
        <f t="shared" si="60"/>
        <v>0.2650043177892919</v>
      </c>
      <c r="AV27" s="1490">
        <f t="shared" si="60"/>
        <v>0.27640741177859079</v>
      </c>
      <c r="AW27" s="1490">
        <f t="shared" si="60"/>
        <v>0.28150057273768614</v>
      </c>
      <c r="AX27" s="1490">
        <f t="shared" si="60"/>
        <v>0.32844990548204162</v>
      </c>
      <c r="AY27" s="88">
        <f t="shared" si="60"/>
        <v>0.31612754231317236</v>
      </c>
      <c r="AZ27" s="88">
        <f t="shared" ref="AZ27:BB27" si="61">+AZ10/SUM(AZ$10:AZ$14)</f>
        <v>0.3141758727408146</v>
      </c>
      <c r="BA27" s="88">
        <f t="shared" si="61"/>
        <v>0.31407299537773592</v>
      </c>
      <c r="BB27" s="88">
        <f t="shared" si="61"/>
        <v>0.3154728386952807</v>
      </c>
    </row>
    <row r="28" spans="2:54" ht="11.25" customHeight="1">
      <c r="C28" s="624" t="s">
        <v>105</v>
      </c>
      <c r="E28" s="88">
        <f t="shared" ref="E28:X28" si="62">+E11/SUM(E$10:E$14)</f>
        <v>0.26341681574239711</v>
      </c>
      <c r="F28" s="88">
        <f t="shared" si="62"/>
        <v>0.28123639529821504</v>
      </c>
      <c r="G28" s="88">
        <f t="shared" si="62"/>
        <v>0.27896808045474419</v>
      </c>
      <c r="H28" s="88">
        <f t="shared" si="62"/>
        <v>0.26691042047531993</v>
      </c>
      <c r="I28" s="88">
        <f t="shared" si="62"/>
        <v>0.27529309596178897</v>
      </c>
      <c r="J28" s="88">
        <f t="shared" si="62"/>
        <v>0.27159983464241422</v>
      </c>
      <c r="K28" s="88">
        <f t="shared" si="62"/>
        <v>0.2620689655172414</v>
      </c>
      <c r="L28" s="88">
        <f t="shared" si="62"/>
        <v>0.26883996613039796</v>
      </c>
      <c r="M28" s="88">
        <f t="shared" si="62"/>
        <v>0.26582278481012656</v>
      </c>
      <c r="N28" s="88">
        <f t="shared" si="62"/>
        <v>0.27813811522319726</v>
      </c>
      <c r="O28" s="88">
        <f>+O11/SUM(O$10:O$14)</f>
        <v>0.2783667059285434</v>
      </c>
      <c r="P28" s="88">
        <f t="shared" si="62"/>
        <v>0.26262626262626265</v>
      </c>
      <c r="Q28" s="88">
        <f t="shared" si="62"/>
        <v>0.27605042016806725</v>
      </c>
      <c r="R28" s="88">
        <f t="shared" si="62"/>
        <v>0.29454083791790098</v>
      </c>
      <c r="S28" s="88">
        <f t="shared" si="62"/>
        <v>0.29978494623655916</v>
      </c>
      <c r="T28" s="88">
        <f>+T11/SUM(T$10:T$14)</f>
        <v>0.29052823315118398</v>
      </c>
      <c r="U28" s="88">
        <f t="shared" si="62"/>
        <v>0.27443105756358771</v>
      </c>
      <c r="V28" s="88">
        <f t="shared" si="62"/>
        <v>0.29469854469854467</v>
      </c>
      <c r="W28" s="88">
        <f t="shared" si="62"/>
        <v>0.31479736098020733</v>
      </c>
      <c r="X28" s="88">
        <f t="shared" si="62"/>
        <v>0.30832570905763951</v>
      </c>
      <c r="Y28" s="88">
        <f t="shared" ref="Y28:AB28" si="63">+Y11/SUM(Y$10:Y$14)</f>
        <v>0.29721876297218763</v>
      </c>
      <c r="Z28" s="88">
        <f t="shared" si="63"/>
        <v>0.289860535243121</v>
      </c>
      <c r="AA28" s="88">
        <f t="shared" si="63"/>
        <v>0.28308823529411764</v>
      </c>
      <c r="AB28" s="88">
        <f t="shared" si="63"/>
        <v>0.28656273199703042</v>
      </c>
      <c r="AC28" s="88">
        <f t="shared" ref="AC28:AF28" si="64">+AC11/SUM(AC$10:AC$14)</f>
        <v>0.2715549005158438</v>
      </c>
      <c r="AD28" s="88">
        <f t="shared" si="64"/>
        <v>0.30387931034482757</v>
      </c>
      <c r="AE28" s="88">
        <f t="shared" si="64"/>
        <v>0.32779623477297898</v>
      </c>
      <c r="AF28" s="88">
        <f t="shared" si="64"/>
        <v>0.31015592077538978</v>
      </c>
      <c r="AG28" s="88">
        <f t="shared" ref="AG28:AJ28" si="65">+AG11/SUM(AG$10:AG$14)</f>
        <v>0.30762852404643448</v>
      </c>
      <c r="AH28" s="88">
        <f t="shared" si="65"/>
        <v>0.30959914831955759</v>
      </c>
      <c r="AI28" s="88">
        <f t="shared" si="65"/>
        <v>0.34887806613738964</v>
      </c>
      <c r="AJ28" s="88">
        <f t="shared" si="65"/>
        <v>0.33986471307690386</v>
      </c>
      <c r="AK28" s="458"/>
      <c r="AL28" s="458"/>
      <c r="AM28" s="458"/>
      <c r="AN28" s="458"/>
      <c r="AO28" s="458"/>
      <c r="AP28" s="88">
        <f t="shared" ref="AP28:AY28" si="66">+AP11/SUM(AP$10:AP$14)</f>
        <v>0.2496063818620762</v>
      </c>
      <c r="AQ28" s="88">
        <f t="shared" si="66"/>
        <v>0.25020729684908788</v>
      </c>
      <c r="AR28" s="88">
        <f t="shared" si="66"/>
        <v>0.27275754884547071</v>
      </c>
      <c r="AS28" s="88">
        <f t="shared" si="66"/>
        <v>0.26934757566237305</v>
      </c>
      <c r="AT28" s="88">
        <f t="shared" si="66"/>
        <v>0.27140183233178999</v>
      </c>
      <c r="AU28" s="1490">
        <f t="shared" si="66"/>
        <v>0.29015544041450775</v>
      </c>
      <c r="AV28" s="1490">
        <f t="shared" si="66"/>
        <v>0.29788740705771272</v>
      </c>
      <c r="AW28" s="1490">
        <f t="shared" si="66"/>
        <v>0.28894616265750284</v>
      </c>
      <c r="AX28" s="1490">
        <f t="shared" si="66"/>
        <v>0.30311909262759923</v>
      </c>
      <c r="AY28" s="88">
        <f t="shared" si="66"/>
        <v>0.32662363587969129</v>
      </c>
      <c r="AZ28" s="88">
        <f t="shared" ref="AZ28:BB28" si="67">+AZ11/SUM(AZ$10:AZ$14)</f>
        <v>0.33721327037344156</v>
      </c>
      <c r="BA28" s="88">
        <f t="shared" si="67"/>
        <v>0.3436485357755083</v>
      </c>
      <c r="BB28" s="88">
        <f t="shared" si="67"/>
        <v>0.34685583119255509</v>
      </c>
    </row>
    <row r="29" spans="2:54" ht="11.25" customHeight="1">
      <c r="C29" s="624" t="s">
        <v>106</v>
      </c>
      <c r="E29" s="88">
        <f t="shared" ref="E29:X29" si="68">+E12/SUM(E$10:E$14)</f>
        <v>0.2772808586762075</v>
      </c>
      <c r="F29" s="88">
        <f t="shared" si="68"/>
        <v>0.27557683935568134</v>
      </c>
      <c r="G29" s="88">
        <f t="shared" si="68"/>
        <v>0.27896808045474419</v>
      </c>
      <c r="H29" s="88">
        <f t="shared" si="68"/>
        <v>0.29387568555758686</v>
      </c>
      <c r="I29" s="88">
        <f t="shared" si="68"/>
        <v>0.29092488059053406</v>
      </c>
      <c r="J29" s="88">
        <f t="shared" si="68"/>
        <v>0.29061595700702769</v>
      </c>
      <c r="K29" s="88">
        <f t="shared" si="68"/>
        <v>0.28235294117647058</v>
      </c>
      <c r="L29" s="88">
        <f t="shared" si="68"/>
        <v>0.27900084674005082</v>
      </c>
      <c r="M29" s="88">
        <f t="shared" si="68"/>
        <v>0.28001534330648253</v>
      </c>
      <c r="N29" s="88">
        <f t="shared" si="68"/>
        <v>0.2705074399084319</v>
      </c>
      <c r="O29" s="88">
        <f>+O12/SUM(O$10:O$14)</f>
        <v>0.27601099332548096</v>
      </c>
      <c r="P29" s="88">
        <f t="shared" si="68"/>
        <v>0.28998316498316501</v>
      </c>
      <c r="Q29" s="88">
        <f t="shared" si="68"/>
        <v>0.24873949579831933</v>
      </c>
      <c r="R29" s="88">
        <f t="shared" si="68"/>
        <v>0.24206517139229794</v>
      </c>
      <c r="S29" s="88">
        <f t="shared" si="68"/>
        <v>0.22924731182795699</v>
      </c>
      <c r="T29" s="88">
        <f>+T12/SUM(T$10:T$14)</f>
        <v>0.24316939890710382</v>
      </c>
      <c r="U29" s="88">
        <f t="shared" si="68"/>
        <v>0.23025435073627845</v>
      </c>
      <c r="V29" s="88">
        <f t="shared" si="68"/>
        <v>0.20374220374220375</v>
      </c>
      <c r="W29" s="88">
        <f t="shared" si="68"/>
        <v>0.21866163996229973</v>
      </c>
      <c r="X29" s="88">
        <f t="shared" si="68"/>
        <v>0.21546203110704484</v>
      </c>
      <c r="Y29" s="88">
        <f t="shared" ref="Y29:AB29" si="69">+Y12/SUM(Y$10:Y$14)</f>
        <v>0.22498962224989622</v>
      </c>
      <c r="Z29" s="88">
        <f t="shared" si="69"/>
        <v>0.25216735770825482</v>
      </c>
      <c r="AA29" s="88">
        <f t="shared" si="69"/>
        <v>0.25183823529411764</v>
      </c>
      <c r="AB29" s="88">
        <f t="shared" si="69"/>
        <v>0.26429101707498143</v>
      </c>
      <c r="AC29" s="88">
        <f t="shared" ref="AC29:AF29" si="70">+AC12/SUM(AC$10:AC$14)</f>
        <v>0.26344878408253503</v>
      </c>
      <c r="AD29" s="88">
        <f t="shared" si="70"/>
        <v>0.27729885057471265</v>
      </c>
      <c r="AE29" s="88">
        <f t="shared" si="70"/>
        <v>0.2454780361757106</v>
      </c>
      <c r="AF29" s="88">
        <f t="shared" si="70"/>
        <v>0.23767383059418457</v>
      </c>
      <c r="AG29" s="88">
        <f t="shared" ref="AG29:AJ29" si="71">+AG12/SUM(AG$10:AG$14)</f>
        <v>0.24419568822553897</v>
      </c>
      <c r="AH29" s="88">
        <f t="shared" si="71"/>
        <v>0.26824976711862902</v>
      </c>
      <c r="AI29" s="88">
        <f t="shared" si="71"/>
        <v>0.23168842336231757</v>
      </c>
      <c r="AJ29" s="88">
        <f t="shared" si="71"/>
        <v>0.2205526296083668</v>
      </c>
      <c r="AK29" s="458"/>
      <c r="AL29" s="458"/>
      <c r="AM29" s="458"/>
      <c r="AN29" s="458"/>
      <c r="AO29" s="458"/>
      <c r="AP29" s="88">
        <f t="shared" ref="AP29:AY29" si="72">+AP12/SUM(AP$10:AP$14)</f>
        <v>0.31846331478954548</v>
      </c>
      <c r="AQ29" s="88">
        <f t="shared" si="72"/>
        <v>0.29135572139303484</v>
      </c>
      <c r="AR29" s="88">
        <f t="shared" si="72"/>
        <v>0.28130550621669625</v>
      </c>
      <c r="AS29" s="88">
        <f t="shared" si="72"/>
        <v>0.28568436485495863</v>
      </c>
      <c r="AT29" s="88">
        <f t="shared" si="72"/>
        <v>0.27888877943059798</v>
      </c>
      <c r="AU29" s="1490">
        <f t="shared" si="72"/>
        <v>0.24082469775474957</v>
      </c>
      <c r="AV29" s="1490">
        <f t="shared" si="72"/>
        <v>0.21751445768913019</v>
      </c>
      <c r="AW29" s="1490">
        <f t="shared" si="72"/>
        <v>0.24894998090874379</v>
      </c>
      <c r="AX29" s="1490">
        <f t="shared" si="72"/>
        <v>0.25671077504725898</v>
      </c>
      <c r="AY29" s="88">
        <f t="shared" si="72"/>
        <v>0.24169980741830938</v>
      </c>
      <c r="AZ29" s="88">
        <f t="shared" ref="AZ29:BB29" si="73">+AZ12/SUM(AZ$10:AZ$14)</f>
        <v>0.23554340485766939</v>
      </c>
      <c r="BA29" s="88">
        <f t="shared" si="73"/>
        <v>0.23089411511928837</v>
      </c>
      <c r="BB29" s="88">
        <f t="shared" si="73"/>
        <v>0.2274198612869468</v>
      </c>
    </row>
    <row r="30" spans="2:54" ht="11.25" customHeight="1">
      <c r="C30" s="624" t="s">
        <v>107</v>
      </c>
      <c r="E30" s="88">
        <f t="shared" ref="E30:X30" si="74">+E13/SUM(E$10:E$14)</f>
        <v>0.12522361359570661</v>
      </c>
      <c r="F30" s="88">
        <f t="shared" si="74"/>
        <v>0.10187200696560732</v>
      </c>
      <c r="G30" s="88">
        <f t="shared" si="74"/>
        <v>0.10843900306077832</v>
      </c>
      <c r="H30" s="88">
        <f t="shared" si="74"/>
        <v>0.10511882998171847</v>
      </c>
      <c r="I30" s="88">
        <f t="shared" si="74"/>
        <v>9.2488059053408594E-2</v>
      </c>
      <c r="J30" s="88">
        <f t="shared" si="74"/>
        <v>8.8879702356345597E-2</v>
      </c>
      <c r="K30" s="88">
        <f t="shared" si="74"/>
        <v>9.0872210953346855E-2</v>
      </c>
      <c r="L30" s="88">
        <f t="shared" si="74"/>
        <v>8.4674005080440304E-2</v>
      </c>
      <c r="M30" s="88">
        <f t="shared" si="74"/>
        <v>9.3977752205600312E-2</v>
      </c>
      <c r="N30" s="88">
        <f t="shared" si="74"/>
        <v>9.1949637542922555E-2</v>
      </c>
      <c r="O30" s="88">
        <f>+O13/SUM(O$10:O$14)</f>
        <v>8.6376128778955633E-2</v>
      </c>
      <c r="P30" s="88">
        <f t="shared" si="74"/>
        <v>8.9225589225589222E-2</v>
      </c>
      <c r="Q30" s="88">
        <f t="shared" si="74"/>
        <v>8.9495798319327732E-2</v>
      </c>
      <c r="R30" s="88">
        <f t="shared" si="74"/>
        <v>9.013965298349555E-2</v>
      </c>
      <c r="S30" s="88">
        <f t="shared" si="74"/>
        <v>9.3333333333333338E-2</v>
      </c>
      <c r="T30" s="88">
        <f>+T13/SUM(T$10:T$14)</f>
        <v>0.1029143897996357</v>
      </c>
      <c r="U30" s="88">
        <f t="shared" si="74"/>
        <v>9.4600624721106655E-2</v>
      </c>
      <c r="V30" s="88">
        <f t="shared" si="74"/>
        <v>0.10966735966735967</v>
      </c>
      <c r="W30" s="88">
        <f t="shared" si="74"/>
        <v>9.7078228086710655E-2</v>
      </c>
      <c r="X30" s="88">
        <f t="shared" si="74"/>
        <v>9.5150960658737418E-2</v>
      </c>
      <c r="Y30" s="88">
        <f t="shared" ref="Y30:AB30" si="75">+Y13/SUM(Y$10:Y$14)</f>
        <v>9.0078870900788713E-2</v>
      </c>
      <c r="Z30" s="88">
        <f t="shared" si="75"/>
        <v>8.4055785902751604E-2</v>
      </c>
      <c r="AA30" s="88">
        <f t="shared" si="75"/>
        <v>8.1617647058823531E-2</v>
      </c>
      <c r="AB30" s="88">
        <f t="shared" si="75"/>
        <v>8.8344469190794361E-2</v>
      </c>
      <c r="AC30" s="88">
        <f t="shared" ref="AC30:AF30" si="76">+AC13/SUM(AC$10:AC$14)</f>
        <v>7.8481945467944E-2</v>
      </c>
      <c r="AD30" s="88">
        <f t="shared" si="76"/>
        <v>8.6925287356321837E-2</v>
      </c>
      <c r="AE30" s="88">
        <f t="shared" si="76"/>
        <v>9.2284976005906239E-2</v>
      </c>
      <c r="AF30" s="88">
        <f t="shared" si="76"/>
        <v>0.13358617783396545</v>
      </c>
      <c r="AG30" s="88">
        <f t="shared" ref="AG30:AJ30" si="77">+AG13/SUM(AG$10:AG$14)</f>
        <v>0.12562189054726369</v>
      </c>
      <c r="AH30" s="88">
        <f t="shared" si="77"/>
        <v>0.10108530111930919</v>
      </c>
      <c r="AI30" s="88">
        <f t="shared" si="77"/>
        <v>0.10377980889689475</v>
      </c>
      <c r="AJ30" s="88">
        <f t="shared" si="77"/>
        <v>0.13451314180166235</v>
      </c>
      <c r="AK30" s="458"/>
      <c r="AL30" s="458"/>
      <c r="AM30" s="458"/>
      <c r="AN30" s="458"/>
      <c r="AO30" s="458"/>
      <c r="AP30" s="88">
        <f t="shared" ref="AP30:AY30" si="78">+AP13/SUM(AP$10:AP$14)</f>
        <v>0.15293376718799201</v>
      </c>
      <c r="AQ30" s="88">
        <f t="shared" si="78"/>
        <v>0.1263474295190713</v>
      </c>
      <c r="AR30" s="88">
        <f t="shared" si="78"/>
        <v>0.11012433392539965</v>
      </c>
      <c r="AS30" s="88">
        <f t="shared" si="78"/>
        <v>8.9224002513352177E-2</v>
      </c>
      <c r="AT30" s="88">
        <f t="shared" si="78"/>
        <v>9.0434439956654511E-2</v>
      </c>
      <c r="AU30" s="1490">
        <f t="shared" si="78"/>
        <v>9.3803972366148528E-2</v>
      </c>
      <c r="AV30" s="1490">
        <f t="shared" si="78"/>
        <v>9.8784373893544206E-2</v>
      </c>
      <c r="AW30" s="1490">
        <f t="shared" si="78"/>
        <v>8.5910652920962199E-2</v>
      </c>
      <c r="AX30" s="1490">
        <f t="shared" si="78"/>
        <v>9.6597353497164459E-2</v>
      </c>
      <c r="AY30" s="88">
        <f t="shared" si="78"/>
        <v>0.11545115783870112</v>
      </c>
      <c r="AZ30" s="88">
        <f t="shared" ref="AZ30:BB30" si="79">+AZ13/SUM(AZ$10:AZ$14)</f>
        <v>0.11306745202807449</v>
      </c>
      <c r="BA30" s="88">
        <f t="shared" si="79"/>
        <v>0.11138435372746729</v>
      </c>
      <c r="BB30" s="88">
        <f t="shared" si="79"/>
        <v>0.1102514688252174</v>
      </c>
    </row>
    <row r="31" spans="2:54" ht="11.25" customHeight="1">
      <c r="C31" s="624" t="s">
        <v>108</v>
      </c>
      <c r="E31" s="88">
        <f t="shared" ref="E31:X31" si="80">+E14/SUM(E$10:E$14)</f>
        <v>4.4722719141323791E-3</v>
      </c>
      <c r="F31" s="88">
        <f t="shared" si="80"/>
        <v>6.0949063996517195E-3</v>
      </c>
      <c r="G31" s="88">
        <f t="shared" si="80"/>
        <v>4.809794490599038E-3</v>
      </c>
      <c r="H31" s="88">
        <f t="shared" si="80"/>
        <v>5.0274223034734921E-3</v>
      </c>
      <c r="I31" s="88">
        <f t="shared" si="80"/>
        <v>5.6448111159357363E-3</v>
      </c>
      <c r="J31" s="88">
        <f t="shared" si="80"/>
        <v>5.7875155022736671E-3</v>
      </c>
      <c r="K31" s="88">
        <f t="shared" si="80"/>
        <v>5.2738336713995942E-3</v>
      </c>
      <c r="L31" s="88">
        <f t="shared" si="80"/>
        <v>5.9271803556308214E-3</v>
      </c>
      <c r="M31" s="88">
        <f t="shared" si="80"/>
        <v>0</v>
      </c>
      <c r="N31" s="88">
        <f t="shared" si="80"/>
        <v>0</v>
      </c>
      <c r="O31" s="88">
        <f>+O14/SUM(O$10:O$14)</f>
        <v>0</v>
      </c>
      <c r="P31" s="88">
        <f t="shared" si="80"/>
        <v>0</v>
      </c>
      <c r="Q31" s="88">
        <f t="shared" si="80"/>
        <v>0.11260504201680673</v>
      </c>
      <c r="R31" s="88">
        <f t="shared" si="80"/>
        <v>0.11172238679644519</v>
      </c>
      <c r="S31" s="88">
        <f t="shared" si="80"/>
        <v>0.1113978494623656</v>
      </c>
      <c r="T31" s="88">
        <f>+T14/SUM(T$10:T$14)</f>
        <v>0.10473588342440801</v>
      </c>
      <c r="U31" s="88">
        <f t="shared" si="80"/>
        <v>0.11691209281570727</v>
      </c>
      <c r="V31" s="88">
        <f t="shared" si="80"/>
        <v>9.7193347193347199E-2</v>
      </c>
      <c r="W31" s="88">
        <f t="shared" si="80"/>
        <v>0.10980207351555137</v>
      </c>
      <c r="X31" s="88">
        <f t="shared" si="80"/>
        <v>0.11207685269899359</v>
      </c>
      <c r="Y31" s="88">
        <f t="shared" ref="Y31:AB31" si="81">+Y14/SUM(Y$10:Y$14)</f>
        <v>0.10875882108758821</v>
      </c>
      <c r="Z31" s="88">
        <f t="shared" si="81"/>
        <v>0.1017715793441387</v>
      </c>
      <c r="AA31" s="88">
        <f t="shared" si="81"/>
        <v>9.8529411764705879E-2</v>
      </c>
      <c r="AB31" s="88">
        <f t="shared" si="81"/>
        <v>7.126948775055679E-2</v>
      </c>
      <c r="AC31" s="88">
        <f t="shared" ref="AC31:AF31" si="82">+AC14/SUM(AC$10:AC$14)</f>
        <v>5.8953574060427415E-2</v>
      </c>
      <c r="AD31" s="88">
        <f t="shared" si="82"/>
        <v>0</v>
      </c>
      <c r="AE31" s="88">
        <f t="shared" si="82"/>
        <v>0</v>
      </c>
      <c r="AF31" s="88">
        <f t="shared" si="82"/>
        <v>0</v>
      </c>
      <c r="AG31" s="88">
        <f t="shared" ref="AG31:AJ31" si="83">+AG14/SUM(AG$10:AG$14)</f>
        <v>4.1459369817578774E-4</v>
      </c>
      <c r="AH31" s="88">
        <f t="shared" si="83"/>
        <v>0</v>
      </c>
      <c r="AI31" s="88">
        <f t="shared" si="83"/>
        <v>0</v>
      </c>
      <c r="AJ31" s="88">
        <f t="shared" si="83"/>
        <v>0</v>
      </c>
      <c r="AK31" s="458"/>
      <c r="AL31" s="458"/>
      <c r="AM31" s="458"/>
      <c r="AN31" s="458"/>
      <c r="AO31" s="458"/>
      <c r="AP31" s="88">
        <f t="shared" ref="AP31:AY31" si="84">+AP14/SUM(AP$10:AP$14)</f>
        <v>1.8893670620342186E-3</v>
      </c>
      <c r="AQ31" s="88">
        <f t="shared" si="84"/>
        <v>4.6641791044776115E-3</v>
      </c>
      <c r="AR31" s="88">
        <f t="shared" si="84"/>
        <v>5.1065719360568387E-3</v>
      </c>
      <c r="AS31" s="88">
        <f t="shared" si="84"/>
        <v>5.6550424128180964E-3</v>
      </c>
      <c r="AT31" s="88">
        <f t="shared" si="84"/>
        <v>0</v>
      </c>
      <c r="AU31" s="1490">
        <f t="shared" si="84"/>
        <v>0.11021157167530224</v>
      </c>
      <c r="AV31" s="1490">
        <f t="shared" si="84"/>
        <v>0.10940634958102206</v>
      </c>
      <c r="AW31" s="1490">
        <f t="shared" si="84"/>
        <v>9.4692630775105008E-2</v>
      </c>
      <c r="AX31" s="1490">
        <f t="shared" si="84"/>
        <v>1.5122873345935728E-2</v>
      </c>
      <c r="AY31" s="88">
        <f t="shared" si="84"/>
        <v>9.7856550126039266E-5</v>
      </c>
      <c r="AZ31" s="88">
        <f t="shared" ref="AZ31:BB31" si="85">+AZ14/SUM(AZ$10:AZ$14)</f>
        <v>0</v>
      </c>
      <c r="BA31" s="88">
        <f t="shared" si="85"/>
        <v>0</v>
      </c>
      <c r="BB31" s="88">
        <f t="shared" si="85"/>
        <v>0</v>
      </c>
    </row>
    <row r="32" spans="2:54" ht="11.25" customHeight="1">
      <c r="C32" s="645" t="s">
        <v>168</v>
      </c>
      <c r="E32" s="647">
        <f>SUM(E27:E31)</f>
        <v>0.99999999999999978</v>
      </c>
      <c r="F32" s="647">
        <f t="shared" ref="F32:X32" si="86">SUM(F27:F31)</f>
        <v>0.99999999999999989</v>
      </c>
      <c r="G32" s="647">
        <f t="shared" si="86"/>
        <v>1</v>
      </c>
      <c r="H32" s="647">
        <f t="shared" si="86"/>
        <v>1</v>
      </c>
      <c r="I32" s="647">
        <f t="shared" si="86"/>
        <v>0.99999999999999989</v>
      </c>
      <c r="J32" s="647">
        <f t="shared" si="86"/>
        <v>1</v>
      </c>
      <c r="K32" s="647">
        <f t="shared" si="86"/>
        <v>1</v>
      </c>
      <c r="L32" s="647">
        <f t="shared" si="86"/>
        <v>1</v>
      </c>
      <c r="M32" s="647">
        <f t="shared" si="86"/>
        <v>0.99999999999999989</v>
      </c>
      <c r="N32" s="647">
        <f t="shared" si="86"/>
        <v>1</v>
      </c>
      <c r="O32" s="647">
        <f>SUM(O27:O31)</f>
        <v>1</v>
      </c>
      <c r="P32" s="647">
        <f t="shared" si="86"/>
        <v>1.0000000000000002</v>
      </c>
      <c r="Q32" s="647">
        <f t="shared" si="86"/>
        <v>1</v>
      </c>
      <c r="R32" s="647">
        <f t="shared" si="86"/>
        <v>1</v>
      </c>
      <c r="S32" s="647">
        <f t="shared" si="86"/>
        <v>1</v>
      </c>
      <c r="T32" s="647">
        <f>SUM(T27:T31)</f>
        <v>1</v>
      </c>
      <c r="U32" s="647">
        <f t="shared" si="86"/>
        <v>1</v>
      </c>
      <c r="V32" s="647">
        <f t="shared" si="86"/>
        <v>0.99999999999999989</v>
      </c>
      <c r="W32" s="647">
        <f t="shared" si="86"/>
        <v>0.99999999999999989</v>
      </c>
      <c r="X32" s="647">
        <f t="shared" si="86"/>
        <v>1</v>
      </c>
      <c r="Y32" s="647">
        <f t="shared" ref="Y32:AB32" si="87">SUM(Y27:Y31)</f>
        <v>0.99999999999999989</v>
      </c>
      <c r="Z32" s="647">
        <f t="shared" si="87"/>
        <v>1</v>
      </c>
      <c r="AA32" s="647">
        <f t="shared" si="87"/>
        <v>1</v>
      </c>
      <c r="AB32" s="647">
        <f t="shared" si="87"/>
        <v>1.0000000000000002</v>
      </c>
      <c r="AC32" s="647">
        <f t="shared" ref="AC32:AF32" si="88">SUM(AC27:AC31)</f>
        <v>1</v>
      </c>
      <c r="AD32" s="647">
        <f t="shared" si="88"/>
        <v>1</v>
      </c>
      <c r="AE32" s="647">
        <f t="shared" si="88"/>
        <v>1</v>
      </c>
      <c r="AF32" s="647">
        <f t="shared" si="88"/>
        <v>0.99999999999999989</v>
      </c>
      <c r="AG32" s="647">
        <f t="shared" ref="AG32:AJ32" si="89">SUM(AG27:AG31)</f>
        <v>0.99999999999999989</v>
      </c>
      <c r="AH32" s="647">
        <f t="shared" si="89"/>
        <v>1</v>
      </c>
      <c r="AI32" s="647">
        <f t="shared" si="89"/>
        <v>1</v>
      </c>
      <c r="AJ32" s="647">
        <f t="shared" si="89"/>
        <v>1</v>
      </c>
      <c r="AP32" s="647">
        <f t="shared" ref="AP32:AY32" si="90">SUM(AP27:AP31)</f>
        <v>1</v>
      </c>
      <c r="AQ32" s="647">
        <f t="shared" si="90"/>
        <v>1</v>
      </c>
      <c r="AR32" s="647">
        <f t="shared" si="90"/>
        <v>1</v>
      </c>
      <c r="AS32" s="647">
        <f t="shared" si="90"/>
        <v>1</v>
      </c>
      <c r="AT32" s="647">
        <f t="shared" si="90"/>
        <v>1</v>
      </c>
      <c r="AU32" s="647">
        <f t="shared" si="90"/>
        <v>1</v>
      </c>
      <c r="AV32" s="647">
        <f t="shared" si="90"/>
        <v>0.99999999999999989</v>
      </c>
      <c r="AW32" s="647">
        <f t="shared" si="90"/>
        <v>1</v>
      </c>
      <c r="AX32" s="647">
        <f t="shared" si="90"/>
        <v>1</v>
      </c>
      <c r="AY32" s="647">
        <f t="shared" si="90"/>
        <v>1.0000000000000002</v>
      </c>
      <c r="AZ32" s="647">
        <f t="shared" ref="AZ32:BB32" si="91">SUM(AZ27:AZ31)</f>
        <v>1.0000000000000002</v>
      </c>
      <c r="BA32" s="647">
        <f t="shared" si="91"/>
        <v>0.99999999999999989</v>
      </c>
      <c r="BB32" s="647">
        <f t="shared" si="91"/>
        <v>1</v>
      </c>
    </row>
    <row r="33" spans="2:59" ht="11.25" customHeight="1">
      <c r="C33" s="645"/>
      <c r="E33" s="653"/>
      <c r="F33" s="653"/>
      <c r="G33" s="653"/>
      <c r="H33" s="653"/>
      <c r="I33" s="653"/>
      <c r="J33" s="653"/>
      <c r="K33" s="653"/>
      <c r="L33" s="653"/>
      <c r="M33" s="653"/>
      <c r="N33" s="653"/>
      <c r="O33" s="653"/>
      <c r="P33" s="653"/>
      <c r="Q33" s="653"/>
      <c r="R33" s="653"/>
      <c r="S33" s="653"/>
      <c r="T33" s="653"/>
      <c r="U33" s="653"/>
      <c r="V33" s="653"/>
      <c r="W33" s="653"/>
      <c r="X33" s="653"/>
      <c r="Y33" s="653"/>
      <c r="Z33" s="653"/>
      <c r="AA33" s="653"/>
      <c r="AB33" s="653"/>
      <c r="AC33" s="653"/>
      <c r="AD33" s="653"/>
      <c r="AE33" s="653"/>
      <c r="AF33" s="653"/>
      <c r="AG33" s="653"/>
      <c r="AH33" s="653"/>
      <c r="AI33" s="653"/>
      <c r="AJ33" s="653"/>
      <c r="AP33" s="653"/>
      <c r="AQ33" s="653"/>
      <c r="AR33" s="653"/>
      <c r="AS33" s="653"/>
      <c r="AT33" s="653"/>
      <c r="AU33" s="653"/>
      <c r="AV33" s="653"/>
      <c r="AW33" s="653"/>
      <c r="AX33" s="653"/>
      <c r="AY33" s="653"/>
      <c r="AZ33" s="653"/>
      <c r="BA33" s="653"/>
      <c r="BB33" s="653"/>
    </row>
    <row r="34" spans="2:59" ht="11.25" customHeight="1">
      <c r="B34" s="27" t="s">
        <v>14</v>
      </c>
      <c r="C34" s="623" t="s">
        <v>356</v>
      </c>
      <c r="E34" s="579"/>
      <c r="F34" s="579"/>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80"/>
      <c r="AL34" s="580"/>
      <c r="AM34" s="580"/>
      <c r="AN34" s="580"/>
      <c r="AO34" s="580"/>
      <c r="BE34" s="24" t="s">
        <v>628</v>
      </c>
    </row>
    <row r="35" spans="2:59" ht="11.25" customHeight="1">
      <c r="C35" s="25" t="s">
        <v>104</v>
      </c>
      <c r="E35" s="212">
        <f>+Financials!E278</f>
        <v>151</v>
      </c>
      <c r="F35" s="212">
        <f>+Financials!F278</f>
        <v>168</v>
      </c>
      <c r="G35" s="212">
        <f>+Financials!G278</f>
        <v>160</v>
      </c>
      <c r="H35" s="212">
        <f>+Financials!H278</f>
        <v>132</v>
      </c>
      <c r="I35" s="212">
        <f>+Financials!I278</f>
        <v>153</v>
      </c>
      <c r="J35" s="212">
        <f>+Financials!J278</f>
        <v>161</v>
      </c>
      <c r="K35" s="212">
        <f>+Financials!K278</f>
        <v>186</v>
      </c>
      <c r="L35" s="212">
        <f>+Financials!L278</f>
        <v>161</v>
      </c>
      <c r="M35" s="212">
        <f>+Financials!M278</f>
        <v>178</v>
      </c>
      <c r="N35" s="212">
        <f>+Financials!N278</f>
        <v>188</v>
      </c>
      <c r="O35" s="212">
        <f>+Financials!O278</f>
        <v>182</v>
      </c>
      <c r="P35" s="212">
        <f>+Financials!P278</f>
        <v>123</v>
      </c>
      <c r="Q35" s="212">
        <f>+Financials!Q278</f>
        <v>123</v>
      </c>
      <c r="R35" s="212">
        <f>+Financials!R278</f>
        <v>122</v>
      </c>
      <c r="S35" s="212">
        <f>+Financials!S278</f>
        <v>118</v>
      </c>
      <c r="T35" s="212">
        <f>+Financials!T278</f>
        <v>92</v>
      </c>
      <c r="U35" s="212">
        <f>+Financials!U278</f>
        <v>137</v>
      </c>
      <c r="V35" s="212">
        <f>+Financials!V278</f>
        <v>104</v>
      </c>
      <c r="W35" s="212">
        <f>+Financials!W278</f>
        <v>96</v>
      </c>
      <c r="X35" s="212">
        <f>+Financials!X278</f>
        <v>106</v>
      </c>
      <c r="Y35" s="212">
        <f>+Financials!Y278</f>
        <v>124</v>
      </c>
      <c r="Z35" s="212">
        <f>+Financials!Z278</f>
        <v>116</v>
      </c>
      <c r="AA35" s="212">
        <f>+Financials!AA278</f>
        <v>131</v>
      </c>
      <c r="AB35" s="212">
        <f>+Financials!AB278</f>
        <v>113</v>
      </c>
      <c r="AC35" s="212">
        <f>+Financials!AC278</f>
        <v>167</v>
      </c>
      <c r="AD35" s="212">
        <f>+Financials!AD278</f>
        <v>160</v>
      </c>
      <c r="AE35" s="212">
        <f>+Financials!AE278</f>
        <v>143</v>
      </c>
      <c r="AF35" s="212">
        <f>+Financials!AF278</f>
        <v>76</v>
      </c>
      <c r="AG35" s="212">
        <f>+Financials!AG278</f>
        <v>124</v>
      </c>
      <c r="AH35" s="212">
        <f>+Financials!AH278</f>
        <v>138.96959999999999</v>
      </c>
      <c r="AI35" s="212">
        <f>+Financials!AI278</f>
        <v>136.26240000000001</v>
      </c>
      <c r="AJ35" s="212">
        <f>+Financials!AJ278</f>
        <v>117.33120000000001</v>
      </c>
      <c r="AL35" s="212">
        <f>'Historical Segment'!E13</f>
        <v>204</v>
      </c>
      <c r="AM35" s="212">
        <f>'Historical Segment'!F13</f>
        <v>215</v>
      </c>
      <c r="AN35" s="212">
        <f>'Historical Segment'!G13</f>
        <v>285</v>
      </c>
      <c r="AO35" s="212">
        <f>'Historical Segment'!H13</f>
        <v>405</v>
      </c>
      <c r="AP35" s="212">
        <f>+Financials!AL278</f>
        <v>539</v>
      </c>
      <c r="AQ35" s="212">
        <f>+Financials!AM278</f>
        <v>660</v>
      </c>
      <c r="AR35" s="212">
        <f>+Financials!AN278</f>
        <v>611</v>
      </c>
      <c r="AS35" s="212">
        <f>+Financials!AO278</f>
        <v>661</v>
      </c>
      <c r="AT35" s="212">
        <f>+Financials!AP278</f>
        <v>671</v>
      </c>
      <c r="AU35" s="212">
        <f>+Financials!AQ278</f>
        <v>455</v>
      </c>
      <c r="AV35" s="212">
        <f>+Financials!AR278</f>
        <v>443</v>
      </c>
      <c r="AW35" s="212">
        <f>+Financials!AS278</f>
        <v>484</v>
      </c>
      <c r="AX35" s="212">
        <f>+Financials!AT278</f>
        <v>546</v>
      </c>
      <c r="AY35" s="212">
        <f>+Financials!AU278</f>
        <v>516.56320000000005</v>
      </c>
      <c r="AZ35" s="212">
        <f>+Financials!AV278</f>
        <v>499.11533999999995</v>
      </c>
      <c r="BA35" s="212">
        <f>+Financials!AW278</f>
        <v>548.36138688000005</v>
      </c>
      <c r="BB35" s="212">
        <f>+Financials!AX278</f>
        <v>564.81222848640004</v>
      </c>
      <c r="BC35" s="63">
        <f t="shared" ref="BC35:BC40" si="92">RATE(YEARFRAC($AP$6,$AX$6,1),,-AP35,AX35)</f>
        <v>1.6141042076865451E-3</v>
      </c>
      <c r="BD35" s="63"/>
      <c r="BE35" s="29">
        <v>510</v>
      </c>
      <c r="BF35" s="135">
        <f>AY35</f>
        <v>516.56320000000005</v>
      </c>
    </row>
    <row r="36" spans="2:59" ht="11.25" customHeight="1">
      <c r="C36" s="624" t="s">
        <v>105</v>
      </c>
      <c r="E36" s="212">
        <f>+Financials!E380</f>
        <v>108</v>
      </c>
      <c r="F36" s="212">
        <f>+Financials!F380</f>
        <v>132</v>
      </c>
      <c r="G36" s="212">
        <f>+Financials!G380</f>
        <v>141</v>
      </c>
      <c r="H36" s="212">
        <f>+Financials!H380</f>
        <v>90</v>
      </c>
      <c r="I36" s="212">
        <f>+Financials!I380</f>
        <v>121</v>
      </c>
      <c r="J36" s="212">
        <f>+Financials!J380</f>
        <v>137</v>
      </c>
      <c r="K36" s="212">
        <f>+Financials!K380</f>
        <v>142</v>
      </c>
      <c r="L36" s="212">
        <f>+Financials!L380</f>
        <v>94</v>
      </c>
      <c r="M36" s="212">
        <f>+Financials!M380</f>
        <v>138</v>
      </c>
      <c r="N36" s="212">
        <f>+Financials!N380</f>
        <v>144</v>
      </c>
      <c r="O36" s="212">
        <f>+Financials!O380</f>
        <v>147</v>
      </c>
      <c r="P36" s="212">
        <f>+Financials!P380</f>
        <v>72</v>
      </c>
      <c r="Q36" s="212">
        <f>+Financials!Q380</f>
        <v>102</v>
      </c>
      <c r="R36" s="212">
        <f>+Financials!R380</f>
        <v>145</v>
      </c>
      <c r="S36" s="212">
        <f>+Financials!S380</f>
        <v>159</v>
      </c>
      <c r="T36" s="212">
        <f>+Financials!T380</f>
        <v>112</v>
      </c>
      <c r="U36" s="212">
        <f>+Financials!U380</f>
        <v>107</v>
      </c>
      <c r="V36" s="212">
        <f>+Financials!V380</f>
        <v>64</v>
      </c>
      <c r="W36" s="212">
        <f>+Financials!W380</f>
        <v>139</v>
      </c>
      <c r="X36" s="212">
        <f>+Financials!X380</f>
        <v>138</v>
      </c>
      <c r="Y36" s="212">
        <f>+Financials!Y380</f>
        <v>151</v>
      </c>
      <c r="Z36" s="212">
        <f>+Financials!Z380</f>
        <v>153</v>
      </c>
      <c r="AA36" s="212">
        <f>+Financials!AA380</f>
        <v>128</v>
      </c>
      <c r="AB36" s="212">
        <f>+Financials!AB380</f>
        <v>100</v>
      </c>
      <c r="AC36" s="212">
        <f>+Financials!AC380</f>
        <v>62</v>
      </c>
      <c r="AD36" s="212">
        <f>+Financials!AD380</f>
        <v>158</v>
      </c>
      <c r="AE36" s="212">
        <f>+Financials!AE380</f>
        <v>132</v>
      </c>
      <c r="AF36" s="212">
        <f>+Financials!AF380</f>
        <v>43</v>
      </c>
      <c r="AG36" s="212">
        <f>+Financials!AG380</f>
        <v>86</v>
      </c>
      <c r="AH36" s="212">
        <f>+Financials!AH380</f>
        <v>125.63099999999999</v>
      </c>
      <c r="AI36" s="212">
        <f>+Financials!AI380</f>
        <v>160.01760000000002</v>
      </c>
      <c r="AJ36" s="212">
        <f>+Financials!AJ380</f>
        <v>106.20480000000001</v>
      </c>
      <c r="AK36" s="579"/>
      <c r="AL36" s="212">
        <f>'Historical Segment'!E28</f>
        <v>103</v>
      </c>
      <c r="AM36" s="212">
        <f>'Historical Segment'!F28</f>
        <v>125</v>
      </c>
      <c r="AN36" s="212">
        <f>'Historical Segment'!G28</f>
        <v>84</v>
      </c>
      <c r="AO36" s="212">
        <f>'Historical Segment'!H28</f>
        <v>257</v>
      </c>
      <c r="AP36" s="212">
        <f>+Financials!AL380</f>
        <v>293</v>
      </c>
      <c r="AQ36" s="212">
        <f>+Financials!AM380</f>
        <v>384</v>
      </c>
      <c r="AR36" s="212">
        <f>+Financials!AN380</f>
        <v>471</v>
      </c>
      <c r="AS36" s="212">
        <f>+Financials!AO380</f>
        <v>494</v>
      </c>
      <c r="AT36" s="212">
        <f>+Financials!AP380</f>
        <v>501</v>
      </c>
      <c r="AU36" s="212">
        <f>+Financials!AQ380</f>
        <v>518</v>
      </c>
      <c r="AV36" s="212">
        <f>+Financials!AR380</f>
        <v>448</v>
      </c>
      <c r="AW36" s="212">
        <f>+Financials!AS380</f>
        <v>532</v>
      </c>
      <c r="AX36" s="212">
        <f>+Financials!AT380</f>
        <v>395</v>
      </c>
      <c r="AY36" s="212">
        <f>+Financials!AU380</f>
        <v>477.85339999999997</v>
      </c>
      <c r="AZ36" s="212">
        <f>+Financials!AV380</f>
        <v>535.71368999999993</v>
      </c>
      <c r="BA36" s="212">
        <f>+Financials!AW380</f>
        <v>562.49937449999993</v>
      </c>
      <c r="BB36" s="212">
        <f>+Financials!AX380</f>
        <v>620.99930944799996</v>
      </c>
      <c r="BC36" s="63">
        <f t="shared" si="92"/>
        <v>3.8042060661133373E-2</v>
      </c>
      <c r="BD36" s="63"/>
      <c r="BE36" s="29">
        <v>525</v>
      </c>
      <c r="BF36" s="135">
        <f t="shared" ref="BF36:BF38" si="93">AY36</f>
        <v>477.85339999999997</v>
      </c>
    </row>
    <row r="37" spans="2:59" ht="11.25" customHeight="1">
      <c r="C37" s="624" t="s">
        <v>106</v>
      </c>
      <c r="E37" s="212">
        <f>+Financials!E461</f>
        <v>67</v>
      </c>
      <c r="F37" s="212">
        <f>+Financials!F461</f>
        <v>15</v>
      </c>
      <c r="G37" s="212">
        <f>+Financials!G461</f>
        <v>39</v>
      </c>
      <c r="H37" s="212">
        <f>+Financials!H461</f>
        <v>50</v>
      </c>
      <c r="I37" s="212">
        <f>+Financials!I461</f>
        <v>82</v>
      </c>
      <c r="J37" s="212">
        <f>+Financials!J461</f>
        <v>83</v>
      </c>
      <c r="K37" s="212">
        <f>+Financials!K461</f>
        <v>81</v>
      </c>
      <c r="L37" s="212">
        <f>+Financials!L461</f>
        <v>53</v>
      </c>
      <c r="M37" s="212">
        <f>+Financials!M461</f>
        <v>89</v>
      </c>
      <c r="N37" s="212">
        <f>+Financials!N461</f>
        <v>64</v>
      </c>
      <c r="O37" s="212">
        <f>+Financials!O461</f>
        <v>79</v>
      </c>
      <c r="P37" s="212">
        <f>+Financials!P461</f>
        <v>46</v>
      </c>
      <c r="Q37" s="212">
        <f>+Financials!Q461</f>
        <v>66</v>
      </c>
      <c r="R37" s="212">
        <f>+Financials!R461</f>
        <v>50</v>
      </c>
      <c r="S37" s="212">
        <f>+Financials!S461</f>
        <v>25</v>
      </c>
      <c r="T37" s="212">
        <f>+Financials!T461</f>
        <v>18</v>
      </c>
      <c r="U37" s="212">
        <f>+Financials!U461</f>
        <v>60</v>
      </c>
      <c r="V37" s="212">
        <f>+Financials!V461</f>
        <v>0</v>
      </c>
      <c r="W37" s="212">
        <f>+Financials!W461</f>
        <v>26</v>
      </c>
      <c r="X37" s="212">
        <f>+Financials!X461</f>
        <v>27</v>
      </c>
      <c r="Y37" s="212">
        <f>+Financials!Y461</f>
        <v>56</v>
      </c>
      <c r="Z37" s="212">
        <f>+Financials!Z461</f>
        <v>138</v>
      </c>
      <c r="AA37" s="212">
        <f>+Financials!AA461</f>
        <v>132</v>
      </c>
      <c r="AB37" s="212">
        <f>+Financials!AB461</f>
        <v>102</v>
      </c>
      <c r="AC37" s="212">
        <f>+Financials!AC461</f>
        <v>113</v>
      </c>
      <c r="AD37" s="212">
        <f>+Financials!AD461</f>
        <v>143</v>
      </c>
      <c r="AE37" s="212">
        <f>+Financials!AE461</f>
        <v>69</v>
      </c>
      <c r="AF37" s="212">
        <f>+Financials!AF461</f>
        <v>24</v>
      </c>
      <c r="AG37" s="212">
        <f>+Financials!AG461</f>
        <v>42</v>
      </c>
      <c r="AH37" s="212">
        <f>+Financials!AH461</f>
        <v>58.054399999999994</v>
      </c>
      <c r="AI37" s="212">
        <f>+Financials!AI461</f>
        <v>50.008000000000003</v>
      </c>
      <c r="AJ37" s="212">
        <f>+Financials!AJ461</f>
        <v>42.412799999999997</v>
      </c>
      <c r="AK37" s="579"/>
      <c r="AL37" s="212"/>
      <c r="AM37" s="212"/>
      <c r="AN37" s="212"/>
      <c r="AO37" s="212"/>
      <c r="AP37" s="212">
        <f>+Financials!AL461</f>
        <v>360</v>
      </c>
      <c r="AQ37" s="212">
        <f>+Financials!AM461</f>
        <v>294</v>
      </c>
      <c r="AR37" s="212">
        <f>+Financials!AN461</f>
        <v>171</v>
      </c>
      <c r="AS37" s="212">
        <f>+Financials!AO461</f>
        <v>299</v>
      </c>
      <c r="AT37" s="212">
        <f>+Financials!AP461</f>
        <v>278</v>
      </c>
      <c r="AU37" s="212">
        <f>+Financials!AQ461</f>
        <v>159</v>
      </c>
      <c r="AV37" s="212">
        <f>+Financials!AR461</f>
        <v>113</v>
      </c>
      <c r="AW37" s="212">
        <f>+Financials!AS461</f>
        <v>428</v>
      </c>
      <c r="AX37" s="212">
        <f>+Financials!AT461</f>
        <v>349</v>
      </c>
      <c r="AY37" s="212">
        <f>+Financials!AU461</f>
        <v>192.4752</v>
      </c>
      <c r="AZ37" s="212">
        <f>+Financials!AV461</f>
        <v>199.57115199999998</v>
      </c>
      <c r="BA37" s="212">
        <f>+Financials!AW461</f>
        <v>201.56686351999997</v>
      </c>
      <c r="BB37" s="212">
        <f>+Financials!AX461</f>
        <v>203.58253215519994</v>
      </c>
      <c r="BC37" s="63">
        <f t="shared" si="92"/>
        <v>-3.8712061318219547E-3</v>
      </c>
      <c r="BD37" s="63"/>
      <c r="BE37" s="29">
        <v>175</v>
      </c>
      <c r="BF37" s="135">
        <f t="shared" si="93"/>
        <v>192.4752</v>
      </c>
    </row>
    <row r="38" spans="2:59" ht="11.25" customHeight="1">
      <c r="C38" s="624" t="s">
        <v>107</v>
      </c>
      <c r="E38" s="212">
        <f>+Financials!E539</f>
        <v>86</v>
      </c>
      <c r="F38" s="212">
        <f>+Financials!F539</f>
        <v>72</v>
      </c>
      <c r="G38" s="212">
        <f>+Financials!G539</f>
        <v>79</v>
      </c>
      <c r="H38" s="212">
        <f>+Financials!H539</f>
        <v>73</v>
      </c>
      <c r="I38" s="212">
        <f>+Financials!I539</f>
        <v>52</v>
      </c>
      <c r="J38" s="212">
        <f>+Financials!J539</f>
        <v>56</v>
      </c>
      <c r="K38" s="212">
        <f>+Financials!K539</f>
        <v>68</v>
      </c>
      <c r="L38" s="212">
        <f>+Financials!L539</f>
        <v>54</v>
      </c>
      <c r="M38" s="212">
        <f>+Financials!M539</f>
        <v>56</v>
      </c>
      <c r="N38" s="212">
        <f>+Financials!N539</f>
        <v>58</v>
      </c>
      <c r="O38" s="212">
        <f>+Financials!O539</f>
        <v>57</v>
      </c>
      <c r="P38" s="212">
        <f>+Financials!P539</f>
        <v>48</v>
      </c>
      <c r="Q38" s="212">
        <f>+Financials!Q539</f>
        <v>42</v>
      </c>
      <c r="R38" s="212">
        <f>+Financials!R539</f>
        <v>51</v>
      </c>
      <c r="S38" s="212">
        <f>+Financials!S539</f>
        <v>51</v>
      </c>
      <c r="T38" s="212">
        <f>+Financials!T539</f>
        <v>50</v>
      </c>
      <c r="U38" s="212">
        <f>+Financials!U539</f>
        <v>53</v>
      </c>
      <c r="V38" s="212">
        <f>+Financials!V539</f>
        <v>46</v>
      </c>
      <c r="W38" s="212">
        <f>+Financials!W539</f>
        <v>41</v>
      </c>
      <c r="X38" s="212">
        <f>+Financials!X539</f>
        <v>40</v>
      </c>
      <c r="Y38" s="212">
        <f>+Financials!Y539</f>
        <v>45</v>
      </c>
      <c r="Z38" s="212">
        <f>+Financials!Z539</f>
        <v>37</v>
      </c>
      <c r="AA38" s="212">
        <f>+Financials!AA539</f>
        <v>32</v>
      </c>
      <c r="AB38" s="212">
        <f>+Financials!AB539</f>
        <v>28</v>
      </c>
      <c r="AC38" s="212">
        <f>+Financials!AC539</f>
        <v>24</v>
      </c>
      <c r="AD38" s="212">
        <f>+Financials!AD539</f>
        <v>37</v>
      </c>
      <c r="AE38" s="212">
        <f>+Financials!AE539</f>
        <v>21</v>
      </c>
      <c r="AF38" s="212">
        <f>+Financials!AF539</f>
        <v>58</v>
      </c>
      <c r="AG38" s="212">
        <f>+Financials!AG539</f>
        <v>94</v>
      </c>
      <c r="AH38" s="212">
        <f>+Financials!AH539</f>
        <v>73.834199999999996</v>
      </c>
      <c r="AI38" s="212">
        <f>+Financials!AI539</f>
        <v>75.600000000000009</v>
      </c>
      <c r="AJ38" s="212">
        <f>+Financials!AJ539</f>
        <v>87.3018</v>
      </c>
      <c r="AK38" s="579"/>
      <c r="AL38" s="212">
        <f>'Historical Segment'!E43</f>
        <v>339</v>
      </c>
      <c r="AM38" s="212">
        <f>'Historical Segment'!F43</f>
        <v>365</v>
      </c>
      <c r="AN38" s="212">
        <f>'Historical Segment'!G43</f>
        <v>385</v>
      </c>
      <c r="AO38" s="212">
        <f>'Historical Segment'!H43</f>
        <v>462</v>
      </c>
      <c r="AP38" s="212">
        <f>+Financials!AL539</f>
        <v>474</v>
      </c>
      <c r="AQ38" s="212">
        <f>+Financials!AM539</f>
        <v>390</v>
      </c>
      <c r="AR38" s="212">
        <f>+Financials!AN539</f>
        <v>310</v>
      </c>
      <c r="AS38" s="212">
        <f>+Financials!AO539</f>
        <v>230</v>
      </c>
      <c r="AT38" s="212">
        <f>+Financials!AP539</f>
        <v>219</v>
      </c>
      <c r="AU38" s="212">
        <f>+Financials!AQ539</f>
        <v>194</v>
      </c>
      <c r="AV38" s="212">
        <f>+Financials!AR539</f>
        <v>180</v>
      </c>
      <c r="AW38" s="212">
        <f>+Financials!AS539</f>
        <v>142</v>
      </c>
      <c r="AX38" s="212">
        <f>+Financials!AT539</f>
        <v>140</v>
      </c>
      <c r="AY38" s="212">
        <f>+Financials!AU539</f>
        <v>330.73600000000005</v>
      </c>
      <c r="AZ38" s="212">
        <f>+Financials!AV539</f>
        <v>335.29915999999997</v>
      </c>
      <c r="BA38" s="212">
        <f>+Financials!AW539</f>
        <v>340.32864740000002</v>
      </c>
      <c r="BB38" s="212">
        <f>+Financials!AX539</f>
        <v>357.77049057924995</v>
      </c>
      <c r="BC38" s="63">
        <f t="shared" si="92"/>
        <v>-0.14138445532408028</v>
      </c>
      <c r="BD38" s="63"/>
      <c r="BE38" s="29">
        <v>350</v>
      </c>
      <c r="BF38" s="135">
        <f t="shared" si="93"/>
        <v>330.73600000000005</v>
      </c>
      <c r="BG38" s="63"/>
    </row>
    <row r="39" spans="2:59" ht="11.25" customHeight="1">
      <c r="C39" s="624" t="s">
        <v>108</v>
      </c>
      <c r="E39" s="212">
        <f>+Financials!E609</f>
        <v>-6</v>
      </c>
      <c r="F39" s="212">
        <f>+Financials!F609</f>
        <v>-11</v>
      </c>
      <c r="G39" s="212">
        <f>+Financials!G609</f>
        <v>-3</v>
      </c>
      <c r="H39" s="212">
        <f>+Financials!H609</f>
        <v>-9</v>
      </c>
      <c r="I39" s="212">
        <f>+Financials!I609</f>
        <v>-7</v>
      </c>
      <c r="J39" s="212">
        <f>+Financials!J609</f>
        <v>-17</v>
      </c>
      <c r="K39" s="212">
        <f>+Financials!K609</f>
        <v>-16</v>
      </c>
      <c r="L39" s="212">
        <f>+Financials!L609</f>
        <v>-9</v>
      </c>
      <c r="M39" s="212">
        <f>+Financials!M609</f>
        <v>-2</v>
      </c>
      <c r="N39" s="212">
        <f>+Financials!N609</f>
        <v>-7</v>
      </c>
      <c r="O39" s="212">
        <f>+Financials!O609</f>
        <v>-14</v>
      </c>
      <c r="P39" s="212">
        <f>+Financials!P609</f>
        <v>-13</v>
      </c>
      <c r="Q39" s="212">
        <f>+Financials!Q609</f>
        <v>19</v>
      </c>
      <c r="R39" s="212">
        <f>+Financials!R609</f>
        <v>21</v>
      </c>
      <c r="S39" s="212">
        <f>+Financials!S609</f>
        <v>16</v>
      </c>
      <c r="T39" s="212">
        <f>+Financials!T609</f>
        <v>7</v>
      </c>
      <c r="U39" s="212">
        <f>+Financials!U609</f>
        <v>25</v>
      </c>
      <c r="V39" s="212">
        <f>+Financials!V609</f>
        <v>-19</v>
      </c>
      <c r="W39" s="212">
        <f>+Financials!W609</f>
        <v>8</v>
      </c>
      <c r="X39" s="212">
        <f>+Financials!X609</f>
        <v>18</v>
      </c>
      <c r="Y39" s="212">
        <f>+Financials!Y609</f>
        <v>24</v>
      </c>
      <c r="Z39" s="212">
        <f>+Financials!Z609</f>
        <v>5</v>
      </c>
      <c r="AA39" s="212">
        <f>+Financials!AA609</f>
        <v>19</v>
      </c>
      <c r="AB39" s="212">
        <f>+Financials!AB609</f>
        <v>-14</v>
      </c>
      <c r="AC39" s="212">
        <f>+Financials!AC609</f>
        <v>0</v>
      </c>
      <c r="AD39" s="212">
        <f>+Financials!AD609</f>
        <v>-29</v>
      </c>
      <c r="AE39" s="212">
        <f>+Financials!AE609</f>
        <v>-32</v>
      </c>
      <c r="AF39" s="212">
        <f>+Financials!AF609</f>
        <v>-30</v>
      </c>
      <c r="AG39" s="212">
        <f>+Financials!AG609</f>
        <v>-63</v>
      </c>
      <c r="AH39" s="212">
        <f>+Financials!AH609</f>
        <v>-13.526199999999999</v>
      </c>
      <c r="AI39" s="212">
        <f>+Financials!AI609</f>
        <v>-13.4901</v>
      </c>
      <c r="AJ39" s="212">
        <f>+Financials!AJ609</f>
        <v>-12.018900000000002</v>
      </c>
      <c r="AK39" s="579"/>
      <c r="AL39" s="579"/>
      <c r="AM39" s="579"/>
      <c r="AN39" s="579"/>
      <c r="AO39" s="579"/>
      <c r="AP39" s="212">
        <f>+Financials!AL609</f>
        <v>-53</v>
      </c>
      <c r="AQ39" s="212">
        <f>+Financials!AM609</f>
        <v>-36</v>
      </c>
      <c r="AR39" s="212">
        <f>+Financials!AN609</f>
        <v>-29</v>
      </c>
      <c r="AS39" s="212">
        <f>+Financials!AO609</f>
        <v>-49</v>
      </c>
      <c r="AT39" s="212">
        <f>+Financials!AP609</f>
        <v>-36</v>
      </c>
      <c r="AU39" s="212">
        <f>+Financials!AQ609</f>
        <v>63</v>
      </c>
      <c r="AV39" s="212">
        <f>+Financials!AR609</f>
        <v>32</v>
      </c>
      <c r="AW39" s="212">
        <f>+Financials!AS609</f>
        <v>34</v>
      </c>
      <c r="AX39" s="212">
        <f>+Financials!AT609</f>
        <v>-91</v>
      </c>
      <c r="AY39" s="212">
        <f>+Financials!AU609</f>
        <v>-102.0352</v>
      </c>
      <c r="AZ39" s="212">
        <f>+Financials!AV609</f>
        <v>-52.954982999999991</v>
      </c>
      <c r="BA39" s="212">
        <f>+Financials!AW609</f>
        <v>-54.561498735000008</v>
      </c>
      <c r="BB39" s="212">
        <f>+Financials!AX609</f>
        <v>-55.948975554274995</v>
      </c>
      <c r="BC39" s="63">
        <f t="shared" si="92"/>
        <v>6.9900667716422143E-2</v>
      </c>
      <c r="BF39" s="135"/>
    </row>
    <row r="40" spans="2:59" ht="11.25" customHeight="1">
      <c r="C40" s="645" t="s">
        <v>168</v>
      </c>
      <c r="E40" s="32">
        <f t="shared" ref="E40:O40" si="94">SUM(E35:E39)</f>
        <v>406</v>
      </c>
      <c r="F40" s="32">
        <f t="shared" si="94"/>
        <v>376</v>
      </c>
      <c r="G40" s="32">
        <f t="shared" si="94"/>
        <v>416</v>
      </c>
      <c r="H40" s="32">
        <f t="shared" si="94"/>
        <v>336</v>
      </c>
      <c r="I40" s="32">
        <f t="shared" si="94"/>
        <v>401</v>
      </c>
      <c r="J40" s="32">
        <f t="shared" si="94"/>
        <v>420</v>
      </c>
      <c r="K40" s="32">
        <f t="shared" si="94"/>
        <v>461</v>
      </c>
      <c r="L40" s="32">
        <f t="shared" si="94"/>
        <v>353</v>
      </c>
      <c r="M40" s="32">
        <f t="shared" si="94"/>
        <v>459</v>
      </c>
      <c r="N40" s="32">
        <f t="shared" si="94"/>
        <v>447</v>
      </c>
      <c r="O40" s="32">
        <f t="shared" si="94"/>
        <v>451</v>
      </c>
      <c r="P40" s="32">
        <f t="shared" ref="P40:AB40" si="95">SUM(P35:P39)</f>
        <v>276</v>
      </c>
      <c r="Q40" s="32">
        <f t="shared" si="95"/>
        <v>352</v>
      </c>
      <c r="R40" s="32">
        <f t="shared" si="95"/>
        <v>389</v>
      </c>
      <c r="S40" s="32">
        <f t="shared" si="95"/>
        <v>369</v>
      </c>
      <c r="T40" s="32">
        <f t="shared" si="95"/>
        <v>279</v>
      </c>
      <c r="U40" s="32">
        <f t="shared" si="95"/>
        <v>382</v>
      </c>
      <c r="V40" s="32">
        <f t="shared" si="95"/>
        <v>195</v>
      </c>
      <c r="W40" s="32">
        <f t="shared" si="95"/>
        <v>310</v>
      </c>
      <c r="X40" s="32">
        <f t="shared" si="95"/>
        <v>329</v>
      </c>
      <c r="Y40" s="32">
        <f t="shared" si="95"/>
        <v>400</v>
      </c>
      <c r="Z40" s="32">
        <f t="shared" si="95"/>
        <v>449</v>
      </c>
      <c r="AA40" s="32">
        <f t="shared" si="95"/>
        <v>442</v>
      </c>
      <c r="AB40" s="32">
        <f t="shared" si="95"/>
        <v>329</v>
      </c>
      <c r="AC40" s="32">
        <f t="shared" ref="AC40:AF40" si="96">SUM(AC35:AC39)</f>
        <v>366</v>
      </c>
      <c r="AD40" s="32">
        <f t="shared" si="96"/>
        <v>469</v>
      </c>
      <c r="AE40" s="32">
        <f t="shared" si="96"/>
        <v>333</v>
      </c>
      <c r="AF40" s="32">
        <f t="shared" si="96"/>
        <v>171</v>
      </c>
      <c r="AG40" s="32">
        <f t="shared" ref="AG40:AJ40" si="97">SUM(AG35:AG39)</f>
        <v>283</v>
      </c>
      <c r="AH40" s="32">
        <f t="shared" si="97"/>
        <v>382.96299999999997</v>
      </c>
      <c r="AI40" s="32">
        <f t="shared" si="97"/>
        <v>408.39790000000005</v>
      </c>
      <c r="AJ40" s="32">
        <f t="shared" si="97"/>
        <v>341.23170000000005</v>
      </c>
      <c r="AK40" s="580"/>
      <c r="AL40" s="580"/>
      <c r="AM40" s="580"/>
      <c r="AN40" s="580"/>
      <c r="AO40" s="580"/>
      <c r="AP40" s="32">
        <f t="shared" ref="AP40:AY40" si="98">SUM(AP35:AP39)</f>
        <v>1613</v>
      </c>
      <c r="AQ40" s="32">
        <f t="shared" si="98"/>
        <v>1692</v>
      </c>
      <c r="AR40" s="32">
        <f t="shared" si="98"/>
        <v>1534</v>
      </c>
      <c r="AS40" s="32">
        <f t="shared" si="98"/>
        <v>1635</v>
      </c>
      <c r="AT40" s="32">
        <f t="shared" si="98"/>
        <v>1633</v>
      </c>
      <c r="AU40" s="32">
        <f t="shared" si="98"/>
        <v>1389</v>
      </c>
      <c r="AV40" s="32">
        <f t="shared" si="98"/>
        <v>1216</v>
      </c>
      <c r="AW40" s="32">
        <f t="shared" si="98"/>
        <v>1620</v>
      </c>
      <c r="AX40" s="32">
        <f t="shared" si="98"/>
        <v>1339</v>
      </c>
      <c r="AY40" s="32">
        <f t="shared" si="98"/>
        <v>1415.5926000000002</v>
      </c>
      <c r="AZ40" s="32">
        <f t="shared" ref="AZ40:BB40" si="99">SUM(AZ35:AZ39)</f>
        <v>1516.7443589999998</v>
      </c>
      <c r="BA40" s="32">
        <f t="shared" si="99"/>
        <v>1598.1947735650001</v>
      </c>
      <c r="BB40" s="32">
        <f t="shared" si="99"/>
        <v>1691.2155851145749</v>
      </c>
      <c r="BC40" s="63">
        <f t="shared" si="92"/>
        <v>-2.3001167296951137E-2</v>
      </c>
      <c r="BF40" s="135"/>
    </row>
    <row r="41" spans="2:59" ht="5.2" customHeight="1">
      <c r="C41" s="645"/>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580"/>
      <c r="AL41" s="580"/>
      <c r="AM41" s="580"/>
      <c r="AN41" s="580"/>
      <c r="AO41" s="580"/>
      <c r="AP41" s="31"/>
      <c r="AQ41" s="31"/>
      <c r="AR41" s="31"/>
      <c r="AS41" s="31"/>
      <c r="AT41" s="31"/>
      <c r="AU41" s="31"/>
      <c r="AV41" s="31"/>
      <c r="AW41" s="31"/>
      <c r="AX41" s="31"/>
      <c r="AY41" s="31"/>
      <c r="AZ41" s="31"/>
      <c r="BA41" s="31"/>
      <c r="BB41" s="31"/>
    </row>
    <row r="42" spans="2:59" s="458" customFormat="1" ht="11.25" customHeight="1" outlineLevel="1">
      <c r="B42" s="691"/>
      <c r="C42" s="646" t="s">
        <v>68</v>
      </c>
      <c r="E42" s="42">
        <f>+E40-Financials!E96</f>
        <v>0</v>
      </c>
      <c r="F42" s="42">
        <f>+F40-Financials!F96</f>
        <v>0</v>
      </c>
      <c r="G42" s="42">
        <f>+G40-Financials!G96</f>
        <v>0</v>
      </c>
      <c r="H42" s="42">
        <f>+H40-Financials!H96</f>
        <v>0</v>
      </c>
      <c r="I42" s="42">
        <f>+I40-Financials!I96</f>
        <v>0</v>
      </c>
      <c r="J42" s="42">
        <f>+J40-Financials!J96</f>
        <v>0</v>
      </c>
      <c r="K42" s="42">
        <f>+K40-Financials!K96</f>
        <v>0</v>
      </c>
      <c r="L42" s="42">
        <f>+L40-Financials!L96</f>
        <v>0</v>
      </c>
      <c r="M42" s="42">
        <f>+M40-Financials!M96</f>
        <v>0</v>
      </c>
      <c r="N42" s="42">
        <f>+N40-Financials!N96</f>
        <v>0</v>
      </c>
      <c r="O42" s="42">
        <f>+O40-Financials!O96</f>
        <v>0</v>
      </c>
      <c r="P42" s="42">
        <f>+P40-Financials!P96</f>
        <v>0</v>
      </c>
      <c r="Q42" s="42">
        <f>+Q40-Financials!Q96</f>
        <v>0</v>
      </c>
      <c r="R42" s="42">
        <f>+R40-Financials!R96</f>
        <v>0</v>
      </c>
      <c r="S42" s="42">
        <f>+S40-Financials!S96</f>
        <v>0</v>
      </c>
      <c r="T42" s="42">
        <f>+T40-Financials!T96</f>
        <v>0</v>
      </c>
      <c r="U42" s="42">
        <f>+U40-Financials!U96</f>
        <v>0</v>
      </c>
      <c r="V42" s="42">
        <f>+V40-Financials!V96</f>
        <v>0</v>
      </c>
      <c r="W42" s="42">
        <f>+W40-Financials!W96</f>
        <v>0</v>
      </c>
      <c r="X42" s="42">
        <f>+X40-Financials!X96</f>
        <v>0</v>
      </c>
      <c r="Y42" s="42">
        <f>+Y40-Financials!Y96</f>
        <v>0</v>
      </c>
      <c r="Z42" s="42">
        <f>+Z40-Financials!Z96</f>
        <v>-5</v>
      </c>
      <c r="AA42" s="42">
        <f>+AA40-Financials!AA96</f>
        <v>-3</v>
      </c>
      <c r="AB42" s="42">
        <f>+AB40-Financials!AB96</f>
        <v>-7</v>
      </c>
      <c r="AC42" s="42">
        <f>+AC40-Financials!AC96</f>
        <v>0</v>
      </c>
      <c r="AD42" s="42">
        <f>+AD40-Financials!AD96</f>
        <v>0</v>
      </c>
      <c r="AE42" s="42">
        <f>+AE40-Financials!AE96</f>
        <v>0</v>
      </c>
      <c r="AF42" s="42">
        <f>+AF40-Financials!AF96</f>
        <v>0</v>
      </c>
      <c r="AG42" s="42">
        <f>+AG40-Financials!AG96</f>
        <v>0</v>
      </c>
      <c r="AH42" s="42">
        <f>+AH40-Financials!AH96</f>
        <v>0</v>
      </c>
      <c r="AI42" s="42">
        <f>+AI40-Financials!AI96</f>
        <v>0</v>
      </c>
      <c r="AJ42" s="42">
        <f>+AJ40-Financials!AJ96</f>
        <v>0</v>
      </c>
      <c r="AK42" s="625"/>
      <c r="AL42" s="625"/>
      <c r="AM42" s="625"/>
      <c r="AN42" s="625"/>
      <c r="AO42" s="625"/>
      <c r="AP42" s="42">
        <f>+AP40-Financials!AL96</f>
        <v>-15</v>
      </c>
      <c r="AQ42" s="42">
        <f>+AQ40-Financials!AM96</f>
        <v>-33</v>
      </c>
      <c r="AR42" s="42">
        <f>+AR40-Financials!AN96</f>
        <v>0</v>
      </c>
      <c r="AS42" s="42">
        <f>+AS40-Financials!AO96</f>
        <v>0</v>
      </c>
      <c r="AT42" s="42">
        <f>+AT40-Financials!AP96</f>
        <v>0</v>
      </c>
      <c r="AU42" s="42">
        <f>+AU40-Financials!AQ96</f>
        <v>0</v>
      </c>
      <c r="AV42" s="42">
        <f>+AV40-Financials!AR96</f>
        <v>0</v>
      </c>
      <c r="AW42" s="42">
        <f>+AW40-Financials!AS96</f>
        <v>-15</v>
      </c>
      <c r="AX42" s="42">
        <f>+AX40-Financials!AT96</f>
        <v>0</v>
      </c>
      <c r="AY42" s="42">
        <f>+AY40-Financials!AU96</f>
        <v>0</v>
      </c>
      <c r="AZ42" s="42">
        <f>+AZ40-Financials!AV96</f>
        <v>0</v>
      </c>
      <c r="BA42" s="42">
        <f>+BA40-Financials!AW96</f>
        <v>0</v>
      </c>
      <c r="BB42" s="42">
        <f>+BB40-Financials!AX96</f>
        <v>0</v>
      </c>
    </row>
    <row r="43" spans="2:59" ht="5.2" customHeight="1" outlineLevel="1">
      <c r="C43" s="624"/>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row>
    <row r="44" spans="2:59" ht="11.25" customHeight="1">
      <c r="B44" s="27" t="s">
        <v>14</v>
      </c>
      <c r="C44" s="623" t="s">
        <v>862</v>
      </c>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80"/>
      <c r="AL44" s="580"/>
      <c r="AM44" s="580"/>
      <c r="AN44" s="580"/>
      <c r="AO44" s="580"/>
      <c r="AP44" s="520">
        <f t="shared" ref="AP44:BB44" si="100">(AP36+AP37)/(AP11+AP12)</f>
        <v>0.12065779748706577</v>
      </c>
      <c r="AQ44" s="520">
        <f t="shared" si="100"/>
        <v>0.12976076555023924</v>
      </c>
      <c r="AR44" s="520">
        <f t="shared" si="100"/>
        <v>0.12863153676617911</v>
      </c>
      <c r="AS44" s="520">
        <f t="shared" si="100"/>
        <v>0.14962264150943397</v>
      </c>
      <c r="AT44" s="520">
        <f t="shared" si="100"/>
        <v>0.13945578231292516</v>
      </c>
      <c r="AU44" s="520">
        <f t="shared" si="100"/>
        <v>0.13762959951209597</v>
      </c>
      <c r="AV44" s="520">
        <f t="shared" si="100"/>
        <v>0.12846347607052896</v>
      </c>
      <c r="AW44" s="520">
        <f t="shared" si="100"/>
        <v>0.17036379769299023</v>
      </c>
      <c r="AX44" s="520">
        <f t="shared" si="100"/>
        <v>0.12561202093533683</v>
      </c>
      <c r="AY44" s="520">
        <f t="shared" si="100"/>
        <v>0.11542026819474768</v>
      </c>
      <c r="AZ44" s="520">
        <f t="shared" si="100"/>
        <v>0.12121283949526414</v>
      </c>
      <c r="BA44" s="520">
        <f t="shared" si="100"/>
        <v>0.12186877591562878</v>
      </c>
      <c r="BB44" s="520">
        <f t="shared" si="100"/>
        <v>0.12831906845229193</v>
      </c>
      <c r="BF44" s="63">
        <f t="shared" ref="BF44:BF51" si="101">AQ44-AW44</f>
        <v>-4.0603032142750989E-2</v>
      </c>
    </row>
    <row r="45" spans="2:59" ht="5.2" customHeight="1">
      <c r="C45" s="623"/>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80"/>
      <c r="AL45" s="580"/>
      <c r="AM45" s="580"/>
      <c r="AN45" s="580"/>
      <c r="AO45" s="580"/>
      <c r="AP45" s="579"/>
      <c r="AQ45" s="579"/>
      <c r="AR45" s="579"/>
      <c r="AS45" s="579"/>
      <c r="AT45" s="579"/>
      <c r="AU45" s="579"/>
      <c r="AV45" s="579"/>
      <c r="AW45" s="579"/>
      <c r="AX45" s="579"/>
      <c r="AY45" s="579"/>
      <c r="AZ45" s="579"/>
      <c r="BA45" s="579"/>
      <c r="BB45" s="579"/>
    </row>
    <row r="46" spans="2:59" ht="11.25" customHeight="1">
      <c r="C46" s="25" t="s">
        <v>104</v>
      </c>
      <c r="E46" s="94">
        <f t="shared" ref="E46:X46" si="102">+E35/E10</f>
        <v>0.20488466757123475</v>
      </c>
      <c r="F46" s="94">
        <f t="shared" si="102"/>
        <v>0.21818181818181817</v>
      </c>
      <c r="G46" s="94">
        <f t="shared" si="102"/>
        <v>0.21276595744680851</v>
      </c>
      <c r="H46" s="94">
        <f t="shared" si="102"/>
        <v>0.18333333333333332</v>
      </c>
      <c r="I46" s="94">
        <f t="shared" si="102"/>
        <v>0.19793014230271669</v>
      </c>
      <c r="J46" s="94">
        <f t="shared" si="102"/>
        <v>0.19397590361445782</v>
      </c>
      <c r="K46" s="94">
        <f t="shared" si="102"/>
        <v>0.20993227990970656</v>
      </c>
      <c r="L46" s="94">
        <f t="shared" si="102"/>
        <v>0.18852459016393441</v>
      </c>
      <c r="M46" s="94">
        <f t="shared" si="102"/>
        <v>0.18956336528221512</v>
      </c>
      <c r="N46" s="94">
        <f t="shared" si="102"/>
        <v>0.19957537154989385</v>
      </c>
      <c r="O46" s="94">
        <f>+O35/O10</f>
        <v>0.1989071038251366</v>
      </c>
      <c r="P46" s="94">
        <f t="shared" si="102"/>
        <v>0.1445358401880141</v>
      </c>
      <c r="Q46" s="94">
        <f t="shared" si="102"/>
        <v>0.18923076923076923</v>
      </c>
      <c r="R46" s="94">
        <f t="shared" si="102"/>
        <v>0.19741100323624594</v>
      </c>
      <c r="S46" s="94">
        <f t="shared" si="102"/>
        <v>0.19063004846526657</v>
      </c>
      <c r="T46" s="94">
        <f>+T35/T10</f>
        <v>0.1619718309859155</v>
      </c>
      <c r="U46" s="94">
        <f t="shared" si="102"/>
        <v>0.21540880503144655</v>
      </c>
      <c r="V46" s="94">
        <f t="shared" si="102"/>
        <v>0.18342151675485008</v>
      </c>
      <c r="W46" s="94">
        <f t="shared" si="102"/>
        <v>0.17422867513611615</v>
      </c>
      <c r="X46" s="94">
        <f t="shared" si="102"/>
        <v>0.18027210884353742</v>
      </c>
      <c r="Y46" s="94">
        <f t="shared" ref="Y46:AB46" si="103">+Y35/Y10</f>
        <v>0.18452380952380953</v>
      </c>
      <c r="Z46" s="94">
        <f t="shared" si="103"/>
        <v>0.16066481994459833</v>
      </c>
      <c r="AA46" s="94">
        <f t="shared" si="103"/>
        <v>0.16903225806451613</v>
      </c>
      <c r="AB46" s="94">
        <f t="shared" si="103"/>
        <v>0.14487179487179488</v>
      </c>
      <c r="AC46" s="94">
        <f t="shared" ref="AC46:AF46" si="104">+AC35/AC10</f>
        <v>0.18785151856017998</v>
      </c>
      <c r="AD46" s="94">
        <f t="shared" si="104"/>
        <v>0.17316017316017315</v>
      </c>
      <c r="AE46" s="94">
        <f t="shared" si="104"/>
        <v>0.15783664459161148</v>
      </c>
      <c r="AF46" s="94">
        <f t="shared" si="104"/>
        <v>0.10052910052910052</v>
      </c>
      <c r="AG46" s="94">
        <f t="shared" ref="AG46:AJ46" si="105">+AG35/AG10</f>
        <v>0.15958815958815958</v>
      </c>
      <c r="AH46" s="94">
        <f t="shared" si="105"/>
        <v>0.16</v>
      </c>
      <c r="AI46" s="94">
        <f t="shared" si="105"/>
        <v>0.16000000000000003</v>
      </c>
      <c r="AJ46" s="94">
        <f t="shared" si="105"/>
        <v>0.16</v>
      </c>
      <c r="AK46" s="625"/>
      <c r="AL46" s="94">
        <f t="shared" ref="AL46:AO46" si="106">+AL35/AL10</f>
        <v>0.21911922663802363</v>
      </c>
      <c r="AM46" s="94">
        <f t="shared" si="106"/>
        <v>0.20149953139643861</v>
      </c>
      <c r="AN46" s="94">
        <f t="shared" si="106"/>
        <v>0.21396396396396397</v>
      </c>
      <c r="AO46" s="94">
        <f t="shared" si="106"/>
        <v>0.2356020942408377</v>
      </c>
      <c r="AP46" s="94">
        <f t="shared" ref="AP46:AY46" si="107">+AP35/AP10</f>
        <v>0.20416666666666666</v>
      </c>
      <c r="AQ46" s="94">
        <f t="shared" si="107"/>
        <v>0.20892687559354226</v>
      </c>
      <c r="AR46" s="94">
        <f t="shared" si="107"/>
        <v>0.20510238335011749</v>
      </c>
      <c r="AS46" s="94">
        <f t="shared" si="107"/>
        <v>0.19772659288064612</v>
      </c>
      <c r="AT46" s="94">
        <f t="shared" si="107"/>
        <v>0.18398683849739511</v>
      </c>
      <c r="AU46" s="94">
        <f t="shared" si="107"/>
        <v>0.18533604887983707</v>
      </c>
      <c r="AV46" s="94">
        <f t="shared" si="107"/>
        <v>0.18915456874466269</v>
      </c>
      <c r="AW46" s="94">
        <f t="shared" si="107"/>
        <v>0.16412343167175314</v>
      </c>
      <c r="AX46" s="94">
        <f t="shared" si="107"/>
        <v>0.15712230215827339</v>
      </c>
      <c r="AY46" s="94">
        <f t="shared" si="107"/>
        <v>0.15990094473954658</v>
      </c>
      <c r="AZ46" s="1030">
        <f t="shared" ref="AZ46:BB46" si="108">+AZ35/AZ10</f>
        <v>0.15</v>
      </c>
      <c r="BA46" s="1030">
        <f t="shared" si="108"/>
        <v>0.16000000000000003</v>
      </c>
      <c r="BB46" s="1030">
        <f t="shared" si="108"/>
        <v>0.16000000000000003</v>
      </c>
      <c r="BE46" s="94">
        <f>AU46-AQ46</f>
        <v>-2.3590826713705187E-2</v>
      </c>
      <c r="BF46" s="63">
        <f t="shared" si="101"/>
        <v>4.4803443921789116E-2</v>
      </c>
    </row>
    <row r="47" spans="2:59" ht="11.25" customHeight="1">
      <c r="C47" s="624" t="s">
        <v>105</v>
      </c>
      <c r="E47" s="94">
        <f t="shared" ref="E47:X47" si="109">+E36/E11</f>
        <v>0.18336162988115451</v>
      </c>
      <c r="F47" s="94">
        <f t="shared" si="109"/>
        <v>0.2043343653250774</v>
      </c>
      <c r="G47" s="94">
        <f t="shared" si="109"/>
        <v>0.22100313479623823</v>
      </c>
      <c r="H47" s="94">
        <f t="shared" si="109"/>
        <v>0.1541095890410959</v>
      </c>
      <c r="I47" s="94">
        <f t="shared" si="109"/>
        <v>0.19085173501577288</v>
      </c>
      <c r="J47" s="94">
        <f t="shared" si="109"/>
        <v>0.20852359208523591</v>
      </c>
      <c r="K47" s="94">
        <f t="shared" si="109"/>
        <v>0.21981424148606812</v>
      </c>
      <c r="L47" s="94">
        <f t="shared" si="109"/>
        <v>0.14803149606299212</v>
      </c>
      <c r="M47" s="94">
        <f t="shared" si="109"/>
        <v>0.19913419913419914</v>
      </c>
      <c r="N47" s="94">
        <f t="shared" si="109"/>
        <v>0.19753086419753085</v>
      </c>
      <c r="O47" s="94">
        <f>+O36/O11</f>
        <v>0.20733427362482371</v>
      </c>
      <c r="P47" s="94">
        <f t="shared" si="109"/>
        <v>0.11538461538461539</v>
      </c>
      <c r="Q47" s="94">
        <f t="shared" si="109"/>
        <v>0.15525114155251141</v>
      </c>
      <c r="R47" s="94">
        <f t="shared" si="109"/>
        <v>0.20833333333333334</v>
      </c>
      <c r="S47" s="94">
        <f t="shared" si="109"/>
        <v>0.22812051649928264</v>
      </c>
      <c r="T47" s="94">
        <f>+T36/T11</f>
        <v>0.17554858934169279</v>
      </c>
      <c r="U47" s="94">
        <f t="shared" si="109"/>
        <v>0.17398373983739837</v>
      </c>
      <c r="V47" s="94">
        <f t="shared" si="109"/>
        <v>0.1128747795414462</v>
      </c>
      <c r="W47" s="94">
        <f t="shared" si="109"/>
        <v>0.20808383233532934</v>
      </c>
      <c r="X47" s="94">
        <f t="shared" si="109"/>
        <v>0.20474777448071216</v>
      </c>
      <c r="Y47" s="94">
        <f t="shared" ref="Y47:AB47" si="110">+Y36/Y11</f>
        <v>0.21089385474860337</v>
      </c>
      <c r="Z47" s="94">
        <f t="shared" si="110"/>
        <v>0.19895968790637192</v>
      </c>
      <c r="AA47" s="94">
        <f t="shared" si="110"/>
        <v>0.16623376623376623</v>
      </c>
      <c r="AB47" s="94">
        <f t="shared" si="110"/>
        <v>0.12953367875647667</v>
      </c>
      <c r="AC47" s="94">
        <f t="shared" ref="AC47:AF47" si="111">+AC36/AC11</f>
        <v>8.4124830393487116E-2</v>
      </c>
      <c r="AD47" s="94">
        <f t="shared" si="111"/>
        <v>0.1867612293144208</v>
      </c>
      <c r="AE47" s="94">
        <f t="shared" si="111"/>
        <v>0.14864864864864866</v>
      </c>
      <c r="AF47" s="94">
        <f t="shared" si="111"/>
        <v>5.8423913043478264E-2</v>
      </c>
      <c r="AG47" s="94">
        <f t="shared" ref="AG47:AJ47" si="112">+AG36/AG11</f>
        <v>0.11590296495956873</v>
      </c>
      <c r="AH47" s="94">
        <f t="shared" si="112"/>
        <v>0.15</v>
      </c>
      <c r="AI47" s="94">
        <f t="shared" si="112"/>
        <v>0.17</v>
      </c>
      <c r="AJ47" s="94">
        <f t="shared" si="112"/>
        <v>0.13</v>
      </c>
      <c r="AK47" s="625"/>
      <c r="AL47" s="94"/>
      <c r="AM47" s="94"/>
      <c r="AN47" s="94"/>
      <c r="AO47" s="94"/>
      <c r="AP47" s="94">
        <f t="shared" ref="AP47:AY47" si="113">+AP36/AP11</f>
        <v>0.12321278385197645</v>
      </c>
      <c r="AQ47" s="94">
        <f t="shared" si="113"/>
        <v>0.15907207953603977</v>
      </c>
      <c r="AR47" s="94">
        <f t="shared" si="113"/>
        <v>0.19169719169719171</v>
      </c>
      <c r="AS47" s="94">
        <f t="shared" si="113"/>
        <v>0.19206842923794712</v>
      </c>
      <c r="AT47" s="94">
        <f t="shared" si="113"/>
        <v>0.18185117967332123</v>
      </c>
      <c r="AU47" s="94">
        <f t="shared" si="113"/>
        <v>0.19270833333333334</v>
      </c>
      <c r="AV47" s="94">
        <f t="shared" si="113"/>
        <v>0.1774960380348653</v>
      </c>
      <c r="AW47" s="94">
        <f t="shared" si="113"/>
        <v>0.17575156921043938</v>
      </c>
      <c r="AX47" s="94">
        <f t="shared" si="113"/>
        <v>0.12316806984720922</v>
      </c>
      <c r="AY47" s="94">
        <f t="shared" si="113"/>
        <v>0.14316503783952209</v>
      </c>
      <c r="AZ47" s="94">
        <f t="shared" ref="AZ47:BB47" si="114">+AZ36/AZ11</f>
        <v>0.15</v>
      </c>
      <c r="BA47" s="94">
        <f t="shared" si="114"/>
        <v>0.15</v>
      </c>
      <c r="BB47" s="94">
        <f t="shared" si="114"/>
        <v>0.16</v>
      </c>
      <c r="BE47" s="94">
        <f t="shared" ref="BE47:BE49" si="115">AU47-AQ47</f>
        <v>3.3636253797293569E-2</v>
      </c>
      <c r="BF47" s="63">
        <f t="shared" si="101"/>
        <v>-1.6679489674399611E-2</v>
      </c>
    </row>
    <row r="48" spans="2:59" ht="11.25" customHeight="1">
      <c r="C48" s="624" t="s">
        <v>106</v>
      </c>
      <c r="E48" s="94">
        <f t="shared" ref="E48:X48" si="116">+E37/E12</f>
        <v>0.10806451612903226</v>
      </c>
      <c r="F48" s="94">
        <f t="shared" si="116"/>
        <v>2.3696682464454975E-2</v>
      </c>
      <c r="G48" s="94">
        <f t="shared" si="116"/>
        <v>6.1128526645768025E-2</v>
      </c>
      <c r="H48" s="94">
        <f t="shared" si="116"/>
        <v>7.7760497667185069E-2</v>
      </c>
      <c r="I48" s="94">
        <f t="shared" si="116"/>
        <v>0.12238805970149254</v>
      </c>
      <c r="J48" s="94">
        <f t="shared" si="116"/>
        <v>0.11806543385490754</v>
      </c>
      <c r="K48" s="94">
        <f t="shared" si="116"/>
        <v>0.11637931034482758</v>
      </c>
      <c r="L48" s="94">
        <f t="shared" si="116"/>
        <v>8.042488619119878E-2</v>
      </c>
      <c r="M48" s="94">
        <f t="shared" si="116"/>
        <v>0.12191780821917808</v>
      </c>
      <c r="N48" s="94">
        <f t="shared" si="116"/>
        <v>9.0267983074753172E-2</v>
      </c>
      <c r="O48" s="94">
        <f>+O37/O12</f>
        <v>0.112375533428165</v>
      </c>
      <c r="P48" s="94">
        <f t="shared" si="116"/>
        <v>6.6763425253991288E-2</v>
      </c>
      <c r="Q48" s="94">
        <f t="shared" si="116"/>
        <v>0.11148648648648649</v>
      </c>
      <c r="R48" s="94">
        <f t="shared" si="116"/>
        <v>8.7412587412587409E-2</v>
      </c>
      <c r="S48" s="94">
        <f t="shared" si="116"/>
        <v>4.6904315196998121E-2</v>
      </c>
      <c r="T48" s="94">
        <f>+T37/T12</f>
        <v>3.3707865168539325E-2</v>
      </c>
      <c r="U48" s="94">
        <f t="shared" si="116"/>
        <v>0.11627906976744186</v>
      </c>
      <c r="V48" s="94">
        <f t="shared" si="116"/>
        <v>0</v>
      </c>
      <c r="W48" s="94">
        <f t="shared" si="116"/>
        <v>5.6034482758620691E-2</v>
      </c>
      <c r="X48" s="94">
        <f t="shared" si="116"/>
        <v>5.7324840764331211E-2</v>
      </c>
      <c r="Y48" s="94">
        <f t="shared" ref="Y48:AB48" si="117">+Y37/Y12</f>
        <v>0.10332103321033211</v>
      </c>
      <c r="Z48" s="94">
        <f t="shared" si="117"/>
        <v>0.20627802690582961</v>
      </c>
      <c r="AA48" s="94">
        <f t="shared" si="117"/>
        <v>0.19270072992700729</v>
      </c>
      <c r="AB48" s="94">
        <f t="shared" si="117"/>
        <v>0.14325842696629212</v>
      </c>
      <c r="AC48" s="94">
        <f t="shared" ref="AC48:AF48" si="118">+AC37/AC12</f>
        <v>0.15804195804195803</v>
      </c>
      <c r="AD48" s="94">
        <f t="shared" si="118"/>
        <v>0.18523316062176165</v>
      </c>
      <c r="AE48" s="94">
        <f t="shared" si="118"/>
        <v>0.10375939849624061</v>
      </c>
      <c r="AF48" s="94">
        <f t="shared" si="118"/>
        <v>4.2553191489361701E-2</v>
      </c>
      <c r="AG48" s="94">
        <f t="shared" ref="AG48:AJ48" si="119">+AG37/AG12</f>
        <v>7.1307300509337868E-2</v>
      </c>
      <c r="AH48" s="94">
        <f t="shared" si="119"/>
        <v>0.08</v>
      </c>
      <c r="AI48" s="94">
        <f t="shared" si="119"/>
        <v>0.08</v>
      </c>
      <c r="AJ48" s="94">
        <f t="shared" si="119"/>
        <v>0.08</v>
      </c>
      <c r="AK48" s="625"/>
      <c r="AL48" s="94"/>
      <c r="AM48" s="94"/>
      <c r="AN48" s="94"/>
      <c r="AO48" s="94"/>
      <c r="AP48" s="94">
        <f t="shared" ref="AP48:AY48" si="120">+AP37/AP12</f>
        <v>0.11865524060646011</v>
      </c>
      <c r="AQ48" s="94">
        <f t="shared" si="120"/>
        <v>0.10458911419423693</v>
      </c>
      <c r="AR48" s="94">
        <f t="shared" si="120"/>
        <v>6.7482241515390687E-2</v>
      </c>
      <c r="AS48" s="94">
        <f t="shared" si="120"/>
        <v>0.10960410557184751</v>
      </c>
      <c r="AT48" s="94">
        <f t="shared" si="120"/>
        <v>9.8198516425291413E-2</v>
      </c>
      <c r="AU48" s="94">
        <f t="shared" si="120"/>
        <v>7.1268489466606896E-2</v>
      </c>
      <c r="AV48" s="94">
        <f t="shared" si="120"/>
        <v>6.1313076505697235E-2</v>
      </c>
      <c r="AW48" s="94">
        <f t="shared" si="120"/>
        <v>0.16411042944785276</v>
      </c>
      <c r="AX48" s="94">
        <f t="shared" si="120"/>
        <v>0.12849779086892488</v>
      </c>
      <c r="AY48" s="94">
        <f t="shared" si="120"/>
        <v>7.7927075151623129E-2</v>
      </c>
      <c r="AZ48" s="94">
        <f t="shared" ref="AZ48:BB48" si="121">+AZ37/AZ12</f>
        <v>0.08</v>
      </c>
      <c r="BA48" s="94">
        <f t="shared" si="121"/>
        <v>0.08</v>
      </c>
      <c r="BB48" s="94">
        <f t="shared" si="121"/>
        <v>0.08</v>
      </c>
      <c r="BE48" s="94">
        <f t="shared" si="115"/>
        <v>-3.3320624727630033E-2</v>
      </c>
      <c r="BF48" s="63">
        <f t="shared" si="101"/>
        <v>-5.9521315253615828E-2</v>
      </c>
    </row>
    <row r="49" spans="2:58" ht="11.25" customHeight="1">
      <c r="C49" s="624" t="s">
        <v>107</v>
      </c>
      <c r="E49" s="94">
        <f t="shared" ref="E49:X49" si="122">+E38/E13</f>
        <v>0.30714285714285716</v>
      </c>
      <c r="F49" s="94">
        <f t="shared" si="122"/>
        <v>0.30769230769230771</v>
      </c>
      <c r="G49" s="94">
        <f t="shared" si="122"/>
        <v>0.31854838709677419</v>
      </c>
      <c r="H49" s="94">
        <f t="shared" si="122"/>
        <v>0.31739130434782609</v>
      </c>
      <c r="I49" s="94">
        <f t="shared" si="122"/>
        <v>0.24413145539906103</v>
      </c>
      <c r="J49" s="94">
        <f t="shared" si="122"/>
        <v>0.26046511627906976</v>
      </c>
      <c r="K49" s="94">
        <f t="shared" si="122"/>
        <v>0.30357142857142855</v>
      </c>
      <c r="L49" s="94">
        <f t="shared" si="122"/>
        <v>0.27</v>
      </c>
      <c r="M49" s="94">
        <f t="shared" si="122"/>
        <v>0.22857142857142856</v>
      </c>
      <c r="N49" s="94">
        <f t="shared" si="122"/>
        <v>0.24066390041493776</v>
      </c>
      <c r="O49" s="94">
        <f>+O38/O13</f>
        <v>0.25909090909090909</v>
      </c>
      <c r="P49" s="94">
        <f t="shared" si="122"/>
        <v>0.22641509433962265</v>
      </c>
      <c r="Q49" s="94">
        <f t="shared" si="122"/>
        <v>0.19718309859154928</v>
      </c>
      <c r="R49" s="94">
        <f t="shared" si="122"/>
        <v>0.23943661971830985</v>
      </c>
      <c r="S49" s="94">
        <f t="shared" si="122"/>
        <v>0.23502304147465439</v>
      </c>
      <c r="T49" s="94">
        <f>+T38/T13</f>
        <v>0.22123893805309736</v>
      </c>
      <c r="U49" s="94">
        <f t="shared" si="122"/>
        <v>0.25</v>
      </c>
      <c r="V49" s="94">
        <f t="shared" si="122"/>
        <v>0.21800947867298578</v>
      </c>
      <c r="W49" s="94">
        <f t="shared" si="122"/>
        <v>0.19902912621359223</v>
      </c>
      <c r="X49" s="94">
        <f t="shared" si="122"/>
        <v>0.19230769230769232</v>
      </c>
      <c r="Y49" s="94">
        <f t="shared" ref="Y49:AB49" si="123">+Y38/Y13</f>
        <v>0.20737327188940091</v>
      </c>
      <c r="Z49" s="94">
        <f t="shared" si="123"/>
        <v>0.16591928251121077</v>
      </c>
      <c r="AA49" s="94">
        <f t="shared" si="123"/>
        <v>0.14414414414414414</v>
      </c>
      <c r="AB49" s="94">
        <f t="shared" si="123"/>
        <v>0.11764705882352941</v>
      </c>
      <c r="AC49" s="94">
        <f t="shared" ref="AC49:AF49" si="124">+AC38/AC13</f>
        <v>0.11267605633802817</v>
      </c>
      <c r="AD49" s="94">
        <f t="shared" si="124"/>
        <v>0.15289256198347106</v>
      </c>
      <c r="AE49" s="94">
        <f t="shared" si="124"/>
        <v>8.4000000000000005E-2</v>
      </c>
      <c r="AF49" s="94">
        <f t="shared" si="124"/>
        <v>0.18296529968454259</v>
      </c>
      <c r="AG49" s="94">
        <f t="shared" ref="AG49:AJ49" si="125">+AG38/AG13</f>
        <v>0.31023102310231021</v>
      </c>
      <c r="AH49" s="94">
        <f t="shared" si="125"/>
        <v>0.27</v>
      </c>
      <c r="AI49" s="94">
        <f t="shared" si="125"/>
        <v>0.27</v>
      </c>
      <c r="AJ49" s="94">
        <f t="shared" si="125"/>
        <v>0.27</v>
      </c>
      <c r="AK49" s="625"/>
      <c r="AL49" s="94"/>
      <c r="AM49" s="94"/>
      <c r="AN49" s="94"/>
      <c r="AO49" s="94"/>
      <c r="AP49" s="94">
        <f t="shared" ref="AP49:AY49" si="126">+AP38/AP13</f>
        <v>0.32532601235415237</v>
      </c>
      <c r="AQ49" s="94">
        <f t="shared" si="126"/>
        <v>0.31993437243642331</v>
      </c>
      <c r="AR49" s="94">
        <f t="shared" si="126"/>
        <v>0.3125</v>
      </c>
      <c r="AS49" s="94">
        <f t="shared" si="126"/>
        <v>0.2699530516431925</v>
      </c>
      <c r="AT49" s="94">
        <f t="shared" si="126"/>
        <v>0.23856209150326799</v>
      </c>
      <c r="AU49" s="94">
        <f t="shared" si="126"/>
        <v>0.22324510932105868</v>
      </c>
      <c r="AV49" s="94">
        <f t="shared" si="126"/>
        <v>0.21505376344086022</v>
      </c>
      <c r="AW49" s="94">
        <f t="shared" si="126"/>
        <v>0.15777777777777777</v>
      </c>
      <c r="AX49" s="94">
        <f t="shared" si="126"/>
        <v>0.13698630136986301</v>
      </c>
      <c r="AY49" s="1030">
        <f t="shared" si="126"/>
        <v>0.28033225970503478</v>
      </c>
      <c r="AZ49" s="1030">
        <f t="shared" ref="AZ49:BB49" si="127">+AZ38/AZ13</f>
        <v>0.28000000000000003</v>
      </c>
      <c r="BA49" s="1030">
        <f t="shared" si="127"/>
        <v>0.28000000000000003</v>
      </c>
      <c r="BB49" s="1030">
        <f t="shared" si="127"/>
        <v>0.28999999999999998</v>
      </c>
      <c r="BE49" s="94">
        <f t="shared" si="115"/>
        <v>-9.6689263115364632E-2</v>
      </c>
      <c r="BF49" s="63">
        <f t="shared" si="101"/>
        <v>0.16215659465864554</v>
      </c>
    </row>
    <row r="50" spans="2:58" ht="11.25" hidden="1" customHeight="1" outlineLevel="1">
      <c r="C50" s="624" t="s">
        <v>108</v>
      </c>
      <c r="E50" s="94">
        <f t="shared" ref="E50:X50" si="128">IFERROR(+E39/E14,"NA  ")</f>
        <v>-0.6</v>
      </c>
      <c r="F50" s="94">
        <f t="shared" si="128"/>
        <v>-0.7857142857142857</v>
      </c>
      <c r="G50" s="94">
        <f t="shared" si="128"/>
        <v>-0.27272727272727271</v>
      </c>
      <c r="H50" s="94">
        <f t="shared" si="128"/>
        <v>-0.81818181818181823</v>
      </c>
      <c r="I50" s="94">
        <f t="shared" si="128"/>
        <v>-0.53846153846153844</v>
      </c>
      <c r="J50" s="94">
        <f t="shared" si="128"/>
        <v>-1.2142857142857142</v>
      </c>
      <c r="K50" s="94">
        <f t="shared" si="128"/>
        <v>-1.2307692307692308</v>
      </c>
      <c r="L50" s="94">
        <f t="shared" si="128"/>
        <v>-0.6428571428571429</v>
      </c>
      <c r="M50" s="95" t="str">
        <f t="shared" si="128"/>
        <v xml:space="preserve">NA  </v>
      </c>
      <c r="N50" s="95" t="str">
        <f t="shared" si="128"/>
        <v xml:space="preserve">NA  </v>
      </c>
      <c r="O50" s="95" t="str">
        <f>IFERROR(+O39/O14,"NA  ")</f>
        <v xml:space="preserve">NA  </v>
      </c>
      <c r="P50" s="95" t="str">
        <f t="shared" si="128"/>
        <v xml:space="preserve">NA  </v>
      </c>
      <c r="Q50" s="95">
        <f t="shared" si="128"/>
        <v>7.0895522388059698E-2</v>
      </c>
      <c r="R50" s="95">
        <f t="shared" si="128"/>
        <v>7.9545454545454544E-2</v>
      </c>
      <c r="S50" s="95">
        <f t="shared" si="128"/>
        <v>6.1776061776061778E-2</v>
      </c>
      <c r="T50" s="95">
        <f>IFERROR(+T39/T14,"NA  ")</f>
        <v>3.0434782608695653E-2</v>
      </c>
      <c r="U50" s="95">
        <f t="shared" si="128"/>
        <v>9.5419847328244281E-2</v>
      </c>
      <c r="V50" s="95">
        <f t="shared" si="128"/>
        <v>-0.10160427807486631</v>
      </c>
      <c r="W50" s="95">
        <f t="shared" si="128"/>
        <v>3.4334763948497854E-2</v>
      </c>
      <c r="X50" s="95">
        <f t="shared" si="128"/>
        <v>7.3469387755102047E-2</v>
      </c>
      <c r="Y50" s="95">
        <f t="shared" ref="Y50:AB50" si="129">IFERROR(+Y39/Y14,"NA  ")</f>
        <v>9.1603053435114504E-2</v>
      </c>
      <c r="Z50" s="95">
        <f t="shared" si="129"/>
        <v>1.8518518518518517E-2</v>
      </c>
      <c r="AA50" s="95">
        <f t="shared" si="129"/>
        <v>7.0895522388059698E-2</v>
      </c>
      <c r="AB50" s="95">
        <f t="shared" si="129"/>
        <v>-7.2916666666666671E-2</v>
      </c>
      <c r="AC50" s="95">
        <f t="shared" ref="AC50:AF50" si="130">IFERROR(+AC39/AC14,"NA  ")</f>
        <v>0</v>
      </c>
      <c r="AD50" s="95" t="str">
        <f t="shared" si="130"/>
        <v xml:space="preserve">NA  </v>
      </c>
      <c r="AE50" s="95" t="str">
        <f t="shared" si="130"/>
        <v xml:space="preserve">NA  </v>
      </c>
      <c r="AF50" s="95" t="str">
        <f t="shared" si="130"/>
        <v xml:space="preserve">NA  </v>
      </c>
      <c r="AG50" s="95">
        <f t="shared" ref="AG50:AJ50" si="131">IFERROR(+AG39/AG14,"NA  ")</f>
        <v>-63</v>
      </c>
      <c r="AH50" s="95" t="str">
        <f t="shared" si="131"/>
        <v xml:space="preserve">NA  </v>
      </c>
      <c r="AI50" s="95" t="str">
        <f t="shared" si="131"/>
        <v xml:space="preserve">NA  </v>
      </c>
      <c r="AJ50" s="95" t="str">
        <f t="shared" si="131"/>
        <v xml:space="preserve">NA  </v>
      </c>
      <c r="AK50" s="625"/>
      <c r="AL50" s="625"/>
      <c r="AM50" s="625"/>
      <c r="AN50" s="625"/>
      <c r="AO50" s="625"/>
      <c r="AP50" s="94">
        <f t="shared" ref="AP50:AY50" si="132">IFERROR(+AP39/AP14,"NA  ")</f>
        <v>-2.9444444444444446</v>
      </c>
      <c r="AQ50" s="94">
        <f t="shared" si="132"/>
        <v>-0.8</v>
      </c>
      <c r="AR50" s="94">
        <f t="shared" si="132"/>
        <v>-0.63043478260869568</v>
      </c>
      <c r="AS50" s="94">
        <f t="shared" si="132"/>
        <v>-0.90740740740740744</v>
      </c>
      <c r="AT50" s="95" t="str">
        <f t="shared" si="132"/>
        <v xml:space="preserve">NA  </v>
      </c>
      <c r="AU50" s="95">
        <f t="shared" si="132"/>
        <v>6.1704211557296766E-2</v>
      </c>
      <c r="AV50" s="95">
        <f t="shared" si="132"/>
        <v>3.4519956850053934E-2</v>
      </c>
      <c r="AW50" s="95">
        <f t="shared" si="132"/>
        <v>3.4274193548387094E-2</v>
      </c>
      <c r="AX50" s="95">
        <f t="shared" si="132"/>
        <v>-0.56874999999999998</v>
      </c>
      <c r="AY50" s="95">
        <f t="shared" si="132"/>
        <v>-102.0352</v>
      </c>
      <c r="AZ50" s="95" t="str">
        <f t="shared" ref="AZ50:BB50" si="133">IFERROR(+AZ39/AZ14,"NA  ")</f>
        <v xml:space="preserve">NA  </v>
      </c>
      <c r="BA50" s="95" t="str">
        <f t="shared" si="133"/>
        <v xml:space="preserve">NA  </v>
      </c>
      <c r="BB50" s="95" t="str">
        <f t="shared" si="133"/>
        <v xml:space="preserve">NA  </v>
      </c>
      <c r="BF50" s="63"/>
    </row>
    <row r="51" spans="2:58" ht="11.25" customHeight="1" collapsed="1">
      <c r="C51" s="645" t="s">
        <v>168</v>
      </c>
      <c r="E51" s="647">
        <f t="shared" ref="E51:X51" si="134">IFERROR(+E40/E15,"NA  ")</f>
        <v>0.18157423971377459</v>
      </c>
      <c r="F51" s="647">
        <f t="shared" si="134"/>
        <v>0.16369177187636047</v>
      </c>
      <c r="G51" s="647">
        <f t="shared" si="134"/>
        <v>0.18189768255356362</v>
      </c>
      <c r="H51" s="647">
        <f t="shared" si="134"/>
        <v>0.15356489945155394</v>
      </c>
      <c r="I51" s="647">
        <f t="shared" si="134"/>
        <v>0.17412071211463309</v>
      </c>
      <c r="J51" s="647">
        <f t="shared" si="134"/>
        <v>0.17362546506821</v>
      </c>
      <c r="K51" s="647">
        <f t="shared" si="134"/>
        <v>0.18701825557809332</v>
      </c>
      <c r="L51" s="647">
        <f t="shared" si="134"/>
        <v>0.14944961896697714</v>
      </c>
      <c r="M51" s="647">
        <f t="shared" si="134"/>
        <v>0.1760644418872267</v>
      </c>
      <c r="N51" s="647">
        <f t="shared" si="134"/>
        <v>0.17054559328500574</v>
      </c>
      <c r="O51" s="647">
        <f>IFERROR(+O40/O15,"NA  ")</f>
        <v>0.17707106399685904</v>
      </c>
      <c r="P51" s="647">
        <f t="shared" si="134"/>
        <v>0.11616161616161616</v>
      </c>
      <c r="Q51" s="647">
        <f t="shared" si="134"/>
        <v>0.14789915966386555</v>
      </c>
      <c r="R51" s="647">
        <f t="shared" si="134"/>
        <v>0.1646212441811257</v>
      </c>
      <c r="S51" s="647">
        <f t="shared" si="134"/>
        <v>0.15870967741935485</v>
      </c>
      <c r="T51" s="647">
        <f>IFERROR(+T40/T15,"NA  ")</f>
        <v>0.12704918032786885</v>
      </c>
      <c r="U51" s="647">
        <f t="shared" si="134"/>
        <v>0.17045961624274877</v>
      </c>
      <c r="V51" s="647">
        <f t="shared" si="134"/>
        <v>0.10135135135135136</v>
      </c>
      <c r="W51" s="647">
        <f t="shared" si="134"/>
        <v>0.1460885956644675</v>
      </c>
      <c r="X51" s="647">
        <f t="shared" si="134"/>
        <v>0.15050320219579141</v>
      </c>
      <c r="Y51" s="647">
        <f t="shared" ref="Y51:AB51" si="135">IFERROR(+Y40/Y15,"NA  ")</f>
        <v>0.16604400166044</v>
      </c>
      <c r="Z51" s="647">
        <f t="shared" si="135"/>
        <v>0.16924236713154919</v>
      </c>
      <c r="AA51" s="647">
        <f t="shared" si="135"/>
        <v>0.16250000000000001</v>
      </c>
      <c r="AB51" s="647">
        <f t="shared" si="135"/>
        <v>0.12212323682256868</v>
      </c>
      <c r="AC51" s="647">
        <f t="shared" ref="AC51:AF51" si="136">IFERROR(+AC40/AC15,"NA  ")</f>
        <v>0.13485630066322771</v>
      </c>
      <c r="AD51" s="647">
        <f t="shared" si="136"/>
        <v>0.16846264367816091</v>
      </c>
      <c r="AE51" s="647">
        <f t="shared" si="136"/>
        <v>0.12292358803986711</v>
      </c>
      <c r="AF51" s="647">
        <f t="shared" si="136"/>
        <v>7.2060682680151714E-2</v>
      </c>
      <c r="AG51" s="647">
        <f t="shared" ref="AG51:AJ51" si="137">IFERROR(+AG40/AG15,"NA  ")</f>
        <v>0.11733001658374792</v>
      </c>
      <c r="AH51" s="647">
        <f t="shared" si="137"/>
        <v>0.14156341027043812</v>
      </c>
      <c r="AI51" s="647">
        <f t="shared" si="137"/>
        <v>0.15136948577104695</v>
      </c>
      <c r="AJ51" s="647">
        <f t="shared" si="137"/>
        <v>0.1419562938372064</v>
      </c>
      <c r="AK51" s="580"/>
      <c r="AL51" s="580"/>
      <c r="AM51" s="580"/>
      <c r="AN51" s="580"/>
      <c r="AO51" s="580"/>
      <c r="AP51" s="647">
        <f t="shared" ref="AP51:AY51" si="138">IFERROR(+AP40/AP15,"NA  ")</f>
        <v>0.16930828172562193</v>
      </c>
      <c r="AQ51" s="647">
        <f t="shared" si="138"/>
        <v>0.17537313432835822</v>
      </c>
      <c r="AR51" s="647">
        <f t="shared" si="138"/>
        <v>0.17029307282415632</v>
      </c>
      <c r="AS51" s="647">
        <f t="shared" si="138"/>
        <v>0.17122211749921457</v>
      </c>
      <c r="AT51" s="647">
        <f t="shared" si="138"/>
        <v>0.16087085016254557</v>
      </c>
      <c r="AU51" s="647">
        <f t="shared" si="138"/>
        <v>0.14993523316062177</v>
      </c>
      <c r="AV51" s="647">
        <f t="shared" si="138"/>
        <v>0.14351469373303435</v>
      </c>
      <c r="AW51" s="647">
        <f t="shared" si="138"/>
        <v>0.15463917525773196</v>
      </c>
      <c r="AX51" s="647">
        <f t="shared" si="138"/>
        <v>0.12655954631379962</v>
      </c>
      <c r="AY51" s="647">
        <f t="shared" si="138"/>
        <v>0.13852500821995026</v>
      </c>
      <c r="AZ51" s="647">
        <f t="shared" ref="AZ51:BB51" si="139">IFERROR(+AZ40/AZ15,"NA  ")</f>
        <v>0.14321073042361282</v>
      </c>
      <c r="BA51" s="647">
        <f t="shared" si="139"/>
        <v>0.14645810787999791</v>
      </c>
      <c r="BB51" s="647">
        <f t="shared" si="139"/>
        <v>0.15113910204432252</v>
      </c>
      <c r="BF51" s="63">
        <f t="shared" si="101"/>
        <v>2.0733959070626251E-2</v>
      </c>
    </row>
    <row r="52" spans="2:58" ht="11.25" customHeight="1">
      <c r="C52" s="645"/>
      <c r="E52" s="94"/>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80"/>
      <c r="AL52" s="580"/>
      <c r="AM52" s="580"/>
      <c r="AN52" s="580"/>
      <c r="AO52" s="580"/>
      <c r="AP52" s="579"/>
      <c r="AQ52" s="579"/>
      <c r="AR52" s="579"/>
      <c r="AS52" s="579"/>
      <c r="AT52" s="579"/>
      <c r="AU52" s="579"/>
      <c r="AV52" s="579"/>
      <c r="AW52" s="579"/>
      <c r="AX52" s="579"/>
      <c r="AY52" s="579"/>
      <c r="AZ52" s="579"/>
      <c r="BA52" s="579"/>
      <c r="BB52" s="579"/>
    </row>
    <row r="53" spans="2:58" ht="11.25" customHeight="1">
      <c r="B53" s="27" t="s">
        <v>14</v>
      </c>
      <c r="C53" s="623" t="s">
        <v>861</v>
      </c>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80"/>
      <c r="AL53" s="580"/>
      <c r="AM53" s="580"/>
      <c r="AN53" s="580"/>
      <c r="AO53" s="580"/>
      <c r="AP53" s="579"/>
      <c r="AQ53" s="579"/>
      <c r="AR53" s="579"/>
      <c r="AS53" s="579"/>
      <c r="AT53" s="579"/>
      <c r="AU53" s="579"/>
      <c r="AV53" s="579"/>
      <c r="AW53" s="579"/>
      <c r="AX53" s="579"/>
      <c r="AY53" s="579"/>
      <c r="AZ53" s="579"/>
      <c r="BA53" s="579"/>
      <c r="BB53" s="579"/>
    </row>
    <row r="54" spans="2:58" ht="5.2" customHeight="1">
      <c r="C54" s="623"/>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80"/>
      <c r="AL54" s="580"/>
      <c r="AM54" s="580"/>
      <c r="AN54" s="580"/>
      <c r="AO54" s="580"/>
      <c r="AP54" s="579"/>
      <c r="AQ54" s="579"/>
      <c r="AR54" s="579"/>
      <c r="AS54" s="579"/>
      <c r="AT54" s="579"/>
      <c r="AU54" s="579"/>
      <c r="AV54" s="579"/>
      <c r="AW54" s="579"/>
      <c r="AX54" s="579"/>
      <c r="AY54" s="579"/>
      <c r="AZ54" s="579"/>
      <c r="BA54" s="579"/>
      <c r="BB54" s="579"/>
    </row>
    <row r="55" spans="2:58" ht="11.25" customHeight="1">
      <c r="C55" s="25" t="s">
        <v>104</v>
      </c>
      <c r="E55" s="124"/>
      <c r="F55" s="124"/>
      <c r="G55" s="124"/>
      <c r="H55" s="124"/>
      <c r="I55" s="94">
        <f t="shared" ref="I55:Y60" si="140">IFERROR(I35/E35-1,"NA  ")</f>
        <v>1.3245033112582849E-2</v>
      </c>
      <c r="J55" s="94">
        <f t="shared" si="140"/>
        <v>-4.166666666666663E-2</v>
      </c>
      <c r="K55" s="94">
        <f t="shared" si="140"/>
        <v>0.16250000000000009</v>
      </c>
      <c r="L55" s="94">
        <f t="shared" si="140"/>
        <v>0.21969696969696972</v>
      </c>
      <c r="M55" s="94">
        <f t="shared" si="140"/>
        <v>0.1633986928104576</v>
      </c>
      <c r="N55" s="94">
        <f t="shared" si="140"/>
        <v>0.16770186335403725</v>
      </c>
      <c r="O55" s="94">
        <f t="shared" si="140"/>
        <v>-2.1505376344086002E-2</v>
      </c>
      <c r="P55" s="94">
        <f t="shared" si="140"/>
        <v>-0.2360248447204969</v>
      </c>
      <c r="Q55" s="94">
        <f t="shared" si="140"/>
        <v>-0.3089887640449438</v>
      </c>
      <c r="R55" s="94">
        <f t="shared" si="140"/>
        <v>-0.35106382978723405</v>
      </c>
      <c r="S55" s="94">
        <f t="shared" si="140"/>
        <v>-0.35164835164835162</v>
      </c>
      <c r="T55" s="94">
        <f t="shared" si="140"/>
        <v>-0.25203252032520329</v>
      </c>
      <c r="U55" s="94">
        <f t="shared" si="140"/>
        <v>0.11382113821138207</v>
      </c>
      <c r="V55" s="94">
        <f t="shared" si="140"/>
        <v>-0.14754098360655743</v>
      </c>
      <c r="W55" s="94">
        <f t="shared" si="140"/>
        <v>-0.18644067796610164</v>
      </c>
      <c r="X55" s="94">
        <f t="shared" si="140"/>
        <v>0.15217391304347827</v>
      </c>
      <c r="Y55" s="94">
        <f t="shared" si="140"/>
        <v>-9.4890510948905105E-2</v>
      </c>
      <c r="Z55" s="94">
        <f t="shared" ref="Z55:Z60" si="141">IFERROR(Z35/V35-1,"NA  ")</f>
        <v>0.11538461538461542</v>
      </c>
      <c r="AA55" s="94">
        <f t="shared" ref="AA55:AA60" si="142">IFERROR(AA35/W35-1,"NA  ")</f>
        <v>0.36458333333333326</v>
      </c>
      <c r="AB55" s="94">
        <f t="shared" ref="AB55:AB60" si="143">IFERROR(AB35/X35-1,"NA  ")</f>
        <v>6.60377358490567E-2</v>
      </c>
      <c r="AC55" s="94">
        <f t="shared" ref="AC55:AC60" si="144">IFERROR(AC35/Y35-1,"NA  ")</f>
        <v>0.34677419354838701</v>
      </c>
      <c r="AD55" s="94">
        <f t="shared" ref="AD55:AD60" si="145">IFERROR(AD35/Z35-1,"NA  ")</f>
        <v>0.3793103448275863</v>
      </c>
      <c r="AE55" s="94">
        <f t="shared" ref="AE55:AE60" si="146">IFERROR(AE35/AA35-1,"NA  ")</f>
        <v>9.1603053435114434E-2</v>
      </c>
      <c r="AF55" s="94">
        <f t="shared" ref="AF55:AF60" si="147">IFERROR(AF35/AB35-1,"NA  ")</f>
        <v>-0.32743362831858402</v>
      </c>
      <c r="AG55" s="94">
        <f t="shared" ref="AG55:AG60" si="148">IFERROR(AG35/AC35-1,"NA  ")</f>
        <v>-0.25748502994011979</v>
      </c>
      <c r="AH55" s="94">
        <f t="shared" ref="AH55:AH60" si="149">IFERROR(AH35/AD35-1,"NA  ")</f>
        <v>-0.13144000000000011</v>
      </c>
      <c r="AI55" s="94">
        <f t="shared" ref="AI55:AI60" si="150">IFERROR(AI35/AE35-1,"NA  ")</f>
        <v>-4.7116083916083795E-2</v>
      </c>
      <c r="AJ55" s="94">
        <f t="shared" ref="AJ55:AJ60" si="151">IFERROR(AJ35/AF35-1,"NA  ")</f>
        <v>0.54383157894736844</v>
      </c>
      <c r="AP55" s="124"/>
      <c r="AQ55" s="94">
        <f t="shared" ref="AQ55:AZ55" si="152">IFERROR(AQ35/AP35-1,"NA  ")</f>
        <v>0.22448979591836737</v>
      </c>
      <c r="AR55" s="94">
        <f t="shared" si="152"/>
        <v>-7.4242424242424221E-2</v>
      </c>
      <c r="AS55" s="94">
        <f t="shared" si="152"/>
        <v>8.1833060556464776E-2</v>
      </c>
      <c r="AT55" s="94">
        <f t="shared" si="152"/>
        <v>1.5128593040847127E-2</v>
      </c>
      <c r="AU55" s="94">
        <f t="shared" si="152"/>
        <v>-0.32190760059612522</v>
      </c>
      <c r="AV55" s="94">
        <f t="shared" si="152"/>
        <v>-2.6373626373626391E-2</v>
      </c>
      <c r="AW55" s="94">
        <f t="shared" si="152"/>
        <v>9.2550790067720046E-2</v>
      </c>
      <c r="AX55" s="94">
        <f t="shared" si="152"/>
        <v>0.12809917355371891</v>
      </c>
      <c r="AY55" s="94">
        <f t="shared" si="152"/>
        <v>-5.3913553113553059E-2</v>
      </c>
      <c r="AZ55" s="94">
        <f t="shared" si="152"/>
        <v>-3.3776815692639572E-2</v>
      </c>
      <c r="BA55" s="94">
        <f t="shared" ref="BA55:BA60" si="153">IFERROR(BA35/AZ35-1,"NA  ")</f>
        <v>9.8666666666666902E-2</v>
      </c>
      <c r="BB55" s="94">
        <f t="shared" ref="BB55:BB60" si="154">IFERROR(BB35/BA35-1,"NA  ")</f>
        <v>3.0000000000000027E-2</v>
      </c>
    </row>
    <row r="56" spans="2:58" ht="11.25" customHeight="1">
      <c r="C56" s="624" t="s">
        <v>105</v>
      </c>
      <c r="E56" s="124"/>
      <c r="F56" s="124"/>
      <c r="G56" s="124"/>
      <c r="H56" s="124"/>
      <c r="I56" s="94">
        <f t="shared" si="140"/>
        <v>0.12037037037037046</v>
      </c>
      <c r="J56" s="94">
        <f t="shared" si="140"/>
        <v>3.7878787878787845E-2</v>
      </c>
      <c r="K56" s="94">
        <f t="shared" si="140"/>
        <v>7.0921985815601829E-3</v>
      </c>
      <c r="L56" s="94">
        <f t="shared" si="140"/>
        <v>4.4444444444444509E-2</v>
      </c>
      <c r="M56" s="94">
        <f t="shared" si="140"/>
        <v>0.14049586776859502</v>
      </c>
      <c r="N56" s="94">
        <f t="shared" si="140"/>
        <v>5.1094890510948954E-2</v>
      </c>
      <c r="O56" s="94">
        <f t="shared" si="140"/>
        <v>3.5211267605633756E-2</v>
      </c>
      <c r="P56" s="94">
        <f t="shared" si="140"/>
        <v>-0.23404255319148937</v>
      </c>
      <c r="Q56" s="94">
        <f t="shared" si="140"/>
        <v>-0.26086956521739135</v>
      </c>
      <c r="R56" s="94">
        <f t="shared" si="140"/>
        <v>6.9444444444444198E-3</v>
      </c>
      <c r="S56" s="94">
        <f t="shared" si="140"/>
        <v>8.163265306122458E-2</v>
      </c>
      <c r="T56" s="94">
        <f t="shared" si="140"/>
        <v>0.55555555555555558</v>
      </c>
      <c r="U56" s="94">
        <f t="shared" si="140"/>
        <v>4.9019607843137303E-2</v>
      </c>
      <c r="V56" s="94">
        <f t="shared" si="140"/>
        <v>-0.55862068965517242</v>
      </c>
      <c r="W56" s="94">
        <f t="shared" si="140"/>
        <v>-0.12578616352201255</v>
      </c>
      <c r="X56" s="94">
        <f t="shared" si="140"/>
        <v>0.23214285714285721</v>
      </c>
      <c r="Y56" s="94">
        <f t="shared" si="140"/>
        <v>0.41121495327102808</v>
      </c>
      <c r="Z56" s="94">
        <f t="shared" si="141"/>
        <v>1.390625</v>
      </c>
      <c r="AA56" s="94">
        <f t="shared" si="142"/>
        <v>-7.9136690647481966E-2</v>
      </c>
      <c r="AB56" s="94">
        <f t="shared" si="143"/>
        <v>-0.27536231884057971</v>
      </c>
      <c r="AC56" s="94">
        <f t="shared" si="144"/>
        <v>-0.58940397350993379</v>
      </c>
      <c r="AD56" s="94">
        <f t="shared" si="145"/>
        <v>3.2679738562091609E-2</v>
      </c>
      <c r="AE56" s="94">
        <f t="shared" si="146"/>
        <v>3.125E-2</v>
      </c>
      <c r="AF56" s="94">
        <f t="shared" si="147"/>
        <v>-0.57000000000000006</v>
      </c>
      <c r="AG56" s="94">
        <f t="shared" si="148"/>
        <v>0.38709677419354849</v>
      </c>
      <c r="AH56" s="94">
        <f t="shared" si="149"/>
        <v>-0.20486708860759506</v>
      </c>
      <c r="AI56" s="94">
        <f t="shared" si="150"/>
        <v>0.21225454545454547</v>
      </c>
      <c r="AJ56" s="94">
        <f t="shared" si="151"/>
        <v>1.4698790697674422</v>
      </c>
      <c r="AP56" s="124"/>
      <c r="AQ56" s="94">
        <f t="shared" ref="AQ56:AZ56" si="155">IFERROR(AQ36/AP36-1,"NA  ")</f>
        <v>0.31058020477815695</v>
      </c>
      <c r="AR56" s="94">
        <f t="shared" si="155"/>
        <v>0.2265625</v>
      </c>
      <c r="AS56" s="94">
        <f t="shared" si="155"/>
        <v>4.8832271762208057E-2</v>
      </c>
      <c r="AT56" s="94">
        <f t="shared" si="155"/>
        <v>1.4170040485830038E-2</v>
      </c>
      <c r="AU56" s="94">
        <f t="shared" si="155"/>
        <v>3.3932135728542923E-2</v>
      </c>
      <c r="AV56" s="94">
        <f t="shared" si="155"/>
        <v>-0.13513513513513509</v>
      </c>
      <c r="AW56" s="94">
        <f t="shared" si="155"/>
        <v>0.1875</v>
      </c>
      <c r="AX56" s="94">
        <f t="shared" si="155"/>
        <v>-0.25751879699248126</v>
      </c>
      <c r="AY56" s="94">
        <f t="shared" si="155"/>
        <v>0.20975544303797466</v>
      </c>
      <c r="AZ56" s="94">
        <f t="shared" si="155"/>
        <v>0.12108376753205063</v>
      </c>
      <c r="BA56" s="94">
        <f t="shared" si="153"/>
        <v>5.0000000000000044E-2</v>
      </c>
      <c r="BB56" s="94">
        <f t="shared" si="154"/>
        <v>0.10400000000000009</v>
      </c>
    </row>
    <row r="57" spans="2:58" ht="11.25" customHeight="1">
      <c r="C57" s="624" t="s">
        <v>106</v>
      </c>
      <c r="E57" s="124"/>
      <c r="F57" s="124"/>
      <c r="G57" s="124"/>
      <c r="H57" s="124"/>
      <c r="I57" s="94">
        <f t="shared" si="140"/>
        <v>0.22388059701492535</v>
      </c>
      <c r="J57" s="94">
        <f t="shared" si="140"/>
        <v>4.5333333333333332</v>
      </c>
      <c r="K57" s="94">
        <f t="shared" si="140"/>
        <v>1.0769230769230771</v>
      </c>
      <c r="L57" s="94">
        <f t="shared" si="140"/>
        <v>6.0000000000000053E-2</v>
      </c>
      <c r="M57" s="94">
        <f t="shared" si="140"/>
        <v>8.5365853658536661E-2</v>
      </c>
      <c r="N57" s="94">
        <f t="shared" si="140"/>
        <v>-0.22891566265060237</v>
      </c>
      <c r="O57" s="94">
        <f t="shared" si="140"/>
        <v>-2.4691358024691357E-2</v>
      </c>
      <c r="P57" s="94">
        <f t="shared" si="140"/>
        <v>-0.13207547169811318</v>
      </c>
      <c r="Q57" s="94">
        <f t="shared" si="140"/>
        <v>-0.2584269662921348</v>
      </c>
      <c r="R57" s="94">
        <f t="shared" si="140"/>
        <v>-0.21875</v>
      </c>
      <c r="S57" s="94">
        <f t="shared" si="140"/>
        <v>-0.68354430379746833</v>
      </c>
      <c r="T57" s="94">
        <f t="shared" si="140"/>
        <v>-0.60869565217391308</v>
      </c>
      <c r="U57" s="94">
        <f t="shared" si="140"/>
        <v>-9.0909090909090939E-2</v>
      </c>
      <c r="V57" s="94">
        <f t="shared" si="140"/>
        <v>-1</v>
      </c>
      <c r="W57" s="94">
        <f t="shared" si="140"/>
        <v>4.0000000000000036E-2</v>
      </c>
      <c r="X57" s="94">
        <f t="shared" si="140"/>
        <v>0.5</v>
      </c>
      <c r="Y57" s="94">
        <f t="shared" si="140"/>
        <v>-6.6666666666666652E-2</v>
      </c>
      <c r="Z57" s="94" t="str">
        <f t="shared" si="141"/>
        <v xml:space="preserve">NA  </v>
      </c>
      <c r="AA57" s="94">
        <f t="shared" si="142"/>
        <v>4.0769230769230766</v>
      </c>
      <c r="AB57" s="94">
        <f t="shared" si="143"/>
        <v>2.7777777777777777</v>
      </c>
      <c r="AC57" s="94">
        <f t="shared" si="144"/>
        <v>1.0178571428571428</v>
      </c>
      <c r="AD57" s="94">
        <f t="shared" si="145"/>
        <v>3.6231884057970953E-2</v>
      </c>
      <c r="AE57" s="94">
        <f t="shared" si="146"/>
        <v>-0.47727272727272729</v>
      </c>
      <c r="AF57" s="94">
        <f t="shared" si="147"/>
        <v>-0.76470588235294112</v>
      </c>
      <c r="AG57" s="94">
        <f t="shared" si="148"/>
        <v>-0.62831858407079644</v>
      </c>
      <c r="AH57" s="94">
        <f t="shared" si="149"/>
        <v>-0.59402517482517481</v>
      </c>
      <c r="AI57" s="94">
        <f t="shared" si="150"/>
        <v>-0.27524637681159414</v>
      </c>
      <c r="AJ57" s="94">
        <f t="shared" si="151"/>
        <v>0.76719999999999988</v>
      </c>
      <c r="AP57" s="124"/>
      <c r="AQ57" s="94">
        <f t="shared" ref="AQ57:AZ57" si="156">IFERROR(AQ37/AP37-1,"NA  ")</f>
        <v>-0.18333333333333335</v>
      </c>
      <c r="AR57" s="94">
        <f t="shared" si="156"/>
        <v>-0.41836734693877553</v>
      </c>
      <c r="AS57" s="94">
        <f t="shared" si="156"/>
        <v>0.74853801169590639</v>
      </c>
      <c r="AT57" s="94">
        <f t="shared" si="156"/>
        <v>-7.0234113712374535E-2</v>
      </c>
      <c r="AU57" s="94">
        <f t="shared" si="156"/>
        <v>-0.42805755395683454</v>
      </c>
      <c r="AV57" s="94">
        <f t="shared" si="156"/>
        <v>-0.28930817610062898</v>
      </c>
      <c r="AW57" s="94">
        <f t="shared" si="156"/>
        <v>2.7876106194690267</v>
      </c>
      <c r="AX57" s="94">
        <f t="shared" si="156"/>
        <v>-0.18457943925233644</v>
      </c>
      <c r="AY57" s="94">
        <f t="shared" si="156"/>
        <v>-0.44849512893982812</v>
      </c>
      <c r="AZ57" s="94">
        <f t="shared" si="156"/>
        <v>3.6866837909507177E-2</v>
      </c>
      <c r="BA57" s="94">
        <f t="shared" si="153"/>
        <v>1.0000000000000009E-2</v>
      </c>
      <c r="BB57" s="94">
        <f t="shared" si="154"/>
        <v>9.9999999999997868E-3</v>
      </c>
    </row>
    <row r="58" spans="2:58" ht="11.25" customHeight="1">
      <c r="C58" s="624" t="s">
        <v>107</v>
      </c>
      <c r="E58" s="124"/>
      <c r="F58" s="124"/>
      <c r="G58" s="124"/>
      <c r="H58" s="124"/>
      <c r="I58" s="94">
        <f t="shared" si="140"/>
        <v>-0.39534883720930236</v>
      </c>
      <c r="J58" s="94">
        <f t="shared" si="140"/>
        <v>-0.22222222222222221</v>
      </c>
      <c r="K58" s="94">
        <f t="shared" si="140"/>
        <v>-0.13924050632911389</v>
      </c>
      <c r="L58" s="94">
        <f t="shared" si="140"/>
        <v>-0.26027397260273977</v>
      </c>
      <c r="M58" s="94">
        <f t="shared" si="140"/>
        <v>7.6923076923076872E-2</v>
      </c>
      <c r="N58" s="94">
        <f t="shared" si="140"/>
        <v>3.5714285714285809E-2</v>
      </c>
      <c r="O58" s="94">
        <f t="shared" si="140"/>
        <v>-0.16176470588235292</v>
      </c>
      <c r="P58" s="94">
        <f t="shared" si="140"/>
        <v>-0.11111111111111116</v>
      </c>
      <c r="Q58" s="94">
        <f t="shared" si="140"/>
        <v>-0.25</v>
      </c>
      <c r="R58" s="94">
        <f t="shared" si="140"/>
        <v>-0.12068965517241381</v>
      </c>
      <c r="S58" s="94">
        <f t="shared" si="140"/>
        <v>-0.10526315789473684</v>
      </c>
      <c r="T58" s="94">
        <f t="shared" si="140"/>
        <v>4.1666666666666741E-2</v>
      </c>
      <c r="U58" s="94">
        <f t="shared" si="140"/>
        <v>0.26190476190476186</v>
      </c>
      <c r="V58" s="94">
        <f t="shared" si="140"/>
        <v>-9.8039215686274495E-2</v>
      </c>
      <c r="W58" s="94">
        <f t="shared" si="140"/>
        <v>-0.19607843137254899</v>
      </c>
      <c r="X58" s="94">
        <f t="shared" si="140"/>
        <v>-0.19999999999999996</v>
      </c>
      <c r="Y58" s="94">
        <f t="shared" si="140"/>
        <v>-0.15094339622641506</v>
      </c>
      <c r="Z58" s="94">
        <f t="shared" si="141"/>
        <v>-0.19565217391304346</v>
      </c>
      <c r="AA58" s="94">
        <f t="shared" si="142"/>
        <v>-0.21951219512195119</v>
      </c>
      <c r="AB58" s="94">
        <f t="shared" si="143"/>
        <v>-0.30000000000000004</v>
      </c>
      <c r="AC58" s="94">
        <f t="shared" si="144"/>
        <v>-0.46666666666666667</v>
      </c>
      <c r="AD58" s="94">
        <f t="shared" si="145"/>
        <v>0</v>
      </c>
      <c r="AE58" s="94">
        <f t="shared" si="146"/>
        <v>-0.34375</v>
      </c>
      <c r="AF58" s="94">
        <f t="shared" si="147"/>
        <v>1.0714285714285716</v>
      </c>
      <c r="AG58" s="94">
        <f t="shared" si="148"/>
        <v>2.9166666666666665</v>
      </c>
      <c r="AH58" s="94">
        <f t="shared" si="149"/>
        <v>0.99551891891891886</v>
      </c>
      <c r="AI58" s="94">
        <f t="shared" si="150"/>
        <v>2.6000000000000005</v>
      </c>
      <c r="AJ58" s="94">
        <f t="shared" si="151"/>
        <v>0.50520344827586205</v>
      </c>
      <c r="AP58" s="124"/>
      <c r="AQ58" s="94">
        <f t="shared" ref="AQ58:AZ58" si="157">IFERROR(AQ38/AP38-1,"NA  ")</f>
        <v>-0.17721518987341767</v>
      </c>
      <c r="AR58" s="94">
        <f t="shared" si="157"/>
        <v>-0.20512820512820518</v>
      </c>
      <c r="AS58" s="94">
        <f t="shared" si="157"/>
        <v>-0.25806451612903225</v>
      </c>
      <c r="AT58" s="94">
        <f t="shared" si="157"/>
        <v>-4.7826086956521685E-2</v>
      </c>
      <c r="AU58" s="94">
        <f t="shared" si="157"/>
        <v>-0.11415525114155256</v>
      </c>
      <c r="AV58" s="94">
        <f t="shared" si="157"/>
        <v>-7.2164948453608213E-2</v>
      </c>
      <c r="AW58" s="94">
        <f t="shared" si="157"/>
        <v>-0.21111111111111114</v>
      </c>
      <c r="AX58" s="94">
        <f t="shared" si="157"/>
        <v>-1.4084507042253502E-2</v>
      </c>
      <c r="AY58" s="94">
        <f t="shared" si="157"/>
        <v>1.3624000000000005</v>
      </c>
      <c r="AZ58" s="94">
        <f t="shared" si="157"/>
        <v>1.3796986115814258E-2</v>
      </c>
      <c r="BA58" s="94">
        <f t="shared" si="153"/>
        <v>1.5000000000000124E-2</v>
      </c>
      <c r="BB58" s="94">
        <f t="shared" si="154"/>
        <v>5.1249999999999796E-2</v>
      </c>
    </row>
    <row r="59" spans="2:58" ht="11.25" hidden="1" customHeight="1">
      <c r="C59" s="624" t="s">
        <v>108</v>
      </c>
      <c r="E59" s="124"/>
      <c r="F59" s="124"/>
      <c r="G59" s="124"/>
      <c r="H59" s="124"/>
      <c r="I59" s="94">
        <f t="shared" si="140"/>
        <v>0.16666666666666674</v>
      </c>
      <c r="J59" s="94">
        <f t="shared" si="140"/>
        <v>0.54545454545454541</v>
      </c>
      <c r="K59" s="94">
        <f t="shared" si="140"/>
        <v>4.333333333333333</v>
      </c>
      <c r="L59" s="94">
        <f t="shared" si="140"/>
        <v>0</v>
      </c>
      <c r="M59" s="94">
        <f t="shared" si="140"/>
        <v>-0.7142857142857143</v>
      </c>
      <c r="N59" s="94">
        <f t="shared" si="140"/>
        <v>-0.58823529411764708</v>
      </c>
      <c r="O59" s="94">
        <f t="shared" si="140"/>
        <v>-0.125</v>
      </c>
      <c r="P59" s="94">
        <f t="shared" si="140"/>
        <v>0.44444444444444442</v>
      </c>
      <c r="Q59" s="94">
        <f t="shared" si="140"/>
        <v>-10.5</v>
      </c>
      <c r="R59" s="94">
        <f t="shared" si="140"/>
        <v>-4</v>
      </c>
      <c r="S59" s="94">
        <f t="shared" si="140"/>
        <v>-2.1428571428571428</v>
      </c>
      <c r="T59" s="94">
        <f t="shared" si="140"/>
        <v>-1.5384615384615383</v>
      </c>
      <c r="U59" s="94">
        <f t="shared" si="140"/>
        <v>0.31578947368421062</v>
      </c>
      <c r="V59" s="94">
        <f t="shared" si="140"/>
        <v>-1.9047619047619047</v>
      </c>
      <c r="W59" s="94">
        <f t="shared" si="140"/>
        <v>-0.5</v>
      </c>
      <c r="X59" s="94">
        <f t="shared" si="140"/>
        <v>1.5714285714285716</v>
      </c>
      <c r="Y59" s="94">
        <f t="shared" si="140"/>
        <v>-4.0000000000000036E-2</v>
      </c>
      <c r="Z59" s="94">
        <f t="shared" si="141"/>
        <v>-1.263157894736842</v>
      </c>
      <c r="AA59" s="94">
        <f t="shared" si="142"/>
        <v>1.375</v>
      </c>
      <c r="AB59" s="94">
        <f t="shared" si="143"/>
        <v>-1.7777777777777777</v>
      </c>
      <c r="AC59" s="94">
        <f t="shared" si="144"/>
        <v>-1</v>
      </c>
      <c r="AD59" s="94">
        <f t="shared" si="145"/>
        <v>-6.8</v>
      </c>
      <c r="AE59" s="94">
        <f t="shared" si="146"/>
        <v>-2.6842105263157894</v>
      </c>
      <c r="AF59" s="94">
        <f t="shared" si="147"/>
        <v>1.1428571428571428</v>
      </c>
      <c r="AG59" s="94" t="str">
        <f t="shared" si="148"/>
        <v xml:space="preserve">NA  </v>
      </c>
      <c r="AH59" s="94">
        <f t="shared" si="149"/>
        <v>-0.53357931034482764</v>
      </c>
      <c r="AI59" s="94">
        <f t="shared" si="150"/>
        <v>-0.57843437500000006</v>
      </c>
      <c r="AJ59" s="94">
        <f t="shared" si="151"/>
        <v>-0.59936999999999996</v>
      </c>
      <c r="AP59" s="124"/>
      <c r="AQ59" s="94">
        <f t="shared" ref="AQ59:AZ59" si="158">IFERROR(AQ39/AP39-1,"NA  ")</f>
        <v>-0.32075471698113212</v>
      </c>
      <c r="AR59" s="94">
        <f t="shared" si="158"/>
        <v>-0.19444444444444442</v>
      </c>
      <c r="AS59" s="94">
        <f t="shared" si="158"/>
        <v>0.68965517241379315</v>
      </c>
      <c r="AT59" s="94">
        <f t="shared" si="158"/>
        <v>-0.26530612244897955</v>
      </c>
      <c r="AU59" s="94">
        <f t="shared" si="158"/>
        <v>-2.75</v>
      </c>
      <c r="AV59" s="94">
        <f t="shared" si="158"/>
        <v>-0.49206349206349209</v>
      </c>
      <c r="AW59" s="94">
        <f t="shared" si="158"/>
        <v>6.25E-2</v>
      </c>
      <c r="AX59" s="94">
        <f t="shared" si="158"/>
        <v>-3.6764705882352939</v>
      </c>
      <c r="AY59" s="94">
        <f t="shared" si="158"/>
        <v>0.12126593406593411</v>
      </c>
      <c r="AZ59" s="94">
        <f t="shared" si="158"/>
        <v>-0.48101260153358849</v>
      </c>
      <c r="BA59" s="94">
        <f t="shared" si="153"/>
        <v>3.0337385529894734E-2</v>
      </c>
      <c r="BB59" s="94">
        <f t="shared" si="154"/>
        <v>2.5429595070579625E-2</v>
      </c>
    </row>
    <row r="60" spans="2:58" ht="11.25" customHeight="1">
      <c r="C60" s="645" t="s">
        <v>168</v>
      </c>
      <c r="E60" s="648"/>
      <c r="F60" s="648"/>
      <c r="G60" s="648"/>
      <c r="H60" s="648"/>
      <c r="I60" s="647">
        <f t="shared" si="140"/>
        <v>-1.2315270935960632E-2</v>
      </c>
      <c r="J60" s="647">
        <f t="shared" si="140"/>
        <v>0.11702127659574457</v>
      </c>
      <c r="K60" s="647">
        <f t="shared" si="140"/>
        <v>0.10817307692307687</v>
      </c>
      <c r="L60" s="647">
        <f t="shared" si="140"/>
        <v>5.0595238095238138E-2</v>
      </c>
      <c r="M60" s="647">
        <f t="shared" si="140"/>
        <v>0.14463840399002503</v>
      </c>
      <c r="N60" s="647">
        <f t="shared" si="140"/>
        <v>6.4285714285714279E-2</v>
      </c>
      <c r="O60" s="647">
        <f t="shared" si="140"/>
        <v>-2.1691973969631184E-2</v>
      </c>
      <c r="P60" s="647">
        <f t="shared" si="140"/>
        <v>-0.21813031161473084</v>
      </c>
      <c r="Q60" s="647">
        <f t="shared" si="140"/>
        <v>-0.23311546840958608</v>
      </c>
      <c r="R60" s="647">
        <f t="shared" si="140"/>
        <v>-0.12975391498881428</v>
      </c>
      <c r="S60" s="647">
        <f t="shared" si="140"/>
        <v>-0.18181818181818177</v>
      </c>
      <c r="T60" s="647">
        <f t="shared" si="140"/>
        <v>1.0869565217391353E-2</v>
      </c>
      <c r="U60" s="647">
        <f t="shared" si="140"/>
        <v>8.5227272727272707E-2</v>
      </c>
      <c r="V60" s="647">
        <f t="shared" si="140"/>
        <v>-0.49871465295629824</v>
      </c>
      <c r="W60" s="647">
        <f t="shared" si="140"/>
        <v>-0.15989159891598914</v>
      </c>
      <c r="X60" s="647">
        <f t="shared" si="140"/>
        <v>0.17921146953405009</v>
      </c>
      <c r="Y60" s="647">
        <f t="shared" si="140"/>
        <v>4.7120418848167533E-2</v>
      </c>
      <c r="Z60" s="647">
        <f t="shared" si="141"/>
        <v>1.3025641025641024</v>
      </c>
      <c r="AA60" s="647">
        <f t="shared" si="142"/>
        <v>0.4258064516129032</v>
      </c>
      <c r="AB60" s="647">
        <f t="shared" si="143"/>
        <v>0</v>
      </c>
      <c r="AC60" s="647">
        <f t="shared" si="144"/>
        <v>-8.4999999999999964E-2</v>
      </c>
      <c r="AD60" s="647">
        <f t="shared" si="145"/>
        <v>4.4543429844098092E-2</v>
      </c>
      <c r="AE60" s="647">
        <f t="shared" si="146"/>
        <v>-0.24660633484162897</v>
      </c>
      <c r="AF60" s="647">
        <f t="shared" si="147"/>
        <v>-0.48024316109422494</v>
      </c>
      <c r="AG60" s="647">
        <f t="shared" si="148"/>
        <v>-0.22677595628415304</v>
      </c>
      <c r="AH60" s="647">
        <f t="shared" si="149"/>
        <v>-0.18344776119402995</v>
      </c>
      <c r="AI60" s="647">
        <f t="shared" si="150"/>
        <v>0.22642012012012036</v>
      </c>
      <c r="AJ60" s="647">
        <f t="shared" si="151"/>
        <v>0.99550701754385984</v>
      </c>
      <c r="AK60" s="580"/>
      <c r="AL60" s="580"/>
      <c r="AM60" s="580"/>
      <c r="AN60" s="580"/>
      <c r="AO60" s="580"/>
      <c r="AP60" s="648"/>
      <c r="AQ60" s="647">
        <f t="shared" ref="AQ60:AZ60" si="159">IFERROR(AQ40/AP40-1,"NA  ")</f>
        <v>4.897706137631741E-2</v>
      </c>
      <c r="AR60" s="647">
        <f t="shared" si="159"/>
        <v>-9.338061465721037E-2</v>
      </c>
      <c r="AS60" s="647">
        <f t="shared" si="159"/>
        <v>6.5840938722294684E-2</v>
      </c>
      <c r="AT60" s="647">
        <f t="shared" si="159"/>
        <v>-1.2232415902140303E-3</v>
      </c>
      <c r="AU60" s="647">
        <f t="shared" si="159"/>
        <v>-0.14941824862216779</v>
      </c>
      <c r="AV60" s="647">
        <f t="shared" si="159"/>
        <v>-0.12455003599712022</v>
      </c>
      <c r="AW60" s="647">
        <f t="shared" si="159"/>
        <v>0.33223684210526305</v>
      </c>
      <c r="AX60" s="647">
        <f t="shared" si="159"/>
        <v>-0.17345679012345683</v>
      </c>
      <c r="AY60" s="647">
        <f t="shared" si="159"/>
        <v>5.7201344286781364E-2</v>
      </c>
      <c r="AZ60" s="647">
        <f t="shared" si="159"/>
        <v>7.1455416621985401E-2</v>
      </c>
      <c r="BA60" s="647">
        <f t="shared" si="153"/>
        <v>5.3700819180037218E-2</v>
      </c>
      <c r="BB60" s="647">
        <f t="shared" si="154"/>
        <v>5.8203676478104427E-2</v>
      </c>
    </row>
    <row r="61" spans="2:58" ht="11.25" customHeight="1">
      <c r="C61" s="624"/>
    </row>
    <row r="62" spans="2:58" ht="11.25" customHeight="1">
      <c r="B62" s="27" t="s">
        <v>14</v>
      </c>
      <c r="C62" s="567" t="s">
        <v>1070</v>
      </c>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P62" s="31"/>
      <c r="AQ62" s="94"/>
      <c r="AR62" s="94"/>
      <c r="AS62" s="94"/>
      <c r="AT62" s="94"/>
      <c r="AU62" s="94"/>
      <c r="AV62" s="94"/>
      <c r="AW62" s="94"/>
      <c r="AX62" s="94"/>
      <c r="AY62" s="94"/>
      <c r="AZ62" s="94"/>
      <c r="BA62" s="94"/>
      <c r="BB62" s="94"/>
    </row>
    <row r="63" spans="2:58" ht="5.2" customHeight="1">
      <c r="C63" s="567"/>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P63" s="31"/>
      <c r="AQ63" s="94"/>
      <c r="AR63" s="94"/>
      <c r="AS63" s="94"/>
      <c r="AT63" s="94"/>
      <c r="AU63" s="94"/>
      <c r="AV63" s="94"/>
      <c r="AW63" s="94"/>
      <c r="AX63" s="94"/>
      <c r="AY63" s="94"/>
      <c r="AZ63" s="94"/>
      <c r="BA63" s="94"/>
      <c r="BB63" s="94"/>
    </row>
    <row r="64" spans="2:58" ht="11.25" customHeight="1">
      <c r="C64" s="25" t="s">
        <v>104</v>
      </c>
      <c r="E64" s="88">
        <f t="shared" ref="E64:X64" si="160">+IFERROR(E35/E$40,"NA ")</f>
        <v>0.37192118226600984</v>
      </c>
      <c r="F64" s="88">
        <f t="shared" si="160"/>
        <v>0.44680851063829785</v>
      </c>
      <c r="G64" s="88">
        <f t="shared" si="160"/>
        <v>0.38461538461538464</v>
      </c>
      <c r="H64" s="88">
        <f t="shared" si="160"/>
        <v>0.39285714285714285</v>
      </c>
      <c r="I64" s="88">
        <f t="shared" si="160"/>
        <v>0.38154613466334164</v>
      </c>
      <c r="J64" s="88">
        <f t="shared" si="160"/>
        <v>0.38333333333333336</v>
      </c>
      <c r="K64" s="88">
        <f t="shared" si="160"/>
        <v>0.40347071583514099</v>
      </c>
      <c r="L64" s="88">
        <f t="shared" si="160"/>
        <v>0.45609065155807366</v>
      </c>
      <c r="M64" s="88">
        <f t="shared" si="160"/>
        <v>0.3877995642701525</v>
      </c>
      <c r="N64" s="88">
        <f t="shared" si="160"/>
        <v>0.42058165548098436</v>
      </c>
      <c r="O64" s="88">
        <f t="shared" si="160"/>
        <v>0.40354767184035478</v>
      </c>
      <c r="P64" s="88">
        <f t="shared" si="160"/>
        <v>0.44565217391304346</v>
      </c>
      <c r="Q64" s="88">
        <f t="shared" si="160"/>
        <v>0.34943181818181818</v>
      </c>
      <c r="R64" s="88">
        <f t="shared" si="160"/>
        <v>0.31362467866323906</v>
      </c>
      <c r="S64" s="88">
        <f t="shared" si="160"/>
        <v>0.31978319783197834</v>
      </c>
      <c r="T64" s="88">
        <f>+IFERROR(T35/T$40,"NA ")</f>
        <v>0.32974910394265233</v>
      </c>
      <c r="U64" s="88">
        <f t="shared" si="160"/>
        <v>0.3586387434554974</v>
      </c>
      <c r="V64" s="88">
        <f t="shared" si="160"/>
        <v>0.53333333333333333</v>
      </c>
      <c r="W64" s="88">
        <f t="shared" si="160"/>
        <v>0.30967741935483872</v>
      </c>
      <c r="X64" s="88">
        <f t="shared" si="160"/>
        <v>0.32218844984802431</v>
      </c>
      <c r="Y64" s="88">
        <f t="shared" ref="Y64:AB64" si="161">+IFERROR(Y35/Y$40,"NA ")</f>
        <v>0.31</v>
      </c>
      <c r="Z64" s="88">
        <f t="shared" si="161"/>
        <v>0.25835189309576839</v>
      </c>
      <c r="AA64" s="88">
        <f t="shared" si="161"/>
        <v>0.29638009049773756</v>
      </c>
      <c r="AB64" s="88">
        <f t="shared" si="161"/>
        <v>0.34346504559270519</v>
      </c>
      <c r="AC64" s="88">
        <f t="shared" ref="AC64:AF64" si="162">+IFERROR(AC35/AC$40,"NA ")</f>
        <v>0.45628415300546449</v>
      </c>
      <c r="AD64" s="88">
        <f t="shared" si="162"/>
        <v>0.34115138592750532</v>
      </c>
      <c r="AE64" s="88">
        <f t="shared" si="162"/>
        <v>0.42942942942942941</v>
      </c>
      <c r="AF64" s="88">
        <f t="shared" si="162"/>
        <v>0.44444444444444442</v>
      </c>
      <c r="AG64" s="88">
        <f t="shared" ref="AG64:AJ64" si="163">+IFERROR(AG35/AG$40,"NA ")</f>
        <v>0.43816254416961131</v>
      </c>
      <c r="AH64" s="88">
        <f t="shared" si="163"/>
        <v>0.36287996490522584</v>
      </c>
      <c r="AI64" s="88">
        <f t="shared" si="163"/>
        <v>0.33365107900897628</v>
      </c>
      <c r="AJ64" s="88">
        <f t="shared" si="163"/>
        <v>0.34384613152881166</v>
      </c>
      <c r="AK64" s="458"/>
      <c r="AL64" s="458"/>
      <c r="AM64" s="458"/>
      <c r="AN64" s="458"/>
      <c r="AO64" s="458"/>
      <c r="AP64" s="88">
        <f t="shared" ref="AP64:AY64" si="164">+IFERROR(AP35/AP$40,"NA ")</f>
        <v>0.3341599504029758</v>
      </c>
      <c r="AQ64" s="88">
        <f t="shared" si="164"/>
        <v>0.39007092198581561</v>
      </c>
      <c r="AR64" s="88">
        <f t="shared" si="164"/>
        <v>0.39830508474576271</v>
      </c>
      <c r="AS64" s="88">
        <f t="shared" si="164"/>
        <v>0.40428134556574924</v>
      </c>
      <c r="AT64" s="88">
        <f t="shared" si="164"/>
        <v>0.41090018371096143</v>
      </c>
      <c r="AU64" s="88">
        <f t="shared" si="164"/>
        <v>0.3275737940964723</v>
      </c>
      <c r="AV64" s="88">
        <f t="shared" si="164"/>
        <v>0.36430921052631576</v>
      </c>
      <c r="AW64" s="88">
        <f t="shared" si="164"/>
        <v>0.29876543209876544</v>
      </c>
      <c r="AX64" s="88">
        <f t="shared" si="164"/>
        <v>0.40776699029126212</v>
      </c>
      <c r="AY64" s="88">
        <f t="shared" si="164"/>
        <v>0.36490950856906146</v>
      </c>
      <c r="AZ64" s="88">
        <f t="shared" ref="AZ64:BB64" si="165">+IFERROR(AZ35/AZ$40,"NA ")</f>
        <v>0.32907018050759074</v>
      </c>
      <c r="BA64" s="88">
        <f t="shared" si="165"/>
        <v>0.34311298969949838</v>
      </c>
      <c r="BB64" s="88">
        <f t="shared" si="165"/>
        <v>0.33396820219589907</v>
      </c>
    </row>
    <row r="65" spans="2:54" ht="11.25" customHeight="1">
      <c r="C65" s="624" t="s">
        <v>105</v>
      </c>
      <c r="E65" s="88">
        <f t="shared" ref="E65:X65" si="166">+IFERROR(E36/E$40,"NA ")</f>
        <v>0.26600985221674878</v>
      </c>
      <c r="F65" s="88">
        <f t="shared" si="166"/>
        <v>0.35106382978723405</v>
      </c>
      <c r="G65" s="88">
        <f t="shared" si="166"/>
        <v>0.33894230769230771</v>
      </c>
      <c r="H65" s="88">
        <f t="shared" si="166"/>
        <v>0.26785714285714285</v>
      </c>
      <c r="I65" s="88">
        <f t="shared" si="166"/>
        <v>0.30174563591022446</v>
      </c>
      <c r="J65" s="88">
        <f t="shared" si="166"/>
        <v>0.3261904761904762</v>
      </c>
      <c r="K65" s="88">
        <f t="shared" si="166"/>
        <v>0.30802603036876358</v>
      </c>
      <c r="L65" s="88">
        <f t="shared" si="166"/>
        <v>0.26628895184135976</v>
      </c>
      <c r="M65" s="88">
        <f t="shared" si="166"/>
        <v>0.30065359477124182</v>
      </c>
      <c r="N65" s="88">
        <f t="shared" si="166"/>
        <v>0.32214765100671139</v>
      </c>
      <c r="O65" s="88">
        <f t="shared" si="166"/>
        <v>0.32594235033259422</v>
      </c>
      <c r="P65" s="88">
        <f t="shared" si="166"/>
        <v>0.2608695652173913</v>
      </c>
      <c r="Q65" s="88">
        <f t="shared" si="166"/>
        <v>0.28977272727272729</v>
      </c>
      <c r="R65" s="88">
        <f t="shared" si="166"/>
        <v>0.37275064267352187</v>
      </c>
      <c r="S65" s="88">
        <f t="shared" si="166"/>
        <v>0.43089430894308944</v>
      </c>
      <c r="T65" s="88">
        <f>+IFERROR(T36/T$40,"NA ")</f>
        <v>0.40143369175627241</v>
      </c>
      <c r="U65" s="88">
        <f t="shared" si="166"/>
        <v>0.28010471204188481</v>
      </c>
      <c r="V65" s="88">
        <f t="shared" si="166"/>
        <v>0.3282051282051282</v>
      </c>
      <c r="W65" s="88">
        <f t="shared" si="166"/>
        <v>0.44838709677419353</v>
      </c>
      <c r="X65" s="88">
        <f t="shared" si="166"/>
        <v>0.41945288753799392</v>
      </c>
      <c r="Y65" s="88">
        <f t="shared" ref="Y65:AB65" si="167">+IFERROR(Y36/Y$40,"NA ")</f>
        <v>0.3775</v>
      </c>
      <c r="Z65" s="88">
        <f t="shared" si="167"/>
        <v>0.34075723830734966</v>
      </c>
      <c r="AA65" s="88">
        <f t="shared" si="167"/>
        <v>0.2895927601809955</v>
      </c>
      <c r="AB65" s="88">
        <f t="shared" si="167"/>
        <v>0.303951367781155</v>
      </c>
      <c r="AC65" s="88">
        <f t="shared" ref="AC65:AF65" si="168">+IFERROR(AC36/AC$40,"NA ")</f>
        <v>0.16939890710382513</v>
      </c>
      <c r="AD65" s="88">
        <f t="shared" si="168"/>
        <v>0.33688699360341151</v>
      </c>
      <c r="AE65" s="88">
        <f t="shared" si="168"/>
        <v>0.3963963963963964</v>
      </c>
      <c r="AF65" s="88">
        <f t="shared" si="168"/>
        <v>0.25146198830409355</v>
      </c>
      <c r="AG65" s="88">
        <f t="shared" ref="AG65:AJ65" si="169">+IFERROR(AG36/AG$40,"NA ")</f>
        <v>0.303886925795053</v>
      </c>
      <c r="AH65" s="88">
        <f t="shared" si="169"/>
        <v>0.32804996827369748</v>
      </c>
      <c r="AI65" s="88">
        <f t="shared" si="169"/>
        <v>0.3918178815317121</v>
      </c>
      <c r="AJ65" s="88">
        <f t="shared" si="169"/>
        <v>0.31123954779113427</v>
      </c>
      <c r="AK65" s="458"/>
      <c r="AL65" s="458"/>
      <c r="AM65" s="458"/>
      <c r="AN65" s="458"/>
      <c r="AO65" s="458"/>
      <c r="AP65" s="88">
        <f t="shared" ref="AP65:AY65" si="170">+IFERROR(AP36/AP$40,"NA ")</f>
        <v>0.18164910105393675</v>
      </c>
      <c r="AQ65" s="88">
        <f t="shared" si="170"/>
        <v>0.22695035460992907</v>
      </c>
      <c r="AR65" s="88">
        <f t="shared" si="170"/>
        <v>0.30704041720990871</v>
      </c>
      <c r="AS65" s="88">
        <f t="shared" si="170"/>
        <v>0.3021406727828746</v>
      </c>
      <c r="AT65" s="88">
        <f t="shared" si="170"/>
        <v>0.30679730557256585</v>
      </c>
      <c r="AU65" s="88">
        <f t="shared" si="170"/>
        <v>0.37293016558675307</v>
      </c>
      <c r="AV65" s="88">
        <f t="shared" si="170"/>
        <v>0.36842105263157893</v>
      </c>
      <c r="AW65" s="88">
        <f t="shared" si="170"/>
        <v>0.32839506172839505</v>
      </c>
      <c r="AX65" s="88">
        <f t="shared" si="170"/>
        <v>0.29499626587005229</v>
      </c>
      <c r="AY65" s="88">
        <f t="shared" si="170"/>
        <v>0.33756421162416356</v>
      </c>
      <c r="AZ65" s="88">
        <f t="shared" ref="AZ65:BB65" si="171">+IFERROR(AZ36/AZ$40,"NA ")</f>
        <v>0.3531997246742356</v>
      </c>
      <c r="BA65" s="88">
        <f t="shared" si="171"/>
        <v>0.35195921285943471</v>
      </c>
      <c r="BB65" s="88">
        <f t="shared" si="171"/>
        <v>0.36719109906140623</v>
      </c>
    </row>
    <row r="66" spans="2:54" ht="11.25" customHeight="1">
      <c r="C66" s="624" t="s">
        <v>106</v>
      </c>
      <c r="E66" s="88">
        <f t="shared" ref="E66:X66" si="172">+IFERROR(E37/E$40,"NA ")</f>
        <v>0.16502463054187191</v>
      </c>
      <c r="F66" s="88">
        <f t="shared" si="172"/>
        <v>3.9893617021276598E-2</v>
      </c>
      <c r="G66" s="88">
        <f t="shared" si="172"/>
        <v>9.375E-2</v>
      </c>
      <c r="H66" s="88">
        <f t="shared" si="172"/>
        <v>0.14880952380952381</v>
      </c>
      <c r="I66" s="88">
        <f t="shared" si="172"/>
        <v>0.20448877805486285</v>
      </c>
      <c r="J66" s="88">
        <f t="shared" si="172"/>
        <v>0.19761904761904761</v>
      </c>
      <c r="K66" s="88">
        <f t="shared" si="172"/>
        <v>0.175704989154013</v>
      </c>
      <c r="L66" s="88">
        <f t="shared" si="172"/>
        <v>0.1501416430594901</v>
      </c>
      <c r="M66" s="88">
        <f t="shared" si="172"/>
        <v>0.19389978213507625</v>
      </c>
      <c r="N66" s="88">
        <f t="shared" si="172"/>
        <v>0.14317673378076062</v>
      </c>
      <c r="O66" s="88">
        <f t="shared" si="172"/>
        <v>0.17516629711751663</v>
      </c>
      <c r="P66" s="88">
        <f t="shared" si="172"/>
        <v>0.16666666666666666</v>
      </c>
      <c r="Q66" s="88">
        <f t="shared" si="172"/>
        <v>0.1875</v>
      </c>
      <c r="R66" s="88">
        <f t="shared" si="172"/>
        <v>0.12853470437017994</v>
      </c>
      <c r="S66" s="88">
        <f t="shared" si="172"/>
        <v>6.7750677506775062E-2</v>
      </c>
      <c r="T66" s="88">
        <f>+IFERROR(T37/T$40,"NA ")</f>
        <v>6.4516129032258063E-2</v>
      </c>
      <c r="U66" s="88">
        <f t="shared" si="172"/>
        <v>0.15706806282722513</v>
      </c>
      <c r="V66" s="88">
        <f t="shared" si="172"/>
        <v>0</v>
      </c>
      <c r="W66" s="88">
        <f t="shared" si="172"/>
        <v>8.387096774193549E-2</v>
      </c>
      <c r="X66" s="88">
        <f t="shared" si="172"/>
        <v>8.2066869300911852E-2</v>
      </c>
      <c r="Y66" s="88">
        <f t="shared" ref="Y66:AB66" si="173">+IFERROR(Y37/Y$40,"NA ")</f>
        <v>0.14000000000000001</v>
      </c>
      <c r="Z66" s="88">
        <f t="shared" si="173"/>
        <v>0.30734966592427615</v>
      </c>
      <c r="AA66" s="88">
        <f t="shared" si="173"/>
        <v>0.29864253393665158</v>
      </c>
      <c r="AB66" s="88">
        <f t="shared" si="173"/>
        <v>0.3100303951367781</v>
      </c>
      <c r="AC66" s="88">
        <f t="shared" ref="AC66:AF66" si="174">+IFERROR(AC37/AC$40,"NA ")</f>
        <v>0.30874316939890711</v>
      </c>
      <c r="AD66" s="88">
        <f t="shared" si="174"/>
        <v>0.30490405117270791</v>
      </c>
      <c r="AE66" s="88">
        <f t="shared" si="174"/>
        <v>0.2072072072072072</v>
      </c>
      <c r="AF66" s="88">
        <f t="shared" si="174"/>
        <v>0.14035087719298245</v>
      </c>
      <c r="AG66" s="88">
        <f t="shared" ref="AG66:AJ66" si="175">+IFERROR(AG37/AG$40,"NA ")</f>
        <v>0.14840989399293286</v>
      </c>
      <c r="AH66" s="88">
        <f t="shared" si="175"/>
        <v>0.15159271261192334</v>
      </c>
      <c r="AI66" s="88">
        <f t="shared" si="175"/>
        <v>0.12244920945969603</v>
      </c>
      <c r="AJ66" s="88">
        <f t="shared" si="175"/>
        <v>0.12429325880332921</v>
      </c>
      <c r="AK66" s="458"/>
      <c r="AL66" s="458"/>
      <c r="AM66" s="458"/>
      <c r="AN66" s="458"/>
      <c r="AO66" s="458"/>
      <c r="AP66" s="88">
        <f t="shared" ref="AP66:AY66" si="176">+IFERROR(AP37/AP$40,"NA ")</f>
        <v>0.2231866088034718</v>
      </c>
      <c r="AQ66" s="88">
        <f t="shared" si="176"/>
        <v>0.17375886524822695</v>
      </c>
      <c r="AR66" s="88">
        <f t="shared" si="176"/>
        <v>0.11147327249022164</v>
      </c>
      <c r="AS66" s="88">
        <f t="shared" si="176"/>
        <v>0.18287461773700306</v>
      </c>
      <c r="AT66" s="88">
        <f t="shared" si="176"/>
        <v>0.1702388242498469</v>
      </c>
      <c r="AU66" s="88">
        <f t="shared" si="176"/>
        <v>0.11447084233261338</v>
      </c>
      <c r="AV66" s="88">
        <f t="shared" si="176"/>
        <v>9.2927631578947373E-2</v>
      </c>
      <c r="AW66" s="88">
        <f t="shared" si="176"/>
        <v>0.26419753086419751</v>
      </c>
      <c r="AX66" s="88">
        <f t="shared" si="176"/>
        <v>0.26064227035100823</v>
      </c>
      <c r="AY66" s="88">
        <f t="shared" si="176"/>
        <v>0.13596793314686723</v>
      </c>
      <c r="AZ66" s="88">
        <f t="shared" ref="AZ66:BB66" si="177">+IFERROR(AZ37/AZ$40,"NA ")</f>
        <v>0.13157863473550588</v>
      </c>
      <c r="BA66" s="88">
        <f t="shared" si="177"/>
        <v>0.12612158846595181</v>
      </c>
      <c r="BB66" s="88">
        <f t="shared" si="177"/>
        <v>0.1203764522672654</v>
      </c>
    </row>
    <row r="67" spans="2:54" ht="11.25" customHeight="1">
      <c r="C67" s="624" t="s">
        <v>107</v>
      </c>
      <c r="E67" s="88">
        <f t="shared" ref="E67:X67" si="178">+IFERROR(E38/E$40,"NA ")</f>
        <v>0.21182266009852216</v>
      </c>
      <c r="F67" s="88">
        <f t="shared" si="178"/>
        <v>0.19148936170212766</v>
      </c>
      <c r="G67" s="88">
        <f t="shared" si="178"/>
        <v>0.18990384615384615</v>
      </c>
      <c r="H67" s="88">
        <f t="shared" si="178"/>
        <v>0.21726190476190477</v>
      </c>
      <c r="I67" s="88">
        <f t="shared" si="178"/>
        <v>0.12967581047381546</v>
      </c>
      <c r="J67" s="88">
        <f t="shared" si="178"/>
        <v>0.13333333333333333</v>
      </c>
      <c r="K67" s="88">
        <f t="shared" si="178"/>
        <v>0.1475054229934924</v>
      </c>
      <c r="L67" s="88">
        <f t="shared" si="178"/>
        <v>0.15297450424929179</v>
      </c>
      <c r="M67" s="88">
        <f t="shared" si="178"/>
        <v>0.12200435729847495</v>
      </c>
      <c r="N67" s="88">
        <f t="shared" si="178"/>
        <v>0.12975391498881431</v>
      </c>
      <c r="O67" s="88">
        <f t="shared" si="178"/>
        <v>0.12638580931263857</v>
      </c>
      <c r="P67" s="88">
        <f t="shared" si="178"/>
        <v>0.17391304347826086</v>
      </c>
      <c r="Q67" s="88">
        <f t="shared" si="178"/>
        <v>0.11931818181818182</v>
      </c>
      <c r="R67" s="88">
        <f t="shared" si="178"/>
        <v>0.13110539845758354</v>
      </c>
      <c r="S67" s="88">
        <f t="shared" si="178"/>
        <v>0.13821138211382114</v>
      </c>
      <c r="T67" s="88">
        <f>+IFERROR(T38/T$40,"NA ")</f>
        <v>0.17921146953405018</v>
      </c>
      <c r="U67" s="88">
        <f t="shared" si="178"/>
        <v>0.13874345549738221</v>
      </c>
      <c r="V67" s="88">
        <f t="shared" si="178"/>
        <v>0.23589743589743589</v>
      </c>
      <c r="W67" s="88">
        <f t="shared" si="178"/>
        <v>0.13225806451612904</v>
      </c>
      <c r="X67" s="88">
        <f t="shared" si="178"/>
        <v>0.12158054711246201</v>
      </c>
      <c r="Y67" s="88">
        <f t="shared" ref="Y67:AB67" si="179">+IFERROR(Y38/Y$40,"NA ")</f>
        <v>0.1125</v>
      </c>
      <c r="Z67" s="88">
        <f t="shared" si="179"/>
        <v>8.2405345211581285E-2</v>
      </c>
      <c r="AA67" s="88">
        <f t="shared" si="179"/>
        <v>7.2398190045248875E-2</v>
      </c>
      <c r="AB67" s="88">
        <f t="shared" si="179"/>
        <v>8.5106382978723402E-2</v>
      </c>
      <c r="AC67" s="88">
        <f t="shared" ref="AC67:AF67" si="180">+IFERROR(AC38/AC$40,"NA ")</f>
        <v>6.5573770491803282E-2</v>
      </c>
      <c r="AD67" s="88">
        <f t="shared" si="180"/>
        <v>7.8891257995735611E-2</v>
      </c>
      <c r="AE67" s="88">
        <f t="shared" si="180"/>
        <v>6.3063063063063057E-2</v>
      </c>
      <c r="AF67" s="88">
        <f t="shared" si="180"/>
        <v>0.33918128654970758</v>
      </c>
      <c r="AG67" s="88">
        <f t="shared" ref="AG67:AJ67" si="181">+IFERROR(AG38/AG$40,"NA ")</f>
        <v>0.33215547703180209</v>
      </c>
      <c r="AH67" s="88">
        <f t="shared" si="181"/>
        <v>0.19279721539678768</v>
      </c>
      <c r="AI67" s="88">
        <f t="shared" si="181"/>
        <v>0.18511358652921575</v>
      </c>
      <c r="AJ67" s="88">
        <f t="shared" si="181"/>
        <v>0.255843170490901</v>
      </c>
      <c r="AK67" s="458"/>
      <c r="AL67" s="458"/>
      <c r="AM67" s="458"/>
      <c r="AN67" s="458"/>
      <c r="AO67" s="458"/>
      <c r="AP67" s="88">
        <f t="shared" ref="AP67:AY67" si="182">+IFERROR(AP38/AP$40,"NA ")</f>
        <v>0.29386236825790452</v>
      </c>
      <c r="AQ67" s="88">
        <f t="shared" si="182"/>
        <v>0.23049645390070922</v>
      </c>
      <c r="AR67" s="88">
        <f t="shared" si="182"/>
        <v>0.20208604954367665</v>
      </c>
      <c r="AS67" s="88">
        <f t="shared" si="182"/>
        <v>0.14067278287461774</v>
      </c>
      <c r="AT67" s="88">
        <f t="shared" si="182"/>
        <v>0.13410900183710961</v>
      </c>
      <c r="AU67" s="88">
        <f t="shared" si="182"/>
        <v>0.13966882649388049</v>
      </c>
      <c r="AV67" s="88">
        <f t="shared" si="182"/>
        <v>0.14802631578947367</v>
      </c>
      <c r="AW67" s="88">
        <f t="shared" si="182"/>
        <v>8.7654320987654327E-2</v>
      </c>
      <c r="AX67" s="88">
        <f t="shared" si="182"/>
        <v>0.10455563853622106</v>
      </c>
      <c r="AY67" s="88">
        <f t="shared" si="182"/>
        <v>0.23363784184800063</v>
      </c>
      <c r="AZ67" s="88">
        <f t="shared" ref="AZ67:BB67" si="183">+IFERROR(AZ38/AZ$40,"NA ")</f>
        <v>0.22106504501593469</v>
      </c>
      <c r="BA67" s="88">
        <f t="shared" si="183"/>
        <v>0.2129456640887698</v>
      </c>
      <c r="BB67" s="88">
        <f t="shared" si="183"/>
        <v>0.2115463538346071</v>
      </c>
    </row>
    <row r="68" spans="2:54" ht="11.25" customHeight="1">
      <c r="C68" s="624" t="s">
        <v>108</v>
      </c>
      <c r="E68" s="88">
        <f t="shared" ref="E68:X68" si="184">+IFERROR(E39/E$40,"NA ")</f>
        <v>-1.4778325123152709E-2</v>
      </c>
      <c r="F68" s="88">
        <f t="shared" si="184"/>
        <v>-2.9255319148936171E-2</v>
      </c>
      <c r="G68" s="88">
        <f t="shared" si="184"/>
        <v>-7.2115384615384619E-3</v>
      </c>
      <c r="H68" s="88">
        <f t="shared" si="184"/>
        <v>-2.6785714285714284E-2</v>
      </c>
      <c r="I68" s="88">
        <f t="shared" si="184"/>
        <v>-1.7456359102244388E-2</v>
      </c>
      <c r="J68" s="88">
        <f t="shared" si="184"/>
        <v>-4.0476190476190478E-2</v>
      </c>
      <c r="K68" s="88">
        <f t="shared" si="184"/>
        <v>-3.4707158351409979E-2</v>
      </c>
      <c r="L68" s="88">
        <f t="shared" si="184"/>
        <v>-2.5495750708215296E-2</v>
      </c>
      <c r="M68" s="88">
        <f t="shared" si="184"/>
        <v>-4.3572984749455342E-3</v>
      </c>
      <c r="N68" s="88">
        <f t="shared" si="184"/>
        <v>-1.5659955257270694E-2</v>
      </c>
      <c r="O68" s="88">
        <f t="shared" si="184"/>
        <v>-3.1042128603104215E-2</v>
      </c>
      <c r="P68" s="88">
        <f t="shared" si="184"/>
        <v>-4.710144927536232E-2</v>
      </c>
      <c r="Q68" s="88">
        <f t="shared" si="184"/>
        <v>5.3977272727272728E-2</v>
      </c>
      <c r="R68" s="88">
        <f t="shared" si="184"/>
        <v>5.3984575835475578E-2</v>
      </c>
      <c r="S68" s="88">
        <f t="shared" si="184"/>
        <v>4.3360433604336043E-2</v>
      </c>
      <c r="T68" s="88">
        <f>+IFERROR(T39/T$40,"NA ")</f>
        <v>2.5089605734767026E-2</v>
      </c>
      <c r="U68" s="88">
        <f t="shared" si="184"/>
        <v>6.5445026178010471E-2</v>
      </c>
      <c r="V68" s="88">
        <f t="shared" si="184"/>
        <v>-9.7435897435897437E-2</v>
      </c>
      <c r="W68" s="88">
        <f t="shared" si="184"/>
        <v>2.5806451612903226E-2</v>
      </c>
      <c r="X68" s="88">
        <f t="shared" si="184"/>
        <v>5.4711246200607903E-2</v>
      </c>
      <c r="Y68" s="88">
        <f t="shared" ref="Y68:AB68" si="185">+IFERROR(Y39/Y$40,"NA ")</f>
        <v>0.06</v>
      </c>
      <c r="Z68" s="88">
        <f t="shared" si="185"/>
        <v>1.1135857461024499E-2</v>
      </c>
      <c r="AA68" s="88">
        <f t="shared" si="185"/>
        <v>4.2986425339366516E-2</v>
      </c>
      <c r="AB68" s="88">
        <f t="shared" si="185"/>
        <v>-4.2553191489361701E-2</v>
      </c>
      <c r="AC68" s="88">
        <f t="shared" ref="AC68:AF68" si="186">+IFERROR(AC39/AC$40,"NA ")</f>
        <v>0</v>
      </c>
      <c r="AD68" s="88">
        <f t="shared" si="186"/>
        <v>-6.1833688699360338E-2</v>
      </c>
      <c r="AE68" s="88">
        <f t="shared" si="186"/>
        <v>-9.6096096096096095E-2</v>
      </c>
      <c r="AF68" s="88">
        <f t="shared" si="186"/>
        <v>-0.17543859649122806</v>
      </c>
      <c r="AG68" s="88">
        <f t="shared" ref="AG68:AJ68" si="187">+IFERROR(AG39/AG$40,"NA ")</f>
        <v>-0.22261484098939929</v>
      </c>
      <c r="AH68" s="88">
        <f t="shared" si="187"/>
        <v>-3.5319861187634319E-2</v>
      </c>
      <c r="AI68" s="88">
        <f t="shared" si="187"/>
        <v>-3.3031756529600172E-2</v>
      </c>
      <c r="AJ68" s="88">
        <f t="shared" si="187"/>
        <v>-3.5222108614176233E-2</v>
      </c>
      <c r="AK68" s="458"/>
      <c r="AL68" s="458"/>
      <c r="AM68" s="458"/>
      <c r="AN68" s="458"/>
      <c r="AO68" s="458"/>
      <c r="AP68" s="88">
        <f t="shared" ref="AP68:AY68" si="188">+IFERROR(AP39/AP$40,"NA ")</f>
        <v>-3.2858028518288902E-2</v>
      </c>
      <c r="AQ68" s="88">
        <f t="shared" si="188"/>
        <v>-2.1276595744680851E-2</v>
      </c>
      <c r="AR68" s="88">
        <f t="shared" si="188"/>
        <v>-1.8904823989569754E-2</v>
      </c>
      <c r="AS68" s="88">
        <f t="shared" si="188"/>
        <v>-2.9969418960244649E-2</v>
      </c>
      <c r="AT68" s="88">
        <f t="shared" si="188"/>
        <v>-2.2045315370483771E-2</v>
      </c>
      <c r="AU68" s="88">
        <f t="shared" si="188"/>
        <v>4.5356371490280781E-2</v>
      </c>
      <c r="AV68" s="88">
        <f t="shared" si="188"/>
        <v>2.6315789473684209E-2</v>
      </c>
      <c r="AW68" s="88">
        <f t="shared" si="188"/>
        <v>2.0987654320987655E-2</v>
      </c>
      <c r="AX68" s="88">
        <f t="shared" si="188"/>
        <v>-6.7961165048543687E-2</v>
      </c>
      <c r="AY68" s="88">
        <f t="shared" si="188"/>
        <v>-7.2079495188092951E-2</v>
      </c>
      <c r="AZ68" s="88">
        <f t="shared" ref="AZ68:BB68" si="189">+IFERROR(AZ39/AZ$40,"NA ")</f>
        <v>-3.4913584933266927E-2</v>
      </c>
      <c r="BA68" s="88">
        <f t="shared" si="189"/>
        <v>-3.4139455113654793E-2</v>
      </c>
      <c r="BB68" s="88">
        <f t="shared" si="189"/>
        <v>-3.3082107359177756E-2</v>
      </c>
    </row>
    <row r="69" spans="2:54" ht="11.25" customHeight="1">
      <c r="C69" s="645" t="s">
        <v>168</v>
      </c>
      <c r="E69" s="647">
        <f t="shared" ref="E69:Y69" si="190">SUM(E64:E68)</f>
        <v>1</v>
      </c>
      <c r="F69" s="647">
        <f t="shared" si="190"/>
        <v>1</v>
      </c>
      <c r="G69" s="647">
        <f t="shared" si="190"/>
        <v>0.99999999999999989</v>
      </c>
      <c r="H69" s="647">
        <f t="shared" si="190"/>
        <v>1.0000000000000002</v>
      </c>
      <c r="I69" s="647">
        <f t="shared" si="190"/>
        <v>1.0000000000000002</v>
      </c>
      <c r="J69" s="647">
        <f t="shared" si="190"/>
        <v>1</v>
      </c>
      <c r="K69" s="647">
        <f t="shared" si="190"/>
        <v>1</v>
      </c>
      <c r="L69" s="647">
        <f t="shared" si="190"/>
        <v>0.99999999999999989</v>
      </c>
      <c r="M69" s="647">
        <f t="shared" si="190"/>
        <v>1</v>
      </c>
      <c r="N69" s="647">
        <f t="shared" si="190"/>
        <v>1</v>
      </c>
      <c r="O69" s="647">
        <f t="shared" si="190"/>
        <v>1</v>
      </c>
      <c r="P69" s="647">
        <f t="shared" si="190"/>
        <v>1</v>
      </c>
      <c r="Q69" s="647">
        <f t="shared" si="190"/>
        <v>1</v>
      </c>
      <c r="R69" s="647">
        <f t="shared" si="190"/>
        <v>0.99999999999999989</v>
      </c>
      <c r="S69" s="647">
        <f t="shared" si="190"/>
        <v>1</v>
      </c>
      <c r="T69" s="647">
        <f t="shared" si="190"/>
        <v>1</v>
      </c>
      <c r="U69" s="647">
        <f t="shared" si="190"/>
        <v>1</v>
      </c>
      <c r="V69" s="647">
        <f t="shared" si="190"/>
        <v>1</v>
      </c>
      <c r="W69" s="647">
        <f t="shared" si="190"/>
        <v>0.99999999999999989</v>
      </c>
      <c r="X69" s="647">
        <f t="shared" si="190"/>
        <v>1</v>
      </c>
      <c r="Y69" s="647">
        <f t="shared" si="190"/>
        <v>1</v>
      </c>
      <c r="Z69" s="647">
        <f t="shared" ref="Z69:AB69" si="191">SUM(Z64:Z68)</f>
        <v>1</v>
      </c>
      <c r="AA69" s="647">
        <f t="shared" si="191"/>
        <v>0.99999999999999989</v>
      </c>
      <c r="AB69" s="647">
        <f t="shared" si="191"/>
        <v>1</v>
      </c>
      <c r="AC69" s="647">
        <f t="shared" ref="AC69:AF69" si="192">SUM(AC64:AC68)</f>
        <v>1</v>
      </c>
      <c r="AD69" s="647">
        <f t="shared" si="192"/>
        <v>1.0000000000000002</v>
      </c>
      <c r="AE69" s="647">
        <f t="shared" si="192"/>
        <v>0.99999999999999978</v>
      </c>
      <c r="AF69" s="647">
        <f t="shared" si="192"/>
        <v>1</v>
      </c>
      <c r="AG69" s="647">
        <f t="shared" ref="AG69:AJ69" si="193">SUM(AG64:AG68)</f>
        <v>0.99999999999999978</v>
      </c>
      <c r="AH69" s="647">
        <f t="shared" si="193"/>
        <v>1</v>
      </c>
      <c r="AI69" s="647">
        <f t="shared" si="193"/>
        <v>0.99999999999999989</v>
      </c>
      <c r="AJ69" s="647">
        <f t="shared" si="193"/>
        <v>1</v>
      </c>
      <c r="AP69" s="647">
        <f t="shared" ref="AP69:AY69" si="194">SUM(AP64:AP68)</f>
        <v>1</v>
      </c>
      <c r="AQ69" s="647">
        <f t="shared" si="194"/>
        <v>0.99999999999999989</v>
      </c>
      <c r="AR69" s="647">
        <f t="shared" si="194"/>
        <v>1</v>
      </c>
      <c r="AS69" s="647">
        <f t="shared" si="194"/>
        <v>1</v>
      </c>
      <c r="AT69" s="647">
        <f t="shared" si="194"/>
        <v>1</v>
      </c>
      <c r="AU69" s="647">
        <f t="shared" si="194"/>
        <v>1</v>
      </c>
      <c r="AV69" s="647">
        <f t="shared" si="194"/>
        <v>0.99999999999999989</v>
      </c>
      <c r="AW69" s="647">
        <f t="shared" si="194"/>
        <v>1</v>
      </c>
      <c r="AX69" s="647">
        <f t="shared" si="194"/>
        <v>1</v>
      </c>
      <c r="AY69" s="647">
        <f t="shared" si="194"/>
        <v>0.99999999999999978</v>
      </c>
      <c r="AZ69" s="647">
        <f t="shared" ref="AZ69:BB69" si="195">SUM(AZ64:AZ68)</f>
        <v>1</v>
      </c>
      <c r="BA69" s="647">
        <f t="shared" si="195"/>
        <v>0.99999999999999989</v>
      </c>
      <c r="BB69" s="647">
        <f t="shared" si="195"/>
        <v>1</v>
      </c>
    </row>
    <row r="70" spans="2:54" ht="11.25" customHeight="1">
      <c r="C70" s="645"/>
      <c r="E70" s="653"/>
      <c r="F70" s="653"/>
      <c r="G70" s="653"/>
      <c r="H70" s="653"/>
      <c r="I70" s="653"/>
      <c r="J70" s="653"/>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c r="AI70" s="653"/>
      <c r="AJ70" s="653"/>
      <c r="AP70" s="653"/>
      <c r="AQ70" s="653"/>
      <c r="AR70" s="653"/>
      <c r="AS70" s="653"/>
      <c r="AT70" s="653"/>
      <c r="AU70" s="653"/>
      <c r="AV70" s="653"/>
      <c r="AW70" s="653"/>
      <c r="AX70" s="653"/>
      <c r="AY70" s="653"/>
      <c r="AZ70" s="653"/>
      <c r="BA70" s="653"/>
      <c r="BB70" s="653"/>
    </row>
    <row r="71" spans="2:54" ht="11.25" customHeight="1">
      <c r="B71" s="27" t="s">
        <v>14</v>
      </c>
      <c r="C71" s="567" t="s">
        <v>617</v>
      </c>
    </row>
    <row r="72" spans="2:54" ht="5.2" customHeight="1">
      <c r="C72" s="567"/>
    </row>
    <row r="73" spans="2:54" ht="11.25" customHeight="1">
      <c r="C73" s="25" t="s">
        <v>104</v>
      </c>
      <c r="E73" s="212">
        <f>+Financials!E283</f>
        <v>203.71724137931034</v>
      </c>
      <c r="F73" s="212">
        <f>+Financials!F283</f>
        <v>219.64137931034483</v>
      </c>
      <c r="G73" s="212">
        <f>+Financials!G283</f>
        <v>212</v>
      </c>
      <c r="H73" s="212">
        <f>+Financials!H283</f>
        <v>183.64137931034483</v>
      </c>
      <c r="I73" s="212">
        <f>+Financials!I283</f>
        <v>205.61499148211243</v>
      </c>
      <c r="J73" s="212">
        <f>+Financials!J283</f>
        <v>214.34071550255535</v>
      </c>
      <c r="K73" s="212">
        <f>+Financials!K283</f>
        <v>239.70357751277683</v>
      </c>
      <c r="L73" s="212">
        <f>+Financials!L283</f>
        <v>214.34071550255535</v>
      </c>
      <c r="M73" s="212">
        <f>+Financials!M283</f>
        <v>233.11258278145695</v>
      </c>
      <c r="N73" s="212">
        <f>+Financials!N283</f>
        <v>241.66225165562915</v>
      </c>
      <c r="O73" s="212">
        <f>+Financials!O283</f>
        <v>236.75</v>
      </c>
      <c r="P73" s="212">
        <f>+Financials!P283</f>
        <v>178.4751655629139</v>
      </c>
      <c r="Q73" s="212">
        <f>+Financials!Q283</f>
        <v>167.64811783960721</v>
      </c>
      <c r="R73" s="212">
        <f>+Financials!R283</f>
        <v>166.93617021276594</v>
      </c>
      <c r="S73" s="212">
        <f>+Financials!S283</f>
        <v>161.49590834697219</v>
      </c>
      <c r="T73" s="212">
        <f>+Financials!T283</f>
        <v>134.91980360065466</v>
      </c>
      <c r="U73" s="212">
        <f>+Financials!U283</f>
        <v>168.9651567944251</v>
      </c>
      <c r="V73" s="212">
        <f>+Financials!V283</f>
        <v>136.42508710801394</v>
      </c>
      <c r="W73" s="212">
        <f>+Financials!W283</f>
        <v>130.26480836236934</v>
      </c>
      <c r="X73" s="212">
        <f>+Financials!X283</f>
        <v>139.34494773519162</v>
      </c>
      <c r="Y73" s="212">
        <f>+Financials!Y283</f>
        <v>163.05018587360595</v>
      </c>
      <c r="Z73" s="212">
        <f>+Financials!Z283</f>
        <v>152.6914498141264</v>
      </c>
      <c r="AA73" s="212">
        <f>+Financials!AA283</f>
        <v>164.28438661710038</v>
      </c>
      <c r="AB73" s="212">
        <f>+Financials!AB283</f>
        <v>144.97397769516729</v>
      </c>
      <c r="AC73" s="212">
        <f>+Financials!AC283</f>
        <v>203.02096436058702</v>
      </c>
      <c r="AD73" s="212">
        <f>+Financials!AD283</f>
        <v>196.31865828092242</v>
      </c>
      <c r="AE73" s="212">
        <f>+Financials!AE283</f>
        <v>177.83018867924528</v>
      </c>
      <c r="AF73" s="212">
        <f>+Financials!AF283</f>
        <v>110.83018867924528</v>
      </c>
      <c r="AG73" s="212">
        <f>+Financials!AG283</f>
        <v>165.9748427672956</v>
      </c>
      <c r="AH73" s="212">
        <f>+Financials!AH283</f>
        <v>176.51877147289477</v>
      </c>
      <c r="AI73" s="212">
        <f>+Financials!AI283</f>
        <v>174.29144814492687</v>
      </c>
      <c r="AJ73" s="212">
        <f>+Financials!AJ283</f>
        <v>155.84012481695893</v>
      </c>
      <c r="AK73" s="580"/>
      <c r="AL73" s="580"/>
      <c r="AM73" s="580"/>
      <c r="AN73" s="580"/>
      <c r="AO73" s="580"/>
      <c r="AP73" s="212">
        <f>+Financials!AL283</f>
        <v>686</v>
      </c>
      <c r="AQ73" s="212">
        <f>+Financials!AM283</f>
        <v>863</v>
      </c>
      <c r="AR73" s="212">
        <f>+Financials!AN283</f>
        <v>819</v>
      </c>
      <c r="AS73" s="212">
        <f>+Financials!AO283</f>
        <v>874</v>
      </c>
      <c r="AT73" s="212">
        <f>+Financials!AP283</f>
        <v>890</v>
      </c>
      <c r="AU73" s="212">
        <f>+Financials!AQ283</f>
        <v>631</v>
      </c>
      <c r="AV73" s="212">
        <f>+Financials!AR283</f>
        <v>575</v>
      </c>
      <c r="AW73" s="212">
        <f>+Financials!AS283</f>
        <v>625</v>
      </c>
      <c r="AX73" s="212">
        <f>+Financials!AT283</f>
        <v>688</v>
      </c>
      <c r="AY73" s="212">
        <f>+Financials!AU283</f>
        <v>672.62518720207618</v>
      </c>
      <c r="AZ73" s="212">
        <f>+Financials!AV283</f>
        <v>656.12114446056182</v>
      </c>
      <c r="BA73" s="212">
        <f>+Financials!AW283</f>
        <v>708.4432766039763</v>
      </c>
      <c r="BB73" s="212">
        <f>+Financials!AX283</f>
        <v>730.684396353274</v>
      </c>
    </row>
    <row r="74" spans="2:54" ht="11.25" customHeight="1">
      <c r="C74" s="624" t="s">
        <v>105</v>
      </c>
      <c r="E74" s="212">
        <f>+Financials!E404</f>
        <v>148.55172413793105</v>
      </c>
      <c r="F74" s="212">
        <f>+Financials!F404</f>
        <v>171.72413793103448</v>
      </c>
      <c r="G74" s="212">
        <f>+Financials!G404</f>
        <v>181</v>
      </c>
      <c r="H74" s="212">
        <f>+Financials!H404</f>
        <v>129.72413793103448</v>
      </c>
      <c r="I74" s="212">
        <f>+Financials!I404</f>
        <v>161.51107325383305</v>
      </c>
      <c r="J74" s="212">
        <f>+Financials!J404</f>
        <v>178.06984667802385</v>
      </c>
      <c r="K74" s="212">
        <f>+Financials!K404</f>
        <v>183.34923339011925</v>
      </c>
      <c r="L74" s="212">
        <f>+Financials!L404</f>
        <v>135.06984667802385</v>
      </c>
      <c r="M74" s="212">
        <f>+Financials!M404</f>
        <v>180.5298013245033</v>
      </c>
      <c r="N74" s="212">
        <f>+Financials!N404</f>
        <v>185.41059602649005</v>
      </c>
      <c r="O74" s="212">
        <f>+Financials!O404</f>
        <v>189.25</v>
      </c>
      <c r="P74" s="212">
        <f>+Financials!P404</f>
        <v>114.80960264900662</v>
      </c>
      <c r="Q74" s="212">
        <f>+Financials!Q404</f>
        <v>145.63338788870703</v>
      </c>
      <c r="R74" s="212">
        <f>+Financials!R404</f>
        <v>188.91489361702128</v>
      </c>
      <c r="S74" s="212">
        <f>+Financials!S404</f>
        <v>201.50736497545009</v>
      </c>
      <c r="T74" s="212">
        <f>+Financials!T404</f>
        <v>153.9443535188216</v>
      </c>
      <c r="U74" s="212">
        <f>+Financials!U404</f>
        <v>152.28397212543553</v>
      </c>
      <c r="V74" s="212">
        <f>+Financials!V404</f>
        <v>109.93554006968641</v>
      </c>
      <c r="W74" s="212">
        <f>+Financials!W404</f>
        <v>187.54181184668988</v>
      </c>
      <c r="X74" s="212">
        <f>+Financials!X404</f>
        <v>185.23867595818814</v>
      </c>
      <c r="Y74" s="212">
        <f>+Financials!Y404</f>
        <v>200.02044609665427</v>
      </c>
      <c r="Z74" s="212">
        <f>+Financials!Z404</f>
        <v>199.05947955390334</v>
      </c>
      <c r="AA74" s="212">
        <f>+Financials!AA404</f>
        <v>169.78252788104089</v>
      </c>
      <c r="AB74" s="212">
        <f>+Financials!AB404</f>
        <v>140.1375464684015</v>
      </c>
      <c r="AC74" s="212">
        <f>+Financials!AC404</f>
        <v>103.34800838574424</v>
      </c>
      <c r="AD74" s="212">
        <f>+Financials!AD404</f>
        <v>199.68972746331238</v>
      </c>
      <c r="AE74" s="212">
        <f>+Financials!AE404</f>
        <v>171.98113207547169</v>
      </c>
      <c r="AF74" s="212">
        <f>+Financials!AF404</f>
        <v>82.981132075471692</v>
      </c>
      <c r="AG74" s="212">
        <f>+Financials!AG404</f>
        <v>134.1823899371069</v>
      </c>
      <c r="AH74" s="212">
        <f>+Financials!AH404</f>
        <v>168.73321795832288</v>
      </c>
      <c r="AI74" s="212">
        <f>+Financials!AI404</f>
        <v>203.67066230720479</v>
      </c>
      <c r="AJ74" s="212">
        <f>+Financials!AJ404</f>
        <v>150.40870665608668</v>
      </c>
      <c r="AK74" s="212"/>
      <c r="AL74" s="212">
        <f>'Historical Segment'!E32</f>
        <v>166</v>
      </c>
      <c r="AM74" s="212">
        <f>'Historical Segment'!F32</f>
        <v>189</v>
      </c>
      <c r="AN74" s="212">
        <f>'Historical Segment'!G32</f>
        <v>193</v>
      </c>
      <c r="AO74" s="212">
        <f>'Historical Segment'!H32</f>
        <v>401</v>
      </c>
      <c r="AP74" s="212">
        <f>+Financials!AL404</f>
        <v>436</v>
      </c>
      <c r="AQ74" s="212">
        <f>+Financials!AM404</f>
        <v>545</v>
      </c>
      <c r="AR74" s="212">
        <f>+Financials!AN404</f>
        <v>631</v>
      </c>
      <c r="AS74" s="212">
        <f>+Financials!AO404</f>
        <v>658</v>
      </c>
      <c r="AT74" s="212">
        <f>+Financials!AP404</f>
        <v>670</v>
      </c>
      <c r="AU74" s="212">
        <f>+Financials!AQ404</f>
        <v>690</v>
      </c>
      <c r="AV74" s="212">
        <f>+Financials!AR404</f>
        <v>635</v>
      </c>
      <c r="AW74" s="212">
        <f>+Financials!AS404</f>
        <v>709</v>
      </c>
      <c r="AX74" s="212">
        <f>+Financials!AT404</f>
        <v>558</v>
      </c>
      <c r="AY74" s="212">
        <f>+Financials!AU404</f>
        <v>656.9949768587212</v>
      </c>
      <c r="AZ74" s="212">
        <f>+Financials!AV404</f>
        <v>715.93866272585615</v>
      </c>
      <c r="BA74" s="212">
        <f>+Financials!AW404</f>
        <v>746.25534650709938</v>
      </c>
      <c r="BB74" s="212">
        <f>+Financials!AX404</f>
        <v>811.40186833743974</v>
      </c>
    </row>
    <row r="75" spans="2:54" ht="11.25" customHeight="1">
      <c r="C75" s="624" t="s">
        <v>106</v>
      </c>
      <c r="E75" s="662">
        <f>+Financials!E485</f>
        <v>106.79137931034484</v>
      </c>
      <c r="F75" s="662">
        <f>+Financials!F485</f>
        <v>53.979310344827589</v>
      </c>
      <c r="G75" s="662">
        <f>+Financials!G485</f>
        <v>78.25</v>
      </c>
      <c r="H75" s="662">
        <f>+Financials!H485</f>
        <v>88.979310344827582</v>
      </c>
      <c r="I75" s="662">
        <f>+Financials!I485</f>
        <v>118.5587734241908</v>
      </c>
      <c r="J75" s="662">
        <f>+Financials!J485</f>
        <v>120.06303236797274</v>
      </c>
      <c r="K75" s="662">
        <f>+Financials!K485</f>
        <v>118.31516183986372</v>
      </c>
      <c r="L75" s="662">
        <f>+Financials!L485</f>
        <v>90.063032367972738</v>
      </c>
      <c r="M75" s="662">
        <f>+Financials!M485</f>
        <v>127</v>
      </c>
      <c r="N75" s="662">
        <f>+Financials!N485</f>
        <v>101</v>
      </c>
      <c r="O75" s="662">
        <f>+Financials!O485</f>
        <v>116.75</v>
      </c>
      <c r="P75" s="662">
        <f>+Financials!P485</f>
        <v>84.25</v>
      </c>
      <c r="Q75" s="662">
        <f>+Financials!Q485</f>
        <v>91.875613747954176</v>
      </c>
      <c r="R75" s="662">
        <f>+Financials!R485</f>
        <v>76.042553191489361</v>
      </c>
      <c r="S75" s="662">
        <f>+Financials!S485</f>
        <v>50.207855973813423</v>
      </c>
      <c r="T75" s="662">
        <f>+Financials!T485</f>
        <v>42.873977086743047</v>
      </c>
      <c r="U75" s="662">
        <f>+Financials!U485</f>
        <v>84.458188153310104</v>
      </c>
      <c r="V75" s="662">
        <f>+Financials!V485</f>
        <v>24.810104529616726</v>
      </c>
      <c r="W75" s="662">
        <f>+Financials!W485</f>
        <v>52.217770034843198</v>
      </c>
      <c r="X75" s="662">
        <f>+Financials!X485</f>
        <v>52.513937282229961</v>
      </c>
      <c r="Y75" s="662">
        <f>+Financials!Y485</f>
        <v>84.249070631970255</v>
      </c>
      <c r="Z75" s="662">
        <f>+Financials!Z485</f>
        <v>164.54275092936803</v>
      </c>
      <c r="AA75" s="662">
        <f>+Financials!AA485</f>
        <v>156.07806691449815</v>
      </c>
      <c r="AB75" s="662">
        <f>+Financials!AB485</f>
        <v>125.13011152416357</v>
      </c>
      <c r="AC75" s="662">
        <f>+Financials!AC485</f>
        <v>139.38155136268344</v>
      </c>
      <c r="AD75" s="662">
        <f>+Financials!AD485</f>
        <v>169.59958071278825</v>
      </c>
      <c r="AE75" s="662">
        <f>+Financials!AE485</f>
        <v>94.509433962264154</v>
      </c>
      <c r="AF75" s="662">
        <f>+Financials!AF485</f>
        <v>49.509433962264154</v>
      </c>
      <c r="AG75" s="662">
        <f>+Financials!AG485</f>
        <v>72.742138364779876</v>
      </c>
      <c r="AH75" s="662">
        <f>+Financials!AH485</f>
        <v>85.55520164212011</v>
      </c>
      <c r="AI75" s="662">
        <f>+Financials!AI485</f>
        <v>77.860260613185872</v>
      </c>
      <c r="AJ75" s="662">
        <f>+Financials!AJ485</f>
        <v>70.616519584251606</v>
      </c>
      <c r="AK75" s="662"/>
      <c r="AL75" s="662"/>
      <c r="AM75" s="662"/>
      <c r="AN75" s="662"/>
      <c r="AO75" s="662"/>
      <c r="AP75" s="662">
        <f>+Financials!AL485</f>
        <v>452</v>
      </c>
      <c r="AQ75" s="662">
        <f>+Financials!AM485</f>
        <v>443</v>
      </c>
      <c r="AR75" s="662">
        <f>+Financials!AN485</f>
        <v>328</v>
      </c>
      <c r="AS75" s="662">
        <f>+Financials!AO485</f>
        <v>447</v>
      </c>
      <c r="AT75" s="662">
        <f>+Financials!AP485</f>
        <v>429</v>
      </c>
      <c r="AU75" s="662">
        <f>+Financials!AQ485</f>
        <v>261</v>
      </c>
      <c r="AV75" s="662">
        <f>+Financials!AR485</f>
        <v>214</v>
      </c>
      <c r="AW75" s="662">
        <f>+Financials!AS485</f>
        <v>530</v>
      </c>
      <c r="AX75" s="662">
        <f>+Financials!AT485</f>
        <v>453</v>
      </c>
      <c r="AY75" s="662">
        <f>+Financials!AU485</f>
        <v>306.77412020433746</v>
      </c>
      <c r="AZ75" s="662">
        <f>+Financials!AV485</f>
        <v>314.56131864717202</v>
      </c>
      <c r="BA75" s="662">
        <f>+Financials!AW485</f>
        <v>318.80993768403891</v>
      </c>
      <c r="BB75" s="662">
        <f>+Financials!AX485</f>
        <v>325.06637340981177</v>
      </c>
    </row>
    <row r="76" spans="2:54" ht="11.25" customHeight="1">
      <c r="C76" s="624" t="s">
        <v>107</v>
      </c>
      <c r="E76" s="212">
        <f>+Financials!E563</f>
        <v>98.925862068965515</v>
      </c>
      <c r="F76" s="212">
        <f>+Financials!F563</f>
        <v>84.662068965517236</v>
      </c>
      <c r="G76" s="212">
        <f>+Financials!G563</f>
        <v>91.75</v>
      </c>
      <c r="H76" s="212">
        <f>+Financials!H563</f>
        <v>85.662068965517236</v>
      </c>
      <c r="I76" s="212">
        <f>+Financials!I563</f>
        <v>66.327086882453159</v>
      </c>
      <c r="J76" s="212">
        <f>+Financials!J563</f>
        <v>70.524701873935257</v>
      </c>
      <c r="K76" s="212">
        <f>+Financials!K563</f>
        <v>82.623509369676313</v>
      </c>
      <c r="L76" s="212">
        <f>+Financials!L563</f>
        <v>68.524701873935257</v>
      </c>
      <c r="M76" s="212">
        <f>+Financials!M563</f>
        <v>72.105960264900659</v>
      </c>
      <c r="N76" s="212">
        <f>+Financials!N563</f>
        <v>73.682119205298008</v>
      </c>
      <c r="O76" s="212">
        <f>+Financials!O563</f>
        <v>73</v>
      </c>
      <c r="P76" s="212">
        <f>+Financials!P563</f>
        <v>64.211920529801318</v>
      </c>
      <c r="Q76" s="212">
        <f>+Financials!Q563</f>
        <v>58.235679214402623</v>
      </c>
      <c r="R76" s="212">
        <f>+Financials!R563</f>
        <v>67.340425531914889</v>
      </c>
      <c r="S76" s="212">
        <f>+Financials!S563</f>
        <v>66.816693944353517</v>
      </c>
      <c r="T76" s="212">
        <f>+Financials!T563</f>
        <v>65.607201309328971</v>
      </c>
      <c r="U76" s="212">
        <f>+Financials!U563</f>
        <v>66.560975609756099</v>
      </c>
      <c r="V76" s="212">
        <f>+Financials!V563</f>
        <v>59.756097560975611</v>
      </c>
      <c r="W76" s="212">
        <f>+Financials!W563</f>
        <v>55.536585365853654</v>
      </c>
      <c r="X76" s="212">
        <f>+Financials!X563</f>
        <v>54.146341463414629</v>
      </c>
      <c r="Y76" s="212">
        <f>+Financials!Y563</f>
        <v>61.617100371747213</v>
      </c>
      <c r="Z76" s="212">
        <f>+Financials!Z563</f>
        <v>52.613382899628249</v>
      </c>
      <c r="AA76" s="212">
        <f>+Financials!AA563</f>
        <v>46.163568773234203</v>
      </c>
      <c r="AB76" s="212">
        <f>+Financials!AB563</f>
        <v>41.605947955390334</v>
      </c>
      <c r="AC76" s="212">
        <f>+Financials!AC563</f>
        <v>39.473794549266245</v>
      </c>
      <c r="AD76" s="212">
        <f>+Financials!AD563</f>
        <v>52.60167714884696</v>
      </c>
      <c r="AE76" s="212">
        <f>+Financials!AE563</f>
        <v>35.962264150943398</v>
      </c>
      <c r="AF76" s="212">
        <f>+Financials!AF563</f>
        <v>72.962264150943398</v>
      </c>
      <c r="AG76" s="212">
        <f>+Financials!AG563</f>
        <v>112.03144654088049</v>
      </c>
      <c r="AH76" s="212">
        <f>+Financials!AH563</f>
        <v>89.964477886243529</v>
      </c>
      <c r="AI76" s="212">
        <f>+Financials!AI563</f>
        <v>91.936422090426333</v>
      </c>
      <c r="AJ76" s="212">
        <f>+Financials!AJ563</f>
        <v>103.84436629460912</v>
      </c>
      <c r="AK76" s="212"/>
      <c r="AL76" s="212"/>
      <c r="AM76" s="212"/>
      <c r="AN76" s="212"/>
      <c r="AO76" s="212"/>
      <c r="AP76" s="212">
        <f>+Financials!AL563</f>
        <v>540</v>
      </c>
      <c r="AQ76" s="212">
        <f>+Financials!AM563</f>
        <v>445</v>
      </c>
      <c r="AR76" s="212">
        <f>+Financials!AN563</f>
        <v>361</v>
      </c>
      <c r="AS76" s="212">
        <f>+Financials!AO563</f>
        <v>288</v>
      </c>
      <c r="AT76" s="212">
        <f>+Financials!AP563</f>
        <v>283</v>
      </c>
      <c r="AU76" s="212">
        <f>+Financials!AQ563</f>
        <v>258</v>
      </c>
      <c r="AV76" s="212">
        <f>+Financials!AR563</f>
        <v>236</v>
      </c>
      <c r="AW76" s="212">
        <f>+Financials!AS563</f>
        <v>202</v>
      </c>
      <c r="AX76" s="212">
        <f>+Financials!AT563</f>
        <v>201</v>
      </c>
      <c r="AY76" s="212">
        <f>+Financials!AU563</f>
        <v>397.77671281215953</v>
      </c>
      <c r="AZ76" s="212">
        <f>+Financials!AV563</f>
        <v>402.74531543728358</v>
      </c>
      <c r="BA76" s="212">
        <f>+Financials!AW563</f>
        <v>409.09621974621518</v>
      </c>
      <c r="BB76" s="212">
        <f>+Financials!AX563</f>
        <v>429.02543593051269</v>
      </c>
    </row>
    <row r="77" spans="2:54" ht="11.25" hidden="1" customHeight="1">
      <c r="C77" s="624" t="s">
        <v>108</v>
      </c>
      <c r="E77" s="579">
        <f>+Financials!E617</f>
        <v>-4.9862068965517246</v>
      </c>
      <c r="F77" s="579">
        <f>+Financials!F617</f>
        <v>-10.006896551724138</v>
      </c>
      <c r="G77" s="579">
        <f>+Financials!G617</f>
        <v>-2</v>
      </c>
      <c r="H77" s="579">
        <f>+Financials!H617</f>
        <v>-8.0068965517241377</v>
      </c>
      <c r="I77" s="579">
        <f>+Financials!I617</f>
        <v>-6.0119250425894375</v>
      </c>
      <c r="J77" s="579">
        <f>+Financials!J617</f>
        <v>-15.998296422487224</v>
      </c>
      <c r="K77" s="579">
        <f>+Financials!K617</f>
        <v>-14.991482112436117</v>
      </c>
      <c r="L77" s="579">
        <f>+Financials!L617</f>
        <v>-7.9982964224872237</v>
      </c>
      <c r="M77" s="579">
        <f>+Financials!M617</f>
        <v>-1.7483443708609272</v>
      </c>
      <c r="N77" s="579">
        <f>+Financials!N617</f>
        <v>-6.7549668874172184</v>
      </c>
      <c r="O77" s="579">
        <f>+Financials!O617</f>
        <v>-13.75</v>
      </c>
      <c r="P77" s="579">
        <f>+Financials!P617</f>
        <v>-12.746688741721854</v>
      </c>
      <c r="Q77" s="579">
        <f>+Financials!Q617</f>
        <v>20.775777414075286</v>
      </c>
      <c r="R77" s="579">
        <f>+Financials!R617</f>
        <v>22.787234042553191</v>
      </c>
      <c r="S77" s="579">
        <f>+Financials!S617</f>
        <v>17.729950900163665</v>
      </c>
      <c r="T77" s="579">
        <f>+Financials!T617</f>
        <v>8.7070376432078564</v>
      </c>
      <c r="U77" s="579">
        <f>+Financials!U617</f>
        <v>25.726480836236934</v>
      </c>
      <c r="V77" s="579">
        <f>+Financials!V617</f>
        <v>-18.263066202090592</v>
      </c>
      <c r="W77" s="579">
        <f>+Financials!W617</f>
        <v>8.7787456445993026</v>
      </c>
      <c r="X77" s="579">
        <f>+Financials!X617</f>
        <v>18.757839721254356</v>
      </c>
      <c r="Y77" s="579">
        <f>+Financials!Y617</f>
        <v>25.107806691449813</v>
      </c>
      <c r="Z77" s="579">
        <f>+Financials!Z617</f>
        <v>6.04089219330855</v>
      </c>
      <c r="AA77" s="579">
        <f>+Financials!AA617</f>
        <v>19.944237918215613</v>
      </c>
      <c r="AB77" s="579">
        <f>+Financials!AB617</f>
        <v>-13.092936802973977</v>
      </c>
      <c r="AC77" s="579">
        <f>+Financials!AC617</f>
        <v>1.7756813417190775</v>
      </c>
      <c r="AD77" s="579">
        <f>+Financials!AD617</f>
        <v>-27.209643605870021</v>
      </c>
      <c r="AE77" s="579">
        <f>+Financials!AE617</f>
        <v>-30.283018867924529</v>
      </c>
      <c r="AF77" s="579">
        <f>+Financials!AF617</f>
        <v>-28.283018867924529</v>
      </c>
      <c r="AG77" s="579">
        <f>+Financials!AG617</f>
        <v>-60.930817610062896</v>
      </c>
      <c r="AH77" s="579">
        <f>+Financials!AH617</f>
        <v>-11.675184504857299</v>
      </c>
      <c r="AI77" s="579">
        <f>+Financials!AI617</f>
        <v>-11.615428612574028</v>
      </c>
      <c r="AJ77" s="579">
        <f>+Financials!AJ617</f>
        <v>-10.12057272029076</v>
      </c>
      <c r="AK77" s="579"/>
      <c r="AL77" s="579"/>
      <c r="AM77" s="579"/>
      <c r="AN77" s="579"/>
      <c r="AO77" s="579"/>
      <c r="AP77" s="579">
        <f>+Financials!AL617</f>
        <v>-51</v>
      </c>
      <c r="AQ77" s="579">
        <f>+Financials!AM617</f>
        <v>-33</v>
      </c>
      <c r="AR77" s="579">
        <f>+Financials!AN617</f>
        <v>-25</v>
      </c>
      <c r="AS77" s="579">
        <f>+Financials!AO617</f>
        <v>-45</v>
      </c>
      <c r="AT77" s="579">
        <f>+Financials!AP617</f>
        <v>-35</v>
      </c>
      <c r="AU77" s="579">
        <f>+Financials!AQ617</f>
        <v>70</v>
      </c>
      <c r="AV77" s="579">
        <f>+Financials!AR617</f>
        <v>35</v>
      </c>
      <c r="AW77" s="579">
        <f>+Financials!AS617</f>
        <v>38</v>
      </c>
      <c r="AX77" s="579">
        <f>+Financials!AT617</f>
        <v>-84</v>
      </c>
      <c r="AY77" s="579">
        <f>+Financials!AU617</f>
        <v>-94.342003447784975</v>
      </c>
      <c r="AZ77" s="579">
        <f>+Financials!AV617</f>
        <v>-45.21526024490187</v>
      </c>
      <c r="BA77" s="579">
        <f>+Financials!AW617</f>
        <v>-46.67013797395893</v>
      </c>
      <c r="BB77" s="579">
        <f>+Financials!AX617</f>
        <v>-47.772178546753047</v>
      </c>
    </row>
    <row r="78" spans="2:54" ht="11.25" customHeight="1">
      <c r="C78" s="645" t="s">
        <v>168</v>
      </c>
      <c r="E78" s="32">
        <f t="shared" ref="E78:X78" si="196">SUM(E73:E77)</f>
        <v>553</v>
      </c>
      <c r="F78" s="32">
        <f t="shared" si="196"/>
        <v>520</v>
      </c>
      <c r="G78" s="32">
        <f t="shared" si="196"/>
        <v>561</v>
      </c>
      <c r="H78" s="32">
        <f t="shared" si="196"/>
        <v>479.99999999999994</v>
      </c>
      <c r="I78" s="32">
        <f t="shared" si="196"/>
        <v>546</v>
      </c>
      <c r="J78" s="32">
        <f t="shared" si="196"/>
        <v>566.99999999999989</v>
      </c>
      <c r="K78" s="32">
        <f t="shared" si="196"/>
        <v>609</v>
      </c>
      <c r="L78" s="32">
        <f t="shared" si="196"/>
        <v>499.99999999999994</v>
      </c>
      <c r="M78" s="32">
        <f t="shared" si="196"/>
        <v>611</v>
      </c>
      <c r="N78" s="32">
        <f t="shared" si="196"/>
        <v>595</v>
      </c>
      <c r="O78" s="32">
        <f t="shared" si="196"/>
        <v>602</v>
      </c>
      <c r="P78" s="32">
        <f t="shared" si="196"/>
        <v>429</v>
      </c>
      <c r="Q78" s="32">
        <f t="shared" si="196"/>
        <v>484.16857610474631</v>
      </c>
      <c r="R78" s="32">
        <f t="shared" si="196"/>
        <v>522.02127659574467</v>
      </c>
      <c r="S78" s="32">
        <f t="shared" si="196"/>
        <v>497.75777414075287</v>
      </c>
      <c r="T78" s="32">
        <f>SUM(T73:T77)</f>
        <v>406.0523731587561</v>
      </c>
      <c r="U78" s="32">
        <f t="shared" si="196"/>
        <v>497.99477351916374</v>
      </c>
      <c r="V78" s="32">
        <f t="shared" si="196"/>
        <v>312.66376306620208</v>
      </c>
      <c r="W78" s="32">
        <f t="shared" si="196"/>
        <v>434.33972125435537</v>
      </c>
      <c r="X78" s="32">
        <f t="shared" si="196"/>
        <v>450.0017421602787</v>
      </c>
      <c r="Y78" s="32">
        <f t="shared" ref="Y78:AB78" si="197">SUM(Y73:Y77)</f>
        <v>534.04460966542752</v>
      </c>
      <c r="Z78" s="32">
        <f t="shared" si="197"/>
        <v>574.94795539033453</v>
      </c>
      <c r="AA78" s="32">
        <f t="shared" si="197"/>
        <v>556.25278810408929</v>
      </c>
      <c r="AB78" s="32">
        <f t="shared" si="197"/>
        <v>438.75464684014872</v>
      </c>
      <c r="AC78" s="32">
        <f t="shared" ref="AC78:AF78" si="198">SUM(AC73:AC77)</f>
        <v>487</v>
      </c>
      <c r="AD78" s="32">
        <f t="shared" si="198"/>
        <v>591</v>
      </c>
      <c r="AE78" s="32">
        <f t="shared" si="198"/>
        <v>450</v>
      </c>
      <c r="AF78" s="32">
        <f t="shared" si="198"/>
        <v>288</v>
      </c>
      <c r="AG78" s="32">
        <f t="shared" ref="AG78:AJ78" si="199">SUM(AG73:AG77)</f>
        <v>424</v>
      </c>
      <c r="AH78" s="32">
        <f t="shared" si="199"/>
        <v>509.09648445472408</v>
      </c>
      <c r="AI78" s="32">
        <f t="shared" si="199"/>
        <v>536.14336454316981</v>
      </c>
      <c r="AJ78" s="32">
        <f t="shared" si="199"/>
        <v>470.58914463161557</v>
      </c>
      <c r="AK78" s="580"/>
      <c r="AL78" s="580"/>
      <c r="AM78" s="580"/>
      <c r="AN78" s="580"/>
      <c r="AO78" s="580"/>
      <c r="AP78" s="32">
        <f t="shared" ref="AP78:AY78" si="200">SUM(AP73:AP77)</f>
        <v>2063</v>
      </c>
      <c r="AQ78" s="32">
        <f t="shared" si="200"/>
        <v>2263</v>
      </c>
      <c r="AR78" s="32">
        <f t="shared" si="200"/>
        <v>2114</v>
      </c>
      <c r="AS78" s="32">
        <f t="shared" si="200"/>
        <v>2222</v>
      </c>
      <c r="AT78" s="32">
        <f t="shared" si="200"/>
        <v>2237</v>
      </c>
      <c r="AU78" s="32">
        <f t="shared" si="200"/>
        <v>1910</v>
      </c>
      <c r="AV78" s="32">
        <f t="shared" si="200"/>
        <v>1695</v>
      </c>
      <c r="AW78" s="32">
        <f t="shared" si="200"/>
        <v>2104</v>
      </c>
      <c r="AX78" s="32">
        <f t="shared" si="200"/>
        <v>1816</v>
      </c>
      <c r="AY78" s="32">
        <f t="shared" si="200"/>
        <v>1939.8289936295096</v>
      </c>
      <c r="AZ78" s="32">
        <f t="shared" ref="AZ78:BB78" si="201">SUM(AZ73:AZ77)</f>
        <v>2044.1511810259713</v>
      </c>
      <c r="BA78" s="32">
        <f t="shared" si="201"/>
        <v>2135.9346425673712</v>
      </c>
      <c r="BB78" s="32">
        <f t="shared" si="201"/>
        <v>2248.4058954842853</v>
      </c>
    </row>
    <row r="79" spans="2:54" ht="11.25" customHeight="1">
      <c r="C79" s="646" t="s">
        <v>68</v>
      </c>
      <c r="E79" s="127">
        <f>+E78-Financials!E119</f>
        <v>0</v>
      </c>
      <c r="F79" s="127">
        <f>+F78-Financials!F119</f>
        <v>0</v>
      </c>
      <c r="G79" s="127">
        <f>+G78-Financials!G119</f>
        <v>0</v>
      </c>
      <c r="H79" s="127">
        <f>+H78-Financials!H119</f>
        <v>0</v>
      </c>
      <c r="I79" s="127">
        <f>+I78-Financials!I119</f>
        <v>0</v>
      </c>
      <c r="J79" s="127">
        <f>+J78-Financials!J119</f>
        <v>0</v>
      </c>
      <c r="K79" s="127">
        <f>+K78-Financials!K119</f>
        <v>0</v>
      </c>
      <c r="L79" s="127">
        <f>+L78-Financials!L119</f>
        <v>0</v>
      </c>
      <c r="M79" s="127">
        <f>+M78-Financials!M119</f>
        <v>0</v>
      </c>
      <c r="N79" s="127">
        <f>+N78-Financials!N119</f>
        <v>0</v>
      </c>
      <c r="O79" s="127">
        <f>+O78-Financials!O119</f>
        <v>0</v>
      </c>
      <c r="P79" s="127">
        <f>+P78-Financials!P119</f>
        <v>0</v>
      </c>
      <c r="Q79" s="127">
        <f>+Q78-Financials!Q119</f>
        <v>-22.831423895253693</v>
      </c>
      <c r="R79" s="127">
        <f>+R78-Financials!R119</f>
        <v>-22.978723404255334</v>
      </c>
      <c r="S79" s="127">
        <f>+S78-Financials!S119</f>
        <v>-22.242225859247128</v>
      </c>
      <c r="T79" s="127">
        <f>+T78-Financials!T119</f>
        <v>-21.947626841243903</v>
      </c>
      <c r="U79" s="127">
        <f>+U78-Financials!U119</f>
        <v>-23.005226480836257</v>
      </c>
      <c r="V79" s="127">
        <f>+V78-Financials!V119</f>
        <v>-23.33623693379792</v>
      </c>
      <c r="W79" s="127">
        <f>+W78-Financials!W119</f>
        <v>-24.660278745644632</v>
      </c>
      <c r="X79" s="127">
        <f>+X78-Financials!X119</f>
        <v>-23.998257839721305</v>
      </c>
      <c r="Y79" s="127">
        <f>+Y78-Financials!Y119</f>
        <v>-14.955390334572485</v>
      </c>
      <c r="Z79" s="127">
        <f>+Z78-Financials!Z119</f>
        <v>-19.052044609665472</v>
      </c>
      <c r="AA79" s="127">
        <f>+AA78-Financials!AA119</f>
        <v>-15.747211895910709</v>
      </c>
      <c r="AB79" s="127">
        <f>+AB78-Financials!AB119</f>
        <v>-19.245353159851277</v>
      </c>
      <c r="AC79" s="127">
        <f>+AC78-Financials!AC119</f>
        <v>0</v>
      </c>
      <c r="AD79" s="127">
        <f>+AD78-Financials!AD119</f>
        <v>0</v>
      </c>
      <c r="AE79" s="127">
        <f>+AE78-Financials!AE119</f>
        <v>0</v>
      </c>
      <c r="AF79" s="127">
        <f>+AF78-Financials!AF119</f>
        <v>0</v>
      </c>
      <c r="AG79" s="127">
        <f>+AG78-Financials!AG119</f>
        <v>0</v>
      </c>
      <c r="AH79" s="127">
        <f>+AH78-Financials!AH119</f>
        <v>0</v>
      </c>
      <c r="AI79" s="127">
        <f>+AI78-Financials!AI119</f>
        <v>0</v>
      </c>
      <c r="AJ79" s="127">
        <f>+AJ78-Financials!AJ119</f>
        <v>0</v>
      </c>
      <c r="AK79" s="580"/>
      <c r="AL79" s="580"/>
      <c r="AM79" s="580"/>
      <c r="AN79" s="580"/>
      <c r="AO79" s="580"/>
      <c r="AP79" s="127">
        <f>+AP78-Financials!AL119</f>
        <v>0</v>
      </c>
      <c r="AQ79" s="127">
        <f>+AQ78-Financials!AM119</f>
        <v>0</v>
      </c>
      <c r="AR79" s="127">
        <f>+AR78-Financials!AN119</f>
        <v>0</v>
      </c>
      <c r="AS79" s="127">
        <f>+AS78-Financials!AO119</f>
        <v>0</v>
      </c>
      <c r="AT79" s="127">
        <f>+AT78-Financials!AP119</f>
        <v>0</v>
      </c>
      <c r="AU79" s="127">
        <f>+AU78-Financials!AQ119</f>
        <v>-90</v>
      </c>
      <c r="AV79" s="127">
        <f>+AV78-Financials!AR119</f>
        <v>-95</v>
      </c>
      <c r="AW79" s="127">
        <f>+AW78-Financials!AS119</f>
        <v>-69</v>
      </c>
      <c r="AX79" s="127">
        <f>+AX78-Financials!AT119</f>
        <v>0</v>
      </c>
      <c r="AY79" s="127">
        <f>+AY78-Financials!AU119</f>
        <v>0</v>
      </c>
      <c r="AZ79" s="127">
        <f>+AZ78-Financials!AV119</f>
        <v>6.7908220259714653</v>
      </c>
      <c r="BA79" s="127">
        <f>+BA78-Financials!AW119</f>
        <v>6.9238690023712479</v>
      </c>
      <c r="BB79" s="127">
        <f>+BB78-Financials!AX119</f>
        <v>7.1743103697103834</v>
      </c>
    </row>
    <row r="80" spans="2:54" ht="11.25" customHeight="1">
      <c r="C80" s="624"/>
      <c r="E80" s="579"/>
      <c r="F80" s="579"/>
      <c r="G80" s="579"/>
      <c r="H80" s="579"/>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579"/>
      <c r="AG80" s="579"/>
      <c r="AH80" s="579"/>
      <c r="AI80" s="579"/>
      <c r="AJ80" s="579"/>
      <c r="AK80" s="579"/>
      <c r="AL80" s="579"/>
      <c r="AM80" s="579"/>
      <c r="AN80" s="579"/>
      <c r="AO80" s="579"/>
      <c r="AP80" s="579"/>
      <c r="AQ80" s="579"/>
      <c r="AR80" s="579"/>
      <c r="AS80" s="579"/>
      <c r="AT80" s="579"/>
      <c r="AU80" s="579"/>
      <c r="AV80" s="579"/>
      <c r="AW80" s="579"/>
      <c r="AX80" s="579"/>
      <c r="AY80" s="579"/>
      <c r="AZ80" s="579"/>
      <c r="BA80" s="579"/>
      <c r="BB80" s="579"/>
    </row>
    <row r="81" spans="2:54" ht="11.25" customHeight="1">
      <c r="B81" s="27" t="s">
        <v>14</v>
      </c>
      <c r="C81" s="567" t="s">
        <v>863</v>
      </c>
    </row>
    <row r="82" spans="2:54" ht="5.2" customHeight="1">
      <c r="C82" s="567"/>
    </row>
    <row r="83" spans="2:54" ht="11.25" customHeight="1">
      <c r="C83" s="25" t="s">
        <v>104</v>
      </c>
      <c r="E83" s="88">
        <f t="shared" ref="E83:X83" si="202">+IFERROR(E73/E10,"NA ")</f>
        <v>0.27641416740747671</v>
      </c>
      <c r="F83" s="88">
        <f t="shared" si="202"/>
        <v>0.28524854455888937</v>
      </c>
      <c r="G83" s="88">
        <f t="shared" si="202"/>
        <v>0.28191489361702127</v>
      </c>
      <c r="H83" s="88">
        <f t="shared" si="202"/>
        <v>0.25505747126436784</v>
      </c>
      <c r="I83" s="88">
        <f t="shared" si="202"/>
        <v>0.26599610799755813</v>
      </c>
      <c r="J83" s="88">
        <f t="shared" si="202"/>
        <v>0.2582418259066932</v>
      </c>
      <c r="K83" s="88">
        <f t="shared" si="202"/>
        <v>0.27054579854715216</v>
      </c>
      <c r="L83" s="88">
        <f t="shared" si="202"/>
        <v>0.25098444438238332</v>
      </c>
      <c r="M83" s="88">
        <f t="shared" si="202"/>
        <v>0.24825621169484233</v>
      </c>
      <c r="N83" s="88">
        <f t="shared" si="202"/>
        <v>0.25654166842423476</v>
      </c>
      <c r="O83" s="88">
        <f t="shared" si="202"/>
        <v>0.25874316939890712</v>
      </c>
      <c r="P83" s="88">
        <f t="shared" si="202"/>
        <v>0.20972404884008683</v>
      </c>
      <c r="Q83" s="88">
        <f t="shared" si="202"/>
        <v>0.25792018129170341</v>
      </c>
      <c r="R83" s="88">
        <f t="shared" si="202"/>
        <v>0.27012325277146593</v>
      </c>
      <c r="S83" s="88">
        <f t="shared" si="202"/>
        <v>0.2608980748739454</v>
      </c>
      <c r="T83" s="88">
        <f t="shared" ref="T83:T88" si="203">+IFERROR(T73/T10,"NA ")</f>
        <v>0.23753486549411032</v>
      </c>
      <c r="U83" s="88">
        <f t="shared" si="202"/>
        <v>0.26566848552582562</v>
      </c>
      <c r="V83" s="88">
        <f t="shared" si="202"/>
        <v>0.24060861923811983</v>
      </c>
      <c r="W83" s="88">
        <f t="shared" si="202"/>
        <v>0.23641526018578826</v>
      </c>
      <c r="X83" s="88">
        <f t="shared" si="202"/>
        <v>0.23698120363127828</v>
      </c>
      <c r="Y83" s="88">
        <f t="shared" ref="Y83:AB83" si="204">+IFERROR(Y73/Y10,"NA ")</f>
        <v>0.24263420516905648</v>
      </c>
      <c r="Z83" s="88">
        <f t="shared" si="204"/>
        <v>0.21148400251264043</v>
      </c>
      <c r="AA83" s="88">
        <f t="shared" si="204"/>
        <v>0.21197985369948436</v>
      </c>
      <c r="AB83" s="88">
        <f t="shared" si="204"/>
        <v>0.18586407396816321</v>
      </c>
      <c r="AC83" s="88">
        <f t="shared" ref="AC83:AF83" si="205">+IFERROR(AC73/AC10,"NA ")</f>
        <v>0.22837003865082903</v>
      </c>
      <c r="AD83" s="88">
        <f t="shared" si="205"/>
        <v>0.21246608039060869</v>
      </c>
      <c r="AE83" s="88">
        <f t="shared" si="205"/>
        <v>0.19628056145612063</v>
      </c>
      <c r="AF83" s="88">
        <f t="shared" si="205"/>
        <v>0.14660077867625038</v>
      </c>
      <c r="AG83" s="88">
        <f t="shared" ref="AG83:AJ83" si="206">+IFERROR(AG73/AG10,"NA ")</f>
        <v>0.21360983625134569</v>
      </c>
      <c r="AH83" s="88">
        <f t="shared" si="206"/>
        <v>0.20323152283422535</v>
      </c>
      <c r="AI83" s="88">
        <f t="shared" si="206"/>
        <v>0.20465390087939372</v>
      </c>
      <c r="AJ83" s="88">
        <f t="shared" si="206"/>
        <v>0.21251312498903469</v>
      </c>
      <c r="AK83" s="458"/>
      <c r="AL83" s="458"/>
      <c r="AM83" s="458"/>
      <c r="AN83" s="458"/>
      <c r="AO83" s="458"/>
      <c r="AP83" s="88">
        <f t="shared" ref="AP83:AY83" si="207">+IFERROR(AP73/AP10,"NA ")</f>
        <v>0.25984848484848483</v>
      </c>
      <c r="AQ83" s="88">
        <f t="shared" si="207"/>
        <v>0.2731877176321621</v>
      </c>
      <c r="AR83" s="88">
        <f t="shared" si="207"/>
        <v>0.27492447129909364</v>
      </c>
      <c r="AS83" s="88">
        <f t="shared" si="207"/>
        <v>0.2614418187256955</v>
      </c>
      <c r="AT83" s="88">
        <f t="shared" si="207"/>
        <v>0.24403619413216343</v>
      </c>
      <c r="AU83" s="88">
        <f t="shared" si="207"/>
        <v>0.25702647657841138</v>
      </c>
      <c r="AV83" s="88">
        <f t="shared" si="207"/>
        <v>0.24551665243381726</v>
      </c>
      <c r="AW83" s="88">
        <f t="shared" si="207"/>
        <v>0.2119362495761275</v>
      </c>
      <c r="AX83" s="88">
        <f t="shared" si="207"/>
        <v>0.19798561151079136</v>
      </c>
      <c r="AY83" s="88">
        <f t="shared" si="207"/>
        <v>0.2082095722057366</v>
      </c>
      <c r="AZ83" s="88">
        <f t="shared" ref="AZ83:BB83" si="208">+IFERROR(AZ73/AZ10,"NA ")</f>
        <v>0.19718522710418854</v>
      </c>
      <c r="BA83" s="88">
        <f t="shared" si="208"/>
        <v>0.20670843529221947</v>
      </c>
      <c r="BB83" s="88">
        <f t="shared" si="208"/>
        <v>0.20698826533876805</v>
      </c>
    </row>
    <row r="84" spans="2:54" ht="11.25" customHeight="1">
      <c r="C84" s="624" t="s">
        <v>105</v>
      </c>
      <c r="E84" s="88">
        <f t="shared" ref="E84:X84" si="209">+IFERROR(E74/E11,"NA ")</f>
        <v>0.25221005795913592</v>
      </c>
      <c r="F84" s="88">
        <f t="shared" si="209"/>
        <v>0.26582683890253017</v>
      </c>
      <c r="G84" s="88">
        <f t="shared" si="209"/>
        <v>0.28369905956112851</v>
      </c>
      <c r="H84" s="88">
        <f t="shared" si="209"/>
        <v>0.22213037316957959</v>
      </c>
      <c r="I84" s="88">
        <f t="shared" si="209"/>
        <v>0.25474932689879032</v>
      </c>
      <c r="J84" s="88">
        <f t="shared" si="209"/>
        <v>0.27103477424356748</v>
      </c>
      <c r="K84" s="88">
        <f t="shared" si="209"/>
        <v>0.28382234270916296</v>
      </c>
      <c r="L84" s="88">
        <f t="shared" si="209"/>
        <v>0.21270841996539189</v>
      </c>
      <c r="M84" s="88">
        <f t="shared" si="209"/>
        <v>0.26050476381602206</v>
      </c>
      <c r="N84" s="88">
        <f t="shared" si="209"/>
        <v>0.25433552267008236</v>
      </c>
      <c r="O84" s="88">
        <f t="shared" si="209"/>
        <v>0.26692524682651619</v>
      </c>
      <c r="P84" s="88">
        <f t="shared" si="209"/>
        <v>0.18398974783494651</v>
      </c>
      <c r="Q84" s="88">
        <f t="shared" si="209"/>
        <v>0.22166421292040644</v>
      </c>
      <c r="R84" s="88">
        <f t="shared" si="209"/>
        <v>0.27142944485204207</v>
      </c>
      <c r="S84" s="88">
        <f t="shared" si="209"/>
        <v>0.28910669293464863</v>
      </c>
      <c r="T84" s="88">
        <f t="shared" si="203"/>
        <v>0.24129209015489278</v>
      </c>
      <c r="U84" s="88">
        <f t="shared" si="209"/>
        <v>0.24761621483810656</v>
      </c>
      <c r="V84" s="88">
        <f t="shared" si="209"/>
        <v>0.19388984139274498</v>
      </c>
      <c r="W84" s="88">
        <f t="shared" si="209"/>
        <v>0.2807512153393561</v>
      </c>
      <c r="X84" s="88">
        <f t="shared" si="209"/>
        <v>0.27483483079849874</v>
      </c>
      <c r="Y84" s="88">
        <f t="shared" ref="Y84:AB84" si="210">+IFERROR(Y74/Y11,"NA ")</f>
        <v>0.27935816493946125</v>
      </c>
      <c r="Z84" s="88">
        <f t="shared" si="210"/>
        <v>0.25885497991404854</v>
      </c>
      <c r="AA84" s="88">
        <f t="shared" si="210"/>
        <v>0.22049678945589726</v>
      </c>
      <c r="AB84" s="88">
        <f t="shared" si="210"/>
        <v>0.18152531925958743</v>
      </c>
      <c r="AC84" s="88">
        <f t="shared" ref="AC84:AF84" si="211">+IFERROR(AC74/AC11,"NA ")</f>
        <v>0.14022796253153899</v>
      </c>
      <c r="AD84" s="88">
        <f t="shared" si="211"/>
        <v>0.23603986697791063</v>
      </c>
      <c r="AE84" s="88">
        <f t="shared" si="211"/>
        <v>0.19367244603093658</v>
      </c>
      <c r="AF84" s="88">
        <f t="shared" si="211"/>
        <v>0.11274610336341262</v>
      </c>
      <c r="AG84" s="88">
        <f t="shared" ref="AG84:AJ84" si="212">+IFERROR(AG74/AG11,"NA ")</f>
        <v>0.18083880045432196</v>
      </c>
      <c r="AH84" s="88">
        <f t="shared" si="212"/>
        <v>0.20146287694715823</v>
      </c>
      <c r="AI84" s="88">
        <f t="shared" si="212"/>
        <v>0.21637627731090089</v>
      </c>
      <c r="AJ84" s="88">
        <f t="shared" si="212"/>
        <v>0.18410779800245627</v>
      </c>
      <c r="AK84" s="458"/>
      <c r="AL84" s="458"/>
      <c r="AM84" s="458"/>
      <c r="AN84" s="458"/>
      <c r="AO84" s="458"/>
      <c r="AP84" s="88">
        <f t="shared" ref="AP84:AY84" si="213">+IFERROR(AP74/AP11,"NA ")</f>
        <v>0.18334735071488645</v>
      </c>
      <c r="AQ84" s="88">
        <f t="shared" si="213"/>
        <v>0.22576636288318144</v>
      </c>
      <c r="AR84" s="88">
        <f t="shared" si="213"/>
        <v>0.25681725681725681</v>
      </c>
      <c r="AS84" s="88">
        <f t="shared" si="213"/>
        <v>0.2558320373250389</v>
      </c>
      <c r="AT84" s="88">
        <f t="shared" si="213"/>
        <v>0.24319419237749546</v>
      </c>
      <c r="AU84" s="88">
        <f t="shared" si="213"/>
        <v>0.25669642857142855</v>
      </c>
      <c r="AV84" s="88">
        <f t="shared" si="213"/>
        <v>0.25158478605388274</v>
      </c>
      <c r="AW84" s="88">
        <f t="shared" si="213"/>
        <v>0.23422530558308557</v>
      </c>
      <c r="AX84" s="88">
        <f t="shared" si="213"/>
        <v>0.17399438727782976</v>
      </c>
      <c r="AY84" s="88">
        <f t="shared" si="213"/>
        <v>0.19683591394840919</v>
      </c>
      <c r="AZ84" s="88">
        <f t="shared" ref="AZ84:BB84" si="214">+IFERROR(AZ74/AZ11,"NA ")</f>
        <v>0.20046304847814964</v>
      </c>
      <c r="BA84" s="88">
        <f t="shared" si="214"/>
        <v>0.19900164702505799</v>
      </c>
      <c r="BB84" s="88">
        <f t="shared" si="214"/>
        <v>0.20905707455518729</v>
      </c>
    </row>
    <row r="85" spans="2:54" ht="11.25" customHeight="1">
      <c r="C85" s="624" t="s">
        <v>106</v>
      </c>
      <c r="E85" s="88">
        <f t="shared" ref="E85:X85" si="215">+IFERROR(E75/E12,"NA ")</f>
        <v>0.17224416017797553</v>
      </c>
      <c r="F85" s="88">
        <f t="shared" si="215"/>
        <v>8.5275371792776597E-2</v>
      </c>
      <c r="G85" s="88">
        <f t="shared" si="215"/>
        <v>0.12264890282131662</v>
      </c>
      <c r="H85" s="88">
        <f t="shared" si="215"/>
        <v>0.13838150908993402</v>
      </c>
      <c r="I85" s="88">
        <f t="shared" si="215"/>
        <v>0.17695339317043404</v>
      </c>
      <c r="J85" s="88">
        <f t="shared" si="215"/>
        <v>0.17078667477663262</v>
      </c>
      <c r="K85" s="88">
        <f t="shared" si="215"/>
        <v>0.16999304862049386</v>
      </c>
      <c r="L85" s="88">
        <f t="shared" si="215"/>
        <v>0.13666620996657472</v>
      </c>
      <c r="M85" s="88">
        <f t="shared" si="215"/>
        <v>0.17397260273972603</v>
      </c>
      <c r="N85" s="88">
        <f t="shared" si="215"/>
        <v>0.14245416078984485</v>
      </c>
      <c r="O85" s="88">
        <f t="shared" si="215"/>
        <v>0.16607396870554766</v>
      </c>
      <c r="P85" s="88">
        <f t="shared" si="215"/>
        <v>0.12227866473149492</v>
      </c>
      <c r="Q85" s="88">
        <f t="shared" si="215"/>
        <v>0.15519529349316583</v>
      </c>
      <c r="R85" s="88">
        <f t="shared" si="215"/>
        <v>0.13294152655854782</v>
      </c>
      <c r="S85" s="88">
        <f t="shared" si="215"/>
        <v>9.4198604078449197E-2</v>
      </c>
      <c r="T85" s="88">
        <f t="shared" si="203"/>
        <v>8.0288346604387731E-2</v>
      </c>
      <c r="U85" s="88">
        <f t="shared" si="215"/>
        <v>0.1636786592118413</v>
      </c>
      <c r="V85" s="88">
        <f t="shared" si="215"/>
        <v>6.3291082983716135E-2</v>
      </c>
      <c r="W85" s="88">
        <f t="shared" si="215"/>
        <v>0.1125382974888862</v>
      </c>
      <c r="X85" s="88">
        <f t="shared" si="215"/>
        <v>0.11149455898562624</v>
      </c>
      <c r="Y85" s="88">
        <f t="shared" ref="Y85:AB85" si="216">+IFERROR(Y75/Y12,"NA ")</f>
        <v>0.15544108972688239</v>
      </c>
      <c r="Z85" s="88">
        <f t="shared" si="216"/>
        <v>0.24595328987947387</v>
      </c>
      <c r="AA85" s="88">
        <f t="shared" si="216"/>
        <v>0.22785119257590972</v>
      </c>
      <c r="AB85" s="88">
        <f t="shared" si="216"/>
        <v>0.17574453865753309</v>
      </c>
      <c r="AC85" s="88">
        <f t="shared" ref="AC85:AF85" si="217">+IFERROR(AC75/AC12,"NA ")</f>
        <v>0.19493923267508173</v>
      </c>
      <c r="AD85" s="88">
        <f t="shared" si="217"/>
        <v>0.21968857605283451</v>
      </c>
      <c r="AE85" s="88">
        <f t="shared" si="217"/>
        <v>0.14211944956731451</v>
      </c>
      <c r="AF85" s="88">
        <f t="shared" si="217"/>
        <v>8.7782684330255586E-2</v>
      </c>
      <c r="AG85" s="88">
        <f t="shared" ref="AG85:AJ85" si="218">+IFERROR(AG75/AG12,"NA ")</f>
        <v>0.12350108381117127</v>
      </c>
      <c r="AH85" s="88">
        <f t="shared" si="218"/>
        <v>0.11789659580272312</v>
      </c>
      <c r="AI85" s="88">
        <f t="shared" si="218"/>
        <v>0.12455648794302651</v>
      </c>
      <c r="AJ85" s="88">
        <f t="shared" si="218"/>
        <v>0.13319850532716843</v>
      </c>
      <c r="AK85" s="458"/>
      <c r="AL85" s="458"/>
      <c r="AM85" s="458"/>
      <c r="AN85" s="458"/>
      <c r="AO85" s="458"/>
      <c r="AP85" s="88">
        <f t="shared" ref="AP85:AY85" si="219">+IFERROR(AP75/AP12,"NA ")</f>
        <v>0.14897824653922215</v>
      </c>
      <c r="AQ85" s="88">
        <f t="shared" si="219"/>
        <v>0.1575951618641053</v>
      </c>
      <c r="AR85" s="88">
        <f t="shared" si="219"/>
        <v>0.12943962115232832</v>
      </c>
      <c r="AS85" s="88">
        <f t="shared" si="219"/>
        <v>0.16385630498533724</v>
      </c>
      <c r="AT85" s="88">
        <f t="shared" si="219"/>
        <v>0.15153655951960437</v>
      </c>
      <c r="AU85" s="88">
        <f t="shared" si="219"/>
        <v>0.11698789780367548</v>
      </c>
      <c r="AV85" s="88">
        <f t="shared" si="219"/>
        <v>0.11611502984264786</v>
      </c>
      <c r="AW85" s="88">
        <f t="shared" si="219"/>
        <v>0.20322085889570551</v>
      </c>
      <c r="AX85" s="88">
        <f t="shared" si="219"/>
        <v>0.16678939617083946</v>
      </c>
      <c r="AY85" s="88">
        <f t="shared" si="219"/>
        <v>0.12420306574424379</v>
      </c>
      <c r="AZ85" s="88">
        <f t="shared" ref="AZ85:BB85" si="220">+IFERROR(AZ75/AZ12,"NA ")</f>
        <v>0.12609490519839142</v>
      </c>
      <c r="BA85" s="88">
        <f t="shared" si="220"/>
        <v>0.12653267788826045</v>
      </c>
      <c r="BB85" s="88">
        <f t="shared" si="220"/>
        <v>0.12773841447732828</v>
      </c>
    </row>
    <row r="86" spans="2:54" ht="11.25" customHeight="1">
      <c r="C86" s="624" t="s">
        <v>107</v>
      </c>
      <c r="E86" s="88">
        <f t="shared" ref="E86:X86" si="221">+IFERROR(E76/E13,"NA ")</f>
        <v>0.35330665024630542</v>
      </c>
      <c r="F86" s="88">
        <f t="shared" si="221"/>
        <v>0.36180371352785146</v>
      </c>
      <c r="G86" s="88">
        <f t="shared" si="221"/>
        <v>0.36995967741935482</v>
      </c>
      <c r="H86" s="88">
        <f t="shared" si="221"/>
        <v>0.37244377811094448</v>
      </c>
      <c r="I86" s="88">
        <f t="shared" si="221"/>
        <v>0.31139477409602423</v>
      </c>
      <c r="J86" s="88">
        <f t="shared" si="221"/>
        <v>0.32802186918109422</v>
      </c>
      <c r="K86" s="88">
        <f t="shared" si="221"/>
        <v>0.36885495254319783</v>
      </c>
      <c r="L86" s="88">
        <f t="shared" si="221"/>
        <v>0.34262350936967628</v>
      </c>
      <c r="M86" s="88">
        <f t="shared" si="221"/>
        <v>0.29431004189755372</v>
      </c>
      <c r="N86" s="88">
        <f t="shared" si="221"/>
        <v>0.30573493446181749</v>
      </c>
      <c r="O86" s="88">
        <f t="shared" si="221"/>
        <v>0.33181818181818185</v>
      </c>
      <c r="P86" s="88">
        <f t="shared" si="221"/>
        <v>0.30288641759340246</v>
      </c>
      <c r="Q86" s="88">
        <f t="shared" si="221"/>
        <v>0.27340694466855692</v>
      </c>
      <c r="R86" s="88">
        <f t="shared" si="221"/>
        <v>0.31615223254420133</v>
      </c>
      <c r="S86" s="88">
        <f t="shared" si="221"/>
        <v>0.30791103200162911</v>
      </c>
      <c r="T86" s="88">
        <f t="shared" si="203"/>
        <v>0.29029735092623438</v>
      </c>
      <c r="U86" s="88">
        <f t="shared" si="221"/>
        <v>0.31396686608375518</v>
      </c>
      <c r="V86" s="88">
        <f t="shared" si="221"/>
        <v>0.2832042538434863</v>
      </c>
      <c r="W86" s="88">
        <f t="shared" si="221"/>
        <v>0.2695950745915226</v>
      </c>
      <c r="X86" s="88">
        <f t="shared" si="221"/>
        <v>0.26031894934333955</v>
      </c>
      <c r="Y86" s="88">
        <f t="shared" ref="Y86:AB86" si="222">+IFERROR(Y76/Y13,"NA ")</f>
        <v>0.28394977129837423</v>
      </c>
      <c r="Z86" s="88">
        <f t="shared" si="222"/>
        <v>0.23593445246470066</v>
      </c>
      <c r="AA86" s="88">
        <f t="shared" si="222"/>
        <v>0.20794400348303696</v>
      </c>
      <c r="AB86" s="88">
        <f t="shared" si="222"/>
        <v>0.17481490737558963</v>
      </c>
      <c r="AC86" s="88">
        <f t="shared" ref="AC86:AF86" si="223">+IFERROR(AC76/AC13,"NA ")</f>
        <v>0.18532297910453635</v>
      </c>
      <c r="AD86" s="88">
        <f t="shared" si="223"/>
        <v>0.21736230226796263</v>
      </c>
      <c r="AE86" s="88">
        <f t="shared" si="223"/>
        <v>0.14384905660377359</v>
      </c>
      <c r="AF86" s="88">
        <f t="shared" si="223"/>
        <v>0.23016487113862272</v>
      </c>
      <c r="AG86" s="88">
        <f t="shared" ref="AG86:AJ86" si="224">+IFERROR(AG76/AG13,"NA ")</f>
        <v>0.36974074765967158</v>
      </c>
      <c r="AH86" s="88">
        <f t="shared" si="224"/>
        <v>0.32898587686039471</v>
      </c>
      <c r="AI86" s="88">
        <f t="shared" si="224"/>
        <v>0.32834436460866545</v>
      </c>
      <c r="AJ86" s="88">
        <f t="shared" si="224"/>
        <v>0.32116152129216652</v>
      </c>
      <c r="AK86" s="458"/>
      <c r="AL86" s="458"/>
      <c r="AM86" s="458"/>
      <c r="AN86" s="458"/>
      <c r="AO86" s="458"/>
      <c r="AP86" s="88">
        <f t="shared" ref="AP86:AY86" si="225">+IFERROR(AP76/AP13,"NA ")</f>
        <v>0.37062457103637614</v>
      </c>
      <c r="AQ86" s="88">
        <f t="shared" si="225"/>
        <v>0.36505332239540605</v>
      </c>
      <c r="AR86" s="88">
        <f t="shared" si="225"/>
        <v>0.36391129032258063</v>
      </c>
      <c r="AS86" s="88">
        <f t="shared" si="225"/>
        <v>0.3380281690140845</v>
      </c>
      <c r="AT86" s="88">
        <f t="shared" si="225"/>
        <v>0.30827886710239649</v>
      </c>
      <c r="AU86" s="88">
        <f t="shared" si="225"/>
        <v>0.29689298043728424</v>
      </c>
      <c r="AV86" s="88">
        <f t="shared" si="225"/>
        <v>0.2819593787335723</v>
      </c>
      <c r="AW86" s="88">
        <f t="shared" si="225"/>
        <v>0.22444444444444445</v>
      </c>
      <c r="AX86" s="88">
        <f t="shared" si="225"/>
        <v>0.19667318982387474</v>
      </c>
      <c r="AY86" s="88">
        <f t="shared" si="225"/>
        <v>0.33715605425678891</v>
      </c>
      <c r="AZ86" s="88">
        <f t="shared" ref="AZ86:BB86" si="226">+IFERROR(AZ76/AZ13,"NA ")</f>
        <v>0.33632260910656447</v>
      </c>
      <c r="BA86" s="88">
        <f t="shared" si="226"/>
        <v>0.33657743009306323</v>
      </c>
      <c r="BB86" s="88">
        <f t="shared" si="226"/>
        <v>0.34775751409349087</v>
      </c>
    </row>
    <row r="87" spans="2:54" ht="11.25" hidden="1" customHeight="1" outlineLevel="1">
      <c r="C87" s="624" t="s">
        <v>108</v>
      </c>
      <c r="E87" s="569">
        <f t="shared" ref="E87:X87" si="227">+IFERROR(E77/E14,"NA ")</f>
        <v>-0.49862068965517248</v>
      </c>
      <c r="F87" s="569">
        <f t="shared" si="227"/>
        <v>-0.71477832512315265</v>
      </c>
      <c r="G87" s="569">
        <f t="shared" si="227"/>
        <v>-0.18181818181818182</v>
      </c>
      <c r="H87" s="569">
        <f t="shared" si="227"/>
        <v>-0.72789968652037618</v>
      </c>
      <c r="I87" s="569">
        <f t="shared" si="227"/>
        <v>-0.4624557725068798</v>
      </c>
      <c r="J87" s="569">
        <f t="shared" si="227"/>
        <v>-1.1427354587490874</v>
      </c>
      <c r="K87" s="569">
        <f t="shared" si="227"/>
        <v>-1.1531909317258551</v>
      </c>
      <c r="L87" s="569">
        <f t="shared" si="227"/>
        <v>-0.57130688732051593</v>
      </c>
      <c r="M87" s="569" t="str">
        <f t="shared" si="227"/>
        <v xml:space="preserve">NA </v>
      </c>
      <c r="N87" s="569" t="str">
        <f t="shared" si="227"/>
        <v xml:space="preserve">NA </v>
      </c>
      <c r="O87" s="569" t="str">
        <f t="shared" si="227"/>
        <v xml:space="preserve">NA </v>
      </c>
      <c r="P87" s="569" t="str">
        <f t="shared" si="227"/>
        <v xml:space="preserve">NA </v>
      </c>
      <c r="Q87" s="569">
        <f t="shared" si="227"/>
        <v>7.7521557515206285E-2</v>
      </c>
      <c r="R87" s="569">
        <f t="shared" si="227"/>
        <v>8.6315280464216632E-2</v>
      </c>
      <c r="S87" s="569">
        <f t="shared" si="227"/>
        <v>6.8455408880940788E-2</v>
      </c>
      <c r="T87" s="569">
        <f t="shared" si="203"/>
        <v>3.7856685405251549E-2</v>
      </c>
      <c r="U87" s="569">
        <f t="shared" si="227"/>
        <v>9.8192674947469222E-2</v>
      </c>
      <c r="V87" s="569">
        <f t="shared" si="227"/>
        <v>-9.766345562615289E-2</v>
      </c>
      <c r="W87" s="569">
        <f t="shared" si="227"/>
        <v>3.7677019933902586E-2</v>
      </c>
      <c r="X87" s="569">
        <f t="shared" si="227"/>
        <v>7.6562611107160644E-2</v>
      </c>
      <c r="Y87" s="569">
        <f t="shared" ref="Y87:AB87" si="228">+IFERROR(Y77/Y14,"NA ")</f>
        <v>9.5831323249808448E-2</v>
      </c>
      <c r="Z87" s="569">
        <f t="shared" si="228"/>
        <v>2.2373674790031668E-2</v>
      </c>
      <c r="AA87" s="569">
        <f t="shared" si="228"/>
        <v>7.4418798202297062E-2</v>
      </c>
      <c r="AB87" s="569">
        <f t="shared" si="228"/>
        <v>-6.8192379182156135E-2</v>
      </c>
      <c r="AC87" s="569">
        <f t="shared" ref="AC87:AF87" si="229">+IFERROR(AC77/AC14,"NA ")</f>
        <v>1.1098008385744235E-2</v>
      </c>
      <c r="AD87" s="569" t="str">
        <f t="shared" si="229"/>
        <v xml:space="preserve">NA </v>
      </c>
      <c r="AE87" s="569" t="str">
        <f t="shared" si="229"/>
        <v xml:space="preserve">NA </v>
      </c>
      <c r="AF87" s="569" t="str">
        <f t="shared" si="229"/>
        <v xml:space="preserve">NA </v>
      </c>
      <c r="AG87" s="569">
        <f t="shared" ref="AG87:AJ87" si="230">+IFERROR(AG77/AG14,"NA ")</f>
        <v>-60.930817610062896</v>
      </c>
      <c r="AH87" s="569" t="str">
        <f t="shared" si="230"/>
        <v xml:space="preserve">NA </v>
      </c>
      <c r="AI87" s="569" t="str">
        <f t="shared" si="230"/>
        <v xml:space="preserve">NA </v>
      </c>
      <c r="AJ87" s="569" t="str">
        <f t="shared" si="230"/>
        <v xml:space="preserve">NA </v>
      </c>
      <c r="AK87" s="458"/>
      <c r="AL87" s="458"/>
      <c r="AM87" s="458"/>
      <c r="AN87" s="458"/>
      <c r="AO87" s="458"/>
      <c r="AP87" s="569">
        <f t="shared" ref="AP87:AY87" si="231">+IFERROR(AP77/AP14,"NA ")</f>
        <v>-2.8333333333333335</v>
      </c>
      <c r="AQ87" s="569">
        <f t="shared" si="231"/>
        <v>-0.73333333333333328</v>
      </c>
      <c r="AR87" s="569">
        <f t="shared" si="231"/>
        <v>-0.54347826086956519</v>
      </c>
      <c r="AS87" s="569">
        <f t="shared" si="231"/>
        <v>-0.83333333333333337</v>
      </c>
      <c r="AT87" s="569" t="str">
        <f t="shared" si="231"/>
        <v xml:space="preserve">NA </v>
      </c>
      <c r="AU87" s="569">
        <f t="shared" si="231"/>
        <v>6.8560235063663072E-2</v>
      </c>
      <c r="AV87" s="569">
        <f t="shared" si="231"/>
        <v>3.7756202804746494E-2</v>
      </c>
      <c r="AW87" s="569">
        <f t="shared" si="231"/>
        <v>3.8306451612903226E-2</v>
      </c>
      <c r="AX87" s="569">
        <f t="shared" si="231"/>
        <v>-0.52500000000000002</v>
      </c>
      <c r="AY87" s="569">
        <f t="shared" si="231"/>
        <v>-94.342003447784975</v>
      </c>
      <c r="AZ87" s="569" t="str">
        <f t="shared" ref="AZ87:BB87" si="232">+IFERROR(AZ77/AZ14,"NA ")</f>
        <v xml:space="preserve">NA </v>
      </c>
      <c r="BA87" s="569" t="str">
        <f t="shared" si="232"/>
        <v xml:space="preserve">NA </v>
      </c>
      <c r="BB87" s="569" t="str">
        <f t="shared" si="232"/>
        <v xml:space="preserve">NA </v>
      </c>
    </row>
    <row r="88" spans="2:54" ht="11.25" customHeight="1" collapsed="1">
      <c r="C88" s="645" t="s">
        <v>168</v>
      </c>
      <c r="E88" s="649">
        <f t="shared" ref="E88:X88" si="233">+IFERROR(E78/E15,"NA ")</f>
        <v>0.24731663685152058</v>
      </c>
      <c r="F88" s="649">
        <f t="shared" si="233"/>
        <v>0.22638223770134958</v>
      </c>
      <c r="G88" s="649">
        <f t="shared" si="233"/>
        <v>0.24529951902055094</v>
      </c>
      <c r="H88" s="649">
        <f t="shared" si="233"/>
        <v>0.21937842778793415</v>
      </c>
      <c r="I88" s="649">
        <f t="shared" si="233"/>
        <v>0.23708206686930092</v>
      </c>
      <c r="J88" s="649">
        <f t="shared" si="233"/>
        <v>0.23439437784208345</v>
      </c>
      <c r="K88" s="649">
        <f t="shared" si="233"/>
        <v>0.24705882352941178</v>
      </c>
      <c r="L88" s="649">
        <f t="shared" si="233"/>
        <v>0.21168501270110074</v>
      </c>
      <c r="M88" s="649">
        <f t="shared" si="233"/>
        <v>0.23436900652090525</v>
      </c>
      <c r="N88" s="649">
        <f t="shared" si="233"/>
        <v>0.22701259061426937</v>
      </c>
      <c r="O88" s="649">
        <f t="shared" si="233"/>
        <v>0.23635649784059679</v>
      </c>
      <c r="P88" s="649">
        <f t="shared" si="233"/>
        <v>0.18055555555555555</v>
      </c>
      <c r="Q88" s="649">
        <f t="shared" si="233"/>
        <v>0.20343217483392703</v>
      </c>
      <c r="R88" s="649">
        <f t="shared" si="233"/>
        <v>0.22091463249925716</v>
      </c>
      <c r="S88" s="649">
        <f t="shared" si="233"/>
        <v>0.2140893652218292</v>
      </c>
      <c r="T88" s="649">
        <f t="shared" si="203"/>
        <v>0.18490545225808566</v>
      </c>
      <c r="U88" s="649">
        <f t="shared" si="233"/>
        <v>0.22221989001301373</v>
      </c>
      <c r="V88" s="649">
        <f t="shared" si="233"/>
        <v>0.1625071533608119</v>
      </c>
      <c r="W88" s="649">
        <f t="shared" si="233"/>
        <v>0.20468412877208075</v>
      </c>
      <c r="X88" s="649">
        <f t="shared" si="233"/>
        <v>0.20585624069546143</v>
      </c>
      <c r="Y88" s="649">
        <f t="shared" ref="Y88:AB88" si="234">+IFERROR(Y78/Y15,"NA ")</f>
        <v>0.22168726013508822</v>
      </c>
      <c r="Z88" s="649">
        <f t="shared" si="234"/>
        <v>0.21671615355836205</v>
      </c>
      <c r="AA88" s="649">
        <f t="shared" si="234"/>
        <v>0.20450470150885636</v>
      </c>
      <c r="AB88" s="649">
        <f t="shared" si="234"/>
        <v>0.16286364025246797</v>
      </c>
      <c r="AC88" s="649">
        <f t="shared" ref="AC88:AF88" si="235">+IFERROR(AC78/AC15,"NA ")</f>
        <v>0.17943994104642594</v>
      </c>
      <c r="AD88" s="649">
        <f t="shared" si="235"/>
        <v>0.21228448275862069</v>
      </c>
      <c r="AE88" s="649">
        <f t="shared" si="235"/>
        <v>0.16611295681063123</v>
      </c>
      <c r="AF88" s="649">
        <f t="shared" si="235"/>
        <v>0.1213653603034134</v>
      </c>
      <c r="AG88" s="649">
        <f t="shared" ref="AG88:AJ88" si="236">+IFERROR(AG78/AG15,"NA ")</f>
        <v>0.175787728026534</v>
      </c>
      <c r="AH88" s="649">
        <f t="shared" si="236"/>
        <v>0.18818902738933482</v>
      </c>
      <c r="AI88" s="649">
        <f t="shared" si="236"/>
        <v>0.19871734254867265</v>
      </c>
      <c r="AJ88" s="649">
        <f t="shared" si="236"/>
        <v>0.19577047177013518</v>
      </c>
      <c r="AK88" s="458"/>
      <c r="AL88" s="458"/>
      <c r="AM88" s="458"/>
      <c r="AN88" s="458"/>
      <c r="AO88" s="458"/>
      <c r="AP88" s="649">
        <f t="shared" ref="AP88:AY88" si="237">+IFERROR(AP78/AP15,"NA ")</f>
        <v>0.21654245827647739</v>
      </c>
      <c r="AQ88" s="649">
        <f t="shared" si="237"/>
        <v>0.2345563847429519</v>
      </c>
      <c r="AR88" s="649">
        <f t="shared" si="237"/>
        <v>0.23468028419182949</v>
      </c>
      <c r="AS88" s="649">
        <f t="shared" si="237"/>
        <v>0.23269452298670018</v>
      </c>
      <c r="AT88" s="649">
        <f t="shared" si="237"/>
        <v>0.22037237710570387</v>
      </c>
      <c r="AU88" s="649">
        <f t="shared" si="237"/>
        <v>0.20617443868739205</v>
      </c>
      <c r="AV88" s="649">
        <f t="shared" si="237"/>
        <v>0.20004720878083324</v>
      </c>
      <c r="AW88" s="649">
        <f t="shared" si="237"/>
        <v>0.20084001527300496</v>
      </c>
      <c r="AX88" s="649">
        <f t="shared" si="237"/>
        <v>0.1716446124763705</v>
      </c>
      <c r="AY88" s="649">
        <f t="shared" si="237"/>
        <v>0.1898249731510504</v>
      </c>
      <c r="AZ88" s="649">
        <f t="shared" ref="AZ88:BB88" si="238">+IFERROR(AZ78/AZ15,"NA ")</f>
        <v>0.19300838799494766</v>
      </c>
      <c r="BA88" s="649">
        <f t="shared" si="238"/>
        <v>0.19573643430703783</v>
      </c>
      <c r="BB88" s="649">
        <f t="shared" si="238"/>
        <v>0.20093360720279421</v>
      </c>
    </row>
    <row r="89" spans="2:54" ht="11.25" customHeight="1">
      <c r="C89" s="645"/>
      <c r="E89" s="569"/>
      <c r="F89" s="569"/>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458"/>
      <c r="AL89" s="458"/>
      <c r="AM89" s="458"/>
      <c r="AN89" s="458"/>
      <c r="AO89" s="458"/>
      <c r="AP89" s="88"/>
      <c r="AQ89" s="88"/>
      <c r="AR89" s="88"/>
      <c r="AS89" s="88"/>
      <c r="AT89" s="88"/>
      <c r="AU89" s="88"/>
      <c r="AV89" s="88"/>
      <c r="AW89" s="88"/>
      <c r="AX89" s="88"/>
      <c r="AY89" s="88"/>
      <c r="AZ89" s="88"/>
      <c r="BA89" s="88"/>
      <c r="BB89" s="88"/>
    </row>
    <row r="90" spans="2:54" ht="11.25" customHeight="1">
      <c r="B90" s="27" t="s">
        <v>14</v>
      </c>
      <c r="C90" s="567" t="s">
        <v>864</v>
      </c>
    </row>
    <row r="91" spans="2:54" ht="11.25" customHeight="1">
      <c r="C91" s="624"/>
    </row>
    <row r="92" spans="2:54" ht="11.25" customHeight="1">
      <c r="C92" s="25" t="s">
        <v>104</v>
      </c>
      <c r="E92" s="47"/>
      <c r="F92" s="47"/>
      <c r="G92" s="47"/>
      <c r="H92" s="47"/>
      <c r="I92" s="94">
        <f t="shared" ref="I92:I97" si="239">IFERROR(I73/E73-1,"NA  ")</f>
        <v>9.3156086836487795E-3</v>
      </c>
      <c r="J92" s="94">
        <f t="shared" ref="J92:Y92" si="240">IFERROR(J73/F73-1,"NA  ")</f>
        <v>-2.413326589203324E-2</v>
      </c>
      <c r="K92" s="94">
        <f t="shared" si="240"/>
        <v>0.13067725241875872</v>
      </c>
      <c r="L92" s="94">
        <f t="shared" si="240"/>
        <v>0.16717003709893818</v>
      </c>
      <c r="M92" s="94">
        <f t="shared" si="240"/>
        <v>0.13373339706962306</v>
      </c>
      <c r="N92" s="94">
        <f t="shared" si="240"/>
        <v>0.12746778459246144</v>
      </c>
      <c r="O92" s="94">
        <f t="shared" si="240"/>
        <v>-1.2321791536963556E-2</v>
      </c>
      <c r="P92" s="94">
        <f t="shared" si="240"/>
        <v>-0.16732961749963859</v>
      </c>
      <c r="Q92" s="94">
        <f t="shared" si="240"/>
        <v>-0.28082767631304861</v>
      </c>
      <c r="R92" s="94">
        <f t="shared" si="240"/>
        <v>-0.3092170205769188</v>
      </c>
      <c r="S92" s="94">
        <f t="shared" si="240"/>
        <v>-0.31786311152282076</v>
      </c>
      <c r="T92" s="94">
        <f t="shared" si="240"/>
        <v>-0.24404158317984936</v>
      </c>
      <c r="U92" s="94">
        <f t="shared" si="240"/>
        <v>7.8559722100663976E-3</v>
      </c>
      <c r="V92" s="94">
        <f t="shared" si="240"/>
        <v>-0.1827709541069773</v>
      </c>
      <c r="W92" s="94">
        <f t="shared" si="240"/>
        <v>-0.19338632355627972</v>
      </c>
      <c r="X92" s="94">
        <f t="shared" si="240"/>
        <v>3.279832920328607E-2</v>
      </c>
      <c r="Y92" s="94">
        <f t="shared" si="240"/>
        <v>-3.5007045434910067E-2</v>
      </c>
      <c r="Z92" s="94">
        <f t="shared" ref="Z92:Z97" si="241">IFERROR(Z73/V73-1,"NA  ")</f>
        <v>0.11923292886178372</v>
      </c>
      <c r="AA92" s="94">
        <f t="shared" ref="AA92:AA97" si="242">IFERROR(AA73/W73-1,"NA  ")</f>
        <v>0.26115708979585439</v>
      </c>
      <c r="AB92" s="94">
        <f t="shared" ref="AB92:AB97" si="243">IFERROR(AB73/X73-1,"NA  ")</f>
        <v>4.0396369236672669E-2</v>
      </c>
      <c r="AC92" s="94">
        <f t="shared" ref="AC92:AC97" si="244">IFERROR(AC73/Y73-1,"NA  ")</f>
        <v>0.2451440228223094</v>
      </c>
      <c r="AD92" s="94">
        <f t="shared" ref="AD92:AD97" si="245">IFERROR(AD73/Z73-1,"NA  ")</f>
        <v>0.28572135846443314</v>
      </c>
      <c r="AE92" s="94">
        <f t="shared" ref="AE92:AE97" si="246">IFERROR(AE73/AA73-1,"NA  ")</f>
        <v>8.2453374548101532E-2</v>
      </c>
      <c r="AF92" s="94">
        <f t="shared" ref="AF92:AF97" si="247">IFERROR(AF73/AB73-1,"NA  ")</f>
        <v>-0.23551667381104213</v>
      </c>
      <c r="AG92" s="94">
        <f t="shared" ref="AG92:AG97" si="248">IFERROR(AG73/AC73-1,"NA  ")</f>
        <v>-0.18247436519655935</v>
      </c>
      <c r="AH92" s="94">
        <f t="shared" ref="AH92:AH97" si="249">IFERROR(AH73/AD73-1,"NA  ")</f>
        <v>-0.1008558584365169</v>
      </c>
      <c r="AI92" s="94">
        <f t="shared" ref="AI92:AI97" si="250">IFERROR(AI73/AE73-1,"NA  ")</f>
        <v>-1.9899548893249408E-2</v>
      </c>
      <c r="AJ92" s="94">
        <f t="shared" ref="AJ92:AJ97" si="251">IFERROR(AJ73/AF73-1,"NA  ")</f>
        <v>0.40611620961845829</v>
      </c>
      <c r="AP92" s="124"/>
      <c r="AQ92" s="94">
        <f>IFERROR(AQ73/AP73-1,"NA  ")</f>
        <v>0.25801749271137031</v>
      </c>
      <c r="AR92" s="94">
        <f t="shared" ref="AR92:AZ92" si="252">IFERROR(AR73/AQ73-1,"NA  ")</f>
        <v>-5.0984936268829717E-2</v>
      </c>
      <c r="AS92" s="94">
        <f t="shared" si="252"/>
        <v>6.7155067155067139E-2</v>
      </c>
      <c r="AT92" s="94">
        <f t="shared" si="252"/>
        <v>1.8306636155606348E-2</v>
      </c>
      <c r="AU92" s="94">
        <f t="shared" si="252"/>
        <v>-0.29101123595505618</v>
      </c>
      <c r="AV92" s="94">
        <f t="shared" si="252"/>
        <v>-8.8748019017432678E-2</v>
      </c>
      <c r="AW92" s="94">
        <f t="shared" si="252"/>
        <v>8.6956521739130377E-2</v>
      </c>
      <c r="AX92" s="94">
        <f t="shared" si="252"/>
        <v>0.1008</v>
      </c>
      <c r="AY92" s="94">
        <f t="shared" si="252"/>
        <v>-2.2347111624889227E-2</v>
      </c>
      <c r="AZ92" s="94">
        <f t="shared" si="252"/>
        <v>-2.4536759930395058E-2</v>
      </c>
      <c r="BA92" s="94">
        <f t="shared" ref="BA92:BA97" si="253">IFERROR(BA73/AZ73-1,"NA  ")</f>
        <v>7.9744621226056855E-2</v>
      </c>
      <c r="BB92" s="94">
        <f t="shared" ref="BB92:BB97" si="254">IFERROR(BB73/BA73-1,"NA  ")</f>
        <v>3.1394355037023702E-2</v>
      </c>
    </row>
    <row r="93" spans="2:54" ht="11.25" customHeight="1">
      <c r="C93" s="624" t="s">
        <v>105</v>
      </c>
      <c r="E93" s="47"/>
      <c r="F93" s="47"/>
      <c r="G93" s="47"/>
      <c r="H93" s="47"/>
      <c r="I93" s="94">
        <f t="shared" si="239"/>
        <v>8.7237958301104479E-2</v>
      </c>
      <c r="J93" s="94">
        <f t="shared" ref="J93:R97" si="255">IFERROR(J74/F74-1,"NA  ")</f>
        <v>3.6952922422227363E-2</v>
      </c>
      <c r="K93" s="94">
        <f t="shared" si="255"/>
        <v>1.2979190000658836E-2</v>
      </c>
      <c r="L93" s="94">
        <f t="shared" si="255"/>
        <v>4.1208281143724657E-2</v>
      </c>
      <c r="M93" s="94">
        <f t="shared" si="255"/>
        <v>0.11775494823676991</v>
      </c>
      <c r="N93" s="94">
        <f t="shared" si="255"/>
        <v>4.1223988706742487E-2</v>
      </c>
      <c r="O93" s="94">
        <f t="shared" si="255"/>
        <v>3.218320851838774E-2</v>
      </c>
      <c r="P93" s="94">
        <f t="shared" si="255"/>
        <v>-0.14999827516879538</v>
      </c>
      <c r="Q93" s="94">
        <f t="shared" si="255"/>
        <v>-0.19330001573019939</v>
      </c>
      <c r="R93" s="94">
        <f t="shared" si="255"/>
        <v>1.8900201313362563E-2</v>
      </c>
      <c r="S93" s="94">
        <f t="shared" ref="S93:T95" si="256">IFERROR(S74/O74-1,"NA  ")</f>
        <v>6.4768110834610759E-2</v>
      </c>
      <c r="T93" s="94">
        <f t="shared" si="256"/>
        <v>0.34086653003631473</v>
      </c>
      <c r="U93" s="94">
        <f t="shared" ref="U93:W97" si="257">IFERROR(U74/Q74-1,"NA  ")</f>
        <v>4.5666617615260474E-2</v>
      </c>
      <c r="V93" s="94">
        <f t="shared" si="257"/>
        <v>-0.41806843301326035</v>
      </c>
      <c r="W93" s="94">
        <f t="shared" si="257"/>
        <v>-6.9305422809045503E-2</v>
      </c>
      <c r="X93" s="94">
        <f t="shared" ref="X93:Y95" si="258">IFERROR(X74/T74-1,"NA  ")</f>
        <v>0.20328334053213859</v>
      </c>
      <c r="Y93" s="94">
        <f t="shared" si="258"/>
        <v>0.31347011313770068</v>
      </c>
      <c r="Z93" s="94">
        <f t="shared" si="241"/>
        <v>0.81069269708160507</v>
      </c>
      <c r="AA93" s="94">
        <f t="shared" si="242"/>
        <v>-9.4695064480696756E-2</v>
      </c>
      <c r="AB93" s="94">
        <f t="shared" si="243"/>
        <v>-0.24347577122591191</v>
      </c>
      <c r="AC93" s="94">
        <f t="shared" si="244"/>
        <v>-0.4833127792555556</v>
      </c>
      <c r="AD93" s="94">
        <f t="shared" si="245"/>
        <v>3.1661285904165393E-3</v>
      </c>
      <c r="AE93" s="94">
        <f t="shared" si="246"/>
        <v>1.2949531508750223E-2</v>
      </c>
      <c r="AF93" s="94">
        <f t="shared" si="247"/>
        <v>-0.40785939124328507</v>
      </c>
      <c r="AG93" s="94">
        <f t="shared" si="248"/>
        <v>0.29835486946467316</v>
      </c>
      <c r="AH93" s="94">
        <f t="shared" si="249"/>
        <v>-0.15502304449124416</v>
      </c>
      <c r="AI93" s="94">
        <f t="shared" si="250"/>
        <v>0.1842616678312512</v>
      </c>
      <c r="AJ93" s="94">
        <f t="shared" si="251"/>
        <v>0.81256513250854812</v>
      </c>
      <c r="AP93" s="124"/>
      <c r="AQ93" s="94">
        <f t="shared" ref="AQ93:AZ93" si="259">IFERROR(AQ74/AP74-1,"NA  ")</f>
        <v>0.25</v>
      </c>
      <c r="AR93" s="94">
        <f t="shared" si="259"/>
        <v>0.15779816513761458</v>
      </c>
      <c r="AS93" s="94">
        <f t="shared" si="259"/>
        <v>4.2789223454833492E-2</v>
      </c>
      <c r="AT93" s="94">
        <f t="shared" si="259"/>
        <v>1.8237082066869359E-2</v>
      </c>
      <c r="AU93" s="94">
        <f t="shared" si="259"/>
        <v>2.9850746268656803E-2</v>
      </c>
      <c r="AV93" s="94">
        <f t="shared" si="259"/>
        <v>-7.9710144927536253E-2</v>
      </c>
      <c r="AW93" s="94">
        <f t="shared" si="259"/>
        <v>0.11653543307086611</v>
      </c>
      <c r="AX93" s="94">
        <f t="shared" si="259"/>
        <v>-0.21297602256699577</v>
      </c>
      <c r="AY93" s="94">
        <f t="shared" si="259"/>
        <v>0.17741035279340722</v>
      </c>
      <c r="AZ93" s="94">
        <f t="shared" si="259"/>
        <v>8.9717102783588132E-2</v>
      </c>
      <c r="BA93" s="94">
        <f t="shared" si="253"/>
        <v>4.2345364707384148E-2</v>
      </c>
      <c r="BB93" s="94">
        <f t="shared" si="254"/>
        <v>8.7297896270041031E-2</v>
      </c>
    </row>
    <row r="94" spans="2:54" ht="11.25" customHeight="1">
      <c r="C94" s="624" t="s">
        <v>106</v>
      </c>
      <c r="E94" s="47"/>
      <c r="F94" s="47"/>
      <c r="G94" s="47"/>
      <c r="H94" s="47"/>
      <c r="I94" s="94">
        <f t="shared" si="239"/>
        <v>0.11019048718950364</v>
      </c>
      <c r="J94" s="94">
        <f t="shared" si="255"/>
        <v>1.2242416881763187</v>
      </c>
      <c r="K94" s="94">
        <f t="shared" si="255"/>
        <v>0.51201484779378559</v>
      </c>
      <c r="L94" s="94">
        <f t="shared" si="255"/>
        <v>1.2179483286005821E-2</v>
      </c>
      <c r="M94" s="94">
        <f t="shared" si="255"/>
        <v>7.119866655171414E-2</v>
      </c>
      <c r="N94" s="94">
        <f t="shared" si="255"/>
        <v>-0.15877520325780037</v>
      </c>
      <c r="O94" s="94">
        <f t="shared" si="255"/>
        <v>-1.322875120588618E-2</v>
      </c>
      <c r="P94" s="94">
        <f t="shared" si="255"/>
        <v>-6.454404448900064E-2</v>
      </c>
      <c r="Q94" s="94">
        <f t="shared" si="255"/>
        <v>-0.27656997048854981</v>
      </c>
      <c r="R94" s="94">
        <f t="shared" si="255"/>
        <v>-0.24710343374763011</v>
      </c>
      <c r="S94" s="94">
        <f t="shared" si="256"/>
        <v>-0.56995412442129822</v>
      </c>
      <c r="T94" s="94">
        <f t="shared" si="256"/>
        <v>-0.49111006425230808</v>
      </c>
      <c r="U94" s="94">
        <f t="shared" si="257"/>
        <v>-8.0733344704423726E-2</v>
      </c>
      <c r="V94" s="94">
        <f t="shared" si="257"/>
        <v>-0.67373393595635522</v>
      </c>
      <c r="W94" s="94">
        <f t="shared" si="257"/>
        <v>4.0031863979176352E-2</v>
      </c>
      <c r="X94" s="94">
        <f t="shared" si="258"/>
        <v>0.22484408609873663</v>
      </c>
      <c r="Y94" s="94">
        <f t="shared" si="258"/>
        <v>-2.4759887219016896E-3</v>
      </c>
      <c r="Z94" s="94">
        <f t="shared" si="241"/>
        <v>5.6320861620291582</v>
      </c>
      <c r="AA94" s="94">
        <f t="shared" si="242"/>
        <v>1.9889837656865161</v>
      </c>
      <c r="AB94" s="94">
        <f t="shared" si="243"/>
        <v>1.3827981294121319</v>
      </c>
      <c r="AC94" s="94">
        <f t="shared" si="244"/>
        <v>0.65439868139971979</v>
      </c>
      <c r="AD94" s="94">
        <f t="shared" si="245"/>
        <v>3.0732619667887651E-2</v>
      </c>
      <c r="AE94" s="94">
        <f t="shared" si="246"/>
        <v>-0.39447331818866127</v>
      </c>
      <c r="AF94" s="94">
        <f t="shared" si="247"/>
        <v>-0.60433637148398522</v>
      </c>
      <c r="AG94" s="94">
        <f t="shared" si="248"/>
        <v>-0.47810784387455818</v>
      </c>
      <c r="AH94" s="94">
        <f t="shared" si="249"/>
        <v>-0.49554591301139328</v>
      </c>
      <c r="AI94" s="94">
        <f t="shared" si="250"/>
        <v>-0.17616414204454955</v>
      </c>
      <c r="AJ94" s="94">
        <f t="shared" si="251"/>
        <v>0.42632451904166735</v>
      </c>
      <c r="AP94" s="124"/>
      <c r="AQ94" s="94">
        <f t="shared" ref="AQ94:AZ94" si="260">IFERROR(AQ75/AP75-1,"NA  ")</f>
        <v>-1.9911504424778736E-2</v>
      </c>
      <c r="AR94" s="94">
        <f t="shared" si="260"/>
        <v>-0.2595936794582393</v>
      </c>
      <c r="AS94" s="94">
        <f t="shared" si="260"/>
        <v>0.36280487804878048</v>
      </c>
      <c r="AT94" s="94">
        <f t="shared" si="260"/>
        <v>-4.0268456375838979E-2</v>
      </c>
      <c r="AU94" s="94">
        <f t="shared" si="260"/>
        <v>-0.39160839160839156</v>
      </c>
      <c r="AV94" s="94">
        <f t="shared" si="260"/>
        <v>-0.18007662835249039</v>
      </c>
      <c r="AW94" s="94">
        <f t="shared" si="260"/>
        <v>1.4766355140186915</v>
      </c>
      <c r="AX94" s="94">
        <f t="shared" si="260"/>
        <v>-0.1452830188679245</v>
      </c>
      <c r="AY94" s="94">
        <f t="shared" si="260"/>
        <v>-0.32279443663501661</v>
      </c>
      <c r="AZ94" s="94">
        <f t="shared" si="260"/>
        <v>2.5384144000307529E-2</v>
      </c>
      <c r="BA94" s="94">
        <f t="shared" si="253"/>
        <v>1.350648914856678E-2</v>
      </c>
      <c r="BB94" s="94">
        <f t="shared" si="254"/>
        <v>1.9624343491994267E-2</v>
      </c>
    </row>
    <row r="95" spans="2:54" ht="11.25" customHeight="1">
      <c r="C95" s="624" t="s">
        <v>107</v>
      </c>
      <c r="E95" s="47"/>
      <c r="F95" s="47"/>
      <c r="G95" s="47"/>
      <c r="H95" s="47"/>
      <c r="I95" s="94">
        <f t="shared" si="239"/>
        <v>-0.32952732990879907</v>
      </c>
      <c r="J95" s="94">
        <f t="shared" si="255"/>
        <v>-0.16698584459753885</v>
      </c>
      <c r="K95" s="94">
        <f t="shared" si="255"/>
        <v>-9.9471287523963836E-2</v>
      </c>
      <c r="L95" s="94">
        <f t="shared" si="255"/>
        <v>-0.2000578237081867</v>
      </c>
      <c r="M95" s="94">
        <f t="shared" si="255"/>
        <v>8.7126898738806302E-2</v>
      </c>
      <c r="N95" s="94">
        <f t="shared" si="255"/>
        <v>4.4770374740565666E-2</v>
      </c>
      <c r="O95" s="94">
        <f t="shared" si="255"/>
        <v>-0.11647422680412367</v>
      </c>
      <c r="P95" s="94">
        <f t="shared" si="255"/>
        <v>-6.2937615577929096E-2</v>
      </c>
      <c r="Q95" s="94">
        <f t="shared" si="255"/>
        <v>-0.19235970229842059</v>
      </c>
      <c r="R95" s="94">
        <f t="shared" si="255"/>
        <v>-8.6068285518681509E-2</v>
      </c>
      <c r="S95" s="94">
        <f t="shared" si="256"/>
        <v>-8.4702822680088774E-2</v>
      </c>
      <c r="T95" s="94">
        <f t="shared" si="256"/>
        <v>2.1729310819789127E-2</v>
      </c>
      <c r="U95" s="94">
        <f t="shared" si="257"/>
        <v>0.14295868971842429</v>
      </c>
      <c r="V95" s="94">
        <f t="shared" si="257"/>
        <v>-0.11262667129040949</v>
      </c>
      <c r="W95" s="94">
        <f t="shared" si="257"/>
        <v>-0.16882171075231889</v>
      </c>
      <c r="X95" s="94">
        <f t="shared" si="258"/>
        <v>-0.174689052683073</v>
      </c>
      <c r="Y95" s="94">
        <f t="shared" si="258"/>
        <v>-7.4275883018821709E-2</v>
      </c>
      <c r="Z95" s="94">
        <f t="shared" si="241"/>
        <v>-0.1195311433123436</v>
      </c>
      <c r="AA95" s="94">
        <f t="shared" si="242"/>
        <v>-0.1687719281060156</v>
      </c>
      <c r="AB95" s="94">
        <f t="shared" si="243"/>
        <v>-0.23160186208513334</v>
      </c>
      <c r="AC95" s="94">
        <f t="shared" si="244"/>
        <v>-0.35936948815972125</v>
      </c>
      <c r="AD95" s="94">
        <f t="shared" si="245"/>
        <v>-2.2248618385967145E-4</v>
      </c>
      <c r="AE95" s="94">
        <f t="shared" si="246"/>
        <v>-0.22098171552554569</v>
      </c>
      <c r="AF95" s="94">
        <f t="shared" si="247"/>
        <v>0.75364984422835724</v>
      </c>
      <c r="AG95" s="94">
        <f t="shared" si="248"/>
        <v>1.838122045780445</v>
      </c>
      <c r="AH95" s="94">
        <f t="shared" si="249"/>
        <v>0.71029675787087654</v>
      </c>
      <c r="AI95" s="94">
        <f t="shared" si="250"/>
        <v>1.5564692396603332</v>
      </c>
      <c r="AJ95" s="94">
        <f t="shared" si="251"/>
        <v>0.42326129134064727</v>
      </c>
      <c r="AP95" s="124"/>
      <c r="AQ95" s="94">
        <f t="shared" ref="AQ95:AZ95" si="261">IFERROR(AQ76/AP76-1,"NA  ")</f>
        <v>-0.17592592592592593</v>
      </c>
      <c r="AR95" s="94">
        <f t="shared" si="261"/>
        <v>-0.18876404494382026</v>
      </c>
      <c r="AS95" s="94">
        <f t="shared" si="261"/>
        <v>-0.20221606648199442</v>
      </c>
      <c r="AT95" s="94">
        <f t="shared" si="261"/>
        <v>-1.736111111111116E-2</v>
      </c>
      <c r="AU95" s="94">
        <f t="shared" si="261"/>
        <v>-8.8339222614840951E-2</v>
      </c>
      <c r="AV95" s="94">
        <f t="shared" si="261"/>
        <v>-8.5271317829457405E-2</v>
      </c>
      <c r="AW95" s="94">
        <f t="shared" si="261"/>
        <v>-0.14406779661016944</v>
      </c>
      <c r="AX95" s="94">
        <f t="shared" si="261"/>
        <v>-4.9504950495049549E-3</v>
      </c>
      <c r="AY95" s="94">
        <f t="shared" si="261"/>
        <v>0.97898862095601746</v>
      </c>
      <c r="AZ95" s="94">
        <f t="shared" si="261"/>
        <v>1.2490933896048162E-2</v>
      </c>
      <c r="BA95" s="94">
        <f t="shared" si="253"/>
        <v>1.5769033345641947E-2</v>
      </c>
      <c r="BB95" s="94">
        <f t="shared" si="254"/>
        <v>4.8715229382126024E-2</v>
      </c>
    </row>
    <row r="96" spans="2:54" ht="11.25" customHeight="1">
      <c r="C96" s="624" t="s">
        <v>108</v>
      </c>
      <c r="E96" s="47"/>
      <c r="F96" s="47"/>
      <c r="G96" s="47"/>
      <c r="H96" s="47"/>
      <c r="I96" s="94">
        <f t="shared" si="239"/>
        <v>0.20571110812651217</v>
      </c>
      <c r="J96" s="94">
        <f t="shared" si="255"/>
        <v>0.59872707185434004</v>
      </c>
      <c r="K96" s="94">
        <f t="shared" si="255"/>
        <v>6.4957410562180584</v>
      </c>
      <c r="L96" s="94">
        <f t="shared" si="255"/>
        <v>-1.0740902147738929E-3</v>
      </c>
      <c r="M96" s="94">
        <f t="shared" si="255"/>
        <v>-0.70918726390043518</v>
      </c>
      <c r="N96" s="94">
        <f t="shared" si="255"/>
        <v>-0.57776961314940833</v>
      </c>
      <c r="O96" s="94">
        <f t="shared" si="255"/>
        <v>-8.2812500000000067E-2</v>
      </c>
      <c r="P96" s="94">
        <f t="shared" si="255"/>
        <v>0.59367546142507521</v>
      </c>
      <c r="Q96" s="94">
        <f t="shared" si="255"/>
        <v>-12.883115111838515</v>
      </c>
      <c r="R96" s="94">
        <f t="shared" si="255"/>
        <v>-4.3734042553191488</v>
      </c>
      <c r="S96" s="94">
        <f>IFERROR(S77/O77-1,"NA  ")</f>
        <v>-2.2894509745573575</v>
      </c>
      <c r="T96" s="94">
        <f>IFERROR(T77/P77-1,"NA  ")</f>
        <v>-1.6830823141313864</v>
      </c>
      <c r="U96" s="94">
        <f t="shared" si="257"/>
        <v>0.23829209003787355</v>
      </c>
      <c r="V96" s="94">
        <f t="shared" si="257"/>
        <v>-1.8014604215670009</v>
      </c>
      <c r="W96" s="94">
        <f t="shared" si="257"/>
        <v>-0.50486351067569701</v>
      </c>
      <c r="X96" s="94">
        <f>IFERROR(X77/T77-1,"NA  ")</f>
        <v>1.1543308401666188</v>
      </c>
      <c r="Y96" s="94">
        <f>IFERROR(Y77/U77-1,"NA  ")</f>
        <v>-2.4048145128178211E-2</v>
      </c>
      <c r="Z96" s="94">
        <f t="shared" si="241"/>
        <v>-1.3307709738585431</v>
      </c>
      <c r="AA96" s="94">
        <f t="shared" si="242"/>
        <v>1.2718778656590124</v>
      </c>
      <c r="AB96" s="94">
        <f t="shared" si="243"/>
        <v>-1.6979981169227325</v>
      </c>
      <c r="AC96" s="94">
        <f t="shared" si="244"/>
        <v>-0.92927771973313122</v>
      </c>
      <c r="AD96" s="94">
        <f t="shared" si="245"/>
        <v>-5.5042425415255609</v>
      </c>
      <c r="AE96" s="94">
        <f t="shared" si="246"/>
        <v>-2.5183843570310716</v>
      </c>
      <c r="AF96" s="94">
        <f t="shared" si="247"/>
        <v>1.1601737863349513</v>
      </c>
      <c r="AG96" s="94">
        <f t="shared" si="248"/>
        <v>-35.314049586776861</v>
      </c>
      <c r="AH96" s="94">
        <f t="shared" si="249"/>
        <v>-0.57091740435958616</v>
      </c>
      <c r="AI96" s="94">
        <f t="shared" si="250"/>
        <v>-0.61643755983400406</v>
      </c>
      <c r="AJ96" s="94">
        <f t="shared" si="251"/>
        <v>-0.64216787580026002</v>
      </c>
      <c r="AP96" s="124"/>
      <c r="AQ96" s="94">
        <f t="shared" ref="AQ96:AZ96" si="262">IFERROR(AQ77/AP77-1,"NA  ")</f>
        <v>-0.3529411764705882</v>
      </c>
      <c r="AR96" s="94">
        <f t="shared" si="262"/>
        <v>-0.24242424242424243</v>
      </c>
      <c r="AS96" s="94">
        <f t="shared" si="262"/>
        <v>0.8</v>
      </c>
      <c r="AT96" s="94">
        <f t="shared" si="262"/>
        <v>-0.22222222222222221</v>
      </c>
      <c r="AU96" s="94">
        <f t="shared" si="262"/>
        <v>-3</v>
      </c>
      <c r="AV96" s="94">
        <f t="shared" si="262"/>
        <v>-0.5</v>
      </c>
      <c r="AW96" s="94">
        <f t="shared" si="262"/>
        <v>8.5714285714285632E-2</v>
      </c>
      <c r="AX96" s="94">
        <f t="shared" si="262"/>
        <v>-3.2105263157894739</v>
      </c>
      <c r="AY96" s="94">
        <f t="shared" si="262"/>
        <v>0.12311908866410692</v>
      </c>
      <c r="AZ96" s="94">
        <f t="shared" si="262"/>
        <v>-0.52073033651519873</v>
      </c>
      <c r="BA96" s="94">
        <f t="shared" si="253"/>
        <v>3.2176697008419852E-2</v>
      </c>
      <c r="BB96" s="94">
        <f t="shared" si="254"/>
        <v>2.3613398644954486E-2</v>
      </c>
    </row>
    <row r="97" spans="2:54" ht="11.25" customHeight="1">
      <c r="C97" s="645" t="s">
        <v>168</v>
      </c>
      <c r="E97" s="651"/>
      <c r="F97" s="651"/>
      <c r="G97" s="651"/>
      <c r="H97" s="651"/>
      <c r="I97" s="647">
        <f t="shared" si="239"/>
        <v>-1.2658227848101222E-2</v>
      </c>
      <c r="J97" s="647">
        <f t="shared" si="255"/>
        <v>9.0384615384615064E-2</v>
      </c>
      <c r="K97" s="647">
        <f t="shared" si="255"/>
        <v>8.5561497326203106E-2</v>
      </c>
      <c r="L97" s="647">
        <f t="shared" si="255"/>
        <v>4.1666666666666741E-2</v>
      </c>
      <c r="M97" s="647">
        <f t="shared" si="255"/>
        <v>0.11904761904761907</v>
      </c>
      <c r="N97" s="647">
        <f t="shared" si="255"/>
        <v>4.9382716049382935E-2</v>
      </c>
      <c r="O97" s="647">
        <f t="shared" si="255"/>
        <v>-1.1494252873563204E-2</v>
      </c>
      <c r="P97" s="647">
        <f t="shared" si="255"/>
        <v>-0.1419999999999999</v>
      </c>
      <c r="Q97" s="647">
        <f t="shared" si="255"/>
        <v>-0.20758007184165905</v>
      </c>
      <c r="R97" s="647">
        <f t="shared" si="255"/>
        <v>-0.12265331664580725</v>
      </c>
      <c r="S97" s="647">
        <f>IFERROR(S78/O78-1,"NA  ")</f>
        <v>-0.1731598436200118</v>
      </c>
      <c r="T97" s="647">
        <f>IFERROR(T78/P78-1,"NA  ")</f>
        <v>-5.3490971657911168E-2</v>
      </c>
      <c r="U97" s="647">
        <f t="shared" si="257"/>
        <v>2.8556577392222726E-2</v>
      </c>
      <c r="V97" s="647">
        <f t="shared" si="257"/>
        <v>-0.40105168681020997</v>
      </c>
      <c r="W97" s="647">
        <f t="shared" si="257"/>
        <v>-0.12740745836842426</v>
      </c>
      <c r="X97" s="647">
        <f>IFERROR(X78/T78-1,"NA  ")</f>
        <v>0.10823571516066366</v>
      </c>
      <c r="Y97" s="647">
        <f>IFERROR(Y78/U78-1,"NA  ")</f>
        <v>7.2389988938059702E-2</v>
      </c>
      <c r="Z97" s="647">
        <f t="shared" si="241"/>
        <v>0.83886981258073545</v>
      </c>
      <c r="AA97" s="647">
        <f t="shared" si="242"/>
        <v>0.28068597202589252</v>
      </c>
      <c r="AB97" s="647">
        <f t="shared" si="243"/>
        <v>-2.4993448394526552E-2</v>
      </c>
      <c r="AC97" s="647">
        <f t="shared" si="244"/>
        <v>-8.8091160951704772E-2</v>
      </c>
      <c r="AD97" s="647">
        <f t="shared" si="245"/>
        <v>2.7919126347301537E-2</v>
      </c>
      <c r="AE97" s="647">
        <f t="shared" si="246"/>
        <v>-0.19101529084687774</v>
      </c>
      <c r="AF97" s="647">
        <f t="shared" si="247"/>
        <v>-0.34359669561533579</v>
      </c>
      <c r="AG97" s="647">
        <f t="shared" si="248"/>
        <v>-0.12936344969199176</v>
      </c>
      <c r="AH97" s="647">
        <f t="shared" si="249"/>
        <v>-0.13858462867220966</v>
      </c>
      <c r="AI97" s="647">
        <f t="shared" si="250"/>
        <v>0.19142969898482187</v>
      </c>
      <c r="AJ97" s="647">
        <f t="shared" si="251"/>
        <v>0.63399008552644287</v>
      </c>
      <c r="AP97" s="652"/>
      <c r="AQ97" s="647">
        <f t="shared" ref="AQ97:AZ97" si="263">IFERROR(AQ78/AP78-1,"NA  ")</f>
        <v>9.6946194861851742E-2</v>
      </c>
      <c r="AR97" s="647">
        <f t="shared" si="263"/>
        <v>-6.5841802916482561E-2</v>
      </c>
      <c r="AS97" s="647">
        <f t="shared" si="263"/>
        <v>5.1087984862819402E-2</v>
      </c>
      <c r="AT97" s="647">
        <f t="shared" si="263"/>
        <v>6.7506750675068172E-3</v>
      </c>
      <c r="AU97" s="647">
        <f t="shared" si="263"/>
        <v>-0.14617791685292802</v>
      </c>
      <c r="AV97" s="647">
        <f t="shared" si="263"/>
        <v>-0.11256544502617805</v>
      </c>
      <c r="AW97" s="647">
        <f t="shared" si="263"/>
        <v>0.24129793510324493</v>
      </c>
      <c r="AX97" s="647">
        <f t="shared" si="263"/>
        <v>-0.13688212927756649</v>
      </c>
      <c r="AY97" s="647">
        <f t="shared" si="263"/>
        <v>6.8187771822417087E-2</v>
      </c>
      <c r="AZ97" s="647">
        <f t="shared" si="263"/>
        <v>5.3779063896385093E-2</v>
      </c>
      <c r="BA97" s="647">
        <f t="shared" si="253"/>
        <v>4.4900525163375171E-2</v>
      </c>
      <c r="BB97" s="647">
        <f t="shared" si="254"/>
        <v>5.2656692145657047E-2</v>
      </c>
    </row>
    <row r="98" spans="2:54" ht="11.25" customHeight="1">
      <c r="B98" s="27" t="s">
        <v>14</v>
      </c>
      <c r="C98" s="624"/>
    </row>
    <row r="99" spans="2:54" ht="11.25" customHeight="1">
      <c r="C99" s="566"/>
    </row>
    <row r="100" spans="2:54" ht="11.25" customHeight="1">
      <c r="C100" s="24"/>
    </row>
    <row r="101" spans="2:54" ht="11.25" customHeight="1">
      <c r="B101" s="27" t="s">
        <v>14</v>
      </c>
      <c r="C101" s="567" t="s">
        <v>117</v>
      </c>
    </row>
    <row r="102" spans="2:54" ht="5.2" customHeight="1">
      <c r="C102" s="567"/>
    </row>
    <row r="103" spans="2:54" ht="11.25" customHeight="1">
      <c r="C103" s="25" t="s">
        <v>104</v>
      </c>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63"/>
      <c r="AL103" s="63"/>
      <c r="AM103" s="63"/>
      <c r="AN103" s="63"/>
      <c r="AO103" s="63"/>
      <c r="AP103" s="212">
        <f>Financials!AL345</f>
        <v>5911</v>
      </c>
      <c r="AQ103" s="212">
        <f>Financials!AM345</f>
        <v>6370</v>
      </c>
      <c r="AR103" s="212">
        <f>Financials!AN345</f>
        <v>6255</v>
      </c>
      <c r="AS103" s="212">
        <f>Financials!AO345</f>
        <v>6648</v>
      </c>
      <c r="AT103" s="212">
        <f>Financials!AP345</f>
        <v>6545</v>
      </c>
      <c r="AU103" s="212">
        <f>Financials!AQ345</f>
        <v>6387</v>
      </c>
      <c r="AV103" s="212">
        <f>Financials!AR345</f>
        <v>6238</v>
      </c>
      <c r="AW103" s="212">
        <f>Financials!AS345</f>
        <v>4188</v>
      </c>
      <c r="AX103" s="212">
        <f>Financials!AT345</f>
        <v>4127</v>
      </c>
      <c r="AY103" s="94"/>
      <c r="AZ103" s="94"/>
      <c r="BA103" s="94"/>
      <c r="BB103" s="94"/>
    </row>
    <row r="104" spans="2:54" ht="11.25" customHeight="1">
      <c r="C104" s="624" t="s">
        <v>105</v>
      </c>
      <c r="AP104" s="212">
        <f>Financials!AL400</f>
        <v>4235</v>
      </c>
      <c r="AQ104" s="212">
        <f>Financials!AM400</f>
        <v>4227</v>
      </c>
      <c r="AR104" s="212">
        <f>Financials!AN400</f>
        <v>4247</v>
      </c>
      <c r="AS104" s="212">
        <f>Financials!AO400</f>
        <v>4379</v>
      </c>
      <c r="AT104" s="212">
        <f>Financials!AP400</f>
        <v>4456</v>
      </c>
      <c r="AU104" s="212">
        <f>Financials!AQ400</f>
        <v>4415</v>
      </c>
      <c r="AV104" s="212">
        <f>Financials!AR400</f>
        <v>4345</v>
      </c>
      <c r="AW104" s="212">
        <f>Financials!AS400</f>
        <v>4661</v>
      </c>
      <c r="AX104" s="212">
        <f>Financials!AT400</f>
        <v>4967</v>
      </c>
    </row>
    <row r="105" spans="2:54" ht="11.25" customHeight="1">
      <c r="C105" s="624" t="s">
        <v>106</v>
      </c>
      <c r="AP105" s="212">
        <f>Financials!AL481</f>
        <v>3710</v>
      </c>
      <c r="AQ105" s="212">
        <f>Financials!AM481</f>
        <v>2930</v>
      </c>
      <c r="AR105" s="212">
        <f>Financials!AN481</f>
        <v>2927</v>
      </c>
      <c r="AS105" s="212">
        <f>Financials!AO481</f>
        <v>3000</v>
      </c>
      <c r="AT105" s="212">
        <f>Financials!AP481</f>
        <v>2934</v>
      </c>
      <c r="AU105" s="212">
        <f>Financials!AQ481</f>
        <v>2775</v>
      </c>
      <c r="AV105" s="212">
        <f>Financials!AR481</f>
        <v>2614</v>
      </c>
      <c r="AW105" s="212">
        <f>Financials!AS481</f>
        <v>2703</v>
      </c>
      <c r="AX105" s="212">
        <f>Financials!AT481</f>
        <v>2695</v>
      </c>
    </row>
    <row r="106" spans="2:54" ht="11.25" customHeight="1">
      <c r="C106" s="624" t="s">
        <v>107</v>
      </c>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P106" s="212">
        <f>Financials!AL559</f>
        <v>986</v>
      </c>
      <c r="AQ106" s="212">
        <f>Financials!AM559</f>
        <v>969</v>
      </c>
      <c r="AR106" s="212">
        <f>Financials!AN559</f>
        <v>920</v>
      </c>
      <c r="AS106" s="212">
        <f>Financials!AO559</f>
        <v>929</v>
      </c>
      <c r="AT106" s="212">
        <f>Financials!AP559</f>
        <v>978</v>
      </c>
      <c r="AU106" s="212">
        <f>Financials!AQ559</f>
        <v>1014</v>
      </c>
      <c r="AV106" s="212">
        <f>Financials!AR559</f>
        <v>978</v>
      </c>
      <c r="AW106" s="212">
        <f>Financials!AS559</f>
        <v>972</v>
      </c>
      <c r="AX106" s="212">
        <f>Financials!AT559</f>
        <v>1046</v>
      </c>
    </row>
    <row r="107" spans="2:54" ht="11.25" customHeight="1">
      <c r="C107" s="624" t="s">
        <v>108</v>
      </c>
      <c r="AP107" s="212">
        <f>Financials!AL613</f>
        <v>1230</v>
      </c>
      <c r="AQ107" s="212">
        <f>Financials!AM613</f>
        <v>1084</v>
      </c>
      <c r="AR107" s="212">
        <f>Financials!AN613</f>
        <v>1108</v>
      </c>
      <c r="AS107" s="212">
        <f>Financials!AO613</f>
        <v>1043</v>
      </c>
      <c r="AT107" s="212">
        <f>Financials!AP613</f>
        <v>1082</v>
      </c>
      <c r="AU107" s="212">
        <f>Financials!AQ613</f>
        <v>1417</v>
      </c>
      <c r="AV107" s="212">
        <f>Financials!AR613</f>
        <v>1908</v>
      </c>
      <c r="AW107" s="212">
        <f>Financials!AS613</f>
        <v>2995</v>
      </c>
      <c r="AX107" s="212">
        <f>Financials!AT613</f>
        <v>1832</v>
      </c>
    </row>
    <row r="108" spans="2:54" ht="11.25" customHeight="1">
      <c r="C108" s="624"/>
      <c r="AP108" s="32">
        <f>SUM(AP103:AP107)</f>
        <v>16072</v>
      </c>
      <c r="AQ108" s="32">
        <f t="shared" ref="AQ108:AX108" si="264">SUM(AQ103:AQ107)</f>
        <v>15580</v>
      </c>
      <c r="AR108" s="32">
        <f t="shared" si="264"/>
        <v>15457</v>
      </c>
      <c r="AS108" s="32">
        <f t="shared" si="264"/>
        <v>15999</v>
      </c>
      <c r="AT108" s="32">
        <f t="shared" si="264"/>
        <v>15995</v>
      </c>
      <c r="AU108" s="32">
        <f t="shared" si="264"/>
        <v>16008</v>
      </c>
      <c r="AV108" s="32">
        <f t="shared" si="264"/>
        <v>16083</v>
      </c>
      <c r="AW108" s="32">
        <f t="shared" si="264"/>
        <v>15519</v>
      </c>
      <c r="AX108" s="32">
        <f t="shared" si="264"/>
        <v>14667</v>
      </c>
    </row>
    <row r="109" spans="2:54" s="79" customFormat="1" ht="11.25" customHeight="1">
      <c r="C109" s="1025"/>
      <c r="AP109" s="79">
        <f>Financials!AL753-AP108</f>
        <v>0</v>
      </c>
      <c r="AQ109" s="79">
        <f>Financials!AM753-AQ108</f>
        <v>0</v>
      </c>
      <c r="AR109" s="79">
        <f>Financials!AN753-AR108</f>
        <v>0</v>
      </c>
      <c r="AS109" s="79">
        <f>Financials!AO753-AS108</f>
        <v>0</v>
      </c>
      <c r="AT109" s="79">
        <f>Financials!AP753-AT108</f>
        <v>0</v>
      </c>
      <c r="AU109" s="79">
        <f>Financials!AQ753-AU108</f>
        <v>0</v>
      </c>
      <c r="AV109" s="79">
        <f>Financials!AR753-AV108</f>
        <v>0</v>
      </c>
      <c r="AW109" s="79">
        <f>Financials!AS753-AW108</f>
        <v>0</v>
      </c>
      <c r="AX109" s="79">
        <f>Financials!AT753-AX108</f>
        <v>0</v>
      </c>
    </row>
    <row r="110" spans="2:54" ht="11.25" customHeight="1">
      <c r="C110" s="567" t="s">
        <v>177</v>
      </c>
    </row>
    <row r="111" spans="2:54" ht="5.2" customHeight="1">
      <c r="C111" s="567"/>
    </row>
    <row r="112" spans="2:54" ht="11.25" customHeight="1">
      <c r="C112" s="25" t="s">
        <v>104</v>
      </c>
      <c r="AK112" s="212"/>
      <c r="AL112" s="212"/>
      <c r="AM112" s="212"/>
      <c r="AN112" s="212"/>
      <c r="AO112" s="212"/>
      <c r="AP112" s="212">
        <f>Financials!AL347</f>
        <v>168</v>
      </c>
      <c r="AQ112" s="212">
        <f>Financials!AM347</f>
        <v>227</v>
      </c>
      <c r="AR112" s="212">
        <f>Financials!AN347</f>
        <v>212</v>
      </c>
      <c r="AS112" s="212">
        <f>Financials!AO347</f>
        <v>229</v>
      </c>
      <c r="AT112" s="212">
        <f>Financials!AP347</f>
        <v>150</v>
      </c>
      <c r="AU112" s="212">
        <f>Financials!AQ347</f>
        <v>152</v>
      </c>
      <c r="AV112" s="212">
        <f>Financials!AR347</f>
        <v>139</v>
      </c>
      <c r="AW112" s="212">
        <f>Financials!AS347</f>
        <v>140</v>
      </c>
      <c r="AX112" s="212">
        <f>Financials!AT347</f>
        <v>98</v>
      </c>
    </row>
    <row r="113" spans="2:54" ht="11.25" customHeight="1">
      <c r="C113" s="624" t="s">
        <v>105</v>
      </c>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P113" s="212">
        <f>Financials!AL402</f>
        <v>176</v>
      </c>
      <c r="AQ113" s="212">
        <f>Financials!AM402</f>
        <v>225</v>
      </c>
      <c r="AR113" s="212">
        <f>Financials!AN402</f>
        <v>244</v>
      </c>
      <c r="AS113" s="212">
        <f>Financials!AO402</f>
        <v>248</v>
      </c>
      <c r="AT113" s="212">
        <f>Financials!AP402</f>
        <v>187</v>
      </c>
      <c r="AU113" s="212">
        <f>Financials!AQ402</f>
        <v>130</v>
      </c>
      <c r="AV113" s="212">
        <f>Financials!AR402</f>
        <v>140</v>
      </c>
      <c r="AW113" s="212">
        <f>Financials!AS402</f>
        <v>280</v>
      </c>
      <c r="AX113" s="212">
        <f>Financials!AT402</f>
        <v>341</v>
      </c>
      <c r="AY113" s="88"/>
      <c r="AZ113" s="88"/>
      <c r="BA113" s="88"/>
      <c r="BB113" s="88"/>
    </row>
    <row r="114" spans="2:54" ht="11.25" customHeight="1">
      <c r="C114" s="624" t="s">
        <v>106</v>
      </c>
      <c r="AP114" s="212">
        <f>Financials!AL483</f>
        <v>188</v>
      </c>
      <c r="AQ114" s="212">
        <f>Financials!AM483</f>
        <v>139</v>
      </c>
      <c r="AR114" s="212">
        <f>Financials!AN483</f>
        <v>128</v>
      </c>
      <c r="AS114" s="212">
        <f>Financials!AO483</f>
        <v>116</v>
      </c>
      <c r="AT114" s="212">
        <f>Financials!AP483</f>
        <v>137</v>
      </c>
      <c r="AU114" s="212">
        <f>Financials!AQ483</f>
        <v>98</v>
      </c>
      <c r="AV114" s="212">
        <f>Financials!AR483</f>
        <v>84</v>
      </c>
      <c r="AW114" s="212">
        <f>Financials!AS483</f>
        <v>124</v>
      </c>
      <c r="AX114" s="212">
        <f>Financials!AT483</f>
        <v>98</v>
      </c>
    </row>
    <row r="115" spans="2:54" ht="11.25" customHeight="1">
      <c r="C115" s="624" t="s">
        <v>107</v>
      </c>
      <c r="AK115" s="212"/>
      <c r="AL115" s="212"/>
      <c r="AM115" s="212"/>
      <c r="AN115" s="212"/>
      <c r="AO115" s="212"/>
      <c r="AP115" s="212">
        <f>Financials!AL561</f>
        <v>53</v>
      </c>
      <c r="AQ115" s="212">
        <f>Financials!AM561</f>
        <v>57</v>
      </c>
      <c r="AR115" s="212">
        <f>Financials!AN561</f>
        <v>38</v>
      </c>
      <c r="AS115" s="212">
        <f>Financials!AO561</f>
        <v>52</v>
      </c>
      <c r="AT115" s="212">
        <f>Financials!AP561</f>
        <v>50</v>
      </c>
      <c r="AU115" s="212">
        <f>Financials!AQ561</f>
        <v>42</v>
      </c>
      <c r="AV115" s="212">
        <f>Financials!AR561</f>
        <v>31</v>
      </c>
      <c r="AW115" s="212">
        <f>Financials!AS561</f>
        <v>33</v>
      </c>
      <c r="AX115" s="212">
        <f>Financials!AT561</f>
        <v>43</v>
      </c>
    </row>
    <row r="116" spans="2:54" ht="11.25" customHeight="1">
      <c r="C116" s="624" t="s">
        <v>108</v>
      </c>
      <c r="AP116" s="212">
        <f>Financials!AL615</f>
        <v>8</v>
      </c>
      <c r="AQ116" s="212">
        <f>Financials!AM615</f>
        <v>4</v>
      </c>
      <c r="AR116" s="212">
        <f>Financials!AN615</f>
        <v>4</v>
      </c>
      <c r="AS116" s="212">
        <f>Financials!AO615</f>
        <v>4</v>
      </c>
      <c r="AT116" s="212">
        <f>Financials!AP615</f>
        <v>4</v>
      </c>
      <c r="AU116" s="212">
        <f>Financials!AQ615</f>
        <v>3</v>
      </c>
      <c r="AV116" s="212">
        <f>Financials!AR615</f>
        <v>2</v>
      </c>
      <c r="AW116" s="212">
        <f>Financials!AS615</f>
        <v>1</v>
      </c>
      <c r="AX116" s="212">
        <f>Financials!AT615</f>
        <v>44</v>
      </c>
    </row>
    <row r="117" spans="2:54" ht="11.25" customHeight="1">
      <c r="C117" s="624"/>
      <c r="AP117" s="32">
        <f>SUM(AP112:AP116)</f>
        <v>593</v>
      </c>
      <c r="AQ117" s="32">
        <f t="shared" ref="AQ117" si="265">SUM(AQ112:AQ116)</f>
        <v>652</v>
      </c>
      <c r="AR117" s="32">
        <f t="shared" ref="AR117" si="266">SUM(AR112:AR116)</f>
        <v>626</v>
      </c>
      <c r="AS117" s="32">
        <f t="shared" ref="AS117" si="267">SUM(AS112:AS116)</f>
        <v>649</v>
      </c>
      <c r="AT117" s="32">
        <f t="shared" ref="AT117" si="268">SUM(AT112:AT116)</f>
        <v>528</v>
      </c>
      <c r="AU117" s="32">
        <f t="shared" ref="AU117" si="269">SUM(AU112:AU116)</f>
        <v>425</v>
      </c>
      <c r="AV117" s="32">
        <f t="shared" ref="AV117" si="270">SUM(AV112:AV116)</f>
        <v>396</v>
      </c>
      <c r="AW117" s="32">
        <f t="shared" ref="AW117" si="271">SUM(AW112:AW116)</f>
        <v>578</v>
      </c>
      <c r="AX117" s="32">
        <f t="shared" ref="AX117" si="272">SUM(AX112:AX116)</f>
        <v>624</v>
      </c>
    </row>
    <row r="118" spans="2:54" ht="11.25" customHeight="1">
      <c r="C118" s="624"/>
      <c r="AP118" s="79">
        <f>Financials!AL934+AP117</f>
        <v>0</v>
      </c>
      <c r="AQ118" s="79">
        <f>Financials!AM934+AQ117</f>
        <v>0</v>
      </c>
      <c r="AR118" s="79">
        <f>Financials!AN934+AR117</f>
        <v>0</v>
      </c>
      <c r="AS118" s="79">
        <f>Financials!AO934+AS117</f>
        <v>0</v>
      </c>
      <c r="AT118" s="79">
        <f>Financials!AP934+AT117</f>
        <v>0</v>
      </c>
      <c r="AU118" s="79">
        <f>Financials!AQ934+AU117</f>
        <v>0</v>
      </c>
      <c r="AV118" s="79">
        <f>Financials!AR934+AV117</f>
        <v>0</v>
      </c>
      <c r="AW118" s="79">
        <f>Financials!AS934+AW117</f>
        <v>0</v>
      </c>
      <c r="AX118" s="79">
        <f>Financials!AT934+AX117</f>
        <v>0</v>
      </c>
    </row>
    <row r="119" spans="2:54" ht="11.25" customHeight="1">
      <c r="C119" s="25" t="s">
        <v>1433</v>
      </c>
      <c r="AP119" s="212"/>
      <c r="AQ119" s="212"/>
      <c r="AR119" s="212"/>
      <c r="AS119" s="212"/>
      <c r="AT119" s="212"/>
      <c r="AU119" s="212"/>
      <c r="AV119" s="212"/>
      <c r="AW119" s="212"/>
      <c r="AX119" s="212"/>
    </row>
    <row r="120" spans="2:54" s="458" customFormat="1" ht="11.25" customHeight="1">
      <c r="B120" s="691"/>
      <c r="C120" s="25" t="s">
        <v>104</v>
      </c>
      <c r="AP120" s="94">
        <f>AP112/AP10</f>
        <v>6.363636363636363E-2</v>
      </c>
      <c r="AQ120" s="94">
        <f t="shared" ref="AQ120:AX120" si="273">AQ112/AQ10</f>
        <v>7.1858182969294082E-2</v>
      </c>
      <c r="AR120" s="94">
        <f t="shared" si="273"/>
        <v>7.1164820409533397E-2</v>
      </c>
      <c r="AS120" s="94">
        <f t="shared" si="273"/>
        <v>6.8501346096320664E-2</v>
      </c>
      <c r="AT120" s="94">
        <f t="shared" si="273"/>
        <v>4.1129695640252262E-2</v>
      </c>
      <c r="AU120" s="94">
        <f t="shared" si="273"/>
        <v>6.1914460285132381E-2</v>
      </c>
      <c r="AV120" s="94">
        <f t="shared" si="273"/>
        <v>5.9350982066609735E-2</v>
      </c>
      <c r="AW120" s="94">
        <f t="shared" si="273"/>
        <v>4.7473719905052558E-2</v>
      </c>
      <c r="AX120" s="94">
        <f t="shared" si="273"/>
        <v>2.8201438848920863E-2</v>
      </c>
    </row>
    <row r="121" spans="2:54" s="458" customFormat="1" ht="11.25" customHeight="1">
      <c r="B121" s="691"/>
      <c r="C121" s="624" t="s">
        <v>105</v>
      </c>
      <c r="AP121" s="94">
        <f t="shared" ref="AP121:AX123" si="274">AP113/AP11</f>
        <v>7.4011774600504621E-2</v>
      </c>
      <c r="AQ121" s="94">
        <f t="shared" si="274"/>
        <v>9.3206296603148303E-2</v>
      </c>
      <c r="AR121" s="94">
        <f t="shared" si="274"/>
        <v>9.9308099308099307E-2</v>
      </c>
      <c r="AS121" s="94">
        <f t="shared" si="274"/>
        <v>9.6423017107309481E-2</v>
      </c>
      <c r="AT121" s="94">
        <f t="shared" si="274"/>
        <v>6.7876588021778581E-2</v>
      </c>
      <c r="AU121" s="94">
        <f t="shared" si="274"/>
        <v>4.836309523809524E-2</v>
      </c>
      <c r="AV121" s="94">
        <f t="shared" si="274"/>
        <v>5.5467511885895403E-2</v>
      </c>
      <c r="AW121" s="94">
        <f t="shared" si="274"/>
        <v>9.2500825900231246E-2</v>
      </c>
      <c r="AX121" s="94">
        <f t="shared" si="274"/>
        <v>0.10632990333645151</v>
      </c>
    </row>
    <row r="122" spans="2:54" s="458" customFormat="1" ht="11.25" customHeight="1">
      <c r="B122" s="691"/>
      <c r="C122" s="624" t="s">
        <v>106</v>
      </c>
      <c r="AP122" s="94">
        <f t="shared" si="274"/>
        <v>6.196440342781806E-2</v>
      </c>
      <c r="AQ122" s="94">
        <f t="shared" si="274"/>
        <v>4.9448594806118816E-2</v>
      </c>
      <c r="AR122" s="94">
        <f t="shared" si="274"/>
        <v>5.0513022888713496E-2</v>
      </c>
      <c r="AS122" s="94">
        <f t="shared" si="274"/>
        <v>4.2521994134897358E-2</v>
      </c>
      <c r="AT122" s="94">
        <f t="shared" si="274"/>
        <v>4.8392794065701163E-2</v>
      </c>
      <c r="AU122" s="94">
        <f t="shared" si="274"/>
        <v>4.3926490363065888E-2</v>
      </c>
      <c r="AV122" s="94">
        <f t="shared" si="274"/>
        <v>4.557786218122626E-2</v>
      </c>
      <c r="AW122" s="94">
        <f t="shared" si="274"/>
        <v>4.7546012269938653E-2</v>
      </c>
      <c r="AX122" s="94">
        <f t="shared" si="274"/>
        <v>3.608247422680412E-2</v>
      </c>
    </row>
    <row r="123" spans="2:54" s="458" customFormat="1" ht="11.25" customHeight="1">
      <c r="B123" s="691"/>
      <c r="C123" s="624" t="s">
        <v>107</v>
      </c>
      <c r="AP123" s="94">
        <f t="shared" si="274"/>
        <v>3.6376115305422098E-2</v>
      </c>
      <c r="AQ123" s="94">
        <f t="shared" si="274"/>
        <v>4.6759639048400331E-2</v>
      </c>
      <c r="AR123" s="94">
        <f t="shared" si="274"/>
        <v>3.8306451612903226E-2</v>
      </c>
      <c r="AS123" s="94">
        <f t="shared" si="274"/>
        <v>6.1032863849765258E-2</v>
      </c>
      <c r="AT123" s="94">
        <f t="shared" si="274"/>
        <v>5.4466230936819175E-2</v>
      </c>
      <c r="AU123" s="94">
        <f t="shared" si="274"/>
        <v>4.8331415420023012E-2</v>
      </c>
      <c r="AV123" s="94">
        <f t="shared" si="274"/>
        <v>3.7037037037037035E-2</v>
      </c>
      <c r="AW123" s="94">
        <f t="shared" si="274"/>
        <v>3.6666666666666667E-2</v>
      </c>
      <c r="AX123" s="94">
        <f t="shared" si="274"/>
        <v>4.2074363992172209E-2</v>
      </c>
    </row>
    <row r="124" spans="2:54" s="458" customFormat="1" ht="11.25" customHeight="1">
      <c r="B124" s="691"/>
      <c r="C124" s="1026"/>
      <c r="AP124" s="1016"/>
      <c r="AQ124" s="1016"/>
      <c r="AR124" s="1016"/>
      <c r="AS124" s="1016"/>
      <c r="AT124" s="1016"/>
      <c r="AU124" s="1016"/>
      <c r="AV124" s="1016"/>
      <c r="AW124" s="1016"/>
      <c r="AX124" s="1016"/>
    </row>
    <row r="125" spans="2:54" ht="11.25" customHeight="1">
      <c r="C125" s="626"/>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row>
    <row r="126" spans="2:54" ht="11.25" customHeight="1">
      <c r="C126" s="567" t="s">
        <v>119</v>
      </c>
      <c r="AP126" s="212"/>
      <c r="AQ126" s="212"/>
      <c r="AR126" s="212"/>
      <c r="AS126" s="212"/>
      <c r="AT126" s="212"/>
      <c r="AU126" s="212"/>
      <c r="AV126" s="212"/>
      <c r="AW126" s="212"/>
      <c r="AX126" s="212"/>
    </row>
    <row r="127" spans="2:54" ht="5.2" customHeight="1">
      <c r="C127" s="567"/>
    </row>
    <row r="128" spans="2:54" ht="11.25" customHeight="1">
      <c r="C128" s="624" t="s">
        <v>104</v>
      </c>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P128" s="212">
        <f>Financials!AL346</f>
        <v>147</v>
      </c>
      <c r="AQ128" s="212">
        <f>Financials!AM346</f>
        <v>203</v>
      </c>
      <c r="AR128" s="212">
        <f>Financials!AN346</f>
        <v>208</v>
      </c>
      <c r="AS128" s="212">
        <f>Financials!AO346</f>
        <v>213</v>
      </c>
      <c r="AT128" s="212">
        <f>Financials!AP346</f>
        <v>219</v>
      </c>
      <c r="AU128" s="212">
        <f>Financials!AQ346</f>
        <v>176</v>
      </c>
      <c r="AV128" s="212">
        <f>Financials!AR346</f>
        <v>132</v>
      </c>
      <c r="AW128" s="212">
        <f>Financials!AS346</f>
        <v>141</v>
      </c>
      <c r="AX128" s="212">
        <f>Financials!AT346</f>
        <v>142</v>
      </c>
      <c r="AY128" s="88"/>
      <c r="AZ128" s="88"/>
      <c r="BA128" s="88"/>
      <c r="BB128" s="88"/>
    </row>
    <row r="129" spans="2:54" ht="10.5" customHeight="1">
      <c r="C129" s="624" t="s">
        <v>105</v>
      </c>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P129" s="212">
        <f>Financials!AL401</f>
        <v>143</v>
      </c>
      <c r="AQ129" s="212">
        <f>Financials!AM401</f>
        <v>161</v>
      </c>
      <c r="AR129" s="212">
        <f>Financials!AN401</f>
        <v>160</v>
      </c>
      <c r="AS129" s="212">
        <f>Financials!AO401</f>
        <v>164</v>
      </c>
      <c r="AT129" s="212">
        <f>Financials!AP401</f>
        <v>169</v>
      </c>
      <c r="AU129" s="212">
        <f>Financials!AQ401</f>
        <v>172</v>
      </c>
      <c r="AV129" s="212">
        <f>Financials!AR401</f>
        <v>187</v>
      </c>
      <c r="AW129" s="212">
        <f>Financials!AS401</f>
        <v>177</v>
      </c>
      <c r="AX129" s="212">
        <f>Financials!AT401</f>
        <v>163</v>
      </c>
      <c r="AY129" s="88"/>
      <c r="AZ129" s="88"/>
      <c r="BA129" s="88"/>
      <c r="BB129" s="88"/>
    </row>
    <row r="130" spans="2:54" ht="11.25" customHeight="1">
      <c r="C130" s="624" t="s">
        <v>106</v>
      </c>
      <c r="E130" s="31"/>
      <c r="F130" s="31"/>
      <c r="G130" s="31"/>
      <c r="H130" s="31"/>
      <c r="I130" s="94"/>
      <c r="J130" s="94"/>
      <c r="K130" s="94"/>
      <c r="L130" s="94"/>
      <c r="M130" s="94"/>
      <c r="N130" s="94"/>
      <c r="O130" s="94"/>
      <c r="P130" s="94"/>
      <c r="Q130" s="94"/>
      <c r="R130" s="94"/>
      <c r="S130" s="94"/>
      <c r="T130" s="94"/>
      <c r="U130" s="94"/>
      <c r="V130" s="94"/>
      <c r="W130" s="95"/>
      <c r="X130" s="95"/>
      <c r="Y130" s="95"/>
      <c r="Z130" s="95"/>
      <c r="AA130" s="95"/>
      <c r="AB130" s="95"/>
      <c r="AC130" s="95"/>
      <c r="AD130" s="95"/>
      <c r="AE130" s="95"/>
      <c r="AF130" s="95"/>
      <c r="AG130" s="95"/>
      <c r="AH130" s="95"/>
      <c r="AI130" s="95"/>
      <c r="AJ130" s="95"/>
      <c r="AP130" s="212">
        <f>Financials!AL482</f>
        <v>92</v>
      </c>
      <c r="AQ130" s="212">
        <f>Financials!AM482</f>
        <v>149</v>
      </c>
      <c r="AR130" s="212">
        <f>Financials!AN482</f>
        <v>157</v>
      </c>
      <c r="AS130" s="212">
        <f>Financials!AO482</f>
        <v>148</v>
      </c>
      <c r="AT130" s="212">
        <f>Financials!AP482</f>
        <v>151</v>
      </c>
      <c r="AU130" s="212">
        <f>Financials!AQ482</f>
        <v>102</v>
      </c>
      <c r="AV130" s="212">
        <f>Financials!AR482</f>
        <v>101</v>
      </c>
      <c r="AW130" s="212">
        <f>Financials!AS482</f>
        <v>102</v>
      </c>
      <c r="AX130" s="212">
        <f>Financials!AT482</f>
        <v>104</v>
      </c>
      <c r="AY130" s="95"/>
      <c r="AZ130" s="95"/>
      <c r="BA130" s="95"/>
      <c r="BB130" s="95"/>
    </row>
    <row r="131" spans="2:54" ht="11.25" customHeight="1">
      <c r="B131" s="27" t="s">
        <v>14</v>
      </c>
      <c r="C131" s="624" t="s">
        <v>107</v>
      </c>
      <c r="F131" s="88"/>
      <c r="G131" s="88"/>
      <c r="H131" s="88"/>
      <c r="I131" s="88"/>
      <c r="J131" s="88"/>
      <c r="K131" s="88"/>
      <c r="L131" s="88"/>
      <c r="M131" s="88"/>
      <c r="N131" s="88"/>
      <c r="O131" s="88"/>
      <c r="P131" s="88"/>
      <c r="Q131" s="88"/>
      <c r="R131" s="88"/>
      <c r="S131" s="88"/>
      <c r="T131" s="569"/>
      <c r="U131" s="569"/>
      <c r="V131" s="569"/>
      <c r="W131" s="569"/>
      <c r="X131" s="569"/>
      <c r="Y131" s="569"/>
      <c r="Z131" s="569"/>
      <c r="AA131" s="569"/>
      <c r="AB131" s="569"/>
      <c r="AC131" s="569"/>
      <c r="AD131" s="569"/>
      <c r="AE131" s="569"/>
      <c r="AF131" s="569"/>
      <c r="AG131" s="569"/>
      <c r="AH131" s="569"/>
      <c r="AI131" s="569"/>
      <c r="AJ131" s="569"/>
      <c r="AP131" s="212">
        <f>Financials!AL560</f>
        <v>66</v>
      </c>
      <c r="AQ131" s="212">
        <f>Financials!AM560</f>
        <v>55</v>
      </c>
      <c r="AR131" s="212">
        <f>Financials!AN560</f>
        <v>51</v>
      </c>
      <c r="AS131" s="212">
        <f>Financials!AO560</f>
        <v>58</v>
      </c>
      <c r="AT131" s="212">
        <f>Financials!AP560</f>
        <v>64</v>
      </c>
      <c r="AU131" s="212">
        <f>Financials!AQ560</f>
        <v>64</v>
      </c>
      <c r="AV131" s="212">
        <f>Financials!AR560</f>
        <v>56</v>
      </c>
      <c r="AW131" s="212">
        <f>Financials!AS560</f>
        <v>60</v>
      </c>
      <c r="AX131" s="212">
        <f>Financials!AT560</f>
        <v>61</v>
      </c>
    </row>
    <row r="132" spans="2:54" ht="11.25" customHeight="1">
      <c r="C132" s="624" t="s">
        <v>108</v>
      </c>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P132" s="212">
        <f>Financials!AL614</f>
        <v>2</v>
      </c>
      <c r="AQ132" s="212">
        <f>Financials!AM614</f>
        <v>3</v>
      </c>
      <c r="AR132" s="212">
        <f>Financials!AN614</f>
        <v>4</v>
      </c>
      <c r="AS132" s="212">
        <f>Financials!AO614</f>
        <v>4</v>
      </c>
      <c r="AT132" s="212">
        <f>Financials!AP614</f>
        <v>1</v>
      </c>
      <c r="AU132" s="212">
        <f>Financials!AQ614</f>
        <v>7</v>
      </c>
      <c r="AV132" s="212">
        <f>Financials!AR614</f>
        <v>3</v>
      </c>
      <c r="AW132" s="212">
        <f>Financials!AS614</f>
        <v>4</v>
      </c>
      <c r="AX132" s="212">
        <f>Financials!AT614</f>
        <v>7</v>
      </c>
      <c r="AY132" s="94"/>
      <c r="AZ132" s="94"/>
      <c r="BA132" s="94"/>
      <c r="BB132" s="94"/>
    </row>
    <row r="133" spans="2:54" ht="11.25" customHeight="1">
      <c r="I133" s="436"/>
      <c r="J133" s="436"/>
      <c r="K133" s="436"/>
      <c r="L133" s="436"/>
      <c r="M133" s="436"/>
      <c r="N133" s="436"/>
      <c r="O133" s="436"/>
      <c r="P133" s="436"/>
      <c r="Q133" s="436"/>
      <c r="R133" s="436"/>
      <c r="S133" s="436"/>
      <c r="T133" s="436"/>
      <c r="U133" s="436"/>
      <c r="V133" s="436"/>
      <c r="W133" s="436"/>
      <c r="X133" s="436"/>
      <c r="Y133" s="436"/>
      <c r="Z133" s="436"/>
      <c r="AA133" s="436"/>
      <c r="AB133" s="436"/>
      <c r="AC133" s="436"/>
      <c r="AD133" s="436"/>
      <c r="AE133" s="436"/>
      <c r="AF133" s="436"/>
      <c r="AG133" s="436"/>
      <c r="AH133" s="436"/>
      <c r="AI133" s="436"/>
      <c r="AJ133" s="436"/>
      <c r="AY133" s="436"/>
      <c r="AZ133" s="436"/>
      <c r="BA133" s="436"/>
      <c r="BB133" s="436"/>
    </row>
    <row r="134" spans="2:54" ht="11.25" customHeight="1">
      <c r="C134" s="457"/>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63"/>
      <c r="AL134" s="63"/>
      <c r="AM134" s="63"/>
      <c r="AN134" s="63"/>
      <c r="AO134" s="63"/>
      <c r="AP134" s="94"/>
      <c r="AQ134" s="94"/>
      <c r="AR134" s="94"/>
      <c r="AS134" s="94"/>
      <c r="AT134" s="94"/>
      <c r="AU134" s="94"/>
      <c r="AV134" s="94"/>
      <c r="AW134" s="94"/>
      <c r="AX134" s="94"/>
      <c r="AY134" s="94"/>
      <c r="AZ134" s="94"/>
      <c r="BA134" s="94"/>
      <c r="BB134" s="94"/>
    </row>
    <row r="135" spans="2:54" ht="11.25" customHeight="1">
      <c r="C135" s="457"/>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63"/>
      <c r="AL135" s="63"/>
      <c r="AM135" s="63"/>
      <c r="AN135" s="63"/>
      <c r="AO135" s="63"/>
      <c r="AP135" s="94"/>
      <c r="AQ135" s="94"/>
      <c r="AR135" s="94"/>
      <c r="AS135" s="94"/>
      <c r="AT135" s="94"/>
      <c r="AU135" s="94"/>
      <c r="AV135" s="94"/>
      <c r="AW135" s="94"/>
      <c r="AX135" s="94"/>
      <c r="AY135" s="94"/>
      <c r="AZ135" s="94"/>
      <c r="BA135" s="94"/>
      <c r="BB135" s="94"/>
    </row>
    <row r="136" spans="2:54" ht="11.25" customHeight="1">
      <c r="C136" s="457"/>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63"/>
      <c r="AL136" s="63"/>
      <c r="AM136" s="63"/>
      <c r="AN136" s="63"/>
      <c r="AO136" s="63"/>
      <c r="AP136" s="94"/>
      <c r="AQ136" s="94"/>
      <c r="AR136" s="94"/>
      <c r="AS136" s="94"/>
      <c r="AT136" s="94"/>
      <c r="AU136" s="94"/>
      <c r="AV136" s="94"/>
      <c r="AW136" s="94"/>
      <c r="AX136" s="94"/>
      <c r="AY136" s="94"/>
      <c r="AZ136" s="94"/>
      <c r="BA136" s="94"/>
      <c r="BB136" s="94"/>
    </row>
    <row r="137" spans="2:54" ht="11.25" customHeight="1">
      <c r="C137" s="457"/>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63"/>
      <c r="AL137" s="63"/>
      <c r="AM137" s="63"/>
      <c r="AN137" s="63"/>
      <c r="AO137" s="63"/>
      <c r="AP137" s="94"/>
      <c r="AQ137" s="94"/>
      <c r="AR137" s="94"/>
      <c r="AS137" s="94"/>
      <c r="AT137" s="94"/>
      <c r="AU137" s="94"/>
      <c r="AV137" s="94"/>
      <c r="AW137" s="94"/>
      <c r="AX137" s="94"/>
      <c r="AY137" s="94"/>
      <c r="AZ137" s="94"/>
      <c r="BA137" s="94"/>
      <c r="BB137" s="94"/>
    </row>
    <row r="138" spans="2:54" ht="11.25" customHeight="1">
      <c r="C138" s="457"/>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63"/>
      <c r="AL138" s="63"/>
      <c r="AM138" s="63"/>
      <c r="AN138" s="63"/>
      <c r="AO138" s="63"/>
      <c r="AP138" s="94"/>
      <c r="AQ138" s="94"/>
      <c r="AR138" s="94"/>
      <c r="AS138" s="94"/>
      <c r="AT138" s="94"/>
      <c r="AU138" s="94"/>
      <c r="AV138" s="94"/>
      <c r="AW138" s="94"/>
      <c r="AX138" s="94"/>
      <c r="AY138" s="94"/>
      <c r="AZ138" s="94"/>
      <c r="BA138" s="94"/>
      <c r="BB138" s="94"/>
    </row>
    <row r="139" spans="2:54" ht="11.25" customHeight="1">
      <c r="C139" s="457"/>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63"/>
      <c r="AL139" s="63"/>
      <c r="AM139" s="63"/>
      <c r="AN139" s="63"/>
      <c r="AO139" s="63"/>
      <c r="AP139" s="94"/>
      <c r="AQ139" s="94"/>
      <c r="AR139" s="94"/>
      <c r="AS139" s="94"/>
      <c r="AT139" s="94"/>
      <c r="AU139" s="94"/>
      <c r="AV139" s="94"/>
      <c r="AW139" s="94"/>
      <c r="AX139" s="94"/>
      <c r="AY139" s="94"/>
      <c r="AZ139" s="94"/>
      <c r="BA139" s="94"/>
      <c r="BB139" s="94"/>
    </row>
    <row r="140" spans="2:54" ht="11.25" customHeight="1">
      <c r="C140" s="457"/>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63"/>
      <c r="AL140" s="63"/>
      <c r="AM140" s="63"/>
      <c r="AN140" s="63"/>
      <c r="AO140" s="63"/>
      <c r="AP140" s="94"/>
      <c r="AQ140" s="94"/>
      <c r="AR140" s="94"/>
      <c r="AS140" s="94"/>
      <c r="AT140" s="94"/>
      <c r="AU140" s="94"/>
      <c r="AV140" s="94"/>
      <c r="AW140" s="94"/>
      <c r="AX140" s="94"/>
      <c r="AY140" s="94"/>
      <c r="AZ140" s="94"/>
      <c r="BA140" s="94"/>
      <c r="BB140" s="94"/>
    </row>
    <row r="141" spans="2:54" ht="11.25" customHeight="1">
      <c r="C141" s="457"/>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63"/>
      <c r="AL141" s="63"/>
      <c r="AM141" s="63"/>
      <c r="AN141" s="63"/>
      <c r="AO141" s="63"/>
      <c r="AP141" s="94"/>
      <c r="AQ141" s="94"/>
      <c r="AR141" s="94"/>
      <c r="AS141" s="94"/>
      <c r="AT141" s="94"/>
      <c r="AU141" s="94"/>
      <c r="AV141" s="94"/>
      <c r="AW141" s="94"/>
      <c r="AX141" s="94"/>
      <c r="AY141" s="94"/>
      <c r="AZ141" s="94"/>
      <c r="BA141" s="94"/>
      <c r="BB141" s="94"/>
    </row>
    <row r="142" spans="2:54" ht="11.25" customHeight="1">
      <c r="C142" s="457"/>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63"/>
      <c r="AL142" s="63"/>
      <c r="AM142" s="63"/>
      <c r="AN142" s="63"/>
      <c r="AO142" s="63"/>
      <c r="AP142" s="94"/>
      <c r="AQ142" s="94"/>
      <c r="AR142" s="94"/>
      <c r="AS142" s="94"/>
      <c r="AT142" s="94"/>
      <c r="AU142" s="94"/>
      <c r="AV142" s="94"/>
      <c r="AW142" s="94"/>
      <c r="AX142" s="94"/>
      <c r="AY142" s="94"/>
      <c r="AZ142" s="94"/>
      <c r="BA142" s="94"/>
      <c r="BB142" s="94"/>
    </row>
    <row r="143" spans="2:54" ht="11.25" customHeight="1">
      <c r="C143" s="457"/>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63"/>
      <c r="AL143" s="63"/>
      <c r="AM143" s="63"/>
      <c r="AN143" s="63"/>
      <c r="AO143" s="63"/>
      <c r="AP143" s="94"/>
      <c r="AQ143" s="94"/>
      <c r="AR143" s="94"/>
      <c r="AS143" s="94"/>
      <c r="AT143" s="94"/>
      <c r="AU143" s="94"/>
      <c r="AV143" s="94"/>
      <c r="AW143" s="94"/>
      <c r="AX143" s="94"/>
      <c r="AY143" s="94"/>
      <c r="AZ143" s="94"/>
      <c r="BA143" s="94"/>
      <c r="BB143" s="94"/>
    </row>
    <row r="144" spans="2:54" ht="11.25" customHeight="1">
      <c r="C144" s="457"/>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63"/>
      <c r="AL144" s="63"/>
      <c r="AM144" s="63"/>
      <c r="AN144" s="63"/>
      <c r="AO144" s="63"/>
      <c r="AP144" s="94"/>
      <c r="AQ144" s="94"/>
      <c r="AR144" s="94"/>
      <c r="AS144" s="94"/>
      <c r="AT144" s="94"/>
      <c r="AU144" s="94"/>
      <c r="AV144" s="94"/>
      <c r="AW144" s="94"/>
      <c r="AX144" s="94"/>
      <c r="AY144" s="94"/>
      <c r="AZ144" s="94"/>
      <c r="BA144" s="94"/>
      <c r="BB144" s="94"/>
    </row>
    <row r="145" spans="3:54" ht="11.25" customHeight="1">
      <c r="C145" s="457"/>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63"/>
      <c r="AL145" s="63"/>
      <c r="AM145" s="63"/>
      <c r="AN145" s="63"/>
      <c r="AO145" s="63"/>
      <c r="AP145" s="94"/>
      <c r="AQ145" s="94"/>
      <c r="AR145" s="94"/>
      <c r="AS145" s="94"/>
      <c r="AT145" s="94"/>
      <c r="AU145" s="94"/>
      <c r="AV145" s="94"/>
      <c r="AW145" s="94"/>
      <c r="AX145" s="94"/>
      <c r="AY145" s="94"/>
      <c r="AZ145" s="94"/>
      <c r="BA145" s="94"/>
      <c r="BB145" s="94"/>
    </row>
    <row r="146" spans="3:54" ht="11.25" customHeight="1">
      <c r="C146" s="457"/>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63"/>
      <c r="AL146" s="63"/>
      <c r="AM146" s="63"/>
      <c r="AN146" s="63"/>
      <c r="AO146" s="63"/>
      <c r="AP146" s="94"/>
      <c r="AQ146" s="94"/>
      <c r="AR146" s="94"/>
      <c r="AS146" s="94"/>
      <c r="AT146" s="94"/>
      <c r="AU146" s="94"/>
      <c r="AV146" s="94"/>
      <c r="AW146" s="94"/>
      <c r="AX146" s="94"/>
      <c r="AY146" s="94"/>
      <c r="AZ146" s="94"/>
      <c r="BA146" s="94"/>
      <c r="BB146" s="94"/>
    </row>
    <row r="147" spans="3:54" ht="11.25" customHeight="1">
      <c r="C147" s="457"/>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63"/>
      <c r="AL147" s="63"/>
      <c r="AM147" s="63"/>
      <c r="AN147" s="63"/>
      <c r="AO147" s="63"/>
      <c r="AP147" s="94"/>
      <c r="AQ147" s="94"/>
      <c r="AR147" s="94"/>
      <c r="AS147" s="94"/>
      <c r="AT147" s="94"/>
      <c r="AU147" s="94"/>
      <c r="AV147" s="94"/>
      <c r="AW147" s="94"/>
      <c r="AX147" s="94"/>
      <c r="AY147" s="94"/>
      <c r="AZ147" s="94"/>
      <c r="BA147" s="94"/>
      <c r="BB147" s="94"/>
    </row>
    <row r="148" spans="3:54" ht="11.25" customHeight="1">
      <c r="C148" s="457"/>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63"/>
      <c r="AL148" s="63"/>
      <c r="AM148" s="63"/>
      <c r="AN148" s="63"/>
      <c r="AO148" s="63"/>
      <c r="AP148" s="94"/>
      <c r="AQ148" s="94"/>
      <c r="AR148" s="94"/>
      <c r="AS148" s="94"/>
      <c r="AT148" s="94"/>
      <c r="AU148" s="94"/>
      <c r="AV148" s="94"/>
      <c r="AW148" s="94"/>
      <c r="AX148" s="94"/>
      <c r="AY148" s="94"/>
      <c r="AZ148" s="94"/>
      <c r="BA148" s="94"/>
      <c r="BB148" s="94"/>
    </row>
    <row r="149" spans="3:54" ht="11.25" customHeight="1">
      <c r="C149" s="457"/>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63"/>
      <c r="AL149" s="63"/>
      <c r="AM149" s="63"/>
      <c r="AN149" s="63"/>
      <c r="AO149" s="63"/>
      <c r="AP149" s="94"/>
      <c r="AQ149" s="94"/>
      <c r="AR149" s="94"/>
      <c r="AS149" s="94"/>
      <c r="AT149" s="94"/>
      <c r="AU149" s="94"/>
      <c r="AV149" s="94"/>
      <c r="AW149" s="94"/>
      <c r="AX149" s="94"/>
      <c r="AY149" s="94"/>
      <c r="AZ149" s="94"/>
      <c r="BA149" s="94"/>
      <c r="BB149" s="94"/>
    </row>
    <row r="150" spans="3:54" ht="11.25" customHeight="1">
      <c r="C150" s="457"/>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63"/>
      <c r="AL150" s="63"/>
      <c r="AM150" s="63"/>
      <c r="AN150" s="63"/>
      <c r="AO150" s="63"/>
      <c r="AP150" s="94"/>
      <c r="AQ150" s="94"/>
      <c r="AR150" s="94"/>
      <c r="AS150" s="94"/>
      <c r="AT150" s="94"/>
      <c r="AU150" s="94"/>
      <c r="AV150" s="94"/>
      <c r="AW150" s="94"/>
      <c r="AX150" s="94"/>
      <c r="AY150" s="94"/>
      <c r="AZ150" s="94"/>
      <c r="BA150" s="94"/>
      <c r="BB150" s="94"/>
    </row>
    <row r="151" spans="3:54" ht="11.25" customHeight="1">
      <c r="C151" s="457"/>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63"/>
      <c r="AL151" s="63"/>
      <c r="AM151" s="63"/>
      <c r="AN151" s="63"/>
      <c r="AO151" s="63"/>
      <c r="AP151" s="94"/>
      <c r="AQ151" s="94"/>
      <c r="AR151" s="94"/>
      <c r="AS151" s="94"/>
      <c r="AT151" s="94"/>
      <c r="AU151" s="94"/>
      <c r="AV151" s="94"/>
      <c r="AW151" s="94"/>
      <c r="AX151" s="94"/>
      <c r="AY151" s="94"/>
      <c r="AZ151" s="94"/>
      <c r="BA151" s="94"/>
      <c r="BB151" s="94"/>
    </row>
    <row r="152" spans="3:54" ht="11.25" customHeight="1">
      <c r="C152" s="457"/>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63"/>
      <c r="AL152" s="63"/>
      <c r="AM152" s="63"/>
      <c r="AN152" s="63"/>
      <c r="AO152" s="63"/>
      <c r="AP152" s="94"/>
      <c r="AQ152" s="94"/>
      <c r="AR152" s="94"/>
      <c r="AS152" s="94"/>
      <c r="AT152" s="94"/>
      <c r="AU152" s="94"/>
      <c r="AV152" s="94"/>
      <c r="AW152" s="94"/>
      <c r="AX152" s="94"/>
      <c r="AY152" s="94"/>
      <c r="AZ152" s="94"/>
      <c r="BA152" s="94"/>
      <c r="BB152" s="94"/>
    </row>
    <row r="153" spans="3:54" ht="11.25" customHeight="1">
      <c r="C153" s="457"/>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63"/>
      <c r="AL153" s="63"/>
      <c r="AM153" s="63"/>
      <c r="AN153" s="63"/>
      <c r="AO153" s="63"/>
      <c r="AP153" s="94"/>
      <c r="AQ153" s="94"/>
      <c r="AR153" s="94"/>
      <c r="AS153" s="94"/>
      <c r="AT153" s="94"/>
      <c r="AU153" s="94"/>
      <c r="AV153" s="94"/>
      <c r="AW153" s="94"/>
      <c r="AX153" s="94"/>
      <c r="AY153" s="94"/>
      <c r="AZ153" s="94"/>
      <c r="BA153" s="94"/>
      <c r="BB153" s="94"/>
    </row>
    <row r="154" spans="3:54" ht="11.25" customHeight="1">
      <c r="C154" s="457"/>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63"/>
      <c r="AL154" s="63"/>
      <c r="AM154" s="63"/>
      <c r="AN154" s="63"/>
      <c r="AO154" s="63"/>
      <c r="AP154" s="94"/>
      <c r="AQ154" s="94"/>
      <c r="AR154" s="94"/>
      <c r="AS154" s="94"/>
      <c r="AT154" s="94"/>
      <c r="AU154" s="94"/>
      <c r="AV154" s="94"/>
      <c r="AW154" s="94"/>
      <c r="AX154" s="94"/>
      <c r="AY154" s="94"/>
      <c r="AZ154" s="94"/>
      <c r="BA154" s="94"/>
      <c r="BB154" s="94"/>
    </row>
    <row r="155" spans="3:54" ht="11.25" customHeight="1">
      <c r="C155" s="457"/>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63"/>
      <c r="AL155" s="63"/>
      <c r="AM155" s="63"/>
      <c r="AN155" s="63"/>
      <c r="AO155" s="63"/>
      <c r="AP155" s="94"/>
      <c r="AQ155" s="94"/>
      <c r="AR155" s="94"/>
      <c r="AS155" s="94"/>
      <c r="AT155" s="94"/>
      <c r="AU155" s="94"/>
      <c r="AV155" s="94"/>
      <c r="AW155" s="94"/>
      <c r="AX155" s="94"/>
      <c r="AY155" s="94"/>
      <c r="AZ155" s="94"/>
      <c r="BA155" s="94"/>
      <c r="BB155" s="94"/>
    </row>
    <row r="156" spans="3:54" ht="11.25" customHeight="1">
      <c r="C156" s="457"/>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63"/>
      <c r="AL156" s="63"/>
      <c r="AM156" s="63"/>
      <c r="AN156" s="63"/>
      <c r="AO156" s="63"/>
      <c r="AP156" s="94"/>
      <c r="AQ156" s="94"/>
      <c r="AR156" s="94"/>
      <c r="AS156" s="94"/>
      <c r="AT156" s="94"/>
      <c r="AU156" s="94"/>
      <c r="AV156" s="94"/>
      <c r="AW156" s="94"/>
      <c r="AX156" s="94"/>
      <c r="AY156" s="94"/>
      <c r="AZ156" s="94"/>
      <c r="BA156" s="94"/>
      <c r="BB156" s="94"/>
    </row>
    <row r="157" spans="3:54" ht="11.25" customHeight="1">
      <c r="C157" s="457"/>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436"/>
      <c r="AE157" s="436"/>
      <c r="AF157" s="436"/>
      <c r="AG157" s="436"/>
      <c r="AH157" s="436"/>
      <c r="AI157" s="436"/>
      <c r="AJ157" s="436"/>
      <c r="AQ157" s="436"/>
      <c r="AR157" s="436"/>
      <c r="AS157" s="436"/>
      <c r="AT157" s="436"/>
      <c r="AU157" s="436"/>
      <c r="AV157" s="436"/>
      <c r="AW157" s="436"/>
      <c r="AX157" s="436"/>
      <c r="AY157" s="436"/>
      <c r="AZ157" s="436"/>
      <c r="BA157" s="436"/>
      <c r="BB157" s="436"/>
    </row>
    <row r="158" spans="3:54" ht="11.25" customHeight="1">
      <c r="C158" s="626"/>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458"/>
      <c r="AL158" s="458"/>
      <c r="AM158" s="458"/>
      <c r="AN158" s="458"/>
      <c r="AO158" s="458"/>
      <c r="AP158" s="88"/>
      <c r="AQ158" s="88"/>
      <c r="AR158" s="88"/>
      <c r="AS158" s="88"/>
      <c r="AT158" s="88"/>
      <c r="AU158" s="88"/>
      <c r="AV158" s="88"/>
      <c r="AW158" s="88"/>
      <c r="AX158" s="88"/>
      <c r="AY158" s="88"/>
      <c r="AZ158" s="88"/>
      <c r="BA158" s="88"/>
      <c r="BB158" s="88"/>
    </row>
    <row r="159" spans="3:54" ht="5.2" customHeight="1">
      <c r="C159" s="626"/>
    </row>
    <row r="160" spans="3:54" ht="11.25" customHeight="1">
      <c r="C160" s="567"/>
    </row>
    <row r="161" spans="3:54" ht="11.25" customHeight="1">
      <c r="C161" s="457"/>
      <c r="E161" s="31"/>
      <c r="F161" s="31"/>
      <c r="G161" s="31"/>
      <c r="H161" s="31"/>
      <c r="I161" s="94"/>
      <c r="J161" s="94"/>
      <c r="K161" s="94"/>
      <c r="L161" s="94"/>
      <c r="M161" s="94"/>
      <c r="N161" s="94"/>
      <c r="O161" s="94"/>
      <c r="P161" s="94"/>
      <c r="Q161" s="94"/>
      <c r="R161" s="94"/>
      <c r="S161" s="94"/>
      <c r="T161" s="94"/>
      <c r="U161" s="94"/>
      <c r="V161" s="94"/>
      <c r="W161" s="95"/>
      <c r="X161" s="95"/>
      <c r="Y161" s="95"/>
      <c r="Z161" s="95"/>
      <c r="AA161" s="95"/>
      <c r="AB161" s="95"/>
      <c r="AC161" s="95"/>
      <c r="AD161" s="95"/>
      <c r="AE161" s="95"/>
      <c r="AF161" s="95"/>
      <c r="AG161" s="95"/>
      <c r="AH161" s="95"/>
      <c r="AI161" s="95"/>
      <c r="AJ161" s="95"/>
      <c r="AP161" s="31"/>
      <c r="AQ161" s="94"/>
      <c r="AR161" s="94"/>
      <c r="AS161" s="94"/>
      <c r="AT161" s="94"/>
      <c r="AU161" s="94"/>
      <c r="AV161" s="95"/>
      <c r="AW161" s="95"/>
      <c r="AX161" s="95"/>
      <c r="AY161" s="95"/>
      <c r="AZ161" s="95"/>
      <c r="BA161" s="95"/>
      <c r="BB161" s="95"/>
    </row>
    <row r="162" spans="3:54" ht="11.25" customHeight="1">
      <c r="C162" s="626"/>
      <c r="F162" s="88"/>
      <c r="G162" s="88"/>
      <c r="H162" s="88"/>
      <c r="I162" s="88"/>
      <c r="J162" s="88"/>
      <c r="K162" s="88"/>
      <c r="L162" s="88"/>
      <c r="M162" s="88"/>
      <c r="N162" s="88"/>
      <c r="O162" s="88"/>
      <c r="P162" s="88"/>
      <c r="Q162" s="88"/>
      <c r="R162" s="88"/>
      <c r="S162" s="88"/>
      <c r="T162" s="569"/>
      <c r="U162" s="569"/>
      <c r="V162" s="569"/>
      <c r="W162" s="569"/>
      <c r="X162" s="569"/>
      <c r="Y162" s="569"/>
      <c r="Z162" s="569"/>
      <c r="AA162" s="569"/>
      <c r="AB162" s="569"/>
      <c r="AC162" s="569"/>
      <c r="AD162" s="569"/>
      <c r="AE162" s="569"/>
      <c r="AF162" s="569"/>
      <c r="AG162" s="569"/>
      <c r="AH162" s="569"/>
      <c r="AI162" s="569"/>
      <c r="AJ162" s="569"/>
      <c r="AV162" s="28" t="s">
        <v>195</v>
      </c>
      <c r="AW162" s="28"/>
      <c r="AX162" s="28">
        <f>Financials!AT497</f>
        <v>1520.96</v>
      </c>
      <c r="AY162" s="63">
        <f t="shared" ref="AY162:AY175" si="275">AX162/AX$176</f>
        <v>0.15695776682748125</v>
      </c>
    </row>
    <row r="163" spans="3:54" ht="11.25" customHeight="1">
      <c r="C163" s="457"/>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63"/>
      <c r="AL163" s="63"/>
      <c r="AM163" s="63"/>
      <c r="AN163" s="63"/>
      <c r="AO163" s="63"/>
      <c r="AP163" s="94"/>
      <c r="AQ163" s="94"/>
      <c r="AR163" s="94"/>
      <c r="AS163" s="94"/>
      <c r="AT163" s="94"/>
      <c r="AU163" s="94"/>
      <c r="AV163" s="28" t="s">
        <v>192</v>
      </c>
      <c r="AW163" s="28"/>
      <c r="AX163" s="28">
        <f>Financials!AT416</f>
        <v>1635.57</v>
      </c>
      <c r="AY163" s="63">
        <f t="shared" si="275"/>
        <v>0.16878511906297566</v>
      </c>
      <c r="AZ163" s="94"/>
      <c r="BA163" s="94"/>
      <c r="BB163" s="94"/>
    </row>
    <row r="164" spans="3:54" ht="11.25" customHeight="1">
      <c r="C164" s="457"/>
      <c r="I164" s="436"/>
      <c r="J164" s="436"/>
      <c r="K164" s="436"/>
      <c r="L164" s="436"/>
      <c r="M164" s="436"/>
      <c r="N164" s="436"/>
      <c r="O164" s="436"/>
      <c r="P164" s="436"/>
      <c r="Q164" s="436"/>
      <c r="R164" s="436"/>
      <c r="S164" s="436"/>
      <c r="T164" s="436"/>
      <c r="U164" s="436"/>
      <c r="V164" s="436"/>
      <c r="W164" s="436"/>
      <c r="X164" s="436"/>
      <c r="Y164" s="436"/>
      <c r="Z164" s="436"/>
      <c r="AA164" s="436"/>
      <c r="AB164" s="436"/>
      <c r="AC164" s="436"/>
      <c r="AD164" s="436"/>
      <c r="AE164" s="436"/>
      <c r="AF164" s="436"/>
      <c r="AG164" s="436"/>
      <c r="AH164" s="436"/>
      <c r="AI164" s="436"/>
      <c r="AJ164" s="436"/>
      <c r="AQ164" s="436"/>
      <c r="AR164" s="436"/>
      <c r="AS164" s="436"/>
      <c r="AT164" s="436"/>
      <c r="AU164" s="436"/>
      <c r="AV164" s="28" t="s">
        <v>1143</v>
      </c>
      <c r="AW164" s="28"/>
      <c r="AX164" s="28">
        <f>Financials!AT300</f>
        <v>1077.25</v>
      </c>
      <c r="AY164" s="63">
        <f t="shared" si="275"/>
        <v>0.11116844250664328</v>
      </c>
      <c r="AZ164" s="436"/>
      <c r="BA164" s="436"/>
      <c r="BB164" s="436"/>
    </row>
    <row r="165" spans="3:54" ht="11.25" customHeight="1">
      <c r="AV165" s="28" t="s">
        <v>188</v>
      </c>
      <c r="AW165" s="28"/>
      <c r="AX165" s="28">
        <f>Financials!AT301</f>
        <v>903.5</v>
      </c>
      <c r="AY165" s="63">
        <f t="shared" si="275"/>
        <v>9.3238048553958883E-2</v>
      </c>
    </row>
    <row r="166" spans="3:54" ht="11.25" customHeight="1">
      <c r="C166" s="24"/>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28" t="s">
        <v>193</v>
      </c>
      <c r="AW166" s="28"/>
      <c r="AX166" s="28">
        <f>Financials!AT417</f>
        <v>930.03</v>
      </c>
      <c r="AY166" s="63">
        <f t="shared" si="275"/>
        <v>9.5975852016201846E-2</v>
      </c>
      <c r="AZ166" s="30"/>
      <c r="BA166" s="30"/>
      <c r="BB166" s="30"/>
    </row>
    <row r="167" spans="3:54" ht="10.5" customHeight="1">
      <c r="AV167" s="28" t="s">
        <v>197</v>
      </c>
      <c r="AW167" s="28"/>
      <c r="AX167" s="28">
        <f>Financials!AT499</f>
        <v>651.84</v>
      </c>
      <c r="AY167" s="63">
        <f t="shared" si="275"/>
        <v>6.7267614354634811E-2</v>
      </c>
    </row>
    <row r="168" spans="3:54" ht="11.25" customHeight="1">
      <c r="C168" s="567"/>
      <c r="AV168" s="28" t="s">
        <v>198</v>
      </c>
      <c r="AW168" s="28"/>
      <c r="AX168" s="28">
        <f>Financials!AT575</f>
        <v>654.08000000000004</v>
      </c>
      <c r="AY168" s="63">
        <f t="shared" si="275"/>
        <v>6.7498774541420503E-2</v>
      </c>
    </row>
    <row r="169" spans="3:54" ht="10.5" customHeight="1">
      <c r="C169" s="626"/>
      <c r="AV169" s="28" t="s">
        <v>194</v>
      </c>
      <c r="AW169" s="28"/>
      <c r="AX169" s="28">
        <f>Financials!AT418</f>
        <v>641.40000000000009</v>
      </c>
      <c r="AY169" s="63">
        <f t="shared" si="275"/>
        <v>6.6190242769794391E-2</v>
      </c>
    </row>
    <row r="170" spans="3:54" ht="10.5" customHeight="1">
      <c r="C170" s="626"/>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V170" s="28" t="s">
        <v>196</v>
      </c>
      <c r="AW170" s="28"/>
      <c r="AX170" s="28">
        <f>Financials!AT498</f>
        <v>543.20000000000005</v>
      </c>
      <c r="AY170" s="63">
        <f t="shared" si="275"/>
        <v>5.6056345295529018E-2</v>
      </c>
    </row>
    <row r="171" spans="3:54" ht="10.5" customHeight="1">
      <c r="C171" s="626"/>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458"/>
      <c r="AL171" s="458"/>
      <c r="AM171" s="458"/>
      <c r="AN171" s="458"/>
      <c r="AO171" s="458"/>
      <c r="AP171" s="88"/>
      <c r="AQ171" s="88"/>
      <c r="AR171" s="88"/>
      <c r="AS171" s="88"/>
      <c r="AT171" s="88"/>
      <c r="AU171" s="88"/>
      <c r="AV171" s="28" t="s">
        <v>191</v>
      </c>
      <c r="AW171" s="28"/>
      <c r="AX171" s="28">
        <f>Financials!AT302</f>
        <v>556</v>
      </c>
      <c r="AY171" s="63">
        <f t="shared" si="275"/>
        <v>5.7377260648590077E-2</v>
      </c>
      <c r="AZ171" s="88"/>
      <c r="BA171" s="88"/>
      <c r="BB171" s="88"/>
    </row>
    <row r="172" spans="3:54" ht="10.5" customHeight="1">
      <c r="C172" s="566"/>
      <c r="AV172" s="28" t="s">
        <v>1142</v>
      </c>
      <c r="AW172" s="28"/>
      <c r="AX172" s="28">
        <f>Financials!AT299</f>
        <v>208.5</v>
      </c>
      <c r="AY172" s="63">
        <f t="shared" si="275"/>
        <v>2.1516472743221278E-2</v>
      </c>
    </row>
    <row r="173" spans="3:54" ht="10.5" customHeight="1">
      <c r="C173" s="567"/>
      <c r="AV173" s="28" t="s">
        <v>199</v>
      </c>
      <c r="AW173" s="28"/>
      <c r="AX173" s="28">
        <f>Financials!AT576</f>
        <v>163.52000000000001</v>
      </c>
      <c r="AY173" s="63">
        <f t="shared" si="275"/>
        <v>1.6874693635355126E-2</v>
      </c>
    </row>
    <row r="174" spans="3:54" ht="10.5" customHeight="1">
      <c r="C174" s="457"/>
      <c r="AV174" s="28" t="s">
        <v>200</v>
      </c>
      <c r="AW174" s="28"/>
      <c r="AX174" s="28">
        <f>Financials!AT577</f>
        <v>143.08000000000001</v>
      </c>
      <c r="AY174" s="63">
        <f t="shared" si="275"/>
        <v>1.4765356930935735E-2</v>
      </c>
    </row>
    <row r="175" spans="3:54" ht="10.5" customHeight="1">
      <c r="C175" s="626"/>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V175" s="28" t="s">
        <v>201</v>
      </c>
      <c r="AW175" s="28"/>
      <c r="AX175" s="28">
        <f>Financials!AT578</f>
        <v>61.32</v>
      </c>
      <c r="AY175" s="63">
        <f t="shared" si="275"/>
        <v>6.3280101132581722E-3</v>
      </c>
    </row>
    <row r="176" spans="3:54" ht="10.5" customHeight="1">
      <c r="C176" s="457"/>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63"/>
      <c r="AL176" s="63"/>
      <c r="AM176" s="63"/>
      <c r="AN176" s="63"/>
      <c r="AO176" s="63"/>
      <c r="AP176" s="94"/>
      <c r="AQ176" s="94"/>
      <c r="AR176" s="94"/>
      <c r="AS176" s="94"/>
      <c r="AT176" s="94"/>
      <c r="AU176" s="94"/>
      <c r="AV176" s="94"/>
      <c r="AX176" s="28">
        <f>SUM(AX162:AX175)</f>
        <v>9690.25</v>
      </c>
      <c r="AZ176" s="94"/>
      <c r="BA176" s="94"/>
      <c r="BB176" s="94"/>
    </row>
    <row r="177" spans="3:54" ht="10.5" customHeight="1">
      <c r="C177" s="457"/>
      <c r="I177" s="436"/>
      <c r="J177" s="436"/>
      <c r="K177" s="436"/>
      <c r="L177" s="436"/>
      <c r="M177" s="436"/>
      <c r="N177" s="436"/>
      <c r="O177" s="436"/>
      <c r="P177" s="436"/>
      <c r="Q177" s="436"/>
      <c r="R177" s="436"/>
      <c r="S177" s="436"/>
      <c r="T177" s="436"/>
      <c r="U177" s="436"/>
      <c r="V177" s="436"/>
      <c r="W177" s="436"/>
      <c r="X177" s="436"/>
      <c r="Y177" s="436"/>
      <c r="Z177" s="436"/>
      <c r="AA177" s="436"/>
      <c r="AB177" s="436"/>
      <c r="AC177" s="436"/>
      <c r="AD177" s="436"/>
      <c r="AE177" s="436"/>
      <c r="AF177" s="436"/>
      <c r="AG177" s="436"/>
      <c r="AH177" s="436"/>
      <c r="AI177" s="436"/>
      <c r="AJ177" s="436"/>
      <c r="AQ177" s="436"/>
      <c r="AR177" s="436"/>
      <c r="AS177" s="436"/>
      <c r="AT177" s="436"/>
      <c r="AU177" s="436"/>
      <c r="AV177" s="436"/>
      <c r="AW177" s="436"/>
      <c r="AX177" s="436"/>
      <c r="AY177" s="436"/>
      <c r="AZ177" s="436"/>
      <c r="BA177" s="436"/>
      <c r="BB177" s="436"/>
    </row>
    <row r="178" spans="3:54" ht="10.5" customHeight="1">
      <c r="C178" s="626"/>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458"/>
      <c r="AL178" s="458"/>
      <c r="AM178" s="458"/>
      <c r="AN178" s="458"/>
      <c r="AO178" s="458"/>
      <c r="AP178" s="88"/>
      <c r="AQ178" s="88"/>
      <c r="AR178" s="88"/>
      <c r="AS178" s="88"/>
      <c r="AT178" s="88"/>
      <c r="AU178" s="88"/>
      <c r="AV178" s="88"/>
      <c r="AW178" s="88"/>
      <c r="AX178" s="88"/>
      <c r="AY178" s="88"/>
      <c r="AZ178" s="88"/>
      <c r="BA178" s="88"/>
      <c r="BB178" s="88"/>
    </row>
    <row r="179" spans="3:54" ht="10.5" customHeight="1">
      <c r="C179" s="626"/>
    </row>
    <row r="180" spans="3:54" ht="10.5" customHeight="1">
      <c r="C180" s="567"/>
    </row>
    <row r="181" spans="3:54" ht="10.5" customHeight="1">
      <c r="C181" s="457"/>
      <c r="E181" s="31"/>
      <c r="F181" s="31"/>
      <c r="G181" s="31"/>
      <c r="H181" s="31"/>
      <c r="I181" s="94"/>
      <c r="J181" s="94"/>
      <c r="K181" s="94"/>
      <c r="L181" s="94"/>
      <c r="M181" s="94"/>
      <c r="N181" s="94"/>
      <c r="O181" s="94"/>
      <c r="P181" s="94"/>
      <c r="Q181" s="94"/>
      <c r="R181" s="94"/>
      <c r="S181" s="94"/>
      <c r="T181" s="94"/>
      <c r="U181" s="94"/>
      <c r="V181" s="94"/>
      <c r="W181" s="95"/>
      <c r="X181" s="95"/>
      <c r="Y181" s="95"/>
      <c r="Z181" s="95"/>
      <c r="AA181" s="95"/>
      <c r="AB181" s="95"/>
      <c r="AC181" s="95"/>
      <c r="AD181" s="95"/>
      <c r="AE181" s="95"/>
      <c r="AF181" s="95"/>
      <c r="AG181" s="95"/>
      <c r="AH181" s="95"/>
      <c r="AI181" s="95"/>
      <c r="AJ181" s="95"/>
      <c r="AP181" s="31"/>
      <c r="AQ181" s="94"/>
      <c r="AR181" s="94"/>
      <c r="AS181" s="94"/>
      <c r="AT181" s="94"/>
      <c r="AU181" s="94"/>
      <c r="AV181" s="95"/>
      <c r="AW181" s="95"/>
      <c r="AX181" s="95"/>
      <c r="AY181" s="95"/>
      <c r="AZ181" s="95"/>
      <c r="BA181" s="95"/>
      <c r="BB181" s="95"/>
    </row>
    <row r="182" spans="3:54" ht="10.5" customHeight="1">
      <c r="C182" s="626"/>
      <c r="F182" s="88"/>
      <c r="G182" s="88"/>
      <c r="H182" s="88"/>
      <c r="I182" s="88"/>
      <c r="J182" s="88"/>
      <c r="K182" s="88"/>
      <c r="L182" s="88"/>
      <c r="M182" s="88"/>
      <c r="N182" s="88"/>
      <c r="O182" s="88"/>
      <c r="P182" s="88"/>
      <c r="Q182" s="88"/>
      <c r="R182" s="88"/>
      <c r="S182" s="88"/>
      <c r="T182" s="569"/>
      <c r="U182" s="569"/>
      <c r="V182" s="569"/>
      <c r="W182" s="569"/>
      <c r="X182" s="569"/>
      <c r="Y182" s="569"/>
      <c r="Z182" s="569"/>
      <c r="AA182" s="569"/>
      <c r="AB182" s="569"/>
      <c r="AC182" s="569"/>
      <c r="AD182" s="569"/>
      <c r="AE182" s="569"/>
      <c r="AF182" s="569"/>
      <c r="AG182" s="569"/>
      <c r="AH182" s="569"/>
      <c r="AI182" s="569"/>
      <c r="AJ182" s="569"/>
    </row>
    <row r="183" spans="3:54" ht="10.5" customHeight="1">
      <c r="C183" s="457"/>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63"/>
      <c r="AL183" s="63"/>
      <c r="AM183" s="63"/>
      <c r="AN183" s="63"/>
      <c r="AO183" s="63"/>
      <c r="AP183" s="94"/>
      <c r="AQ183" s="94"/>
      <c r="AR183" s="94"/>
      <c r="AS183" s="94"/>
      <c r="AT183" s="94"/>
      <c r="AU183" s="94"/>
      <c r="AV183" s="94"/>
      <c r="AW183" s="94"/>
      <c r="AX183" s="94"/>
      <c r="AY183" s="94"/>
      <c r="AZ183" s="94"/>
      <c r="BA183" s="94"/>
      <c r="BB183" s="94"/>
    </row>
    <row r="184" spans="3:54" ht="10.5" customHeight="1">
      <c r="C184" s="457"/>
      <c r="I184" s="436"/>
      <c r="J184" s="436"/>
      <c r="K184" s="436"/>
      <c r="L184" s="436"/>
      <c r="M184" s="436"/>
      <c r="N184" s="436"/>
      <c r="O184" s="436"/>
      <c r="P184" s="436"/>
      <c r="Q184" s="436"/>
      <c r="R184" s="436"/>
      <c r="S184" s="436"/>
      <c r="T184" s="436"/>
      <c r="U184" s="436"/>
      <c r="V184" s="436"/>
      <c r="W184" s="436"/>
      <c r="X184" s="436"/>
      <c r="Y184" s="436"/>
      <c r="Z184" s="436"/>
      <c r="AA184" s="436"/>
      <c r="AB184" s="436"/>
      <c r="AC184" s="436"/>
      <c r="AD184" s="436"/>
      <c r="AE184" s="436"/>
      <c r="AF184" s="436"/>
      <c r="AG184" s="436"/>
      <c r="AH184" s="436"/>
      <c r="AI184" s="436"/>
      <c r="AJ184" s="436"/>
      <c r="AQ184" s="436"/>
      <c r="AR184" s="436"/>
      <c r="AS184" s="436"/>
      <c r="AT184" s="436"/>
      <c r="AU184" s="436"/>
      <c r="AV184" s="436"/>
      <c r="AW184" s="436"/>
      <c r="AX184" s="436"/>
      <c r="AY184" s="436"/>
      <c r="AZ184" s="436"/>
      <c r="BA184" s="436"/>
      <c r="BB184" s="436"/>
    </row>
    <row r="186" spans="3:54" ht="10.5" customHeight="1">
      <c r="C186" s="24"/>
    </row>
    <row r="188" spans="3:54" ht="10.5" customHeight="1">
      <c r="C188" s="567"/>
    </row>
    <row r="189" spans="3:54" ht="10.5" customHeight="1">
      <c r="C189" s="626"/>
    </row>
    <row r="190" spans="3:54" ht="10.5" customHeight="1">
      <c r="C190" s="626"/>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row>
    <row r="191" spans="3:54" ht="10.5" customHeight="1">
      <c r="C191" s="626"/>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458"/>
      <c r="AL191" s="458"/>
      <c r="AM191" s="458"/>
      <c r="AN191" s="458"/>
      <c r="AO191" s="458"/>
      <c r="AP191" s="88"/>
      <c r="AQ191" s="88"/>
      <c r="AR191" s="88"/>
      <c r="AS191" s="88"/>
      <c r="AT191" s="88"/>
      <c r="AU191" s="88"/>
      <c r="AV191" s="88"/>
      <c r="AW191" s="88"/>
      <c r="AX191" s="88"/>
      <c r="AY191" s="88"/>
      <c r="AZ191" s="88"/>
      <c r="BA191" s="88"/>
      <c r="BB191" s="88"/>
    </row>
    <row r="192" spans="3:54" ht="10.5" customHeight="1">
      <c r="C192" s="566"/>
    </row>
    <row r="193" spans="3:54" ht="10.5" customHeight="1">
      <c r="C193" s="567"/>
    </row>
    <row r="194" spans="3:54" ht="10.5" customHeight="1">
      <c r="C194" s="457"/>
      <c r="E194" s="31"/>
      <c r="F194" s="31"/>
      <c r="G194" s="31"/>
      <c r="H194" s="31"/>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P194" s="31"/>
      <c r="AQ194" s="94"/>
      <c r="AR194" s="94"/>
      <c r="AS194" s="94"/>
      <c r="AT194" s="94"/>
      <c r="AU194" s="94"/>
      <c r="AV194" s="94"/>
      <c r="AW194" s="94"/>
      <c r="AX194" s="94"/>
      <c r="AY194" s="94"/>
      <c r="AZ194" s="94"/>
      <c r="BA194" s="94"/>
      <c r="BB194" s="94"/>
    </row>
    <row r="195" spans="3:54" ht="10.5" customHeight="1">
      <c r="C195" s="626"/>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row>
    <row r="196" spans="3:54" ht="10.5" customHeight="1">
      <c r="C196" s="457"/>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63"/>
      <c r="AL196" s="63"/>
      <c r="AM196" s="63"/>
      <c r="AN196" s="63"/>
      <c r="AO196" s="63"/>
      <c r="AP196" s="94"/>
      <c r="AQ196" s="94"/>
      <c r="AR196" s="94"/>
      <c r="AS196" s="94"/>
      <c r="AT196" s="94"/>
      <c r="AU196" s="94"/>
      <c r="AV196" s="94"/>
      <c r="AW196" s="94"/>
      <c r="AX196" s="94"/>
      <c r="AY196" s="94"/>
      <c r="AZ196" s="94"/>
      <c r="BA196" s="94"/>
      <c r="BB196" s="94"/>
    </row>
    <row r="197" spans="3:54" ht="10.5" customHeight="1">
      <c r="C197" s="457"/>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436"/>
      <c r="AE197" s="436"/>
      <c r="AF197" s="436"/>
      <c r="AG197" s="436"/>
      <c r="AH197" s="436"/>
      <c r="AI197" s="436"/>
      <c r="AJ197" s="436"/>
      <c r="AQ197" s="436"/>
      <c r="AR197" s="436"/>
      <c r="AS197" s="436"/>
      <c r="AT197" s="436"/>
      <c r="AU197" s="436"/>
      <c r="AV197" s="436"/>
      <c r="AW197" s="436"/>
      <c r="AX197" s="436"/>
      <c r="AY197" s="436"/>
      <c r="AZ197" s="436"/>
      <c r="BA197" s="436"/>
      <c r="BB197" s="436"/>
    </row>
    <row r="198" spans="3:54" ht="10.5" customHeight="1">
      <c r="C198" s="626"/>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458"/>
      <c r="AL198" s="458"/>
      <c r="AM198" s="458"/>
      <c r="AN198" s="458"/>
      <c r="AO198" s="458"/>
      <c r="AP198" s="88"/>
      <c r="AQ198" s="88"/>
      <c r="AR198" s="88"/>
      <c r="AS198" s="88"/>
      <c r="AT198" s="88"/>
      <c r="AU198" s="88"/>
      <c r="AV198" s="88"/>
      <c r="AW198" s="88"/>
      <c r="AX198" s="88"/>
      <c r="AY198" s="88"/>
      <c r="AZ198" s="88"/>
      <c r="BA198" s="88"/>
      <c r="BB198" s="88"/>
    </row>
    <row r="199" spans="3:54" ht="10.5" customHeight="1">
      <c r="C199" s="626"/>
    </row>
    <row r="200" spans="3:54" ht="10.5" customHeight="1">
      <c r="C200" s="567"/>
    </row>
    <row r="201" spans="3:54" ht="10.5" customHeight="1">
      <c r="C201" s="457"/>
      <c r="E201" s="31"/>
      <c r="F201" s="31"/>
      <c r="G201" s="31"/>
      <c r="H201" s="31"/>
      <c r="I201" s="94"/>
      <c r="J201" s="94"/>
      <c r="K201" s="94"/>
      <c r="L201" s="94"/>
      <c r="M201" s="94"/>
      <c r="N201" s="94"/>
      <c r="O201" s="94"/>
      <c r="P201" s="94"/>
      <c r="Q201" s="94"/>
      <c r="R201" s="94"/>
      <c r="S201" s="94"/>
      <c r="T201" s="94"/>
      <c r="U201" s="94"/>
      <c r="V201" s="94"/>
      <c r="W201" s="95"/>
      <c r="X201" s="95"/>
      <c r="Y201" s="95"/>
      <c r="Z201" s="95"/>
      <c r="AA201" s="95"/>
      <c r="AB201" s="95"/>
      <c r="AC201" s="95"/>
      <c r="AD201" s="95"/>
      <c r="AE201" s="95"/>
      <c r="AF201" s="95"/>
      <c r="AG201" s="95"/>
      <c r="AH201" s="95"/>
      <c r="AI201" s="95"/>
      <c r="AJ201" s="95"/>
      <c r="AP201" s="31"/>
      <c r="AQ201" s="94"/>
      <c r="AR201" s="94"/>
      <c r="AS201" s="94"/>
      <c r="AT201" s="94"/>
      <c r="AU201" s="94"/>
      <c r="AV201" s="95"/>
      <c r="AW201" s="95"/>
      <c r="AX201" s="95"/>
      <c r="AY201" s="95"/>
      <c r="AZ201" s="95"/>
      <c r="BA201" s="95"/>
      <c r="BB201" s="95"/>
    </row>
    <row r="202" spans="3:54" ht="10.5" customHeight="1">
      <c r="C202" s="626"/>
      <c r="F202" s="88"/>
      <c r="G202" s="88"/>
      <c r="H202" s="88"/>
      <c r="I202" s="88"/>
      <c r="J202" s="88"/>
      <c r="K202" s="88"/>
      <c r="L202" s="88"/>
      <c r="M202" s="88"/>
      <c r="N202" s="88"/>
      <c r="O202" s="88"/>
      <c r="P202" s="88"/>
      <c r="Q202" s="88"/>
      <c r="R202" s="88"/>
      <c r="S202" s="88"/>
      <c r="T202" s="569"/>
      <c r="U202" s="569"/>
      <c r="V202" s="569"/>
      <c r="W202" s="569"/>
      <c r="X202" s="569"/>
      <c r="Y202" s="569"/>
      <c r="Z202" s="569"/>
      <c r="AA202" s="569"/>
      <c r="AB202" s="569"/>
      <c r="AC202" s="569"/>
      <c r="AD202" s="569"/>
      <c r="AE202" s="569"/>
      <c r="AF202" s="569"/>
      <c r="AG202" s="569"/>
      <c r="AH202" s="569"/>
      <c r="AI202" s="569"/>
      <c r="AJ202" s="569"/>
    </row>
    <row r="203" spans="3:54" ht="10.5" customHeight="1">
      <c r="C203" s="457"/>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63"/>
      <c r="AL203" s="63"/>
      <c r="AM203" s="63"/>
      <c r="AN203" s="63"/>
      <c r="AO203" s="63"/>
      <c r="AP203" s="94"/>
      <c r="AQ203" s="94"/>
      <c r="AR203" s="94"/>
      <c r="AS203" s="94"/>
      <c r="AT203" s="94"/>
      <c r="AU203" s="94"/>
      <c r="AV203" s="94"/>
      <c r="AW203" s="94"/>
      <c r="AX203" s="94"/>
      <c r="AY203" s="94"/>
      <c r="AZ203" s="94"/>
      <c r="BA203" s="94"/>
      <c r="BB203" s="94"/>
    </row>
    <row r="204" spans="3:54" ht="10.5" customHeight="1">
      <c r="C204" s="457"/>
      <c r="I204" s="436"/>
      <c r="J204" s="436"/>
      <c r="K204" s="436"/>
      <c r="L204" s="436"/>
      <c r="M204" s="436"/>
      <c r="N204" s="436"/>
      <c r="O204" s="436"/>
      <c r="P204" s="436"/>
      <c r="Q204" s="436"/>
      <c r="R204" s="436"/>
      <c r="S204" s="436"/>
      <c r="T204" s="436"/>
      <c r="U204" s="436"/>
      <c r="V204" s="436"/>
      <c r="W204" s="436"/>
      <c r="X204" s="436"/>
      <c r="Y204" s="436"/>
      <c r="Z204" s="436"/>
      <c r="AA204" s="436"/>
      <c r="AB204" s="436"/>
      <c r="AC204" s="436"/>
      <c r="AD204" s="436"/>
      <c r="AE204" s="436"/>
      <c r="AF204" s="436"/>
      <c r="AG204" s="436"/>
      <c r="AH204" s="436"/>
      <c r="AI204" s="436"/>
      <c r="AJ204" s="436"/>
      <c r="AQ204" s="436"/>
      <c r="AR204" s="436"/>
      <c r="AS204" s="436"/>
      <c r="AT204" s="436"/>
      <c r="AU204" s="436"/>
      <c r="AV204" s="436"/>
      <c r="AW204" s="436"/>
      <c r="AX204" s="436"/>
      <c r="AY204" s="436"/>
      <c r="AZ204" s="436"/>
      <c r="BA204" s="436"/>
      <c r="BB204" s="436"/>
    </row>
    <row r="205" spans="3:54" ht="10.5" customHeight="1">
      <c r="C205" s="457"/>
    </row>
    <row r="206" spans="3:54" ht="10.5" customHeight="1">
      <c r="C206" s="83"/>
      <c r="D206" s="458"/>
    </row>
    <row r="207" spans="3:54" ht="10.5" customHeight="1">
      <c r="C207" s="457"/>
    </row>
    <row r="208" spans="3:54" ht="10.5" customHeight="1">
      <c r="C208" s="567"/>
    </row>
    <row r="209" spans="3:54" ht="10.5" customHeight="1">
      <c r="C209" s="626"/>
      <c r="F209" s="88"/>
      <c r="G209" s="88"/>
      <c r="H209" s="88"/>
      <c r="I209" s="88"/>
      <c r="J209" s="88"/>
      <c r="K209" s="88"/>
      <c r="L209" s="88"/>
      <c r="M209" s="569"/>
      <c r="N209" s="569"/>
      <c r="O209" s="569"/>
      <c r="P209" s="569"/>
      <c r="Q209" s="569"/>
      <c r="R209" s="569"/>
      <c r="S209" s="569"/>
      <c r="T209" s="569"/>
      <c r="U209" s="569"/>
      <c r="V209" s="569"/>
      <c r="W209" s="569"/>
      <c r="X209" s="569"/>
      <c r="Y209" s="569"/>
      <c r="Z209" s="569"/>
      <c r="AA209" s="569"/>
      <c r="AB209" s="569"/>
      <c r="AC209" s="569"/>
      <c r="AD209" s="569"/>
      <c r="AE209" s="569"/>
      <c r="AF209" s="569"/>
      <c r="AG209" s="569"/>
      <c r="AH209" s="569"/>
      <c r="AI209" s="569"/>
      <c r="AJ209" s="569"/>
      <c r="AP209" s="88"/>
      <c r="AQ209" s="88"/>
      <c r="AR209" s="88"/>
      <c r="AS209" s="88"/>
      <c r="AT209" s="569"/>
      <c r="AU209" s="569"/>
      <c r="AV209" s="569"/>
      <c r="AW209" s="569"/>
      <c r="AX209" s="569"/>
      <c r="AY209" s="569"/>
      <c r="AZ209" s="569"/>
      <c r="BA209" s="569"/>
      <c r="BB209" s="569"/>
    </row>
    <row r="210" spans="3:54" ht="10.5" customHeight="1">
      <c r="C210" s="626"/>
      <c r="F210" s="88"/>
      <c r="G210" s="88"/>
      <c r="H210" s="88"/>
      <c r="I210" s="88"/>
      <c r="J210" s="88"/>
      <c r="K210" s="88"/>
      <c r="L210" s="88"/>
      <c r="M210" s="569"/>
      <c r="N210" s="569"/>
      <c r="O210" s="569"/>
      <c r="P210" s="569"/>
      <c r="Q210" s="569"/>
      <c r="R210" s="569"/>
      <c r="S210" s="569"/>
      <c r="T210" s="569"/>
      <c r="U210" s="569"/>
      <c r="V210" s="569"/>
      <c r="W210" s="569"/>
      <c r="X210" s="569"/>
      <c r="Y210" s="569"/>
      <c r="Z210" s="569"/>
      <c r="AA210" s="569"/>
      <c r="AB210" s="569"/>
      <c r="AC210" s="569"/>
      <c r="AD210" s="569"/>
      <c r="AE210" s="569"/>
      <c r="AF210" s="569"/>
      <c r="AG210" s="569"/>
      <c r="AH210" s="569"/>
      <c r="AI210" s="569"/>
      <c r="AJ210" s="569"/>
    </row>
    <row r="211" spans="3:54" ht="10.5" customHeight="1">
      <c r="C211" s="626"/>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458"/>
      <c r="AL211" s="458"/>
      <c r="AM211" s="458"/>
      <c r="AN211" s="458"/>
      <c r="AO211" s="458"/>
      <c r="AP211" s="88"/>
      <c r="AQ211" s="88"/>
      <c r="AR211" s="88"/>
      <c r="AS211" s="88"/>
      <c r="AT211" s="88"/>
      <c r="AU211" s="88"/>
      <c r="AV211" s="88"/>
      <c r="AW211" s="88"/>
      <c r="AX211" s="88"/>
      <c r="AY211" s="88"/>
      <c r="AZ211" s="88"/>
      <c r="BA211" s="88"/>
      <c r="BB211" s="88"/>
    </row>
    <row r="212" spans="3:54" ht="10.5" customHeight="1">
      <c r="C212" s="566"/>
    </row>
    <row r="213" spans="3:54" ht="10.5" customHeight="1">
      <c r="C213" s="567"/>
    </row>
    <row r="214" spans="3:54" ht="10.5" customHeight="1">
      <c r="C214" s="457"/>
      <c r="E214" s="31"/>
      <c r="F214" s="31"/>
      <c r="G214" s="31"/>
      <c r="H214" s="31"/>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P214" s="31"/>
      <c r="AQ214" s="94"/>
      <c r="AR214" s="94"/>
      <c r="AS214" s="94"/>
      <c r="AT214" s="94"/>
      <c r="AU214" s="94"/>
      <c r="AV214" s="94"/>
      <c r="AW214" s="94"/>
      <c r="AX214" s="94"/>
      <c r="AY214" s="94"/>
      <c r="AZ214" s="94"/>
      <c r="BA214" s="94"/>
      <c r="BB214" s="94"/>
    </row>
    <row r="215" spans="3:54" ht="10.5" customHeight="1">
      <c r="C215" s="626"/>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row>
    <row r="216" spans="3:54" ht="10.5" customHeight="1">
      <c r="C216" s="457"/>
      <c r="E216" s="94"/>
      <c r="F216" s="94"/>
      <c r="G216" s="94"/>
      <c r="H216" s="94"/>
      <c r="I216" s="94"/>
      <c r="J216" s="94"/>
      <c r="K216" s="94"/>
      <c r="L216" s="94"/>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63"/>
      <c r="AL216" s="63"/>
      <c r="AM216" s="63"/>
      <c r="AN216" s="63"/>
      <c r="AO216" s="63"/>
      <c r="AP216" s="94"/>
      <c r="AQ216" s="94"/>
      <c r="AR216" s="94"/>
      <c r="AS216" s="94"/>
      <c r="AT216" s="95"/>
      <c r="AU216" s="95"/>
      <c r="AV216" s="95"/>
      <c r="AW216" s="95"/>
      <c r="AX216" s="95"/>
      <c r="AY216" s="95"/>
      <c r="AZ216" s="95"/>
      <c r="BA216" s="95"/>
      <c r="BB216" s="95"/>
    </row>
    <row r="217" spans="3:54" ht="10.5" customHeight="1">
      <c r="C217" s="457"/>
      <c r="I217" s="436"/>
      <c r="J217" s="436"/>
      <c r="K217" s="436"/>
      <c r="L217" s="436"/>
      <c r="M217" s="627"/>
      <c r="N217" s="627"/>
      <c r="O217" s="627"/>
      <c r="P217" s="627"/>
      <c r="Q217" s="627"/>
      <c r="R217" s="95"/>
      <c r="S217" s="627"/>
      <c r="T217" s="627"/>
      <c r="U217" s="627"/>
      <c r="V217" s="627"/>
      <c r="W217" s="627"/>
      <c r="X217" s="627"/>
      <c r="Y217" s="627"/>
      <c r="Z217" s="627"/>
      <c r="AA217" s="627"/>
      <c r="AB217" s="627"/>
      <c r="AC217" s="627"/>
      <c r="AD217" s="627"/>
      <c r="AE217" s="627"/>
      <c r="AF217" s="627"/>
      <c r="AG217" s="627"/>
      <c r="AH217" s="627"/>
      <c r="AI217" s="627"/>
      <c r="AJ217" s="627"/>
      <c r="AQ217" s="436"/>
      <c r="AR217" s="436"/>
      <c r="AS217" s="436"/>
      <c r="AT217" s="627"/>
      <c r="AU217" s="627"/>
      <c r="AV217" s="627"/>
      <c r="AW217" s="627"/>
      <c r="AX217" s="627"/>
      <c r="AY217" s="627"/>
      <c r="AZ217" s="627"/>
      <c r="BA217" s="627"/>
      <c r="BB217" s="627"/>
    </row>
    <row r="218" spans="3:54" ht="10.5" customHeight="1">
      <c r="C218" s="626"/>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458"/>
      <c r="AL218" s="458"/>
      <c r="AM218" s="458"/>
      <c r="AN218" s="458"/>
      <c r="AO218" s="458"/>
      <c r="AP218" s="88"/>
      <c r="AQ218" s="88"/>
      <c r="AR218" s="88"/>
      <c r="AS218" s="88"/>
      <c r="AT218" s="88"/>
      <c r="AU218" s="88"/>
      <c r="AV218" s="88"/>
      <c r="AW218" s="88"/>
      <c r="AX218" s="88"/>
      <c r="AY218" s="88"/>
      <c r="AZ218" s="88"/>
      <c r="BA218" s="88"/>
      <c r="BB218" s="88"/>
    </row>
    <row r="219" spans="3:54" ht="10.5" customHeight="1">
      <c r="C219" s="626"/>
    </row>
    <row r="220" spans="3:54" ht="10.5" customHeight="1">
      <c r="C220" s="567"/>
      <c r="E220" s="579"/>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80"/>
      <c r="AL220" s="580"/>
      <c r="AM220" s="580"/>
      <c r="AN220" s="580"/>
      <c r="AO220" s="580"/>
      <c r="AP220" s="579"/>
      <c r="AQ220" s="579"/>
      <c r="AR220" s="579"/>
      <c r="AS220" s="579"/>
      <c r="AT220" s="579"/>
      <c r="AU220" s="579"/>
      <c r="AV220" s="579"/>
      <c r="AW220" s="579"/>
      <c r="AX220" s="579"/>
      <c r="AY220" s="579"/>
      <c r="AZ220" s="579"/>
      <c r="BA220" s="579"/>
      <c r="BB220" s="579"/>
    </row>
    <row r="221" spans="3:54" ht="10.5" customHeight="1">
      <c r="C221" s="457"/>
      <c r="E221" s="31"/>
      <c r="F221" s="31"/>
      <c r="G221" s="31"/>
      <c r="H221" s="31"/>
      <c r="I221" s="94"/>
      <c r="J221" s="94"/>
      <c r="K221" s="94"/>
      <c r="L221" s="94"/>
      <c r="M221" s="94"/>
      <c r="N221" s="94"/>
      <c r="O221" s="94"/>
      <c r="P221" s="94"/>
      <c r="Q221" s="94"/>
      <c r="R221" s="94"/>
      <c r="S221" s="94"/>
      <c r="T221" s="94"/>
      <c r="U221" s="94"/>
      <c r="V221" s="94"/>
      <c r="W221" s="95"/>
      <c r="X221" s="95"/>
      <c r="Y221" s="95"/>
      <c r="Z221" s="95"/>
      <c r="AA221" s="95"/>
      <c r="AB221" s="95"/>
      <c r="AC221" s="95"/>
      <c r="AD221" s="95"/>
      <c r="AE221" s="95"/>
      <c r="AF221" s="95"/>
      <c r="AG221" s="95"/>
      <c r="AH221" s="95"/>
      <c r="AI221" s="95"/>
      <c r="AJ221" s="95"/>
      <c r="AP221" s="31"/>
      <c r="AQ221" s="94"/>
      <c r="AR221" s="94"/>
      <c r="AS221" s="94"/>
      <c r="AT221" s="94"/>
      <c r="AU221" s="94"/>
      <c r="AV221" s="95"/>
      <c r="AW221" s="95"/>
      <c r="AX221" s="95"/>
      <c r="AY221" s="95"/>
      <c r="AZ221" s="95"/>
      <c r="BA221" s="95"/>
      <c r="BB221" s="95"/>
    </row>
    <row r="222" spans="3:54" ht="10.5" customHeight="1">
      <c r="C222" s="626"/>
      <c r="F222" s="88"/>
      <c r="G222" s="88"/>
      <c r="H222" s="88"/>
      <c r="I222" s="88"/>
      <c r="J222" s="88"/>
      <c r="K222" s="88"/>
      <c r="L222" s="88"/>
      <c r="M222" s="88"/>
      <c r="N222" s="88"/>
      <c r="O222" s="88"/>
      <c r="P222" s="88"/>
      <c r="Q222" s="88"/>
      <c r="R222" s="88"/>
      <c r="S222" s="88"/>
      <c r="T222" s="569"/>
      <c r="U222" s="569"/>
      <c r="V222" s="569"/>
      <c r="W222" s="569"/>
      <c r="X222" s="569"/>
      <c r="Y222" s="569"/>
      <c r="Z222" s="569"/>
      <c r="AA222" s="569"/>
      <c r="AB222" s="569"/>
      <c r="AC222" s="569"/>
      <c r="AD222" s="569"/>
      <c r="AE222" s="569"/>
      <c r="AF222" s="569"/>
      <c r="AG222" s="569"/>
      <c r="AH222" s="569"/>
      <c r="AI222" s="569"/>
      <c r="AJ222" s="569"/>
    </row>
    <row r="223" spans="3:54" ht="10.5" customHeight="1">
      <c r="C223" s="457"/>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63"/>
      <c r="AL223" s="63"/>
      <c r="AM223" s="63"/>
      <c r="AN223" s="63"/>
      <c r="AO223" s="63"/>
      <c r="AP223" s="94"/>
      <c r="AQ223" s="94"/>
      <c r="AR223" s="94"/>
      <c r="AS223" s="94"/>
      <c r="AT223" s="94"/>
      <c r="AU223" s="94"/>
      <c r="AV223" s="94"/>
      <c r="AW223" s="94"/>
      <c r="AX223" s="94"/>
      <c r="AY223" s="94"/>
      <c r="AZ223" s="94"/>
      <c r="BA223" s="94"/>
      <c r="BB223" s="94"/>
    </row>
    <row r="224" spans="3:54" ht="10.5" customHeight="1">
      <c r="C224" s="457"/>
      <c r="I224" s="436"/>
      <c r="J224" s="436"/>
      <c r="K224" s="436"/>
      <c r="L224" s="436"/>
      <c r="M224" s="436"/>
      <c r="N224" s="436"/>
      <c r="O224" s="436"/>
      <c r="P224" s="436"/>
      <c r="Q224" s="436"/>
      <c r="R224" s="436"/>
      <c r="S224" s="436"/>
      <c r="T224" s="436"/>
      <c r="U224" s="436"/>
      <c r="V224" s="436"/>
      <c r="W224" s="436"/>
      <c r="X224" s="436"/>
      <c r="Y224" s="436"/>
      <c r="Z224" s="436"/>
      <c r="AA224" s="436"/>
      <c r="AB224" s="436"/>
      <c r="AC224" s="436"/>
      <c r="AD224" s="436"/>
      <c r="AE224" s="436"/>
      <c r="AF224" s="436"/>
      <c r="AG224" s="436"/>
      <c r="AH224" s="436"/>
      <c r="AI224" s="436"/>
      <c r="AJ224" s="436"/>
      <c r="AQ224" s="436"/>
      <c r="AR224" s="436"/>
      <c r="AS224" s="436"/>
      <c r="AT224" s="436"/>
      <c r="AU224" s="436"/>
      <c r="AV224" s="436"/>
      <c r="AW224" s="436"/>
      <c r="AX224" s="436"/>
      <c r="AY224" s="436"/>
      <c r="AZ224" s="436"/>
      <c r="BA224" s="436"/>
      <c r="BB224" s="436"/>
    </row>
    <row r="225" spans="2:54" ht="10.5" customHeight="1">
      <c r="C225" s="457"/>
    </row>
    <row r="226" spans="2:54" ht="10.5" customHeight="1">
      <c r="C226" s="566"/>
    </row>
    <row r="228" spans="2:54" ht="10.5" customHeight="1">
      <c r="C228" s="567"/>
      <c r="E228" s="579"/>
      <c r="F228" s="579"/>
      <c r="G228" s="579"/>
      <c r="H228" s="579"/>
      <c r="I228" s="579"/>
      <c r="J228" s="579"/>
      <c r="K228" s="579"/>
      <c r="L228" s="579"/>
      <c r="M228" s="579"/>
      <c r="N228" s="579"/>
      <c r="O228" s="579"/>
      <c r="P228" s="579"/>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L228" s="579"/>
      <c r="AM228" s="579"/>
      <c r="AN228" s="579"/>
      <c r="AO228" s="579"/>
      <c r="AP228" s="579"/>
      <c r="AQ228" s="579"/>
      <c r="AR228" s="579"/>
      <c r="AS228" s="579"/>
      <c r="AT228" s="579"/>
      <c r="AU228" s="579"/>
      <c r="AV228" s="579"/>
      <c r="AW228" s="579"/>
      <c r="AX228" s="579"/>
      <c r="AY228" s="579"/>
      <c r="AZ228" s="579"/>
      <c r="BA228" s="579"/>
      <c r="BB228" s="579"/>
    </row>
    <row r="229" spans="2:54" ht="10.5" customHeight="1">
      <c r="C229" s="626"/>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P229" s="88"/>
      <c r="AQ229" s="88"/>
      <c r="AR229" s="88"/>
      <c r="AS229" s="88"/>
      <c r="AT229" s="88"/>
      <c r="AU229" s="88"/>
      <c r="AV229" s="88"/>
      <c r="AW229" s="88"/>
      <c r="AX229" s="88"/>
      <c r="AY229" s="88"/>
      <c r="AZ229" s="88"/>
      <c r="BA229" s="88"/>
      <c r="BB229" s="88"/>
    </row>
    <row r="230" spans="2:54" ht="10.5" customHeight="1">
      <c r="C230" s="626"/>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row>
    <row r="231" spans="2:54" s="628" customFormat="1" ht="10.5" customHeight="1">
      <c r="B231" s="704"/>
      <c r="C231" s="629"/>
    </row>
    <row r="232" spans="2:54" ht="10.5" customHeight="1">
      <c r="C232" s="567"/>
      <c r="E232" s="579"/>
      <c r="F232" s="579"/>
      <c r="G232" s="579"/>
      <c r="H232" s="579"/>
      <c r="I232" s="579"/>
      <c r="J232" s="579"/>
      <c r="K232" s="579"/>
      <c r="L232" s="579"/>
      <c r="M232" s="579"/>
      <c r="N232" s="579"/>
      <c r="O232" s="579"/>
      <c r="P232" s="579"/>
      <c r="Q232" s="579"/>
      <c r="R232" s="579"/>
      <c r="S232" s="579"/>
      <c r="T232" s="579"/>
      <c r="U232" s="579"/>
      <c r="V232" s="579"/>
      <c r="W232" s="579"/>
      <c r="X232" s="579"/>
      <c r="Y232" s="579"/>
      <c r="Z232" s="579"/>
      <c r="AA232" s="579"/>
      <c r="AB232" s="579"/>
      <c r="AC232" s="579"/>
      <c r="AD232" s="579"/>
      <c r="AE232" s="579"/>
      <c r="AF232" s="579"/>
      <c r="AG232" s="579"/>
      <c r="AH232" s="579"/>
      <c r="AI232" s="579"/>
      <c r="AJ232" s="579"/>
      <c r="AK232" s="579"/>
      <c r="AL232" s="579"/>
      <c r="AM232" s="579"/>
      <c r="AN232" s="579"/>
      <c r="AO232" s="579"/>
      <c r="AP232" s="579"/>
      <c r="AQ232" s="579"/>
      <c r="AR232" s="579"/>
      <c r="AS232" s="579"/>
      <c r="AT232" s="579"/>
      <c r="AU232" s="579"/>
      <c r="AV232" s="579"/>
      <c r="AW232" s="579"/>
      <c r="AX232" s="579"/>
      <c r="AY232" s="579"/>
      <c r="AZ232" s="579"/>
      <c r="BA232" s="579"/>
      <c r="BB232" s="579"/>
    </row>
    <row r="233" spans="2:54" ht="10.5" customHeight="1">
      <c r="C233" s="457"/>
      <c r="E233" s="31"/>
      <c r="F233" s="31"/>
      <c r="G233" s="31"/>
      <c r="H233" s="31"/>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P233" s="31"/>
      <c r="AQ233" s="94"/>
      <c r="AR233" s="94"/>
      <c r="AS233" s="94"/>
      <c r="AT233" s="94"/>
      <c r="AU233" s="94"/>
      <c r="AV233" s="94"/>
      <c r="AW233" s="94"/>
      <c r="AX233" s="94"/>
      <c r="AY233" s="94"/>
      <c r="AZ233" s="94"/>
      <c r="BA233" s="94"/>
      <c r="BB233" s="94"/>
    </row>
    <row r="234" spans="2:54" ht="10.5" customHeight="1">
      <c r="C234" s="626"/>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row>
    <row r="235" spans="2:54" ht="10.5" customHeight="1">
      <c r="C235" s="457"/>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63"/>
      <c r="AL235" s="63"/>
      <c r="AM235" s="63"/>
      <c r="AN235" s="63"/>
      <c r="AO235" s="63"/>
      <c r="AP235" s="94"/>
      <c r="AQ235" s="94"/>
      <c r="AR235" s="94"/>
      <c r="AS235" s="94"/>
      <c r="AT235" s="94"/>
      <c r="AU235" s="94"/>
      <c r="AV235" s="94"/>
      <c r="AW235" s="94"/>
      <c r="AX235" s="94"/>
      <c r="AY235" s="94"/>
      <c r="AZ235" s="94"/>
      <c r="BA235" s="94"/>
      <c r="BB235" s="94"/>
    </row>
    <row r="236" spans="2:54" ht="10.5" customHeight="1">
      <c r="C236" s="457"/>
      <c r="I236" s="436"/>
      <c r="J236" s="436"/>
      <c r="K236" s="436"/>
      <c r="L236" s="436"/>
      <c r="M236" s="436"/>
      <c r="N236" s="436"/>
      <c r="O236" s="436"/>
      <c r="P236" s="436"/>
      <c r="Q236" s="436"/>
      <c r="R236" s="94"/>
      <c r="S236" s="436"/>
      <c r="T236" s="436"/>
      <c r="U236" s="436"/>
      <c r="V236" s="436"/>
      <c r="W236" s="436"/>
      <c r="X236" s="436"/>
      <c r="Y236" s="436"/>
      <c r="Z236" s="436"/>
      <c r="AA236" s="436"/>
      <c r="AB236" s="436"/>
      <c r="AC236" s="436"/>
      <c r="AD236" s="436"/>
      <c r="AE236" s="436"/>
      <c r="AF236" s="436"/>
      <c r="AG236" s="436"/>
      <c r="AH236" s="436"/>
      <c r="AI236" s="436"/>
      <c r="AJ236" s="436"/>
      <c r="AQ236" s="436"/>
      <c r="AR236" s="436"/>
      <c r="AS236" s="436"/>
      <c r="AT236" s="436"/>
      <c r="AU236" s="436"/>
      <c r="AV236" s="436"/>
      <c r="AW236" s="436"/>
      <c r="AX236" s="436"/>
      <c r="AY236" s="436"/>
      <c r="AZ236" s="436"/>
      <c r="BA236" s="436"/>
      <c r="BB236" s="436"/>
    </row>
    <row r="238" spans="2:54" ht="10.5" customHeight="1">
      <c r="C238" s="567"/>
      <c r="E238" s="579"/>
      <c r="F238" s="579"/>
      <c r="G238" s="579"/>
      <c r="H238" s="579"/>
      <c r="I238" s="579"/>
      <c r="J238" s="579"/>
      <c r="K238" s="579"/>
      <c r="L238" s="579"/>
      <c r="M238" s="579"/>
      <c r="N238" s="579"/>
      <c r="O238" s="579"/>
      <c r="P238" s="579"/>
      <c r="Q238" s="579"/>
      <c r="R238" s="579"/>
      <c r="S238" s="579"/>
      <c r="T238" s="579"/>
      <c r="U238" s="579"/>
      <c r="V238" s="579"/>
      <c r="W238" s="579"/>
      <c r="X238" s="579"/>
      <c r="Y238" s="579"/>
      <c r="Z238" s="579"/>
      <c r="AA238" s="579"/>
      <c r="AB238" s="579"/>
      <c r="AC238" s="579"/>
      <c r="AD238" s="579"/>
      <c r="AE238" s="579"/>
      <c r="AF238" s="579"/>
      <c r="AG238" s="579"/>
      <c r="AH238" s="579"/>
      <c r="AI238" s="579"/>
      <c r="AJ238" s="579"/>
      <c r="AK238" s="579"/>
      <c r="AL238" s="579"/>
      <c r="AM238" s="579"/>
      <c r="AN238" s="579"/>
      <c r="AO238" s="579"/>
      <c r="AP238" s="579"/>
      <c r="AQ238" s="579"/>
      <c r="AR238" s="579"/>
      <c r="AS238" s="579"/>
      <c r="AT238" s="579"/>
      <c r="AU238" s="579"/>
      <c r="AV238" s="579"/>
      <c r="AW238" s="579"/>
      <c r="AX238" s="579"/>
      <c r="AY238" s="579"/>
      <c r="AZ238" s="579"/>
      <c r="BA238" s="579"/>
      <c r="BB238" s="579"/>
    </row>
    <row r="239" spans="2:54" ht="10.5" customHeight="1">
      <c r="C239" s="457"/>
      <c r="E239" s="31"/>
      <c r="F239" s="31"/>
      <c r="G239" s="31"/>
      <c r="H239" s="31"/>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P239" s="31"/>
      <c r="AQ239" s="94"/>
      <c r="AR239" s="94"/>
      <c r="AS239" s="94"/>
      <c r="AT239" s="94"/>
      <c r="AU239" s="94"/>
      <c r="AV239" s="94"/>
      <c r="AW239" s="94"/>
      <c r="AX239" s="94"/>
      <c r="AY239" s="94"/>
      <c r="AZ239" s="94"/>
      <c r="BA239" s="94"/>
      <c r="BB239" s="94"/>
    </row>
    <row r="240" spans="2:54" ht="10.5" customHeight="1">
      <c r="C240" s="626"/>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row>
    <row r="241" spans="3:54" ht="10.5" customHeight="1">
      <c r="C241" s="457"/>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63"/>
      <c r="AL241" s="63"/>
      <c r="AM241" s="63"/>
      <c r="AN241" s="63"/>
      <c r="AO241" s="63"/>
      <c r="AP241" s="94"/>
      <c r="AQ241" s="94"/>
      <c r="AR241" s="94"/>
      <c r="AS241" s="94"/>
      <c r="AT241" s="94"/>
      <c r="AU241" s="94"/>
      <c r="AV241" s="94"/>
      <c r="AW241" s="94"/>
      <c r="AX241" s="94"/>
      <c r="AY241" s="94"/>
      <c r="AZ241" s="94"/>
      <c r="BA241" s="94"/>
      <c r="BB241" s="94"/>
    </row>
    <row r="242" spans="3:54" ht="10.5" customHeight="1">
      <c r="C242" s="457"/>
      <c r="I242" s="436"/>
      <c r="J242" s="436"/>
      <c r="K242" s="436"/>
      <c r="L242" s="436"/>
      <c r="M242" s="436"/>
      <c r="N242" s="436"/>
      <c r="O242" s="436"/>
      <c r="P242" s="436"/>
      <c r="Q242" s="436"/>
      <c r="R242" s="436"/>
      <c r="S242" s="436"/>
      <c r="T242" s="436"/>
      <c r="U242" s="436"/>
      <c r="V242" s="436"/>
      <c r="W242" s="436"/>
      <c r="X242" s="436"/>
      <c r="Y242" s="436"/>
      <c r="Z242" s="436"/>
      <c r="AA242" s="436"/>
      <c r="AB242" s="436"/>
      <c r="AC242" s="436"/>
      <c r="AD242" s="436"/>
      <c r="AE242" s="436"/>
      <c r="AF242" s="436"/>
      <c r="AG242" s="436"/>
      <c r="AH242" s="436"/>
      <c r="AI242" s="436"/>
      <c r="AJ242" s="436"/>
      <c r="AQ242" s="436"/>
      <c r="AR242" s="436"/>
      <c r="AS242" s="436"/>
      <c r="AT242" s="436"/>
      <c r="AU242" s="436"/>
      <c r="AV242" s="436"/>
      <c r="AW242" s="436"/>
      <c r="AX242" s="436"/>
      <c r="AY242" s="436"/>
      <c r="AZ242" s="436"/>
      <c r="BA242" s="436"/>
      <c r="BB242" s="436"/>
    </row>
    <row r="244" spans="3:54" ht="10.5" customHeight="1">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P244" s="42"/>
      <c r="AQ244" s="42"/>
      <c r="AR244" s="42"/>
      <c r="AS244" s="42"/>
      <c r="AT244" s="42"/>
      <c r="AU244" s="42"/>
      <c r="AV244" s="42"/>
      <c r="AW244" s="42"/>
      <c r="AX244" s="42"/>
      <c r="AY244" s="42"/>
      <c r="AZ244" s="42"/>
      <c r="BA244" s="42"/>
      <c r="BB244" s="42"/>
    </row>
    <row r="245" spans="3:54" ht="10.5" customHeight="1">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P245" s="42"/>
      <c r="AQ245" s="42"/>
      <c r="AR245" s="42"/>
      <c r="AS245" s="42"/>
      <c r="AT245" s="42"/>
      <c r="AU245" s="42"/>
      <c r="AV245" s="42"/>
      <c r="AW245" s="42"/>
      <c r="AX245" s="42"/>
      <c r="AY245" s="42"/>
      <c r="AZ245" s="42"/>
      <c r="BA245" s="42"/>
      <c r="BB245" s="42"/>
    </row>
    <row r="246" spans="3:54" ht="10.5" customHeight="1">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P246" s="42"/>
      <c r="AQ246" s="42"/>
      <c r="AR246" s="42"/>
      <c r="AS246" s="42"/>
      <c r="AT246" s="42"/>
      <c r="AU246" s="42"/>
      <c r="AV246" s="42"/>
      <c r="AW246" s="42"/>
      <c r="AX246" s="42"/>
      <c r="AY246" s="42"/>
      <c r="AZ246" s="42"/>
      <c r="BA246" s="42"/>
      <c r="BB246" s="42"/>
    </row>
  </sheetData>
  <sortState xmlns:xlrd2="http://schemas.microsoft.com/office/spreadsheetml/2017/richdata2" ref="AW162:AY176">
    <sortCondition descending="1" ref="AY162:AY176"/>
  </sortState>
  <mergeCells count="1">
    <mergeCell ref="BD5:BQ5"/>
  </mergeCells>
  <conditionalFormatting sqref="AY162:AY175">
    <cfRule type="colorScale" priority="1">
      <colorScale>
        <cfvo type="min"/>
        <cfvo type="percentile" val="50"/>
        <cfvo type="max"/>
        <color rgb="FFF8696B"/>
        <color rgb="FFFCFCFF"/>
        <color rgb="FF63BE7B"/>
      </colorScale>
    </cfRule>
  </conditionalFormatting>
  <pageMargins left="0.7" right="0.7" top="0.75" bottom="0.75" header="0.3" footer="0.3"/>
  <pageSetup scale="27" orientation="portrait" r:id="rId1"/>
  <ignoredErrors>
    <ignoredError sqref="I23:M26 O26:P27" formula="1"/>
  </ignoredErrors>
  <drawing r:id="rId2"/>
  <legacyDrawing r:id="rId3"/>
  <extLst>
    <ext xmlns:x14="http://schemas.microsoft.com/office/spreadsheetml/2009/9/main" uri="{05C60535-1F16-4fd2-B633-F4F36F0B64E0}">
      <x14:sparklineGroups xmlns:xm="http://schemas.microsoft.com/office/excel/2006/main">
        <x14:sparklineGroup manualMax="0" manualMin="0" displayEmptyCellsAs="gap" xr2:uid="{A3B4AC97-9A51-4211-B2BB-B55FCD120013}">
          <x14:colorSeries rgb="FF376092"/>
          <x14:colorNegative rgb="FFD00000"/>
          <x14:colorAxis rgb="FF000000"/>
          <x14:colorMarkers rgb="FFD00000"/>
          <x14:colorFirst rgb="FFD00000"/>
          <x14:colorLast rgb="FFD00000"/>
          <x14:colorHigh rgb="FFD00000"/>
          <x14:colorLow rgb="FFD00000"/>
          <x14:sparklines>
            <x14:sparkline>
              <xm:f>'Segment Snapshot'!AQ60:AY60</xm:f>
              <xm:sqref>BC60</xm:sqref>
            </x14:sparkline>
          </x14:sparklines>
        </x14:sparklineGroup>
        <x14:sparklineGroup manualMax="0" manualMin="0" displayEmptyCellsAs="gap" xr2:uid="{CD58E341-8917-4D4F-86E3-DB4EF3B58C6A}">
          <x14:colorSeries rgb="FF376092"/>
          <x14:colorNegative rgb="FFD00000"/>
          <x14:colorAxis rgb="FF000000"/>
          <x14:colorMarkers rgb="FFD00000"/>
          <x14:colorFirst rgb="FFD00000"/>
          <x14:colorLast rgb="FFD00000"/>
          <x14:colorHigh rgb="FFD00000"/>
          <x14:colorLow rgb="FFD00000"/>
          <x14:sparklines>
            <x14:sparkline>
              <xm:f>'Segment Snapshot'!AQ55:AY55</xm:f>
              <xm:sqref>BC55</xm:sqref>
            </x14:sparkline>
            <x14:sparkline>
              <xm:f>'Segment Snapshot'!AQ56:AY56</xm:f>
              <xm:sqref>BC56</xm:sqref>
            </x14:sparkline>
            <x14:sparkline>
              <xm:f>'Segment Snapshot'!AQ57:AY57</xm:f>
              <xm:sqref>BC57</xm:sqref>
            </x14:sparkline>
            <x14:sparkline>
              <xm:f>'Segment Snapshot'!AQ58:AY58</xm:f>
              <xm:sqref>BC58</xm:sqref>
            </x14:sparkline>
          </x14:sparklines>
        </x14:sparklineGroup>
        <x14:sparklineGroup manualMax="0" manualMin="0" displayEmptyCellsAs="gap" xr2:uid="{B194446D-B7DF-49AE-93A7-13E0BF546C37}">
          <x14:colorSeries rgb="FF376092"/>
          <x14:colorNegative rgb="FFD00000"/>
          <x14:colorAxis rgb="FF000000"/>
          <x14:colorMarkers rgb="FFD00000"/>
          <x14:colorFirst rgb="FFD00000"/>
          <x14:colorLast rgb="FFD00000"/>
          <x14:colorHigh rgb="FFD00000"/>
          <x14:colorLow rgb="FFD00000"/>
          <x14:sparklines>
            <x14:sparkline>
              <xm:f>'Segment Snapshot'!AQ19:AY19</xm:f>
              <xm:sqref>BC19</xm:sqref>
            </x14:sparkline>
          </x14:sparklines>
        </x14:sparklineGroup>
        <x14:sparklineGroup manualMax="0" manualMin="0" displayEmptyCellsAs="gap" xr2:uid="{6A0F1539-EDE0-44AF-A823-E84206E19E0C}">
          <x14:colorSeries rgb="FF376092"/>
          <x14:colorNegative rgb="FFD00000"/>
          <x14:colorAxis rgb="FF000000"/>
          <x14:colorMarkers rgb="FFD00000"/>
          <x14:colorFirst rgb="FFD00000"/>
          <x14:colorLast rgb="FFD00000"/>
          <x14:colorHigh rgb="FFD00000"/>
          <x14:colorLow rgb="FFD00000"/>
          <x14:sparklines>
            <x14:sparkline>
              <xm:f>'Segment Snapshot'!AQ20:AY20</xm:f>
              <xm:sqref>BC20</xm:sqref>
            </x14:sparkline>
          </x14:sparklines>
        </x14:sparklineGroup>
        <x14:sparklineGroup manualMax="0" manualMin="0" displayEmptyCellsAs="gap" xr2:uid="{27B92D95-457C-4FF9-9FB7-367EB0171489}">
          <x14:colorSeries rgb="FF376092"/>
          <x14:colorNegative rgb="FFD00000"/>
          <x14:colorAxis rgb="FF000000"/>
          <x14:colorMarkers rgb="FFD00000"/>
          <x14:colorFirst rgb="FFD00000"/>
          <x14:colorLast rgb="FFD00000"/>
          <x14:colorHigh rgb="FFD00000"/>
          <x14:colorLow rgb="FFD00000"/>
          <x14:sparklines>
            <x14:sparkline>
              <xm:f>'Segment Snapshot'!AQ21:AY21</xm:f>
              <xm:sqref>BC21</xm:sqref>
            </x14:sparkline>
          </x14:sparklines>
        </x14:sparklineGroup>
        <x14:sparklineGroup manualMax="0" manualMin="0" displayEmptyCellsAs="gap" xr2:uid="{1AD916D1-89F7-41E7-BC6C-0E88EEBC2952}">
          <x14:colorSeries rgb="FF376092"/>
          <x14:colorNegative rgb="FFD00000"/>
          <x14:colorAxis rgb="FF000000"/>
          <x14:colorMarkers rgb="FFD00000"/>
          <x14:colorFirst rgb="FFD00000"/>
          <x14:colorLast rgb="FFD00000"/>
          <x14:colorHigh rgb="FFD00000"/>
          <x14:colorLow rgb="FFD00000"/>
          <x14:sparklines>
            <x14:sparkline>
              <xm:f>'Segment Snapshot'!AQ22:AY22</xm:f>
              <xm:sqref>BC22</xm:sqref>
            </x14:sparkline>
          </x14:sparklines>
        </x14:sparklineGroup>
        <x14:sparklineGroup manualMax="0" manualMin="0" displayEmptyCellsAs="gap" xr2:uid="{7BF017EE-83C5-4760-9FFD-13B853FE1C0F}">
          <x14:colorSeries rgb="FF376092"/>
          <x14:colorNegative rgb="FFD00000"/>
          <x14:colorAxis rgb="FF000000"/>
          <x14:colorMarkers rgb="FFD00000"/>
          <x14:colorFirst rgb="FFD00000"/>
          <x14:colorLast rgb="FFD00000"/>
          <x14:colorHigh rgb="FFD00000"/>
          <x14:colorLow rgb="FFD00000"/>
          <x14:sparklines>
            <x14:sparkline>
              <xm:f>'Segment Snapshot'!AQ46:AY46</xm:f>
              <xm:sqref>BC46</xm:sqref>
            </x14:sparkline>
            <x14:sparkline>
              <xm:f>'Segment Snapshot'!AQ47:AY47</xm:f>
              <xm:sqref>BC47</xm:sqref>
            </x14:sparkline>
            <x14:sparkline>
              <xm:f>'Segment Snapshot'!AQ48:AY48</xm:f>
              <xm:sqref>BC48</xm:sqref>
            </x14:sparkline>
            <x14:sparkline>
              <xm:f>'Segment Snapshot'!AQ49:AY49</xm:f>
              <xm:sqref>BC49</xm:sqref>
            </x14:sparkline>
          </x14:sparklines>
        </x14:sparklineGroup>
        <x14:sparklineGroup manualMax="0" manualMin="0" displayEmptyCellsAs="gap" xr2:uid="{1D9804FF-8853-44F0-AA5B-D617311F426C}">
          <x14:colorSeries rgb="FF376092"/>
          <x14:colorNegative rgb="FFD00000"/>
          <x14:colorAxis rgb="FF000000"/>
          <x14:colorMarkers rgb="FFD00000"/>
          <x14:colorFirst rgb="FFD00000"/>
          <x14:colorLast rgb="FFD00000"/>
          <x14:colorHigh rgb="FFD00000"/>
          <x14:colorLow rgb="FFD00000"/>
          <x14:sparklines>
            <x14:sparkline>
              <xm:f>'Segment Snapshot'!AQ51:AY51</xm:f>
              <xm:sqref>BC51</xm:sqref>
            </x14:sparkline>
          </x14:sparklines>
        </x14:sparklineGroup>
        <x14:sparklineGroup manualMax="0" manualMin="0" displayEmptyCellsAs="gap" xr2:uid="{E31D224C-39EB-4822-968D-2206CF8AA719}">
          <x14:colorSeries rgb="FF376092"/>
          <x14:colorNegative rgb="FFD00000"/>
          <x14:colorAxis rgb="FF000000"/>
          <x14:colorMarkers rgb="FFD00000"/>
          <x14:colorFirst rgb="FFD00000"/>
          <x14:colorLast rgb="FFD00000"/>
          <x14:colorHigh rgb="FFD00000"/>
          <x14:colorLow rgb="FFD00000"/>
          <x14:sparklines>
            <x14:sparkline>
              <xm:f>'Segment Snapshot'!AQ22:AY22</xm:f>
              <xm:sqref>BC23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26DA-EB61-4884-BBFA-D7DD297022B6}">
  <dimension ref="C3:S28"/>
  <sheetViews>
    <sheetView showGridLines="0" zoomScaleNormal="100" workbookViewId="0">
      <pane xSplit="3" ySplit="4" topLeftCell="D5" activePane="bottomRight" state="frozen"/>
      <selection activeCell="D8" sqref="D8"/>
      <selection pane="topRight" activeCell="D8" sqref="D8"/>
      <selection pane="bottomLeft" activeCell="D8" sqref="D8"/>
      <selection pane="bottomRight" activeCell="E8" sqref="E8"/>
    </sheetView>
  </sheetViews>
  <sheetFormatPr defaultColWidth="8.796875" defaultRowHeight="10.5" outlineLevelRow="1"/>
  <cols>
    <col min="1" max="2" width="1.796875" style="24" customWidth="1"/>
    <col min="3" max="3" width="35.796875" style="24" customWidth="1"/>
    <col min="4" max="4" width="9.19921875" style="24" customWidth="1"/>
    <col min="5" max="16384" width="8.796875" style="24"/>
  </cols>
  <sheetData>
    <row r="3" spans="3:19">
      <c r="D3" s="1333">
        <f t="shared" ref="D3:O3" si="0">YEAR(D4)</f>
        <v>2015</v>
      </c>
      <c r="E3" s="1333">
        <f t="shared" si="0"/>
        <v>2016</v>
      </c>
      <c r="F3" s="1333">
        <f t="shared" si="0"/>
        <v>2017</v>
      </c>
      <c r="G3" s="1333">
        <f t="shared" si="0"/>
        <v>2018</v>
      </c>
      <c r="H3" s="1333">
        <f t="shared" si="0"/>
        <v>2019</v>
      </c>
      <c r="I3" s="1333">
        <f t="shared" si="0"/>
        <v>2020</v>
      </c>
      <c r="J3" s="1333">
        <f t="shared" si="0"/>
        <v>2021</v>
      </c>
      <c r="K3" s="1333">
        <f t="shared" si="0"/>
        <v>2022</v>
      </c>
      <c r="L3" s="1333">
        <f t="shared" si="0"/>
        <v>2023</v>
      </c>
      <c r="M3" s="1333">
        <f t="shared" si="0"/>
        <v>2024</v>
      </c>
      <c r="N3" s="1333">
        <f t="shared" si="0"/>
        <v>2025</v>
      </c>
      <c r="O3" s="1333">
        <f t="shared" si="0"/>
        <v>2026</v>
      </c>
    </row>
    <row r="4" spans="3:19">
      <c r="D4" s="18">
        <v>42369</v>
      </c>
      <c r="E4" s="18">
        <f t="shared" ref="E4" si="1">EOMONTH(D4,12)</f>
        <v>42735</v>
      </c>
      <c r="F4" s="18">
        <f t="shared" ref="F4" si="2">EOMONTH(E4,12)</f>
        <v>43100</v>
      </c>
      <c r="G4" s="18">
        <f t="shared" ref="G4" si="3">EOMONTH(F4,12)</f>
        <v>43465</v>
      </c>
      <c r="H4" s="18">
        <f t="shared" ref="H4" si="4">EOMONTH(G4,12)</f>
        <v>43830</v>
      </c>
      <c r="I4" s="18">
        <f t="shared" ref="I4" si="5">EOMONTH(H4,12)</f>
        <v>44196</v>
      </c>
      <c r="J4" s="18">
        <f t="shared" ref="J4" si="6">EOMONTH(I4,12)</f>
        <v>44561</v>
      </c>
      <c r="K4" s="18">
        <f t="shared" ref="K4" si="7">EOMONTH(J4,12)</f>
        <v>44926</v>
      </c>
      <c r="L4" s="18">
        <f t="shared" ref="L4" si="8">EOMONTH(K4,12)</f>
        <v>45291</v>
      </c>
      <c r="M4" s="18">
        <f t="shared" ref="M4" si="9">EOMONTH(L4,12)</f>
        <v>45657</v>
      </c>
      <c r="N4" s="18">
        <f t="shared" ref="N4" si="10">EOMONTH(M4,12)</f>
        <v>46022</v>
      </c>
      <c r="O4" s="18">
        <f t="shared" ref="O4" si="11">EOMONTH(N4,12)</f>
        <v>46387</v>
      </c>
    </row>
    <row r="6" spans="3:19">
      <c r="C6" s="1017" t="s">
        <v>637</v>
      </c>
    </row>
    <row r="7" spans="3:19">
      <c r="C7" s="24" t="s">
        <v>1421</v>
      </c>
      <c r="D7" s="212">
        <f>Financials!AM820</f>
        <v>1285.55</v>
      </c>
      <c r="E7" s="212">
        <f>Financials!AN820</f>
        <v>1562.54</v>
      </c>
      <c r="F7" s="212">
        <f>Financials!AO820</f>
        <v>998.21</v>
      </c>
      <c r="G7" s="212">
        <f>Financials!AP820</f>
        <v>1363.02</v>
      </c>
      <c r="H7" s="212">
        <f>Financials!AQ820</f>
        <v>1198.58</v>
      </c>
      <c r="I7" s="212">
        <f>Financials!AR820</f>
        <v>953.91</v>
      </c>
      <c r="J7" s="212">
        <f>Financials!AS820</f>
        <v>1346.19</v>
      </c>
      <c r="K7" s="212">
        <f>Financials!AT820</f>
        <v>995.42000000000007</v>
      </c>
      <c r="L7" s="212">
        <f ca="1">Financials!AU820</f>
        <v>1054.8362508750001</v>
      </c>
      <c r="M7" s="212">
        <f ca="1">Financials!AV820</f>
        <v>1104.9713704699998</v>
      </c>
      <c r="N7" s="212">
        <f ca="1">Financials!AW820</f>
        <v>1173.0152720589501</v>
      </c>
      <c r="O7" s="212">
        <f ca="1">Financials!AX820</f>
        <v>1250.5878906450973</v>
      </c>
    </row>
    <row r="8" spans="3:19">
      <c r="C8" s="24" t="s">
        <v>471</v>
      </c>
      <c r="D8" s="212">
        <f>Financials!AM96</f>
        <v>1725</v>
      </c>
      <c r="E8" s="212">
        <f>Financials!AN96</f>
        <v>1534</v>
      </c>
      <c r="F8" s="212">
        <f>Financials!AO96</f>
        <v>1635</v>
      </c>
      <c r="G8" s="212">
        <f>Financials!AP96</f>
        <v>1633</v>
      </c>
      <c r="H8" s="212">
        <f>Financials!AQ96</f>
        <v>1389</v>
      </c>
      <c r="I8" s="212">
        <f>Financials!AR96</f>
        <v>1216</v>
      </c>
      <c r="J8" s="212">
        <f>Financials!AS96</f>
        <v>1635</v>
      </c>
      <c r="K8" s="212">
        <f>Financials!AT96</f>
        <v>1339</v>
      </c>
      <c r="L8" s="212">
        <f>Financials!AU96</f>
        <v>1415.5926000000002</v>
      </c>
      <c r="M8" s="212">
        <f>Financials!AV96</f>
        <v>1516.7443589999998</v>
      </c>
      <c r="N8" s="212">
        <f>Financials!AW96</f>
        <v>1598.1947735650001</v>
      </c>
      <c r="O8" s="212">
        <f>Financials!AX96</f>
        <v>1691.2155851145749</v>
      </c>
    </row>
    <row r="9" spans="3:19">
      <c r="C9" s="24" t="s">
        <v>493</v>
      </c>
      <c r="D9" s="212">
        <f>Financials!AM11</f>
        <v>9648</v>
      </c>
      <c r="E9" s="212">
        <f>Financials!AN11</f>
        <v>9008</v>
      </c>
      <c r="F9" s="212">
        <f>Financials!AO11</f>
        <v>9549</v>
      </c>
      <c r="G9" s="212">
        <f>Financials!AP11</f>
        <v>10151</v>
      </c>
      <c r="H9" s="212">
        <f>Financials!AQ11</f>
        <v>9273</v>
      </c>
      <c r="I9" s="212">
        <f>Financials!AR11</f>
        <v>8473</v>
      </c>
      <c r="J9" s="212">
        <f>Financials!AS11</f>
        <v>10476</v>
      </c>
      <c r="K9" s="212">
        <f>Financials!AT11</f>
        <v>10580</v>
      </c>
      <c r="L9" s="212">
        <f>Financials!AU11</f>
        <v>10219.039999999997</v>
      </c>
      <c r="M9" s="212">
        <f>Financials!AV11</f>
        <v>10590.996599999999</v>
      </c>
      <c r="N9" s="212">
        <f>Financials!AW11</f>
        <v>10912.299747000001</v>
      </c>
      <c r="O9" s="212">
        <f>Financials!AX11</f>
        <v>11189.795110854999</v>
      </c>
    </row>
    <row r="10" spans="3:19">
      <c r="C10" s="24" t="s">
        <v>1422</v>
      </c>
      <c r="D10" s="212">
        <f>AVERAGE(Financials!AL809:AM809)</f>
        <v>9651</v>
      </c>
      <c r="E10" s="212">
        <f>AVERAGE(Financials!AM809:AN809)</f>
        <v>9460.5</v>
      </c>
      <c r="F10" s="212">
        <f>AVERAGE(Financials!AN809:AO809)</f>
        <v>9683.5</v>
      </c>
      <c r="G10" s="212">
        <f>AVERAGE(Financials!AO809:AP809)</f>
        <v>9901.5</v>
      </c>
      <c r="H10" s="212">
        <f>AVERAGE(Financials!AP809:AQ809)</f>
        <v>9939.5</v>
      </c>
      <c r="I10" s="212">
        <f>AVERAGE(Financials!AQ809:AR809)</f>
        <v>9944</v>
      </c>
      <c r="J10" s="212">
        <f>AVERAGE(Financials!AR809:AS809)</f>
        <v>9791.5</v>
      </c>
      <c r="K10" s="212">
        <f>AVERAGE(Financials!AS809:AT809)</f>
        <v>9266</v>
      </c>
      <c r="L10" s="212">
        <f ca="1">AVERAGE(Financials!AT809:AU809)</f>
        <v>8852.0194282499979</v>
      </c>
      <c r="M10" s="212">
        <f ca="1">AVERAGE(Financials!AU809:AV809)</f>
        <v>8922.7639798599976</v>
      </c>
      <c r="N10" s="212">
        <f ca="1">AVERAGE(Financials!AV809:AW809)</f>
        <v>8917.5973417494715</v>
      </c>
      <c r="O10" s="212">
        <f ca="1">AVERAGE(Financials!AW809:AX809)</f>
        <v>8805.8983643514966</v>
      </c>
    </row>
    <row r="11" spans="3:19">
      <c r="C11" s="24" t="s">
        <v>1422</v>
      </c>
      <c r="D11" s="212">
        <f>AVERAGE(Financials!AL807:AM807)</f>
        <v>14153</v>
      </c>
      <c r="E11" s="212">
        <f>AVERAGE(Financials!AM807:AN807)</f>
        <v>13950</v>
      </c>
      <c r="F11" s="212">
        <f>AVERAGE(Financials!AN807:AO807)</f>
        <v>14177.5</v>
      </c>
      <c r="G11" s="212">
        <f>AVERAGE(Financials!AO807:AP807)</f>
        <v>14398.5</v>
      </c>
      <c r="H11" s="212">
        <f>AVERAGE(Financials!AP807:AQ807)</f>
        <v>14388.5</v>
      </c>
      <c r="I11" s="212">
        <f>AVERAGE(Financials!AQ807:AR807)</f>
        <v>14392</v>
      </c>
      <c r="J11" s="212">
        <f>AVERAGE(Financials!AR807:AS807)</f>
        <v>13844.5</v>
      </c>
      <c r="K11" s="212">
        <f>AVERAGE(Financials!AS807:AT807)</f>
        <v>12918.5</v>
      </c>
      <c r="L11" s="212">
        <f ca="1">AVERAGE(Financials!AT807:AU807)</f>
        <v>12535.519428249998</v>
      </c>
      <c r="M11" s="212">
        <f ca="1">AVERAGE(Financials!AU807:AV807)</f>
        <v>12625.763979859998</v>
      </c>
      <c r="N11" s="212">
        <f ca="1">AVERAGE(Financials!AV807:AW807)</f>
        <v>12620.597341749472</v>
      </c>
      <c r="O11" s="212">
        <f ca="1">AVERAGE(Financials!AW807:AX807)</f>
        <v>12508.898364351497</v>
      </c>
    </row>
    <row r="12" spans="3:19">
      <c r="L12" s="28"/>
      <c r="M12" s="28"/>
      <c r="N12" s="28"/>
      <c r="O12" s="28"/>
    </row>
    <row r="13" spans="3:19">
      <c r="C13" s="3" t="s">
        <v>1423</v>
      </c>
      <c r="D13" s="63">
        <f>D7/D8</f>
        <v>0.74524637681159422</v>
      </c>
      <c r="E13" s="63">
        <f t="shared" ref="E13:K13" si="12">E7/E8</f>
        <v>1.0186049543676663</v>
      </c>
      <c r="F13" s="63">
        <f t="shared" si="12"/>
        <v>0.61052599388379203</v>
      </c>
      <c r="G13" s="63">
        <f t="shared" si="12"/>
        <v>0.83467238211879979</v>
      </c>
      <c r="H13" s="63">
        <f t="shared" si="12"/>
        <v>0.86290856731461474</v>
      </c>
      <c r="I13" s="63">
        <f t="shared" si="12"/>
        <v>0.78446546052631572</v>
      </c>
      <c r="J13" s="63">
        <f t="shared" si="12"/>
        <v>0.82335779816513766</v>
      </c>
      <c r="K13" s="63">
        <f t="shared" si="12"/>
        <v>0.74340552651232272</v>
      </c>
      <c r="L13" s="63">
        <f t="shared" ref="L13:O13" ca="1" si="13">L7/L8</f>
        <v>0.74515524514256437</v>
      </c>
      <c r="M13" s="63">
        <f t="shared" ca="1" si="13"/>
        <v>0.72851523324505074</v>
      </c>
      <c r="N13" s="63">
        <f t="shared" ca="1" si="13"/>
        <v>0.73396265052373633</v>
      </c>
      <c r="O13" s="63">
        <f t="shared" ca="1" si="13"/>
        <v>0.73946095438824477</v>
      </c>
      <c r="S13" s="24" t="s">
        <v>1761</v>
      </c>
    </row>
    <row r="14" spans="3:19">
      <c r="C14" s="3" t="s">
        <v>1424</v>
      </c>
      <c r="D14" s="63">
        <f>D8/D9</f>
        <v>0.17879353233830847</v>
      </c>
      <c r="E14" s="63">
        <f t="shared" ref="E14:K14" si="14">E8/E9</f>
        <v>0.17029307282415632</v>
      </c>
      <c r="F14" s="63">
        <f t="shared" si="14"/>
        <v>0.17122211749921457</v>
      </c>
      <c r="G14" s="63">
        <f t="shared" si="14"/>
        <v>0.16087085016254557</v>
      </c>
      <c r="H14" s="63">
        <f t="shared" si="14"/>
        <v>0.14978971206729214</v>
      </c>
      <c r="I14" s="63">
        <f t="shared" si="14"/>
        <v>0.14351469373303435</v>
      </c>
      <c r="J14" s="63">
        <f t="shared" si="14"/>
        <v>0.15607101947308133</v>
      </c>
      <c r="K14" s="63">
        <f t="shared" si="14"/>
        <v>0.12655954631379962</v>
      </c>
      <c r="L14" s="63">
        <f t="shared" ref="L14:O14" si="15">L8/L9</f>
        <v>0.13852500821995026</v>
      </c>
      <c r="M14" s="63">
        <f t="shared" si="15"/>
        <v>0.14321073042361282</v>
      </c>
      <c r="N14" s="63">
        <f t="shared" si="15"/>
        <v>0.14645810787999791</v>
      </c>
      <c r="O14" s="63">
        <f t="shared" si="15"/>
        <v>0.15113910204432252</v>
      </c>
      <c r="S14" s="24" t="s">
        <v>1533</v>
      </c>
    </row>
    <row r="15" spans="3:19">
      <c r="C15" s="3" t="s">
        <v>1425</v>
      </c>
      <c r="D15" s="1018">
        <f t="shared" ref="D15:D16" si="16">D$9/D10</f>
        <v>0.9996891513832763</v>
      </c>
      <c r="E15" s="1018">
        <f>E$9/E10</f>
        <v>0.95216954706410861</v>
      </c>
      <c r="F15" s="1018">
        <f t="shared" ref="F15:O16" si="17">F$9/F10</f>
        <v>0.9861103939691227</v>
      </c>
      <c r="G15" s="1018">
        <f t="shared" si="17"/>
        <v>1.0251982022925819</v>
      </c>
      <c r="H15" s="1018">
        <f t="shared" si="17"/>
        <v>0.93294431309421999</v>
      </c>
      <c r="I15" s="1018">
        <f t="shared" si="17"/>
        <v>0.85207160096540624</v>
      </c>
      <c r="J15" s="1018">
        <f t="shared" si="17"/>
        <v>1.0699075728948577</v>
      </c>
      <c r="K15" s="1018">
        <f t="shared" si="17"/>
        <v>1.1418087632203755</v>
      </c>
      <c r="L15" s="1018">
        <f t="shared" ca="1" si="17"/>
        <v>1.1544303627923975</v>
      </c>
      <c r="M15" s="1018">
        <f t="shared" ca="1" si="17"/>
        <v>1.1869636610253784</v>
      </c>
      <c r="N15" s="1018">
        <f t="shared" ca="1" si="17"/>
        <v>1.223681595928529</v>
      </c>
      <c r="O15" s="1018">
        <f t="shared" ca="1" si="17"/>
        <v>1.2707159051658055</v>
      </c>
      <c r="S15" s="24" t="s">
        <v>1534</v>
      </c>
    </row>
    <row r="16" spans="3:19">
      <c r="C16" s="3" t="s">
        <v>1764</v>
      </c>
      <c r="D16" s="1018">
        <f t="shared" si="16"/>
        <v>0.68169292729456654</v>
      </c>
      <c r="E16" s="1018">
        <f>E$9/E11</f>
        <v>0.64573476702508958</v>
      </c>
      <c r="F16" s="1018">
        <f t="shared" si="17"/>
        <v>0.67353200493740084</v>
      </c>
      <c r="G16" s="1018">
        <f t="shared" si="17"/>
        <v>0.70500399347154219</v>
      </c>
      <c r="H16" s="1018">
        <f t="shared" si="17"/>
        <v>0.64447301664523748</v>
      </c>
      <c r="I16" s="1018">
        <f t="shared" si="17"/>
        <v>0.58872984991662036</v>
      </c>
      <c r="J16" s="1018">
        <f t="shared" si="17"/>
        <v>0.75669038246234965</v>
      </c>
      <c r="K16" s="1018">
        <f t="shared" si="17"/>
        <v>0.81898053179548713</v>
      </c>
      <c r="L16" s="1018">
        <f t="shared" ca="1" si="17"/>
        <v>0.8152067457986949</v>
      </c>
      <c r="M16" s="1018">
        <f t="shared" ca="1" si="17"/>
        <v>0.83884005885855617</v>
      </c>
      <c r="N16" s="1018">
        <f t="shared" ca="1" si="17"/>
        <v>0.86464209668599845</v>
      </c>
      <c r="O16" s="1018">
        <f t="shared" ca="1" si="17"/>
        <v>0.89454680859381297</v>
      </c>
    </row>
    <row r="18" spans="3:15">
      <c r="C18" s="26" t="s">
        <v>1763</v>
      </c>
      <c r="D18" s="437">
        <f>D13*D14*D16</f>
        <v>9.0832332367695917E-2</v>
      </c>
      <c r="E18" s="437">
        <f t="shared" ref="E18:O18" si="18">E13*E14*E16</f>
        <v>0.11201003584229391</v>
      </c>
      <c r="F18" s="437">
        <f t="shared" si="18"/>
        <v>7.040804090989243E-2</v>
      </c>
      <c r="G18" s="437">
        <f t="shared" si="18"/>
        <v>9.46640275028649E-2</v>
      </c>
      <c r="H18" s="437">
        <f t="shared" si="18"/>
        <v>8.3301247524064342E-2</v>
      </c>
      <c r="I18" s="437">
        <f t="shared" si="18"/>
        <v>6.6280572540300176E-2</v>
      </c>
      <c r="J18" s="437">
        <f t="shared" si="18"/>
        <v>9.7236447686807032E-2</v>
      </c>
      <c r="K18" s="437">
        <f t="shared" si="18"/>
        <v>7.705383751983591E-2</v>
      </c>
      <c r="L18" s="437">
        <f t="shared" ca="1" si="18"/>
        <v>8.4147789560105921E-2</v>
      </c>
      <c r="M18" s="437">
        <f t="shared" ca="1" si="18"/>
        <v>8.7517188839629528E-2</v>
      </c>
      <c r="N18" s="437">
        <f t="shared" ca="1" si="18"/>
        <v>9.2944512870129045E-2</v>
      </c>
      <c r="O18" s="437">
        <f t="shared" ca="1" si="18"/>
        <v>9.9975861520234827E-2</v>
      </c>
    </row>
    <row r="19" spans="3:15" s="27" customFormat="1">
      <c r="C19" s="26" t="s">
        <v>1762</v>
      </c>
      <c r="D19" s="437">
        <f>D13*D14*D15</f>
        <v>0.13320381307636517</v>
      </c>
      <c r="E19" s="437">
        <f t="shared" ref="E19:K19" si="19">E13*E14*E15</f>
        <v>0.16516463189049205</v>
      </c>
      <c r="F19" s="437">
        <f t="shared" si="19"/>
        <v>0.10308359580730106</v>
      </c>
      <c r="G19" s="437">
        <f t="shared" si="19"/>
        <v>0.13765793061657325</v>
      </c>
      <c r="H19" s="437">
        <f t="shared" si="19"/>
        <v>0.1205875547059711</v>
      </c>
      <c r="I19" s="437">
        <f t="shared" si="19"/>
        <v>9.5928197908286397E-2</v>
      </c>
      <c r="J19" s="437">
        <f t="shared" si="19"/>
        <v>0.13748557422253996</v>
      </c>
      <c r="K19" s="437">
        <f t="shared" si="19"/>
        <v>0.10742715303259227</v>
      </c>
      <c r="L19" s="1128">
        <f t="shared" ref="L19:O19" ca="1" si="20">L13*L14*L15</f>
        <v>0.11916334565518866</v>
      </c>
      <c r="M19" s="1128">
        <f t="shared" ca="1" si="20"/>
        <v>0.12383734154171108</v>
      </c>
      <c r="N19" s="1128">
        <f t="shared" ca="1" si="20"/>
        <v>0.13153938522961228</v>
      </c>
      <c r="O19" s="1128">
        <f t="shared" ca="1" si="20"/>
        <v>0.14201707070658381</v>
      </c>
    </row>
    <row r="20" spans="3:15" s="79" customFormat="1" outlineLevel="1">
      <c r="D20" s="79">
        <f>Financials!AM840-Comp!D19</f>
        <v>0</v>
      </c>
      <c r="E20" s="79">
        <f>Financials!AN840-Comp!E19</f>
        <v>0</v>
      </c>
      <c r="F20" s="79">
        <f>Financials!AO840-Comp!F19</f>
        <v>0</v>
      </c>
      <c r="G20" s="79">
        <f>Financials!AP840-Comp!G19</f>
        <v>0</v>
      </c>
      <c r="H20" s="79">
        <f>Financials!AQ840-Comp!H19</f>
        <v>0</v>
      </c>
      <c r="I20" s="79">
        <f>Financials!AR840-Comp!I19</f>
        <v>0</v>
      </c>
      <c r="J20" s="79">
        <f>Financials!AS840-Comp!J19</f>
        <v>0</v>
      </c>
      <c r="K20" s="79">
        <f>Financials!AT840-Comp!K19</f>
        <v>0</v>
      </c>
      <c r="L20" s="79">
        <f ca="1">Financials!AU840-Comp!L19</f>
        <v>0</v>
      </c>
      <c r="M20" s="79">
        <f ca="1">Financials!AV840-Comp!M19</f>
        <v>0</v>
      </c>
      <c r="N20" s="79">
        <f ca="1">Financials!AW840-Comp!N19</f>
        <v>0</v>
      </c>
      <c r="O20" s="79">
        <f ca="1">Financials!AX840-Comp!O19</f>
        <v>0</v>
      </c>
    </row>
    <row r="21" spans="3:15" s="79" customFormat="1"/>
    <row r="22" spans="3:15" s="79" customFormat="1">
      <c r="C22" s="25" t="s">
        <v>609</v>
      </c>
      <c r="D22" s="212">
        <f ca="1">_xlfn.XLOOKUP((D3+1),'Other Pulls'!$BD$51:$BD$60,'Other Pulls'!$BE$51:$BE$60)</f>
        <v>16277.19041435</v>
      </c>
      <c r="E22" s="212">
        <f ca="1">_xlfn.XLOOKUP((E3+1),'Other Pulls'!$BD$51:$BD$60,'Other Pulls'!$BE$51:$BE$60)</f>
        <v>18244.736151000001</v>
      </c>
      <c r="F22" s="212">
        <f ca="1">_xlfn.XLOOKUP((F3+1),'Other Pulls'!$BD$51:$BD$60,'Other Pulls'!$BE$51:$BE$60)</f>
        <v>21026.07191332</v>
      </c>
      <c r="G22" s="212">
        <f ca="1">_xlfn.XLOOKUP((G3+1),'Other Pulls'!$BD$51:$BD$60,'Other Pulls'!$BE$51:$BE$60)</f>
        <v>17575.187583080002</v>
      </c>
      <c r="H22" s="212">
        <f ca="1">_xlfn.XLOOKUP((H3+1),'Other Pulls'!$BD$51:$BD$60,'Other Pulls'!$BE$51:$BE$60)</f>
        <v>14015.93225946</v>
      </c>
      <c r="I22" s="212">
        <f ca="1">_xlfn.XLOOKUP((I3+1),'Other Pulls'!$BD$51:$BD$60,'Other Pulls'!$BE$51:$BE$60)</f>
        <v>19983.266168040002</v>
      </c>
      <c r="J22" s="212">
        <f ca="1">_xlfn.XLOOKUP((J3+1),'Other Pulls'!$BD$51:$BD$60,'Other Pulls'!$BE$51:$BE$60)</f>
        <v>20062.824506659999</v>
      </c>
      <c r="K22" s="212">
        <f ca="1">_xlfn.XLOOKUP((K3+1),'Other Pulls'!$BD$51:$BD$60,'Other Pulls'!$BE$51:$BE$60)</f>
        <v>14862.493068399999</v>
      </c>
      <c r="L22" s="212"/>
      <c r="M22" s="212"/>
      <c r="N22" s="212"/>
      <c r="O22" s="212"/>
    </row>
    <row r="23" spans="3:15" s="79" customFormat="1">
      <c r="C23" s="26"/>
      <c r="D23" s="212"/>
      <c r="E23" s="212"/>
      <c r="F23" s="212"/>
      <c r="G23" s="212"/>
      <c r="H23" s="212"/>
      <c r="I23" s="212"/>
      <c r="J23" s="212"/>
      <c r="K23" s="212"/>
      <c r="L23" s="212"/>
      <c r="M23" s="212"/>
      <c r="N23" s="212"/>
      <c r="O23" s="212"/>
    </row>
    <row r="24" spans="3:15" s="79" customFormat="1">
      <c r="C24" s="26" t="s">
        <v>1427</v>
      </c>
      <c r="D24" s="1023">
        <f ca="1">D$22/D7</f>
        <v>12.661654867060792</v>
      </c>
      <c r="E24" s="1023">
        <f t="shared" ref="E24:K24" ca="1" si="21">E22/E7</f>
        <v>11.676332222535104</v>
      </c>
      <c r="F24" s="1023">
        <f t="shared" ca="1" si="21"/>
        <v>21.063776072489755</v>
      </c>
      <c r="G24" s="1023">
        <f t="shared" ca="1" si="21"/>
        <v>12.894299117459759</v>
      </c>
      <c r="H24" s="1023">
        <f t="shared" ca="1" si="21"/>
        <v>11.693781190625574</v>
      </c>
      <c r="I24" s="1023">
        <f t="shared" ca="1" si="21"/>
        <v>20.948796184168319</v>
      </c>
      <c r="J24" s="1023">
        <f t="shared" ca="1" si="21"/>
        <v>14.903412227590458</v>
      </c>
      <c r="K24" s="1023">
        <f t="shared" ca="1" si="21"/>
        <v>14.930876482690721</v>
      </c>
      <c r="L24" s="1023"/>
      <c r="M24" s="1023"/>
      <c r="N24" s="1023"/>
      <c r="O24" s="1023"/>
    </row>
    <row r="25" spans="3:15" s="79" customFormat="1">
      <c r="C25" s="26" t="s">
        <v>1428</v>
      </c>
      <c r="D25" s="1023">
        <f ca="1">D$22/D8</f>
        <v>9.4360524141159416</v>
      </c>
      <c r="E25" s="1023">
        <f t="shared" ref="E25:K27" ca="1" si="22">E$22/E8</f>
        <v>11.89356985071708</v>
      </c>
      <c r="F25" s="1023">
        <f t="shared" ca="1" si="22"/>
        <v>12.859982821602447</v>
      </c>
      <c r="G25" s="1023">
        <f t="shared" ca="1" si="22"/>
        <v>10.762515360122475</v>
      </c>
      <c r="H25" s="1023">
        <f t="shared" ca="1" si="22"/>
        <v>10.090663973693305</v>
      </c>
      <c r="I25" s="1023">
        <f t="shared" ca="1" si="22"/>
        <v>16.433607046085527</v>
      </c>
      <c r="J25" s="1023">
        <f t="shared" ca="1" si="22"/>
        <v>12.270840676856269</v>
      </c>
      <c r="K25" s="1023">
        <f t="shared" ca="1" si="22"/>
        <v>11.099696092905152</v>
      </c>
      <c r="L25" s="1023"/>
      <c r="M25" s="1023"/>
      <c r="N25" s="1023"/>
      <c r="O25" s="1023"/>
    </row>
    <row r="26" spans="3:15" s="79" customFormat="1">
      <c r="C26" s="26" t="s">
        <v>1429</v>
      </c>
      <c r="D26" s="1023">
        <f ca="1">D$22/D9</f>
        <v>1.6871051424492123</v>
      </c>
      <c r="E26" s="1023">
        <f t="shared" ca="1" si="22"/>
        <v>2.0253925567273536</v>
      </c>
      <c r="F26" s="1023">
        <f t="shared" ca="1" si="22"/>
        <v>2.201913489718295</v>
      </c>
      <c r="G26" s="1023">
        <f t="shared" ca="1" si="22"/>
        <v>1.7313749958703577</v>
      </c>
      <c r="H26" s="1023">
        <f t="shared" ca="1" si="22"/>
        <v>1.511477651187318</v>
      </c>
      <c r="I26" s="1023">
        <f t="shared" ca="1" si="22"/>
        <v>2.3584640821479996</v>
      </c>
      <c r="J26" s="1023">
        <f t="shared" ca="1" si="22"/>
        <v>1.9151226142287132</v>
      </c>
      <c r="K26" s="1023">
        <f t="shared" ca="1" si="22"/>
        <v>1.4047725017391304</v>
      </c>
      <c r="L26" s="1023"/>
      <c r="M26" s="1023"/>
      <c r="N26" s="1023"/>
      <c r="O26" s="1023"/>
    </row>
    <row r="27" spans="3:15" s="79" customFormat="1">
      <c r="C27" s="26" t="s">
        <v>1430</v>
      </c>
      <c r="D27" s="1023">
        <f ca="1">D$22/D10</f>
        <v>1.6865807081494146</v>
      </c>
      <c r="E27" s="1023">
        <f t="shared" ca="1" si="22"/>
        <v>1.9285171133661012</v>
      </c>
      <c r="F27" s="1023">
        <f t="shared" ca="1" si="22"/>
        <v>2.171329778832034</v>
      </c>
      <c r="G27" s="1023">
        <f t="shared" ca="1" si="22"/>
        <v>1.7750025332606172</v>
      </c>
      <c r="H27" s="1023">
        <f t="shared" ca="1" si="22"/>
        <v>1.4101244790442176</v>
      </c>
      <c r="I27" s="1023">
        <f t="shared" ca="1" si="22"/>
        <v>2.0095802662952535</v>
      </c>
      <c r="J27" s="1023">
        <f t="shared" ca="1" si="22"/>
        <v>2.0490041879854974</v>
      </c>
      <c r="K27" s="1023">
        <f t="shared" ca="1" si="22"/>
        <v>1.6039815528167494</v>
      </c>
      <c r="L27" s="1023"/>
      <c r="M27" s="1023"/>
      <c r="N27" s="1023"/>
      <c r="O27" s="1023"/>
    </row>
    <row r="28" spans="3:15" s="79" customFormat="1">
      <c r="D28" s="79">
        <f t="shared" ref="D28:K28" ca="1" si="23">D19*(D22/D7)-D27</f>
        <v>0</v>
      </c>
      <c r="E28" s="79">
        <f t="shared" ca="1" si="23"/>
        <v>0</v>
      </c>
      <c r="F28" s="79">
        <f t="shared" ca="1" si="23"/>
        <v>0</v>
      </c>
      <c r="G28" s="79">
        <f t="shared" ca="1" si="23"/>
        <v>0</v>
      </c>
      <c r="H28" s="79">
        <f t="shared" ca="1" si="23"/>
        <v>0</v>
      </c>
      <c r="I28" s="79">
        <f t="shared" ca="1" si="23"/>
        <v>0</v>
      </c>
      <c r="J28" s="79">
        <f t="shared" ca="1" si="23"/>
        <v>0</v>
      </c>
      <c r="K28" s="79">
        <f t="shared" ca="1"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604F4-7D48-4E82-A07F-4A6110DFE9BE}">
  <sheetPr>
    <tabColor theme="9" tint="0.79998168889431442"/>
  </sheetPr>
  <dimension ref="A1:HI89"/>
  <sheetViews>
    <sheetView showGridLines="0" zoomScaleNormal="100" workbookViewId="0">
      <pane xSplit="4" ySplit="11" topLeftCell="E75" activePane="bottomRight" state="frozen"/>
      <selection activeCell="P51" sqref="P51"/>
      <selection pane="topRight" activeCell="P51" sqref="P51"/>
      <selection pane="bottomLeft" activeCell="P51" sqref="P51"/>
      <selection pane="bottomRight" activeCell="J90" sqref="J90"/>
    </sheetView>
  </sheetViews>
  <sheetFormatPr defaultColWidth="11.53125" defaultRowHeight="10.5" outlineLevelRow="1" outlineLevelCol="1"/>
  <cols>
    <col min="1" max="2" width="1.46484375" style="1502" customWidth="1"/>
    <col min="3" max="3" width="8.796875" style="1502" bestFit="1" customWidth="1"/>
    <col min="4" max="4" width="9.46484375" style="1502" customWidth="1" outlineLevel="1"/>
    <col min="5" max="22" width="11.53125" style="1506" customWidth="1"/>
    <col min="23" max="23" width="11.53125" style="762"/>
    <col min="24" max="24" width="11.53125" style="1506" collapsed="1"/>
    <col min="25" max="41" width="11.53125" style="1506"/>
    <col min="42" max="42" width="11.53125" style="762"/>
    <col min="43" max="43" width="11.53125" style="1506" collapsed="1"/>
    <col min="44" max="60" width="11.53125" style="1506"/>
    <col min="61" max="61" width="11.53125" style="762"/>
    <col min="62" max="79" width="11.53125" style="1506" customWidth="1" outlineLevel="1"/>
    <col min="80" max="80" width="11.53125" style="762"/>
    <col min="81" max="81" width="11.53125" style="1506" collapsed="1"/>
    <col min="82" max="98" width="11.53125" style="1506"/>
    <col min="99" max="101" width="11.53125" style="762"/>
    <col min="102" max="102" width="11.53125" style="1246"/>
    <col min="103" max="107" width="11.53125" style="762"/>
    <col min="108" max="108" width="11.53125" style="1002"/>
    <col min="109" max="118" width="11.53125" style="762"/>
    <col min="119" max="119" width="11.53125" style="1506" collapsed="1"/>
    <col min="120" max="136" width="11.53125" style="1506"/>
    <col min="137" max="137" width="11.53125" style="1502"/>
    <col min="138" max="138" width="11.53125" style="1506" collapsed="1"/>
    <col min="139" max="155" width="11.53125" style="1506"/>
    <col min="156" max="156" width="11.53125" style="762"/>
    <col min="157" max="157" width="11.53125" style="1506" collapsed="1"/>
    <col min="158" max="173" width="11.53125" style="1506"/>
    <col min="174" max="174" width="11.53125" style="762"/>
    <col min="175" max="175" width="11.53125" style="1506" collapsed="1"/>
    <col min="176" max="191" width="11.53125" style="1506"/>
    <col min="192" max="192" width="11.53125" style="762"/>
    <col min="193" max="193" width="11.53125" style="1506" collapsed="1"/>
    <col min="194" max="209" width="11.53125" style="1506"/>
    <col min="210" max="16384" width="11.53125" style="762"/>
  </cols>
  <sheetData>
    <row r="1" spans="1:213" ht="11.25" customHeight="1">
      <c r="A1" s="1501" t="s">
        <v>1804</v>
      </c>
      <c r="E1" s="1502"/>
      <c r="F1" s="1502"/>
      <c r="G1" s="1502"/>
      <c r="H1" s="1502"/>
      <c r="I1" s="1502"/>
      <c r="J1" s="1502"/>
      <c r="K1" s="1502"/>
      <c r="L1" s="1502"/>
      <c r="M1" s="1502"/>
      <c r="N1" s="1502"/>
      <c r="O1" s="1502"/>
      <c r="P1" s="1502"/>
      <c r="Q1" s="1502"/>
      <c r="R1" s="1502"/>
      <c r="S1" s="1502"/>
      <c r="T1" s="1502"/>
      <c r="U1" s="1502"/>
      <c r="V1" s="1502"/>
      <c r="X1" s="1502"/>
      <c r="Y1" s="1502"/>
      <c r="Z1" s="1502"/>
      <c r="AA1" s="1502"/>
      <c r="AB1" s="1502"/>
      <c r="AC1" s="1502"/>
      <c r="AD1" s="1502"/>
      <c r="AE1" s="1502"/>
      <c r="AF1" s="1502"/>
      <c r="AG1" s="1502"/>
      <c r="AH1" s="1502"/>
      <c r="AI1" s="1502"/>
      <c r="AJ1" s="1502"/>
      <c r="AK1" s="1502"/>
      <c r="AL1" s="1502"/>
      <c r="AM1" s="1502"/>
      <c r="AN1" s="1502"/>
      <c r="AO1" s="1502"/>
      <c r="AQ1" s="1502"/>
      <c r="AR1" s="1502"/>
      <c r="AS1" s="1502"/>
      <c r="AT1" s="1502"/>
      <c r="AU1" s="1502"/>
      <c r="AV1" s="1502"/>
      <c r="AW1" s="1502"/>
      <c r="AX1" s="1502"/>
      <c r="AY1" s="1502"/>
      <c r="AZ1" s="1502"/>
      <c r="BA1" s="1502"/>
      <c r="BB1" s="1502"/>
      <c r="BC1" s="1502"/>
      <c r="BD1" s="1502"/>
      <c r="BE1" s="1502"/>
      <c r="BF1" s="1502"/>
      <c r="BG1" s="1502"/>
      <c r="BH1" s="1502"/>
      <c r="BJ1" s="1502"/>
      <c r="BK1" s="1502"/>
      <c r="BL1" s="1502"/>
      <c r="BM1" s="1502"/>
      <c r="BN1" s="1502"/>
      <c r="BO1" s="1502"/>
      <c r="BP1" s="1502"/>
      <c r="BQ1" s="1502"/>
      <c r="BR1" s="1502"/>
      <c r="BS1" s="1502"/>
      <c r="BT1" s="1502"/>
      <c r="BU1" s="1502"/>
      <c r="BV1" s="1502"/>
      <c r="BW1" s="1502"/>
      <c r="BX1" s="1502"/>
      <c r="BY1" s="1502"/>
      <c r="BZ1" s="1502"/>
      <c r="CA1" s="1502"/>
      <c r="CC1" s="1502"/>
      <c r="CD1" s="1502"/>
      <c r="CE1" s="1502"/>
      <c r="CF1" s="1502"/>
      <c r="CG1" s="1502"/>
      <c r="CH1" s="1502"/>
      <c r="CI1" s="1502"/>
      <c r="CJ1" s="1502"/>
      <c r="CK1" s="1502"/>
      <c r="CL1" s="1502"/>
      <c r="CM1" s="1502"/>
      <c r="CN1" s="1502"/>
      <c r="CO1" s="1502"/>
      <c r="CP1" s="1502"/>
      <c r="CQ1" s="1502"/>
      <c r="CR1" s="1502"/>
      <c r="CS1" s="1502"/>
      <c r="CT1" s="1502"/>
      <c r="DO1" s="1502"/>
      <c r="DP1" s="1502"/>
      <c r="DQ1" s="1502"/>
      <c r="DR1" s="1502"/>
      <c r="DS1" s="1502"/>
      <c r="DT1" s="1502"/>
      <c r="DU1" s="1502"/>
      <c r="DV1" s="1502"/>
      <c r="DW1" s="1502"/>
      <c r="DX1" s="1502"/>
      <c r="DY1" s="1502"/>
      <c r="DZ1" s="1502"/>
      <c r="EA1" s="1502"/>
      <c r="EB1" s="1502"/>
      <c r="EC1" s="1502"/>
      <c r="ED1" s="1502"/>
      <c r="EE1" s="1502"/>
      <c r="EF1" s="1502"/>
      <c r="EH1" s="1502"/>
      <c r="EI1" s="1502"/>
      <c r="EJ1" s="1502"/>
      <c r="EK1" s="1502"/>
      <c r="EL1" s="1502"/>
      <c r="EM1" s="1502"/>
      <c r="EN1" s="1502"/>
      <c r="EO1" s="1502"/>
      <c r="EP1" s="1502"/>
      <c r="EQ1" s="1502"/>
      <c r="ER1" s="1502"/>
      <c r="ES1" s="1502"/>
      <c r="ET1" s="1502"/>
      <c r="EU1" s="1502"/>
      <c r="EV1" s="1502"/>
      <c r="EW1" s="1502"/>
      <c r="EX1" s="1502"/>
      <c r="EY1" s="1502"/>
      <c r="FA1" s="1502"/>
      <c r="FB1" s="1502"/>
      <c r="FC1" s="1502"/>
      <c r="FD1" s="1502"/>
      <c r="FE1" s="1502"/>
      <c r="FF1" s="1502"/>
      <c r="FG1" s="1502"/>
      <c r="FH1" s="1502"/>
      <c r="FI1" s="1502"/>
      <c r="FJ1" s="1502"/>
      <c r="FK1" s="1502"/>
      <c r="FL1" s="1502"/>
      <c r="FM1" s="1502"/>
      <c r="FN1" s="1502"/>
      <c r="FO1" s="1502"/>
      <c r="FP1" s="1502"/>
      <c r="FQ1" s="1502"/>
      <c r="FS1" s="1502"/>
      <c r="FT1" s="1502"/>
      <c r="FU1" s="1502"/>
      <c r="FV1" s="1502"/>
      <c r="FW1" s="1502"/>
      <c r="FX1" s="1502"/>
      <c r="FY1" s="1502"/>
      <c r="FZ1" s="1502"/>
      <c r="GA1" s="1502"/>
      <c r="GB1" s="1502"/>
      <c r="GC1" s="1502"/>
      <c r="GD1" s="1502"/>
      <c r="GE1" s="1502"/>
      <c r="GF1" s="1502"/>
      <c r="GG1" s="1502"/>
      <c r="GH1" s="1502"/>
      <c r="GI1" s="1502"/>
      <c r="GK1" s="1502"/>
      <c r="GL1" s="1502"/>
      <c r="GM1" s="1502"/>
      <c r="GN1" s="1502"/>
      <c r="GO1" s="1502"/>
      <c r="GP1" s="1502"/>
      <c r="GQ1" s="1502"/>
      <c r="GR1" s="1502"/>
      <c r="GS1" s="1502"/>
      <c r="GT1" s="1502"/>
      <c r="GU1" s="1502"/>
      <c r="GV1" s="1502"/>
      <c r="GW1" s="1502"/>
      <c r="GX1" s="1502"/>
      <c r="GY1" s="1502"/>
      <c r="GZ1" s="1502"/>
      <c r="HA1" s="1502"/>
    </row>
    <row r="2" spans="1:213" ht="11.25" customHeight="1">
      <c r="A2" s="1503"/>
      <c r="E2" s="1502"/>
      <c r="F2" s="1502"/>
      <c r="G2" s="1502"/>
      <c r="H2" s="1502" t="s">
        <v>1805</v>
      </c>
      <c r="I2" s="1502" t="s">
        <v>1806</v>
      </c>
      <c r="J2" s="1502"/>
      <c r="K2" s="1502"/>
      <c r="L2" s="1502"/>
      <c r="M2" s="1502"/>
      <c r="N2" s="1502"/>
      <c r="O2" s="1502"/>
      <c r="P2" s="1502"/>
      <c r="Q2" s="1502"/>
      <c r="R2" s="1502"/>
      <c r="S2" s="1502"/>
      <c r="T2" s="1502"/>
      <c r="U2" s="1502"/>
      <c r="V2" s="1502"/>
      <c r="X2" s="1502"/>
      <c r="Y2" s="1502"/>
      <c r="Z2" s="1502"/>
      <c r="AA2" s="1502"/>
      <c r="AB2" s="1502"/>
      <c r="AC2" s="1502"/>
      <c r="AD2" s="1502"/>
      <c r="AE2" s="1502"/>
      <c r="AF2" s="1502"/>
      <c r="AG2" s="1502"/>
      <c r="AH2" s="1502"/>
      <c r="AI2" s="1502"/>
      <c r="AJ2" s="1502"/>
      <c r="AK2" s="1502"/>
      <c r="AL2" s="1502"/>
      <c r="AM2" s="1502"/>
      <c r="AN2" s="1502"/>
      <c r="AO2" s="1502"/>
      <c r="AQ2" s="1502"/>
      <c r="AR2" s="1502"/>
      <c r="AS2" s="1502"/>
      <c r="AT2" s="1502"/>
      <c r="AU2" s="1502"/>
      <c r="AV2" s="1502"/>
      <c r="AW2" s="1502"/>
      <c r="AX2" s="1502"/>
      <c r="AY2" s="1502"/>
      <c r="AZ2" s="1502"/>
      <c r="BA2" s="1502"/>
      <c r="BB2" s="1502"/>
      <c r="BC2" s="1502"/>
      <c r="BD2" s="1502"/>
      <c r="BE2" s="1502"/>
      <c r="BF2" s="1502"/>
      <c r="BG2" s="1502"/>
      <c r="BH2" s="1502"/>
      <c r="BJ2" s="1502"/>
      <c r="BK2" s="1502"/>
      <c r="BL2" s="1502"/>
      <c r="BM2" s="1502"/>
      <c r="BN2" s="1502"/>
      <c r="BO2" s="1502"/>
      <c r="BP2" s="1502"/>
      <c r="BQ2" s="1502"/>
      <c r="BR2" s="1502"/>
      <c r="BS2" s="1502"/>
      <c r="BT2" s="1502"/>
      <c r="BU2" s="1502"/>
      <c r="BV2" s="1502"/>
      <c r="BW2" s="1502"/>
      <c r="BX2" s="1502"/>
      <c r="BY2" s="1502"/>
      <c r="BZ2" s="1502"/>
      <c r="CA2" s="1502"/>
      <c r="CC2" s="1502"/>
      <c r="CD2" s="1502"/>
      <c r="CE2" s="1502"/>
      <c r="CF2" s="1502"/>
      <c r="CG2" s="1502"/>
      <c r="CH2" s="1502"/>
      <c r="CI2" s="1502"/>
      <c r="CJ2" s="1502"/>
      <c r="CK2" s="1502"/>
      <c r="CL2" s="1502"/>
      <c r="CM2" s="1502"/>
      <c r="CN2" s="1502"/>
      <c r="CO2" s="1502"/>
      <c r="CP2" s="1502"/>
      <c r="CQ2" s="1502"/>
      <c r="CR2" s="1502"/>
      <c r="CS2" s="1502"/>
      <c r="CT2" s="1502"/>
      <c r="DB2" s="1504"/>
      <c r="DO2" s="1502"/>
      <c r="DP2" s="1502"/>
      <c r="DQ2" s="1502"/>
      <c r="DR2" s="1502"/>
      <c r="DS2" s="1502"/>
      <c r="DT2" s="1502"/>
      <c r="DU2" s="1502"/>
      <c r="DV2" s="1502"/>
      <c r="DW2" s="1502"/>
      <c r="DX2" s="1502"/>
      <c r="DY2" s="1502"/>
      <c r="DZ2" s="1502"/>
      <c r="EA2" s="1502"/>
      <c r="EB2" s="1502"/>
      <c r="EC2" s="1502"/>
      <c r="ED2" s="1502"/>
      <c r="EE2" s="1502"/>
      <c r="EF2" s="1502"/>
      <c r="EH2" s="1502"/>
      <c r="EI2" s="1502"/>
      <c r="EJ2" s="1502"/>
      <c r="EK2" s="1502"/>
      <c r="EL2" s="1502"/>
      <c r="EM2" s="1502"/>
      <c r="EN2" s="1502"/>
      <c r="EO2" s="1502"/>
      <c r="EP2" s="1502"/>
      <c r="EQ2" s="1502"/>
      <c r="ER2" s="1502"/>
      <c r="ES2" s="1502"/>
      <c r="ET2" s="1502"/>
      <c r="EU2" s="1502"/>
      <c r="EV2" s="1502"/>
      <c r="EW2" s="1502"/>
      <c r="EX2" s="1502"/>
      <c r="EY2" s="1502"/>
      <c r="FA2" s="1502"/>
      <c r="FB2" s="1502"/>
      <c r="FC2" s="1502"/>
      <c r="FD2" s="1502"/>
      <c r="FE2" s="1502"/>
      <c r="FF2" s="1502"/>
      <c r="FG2" s="1502"/>
      <c r="FH2" s="1502"/>
      <c r="FI2" s="1502"/>
      <c r="FJ2" s="1502"/>
      <c r="FK2" s="1502"/>
      <c r="FL2" s="1502"/>
      <c r="FM2" s="1502"/>
      <c r="FN2" s="1502"/>
      <c r="FO2" s="1502"/>
      <c r="FP2" s="1502"/>
      <c r="FQ2" s="1502"/>
      <c r="FS2" s="1502"/>
      <c r="FT2" s="1502"/>
      <c r="FU2" s="1502"/>
      <c r="FV2" s="1502"/>
      <c r="FW2" s="1502"/>
      <c r="FX2" s="1502"/>
      <c r="FY2" s="1502"/>
      <c r="FZ2" s="1502"/>
      <c r="GA2" s="1502"/>
      <c r="GB2" s="1502"/>
      <c r="GC2" s="1502"/>
      <c r="GD2" s="1502"/>
      <c r="GE2" s="1502"/>
      <c r="GF2" s="1502"/>
      <c r="GG2" s="1502"/>
      <c r="GH2" s="1502"/>
      <c r="GI2" s="1502"/>
      <c r="GK2" s="1502"/>
      <c r="GL2" s="1502"/>
      <c r="GM2" s="1502"/>
      <c r="GN2" s="1502"/>
      <c r="GO2" s="1502"/>
      <c r="GP2" s="1502"/>
      <c r="GQ2" s="1502"/>
      <c r="GR2" s="1502"/>
      <c r="GS2" s="1502"/>
      <c r="GT2" s="1502"/>
      <c r="GU2" s="1502"/>
      <c r="GV2" s="1502"/>
      <c r="GW2" s="1502"/>
      <c r="GX2" s="1502"/>
      <c r="GY2" s="1502"/>
      <c r="GZ2" s="1502"/>
      <c r="HA2" s="1502"/>
    </row>
    <row r="3" spans="1:213" ht="11.25" customHeight="1">
      <c r="E3" s="1505" t="s">
        <v>925</v>
      </c>
      <c r="F3" s="1502"/>
      <c r="H3" s="1507">
        <v>0</v>
      </c>
      <c r="I3" s="1502"/>
      <c r="J3" s="1502"/>
      <c r="K3" s="1502"/>
      <c r="L3" s="1502"/>
      <c r="M3" s="1502"/>
      <c r="N3" s="1502"/>
      <c r="O3" s="1502"/>
      <c r="P3" s="1502"/>
      <c r="Q3" s="1502"/>
      <c r="R3" s="1502"/>
      <c r="S3" s="1502"/>
      <c r="T3" s="1502"/>
      <c r="U3" s="1502"/>
      <c r="V3" s="1502"/>
      <c r="X3" s="1505" t="s">
        <v>925</v>
      </c>
      <c r="Y3" s="1502"/>
      <c r="AA3" s="1502"/>
      <c r="AB3" s="1502"/>
      <c r="AC3" s="1502"/>
      <c r="AD3" s="1502"/>
      <c r="AE3" s="1502"/>
      <c r="AF3" s="1502"/>
      <c r="AG3" s="1502"/>
      <c r="AH3" s="1502"/>
      <c r="AI3" s="1502"/>
      <c r="AJ3" s="1502"/>
      <c r="AK3" s="1502"/>
      <c r="AL3" s="1502"/>
      <c r="AM3" s="1502"/>
      <c r="AN3" s="1502"/>
      <c r="AO3" s="1502"/>
      <c r="AQ3" s="1505" t="s">
        <v>925</v>
      </c>
      <c r="AR3" s="1502"/>
      <c r="AT3" s="1502"/>
      <c r="AU3" s="1502"/>
      <c r="AV3" s="1502"/>
      <c r="AW3" s="1502"/>
      <c r="AX3" s="1502"/>
      <c r="AY3" s="1502"/>
      <c r="AZ3" s="1502"/>
      <c r="BA3" s="1502"/>
      <c r="BB3" s="1502"/>
      <c r="BC3" s="1502"/>
      <c r="BD3" s="1502"/>
      <c r="BE3" s="1502"/>
      <c r="BF3" s="1502"/>
      <c r="BG3" s="1502"/>
      <c r="BH3" s="1502"/>
      <c r="BJ3" s="1505" t="s">
        <v>925</v>
      </c>
      <c r="BK3" s="1502"/>
      <c r="BM3" s="1502"/>
      <c r="BN3" s="1502"/>
      <c r="BO3" s="1502"/>
      <c r="BP3" s="1502"/>
      <c r="BQ3" s="1502"/>
      <c r="BR3" s="1502"/>
      <c r="BS3" s="1502"/>
      <c r="BT3" s="1502"/>
      <c r="BU3" s="1502"/>
      <c r="BV3" s="1502"/>
      <c r="BW3" s="1502"/>
      <c r="BX3" s="1502"/>
      <c r="BY3" s="1502"/>
      <c r="BZ3" s="1502"/>
      <c r="CA3" s="1502"/>
      <c r="CC3" s="1505" t="s">
        <v>925</v>
      </c>
      <c r="CD3" s="1502"/>
      <c r="CF3" s="1502"/>
      <c r="CG3" s="1502"/>
      <c r="CH3" s="1502"/>
      <c r="CI3" s="1502"/>
      <c r="CJ3" s="1502"/>
      <c r="CK3" s="1502"/>
      <c r="CL3" s="1502"/>
      <c r="CM3" s="1502"/>
      <c r="CN3" s="1502"/>
      <c r="CO3" s="1502"/>
      <c r="CP3" s="1502"/>
      <c r="CQ3" s="1502"/>
      <c r="CR3" s="1502"/>
      <c r="CS3" s="1502"/>
      <c r="CT3" s="1502"/>
      <c r="DO3" s="1505" t="s">
        <v>925</v>
      </c>
      <c r="DP3" s="1502"/>
      <c r="DR3" s="1502"/>
      <c r="DS3" s="1502"/>
      <c r="DT3" s="1502"/>
      <c r="DU3" s="1502"/>
      <c r="DV3" s="1502"/>
      <c r="DW3" s="1502"/>
      <c r="DX3" s="1502"/>
      <c r="DY3" s="1502"/>
      <c r="DZ3" s="1502"/>
      <c r="EA3" s="1502"/>
      <c r="EB3" s="1502"/>
      <c r="EC3" s="1502"/>
      <c r="ED3" s="1502"/>
      <c r="EE3" s="1502"/>
      <c r="EF3" s="1502"/>
      <c r="EH3" s="1505" t="s">
        <v>925</v>
      </c>
      <c r="EI3" s="1502"/>
      <c r="EK3" s="1502"/>
      <c r="EL3" s="1502"/>
      <c r="EM3" s="1502"/>
      <c r="EN3" s="1502"/>
      <c r="EO3" s="1502"/>
      <c r="EP3" s="1502"/>
      <c r="EQ3" s="1502"/>
      <c r="ER3" s="1502"/>
      <c r="ES3" s="1502"/>
      <c r="ET3" s="1502"/>
      <c r="EU3" s="1502"/>
      <c r="EV3" s="1502"/>
      <c r="EW3" s="1502"/>
      <c r="EX3" s="1502"/>
      <c r="EY3" s="1502"/>
      <c r="FA3" s="1505" t="s">
        <v>925</v>
      </c>
      <c r="FB3" s="1502"/>
      <c r="FD3" s="1502"/>
      <c r="FE3" s="1502"/>
      <c r="FF3" s="1502"/>
      <c r="FG3" s="1502"/>
      <c r="FH3" s="1502"/>
      <c r="FI3" s="1502"/>
      <c r="FJ3" s="1502"/>
      <c r="FK3" s="1502"/>
      <c r="FL3" s="1502"/>
      <c r="FM3" s="1502"/>
      <c r="FN3" s="1502"/>
      <c r="FO3" s="1502"/>
      <c r="FP3" s="1502"/>
      <c r="FQ3" s="1502"/>
      <c r="FS3" s="1505" t="s">
        <v>925</v>
      </c>
      <c r="FT3" s="1502"/>
      <c r="FV3" s="1502"/>
      <c r="FW3" s="1502"/>
      <c r="FX3" s="1502"/>
      <c r="FY3" s="1502"/>
      <c r="FZ3" s="1502"/>
      <c r="GA3" s="1502"/>
      <c r="GB3" s="1502"/>
      <c r="GC3" s="1502"/>
      <c r="GD3" s="1502"/>
      <c r="GE3" s="1502"/>
      <c r="GF3" s="1502"/>
      <c r="GG3" s="1502"/>
      <c r="GH3" s="1502"/>
      <c r="GI3" s="1502"/>
      <c r="GK3" s="1505" t="s">
        <v>925</v>
      </c>
      <c r="GL3" s="1502"/>
      <c r="GN3" s="1502"/>
      <c r="GO3" s="1502"/>
      <c r="GP3" s="1502"/>
      <c r="GQ3" s="1502"/>
      <c r="GR3" s="1502"/>
      <c r="GS3" s="1502"/>
      <c r="GT3" s="1502"/>
      <c r="GU3" s="1502"/>
      <c r="GV3" s="1502"/>
      <c r="GW3" s="1502"/>
      <c r="GX3" s="1502"/>
      <c r="GY3" s="1502"/>
      <c r="GZ3" s="1502"/>
      <c r="HA3" s="1502"/>
    </row>
    <row r="4" spans="1:213" ht="11.25" customHeight="1">
      <c r="E4" s="1505" t="s">
        <v>1153</v>
      </c>
      <c r="F4" s="1502"/>
      <c r="H4" s="1502"/>
      <c r="I4" s="1502"/>
      <c r="J4" s="1502"/>
      <c r="K4" s="1502"/>
      <c r="L4" s="1502"/>
      <c r="M4" s="1502"/>
      <c r="N4" s="1502"/>
      <c r="O4" s="1502"/>
      <c r="P4" s="1502"/>
      <c r="Q4" s="1502"/>
      <c r="R4" s="1502"/>
      <c r="S4" s="1502"/>
      <c r="T4" s="1502"/>
      <c r="U4" s="1502"/>
      <c r="V4" s="1502"/>
      <c r="X4" s="1505" t="s">
        <v>534</v>
      </c>
      <c r="Y4" s="1502"/>
      <c r="AA4" s="1502"/>
      <c r="AB4" s="1502"/>
      <c r="AC4" s="1502"/>
      <c r="AD4" s="1502"/>
      <c r="AE4" s="1502"/>
      <c r="AF4" s="1502"/>
      <c r="AG4" s="1502"/>
      <c r="AH4" s="1502"/>
      <c r="AI4" s="1502"/>
      <c r="AJ4" s="1502"/>
      <c r="AK4" s="1502"/>
      <c r="AL4" s="1502"/>
      <c r="AM4" s="1502"/>
      <c r="AN4" s="1502"/>
      <c r="AO4" s="1502"/>
      <c r="AQ4" s="1505" t="s">
        <v>534</v>
      </c>
      <c r="AR4" s="1502"/>
      <c r="AT4" s="1502"/>
      <c r="AU4" s="1502"/>
      <c r="AV4" s="1502"/>
      <c r="AW4" s="1502"/>
      <c r="AX4" s="1502"/>
      <c r="AY4" s="1502"/>
      <c r="AZ4" s="1502"/>
      <c r="BA4" s="1502"/>
      <c r="BB4" s="1502"/>
      <c r="BC4" s="1502"/>
      <c r="BD4" s="1502"/>
      <c r="BE4" s="1502"/>
      <c r="BF4" s="1502"/>
      <c r="BG4" s="1502"/>
      <c r="BH4" s="1502"/>
      <c r="BJ4" s="1505" t="s">
        <v>534</v>
      </c>
      <c r="BK4" s="1502"/>
      <c r="BM4" s="1502"/>
      <c r="BN4" s="1502"/>
      <c r="BO4" s="1502"/>
      <c r="BP4" s="1502"/>
      <c r="BQ4" s="1502"/>
      <c r="BR4" s="1502"/>
      <c r="BS4" s="1502"/>
      <c r="BT4" s="1502"/>
      <c r="BU4" s="1502"/>
      <c r="BV4" s="1502"/>
      <c r="BW4" s="1502"/>
      <c r="BX4" s="1502"/>
      <c r="BY4" s="1502"/>
      <c r="BZ4" s="1502"/>
      <c r="CA4" s="1502"/>
      <c r="CC4" s="1505" t="s">
        <v>534</v>
      </c>
      <c r="CD4" s="1502"/>
      <c r="CF4" s="1502"/>
      <c r="CG4" s="1502"/>
      <c r="CH4" s="1502"/>
      <c r="CI4" s="1502"/>
      <c r="CJ4" s="1502"/>
      <c r="CK4" s="1502"/>
      <c r="CL4" s="1502"/>
      <c r="CM4" s="1502"/>
      <c r="CN4" s="1502"/>
      <c r="CO4" s="1502"/>
      <c r="CP4" s="1502"/>
      <c r="CQ4" s="1502"/>
      <c r="CR4" s="1502"/>
      <c r="CS4" s="1502"/>
      <c r="CT4" s="1502"/>
      <c r="DO4" s="1505" t="s">
        <v>534</v>
      </c>
      <c r="DP4" s="1502"/>
      <c r="DR4" s="1502"/>
      <c r="DS4" s="1502"/>
      <c r="DT4" s="1502"/>
      <c r="DU4" s="1502"/>
      <c r="DV4" s="1502"/>
      <c r="DW4" s="1502"/>
      <c r="DX4" s="1502"/>
      <c r="DY4" s="1502"/>
      <c r="DZ4" s="1502"/>
      <c r="EA4" s="1502"/>
      <c r="EB4" s="1502"/>
      <c r="EC4" s="1502"/>
      <c r="ED4" s="1502"/>
      <c r="EE4" s="1502"/>
      <c r="EF4" s="1502"/>
      <c r="EH4" s="1505" t="s">
        <v>534</v>
      </c>
      <c r="EI4" s="1502"/>
      <c r="EK4" s="1502"/>
      <c r="EL4" s="1502"/>
      <c r="EM4" s="1502"/>
      <c r="EN4" s="1502"/>
      <c r="EO4" s="1502"/>
      <c r="EP4" s="1502"/>
      <c r="EQ4" s="1502"/>
      <c r="ER4" s="1502"/>
      <c r="ES4" s="1502"/>
      <c r="ET4" s="1502"/>
      <c r="EU4" s="1502"/>
      <c r="EV4" s="1502"/>
      <c r="EW4" s="1502"/>
      <c r="EX4" s="1502"/>
      <c r="EY4" s="1502"/>
      <c r="FA4" s="1505" t="s">
        <v>534</v>
      </c>
      <c r="FB4" s="1502"/>
      <c r="FD4" s="1502"/>
      <c r="FE4" s="1502"/>
      <c r="FF4" s="1502"/>
      <c r="FG4" s="1502"/>
      <c r="FH4" s="1502"/>
      <c r="FI4" s="1502"/>
      <c r="FJ4" s="1502"/>
      <c r="FK4" s="1502"/>
      <c r="FL4" s="1502"/>
      <c r="FM4" s="1502"/>
      <c r="FN4" s="1502"/>
      <c r="FO4" s="1502"/>
      <c r="FP4" s="1502"/>
      <c r="FQ4" s="1502"/>
      <c r="FS4" s="1505" t="s">
        <v>534</v>
      </c>
      <c r="FT4" s="1502"/>
      <c r="FV4" s="1502"/>
      <c r="FW4" s="1502"/>
      <c r="FX4" s="1502"/>
      <c r="FY4" s="1502"/>
      <c r="FZ4" s="1502"/>
      <c r="GA4" s="1502"/>
      <c r="GB4" s="1502"/>
      <c r="GC4" s="1502"/>
      <c r="GD4" s="1502"/>
      <c r="GE4" s="1502"/>
      <c r="GF4" s="1502"/>
      <c r="GG4" s="1502"/>
      <c r="GH4" s="1502"/>
      <c r="GI4" s="1502"/>
      <c r="GK4" s="1505" t="s">
        <v>534</v>
      </c>
      <c r="GL4" s="1502"/>
      <c r="GN4" s="1502"/>
      <c r="GO4" s="1502"/>
      <c r="GP4" s="1502"/>
      <c r="GQ4" s="1502"/>
      <c r="GR4" s="1502"/>
      <c r="GS4" s="1502"/>
      <c r="GT4" s="1502"/>
      <c r="GU4" s="1502"/>
      <c r="GV4" s="1502"/>
      <c r="GW4" s="1502"/>
      <c r="GX4" s="1502"/>
      <c r="GY4" s="1502"/>
      <c r="GZ4" s="1502"/>
      <c r="HA4" s="1502"/>
    </row>
    <row r="5" spans="1:213" ht="11.25" customHeight="1">
      <c r="E5" s="1502"/>
      <c r="F5" s="1502"/>
      <c r="G5" s="1502"/>
      <c r="H5" s="1502"/>
      <c r="I5" s="1503"/>
      <c r="J5" s="1503"/>
      <c r="K5" s="1503"/>
      <c r="L5" s="1503"/>
      <c r="M5" s="1503"/>
      <c r="N5" s="1503"/>
      <c r="O5" s="1502"/>
      <c r="P5" s="1502"/>
      <c r="Q5" s="1502"/>
      <c r="R5" s="1502"/>
      <c r="S5" s="1502"/>
      <c r="T5" s="1502"/>
      <c r="U5" s="1502"/>
      <c r="V5" s="1502"/>
      <c r="X5" s="1502"/>
      <c r="Y5" s="1502"/>
      <c r="Z5" s="1502"/>
      <c r="AA5" s="1502"/>
      <c r="AB5" s="1502"/>
      <c r="AC5" s="1502"/>
      <c r="AD5" s="1502"/>
      <c r="AE5" s="1502"/>
      <c r="AF5" s="1502"/>
      <c r="AG5" s="1502"/>
      <c r="AH5" s="1502"/>
      <c r="AI5" s="1502"/>
      <c r="AJ5" s="1502"/>
      <c r="AK5" s="1502"/>
      <c r="AL5" s="1502"/>
      <c r="AM5" s="1502"/>
      <c r="AN5" s="1502"/>
      <c r="AO5" s="1502"/>
      <c r="AQ5" s="1502"/>
      <c r="AR5" s="1502"/>
      <c r="AS5" s="1502"/>
      <c r="AT5" s="1502"/>
      <c r="AU5" s="1502"/>
      <c r="AV5" s="1502"/>
      <c r="AW5" s="1502"/>
      <c r="AX5" s="1502"/>
      <c r="AY5" s="1502"/>
      <c r="AZ5" s="1502"/>
      <c r="BA5" s="1502"/>
      <c r="BB5" s="1502"/>
      <c r="BC5" s="1502"/>
      <c r="BD5" s="1502"/>
      <c r="BE5" s="1502"/>
      <c r="BF5" s="1502"/>
      <c r="BG5" s="1502"/>
      <c r="BH5" s="1502"/>
      <c r="BJ5" s="1502"/>
      <c r="BK5" s="1502"/>
      <c r="BL5" s="1502"/>
      <c r="BM5" s="1502"/>
      <c r="BN5" s="1502"/>
      <c r="BO5" s="1502"/>
      <c r="BP5" s="1502"/>
      <c r="BQ5" s="1502"/>
      <c r="BR5" s="1502"/>
      <c r="BS5" s="1502"/>
      <c r="BT5" s="1502"/>
      <c r="BU5" s="1502"/>
      <c r="BV5" s="1502"/>
      <c r="BW5" s="1502"/>
      <c r="BX5" s="1502"/>
      <c r="BY5" s="1502"/>
      <c r="BZ5" s="1502"/>
      <c r="CA5" s="1502"/>
      <c r="CC5" s="1502"/>
      <c r="CD5" s="1502"/>
      <c r="CE5" s="1502"/>
      <c r="CF5" s="1502"/>
      <c r="CG5" s="1502"/>
      <c r="CH5" s="1502"/>
      <c r="CI5" s="1502"/>
      <c r="CJ5" s="1502"/>
      <c r="CK5" s="1502"/>
      <c r="CL5" s="1502"/>
      <c r="CM5" s="1502"/>
      <c r="CN5" s="1502"/>
      <c r="CO5" s="1502"/>
      <c r="CP5" s="1502"/>
      <c r="CQ5" s="1502"/>
      <c r="CR5" s="1502"/>
      <c r="CS5" s="1502"/>
      <c r="CT5" s="1502"/>
      <c r="DO5" s="1502"/>
      <c r="DP5" s="1502"/>
      <c r="DQ5" s="1502"/>
      <c r="DR5" s="1502"/>
      <c r="DS5" s="1502"/>
      <c r="DT5" s="1502"/>
      <c r="DU5" s="1502"/>
      <c r="DV5" s="1502"/>
      <c r="DW5" s="1502"/>
      <c r="DX5" s="1502"/>
      <c r="DY5" s="1502"/>
      <c r="DZ5" s="1502"/>
      <c r="EA5" s="1502"/>
      <c r="EB5" s="1502"/>
      <c r="EC5" s="1502"/>
      <c r="ED5" s="1502"/>
      <c r="EE5" s="1502"/>
      <c r="EF5" s="1502"/>
      <c r="EH5" s="1502"/>
      <c r="EI5" s="1502"/>
      <c r="EJ5" s="1502"/>
      <c r="EK5" s="1502"/>
      <c r="EL5" s="1502"/>
      <c r="EM5" s="1502"/>
      <c r="EN5" s="1502"/>
      <c r="EO5" s="1502"/>
      <c r="EP5" s="1502"/>
      <c r="EQ5" s="1502"/>
      <c r="ER5" s="1502"/>
      <c r="ES5" s="1502"/>
      <c r="ET5" s="1502"/>
      <c r="EU5" s="1502"/>
      <c r="EV5" s="1502"/>
      <c r="EW5" s="1502"/>
      <c r="EX5" s="1502"/>
      <c r="EY5" s="1502"/>
      <c r="FA5" s="1502"/>
      <c r="FB5" s="1502"/>
      <c r="FC5" s="1502"/>
      <c r="FD5" s="1502"/>
      <c r="FE5" s="1502"/>
      <c r="FF5" s="1502"/>
      <c r="FG5" s="1502"/>
      <c r="FH5" s="1502"/>
      <c r="FI5" s="1502"/>
      <c r="FJ5" s="1502"/>
      <c r="FK5" s="1502"/>
      <c r="FL5" s="1502"/>
      <c r="FM5" s="1502"/>
      <c r="FN5" s="1502"/>
      <c r="FO5" s="1502"/>
      <c r="FP5" s="1502"/>
      <c r="FQ5" s="1502"/>
      <c r="FS5" s="1502"/>
      <c r="FT5" s="1502"/>
      <c r="FU5" s="1502"/>
      <c r="FV5" s="1502"/>
      <c r="FW5" s="1502"/>
      <c r="FX5" s="1502"/>
      <c r="FY5" s="1502"/>
      <c r="FZ5" s="1502"/>
      <c r="GA5" s="1502"/>
      <c r="GB5" s="1502"/>
      <c r="GC5" s="1502"/>
      <c r="GD5" s="1502"/>
      <c r="GE5" s="1502"/>
      <c r="GF5" s="1502"/>
      <c r="GG5" s="1502"/>
      <c r="GH5" s="1502"/>
      <c r="GI5" s="1502"/>
      <c r="GK5" s="1502"/>
      <c r="GL5" s="1502"/>
      <c r="GM5" s="1502"/>
      <c r="GN5" s="1502"/>
      <c r="GO5" s="1502"/>
      <c r="GP5" s="1502"/>
      <c r="GQ5" s="1502"/>
      <c r="GR5" s="1502"/>
      <c r="GS5" s="1502"/>
      <c r="GT5" s="1502"/>
      <c r="GU5" s="1502"/>
      <c r="GV5" s="1502"/>
      <c r="GW5" s="1502"/>
      <c r="GX5" s="1502"/>
      <c r="GY5" s="1502"/>
      <c r="GZ5" s="1502"/>
      <c r="HA5" s="1502"/>
    </row>
    <row r="6" spans="1:213" s="767" customFormat="1" outlineLevel="1">
      <c r="A6" s="1503"/>
      <c r="B6" s="1503"/>
      <c r="C6" s="1503"/>
      <c r="D6" s="1508" t="s">
        <v>1154</v>
      </c>
      <c r="E6" s="1503" t="s">
        <v>1155</v>
      </c>
      <c r="F6" s="1503" t="str">
        <f>+$E$6</f>
        <v>TR.EVtoEBITDAMean</v>
      </c>
      <c r="G6" s="1503" t="str">
        <f t="shared" ref="G6:V6" si="0">+$E$6</f>
        <v>TR.EVtoEBITDAMean</v>
      </c>
      <c r="H6" s="1503" t="str">
        <f t="shared" si="0"/>
        <v>TR.EVtoEBITDAMean</v>
      </c>
      <c r="I6" s="1503" t="str">
        <f t="shared" si="0"/>
        <v>TR.EVtoEBITDAMean</v>
      </c>
      <c r="J6" s="1503" t="str">
        <f t="shared" si="0"/>
        <v>TR.EVtoEBITDAMean</v>
      </c>
      <c r="K6" s="1503" t="str">
        <f t="shared" si="0"/>
        <v>TR.EVtoEBITDAMean</v>
      </c>
      <c r="L6" s="1503" t="str">
        <f t="shared" si="0"/>
        <v>TR.EVtoEBITDAMean</v>
      </c>
      <c r="M6" s="1503" t="str">
        <f t="shared" si="0"/>
        <v>TR.EVtoEBITDAMean</v>
      </c>
      <c r="N6" s="1503" t="str">
        <f t="shared" si="0"/>
        <v>TR.EVtoEBITDAMean</v>
      </c>
      <c r="O6" s="1503" t="str">
        <f t="shared" si="0"/>
        <v>TR.EVtoEBITDAMean</v>
      </c>
      <c r="P6" s="1503" t="str">
        <f t="shared" si="0"/>
        <v>TR.EVtoEBITDAMean</v>
      </c>
      <c r="Q6" s="1503" t="str">
        <f t="shared" si="0"/>
        <v>TR.EVtoEBITDAMean</v>
      </c>
      <c r="R6" s="1503" t="str">
        <f t="shared" si="0"/>
        <v>TR.EVtoEBITDAMean</v>
      </c>
      <c r="S6" s="1503" t="str">
        <f t="shared" si="0"/>
        <v>TR.EVtoEBITDAMean</v>
      </c>
      <c r="T6" s="1503" t="str">
        <f t="shared" si="0"/>
        <v>TR.EVtoEBITDAMean</v>
      </c>
      <c r="U6" s="1503" t="str">
        <f t="shared" si="0"/>
        <v>TR.EVtoEBITDAMean</v>
      </c>
      <c r="V6" s="1503" t="str">
        <f t="shared" si="0"/>
        <v>TR.EVtoEBITDAMean</v>
      </c>
      <c r="X6" s="1503" t="s">
        <v>1155</v>
      </c>
      <c r="Y6" s="1503" t="str">
        <f>+$E$6</f>
        <v>TR.EVtoEBITDAMean</v>
      </c>
      <c r="Z6" s="1503" t="str">
        <f t="shared" ref="Z6:AO6" si="1">+$E$6</f>
        <v>TR.EVtoEBITDAMean</v>
      </c>
      <c r="AA6" s="1503" t="str">
        <f t="shared" si="1"/>
        <v>TR.EVtoEBITDAMean</v>
      </c>
      <c r="AB6" s="1503" t="str">
        <f t="shared" si="1"/>
        <v>TR.EVtoEBITDAMean</v>
      </c>
      <c r="AC6" s="1503" t="str">
        <f t="shared" si="1"/>
        <v>TR.EVtoEBITDAMean</v>
      </c>
      <c r="AD6" s="1503" t="str">
        <f t="shared" si="1"/>
        <v>TR.EVtoEBITDAMean</v>
      </c>
      <c r="AE6" s="1503" t="str">
        <f t="shared" si="1"/>
        <v>TR.EVtoEBITDAMean</v>
      </c>
      <c r="AF6" s="1503" t="str">
        <f t="shared" si="1"/>
        <v>TR.EVtoEBITDAMean</v>
      </c>
      <c r="AG6" s="1503" t="str">
        <f t="shared" si="1"/>
        <v>TR.EVtoEBITDAMean</v>
      </c>
      <c r="AH6" s="1503" t="str">
        <f t="shared" si="1"/>
        <v>TR.EVtoEBITDAMean</v>
      </c>
      <c r="AI6" s="1503" t="str">
        <f t="shared" si="1"/>
        <v>TR.EVtoEBITDAMean</v>
      </c>
      <c r="AJ6" s="1503" t="str">
        <f t="shared" si="1"/>
        <v>TR.EVtoEBITDAMean</v>
      </c>
      <c r="AK6" s="1503" t="str">
        <f t="shared" si="1"/>
        <v>TR.EVtoEBITDAMean</v>
      </c>
      <c r="AL6" s="1503" t="str">
        <f t="shared" si="1"/>
        <v>TR.EVtoEBITDAMean</v>
      </c>
      <c r="AM6" s="1503" t="str">
        <f t="shared" si="1"/>
        <v>TR.EVtoEBITDAMean</v>
      </c>
      <c r="AN6" s="1503" t="str">
        <f t="shared" si="1"/>
        <v>TR.EVtoEBITDAMean</v>
      </c>
      <c r="AO6" s="1503" t="str">
        <f t="shared" si="1"/>
        <v>TR.EVtoEBITDAMean</v>
      </c>
      <c r="AQ6" s="1503" t="s">
        <v>1394</v>
      </c>
      <c r="AR6" s="1503" t="s">
        <v>1394</v>
      </c>
      <c r="AS6" s="1503" t="s">
        <v>1394</v>
      </c>
      <c r="AT6" s="1503" t="s">
        <v>1394</v>
      </c>
      <c r="AU6" s="1503" t="s">
        <v>1394</v>
      </c>
      <c r="AV6" s="1503" t="s">
        <v>1394</v>
      </c>
      <c r="AW6" s="1503" t="s">
        <v>1394</v>
      </c>
      <c r="AX6" s="1503" t="s">
        <v>1394</v>
      </c>
      <c r="AY6" s="1503" t="s">
        <v>1394</v>
      </c>
      <c r="AZ6" s="1503" t="s">
        <v>1394</v>
      </c>
      <c r="BA6" s="1503" t="s">
        <v>1394</v>
      </c>
      <c r="BB6" s="1503" t="s">
        <v>1394</v>
      </c>
      <c r="BC6" s="1503" t="s">
        <v>1394</v>
      </c>
      <c r="BD6" s="1503" t="s">
        <v>1394</v>
      </c>
      <c r="BE6" s="1503" t="s">
        <v>1394</v>
      </c>
      <c r="BF6" s="1503" t="s">
        <v>1394</v>
      </c>
      <c r="BG6" s="1503" t="s">
        <v>1394</v>
      </c>
      <c r="BH6" s="1503" t="s">
        <v>1394</v>
      </c>
      <c r="BJ6" s="1503" t="s">
        <v>1527</v>
      </c>
      <c r="BK6" s="1503" t="s">
        <v>1527</v>
      </c>
      <c r="BL6" s="1503" t="s">
        <v>1527</v>
      </c>
      <c r="BM6" s="1503" t="s">
        <v>1527</v>
      </c>
      <c r="BN6" s="1503" t="s">
        <v>1527</v>
      </c>
      <c r="BO6" s="1503" t="s">
        <v>1527</v>
      </c>
      <c r="BP6" s="1503" t="s">
        <v>1527</v>
      </c>
      <c r="BQ6" s="1503" t="s">
        <v>1527</v>
      </c>
      <c r="BR6" s="1503" t="s">
        <v>1527</v>
      </c>
      <c r="BS6" s="1503" t="s">
        <v>1527</v>
      </c>
      <c r="BT6" s="1503" t="s">
        <v>1527</v>
      </c>
      <c r="BU6" s="1503" t="s">
        <v>1527</v>
      </c>
      <c r="BV6" s="1503" t="s">
        <v>1527</v>
      </c>
      <c r="BW6" s="1503" t="s">
        <v>1527</v>
      </c>
      <c r="BX6" s="1503" t="s">
        <v>1527</v>
      </c>
      <c r="BY6" s="1503" t="s">
        <v>1527</v>
      </c>
      <c r="BZ6" s="1503" t="s">
        <v>1527</v>
      </c>
      <c r="CA6" s="1503" t="s">
        <v>1527</v>
      </c>
      <c r="CC6" s="1503" t="s">
        <v>1528</v>
      </c>
      <c r="CD6" s="1503" t="s">
        <v>1528</v>
      </c>
      <c r="CE6" s="1503" t="s">
        <v>1528</v>
      </c>
      <c r="CF6" s="1503" t="s">
        <v>1528</v>
      </c>
      <c r="CG6" s="1503" t="s">
        <v>1528</v>
      </c>
      <c r="CH6" s="1503" t="s">
        <v>1528</v>
      </c>
      <c r="CI6" s="1503" t="s">
        <v>1528</v>
      </c>
      <c r="CJ6" s="1503" t="s">
        <v>1528</v>
      </c>
      <c r="CK6" s="1503" t="s">
        <v>1528</v>
      </c>
      <c r="CL6" s="1503" t="s">
        <v>1528</v>
      </c>
      <c r="CM6" s="1503" t="s">
        <v>1528</v>
      </c>
      <c r="CN6" s="1503" t="s">
        <v>1528</v>
      </c>
      <c r="CO6" s="1503" t="s">
        <v>1528</v>
      </c>
      <c r="CP6" s="1503" t="s">
        <v>1528</v>
      </c>
      <c r="CQ6" s="1503" t="s">
        <v>1528</v>
      </c>
      <c r="CR6" s="1503" t="s">
        <v>1528</v>
      </c>
      <c r="CS6" s="1503" t="s">
        <v>1528</v>
      </c>
      <c r="CT6" s="1503" t="s">
        <v>1528</v>
      </c>
      <c r="CV6" s="1502" t="s">
        <v>1727</v>
      </c>
      <c r="CW6" s="1502" t="s">
        <v>1727</v>
      </c>
      <c r="CX6" s="1502" t="s">
        <v>1727</v>
      </c>
      <c r="CY6" s="1502" t="s">
        <v>1727</v>
      </c>
      <c r="CZ6" s="1502" t="s">
        <v>1727</v>
      </c>
      <c r="DA6" s="1502" t="s">
        <v>1727</v>
      </c>
      <c r="DB6" s="1502" t="s">
        <v>1727</v>
      </c>
      <c r="DC6" s="1502" t="s">
        <v>1727</v>
      </c>
      <c r="DD6" s="1502" t="s">
        <v>1727</v>
      </c>
      <c r="DE6" s="1502" t="s">
        <v>1727</v>
      </c>
      <c r="DF6" s="1502" t="s">
        <v>1727</v>
      </c>
      <c r="DG6" s="1502" t="s">
        <v>1727</v>
      </c>
      <c r="DH6" s="1502" t="s">
        <v>1727</v>
      </c>
      <c r="DI6" s="1502" t="s">
        <v>1727</v>
      </c>
      <c r="DJ6" s="1502" t="s">
        <v>1727</v>
      </c>
      <c r="DK6" s="1502" t="s">
        <v>1727</v>
      </c>
      <c r="DL6" s="1502" t="s">
        <v>1727</v>
      </c>
      <c r="DM6" s="1502" t="s">
        <v>1727</v>
      </c>
      <c r="DO6" s="1503" t="s">
        <v>1418</v>
      </c>
      <c r="DP6" s="1503" t="s">
        <v>1418</v>
      </c>
      <c r="DQ6" s="1503" t="s">
        <v>1418</v>
      </c>
      <c r="DR6" s="1503" t="s">
        <v>1418</v>
      </c>
      <c r="DS6" s="1503" t="s">
        <v>1418</v>
      </c>
      <c r="DT6" s="1503" t="s">
        <v>1418</v>
      </c>
      <c r="DU6" s="1503" t="s">
        <v>1418</v>
      </c>
      <c r="DV6" s="1503" t="s">
        <v>1418</v>
      </c>
      <c r="DW6" s="1503" t="s">
        <v>1418</v>
      </c>
      <c r="DX6" s="1503" t="s">
        <v>1418</v>
      </c>
      <c r="DY6" s="1503" t="s">
        <v>1418</v>
      </c>
      <c r="DZ6" s="1503" t="s">
        <v>1418</v>
      </c>
      <c r="EA6" s="1503" t="s">
        <v>1418</v>
      </c>
      <c r="EB6" s="1503" t="s">
        <v>1418</v>
      </c>
      <c r="EC6" s="1503" t="s">
        <v>1418</v>
      </c>
      <c r="ED6" s="1503" t="s">
        <v>1418</v>
      </c>
      <c r="EE6" s="1503" t="s">
        <v>1418</v>
      </c>
      <c r="EF6" s="1503" t="s">
        <v>1418</v>
      </c>
      <c r="EG6" s="1502"/>
      <c r="EH6" s="1503" t="s">
        <v>1593</v>
      </c>
      <c r="EI6" s="1503" t="s">
        <v>1593</v>
      </c>
      <c r="EJ6" s="1503" t="s">
        <v>1593</v>
      </c>
      <c r="EK6" s="1503" t="s">
        <v>1593</v>
      </c>
      <c r="EL6" s="1503" t="s">
        <v>1593</v>
      </c>
      <c r="EM6" s="1503" t="s">
        <v>1593</v>
      </c>
      <c r="EN6" s="1503" t="s">
        <v>1593</v>
      </c>
      <c r="EO6" s="1503" t="s">
        <v>1593</v>
      </c>
      <c r="EP6" s="1503" t="s">
        <v>1593</v>
      </c>
      <c r="EQ6" s="1503" t="s">
        <v>1593</v>
      </c>
      <c r="ER6" s="1503" t="s">
        <v>1593</v>
      </c>
      <c r="ES6" s="1503" t="s">
        <v>1593</v>
      </c>
      <c r="ET6" s="1503" t="s">
        <v>1593</v>
      </c>
      <c r="EU6" s="1503" t="s">
        <v>1593</v>
      </c>
      <c r="EV6" s="1503" t="s">
        <v>1593</v>
      </c>
      <c r="EW6" s="1503" t="s">
        <v>1593</v>
      </c>
      <c r="EX6" s="1503" t="s">
        <v>1593</v>
      </c>
      <c r="EY6" s="1503" t="s">
        <v>1593</v>
      </c>
      <c r="FA6" s="1503" t="s">
        <v>1807</v>
      </c>
      <c r="FB6" s="1503" t="s">
        <v>1807</v>
      </c>
      <c r="FC6" s="1503" t="s">
        <v>1807</v>
      </c>
      <c r="FD6" s="1503" t="s">
        <v>1807</v>
      </c>
      <c r="FE6" s="1503" t="s">
        <v>1807</v>
      </c>
      <c r="FF6" s="1503" t="s">
        <v>1807</v>
      </c>
      <c r="FG6" s="1503" t="s">
        <v>1807</v>
      </c>
      <c r="FH6" s="1503" t="s">
        <v>1807</v>
      </c>
      <c r="FI6" s="1503" t="s">
        <v>1807</v>
      </c>
      <c r="FJ6" s="1503" t="s">
        <v>1807</v>
      </c>
      <c r="FK6" s="1503" t="s">
        <v>1807</v>
      </c>
      <c r="FL6" s="1503" t="s">
        <v>1807</v>
      </c>
      <c r="FM6" s="1503" t="s">
        <v>1807</v>
      </c>
      <c r="FN6" s="1503" t="s">
        <v>1807</v>
      </c>
      <c r="FO6" s="1503" t="s">
        <v>1807</v>
      </c>
      <c r="FP6" s="1503" t="s">
        <v>1807</v>
      </c>
      <c r="FQ6" s="1503" t="s">
        <v>1807</v>
      </c>
      <c r="FS6" s="1503" t="s">
        <v>1808</v>
      </c>
      <c r="FT6" s="1503" t="s">
        <v>1808</v>
      </c>
      <c r="FU6" s="1503" t="s">
        <v>1808</v>
      </c>
      <c r="FV6" s="1503" t="s">
        <v>1808</v>
      </c>
      <c r="FW6" s="1503" t="s">
        <v>1808</v>
      </c>
      <c r="FX6" s="1503" t="s">
        <v>1808</v>
      </c>
      <c r="FY6" s="1503" t="s">
        <v>1808</v>
      </c>
      <c r="FZ6" s="1503" t="s">
        <v>1808</v>
      </c>
      <c r="GA6" s="1503" t="s">
        <v>1808</v>
      </c>
      <c r="GB6" s="1503" t="s">
        <v>1808</v>
      </c>
      <c r="GC6" s="1503" t="s">
        <v>1808</v>
      </c>
      <c r="GD6" s="1503" t="s">
        <v>1808</v>
      </c>
      <c r="GE6" s="1503" t="s">
        <v>1808</v>
      </c>
      <c r="GF6" s="1503" t="s">
        <v>1808</v>
      </c>
      <c r="GG6" s="1503" t="s">
        <v>1808</v>
      </c>
      <c r="GH6" s="1503" t="s">
        <v>1808</v>
      </c>
      <c r="GI6" s="1503" t="s">
        <v>1808</v>
      </c>
      <c r="GK6" s="1503" t="s">
        <v>1810</v>
      </c>
      <c r="GL6" s="1503" t="s">
        <v>1810</v>
      </c>
      <c r="GM6" s="1503" t="s">
        <v>1810</v>
      </c>
      <c r="GN6" s="1503" t="s">
        <v>1810</v>
      </c>
      <c r="GO6" s="1503" t="s">
        <v>1810</v>
      </c>
      <c r="GP6" s="1503" t="s">
        <v>1810</v>
      </c>
      <c r="GQ6" s="1503" t="s">
        <v>1810</v>
      </c>
      <c r="GR6" s="1503" t="s">
        <v>1810</v>
      </c>
      <c r="GS6" s="1503" t="s">
        <v>1810</v>
      </c>
      <c r="GT6" s="1503" t="s">
        <v>1810</v>
      </c>
      <c r="GU6" s="1503" t="s">
        <v>1810</v>
      </c>
      <c r="GV6" s="1503" t="s">
        <v>1810</v>
      </c>
      <c r="GW6" s="1503" t="s">
        <v>1810</v>
      </c>
      <c r="GX6" s="1503" t="s">
        <v>1810</v>
      </c>
      <c r="GY6" s="1503" t="s">
        <v>1810</v>
      </c>
      <c r="GZ6" s="1503" t="s">
        <v>1810</v>
      </c>
      <c r="HA6" s="1503" t="s">
        <v>1810</v>
      </c>
    </row>
    <row r="7" spans="1:213" s="767" customFormat="1" outlineLevel="1">
      <c r="A7" s="1503"/>
      <c r="B7" s="1503"/>
      <c r="C7" s="1503"/>
      <c r="D7" s="1508" t="s">
        <v>623</v>
      </c>
      <c r="E7" s="1519" t="s">
        <v>637</v>
      </c>
      <c r="F7" s="1519" t="s">
        <v>1194</v>
      </c>
      <c r="G7" s="1519" t="s">
        <v>1197</v>
      </c>
      <c r="H7" s="1519" t="s">
        <v>1156</v>
      </c>
      <c r="I7" s="1519" t="s">
        <v>1157</v>
      </c>
      <c r="J7" s="1519" t="s">
        <v>1364</v>
      </c>
      <c r="K7" s="1519" t="s">
        <v>1196</v>
      </c>
      <c r="L7" s="1519" t="s">
        <v>1195</v>
      </c>
      <c r="M7" s="1519" t="s">
        <v>1509</v>
      </c>
      <c r="N7" s="1519" t="s">
        <v>1510</v>
      </c>
      <c r="O7" s="1519" t="s">
        <v>1511</v>
      </c>
      <c r="P7" s="1519" t="s">
        <v>1363</v>
      </c>
      <c r="Q7" s="1519" t="s">
        <v>1362</v>
      </c>
      <c r="R7" s="1519" t="s">
        <v>1512</v>
      </c>
      <c r="S7" s="1519" t="s">
        <v>1513</v>
      </c>
      <c r="T7" s="1519" t="s">
        <v>1514</v>
      </c>
      <c r="U7" s="1520"/>
      <c r="V7" s="1520"/>
      <c r="X7" s="1503" t="str">
        <f>E7</f>
        <v>EMN</v>
      </c>
      <c r="Y7" s="1503" t="str">
        <f t="shared" ref="Y7:AO7" si="2">F7</f>
        <v>CE.N</v>
      </c>
      <c r="Z7" s="1503" t="str">
        <f t="shared" si="2"/>
        <v>BASFn.DE</v>
      </c>
      <c r="AA7" s="1503" t="str">
        <f t="shared" si="2"/>
        <v>DOW</v>
      </c>
      <c r="AB7" s="1503" t="str">
        <f t="shared" si="2"/>
        <v>LYB</v>
      </c>
      <c r="AC7" s="1503" t="str">
        <f t="shared" si="2"/>
        <v>OLN</v>
      </c>
      <c r="AD7" s="1503" t="str">
        <f t="shared" si="2"/>
        <v>EVKn.DE</v>
      </c>
      <c r="AE7" s="1503" t="str">
        <f t="shared" si="2"/>
        <v>HUN.N</v>
      </c>
      <c r="AF7" s="1503" t="str">
        <f t="shared" si="2"/>
        <v>MMM</v>
      </c>
      <c r="AG7" s="1503" t="str">
        <f t="shared" si="2"/>
        <v>ALB</v>
      </c>
      <c r="AH7" s="1503" t="str">
        <f t="shared" si="2"/>
        <v>ASH</v>
      </c>
      <c r="AI7" s="1503" t="str">
        <f t="shared" si="2"/>
        <v>AVNT.K</v>
      </c>
      <c r="AJ7" s="1503" t="str">
        <f t="shared" si="2"/>
        <v>DD</v>
      </c>
      <c r="AK7" s="1503" t="str">
        <f t="shared" si="2"/>
        <v>FMC</v>
      </c>
      <c r="AL7" s="1503" t="str">
        <f t="shared" si="2"/>
        <v>PPG</v>
      </c>
      <c r="AM7" s="1503" t="str">
        <f t="shared" si="2"/>
        <v>SOLB.BR</v>
      </c>
      <c r="AN7" s="1503">
        <f t="shared" si="2"/>
        <v>0</v>
      </c>
      <c r="AO7" s="1503">
        <f t="shared" si="2"/>
        <v>0</v>
      </c>
      <c r="AQ7" s="1503" t="str">
        <f t="shared" ref="AQ7:BH7" si="3">X7</f>
        <v>EMN</v>
      </c>
      <c r="AR7" s="1503" t="str">
        <f t="shared" si="3"/>
        <v>CE.N</v>
      </c>
      <c r="AS7" s="1503" t="str">
        <f t="shared" si="3"/>
        <v>BASFn.DE</v>
      </c>
      <c r="AT7" s="1503" t="str">
        <f t="shared" si="3"/>
        <v>DOW</v>
      </c>
      <c r="AU7" s="1503" t="str">
        <f t="shared" si="3"/>
        <v>LYB</v>
      </c>
      <c r="AV7" s="1503" t="str">
        <f t="shared" si="3"/>
        <v>OLN</v>
      </c>
      <c r="AW7" s="1503" t="str">
        <f t="shared" si="3"/>
        <v>EVKn.DE</v>
      </c>
      <c r="AX7" s="1503" t="str">
        <f t="shared" si="3"/>
        <v>HUN.N</v>
      </c>
      <c r="AY7" s="1503" t="str">
        <f t="shared" si="3"/>
        <v>MMM</v>
      </c>
      <c r="AZ7" s="1503" t="str">
        <f t="shared" si="3"/>
        <v>ALB</v>
      </c>
      <c r="BA7" s="1503" t="str">
        <f t="shared" si="3"/>
        <v>ASH</v>
      </c>
      <c r="BB7" s="1503" t="str">
        <f t="shared" si="3"/>
        <v>AVNT.K</v>
      </c>
      <c r="BC7" s="1503" t="str">
        <f t="shared" si="3"/>
        <v>DD</v>
      </c>
      <c r="BD7" s="1503" t="str">
        <f t="shared" si="3"/>
        <v>FMC</v>
      </c>
      <c r="BE7" s="1503" t="str">
        <f t="shared" si="3"/>
        <v>PPG</v>
      </c>
      <c r="BF7" s="1503" t="str">
        <f t="shared" si="3"/>
        <v>SOLB.BR</v>
      </c>
      <c r="BG7" s="1503">
        <f t="shared" si="3"/>
        <v>0</v>
      </c>
      <c r="BH7" s="1503">
        <f t="shared" si="3"/>
        <v>0</v>
      </c>
      <c r="BJ7" s="1503" t="str">
        <f t="shared" ref="BJ7:CA7" si="4">AQ7</f>
        <v>EMN</v>
      </c>
      <c r="BK7" s="1503" t="str">
        <f t="shared" si="4"/>
        <v>CE.N</v>
      </c>
      <c r="BL7" s="1503" t="str">
        <f t="shared" si="4"/>
        <v>BASFn.DE</v>
      </c>
      <c r="BM7" s="1503" t="str">
        <f t="shared" si="4"/>
        <v>DOW</v>
      </c>
      <c r="BN7" s="1503" t="str">
        <f t="shared" si="4"/>
        <v>LYB</v>
      </c>
      <c r="BO7" s="1503" t="str">
        <f t="shared" si="4"/>
        <v>OLN</v>
      </c>
      <c r="BP7" s="1503" t="str">
        <f t="shared" si="4"/>
        <v>EVKn.DE</v>
      </c>
      <c r="BQ7" s="1503" t="str">
        <f t="shared" si="4"/>
        <v>HUN.N</v>
      </c>
      <c r="BR7" s="1503" t="str">
        <f t="shared" si="4"/>
        <v>MMM</v>
      </c>
      <c r="BS7" s="1503" t="str">
        <f t="shared" si="4"/>
        <v>ALB</v>
      </c>
      <c r="BT7" s="1503" t="str">
        <f t="shared" si="4"/>
        <v>ASH</v>
      </c>
      <c r="BU7" s="1503" t="str">
        <f t="shared" si="4"/>
        <v>AVNT.K</v>
      </c>
      <c r="BV7" s="1503" t="str">
        <f t="shared" si="4"/>
        <v>DD</v>
      </c>
      <c r="BW7" s="1503" t="str">
        <f t="shared" si="4"/>
        <v>FMC</v>
      </c>
      <c r="BX7" s="1503" t="str">
        <f t="shared" si="4"/>
        <v>PPG</v>
      </c>
      <c r="BY7" s="1503" t="str">
        <f t="shared" si="4"/>
        <v>SOLB.BR</v>
      </c>
      <c r="BZ7" s="1503">
        <f t="shared" si="4"/>
        <v>0</v>
      </c>
      <c r="CA7" s="1503">
        <f t="shared" si="4"/>
        <v>0</v>
      </c>
      <c r="CB7" s="1503"/>
      <c r="CC7" s="1509" t="str">
        <f t="shared" ref="CC7:CT7" si="5">BJ7</f>
        <v>EMN</v>
      </c>
      <c r="CD7" s="1509" t="str">
        <f t="shared" si="5"/>
        <v>CE.N</v>
      </c>
      <c r="CE7" s="1509" t="str">
        <f t="shared" si="5"/>
        <v>BASFn.DE</v>
      </c>
      <c r="CF7" s="1509" t="str">
        <f t="shared" si="5"/>
        <v>DOW</v>
      </c>
      <c r="CG7" s="1509" t="str">
        <f t="shared" si="5"/>
        <v>LYB</v>
      </c>
      <c r="CH7" s="1509" t="str">
        <f t="shared" si="5"/>
        <v>OLN</v>
      </c>
      <c r="CI7" s="1509" t="str">
        <f t="shared" si="5"/>
        <v>EVKn.DE</v>
      </c>
      <c r="CJ7" s="1509" t="str">
        <f t="shared" si="5"/>
        <v>HUN.N</v>
      </c>
      <c r="CK7" s="1509" t="str">
        <f t="shared" si="5"/>
        <v>MMM</v>
      </c>
      <c r="CL7" s="1509" t="str">
        <f t="shared" si="5"/>
        <v>ALB</v>
      </c>
      <c r="CM7" s="1509" t="str">
        <f t="shared" si="5"/>
        <v>ASH</v>
      </c>
      <c r="CN7" s="1509" t="str">
        <f t="shared" si="5"/>
        <v>AVNT.K</v>
      </c>
      <c r="CO7" s="1509" t="str">
        <f t="shared" si="5"/>
        <v>DD</v>
      </c>
      <c r="CP7" s="1509" t="str">
        <f t="shared" si="5"/>
        <v>FMC</v>
      </c>
      <c r="CQ7" s="1509" t="str">
        <f t="shared" si="5"/>
        <v>PPG</v>
      </c>
      <c r="CR7" s="1509" t="str">
        <f t="shared" si="5"/>
        <v>SOLB.BR</v>
      </c>
      <c r="CS7" s="1509">
        <f t="shared" si="5"/>
        <v>0</v>
      </c>
      <c r="CT7" s="1509">
        <f t="shared" si="5"/>
        <v>0</v>
      </c>
      <c r="CV7" s="1509" t="str">
        <f t="shared" ref="CV7:DM7" si="6">CC7</f>
        <v>EMN</v>
      </c>
      <c r="CW7" s="1509" t="str">
        <f t="shared" si="6"/>
        <v>CE.N</v>
      </c>
      <c r="CX7" s="1509" t="str">
        <f t="shared" si="6"/>
        <v>BASFn.DE</v>
      </c>
      <c r="CY7" s="1509" t="str">
        <f t="shared" si="6"/>
        <v>DOW</v>
      </c>
      <c r="CZ7" s="1509" t="str">
        <f t="shared" si="6"/>
        <v>LYB</v>
      </c>
      <c r="DA7" s="1509" t="str">
        <f t="shared" si="6"/>
        <v>OLN</v>
      </c>
      <c r="DB7" s="1509" t="str">
        <f t="shared" si="6"/>
        <v>EVKn.DE</v>
      </c>
      <c r="DC7" s="1509" t="str">
        <f t="shared" si="6"/>
        <v>HUN.N</v>
      </c>
      <c r="DD7" s="1509" t="str">
        <f t="shared" si="6"/>
        <v>MMM</v>
      </c>
      <c r="DE7" s="1509" t="str">
        <f t="shared" si="6"/>
        <v>ALB</v>
      </c>
      <c r="DF7" s="1509" t="str">
        <f t="shared" si="6"/>
        <v>ASH</v>
      </c>
      <c r="DG7" s="1509" t="str">
        <f t="shared" si="6"/>
        <v>AVNT.K</v>
      </c>
      <c r="DH7" s="1509" t="str">
        <f t="shared" si="6"/>
        <v>DD</v>
      </c>
      <c r="DI7" s="1509" t="str">
        <f t="shared" si="6"/>
        <v>FMC</v>
      </c>
      <c r="DJ7" s="1509" t="str">
        <f t="shared" si="6"/>
        <v>PPG</v>
      </c>
      <c r="DK7" s="1509" t="str">
        <f t="shared" si="6"/>
        <v>SOLB.BR</v>
      </c>
      <c r="DL7" s="1509">
        <f t="shared" si="6"/>
        <v>0</v>
      </c>
      <c r="DM7" s="1509">
        <f t="shared" si="6"/>
        <v>0</v>
      </c>
      <c r="DO7" s="1503" t="str">
        <f t="shared" ref="DO7:EF7" si="7">CV7</f>
        <v>EMN</v>
      </c>
      <c r="DP7" s="1503" t="str">
        <f t="shared" si="7"/>
        <v>CE.N</v>
      </c>
      <c r="DQ7" s="1503" t="str">
        <f t="shared" si="7"/>
        <v>BASFn.DE</v>
      </c>
      <c r="DR7" s="1503" t="str">
        <f t="shared" si="7"/>
        <v>DOW</v>
      </c>
      <c r="DS7" s="1503" t="str">
        <f t="shared" si="7"/>
        <v>LYB</v>
      </c>
      <c r="DT7" s="1503" t="str">
        <f t="shared" si="7"/>
        <v>OLN</v>
      </c>
      <c r="DU7" s="1503" t="str">
        <f t="shared" si="7"/>
        <v>EVKn.DE</v>
      </c>
      <c r="DV7" s="1503" t="str">
        <f t="shared" si="7"/>
        <v>HUN.N</v>
      </c>
      <c r="DW7" s="1503" t="str">
        <f t="shared" si="7"/>
        <v>MMM</v>
      </c>
      <c r="DX7" s="1503" t="str">
        <f t="shared" si="7"/>
        <v>ALB</v>
      </c>
      <c r="DY7" s="1503" t="str">
        <f t="shared" si="7"/>
        <v>ASH</v>
      </c>
      <c r="DZ7" s="1503" t="str">
        <f t="shared" si="7"/>
        <v>AVNT.K</v>
      </c>
      <c r="EA7" s="1503" t="str">
        <f t="shared" si="7"/>
        <v>DD</v>
      </c>
      <c r="EB7" s="1503" t="str">
        <f t="shared" si="7"/>
        <v>FMC</v>
      </c>
      <c r="EC7" s="1503" t="str">
        <f t="shared" si="7"/>
        <v>PPG</v>
      </c>
      <c r="ED7" s="1503" t="str">
        <f t="shared" si="7"/>
        <v>SOLB.BR</v>
      </c>
      <c r="EE7" s="1503">
        <f t="shared" si="7"/>
        <v>0</v>
      </c>
      <c r="EF7" s="1503">
        <f t="shared" si="7"/>
        <v>0</v>
      </c>
      <c r="EG7" s="1502"/>
      <c r="EH7" s="1503" t="str">
        <f t="shared" ref="EH7:EY7" si="8">DO7</f>
        <v>EMN</v>
      </c>
      <c r="EI7" s="1503" t="str">
        <f t="shared" si="8"/>
        <v>CE.N</v>
      </c>
      <c r="EJ7" s="1503" t="str">
        <f t="shared" si="8"/>
        <v>BASFn.DE</v>
      </c>
      <c r="EK7" s="1503" t="str">
        <f t="shared" si="8"/>
        <v>DOW</v>
      </c>
      <c r="EL7" s="1503" t="str">
        <f t="shared" si="8"/>
        <v>LYB</v>
      </c>
      <c r="EM7" s="1503" t="str">
        <f t="shared" si="8"/>
        <v>OLN</v>
      </c>
      <c r="EN7" s="1503" t="str">
        <f t="shared" si="8"/>
        <v>EVKn.DE</v>
      </c>
      <c r="EO7" s="1503" t="str">
        <f t="shared" si="8"/>
        <v>HUN.N</v>
      </c>
      <c r="EP7" s="1503" t="str">
        <f t="shared" si="8"/>
        <v>MMM</v>
      </c>
      <c r="EQ7" s="1503" t="str">
        <f t="shared" si="8"/>
        <v>ALB</v>
      </c>
      <c r="ER7" s="1503" t="str">
        <f t="shared" si="8"/>
        <v>ASH</v>
      </c>
      <c r="ES7" s="1503" t="str">
        <f t="shared" si="8"/>
        <v>AVNT.K</v>
      </c>
      <c r="ET7" s="1503" t="str">
        <f t="shared" si="8"/>
        <v>DD</v>
      </c>
      <c r="EU7" s="1503" t="str">
        <f t="shared" si="8"/>
        <v>FMC</v>
      </c>
      <c r="EV7" s="1503" t="str">
        <f t="shared" si="8"/>
        <v>PPG</v>
      </c>
      <c r="EW7" s="1503" t="str">
        <f t="shared" si="8"/>
        <v>SOLB.BR</v>
      </c>
      <c r="EX7" s="1503">
        <f t="shared" si="8"/>
        <v>0</v>
      </c>
      <c r="EY7" s="1503">
        <f t="shared" si="8"/>
        <v>0</v>
      </c>
      <c r="FA7" s="1503" t="str">
        <f t="shared" ref="FA7:FQ7" si="9">EH7</f>
        <v>EMN</v>
      </c>
      <c r="FB7" s="1503" t="str">
        <f t="shared" si="9"/>
        <v>CE.N</v>
      </c>
      <c r="FC7" s="1503" t="str">
        <f t="shared" si="9"/>
        <v>BASFn.DE</v>
      </c>
      <c r="FD7" s="1503" t="str">
        <f t="shared" si="9"/>
        <v>DOW</v>
      </c>
      <c r="FE7" s="1503" t="str">
        <f t="shared" si="9"/>
        <v>LYB</v>
      </c>
      <c r="FF7" s="1503" t="str">
        <f t="shared" si="9"/>
        <v>OLN</v>
      </c>
      <c r="FG7" s="1503" t="str">
        <f t="shared" si="9"/>
        <v>EVKn.DE</v>
      </c>
      <c r="FH7" s="1503" t="str">
        <f t="shared" si="9"/>
        <v>HUN.N</v>
      </c>
      <c r="FI7" s="1503" t="str">
        <f t="shared" si="9"/>
        <v>MMM</v>
      </c>
      <c r="FJ7" s="1503" t="str">
        <f t="shared" si="9"/>
        <v>ALB</v>
      </c>
      <c r="FK7" s="1503" t="str">
        <f t="shared" si="9"/>
        <v>ASH</v>
      </c>
      <c r="FL7" s="1503" t="str">
        <f t="shared" si="9"/>
        <v>AVNT.K</v>
      </c>
      <c r="FM7" s="1503" t="str">
        <f t="shared" si="9"/>
        <v>DD</v>
      </c>
      <c r="FN7" s="1503" t="str">
        <f t="shared" si="9"/>
        <v>FMC</v>
      </c>
      <c r="FO7" s="1503" t="str">
        <f t="shared" si="9"/>
        <v>PPG</v>
      </c>
      <c r="FP7" s="1503" t="str">
        <f t="shared" si="9"/>
        <v>SOLB.BR</v>
      </c>
      <c r="FQ7" s="1503">
        <f t="shared" si="9"/>
        <v>0</v>
      </c>
      <c r="FS7" s="1509" t="str">
        <f t="shared" ref="FS7:GI7" si="10">FA7</f>
        <v>EMN</v>
      </c>
      <c r="FT7" s="1509" t="str">
        <f t="shared" si="10"/>
        <v>CE.N</v>
      </c>
      <c r="FU7" s="1509" t="str">
        <f t="shared" si="10"/>
        <v>BASFn.DE</v>
      </c>
      <c r="FV7" s="1509" t="str">
        <f t="shared" si="10"/>
        <v>DOW</v>
      </c>
      <c r="FW7" s="1509" t="str">
        <f t="shared" si="10"/>
        <v>LYB</v>
      </c>
      <c r="FX7" s="1509" t="str">
        <f t="shared" si="10"/>
        <v>OLN</v>
      </c>
      <c r="FY7" s="1509" t="str">
        <f t="shared" si="10"/>
        <v>EVKn.DE</v>
      </c>
      <c r="FZ7" s="1509" t="str">
        <f t="shared" si="10"/>
        <v>HUN.N</v>
      </c>
      <c r="GA7" s="1509" t="str">
        <f t="shared" si="10"/>
        <v>MMM</v>
      </c>
      <c r="GB7" s="1509" t="str">
        <f t="shared" si="10"/>
        <v>ALB</v>
      </c>
      <c r="GC7" s="1509" t="str">
        <f t="shared" si="10"/>
        <v>ASH</v>
      </c>
      <c r="GD7" s="1509" t="str">
        <f t="shared" si="10"/>
        <v>AVNT.K</v>
      </c>
      <c r="GE7" s="1509" t="str">
        <f t="shared" si="10"/>
        <v>DD</v>
      </c>
      <c r="GF7" s="1509" t="str">
        <f t="shared" si="10"/>
        <v>FMC</v>
      </c>
      <c r="GG7" s="1509" t="str">
        <f t="shared" si="10"/>
        <v>PPG</v>
      </c>
      <c r="GH7" s="1509" t="str">
        <f t="shared" si="10"/>
        <v>SOLB.BR</v>
      </c>
      <c r="GI7" s="1509">
        <f t="shared" si="10"/>
        <v>0</v>
      </c>
      <c r="GK7" s="1509" t="str">
        <f>FS7</f>
        <v>EMN</v>
      </c>
      <c r="GL7" s="1509" t="str">
        <f t="shared" ref="GL7:HA7" si="11">FT7</f>
        <v>CE.N</v>
      </c>
      <c r="GM7" s="1509" t="str">
        <f t="shared" si="11"/>
        <v>BASFn.DE</v>
      </c>
      <c r="GN7" s="1509" t="str">
        <f t="shared" si="11"/>
        <v>DOW</v>
      </c>
      <c r="GO7" s="1509" t="str">
        <f t="shared" si="11"/>
        <v>LYB</v>
      </c>
      <c r="GP7" s="1509" t="str">
        <f t="shared" si="11"/>
        <v>OLN</v>
      </c>
      <c r="GQ7" s="1509" t="str">
        <f t="shared" si="11"/>
        <v>EVKn.DE</v>
      </c>
      <c r="GR7" s="1509" t="str">
        <f t="shared" si="11"/>
        <v>HUN.N</v>
      </c>
      <c r="GS7" s="1509" t="str">
        <f t="shared" si="11"/>
        <v>MMM</v>
      </c>
      <c r="GT7" s="1509" t="str">
        <f t="shared" si="11"/>
        <v>ALB</v>
      </c>
      <c r="GU7" s="1509" t="str">
        <f t="shared" si="11"/>
        <v>ASH</v>
      </c>
      <c r="GV7" s="1509" t="str">
        <f t="shared" si="11"/>
        <v>AVNT.K</v>
      </c>
      <c r="GW7" s="1509" t="str">
        <f t="shared" si="11"/>
        <v>DD</v>
      </c>
      <c r="GX7" s="1509" t="str">
        <f t="shared" si="11"/>
        <v>FMC</v>
      </c>
      <c r="GY7" s="1509" t="str">
        <f t="shared" si="11"/>
        <v>PPG</v>
      </c>
      <c r="GZ7" s="1509" t="str">
        <f t="shared" si="11"/>
        <v>SOLB.BR</v>
      </c>
      <c r="HA7" s="1509">
        <f t="shared" si="11"/>
        <v>0</v>
      </c>
    </row>
    <row r="8" spans="1:213" ht="11.25" customHeight="1">
      <c r="E8" s="1501"/>
      <c r="F8" s="1501"/>
      <c r="G8" s="1501"/>
      <c r="H8" s="1501"/>
      <c r="I8" s="1501"/>
      <c r="J8" s="1501"/>
      <c r="K8" s="1501"/>
      <c r="L8" s="1501"/>
      <c r="M8" s="1501"/>
      <c r="N8" s="1501"/>
      <c r="O8" s="1501"/>
      <c r="P8" s="1501"/>
      <c r="Q8" s="1501"/>
      <c r="R8" s="1501"/>
      <c r="S8" s="1501"/>
      <c r="T8" s="1501"/>
      <c r="U8" s="1501"/>
      <c r="V8" s="1501"/>
      <c r="X8" s="1501"/>
      <c r="Y8" s="1501"/>
      <c r="Z8" s="1501"/>
      <c r="AA8" s="1501"/>
      <c r="AB8" s="1501"/>
      <c r="AC8" s="1501"/>
      <c r="AD8" s="1501"/>
      <c r="AE8" s="1501"/>
      <c r="AF8" s="1501"/>
      <c r="AG8" s="1501"/>
      <c r="AH8" s="1501"/>
      <c r="AI8" s="1501"/>
      <c r="AJ8" s="1501"/>
      <c r="AK8" s="1501"/>
      <c r="AL8" s="1501"/>
      <c r="AM8" s="1501"/>
      <c r="AN8" s="1501"/>
      <c r="AO8" s="1501"/>
      <c r="AQ8" s="1501"/>
      <c r="AR8" s="1501"/>
      <c r="AS8" s="1501"/>
      <c r="AT8" s="1501"/>
      <c r="AU8" s="1501"/>
      <c r="AV8" s="1501"/>
      <c r="AW8" s="1501"/>
      <c r="AX8" s="1501"/>
      <c r="AY8" s="1501"/>
      <c r="AZ8" s="1501"/>
      <c r="BA8" s="1501"/>
      <c r="BB8" s="1501"/>
      <c r="BC8" s="1501"/>
      <c r="BD8" s="1501"/>
      <c r="BE8" s="1501"/>
      <c r="BF8" s="1501"/>
      <c r="BG8" s="1501"/>
      <c r="BH8" s="1501"/>
      <c r="BJ8" s="1501"/>
      <c r="BK8" s="1501"/>
      <c r="BL8" s="1501"/>
      <c r="BM8" s="1501"/>
      <c r="BN8" s="1501"/>
      <c r="BO8" s="1501"/>
      <c r="BP8" s="1501"/>
      <c r="BQ8" s="1501"/>
      <c r="BR8" s="1501"/>
      <c r="BS8" s="1501"/>
      <c r="BT8" s="1501"/>
      <c r="BU8" s="1501"/>
      <c r="BV8" s="1501"/>
      <c r="BW8" s="1501"/>
      <c r="BX8" s="1501"/>
      <c r="BY8" s="1501"/>
      <c r="BZ8" s="1501"/>
      <c r="CA8" s="1501"/>
      <c r="CC8" s="1501"/>
      <c r="CD8" s="1501"/>
      <c r="CE8" s="1501"/>
      <c r="CF8" s="1501"/>
      <c r="CG8" s="1501"/>
      <c r="CH8" s="1501"/>
      <c r="CI8" s="1501"/>
      <c r="CJ8" s="1501"/>
      <c r="CK8" s="1501"/>
      <c r="CL8" s="1501"/>
      <c r="CM8" s="1501"/>
      <c r="CN8" s="1501"/>
      <c r="CO8" s="1501"/>
      <c r="CP8" s="1501"/>
      <c r="CQ8" s="1501"/>
      <c r="CR8" s="1501"/>
      <c r="CS8" s="1501"/>
      <c r="CT8" s="1501"/>
      <c r="DO8" s="1501"/>
      <c r="DP8" s="1501"/>
      <c r="DQ8" s="1501"/>
      <c r="DR8" s="1501"/>
      <c r="DS8" s="1501"/>
      <c r="DT8" s="1501"/>
      <c r="DU8" s="1501"/>
      <c r="DV8" s="1501"/>
      <c r="DW8" s="1501"/>
      <c r="DX8" s="1501"/>
      <c r="DY8" s="1501"/>
      <c r="DZ8" s="1501"/>
      <c r="EA8" s="1501"/>
      <c r="EB8" s="1501"/>
      <c r="EC8" s="1501"/>
      <c r="ED8" s="1501"/>
      <c r="EE8" s="1501"/>
      <c r="EF8" s="1501"/>
      <c r="EH8" s="1501"/>
      <c r="EI8" s="1501"/>
      <c r="EJ8" s="1501"/>
      <c r="EK8" s="1501"/>
      <c r="EL8" s="1501"/>
      <c r="EM8" s="1501"/>
      <c r="EN8" s="1501"/>
      <c r="EO8" s="1501"/>
      <c r="EP8" s="1501"/>
      <c r="EQ8" s="1501"/>
      <c r="ER8" s="1501"/>
      <c r="ES8" s="1501"/>
      <c r="ET8" s="1501"/>
      <c r="EU8" s="1501"/>
      <c r="EV8" s="1501"/>
      <c r="EW8" s="1501"/>
      <c r="EX8" s="1501"/>
      <c r="EY8" s="1501"/>
      <c r="FA8" s="1501"/>
      <c r="FB8" s="1501"/>
      <c r="FC8" s="1501"/>
      <c r="FD8" s="1501"/>
      <c r="FE8" s="1501"/>
      <c r="FF8" s="1501"/>
      <c r="FG8" s="1501"/>
      <c r="FH8" s="1501"/>
      <c r="FI8" s="1501"/>
      <c r="FJ8" s="1501"/>
      <c r="FK8" s="1501"/>
      <c r="FL8" s="1501"/>
      <c r="FM8" s="1501"/>
      <c r="FN8" s="1501"/>
      <c r="FO8" s="1501"/>
      <c r="FP8" s="1501"/>
      <c r="FQ8" s="1501"/>
      <c r="FS8" s="1501"/>
      <c r="FT8" s="1501"/>
      <c r="FU8" s="1501"/>
      <c r="FV8" s="1501"/>
      <c r="FW8" s="1501"/>
      <c r="FX8" s="1501"/>
      <c r="FY8" s="1501"/>
      <c r="FZ8" s="1501"/>
      <c r="GA8" s="1501"/>
      <c r="GB8" s="1501"/>
      <c r="GC8" s="1501"/>
      <c r="GD8" s="1501"/>
      <c r="GE8" s="1501"/>
      <c r="GF8" s="1501"/>
      <c r="GG8" s="1501"/>
      <c r="GH8" s="1501"/>
      <c r="GI8" s="1501"/>
      <c r="GK8" s="1501"/>
      <c r="GL8" s="1501"/>
      <c r="GM8" s="1501"/>
      <c r="GN8" s="1501"/>
      <c r="GO8" s="1501"/>
      <c r="GP8" s="1501"/>
      <c r="GQ8" s="1501"/>
      <c r="GR8" s="1501"/>
      <c r="GS8" s="1501"/>
      <c r="GT8" s="1501"/>
      <c r="GU8" s="1501"/>
      <c r="GV8" s="1501"/>
      <c r="GW8" s="1501"/>
      <c r="GX8" s="1501"/>
      <c r="GY8" s="1501"/>
      <c r="GZ8" s="1501"/>
      <c r="HA8" s="1501"/>
    </row>
    <row r="9" spans="1:213" s="770" customFormat="1" ht="11.25" customHeight="1">
      <c r="A9" s="1501"/>
      <c r="B9" s="1501"/>
      <c r="C9" s="1501"/>
      <c r="D9" s="1501"/>
      <c r="E9" s="1510" t="s">
        <v>1532</v>
      </c>
      <c r="F9" s="1510"/>
      <c r="G9" s="1510"/>
      <c r="H9" s="1510"/>
      <c r="I9" s="1510"/>
      <c r="J9" s="1510"/>
      <c r="K9" s="1510"/>
      <c r="L9" s="1510"/>
      <c r="M9" s="1510"/>
      <c r="N9" s="1510"/>
      <c r="O9" s="1510"/>
      <c r="P9" s="1510"/>
      <c r="Q9" s="1510"/>
      <c r="R9" s="1510"/>
      <c r="S9" s="1510"/>
      <c r="T9" s="1510"/>
      <c r="U9" s="1510"/>
      <c r="V9" s="1510"/>
      <c r="W9" s="762"/>
      <c r="X9" s="1510" t="s">
        <v>1531</v>
      </c>
      <c r="Y9" s="1510"/>
      <c r="Z9" s="1510"/>
      <c r="AA9" s="1510"/>
      <c r="AB9" s="1510"/>
      <c r="AC9" s="1510"/>
      <c r="AD9" s="1510"/>
      <c r="AE9" s="1510"/>
      <c r="AF9" s="1510"/>
      <c r="AG9" s="1510"/>
      <c r="AH9" s="1510"/>
      <c r="AI9" s="1510"/>
      <c r="AJ9" s="1510"/>
      <c r="AK9" s="1510"/>
      <c r="AL9" s="1510"/>
      <c r="AM9" s="1510"/>
      <c r="AN9" s="1510"/>
      <c r="AO9" s="1510"/>
      <c r="AP9" s="762"/>
      <c r="AQ9" s="1510" t="s">
        <v>1229</v>
      </c>
      <c r="AR9" s="1510"/>
      <c r="AS9" s="1510"/>
      <c r="AT9" s="1510"/>
      <c r="AU9" s="1510"/>
      <c r="AV9" s="1510"/>
      <c r="AW9" s="1510"/>
      <c r="AX9" s="1510"/>
      <c r="AY9" s="1510"/>
      <c r="AZ9" s="1510"/>
      <c r="BA9" s="1510"/>
      <c r="BB9" s="1510"/>
      <c r="BC9" s="1510"/>
      <c r="BD9" s="1510"/>
      <c r="BE9" s="1510"/>
      <c r="BF9" s="1510"/>
      <c r="BG9" s="1510"/>
      <c r="BH9" s="1510"/>
      <c r="BJ9" s="1510" t="s">
        <v>1531</v>
      </c>
      <c r="BK9" s="1510"/>
      <c r="BL9" s="1510"/>
      <c r="BM9" s="1510"/>
      <c r="BN9" s="1510"/>
      <c r="BO9" s="1510"/>
      <c r="BP9" s="1510"/>
      <c r="BQ9" s="1510"/>
      <c r="BR9" s="1510"/>
      <c r="BS9" s="1510"/>
      <c r="BT9" s="1510"/>
      <c r="BU9" s="1510"/>
      <c r="BV9" s="1510"/>
      <c r="BW9" s="1510"/>
      <c r="BX9" s="1510"/>
      <c r="BY9" s="1510"/>
      <c r="BZ9" s="1510"/>
      <c r="CA9" s="1510"/>
      <c r="CC9" s="1510" t="s">
        <v>493</v>
      </c>
      <c r="CD9" s="1510"/>
      <c r="CE9" s="1510"/>
      <c r="CF9" s="1510"/>
      <c r="CG9" s="1510"/>
      <c r="CH9" s="1510"/>
      <c r="CI9" s="1510"/>
      <c r="CJ9" s="1510"/>
      <c r="CK9" s="1510"/>
      <c r="CL9" s="1510"/>
      <c r="CM9" s="1510"/>
      <c r="CN9" s="1510"/>
      <c r="CO9" s="1510"/>
      <c r="CP9" s="1510"/>
      <c r="CQ9" s="1510"/>
      <c r="CR9" s="1510"/>
      <c r="CS9" s="1510"/>
      <c r="CT9" s="1510"/>
      <c r="CV9" s="1510" t="s">
        <v>1728</v>
      </c>
      <c r="CW9" s="1510"/>
      <c r="CX9" s="1510"/>
      <c r="CY9" s="1510"/>
      <c r="CZ9" s="1510"/>
      <c r="DA9" s="1510"/>
      <c r="DB9" s="1510"/>
      <c r="DC9" s="1510"/>
      <c r="DD9" s="1510"/>
      <c r="DE9" s="1510"/>
      <c r="DF9" s="1510"/>
      <c r="DG9" s="1510"/>
      <c r="DH9" s="1510"/>
      <c r="DI9" s="1510"/>
      <c r="DJ9" s="1510"/>
      <c r="DK9" s="1510"/>
      <c r="DL9" s="1510"/>
      <c r="DM9" s="1510"/>
      <c r="DO9" s="1510" t="s">
        <v>1419</v>
      </c>
      <c r="DP9" s="1510"/>
      <c r="DQ9" s="1510"/>
      <c r="DR9" s="1510"/>
      <c r="DS9" s="1510"/>
      <c r="DT9" s="1510"/>
      <c r="DU9" s="1510"/>
      <c r="DV9" s="1510"/>
      <c r="DW9" s="1510"/>
      <c r="DX9" s="1510"/>
      <c r="DY9" s="1510"/>
      <c r="DZ9" s="1510"/>
      <c r="EA9" s="1510"/>
      <c r="EB9" s="1510"/>
      <c r="EC9" s="1510"/>
      <c r="ED9" s="1510"/>
      <c r="EE9" s="1510"/>
      <c r="EF9" s="1510"/>
      <c r="EG9" s="1502"/>
      <c r="EH9" s="1510" t="s">
        <v>471</v>
      </c>
      <c r="EI9" s="1510"/>
      <c r="EJ9" s="1510"/>
      <c r="EK9" s="1510"/>
      <c r="EL9" s="1510"/>
      <c r="EM9" s="1510"/>
      <c r="EN9" s="1510"/>
      <c r="EO9" s="1510"/>
      <c r="EP9" s="1510"/>
      <c r="EQ9" s="1510"/>
      <c r="ER9" s="1510"/>
      <c r="ES9" s="1510"/>
      <c r="ET9" s="1510"/>
      <c r="EU9" s="1510"/>
      <c r="EV9" s="1510"/>
      <c r="EW9" s="1510"/>
      <c r="EX9" s="1510"/>
      <c r="EY9" s="1510"/>
      <c r="FA9" s="1510" t="s">
        <v>472</v>
      </c>
      <c r="FB9" s="1510"/>
      <c r="FC9" s="1510"/>
      <c r="FD9" s="1510"/>
      <c r="FE9" s="1510"/>
      <c r="FF9" s="1510"/>
      <c r="FG9" s="1510"/>
      <c r="FH9" s="1510"/>
      <c r="FI9" s="1510"/>
      <c r="FJ9" s="1510"/>
      <c r="FK9" s="1510"/>
      <c r="FL9" s="1510"/>
      <c r="FM9" s="1510"/>
      <c r="FN9" s="1510"/>
      <c r="FO9" s="1510"/>
      <c r="FP9" s="1510"/>
      <c r="FQ9" s="1510"/>
      <c r="FS9" s="1510" t="s">
        <v>437</v>
      </c>
      <c r="FT9" s="1510"/>
      <c r="FU9" s="1510"/>
      <c r="FV9" s="1510"/>
      <c r="FW9" s="1510"/>
      <c r="FX9" s="1510"/>
      <c r="FY9" s="1510"/>
      <c r="FZ9" s="1510"/>
      <c r="GA9" s="1510"/>
      <c r="GB9" s="1510"/>
      <c r="GC9" s="1510"/>
      <c r="GD9" s="1510"/>
      <c r="GE9" s="1510"/>
      <c r="GF9" s="1510"/>
      <c r="GG9" s="1510"/>
      <c r="GH9" s="1510"/>
      <c r="GI9" s="1510"/>
      <c r="GK9" s="1510" t="s">
        <v>704</v>
      </c>
      <c r="GL9" s="1510"/>
      <c r="GM9" s="1510"/>
      <c r="GN9" s="1510"/>
      <c r="GO9" s="1510"/>
      <c r="GP9" s="1510"/>
      <c r="GQ9" s="1510"/>
      <c r="GR9" s="1510"/>
      <c r="GS9" s="1510"/>
      <c r="GT9" s="1510"/>
      <c r="GU9" s="1510"/>
      <c r="GV9" s="1510"/>
      <c r="GW9" s="1510"/>
      <c r="GX9" s="1510"/>
      <c r="GY9" s="1510"/>
      <c r="GZ9" s="1510"/>
      <c r="HA9" s="1510"/>
    </row>
    <row r="10" spans="1:213" ht="5.2" customHeight="1">
      <c r="E10" s="1511"/>
      <c r="F10" s="1512"/>
      <c r="G10" s="1502"/>
      <c r="H10" s="1502"/>
      <c r="I10" s="1502"/>
      <c r="J10" s="1502"/>
      <c r="K10" s="1502"/>
      <c r="L10" s="1502"/>
      <c r="M10" s="1502"/>
      <c r="N10" s="1502"/>
      <c r="O10" s="1502"/>
      <c r="P10" s="1502"/>
      <c r="Q10" s="1502"/>
      <c r="R10" s="1502"/>
      <c r="S10" s="1502"/>
      <c r="T10" s="1502"/>
      <c r="U10" s="1502"/>
      <c r="V10" s="1502"/>
      <c r="X10" s="1511"/>
      <c r="Y10" s="1512"/>
      <c r="Z10" s="1502"/>
      <c r="AA10" s="1502"/>
      <c r="AB10" s="1502"/>
      <c r="AC10" s="1502"/>
      <c r="AD10" s="1502"/>
      <c r="AE10" s="1502"/>
      <c r="AF10" s="1502"/>
      <c r="AG10" s="1502"/>
      <c r="AH10" s="1502"/>
      <c r="AI10" s="1502"/>
      <c r="AJ10" s="1502"/>
      <c r="AK10" s="1502"/>
      <c r="AL10" s="1502"/>
      <c r="AM10" s="1502"/>
      <c r="AN10" s="1502"/>
      <c r="AO10" s="1502"/>
      <c r="AQ10" s="1511"/>
      <c r="AR10" s="1512"/>
      <c r="AS10" s="1502"/>
      <c r="AT10" s="1502"/>
      <c r="AU10" s="1502"/>
      <c r="AV10" s="1502"/>
      <c r="AW10" s="1502"/>
      <c r="AX10" s="1502"/>
      <c r="AY10" s="1502"/>
      <c r="AZ10" s="1502"/>
      <c r="BA10" s="1502"/>
      <c r="BB10" s="1502"/>
      <c r="BC10" s="1502"/>
      <c r="BD10" s="1502"/>
      <c r="BE10" s="1502"/>
      <c r="BF10" s="1502"/>
      <c r="BG10" s="1502"/>
      <c r="BH10" s="1502"/>
      <c r="BJ10" s="1511"/>
      <c r="BK10" s="1512"/>
      <c r="BL10" s="1502"/>
      <c r="BM10" s="1502"/>
      <c r="BN10" s="1502"/>
      <c r="BO10" s="1502"/>
      <c r="BP10" s="1502"/>
      <c r="BQ10" s="1502"/>
      <c r="BR10" s="1502"/>
      <c r="BS10" s="1502"/>
      <c r="BT10" s="1502"/>
      <c r="BU10" s="1502"/>
      <c r="BV10" s="1502"/>
      <c r="BW10" s="1502"/>
      <c r="BX10" s="1502"/>
      <c r="BY10" s="1502"/>
      <c r="BZ10" s="1502"/>
      <c r="CA10" s="1502"/>
      <c r="CC10" s="1511"/>
      <c r="CD10" s="1512"/>
      <c r="CE10" s="1502"/>
      <c r="CF10" s="1502"/>
      <c r="CG10" s="1502"/>
      <c r="CH10" s="1502"/>
      <c r="CI10" s="1502"/>
      <c r="CJ10" s="1502"/>
      <c r="CK10" s="1502"/>
      <c r="CL10" s="1502"/>
      <c r="CM10" s="1502"/>
      <c r="CN10" s="1502"/>
      <c r="CO10" s="1502"/>
      <c r="CP10" s="1502"/>
      <c r="CQ10" s="1502"/>
      <c r="CR10" s="1502"/>
      <c r="CS10" s="1502"/>
      <c r="CT10" s="1502"/>
      <c r="CV10" s="1502"/>
      <c r="CW10" s="1502"/>
      <c r="CX10" s="1502"/>
      <c r="CY10" s="1502"/>
      <c r="CZ10" s="1502"/>
      <c r="DA10" s="1502"/>
      <c r="DB10" s="1502"/>
      <c r="DC10" s="1502"/>
      <c r="DD10" s="1502"/>
      <c r="DE10" s="1502"/>
      <c r="DF10" s="1502"/>
      <c r="DG10" s="1502"/>
      <c r="DH10" s="1502"/>
      <c r="DI10" s="1502"/>
      <c r="DJ10" s="1502"/>
      <c r="DK10" s="1502"/>
      <c r="DL10" s="1502"/>
      <c r="DM10" s="1502"/>
      <c r="DO10" s="1511"/>
      <c r="DP10" s="1512"/>
      <c r="DQ10" s="1502"/>
      <c r="DR10" s="1502"/>
      <c r="DS10" s="1502"/>
      <c r="DT10" s="1502"/>
      <c r="DU10" s="1502"/>
      <c r="DV10" s="1502"/>
      <c r="DW10" s="1502"/>
      <c r="DX10" s="1502"/>
      <c r="DY10" s="1502"/>
      <c r="DZ10" s="1502"/>
      <c r="EA10" s="1502"/>
      <c r="EB10" s="1502"/>
      <c r="EC10" s="1502"/>
      <c r="ED10" s="1502"/>
      <c r="EE10" s="1502"/>
      <c r="EF10" s="1502"/>
      <c r="EH10" s="1511"/>
      <c r="EI10" s="1512"/>
      <c r="EJ10" s="1502"/>
      <c r="EK10" s="1502"/>
      <c r="EL10" s="1502"/>
      <c r="EM10" s="1502"/>
      <c r="EN10" s="1502"/>
      <c r="EO10" s="1502"/>
      <c r="EP10" s="1502"/>
      <c r="EQ10" s="1502"/>
      <c r="ER10" s="1502"/>
      <c r="ES10" s="1502"/>
      <c r="ET10" s="1502"/>
      <c r="EU10" s="1502"/>
      <c r="EV10" s="1502"/>
      <c r="EW10" s="1502"/>
      <c r="EX10" s="1502"/>
      <c r="EY10" s="1502"/>
      <c r="FA10" s="1511"/>
      <c r="FB10" s="1512"/>
      <c r="FC10" s="1502"/>
      <c r="FD10" s="1502"/>
      <c r="FE10" s="1502"/>
      <c r="FF10" s="1502"/>
      <c r="FG10" s="1502"/>
      <c r="FH10" s="1502"/>
      <c r="FI10" s="1502"/>
      <c r="FJ10" s="1502"/>
      <c r="FK10" s="1502"/>
      <c r="FL10" s="1502"/>
      <c r="FM10" s="1502"/>
      <c r="FN10" s="1502"/>
      <c r="FO10" s="1502"/>
      <c r="FP10" s="1502"/>
      <c r="FQ10" s="1502"/>
      <c r="FS10" s="1511"/>
      <c r="FT10" s="1512"/>
      <c r="FU10" s="1502"/>
      <c r="FV10" s="1502"/>
      <c r="FW10" s="1502"/>
      <c r="FX10" s="1502"/>
      <c r="FY10" s="1502"/>
      <c r="FZ10" s="1502"/>
      <c r="GA10" s="1502"/>
      <c r="GB10" s="1502"/>
      <c r="GC10" s="1502"/>
      <c r="GD10" s="1502"/>
      <c r="GE10" s="1502"/>
      <c r="GF10" s="1502"/>
      <c r="GG10" s="1502"/>
      <c r="GH10" s="1502"/>
      <c r="GI10" s="1502"/>
      <c r="GK10" s="1511"/>
      <c r="GL10" s="1512"/>
      <c r="GM10" s="1502"/>
      <c r="GN10" s="1502"/>
      <c r="GO10" s="1502"/>
      <c r="GP10" s="1502"/>
      <c r="GQ10" s="1502"/>
      <c r="GR10" s="1502"/>
      <c r="GS10" s="1502"/>
      <c r="GT10" s="1502"/>
      <c r="GU10" s="1502"/>
      <c r="GV10" s="1502"/>
      <c r="GW10" s="1502"/>
      <c r="GX10" s="1502"/>
      <c r="GY10" s="1502"/>
      <c r="GZ10" s="1502"/>
      <c r="HA10" s="1502"/>
    </row>
    <row r="11" spans="1:213" ht="20.25">
      <c r="A11" s="1513"/>
      <c r="B11" s="1513"/>
      <c r="C11" s="774" t="s">
        <v>579</v>
      </c>
      <c r="D11" s="774" t="s">
        <v>1159</v>
      </c>
      <c r="E11" s="774" t="str" cm="1">
        <f t="array" aca="1" ref="E11" ca="1">IF(SwitchPA=1,_xll.TR(E7,"TR.CommonName"),E11)</f>
        <v>Eastman Chemical Co</v>
      </c>
      <c r="F11" s="774" t="str" cm="1">
        <f t="array" aca="1" ref="F11" ca="1">IF(SwitchPA=1,_xll.TR(F7,"TR.CommonName"),F11)</f>
        <v>Celanese Corp</v>
      </c>
      <c r="G11" s="774" t="str" cm="1">
        <f t="array" aca="1" ref="G11" ca="1">IF(SwitchPA=1,_xll.TR(G7,"TR.CommonName"),G11)</f>
        <v>BASF SE</v>
      </c>
      <c r="H11" s="774" t="str" cm="1">
        <f t="array" aca="1" ref="H11" ca="1">IF(SwitchPA=1,_xll.TR(H7,"TR.CommonName"),H11)</f>
        <v>Dow Inc</v>
      </c>
      <c r="I11" s="774" t="str" cm="1">
        <f t="array" aca="1" ref="I11" ca="1">IF(SwitchPA=1,_xll.TR(I7,"TR.CommonName"),I11)</f>
        <v>LyondellBasell Industries NV</v>
      </c>
      <c r="J11" s="774" t="str" cm="1">
        <f t="array" aca="1" ref="J11" ca="1">IF(SwitchPA=1,_xll.TR(J7,"TR.CommonName"),J11)</f>
        <v>Olin Corp</v>
      </c>
      <c r="K11" s="774" t="str" cm="1">
        <f t="array" aca="1" ref="K11" ca="1">IF(SwitchPA=1,_xll.TR(K7,"TR.CommonName"),K11)</f>
        <v>Evonik Industries AG</v>
      </c>
      <c r="L11" s="774" t="str" cm="1">
        <f t="array" aca="1" ref="L11" ca="1">IF(SwitchPA=1,_xll.TR(L7,"TR.CommonName"),L11)</f>
        <v>Huntsman Corp</v>
      </c>
      <c r="M11" s="774" t="str" cm="1">
        <f t="array" aca="1" ref="M11" ca="1">IF(SwitchPA=1,_xll.TR(M7,"TR.CommonName"),M11)</f>
        <v>3M Co</v>
      </c>
      <c r="N11" s="774" t="str" cm="1">
        <f t="array" aca="1" ref="N11" ca="1">IF(SwitchPA=1,_xll.TR(N7,"TR.CommonName"),N11)</f>
        <v>Albemarle Corp</v>
      </c>
      <c r="O11" s="774" t="str" cm="1">
        <f t="array" aca="1" ref="O11" ca="1">IF(SwitchPA=1,_xll.TR(O7,"TR.CommonName"),O11)</f>
        <v>Ashland Inc</v>
      </c>
      <c r="P11" s="774" t="str" cm="1">
        <f t="array" aca="1" ref="P11" ca="1">IF(SwitchPA=1,_xll.TR(P7,"TR.CommonName"),P11)</f>
        <v>Avient Corp</v>
      </c>
      <c r="Q11" s="774" t="str" cm="1">
        <f t="array" aca="1" ref="Q11" ca="1">IF(SwitchPA=1,_xll.TR(Q7,"TR.CommonName"),Q11)</f>
        <v>Dupont De Nemours Inc</v>
      </c>
      <c r="R11" s="774" t="str" cm="1">
        <f t="array" aca="1" ref="R11" ca="1">IF(SwitchPA=1,_xll.TR(R7,"TR.CommonName"),R11)</f>
        <v>FMC Corp</v>
      </c>
      <c r="S11" s="774" t="str" cm="1">
        <f t="array" aca="1" ref="S11" ca="1">IF(SwitchPA=1,_xll.TR(S7,"TR.CommonName"),S11)</f>
        <v>PPG Industries Inc</v>
      </c>
      <c r="T11" s="774" t="str" cm="1">
        <f t="array" aca="1" ref="T11" ca="1">IF(SwitchPA=1,_xll.TR(T7,"TR.CommonName"),T11)</f>
        <v>Solvay SA</v>
      </c>
      <c r="U11" s="774" t="str" cm="1">
        <f t="array" aca="1" ref="U11" ca="1">IF(SwitchPA=1,_xll.TR(U7,"TR.CommonName"),U11)</f>
        <v>No universe defined.</v>
      </c>
      <c r="V11" s="774" t="str" cm="1">
        <f t="array" aca="1" ref="V11" ca="1">IF(SwitchPA=1,_xll.TR(V7,"TR.CommonName"),V11)</f>
        <v>No universe defined.</v>
      </c>
      <c r="X11" s="774" t="str">
        <f ca="1">E11</f>
        <v>Eastman Chemical Co</v>
      </c>
      <c r="Y11" s="774" t="str">
        <f t="shared" ref="Y11:AO11" ca="1" si="12">F11</f>
        <v>Celanese Corp</v>
      </c>
      <c r="Z11" s="774" t="str">
        <f t="shared" ca="1" si="12"/>
        <v>BASF SE</v>
      </c>
      <c r="AA11" s="774" t="str">
        <f t="shared" ca="1" si="12"/>
        <v>Dow Inc</v>
      </c>
      <c r="AB11" s="774" t="str">
        <f t="shared" ca="1" si="12"/>
        <v>LyondellBasell Industries NV</v>
      </c>
      <c r="AC11" s="774" t="str">
        <f t="shared" ca="1" si="12"/>
        <v>Olin Corp</v>
      </c>
      <c r="AD11" s="774" t="str">
        <f t="shared" ca="1" si="12"/>
        <v>Evonik Industries AG</v>
      </c>
      <c r="AE11" s="774" t="str">
        <f t="shared" ca="1" si="12"/>
        <v>Huntsman Corp</v>
      </c>
      <c r="AF11" s="774" t="str">
        <f t="shared" ca="1" si="12"/>
        <v>3M Co</v>
      </c>
      <c r="AG11" s="774" t="str">
        <f t="shared" ca="1" si="12"/>
        <v>Albemarle Corp</v>
      </c>
      <c r="AH11" s="774" t="str">
        <f t="shared" ca="1" si="12"/>
        <v>Ashland Inc</v>
      </c>
      <c r="AI11" s="774" t="str">
        <f t="shared" ca="1" si="12"/>
        <v>Avient Corp</v>
      </c>
      <c r="AJ11" s="774" t="str">
        <f t="shared" ca="1" si="12"/>
        <v>Dupont De Nemours Inc</v>
      </c>
      <c r="AK11" s="774" t="str">
        <f t="shared" ca="1" si="12"/>
        <v>FMC Corp</v>
      </c>
      <c r="AL11" s="774" t="str">
        <f t="shared" ca="1" si="12"/>
        <v>PPG Industries Inc</v>
      </c>
      <c r="AM11" s="774" t="str">
        <f t="shared" ca="1" si="12"/>
        <v>Solvay SA</v>
      </c>
      <c r="AN11" s="774" t="str">
        <f t="shared" ca="1" si="12"/>
        <v>No universe defined.</v>
      </c>
      <c r="AO11" s="774" t="str">
        <f t="shared" ca="1" si="12"/>
        <v>No universe defined.</v>
      </c>
      <c r="AQ11" s="774" t="str">
        <f t="shared" ref="AQ11:BH11" ca="1" si="13">X11</f>
        <v>Eastman Chemical Co</v>
      </c>
      <c r="AR11" s="774" t="str">
        <f t="shared" ca="1" si="13"/>
        <v>Celanese Corp</v>
      </c>
      <c r="AS11" s="774" t="str">
        <f t="shared" ca="1" si="13"/>
        <v>BASF SE</v>
      </c>
      <c r="AT11" s="774" t="str">
        <f t="shared" ca="1" si="13"/>
        <v>Dow Inc</v>
      </c>
      <c r="AU11" s="774" t="str">
        <f t="shared" ca="1" si="13"/>
        <v>LyondellBasell Industries NV</v>
      </c>
      <c r="AV11" s="774" t="str">
        <f t="shared" ca="1" si="13"/>
        <v>Olin Corp</v>
      </c>
      <c r="AW11" s="774" t="str">
        <f t="shared" ca="1" si="13"/>
        <v>Evonik Industries AG</v>
      </c>
      <c r="AX11" s="774" t="str">
        <f t="shared" ca="1" si="13"/>
        <v>Huntsman Corp</v>
      </c>
      <c r="AY11" s="774" t="str">
        <f t="shared" ca="1" si="13"/>
        <v>3M Co</v>
      </c>
      <c r="AZ11" s="774" t="str">
        <f t="shared" ca="1" si="13"/>
        <v>Albemarle Corp</v>
      </c>
      <c r="BA11" s="774" t="str">
        <f t="shared" ca="1" si="13"/>
        <v>Ashland Inc</v>
      </c>
      <c r="BB11" s="774" t="str">
        <f t="shared" ca="1" si="13"/>
        <v>Avient Corp</v>
      </c>
      <c r="BC11" s="774" t="str">
        <f t="shared" ca="1" si="13"/>
        <v>Dupont De Nemours Inc</v>
      </c>
      <c r="BD11" s="774" t="str">
        <f t="shared" ca="1" si="13"/>
        <v>FMC Corp</v>
      </c>
      <c r="BE11" s="774" t="str">
        <f t="shared" ca="1" si="13"/>
        <v>PPG Industries Inc</v>
      </c>
      <c r="BF11" s="774" t="str">
        <f t="shared" ca="1" si="13"/>
        <v>Solvay SA</v>
      </c>
      <c r="BG11" s="774" t="str">
        <f t="shared" ca="1" si="13"/>
        <v>No universe defined.</v>
      </c>
      <c r="BH11" s="774" t="str">
        <f t="shared" ca="1" si="13"/>
        <v>No universe defined.</v>
      </c>
      <c r="BJ11" s="774" t="str">
        <f t="shared" ref="BJ11:CA11" ca="1" si="14">AQ11</f>
        <v>Eastman Chemical Co</v>
      </c>
      <c r="BK11" s="774" t="str">
        <f t="shared" ca="1" si="14"/>
        <v>Celanese Corp</v>
      </c>
      <c r="BL11" s="774" t="str">
        <f t="shared" ca="1" si="14"/>
        <v>BASF SE</v>
      </c>
      <c r="BM11" s="774" t="str">
        <f t="shared" ca="1" si="14"/>
        <v>Dow Inc</v>
      </c>
      <c r="BN11" s="774" t="str">
        <f t="shared" ca="1" si="14"/>
        <v>LyondellBasell Industries NV</v>
      </c>
      <c r="BO11" s="774" t="str">
        <f t="shared" ca="1" si="14"/>
        <v>Olin Corp</v>
      </c>
      <c r="BP11" s="774" t="str">
        <f t="shared" ca="1" si="14"/>
        <v>Evonik Industries AG</v>
      </c>
      <c r="BQ11" s="774" t="str">
        <f t="shared" ca="1" si="14"/>
        <v>Huntsman Corp</v>
      </c>
      <c r="BR11" s="774" t="str">
        <f t="shared" ca="1" si="14"/>
        <v>3M Co</v>
      </c>
      <c r="BS11" s="774" t="str">
        <f t="shared" ca="1" si="14"/>
        <v>Albemarle Corp</v>
      </c>
      <c r="BT11" s="774" t="str">
        <f t="shared" ca="1" si="14"/>
        <v>Ashland Inc</v>
      </c>
      <c r="BU11" s="774" t="str">
        <f t="shared" ca="1" si="14"/>
        <v>Avient Corp</v>
      </c>
      <c r="BV11" s="774" t="str">
        <f t="shared" ca="1" si="14"/>
        <v>Dupont De Nemours Inc</v>
      </c>
      <c r="BW11" s="774" t="str">
        <f t="shared" ca="1" si="14"/>
        <v>FMC Corp</v>
      </c>
      <c r="BX11" s="774" t="str">
        <f t="shared" ca="1" si="14"/>
        <v>PPG Industries Inc</v>
      </c>
      <c r="BY11" s="774" t="str">
        <f t="shared" ca="1" si="14"/>
        <v>Solvay SA</v>
      </c>
      <c r="BZ11" s="774" t="str">
        <f t="shared" ca="1" si="14"/>
        <v>No universe defined.</v>
      </c>
      <c r="CA11" s="774" t="str">
        <f t="shared" ca="1" si="14"/>
        <v>No universe defined.</v>
      </c>
      <c r="CC11" s="774" t="str">
        <f t="shared" ref="CC11:CT11" ca="1" si="15">BJ11</f>
        <v>Eastman Chemical Co</v>
      </c>
      <c r="CD11" s="774" t="str">
        <f t="shared" ca="1" si="15"/>
        <v>Celanese Corp</v>
      </c>
      <c r="CE11" s="774" t="str">
        <f t="shared" ca="1" si="15"/>
        <v>BASF SE</v>
      </c>
      <c r="CF11" s="774" t="str">
        <f t="shared" ca="1" si="15"/>
        <v>Dow Inc</v>
      </c>
      <c r="CG11" s="774" t="str">
        <f t="shared" ca="1" si="15"/>
        <v>LyondellBasell Industries NV</v>
      </c>
      <c r="CH11" s="774" t="str">
        <f t="shared" ca="1" si="15"/>
        <v>Olin Corp</v>
      </c>
      <c r="CI11" s="774" t="str">
        <f t="shared" ca="1" si="15"/>
        <v>Evonik Industries AG</v>
      </c>
      <c r="CJ11" s="774" t="str">
        <f t="shared" ca="1" si="15"/>
        <v>Huntsman Corp</v>
      </c>
      <c r="CK11" s="774" t="str">
        <f t="shared" ca="1" si="15"/>
        <v>3M Co</v>
      </c>
      <c r="CL11" s="774" t="str">
        <f t="shared" ca="1" si="15"/>
        <v>Albemarle Corp</v>
      </c>
      <c r="CM11" s="774" t="str">
        <f t="shared" ca="1" si="15"/>
        <v>Ashland Inc</v>
      </c>
      <c r="CN11" s="774" t="str">
        <f t="shared" ca="1" si="15"/>
        <v>Avient Corp</v>
      </c>
      <c r="CO11" s="774" t="str">
        <f t="shared" ca="1" si="15"/>
        <v>Dupont De Nemours Inc</v>
      </c>
      <c r="CP11" s="774" t="str">
        <f t="shared" ca="1" si="15"/>
        <v>FMC Corp</v>
      </c>
      <c r="CQ11" s="774" t="str">
        <f t="shared" ca="1" si="15"/>
        <v>PPG Industries Inc</v>
      </c>
      <c r="CR11" s="774" t="str">
        <f t="shared" ca="1" si="15"/>
        <v>Solvay SA</v>
      </c>
      <c r="CS11" s="774" t="str">
        <f t="shared" ca="1" si="15"/>
        <v>No universe defined.</v>
      </c>
      <c r="CT11" s="774" t="str">
        <f t="shared" ca="1" si="15"/>
        <v>No universe defined.</v>
      </c>
      <c r="CV11" s="774" t="str">
        <f t="shared" ref="CV11:DM11" ca="1" si="16">CC11</f>
        <v>Eastman Chemical Co</v>
      </c>
      <c r="CW11" s="774" t="str">
        <f t="shared" ca="1" si="16"/>
        <v>Celanese Corp</v>
      </c>
      <c r="CX11" s="774" t="str">
        <f t="shared" ca="1" si="16"/>
        <v>BASF SE</v>
      </c>
      <c r="CY11" s="774" t="str">
        <f t="shared" ca="1" si="16"/>
        <v>Dow Inc</v>
      </c>
      <c r="CZ11" s="774" t="str">
        <f t="shared" ca="1" si="16"/>
        <v>LyondellBasell Industries NV</v>
      </c>
      <c r="DA11" s="774" t="str">
        <f t="shared" ca="1" si="16"/>
        <v>Olin Corp</v>
      </c>
      <c r="DB11" s="774" t="str">
        <f t="shared" ca="1" si="16"/>
        <v>Evonik Industries AG</v>
      </c>
      <c r="DC11" s="774" t="str">
        <f t="shared" ca="1" si="16"/>
        <v>Huntsman Corp</v>
      </c>
      <c r="DD11" s="774" t="str">
        <f t="shared" ca="1" si="16"/>
        <v>3M Co</v>
      </c>
      <c r="DE11" s="774" t="str">
        <f t="shared" ca="1" si="16"/>
        <v>Albemarle Corp</v>
      </c>
      <c r="DF11" s="774" t="str">
        <f t="shared" ca="1" si="16"/>
        <v>Ashland Inc</v>
      </c>
      <c r="DG11" s="774" t="str">
        <f t="shared" ca="1" si="16"/>
        <v>Avient Corp</v>
      </c>
      <c r="DH11" s="774" t="str">
        <f t="shared" ca="1" si="16"/>
        <v>Dupont De Nemours Inc</v>
      </c>
      <c r="DI11" s="774" t="str">
        <f t="shared" ca="1" si="16"/>
        <v>FMC Corp</v>
      </c>
      <c r="DJ11" s="774" t="str">
        <f t="shared" ca="1" si="16"/>
        <v>PPG Industries Inc</v>
      </c>
      <c r="DK11" s="774" t="str">
        <f t="shared" ca="1" si="16"/>
        <v>Solvay SA</v>
      </c>
      <c r="DL11" s="774" t="str">
        <f t="shared" ca="1" si="16"/>
        <v>No universe defined.</v>
      </c>
      <c r="DM11" s="774" t="str">
        <f t="shared" ca="1" si="16"/>
        <v>No universe defined.</v>
      </c>
      <c r="DO11" s="774" t="str">
        <f t="shared" ref="DO11:EF11" ca="1" si="17">CV11</f>
        <v>Eastman Chemical Co</v>
      </c>
      <c r="DP11" s="774" t="str">
        <f t="shared" ca="1" si="17"/>
        <v>Celanese Corp</v>
      </c>
      <c r="DQ11" s="774" t="str">
        <f t="shared" ca="1" si="17"/>
        <v>BASF SE</v>
      </c>
      <c r="DR11" s="774" t="str">
        <f t="shared" ca="1" si="17"/>
        <v>Dow Inc</v>
      </c>
      <c r="DS11" s="774" t="str">
        <f t="shared" ca="1" si="17"/>
        <v>LyondellBasell Industries NV</v>
      </c>
      <c r="DT11" s="774" t="str">
        <f t="shared" ca="1" si="17"/>
        <v>Olin Corp</v>
      </c>
      <c r="DU11" s="774" t="str">
        <f t="shared" ca="1" si="17"/>
        <v>Evonik Industries AG</v>
      </c>
      <c r="DV11" s="774" t="str">
        <f t="shared" ca="1" si="17"/>
        <v>Huntsman Corp</v>
      </c>
      <c r="DW11" s="774" t="str">
        <f t="shared" ca="1" si="17"/>
        <v>3M Co</v>
      </c>
      <c r="DX11" s="774" t="str">
        <f t="shared" ca="1" si="17"/>
        <v>Albemarle Corp</v>
      </c>
      <c r="DY11" s="774" t="str">
        <f t="shared" ca="1" si="17"/>
        <v>Ashland Inc</v>
      </c>
      <c r="DZ11" s="774" t="str">
        <f t="shared" ca="1" si="17"/>
        <v>Avient Corp</v>
      </c>
      <c r="EA11" s="774" t="str">
        <f t="shared" ca="1" si="17"/>
        <v>Dupont De Nemours Inc</v>
      </c>
      <c r="EB11" s="774" t="str">
        <f t="shared" ca="1" si="17"/>
        <v>FMC Corp</v>
      </c>
      <c r="EC11" s="774" t="str">
        <f t="shared" ca="1" si="17"/>
        <v>PPG Industries Inc</v>
      </c>
      <c r="ED11" s="774" t="str">
        <f t="shared" ca="1" si="17"/>
        <v>Solvay SA</v>
      </c>
      <c r="EE11" s="774" t="str">
        <f t="shared" ca="1" si="17"/>
        <v>No universe defined.</v>
      </c>
      <c r="EF11" s="774" t="str">
        <f t="shared" ca="1" si="17"/>
        <v>No universe defined.</v>
      </c>
      <c r="EH11" s="774" t="str">
        <f t="shared" ref="EH11:EY11" ca="1" si="18">DO11</f>
        <v>Eastman Chemical Co</v>
      </c>
      <c r="EI11" s="774" t="str">
        <f t="shared" ca="1" si="18"/>
        <v>Celanese Corp</v>
      </c>
      <c r="EJ11" s="774" t="str">
        <f t="shared" ca="1" si="18"/>
        <v>BASF SE</v>
      </c>
      <c r="EK11" s="774" t="str">
        <f t="shared" ca="1" si="18"/>
        <v>Dow Inc</v>
      </c>
      <c r="EL11" s="774" t="str">
        <f t="shared" ca="1" si="18"/>
        <v>LyondellBasell Industries NV</v>
      </c>
      <c r="EM11" s="774" t="str">
        <f t="shared" ca="1" si="18"/>
        <v>Olin Corp</v>
      </c>
      <c r="EN11" s="774" t="str">
        <f t="shared" ca="1" si="18"/>
        <v>Evonik Industries AG</v>
      </c>
      <c r="EO11" s="774" t="str">
        <f t="shared" ca="1" si="18"/>
        <v>Huntsman Corp</v>
      </c>
      <c r="EP11" s="774" t="str">
        <f t="shared" ca="1" si="18"/>
        <v>3M Co</v>
      </c>
      <c r="EQ11" s="774" t="str">
        <f t="shared" ca="1" si="18"/>
        <v>Albemarle Corp</v>
      </c>
      <c r="ER11" s="774" t="str">
        <f t="shared" ca="1" si="18"/>
        <v>Ashland Inc</v>
      </c>
      <c r="ES11" s="774" t="str">
        <f t="shared" ca="1" si="18"/>
        <v>Avient Corp</v>
      </c>
      <c r="ET11" s="774" t="str">
        <f t="shared" ca="1" si="18"/>
        <v>Dupont De Nemours Inc</v>
      </c>
      <c r="EU11" s="774" t="str">
        <f t="shared" ca="1" si="18"/>
        <v>FMC Corp</v>
      </c>
      <c r="EV11" s="774" t="str">
        <f t="shared" ca="1" si="18"/>
        <v>PPG Industries Inc</v>
      </c>
      <c r="EW11" s="774" t="str">
        <f t="shared" ca="1" si="18"/>
        <v>Solvay SA</v>
      </c>
      <c r="EX11" s="774" t="str">
        <f t="shared" ca="1" si="18"/>
        <v>No universe defined.</v>
      </c>
      <c r="EY11" s="774" t="str">
        <f t="shared" ca="1" si="18"/>
        <v>No universe defined.</v>
      </c>
      <c r="FA11" s="774" t="str">
        <f t="shared" ref="FA11:FQ11" ca="1" si="19">EH11</f>
        <v>Eastman Chemical Co</v>
      </c>
      <c r="FB11" s="774" t="str">
        <f t="shared" ca="1" si="19"/>
        <v>Celanese Corp</v>
      </c>
      <c r="FC11" s="774" t="str">
        <f t="shared" ca="1" si="19"/>
        <v>BASF SE</v>
      </c>
      <c r="FD11" s="774" t="str">
        <f t="shared" ca="1" si="19"/>
        <v>Dow Inc</v>
      </c>
      <c r="FE11" s="774" t="str">
        <f t="shared" ca="1" si="19"/>
        <v>LyondellBasell Industries NV</v>
      </c>
      <c r="FF11" s="774" t="str">
        <f t="shared" ca="1" si="19"/>
        <v>Olin Corp</v>
      </c>
      <c r="FG11" s="774" t="str">
        <f t="shared" ca="1" si="19"/>
        <v>Evonik Industries AG</v>
      </c>
      <c r="FH11" s="774" t="str">
        <f t="shared" ca="1" si="19"/>
        <v>Huntsman Corp</v>
      </c>
      <c r="FI11" s="774" t="str">
        <f t="shared" ca="1" si="19"/>
        <v>3M Co</v>
      </c>
      <c r="FJ11" s="774" t="str">
        <f t="shared" ca="1" si="19"/>
        <v>Albemarle Corp</v>
      </c>
      <c r="FK11" s="774" t="str">
        <f t="shared" ca="1" si="19"/>
        <v>Ashland Inc</v>
      </c>
      <c r="FL11" s="774" t="str">
        <f t="shared" ca="1" si="19"/>
        <v>Avient Corp</v>
      </c>
      <c r="FM11" s="774" t="str">
        <f t="shared" ca="1" si="19"/>
        <v>Dupont De Nemours Inc</v>
      </c>
      <c r="FN11" s="774" t="str">
        <f t="shared" ca="1" si="19"/>
        <v>FMC Corp</v>
      </c>
      <c r="FO11" s="774" t="str">
        <f t="shared" ca="1" si="19"/>
        <v>PPG Industries Inc</v>
      </c>
      <c r="FP11" s="774" t="str">
        <f t="shared" ca="1" si="19"/>
        <v>Solvay SA</v>
      </c>
      <c r="FQ11" s="774" t="str">
        <f t="shared" ca="1" si="19"/>
        <v>No universe defined.</v>
      </c>
      <c r="FS11" s="774" t="str">
        <f t="shared" ref="FS11:GI11" ca="1" si="20">EH11</f>
        <v>Eastman Chemical Co</v>
      </c>
      <c r="FT11" s="774" t="str">
        <f t="shared" ca="1" si="20"/>
        <v>Celanese Corp</v>
      </c>
      <c r="FU11" s="774" t="str">
        <f t="shared" ca="1" si="20"/>
        <v>BASF SE</v>
      </c>
      <c r="FV11" s="774" t="str">
        <f t="shared" ca="1" si="20"/>
        <v>Dow Inc</v>
      </c>
      <c r="FW11" s="774" t="str">
        <f t="shared" ca="1" si="20"/>
        <v>LyondellBasell Industries NV</v>
      </c>
      <c r="FX11" s="774" t="str">
        <f t="shared" ca="1" si="20"/>
        <v>Olin Corp</v>
      </c>
      <c r="FY11" s="774" t="str">
        <f t="shared" ca="1" si="20"/>
        <v>Evonik Industries AG</v>
      </c>
      <c r="FZ11" s="774" t="str">
        <f t="shared" ca="1" si="20"/>
        <v>Huntsman Corp</v>
      </c>
      <c r="GA11" s="774" t="str">
        <f t="shared" ca="1" si="20"/>
        <v>3M Co</v>
      </c>
      <c r="GB11" s="774" t="str">
        <f t="shared" ca="1" si="20"/>
        <v>Albemarle Corp</v>
      </c>
      <c r="GC11" s="774" t="str">
        <f t="shared" ca="1" si="20"/>
        <v>Ashland Inc</v>
      </c>
      <c r="GD11" s="774" t="str">
        <f t="shared" ca="1" si="20"/>
        <v>Avient Corp</v>
      </c>
      <c r="GE11" s="774" t="str">
        <f t="shared" ca="1" si="20"/>
        <v>Dupont De Nemours Inc</v>
      </c>
      <c r="GF11" s="774" t="str">
        <f t="shared" ca="1" si="20"/>
        <v>FMC Corp</v>
      </c>
      <c r="GG11" s="774" t="str">
        <f t="shared" ca="1" si="20"/>
        <v>PPG Industries Inc</v>
      </c>
      <c r="GH11" s="774" t="str">
        <f t="shared" ca="1" si="20"/>
        <v>Solvay SA</v>
      </c>
      <c r="GI11" s="774" t="str">
        <f t="shared" ca="1" si="20"/>
        <v>No universe defined.</v>
      </c>
      <c r="GK11" s="774" t="str">
        <f ca="1">FS11</f>
        <v>Eastman Chemical Co</v>
      </c>
      <c r="GL11" s="774" t="str">
        <f t="shared" ref="GL11:HA11" ca="1" si="21">FT11</f>
        <v>Celanese Corp</v>
      </c>
      <c r="GM11" s="774" t="str">
        <f t="shared" ca="1" si="21"/>
        <v>BASF SE</v>
      </c>
      <c r="GN11" s="774" t="str">
        <f t="shared" ca="1" si="21"/>
        <v>Dow Inc</v>
      </c>
      <c r="GO11" s="774" t="str">
        <f t="shared" ca="1" si="21"/>
        <v>LyondellBasell Industries NV</v>
      </c>
      <c r="GP11" s="774" t="str">
        <f t="shared" ca="1" si="21"/>
        <v>Olin Corp</v>
      </c>
      <c r="GQ11" s="774" t="str">
        <f t="shared" ca="1" si="21"/>
        <v>Evonik Industries AG</v>
      </c>
      <c r="GR11" s="774" t="str">
        <f t="shared" ca="1" si="21"/>
        <v>Huntsman Corp</v>
      </c>
      <c r="GS11" s="774" t="str">
        <f t="shared" ca="1" si="21"/>
        <v>3M Co</v>
      </c>
      <c r="GT11" s="774" t="str">
        <f t="shared" ca="1" si="21"/>
        <v>Albemarle Corp</v>
      </c>
      <c r="GU11" s="774" t="str">
        <f t="shared" ca="1" si="21"/>
        <v>Ashland Inc</v>
      </c>
      <c r="GV11" s="774" t="str">
        <f t="shared" ca="1" si="21"/>
        <v>Avient Corp</v>
      </c>
      <c r="GW11" s="774" t="str">
        <f t="shared" ca="1" si="21"/>
        <v>Dupont De Nemours Inc</v>
      </c>
      <c r="GX11" s="774" t="str">
        <f t="shared" ca="1" si="21"/>
        <v>FMC Corp</v>
      </c>
      <c r="GY11" s="774" t="str">
        <f t="shared" ca="1" si="21"/>
        <v>PPG Industries Inc</v>
      </c>
      <c r="GZ11" s="774" t="str">
        <f t="shared" ca="1" si="21"/>
        <v>Solvay SA</v>
      </c>
      <c r="HA11" s="774" t="str">
        <f t="shared" ca="1" si="21"/>
        <v>No universe defined.</v>
      </c>
      <c r="HC11" s="762" t="s">
        <v>1811</v>
      </c>
      <c r="HD11" s="762" t="s">
        <v>1812</v>
      </c>
      <c r="HE11" s="762" t="s">
        <v>1813</v>
      </c>
    </row>
    <row r="12" spans="1:213" ht="5.2" customHeight="1">
      <c r="A12" s="762"/>
      <c r="B12" s="762"/>
      <c r="C12" s="762"/>
      <c r="D12" s="762"/>
      <c r="E12" s="762"/>
      <c r="F12" s="762"/>
      <c r="G12" s="762"/>
      <c r="H12" s="762"/>
      <c r="I12" s="762"/>
      <c r="J12" s="762"/>
      <c r="K12" s="762"/>
      <c r="L12" s="762"/>
      <c r="M12" s="762"/>
      <c r="N12" s="762"/>
      <c r="O12" s="762"/>
      <c r="P12" s="762"/>
      <c r="Q12" s="762"/>
      <c r="R12" s="762"/>
      <c r="S12" s="762"/>
      <c r="T12" s="762"/>
      <c r="U12" s="762"/>
      <c r="V12" s="762"/>
      <c r="X12" s="762"/>
      <c r="Y12" s="762"/>
      <c r="Z12" s="762"/>
      <c r="AA12" s="762"/>
      <c r="AB12" s="762"/>
      <c r="AC12" s="762"/>
      <c r="AD12" s="762"/>
      <c r="AE12" s="762"/>
      <c r="AF12" s="762"/>
      <c r="AG12" s="762"/>
      <c r="AH12" s="762"/>
      <c r="AI12" s="762"/>
      <c r="AJ12" s="762"/>
      <c r="AK12" s="762"/>
      <c r="AL12" s="762"/>
      <c r="AM12" s="762"/>
      <c r="AN12" s="762"/>
      <c r="AO12" s="762"/>
      <c r="AQ12" s="762"/>
      <c r="AR12" s="762"/>
      <c r="AS12" s="762"/>
      <c r="AT12" s="762"/>
      <c r="AU12" s="762"/>
      <c r="AV12" s="762"/>
      <c r="AW12" s="762"/>
      <c r="AX12" s="762"/>
      <c r="AY12" s="762"/>
      <c r="AZ12" s="762"/>
      <c r="BA12" s="762"/>
      <c r="BB12" s="762"/>
      <c r="BC12" s="762"/>
      <c r="BD12" s="762"/>
      <c r="BE12" s="762"/>
      <c r="BF12" s="762"/>
      <c r="BG12" s="762"/>
      <c r="BH12" s="762"/>
      <c r="BJ12" s="762"/>
      <c r="BK12" s="762"/>
      <c r="BL12" s="762"/>
      <c r="BM12" s="762"/>
      <c r="BN12" s="762"/>
      <c r="BO12" s="762"/>
      <c r="BP12" s="762"/>
      <c r="BQ12" s="762"/>
      <c r="BR12" s="762"/>
      <c r="BS12" s="762"/>
      <c r="BT12" s="762"/>
      <c r="BU12" s="762"/>
      <c r="BV12" s="762"/>
      <c r="BW12" s="762"/>
      <c r="BX12" s="762"/>
      <c r="BY12" s="762"/>
      <c r="BZ12" s="762"/>
      <c r="CA12" s="762"/>
      <c r="CC12" s="762"/>
      <c r="CD12" s="762"/>
      <c r="CE12" s="762"/>
      <c r="CF12" s="762"/>
      <c r="CG12" s="762"/>
      <c r="CH12" s="762"/>
      <c r="CI12" s="762"/>
      <c r="CJ12" s="762"/>
      <c r="CK12" s="762"/>
      <c r="CL12" s="762"/>
      <c r="CM12" s="762"/>
      <c r="CN12" s="762"/>
      <c r="CO12" s="762"/>
      <c r="CP12" s="762"/>
      <c r="CQ12" s="762"/>
      <c r="CR12" s="762"/>
      <c r="CS12" s="762"/>
      <c r="CT12" s="762"/>
      <c r="CX12" s="762"/>
      <c r="DD12" s="762"/>
      <c r="DO12" s="762"/>
      <c r="DP12" s="762"/>
      <c r="DQ12" s="762"/>
      <c r="DR12" s="762"/>
      <c r="DS12" s="762"/>
      <c r="DT12" s="762"/>
      <c r="DU12" s="762"/>
      <c r="DV12" s="762"/>
      <c r="DW12" s="762"/>
      <c r="DX12" s="762"/>
      <c r="DY12" s="762"/>
      <c r="DZ12" s="762"/>
      <c r="EA12" s="762"/>
      <c r="EB12" s="762"/>
      <c r="EC12" s="762"/>
      <c r="ED12" s="762"/>
      <c r="EE12" s="762"/>
      <c r="EF12" s="762"/>
      <c r="EH12" s="762"/>
      <c r="EI12" s="762"/>
      <c r="EJ12" s="762"/>
      <c r="EK12" s="762"/>
      <c r="EL12" s="762"/>
      <c r="EM12" s="762"/>
      <c r="EN12" s="762"/>
      <c r="EO12" s="762"/>
      <c r="EP12" s="762"/>
      <c r="EQ12" s="762"/>
      <c r="ER12" s="762"/>
      <c r="ES12" s="762"/>
      <c r="ET12" s="762"/>
      <c r="EU12" s="762"/>
      <c r="EV12" s="762"/>
      <c r="EW12" s="762"/>
      <c r="EX12" s="762"/>
      <c r="EY12" s="762"/>
      <c r="FA12" s="762"/>
      <c r="FB12" s="762"/>
      <c r="FC12" s="762"/>
      <c r="FD12" s="762"/>
      <c r="FE12" s="762"/>
      <c r="FF12" s="762"/>
      <c r="FG12" s="762"/>
      <c r="FH12" s="762"/>
      <c r="FI12" s="762"/>
      <c r="FJ12" s="762"/>
      <c r="FK12" s="762"/>
      <c r="FL12" s="762"/>
      <c r="FM12" s="762"/>
      <c r="FN12" s="762"/>
      <c r="FO12" s="762"/>
      <c r="FP12" s="762"/>
      <c r="FQ12" s="762"/>
      <c r="FS12" s="762"/>
      <c r="FT12" s="762"/>
      <c r="FU12" s="762"/>
      <c r="FV12" s="762"/>
      <c r="FW12" s="762"/>
      <c r="FX12" s="762"/>
      <c r="FY12" s="762"/>
      <c r="FZ12" s="762"/>
      <c r="GA12" s="762"/>
      <c r="GB12" s="762"/>
      <c r="GC12" s="762"/>
      <c r="GD12" s="762"/>
      <c r="GE12" s="762"/>
      <c r="GF12" s="762"/>
      <c r="GG12" s="762"/>
      <c r="GH12" s="762"/>
      <c r="GI12" s="762"/>
      <c r="GK12" s="762"/>
      <c r="GL12" s="762"/>
      <c r="GM12" s="762"/>
      <c r="GN12" s="762"/>
      <c r="GO12" s="762"/>
      <c r="GP12" s="762"/>
      <c r="GQ12" s="762"/>
      <c r="GR12" s="762"/>
      <c r="GS12" s="762"/>
      <c r="GT12" s="762"/>
      <c r="GU12" s="762"/>
      <c r="GV12" s="762"/>
      <c r="GW12" s="762"/>
      <c r="GX12" s="762"/>
      <c r="GY12" s="762"/>
      <c r="GZ12" s="762"/>
      <c r="HA12" s="762"/>
    </row>
    <row r="13" spans="1:213" ht="11.25" customHeight="1" outlineLevel="1">
      <c r="A13" s="762"/>
      <c r="B13" s="762"/>
      <c r="C13" s="762" t="s">
        <v>1160</v>
      </c>
      <c r="D13" s="762"/>
      <c r="E13" s="775">
        <v>1</v>
      </c>
      <c r="F13" s="775">
        <v>1</v>
      </c>
      <c r="G13" s="775">
        <v>1</v>
      </c>
      <c r="H13" s="775">
        <v>1</v>
      </c>
      <c r="I13" s="775">
        <v>1</v>
      </c>
      <c r="J13" s="775">
        <v>1</v>
      </c>
      <c r="K13" s="775">
        <v>1</v>
      </c>
      <c r="L13" s="775">
        <v>1</v>
      </c>
      <c r="M13" s="775">
        <v>1</v>
      </c>
      <c r="N13" s="775">
        <v>1</v>
      </c>
      <c r="O13" s="775">
        <v>1</v>
      </c>
      <c r="P13" s="775">
        <v>1</v>
      </c>
      <c r="Q13" s="775">
        <v>1</v>
      </c>
      <c r="R13" s="775">
        <v>1</v>
      </c>
      <c r="S13" s="775">
        <v>1</v>
      </c>
      <c r="T13" s="775">
        <v>1</v>
      </c>
      <c r="U13" s="775">
        <v>1</v>
      </c>
      <c r="V13" s="775">
        <v>1</v>
      </c>
      <c r="X13" s="775">
        <v>1</v>
      </c>
      <c r="Y13" s="775">
        <v>1</v>
      </c>
      <c r="Z13" s="775">
        <v>1</v>
      </c>
      <c r="AA13" s="775">
        <v>1</v>
      </c>
      <c r="AB13" s="775">
        <v>1</v>
      </c>
      <c r="AC13" s="775">
        <v>1</v>
      </c>
      <c r="AD13" s="775">
        <v>1</v>
      </c>
      <c r="AE13" s="775">
        <v>1</v>
      </c>
      <c r="AF13" s="775">
        <v>1</v>
      </c>
      <c r="AG13" s="775">
        <v>1</v>
      </c>
      <c r="AH13" s="775">
        <v>1</v>
      </c>
      <c r="AI13" s="775">
        <v>1</v>
      </c>
      <c r="AJ13" s="775">
        <v>1</v>
      </c>
      <c r="AK13" s="775">
        <v>1</v>
      </c>
      <c r="AL13" s="775">
        <v>1</v>
      </c>
      <c r="AM13" s="775">
        <v>1</v>
      </c>
      <c r="AN13" s="775">
        <v>1</v>
      </c>
      <c r="AO13" s="775">
        <v>1</v>
      </c>
      <c r="AQ13" s="775">
        <f t="shared" ref="AQ13:BH13" ca="1" si="22">MIN(AQ22:AQ41)</f>
        <v>7.8388866666666699</v>
      </c>
      <c r="AR13" s="775">
        <f t="shared" ca="1" si="22"/>
        <v>13.827780000000001</v>
      </c>
      <c r="AS13" s="775">
        <f t="shared" ca="1" si="22"/>
        <v>5.3808333333333298</v>
      </c>
      <c r="AT13" s="775">
        <f t="shared" ca="1" si="22"/>
        <v>4.26444166666667</v>
      </c>
      <c r="AU13" s="775">
        <f t="shared" ca="1" si="22"/>
        <v>9.0388916666666699</v>
      </c>
      <c r="AV13" s="775">
        <f t="shared" ca="1" si="22"/>
        <v>-9.65</v>
      </c>
      <c r="AW13" s="775">
        <f t="shared" ca="1" si="22"/>
        <v>5.3655583333333299</v>
      </c>
      <c r="AX13" s="775">
        <f t="shared" ca="1" si="22"/>
        <v>6.5166666666666702</v>
      </c>
      <c r="AY13" s="775">
        <f t="shared" ca="1" si="22"/>
        <v>14.55</v>
      </c>
      <c r="AZ13" s="775">
        <f t="shared" ca="1" si="22"/>
        <v>-4.6666666666666696</v>
      </c>
      <c r="BA13" s="775">
        <f t="shared" ca="1" si="22"/>
        <v>0</v>
      </c>
      <c r="BB13" s="775">
        <f t="shared" ca="1" si="22"/>
        <v>5.5166666666666702</v>
      </c>
      <c r="BC13" s="775">
        <f t="shared" ca="1" si="22"/>
        <v>7.8250000000000002</v>
      </c>
      <c r="BD13" s="775">
        <f t="shared" ca="1" si="22"/>
        <v>7.5333333333333297</v>
      </c>
      <c r="BE13" s="775">
        <f t="shared" ca="1" si="22"/>
        <v>9.0333333333333297</v>
      </c>
      <c r="BF13" s="775">
        <f t="shared" ca="1" si="22"/>
        <v>5.5616666666666701</v>
      </c>
      <c r="BG13" s="775">
        <f t="shared" ca="1" si="22"/>
        <v>0</v>
      </c>
      <c r="BH13" s="775">
        <f t="shared" ca="1" si="22"/>
        <v>0</v>
      </c>
      <c r="BJ13" s="775">
        <v>1</v>
      </c>
      <c r="BK13" s="775">
        <v>1</v>
      </c>
      <c r="BL13" s="775">
        <v>1</v>
      </c>
      <c r="BM13" s="775">
        <v>1</v>
      </c>
      <c r="BN13" s="775">
        <v>1</v>
      </c>
      <c r="BO13" s="775">
        <v>1</v>
      </c>
      <c r="BP13" s="775">
        <v>1</v>
      </c>
      <c r="BQ13" s="775">
        <v>1</v>
      </c>
      <c r="BR13" s="775">
        <v>1</v>
      </c>
      <c r="BS13" s="775">
        <v>1</v>
      </c>
      <c r="BT13" s="775">
        <v>1</v>
      </c>
      <c r="BU13" s="775">
        <v>1</v>
      </c>
      <c r="BV13" s="775">
        <v>1</v>
      </c>
      <c r="BW13" s="775">
        <v>1</v>
      </c>
      <c r="BX13" s="775">
        <v>1</v>
      </c>
      <c r="BY13" s="775">
        <v>1</v>
      </c>
      <c r="BZ13" s="775">
        <v>1</v>
      </c>
      <c r="CA13" s="775">
        <v>1</v>
      </c>
      <c r="CC13" s="775">
        <f t="shared" ref="CC13:CT13" ca="1" si="23">MIN(CC22:CC41)</f>
        <v>4905</v>
      </c>
      <c r="CD13" s="775">
        <f t="shared" ca="1" si="23"/>
        <v>4814</v>
      </c>
      <c r="CE13" s="775">
        <f t="shared" ca="1" si="23"/>
        <v>32837</v>
      </c>
      <c r="CF13" s="775">
        <f t="shared" ca="1" si="23"/>
        <v>38542</v>
      </c>
      <c r="CG13" s="775">
        <f t="shared" ca="1" si="23"/>
        <v>27753</v>
      </c>
      <c r="CH13" s="775">
        <f t="shared" ca="1" si="23"/>
        <v>1276.8</v>
      </c>
      <c r="CI13" s="775">
        <f t="shared" ca="1" si="23"/>
        <v>11835</v>
      </c>
      <c r="CJ13" s="775">
        <f t="shared" ca="1" si="23"/>
        <v>6018</v>
      </c>
      <c r="CK13" s="775">
        <f t="shared" ca="1" si="23"/>
        <v>18232</v>
      </c>
      <c r="CL13" s="775">
        <f t="shared" ca="1" si="23"/>
        <v>1110.2370000000001</v>
      </c>
      <c r="CM13" s="775">
        <f t="shared" ca="1" si="23"/>
        <v>1889</v>
      </c>
      <c r="CN13" s="775">
        <f t="shared" ca="1" si="23"/>
        <v>1964.5</v>
      </c>
      <c r="CO13" s="775">
        <f t="shared" ca="1" si="23"/>
        <v>11128</v>
      </c>
      <c r="CP13" s="775">
        <f t="shared" ca="1" si="23"/>
        <v>1921.4</v>
      </c>
      <c r="CQ13" s="775">
        <f t="shared" ca="1" si="23"/>
        <v>8756</v>
      </c>
      <c r="CR13" s="775">
        <f t="shared" ca="1" si="23"/>
        <v>5761</v>
      </c>
      <c r="CS13" s="775">
        <f t="shared" ca="1" si="23"/>
        <v>0</v>
      </c>
      <c r="CT13" s="775">
        <f t="shared" ca="1" si="23"/>
        <v>0</v>
      </c>
      <c r="CV13" s="997">
        <f t="shared" ref="CV13:DM13" ca="1" si="24">MIN(CV22:CV41)</f>
        <v>2960.75</v>
      </c>
      <c r="CW13" s="997">
        <f t="shared" ca="1" si="24"/>
        <v>1819.75</v>
      </c>
      <c r="CX13" s="997">
        <f t="shared" ca="1" si="24"/>
        <v>13408.174999999999</v>
      </c>
      <c r="CY13" s="997">
        <f t="shared" ca="1" si="24"/>
        <v>21512.5</v>
      </c>
      <c r="CZ13" s="997">
        <f t="shared" ca="1" si="24"/>
        <v>7426.25</v>
      </c>
      <c r="DA13" s="997">
        <f t="shared" ca="1" si="24"/>
        <v>360.9</v>
      </c>
      <c r="DB13" s="997">
        <f t="shared" ca="1" si="24"/>
        <v>4249.75</v>
      </c>
      <c r="DC13" s="997">
        <f t="shared" ca="1" si="24"/>
        <v>2865</v>
      </c>
      <c r="DD13" s="997">
        <f t="shared" ca="1" si="24"/>
        <v>5536.75</v>
      </c>
      <c r="DE13" s="997">
        <f t="shared" ca="1" si="24"/>
        <v>522.68650000000002</v>
      </c>
      <c r="DF13" s="997">
        <f t="shared" ca="1" si="24"/>
        <v>925.5</v>
      </c>
      <c r="DG13" s="997">
        <f t="shared" ca="1" si="24"/>
        <v>371.32499999999999</v>
      </c>
      <c r="DH13" s="997">
        <f t="shared" ca="1" si="24"/>
        <v>6025.25</v>
      </c>
      <c r="DI13" s="997">
        <f t="shared" ca="1" si="24"/>
        <v>661.4</v>
      </c>
      <c r="DJ13" s="997">
        <f t="shared" ca="1" si="24"/>
        <v>2341.5</v>
      </c>
      <c r="DK13" s="997">
        <f t="shared" ca="1" si="24"/>
        <v>3480.5</v>
      </c>
      <c r="DL13" s="997">
        <f t="shared" ca="1" si="24"/>
        <v>0</v>
      </c>
      <c r="DM13" s="997">
        <f t="shared" ca="1" si="24"/>
        <v>0</v>
      </c>
      <c r="DO13" s="775">
        <v>1</v>
      </c>
      <c r="DP13" s="775">
        <v>1</v>
      </c>
      <c r="DQ13" s="775">
        <v>1</v>
      </c>
      <c r="DR13" s="775">
        <v>1</v>
      </c>
      <c r="DS13" s="775">
        <v>1</v>
      </c>
      <c r="DT13" s="775">
        <v>1</v>
      </c>
      <c r="DU13" s="775">
        <v>1</v>
      </c>
      <c r="DV13" s="775">
        <v>1</v>
      </c>
      <c r="DW13" s="775">
        <v>1</v>
      </c>
      <c r="DX13" s="775">
        <v>1</v>
      </c>
      <c r="DY13" s="775">
        <v>1</v>
      </c>
      <c r="DZ13" s="775">
        <v>1</v>
      </c>
      <c r="EA13" s="775">
        <v>1</v>
      </c>
      <c r="EB13" s="775">
        <v>1</v>
      </c>
      <c r="EC13" s="775">
        <v>1</v>
      </c>
      <c r="ED13" s="775">
        <v>1</v>
      </c>
      <c r="EE13" s="775">
        <v>1</v>
      </c>
      <c r="EF13" s="775">
        <v>1</v>
      </c>
      <c r="EH13" s="775">
        <v>1</v>
      </c>
      <c r="EI13" s="775">
        <v>1</v>
      </c>
      <c r="EJ13" s="775">
        <v>1</v>
      </c>
      <c r="EK13" s="775">
        <v>1</v>
      </c>
      <c r="EL13" s="775">
        <v>1</v>
      </c>
      <c r="EM13" s="775">
        <v>1</v>
      </c>
      <c r="EN13" s="775">
        <v>1</v>
      </c>
      <c r="EO13" s="775">
        <v>1</v>
      </c>
      <c r="EP13" s="775">
        <v>1</v>
      </c>
      <c r="EQ13" s="775">
        <v>1</v>
      </c>
      <c r="ER13" s="775">
        <v>1</v>
      </c>
      <c r="ES13" s="775">
        <v>1</v>
      </c>
      <c r="ET13" s="775">
        <v>1</v>
      </c>
      <c r="EU13" s="775">
        <v>1</v>
      </c>
      <c r="EV13" s="775">
        <v>1</v>
      </c>
      <c r="EW13" s="775">
        <v>1</v>
      </c>
      <c r="EX13" s="775">
        <v>1</v>
      </c>
      <c r="EY13" s="775">
        <v>1</v>
      </c>
      <c r="FA13" s="775">
        <v>1</v>
      </c>
      <c r="FB13" s="775">
        <v>1</v>
      </c>
      <c r="FC13" s="775">
        <v>1</v>
      </c>
      <c r="FD13" s="775">
        <v>1</v>
      </c>
      <c r="FE13" s="775">
        <v>1</v>
      </c>
      <c r="FF13" s="775">
        <v>1</v>
      </c>
      <c r="FG13" s="775">
        <v>1</v>
      </c>
      <c r="FH13" s="775">
        <v>1</v>
      </c>
      <c r="FI13" s="775">
        <v>1</v>
      </c>
      <c r="FJ13" s="775">
        <v>1</v>
      </c>
      <c r="FK13" s="775">
        <v>1</v>
      </c>
      <c r="FL13" s="775">
        <v>1</v>
      </c>
      <c r="FM13" s="775">
        <v>1</v>
      </c>
      <c r="FN13" s="775">
        <v>1</v>
      </c>
      <c r="FO13" s="775">
        <v>1</v>
      </c>
      <c r="FP13" s="775">
        <v>1</v>
      </c>
      <c r="FQ13" s="775">
        <v>1</v>
      </c>
      <c r="FS13" s="775">
        <f t="shared" ref="FS13:GI13" ca="1" si="25">MIN(FS22:FS41)</f>
        <v>-4</v>
      </c>
      <c r="FT13" s="775">
        <f t="shared" ca="1" si="25"/>
        <v>-61</v>
      </c>
      <c r="FU13" s="775">
        <f t="shared" ca="1" si="25"/>
        <v>-1089.0999999999999</v>
      </c>
      <c r="FV13" s="775">
        <f t="shared" ca="1" si="25"/>
        <v>-2421</v>
      </c>
      <c r="FW13" s="775">
        <f t="shared" ca="1" si="25"/>
        <v>443</v>
      </c>
      <c r="FX13" s="775">
        <f t="shared" ca="1" si="25"/>
        <v>-191.5</v>
      </c>
      <c r="FY13" s="775">
        <f t="shared" ca="1" si="25"/>
        <v>-282</v>
      </c>
      <c r="FZ13" s="775">
        <f t="shared" ca="1" si="25"/>
        <v>-581.6</v>
      </c>
      <c r="GA13" s="775">
        <f t="shared" ca="1" si="25"/>
        <v>2671</v>
      </c>
      <c r="GB13" s="775">
        <f t="shared" ca="1" si="25"/>
        <v>-321.91000000000003</v>
      </c>
      <c r="GC13" s="775">
        <f t="shared" ca="1" si="25"/>
        <v>-403</v>
      </c>
      <c r="GD13" s="775">
        <f t="shared" ca="1" si="25"/>
        <v>-198.8</v>
      </c>
      <c r="GE13" s="775">
        <f t="shared" ca="1" si="25"/>
        <v>-4434</v>
      </c>
      <c r="GF13" s="775">
        <f t="shared" ca="1" si="25"/>
        <v>-466.2</v>
      </c>
      <c r="GG13" s="775">
        <f t="shared" ca="1" si="25"/>
        <v>445</v>
      </c>
      <c r="GH13" s="775">
        <f t="shared" ca="1" si="25"/>
        <v>165</v>
      </c>
      <c r="GI13" s="775">
        <f t="shared" ca="1" si="25"/>
        <v>0</v>
      </c>
      <c r="GK13" s="775">
        <f t="shared" ref="GK13:HA13" ca="1" si="26">MIN(GK22:GK41)</f>
        <v>1.6198704103671699</v>
      </c>
      <c r="GL13" s="775">
        <f t="shared" ca="1" si="26"/>
        <v>0.45475216007275998</v>
      </c>
      <c r="GM13" s="775">
        <f t="shared" ca="1" si="26"/>
        <v>2.8576231299378101</v>
      </c>
      <c r="GN13" s="775">
        <f t="shared" ca="1" si="26"/>
        <v>4.6029919447641001</v>
      </c>
      <c r="GO13" s="775">
        <f t="shared" ca="1" si="26"/>
        <v>2.2416498542927599</v>
      </c>
      <c r="GP13" s="775">
        <f t="shared" ca="1" si="26"/>
        <v>1.2911555842478999</v>
      </c>
      <c r="GQ13" s="775">
        <f t="shared" ca="1" si="26"/>
        <v>3.8275919454152101</v>
      </c>
      <c r="GR13" s="775">
        <f t="shared" ca="1" si="26"/>
        <v>1.5234613040828799</v>
      </c>
      <c r="GS13" s="775">
        <f t="shared" ca="1" si="26"/>
        <v>2.3448275862068999</v>
      </c>
      <c r="GT13" s="775">
        <f t="shared" ca="1" si="26"/>
        <v>0.58367196158108603</v>
      </c>
      <c r="GU13" s="775">
        <f t="shared" ca="1" si="26"/>
        <v>1.01402737873923</v>
      </c>
      <c r="GV13" s="775">
        <f t="shared" ca="1" si="26"/>
        <v>0.853242320819113</v>
      </c>
      <c r="GW13" s="775">
        <f t="shared" ca="1" si="26"/>
        <v>1.66414523449319</v>
      </c>
      <c r="GX13" s="775">
        <f t="shared" ca="1" si="26"/>
        <v>0.61282019855374403</v>
      </c>
      <c r="GY13" s="775">
        <f t="shared" ca="1" si="26"/>
        <v>1.29168872419269</v>
      </c>
      <c r="GZ13" s="775">
        <f t="shared" ca="1" si="26"/>
        <v>2.7315407597097701</v>
      </c>
      <c r="HA13" s="775">
        <f t="shared" ca="1" si="26"/>
        <v>0</v>
      </c>
    </row>
    <row r="14" spans="1:213" ht="11.25" customHeight="1" outlineLevel="1">
      <c r="A14" s="762"/>
      <c r="B14" s="762"/>
      <c r="C14" s="762" t="s">
        <v>1161</v>
      </c>
      <c r="D14" s="762"/>
      <c r="E14" s="775">
        <v>30</v>
      </c>
      <c r="F14" s="775">
        <v>30</v>
      </c>
      <c r="G14" s="775">
        <v>30</v>
      </c>
      <c r="H14" s="775">
        <v>30</v>
      </c>
      <c r="I14" s="775">
        <v>30</v>
      </c>
      <c r="J14" s="775">
        <v>30</v>
      </c>
      <c r="K14" s="775">
        <v>30</v>
      </c>
      <c r="L14" s="775">
        <v>30</v>
      </c>
      <c r="M14" s="775">
        <v>30</v>
      </c>
      <c r="N14" s="775">
        <v>30</v>
      </c>
      <c r="O14" s="775">
        <v>30</v>
      </c>
      <c r="P14" s="775">
        <v>30</v>
      </c>
      <c r="Q14" s="775">
        <v>30</v>
      </c>
      <c r="R14" s="775">
        <v>30</v>
      </c>
      <c r="S14" s="775">
        <v>30</v>
      </c>
      <c r="T14" s="775">
        <v>30</v>
      </c>
      <c r="U14" s="775">
        <v>30</v>
      </c>
      <c r="V14" s="775">
        <v>30</v>
      </c>
      <c r="X14" s="775">
        <v>30</v>
      </c>
      <c r="Y14" s="775">
        <v>30</v>
      </c>
      <c r="Z14" s="775">
        <v>30</v>
      </c>
      <c r="AA14" s="775">
        <v>30</v>
      </c>
      <c r="AB14" s="775">
        <v>30</v>
      </c>
      <c r="AC14" s="775">
        <v>30</v>
      </c>
      <c r="AD14" s="775">
        <v>30</v>
      </c>
      <c r="AE14" s="775">
        <v>30</v>
      </c>
      <c r="AF14" s="775">
        <v>30</v>
      </c>
      <c r="AG14" s="775">
        <v>30</v>
      </c>
      <c r="AH14" s="775">
        <v>30</v>
      </c>
      <c r="AI14" s="775">
        <v>30</v>
      </c>
      <c r="AJ14" s="775">
        <v>30</v>
      </c>
      <c r="AK14" s="775">
        <v>30</v>
      </c>
      <c r="AL14" s="775">
        <v>30</v>
      </c>
      <c r="AM14" s="775">
        <v>30</v>
      </c>
      <c r="AN14" s="775">
        <v>30</v>
      </c>
      <c r="AO14" s="775">
        <v>30</v>
      </c>
      <c r="AQ14" s="775">
        <f t="shared" ref="AQ14:BH14" ca="1" si="27">MAX(AQ20:AQ41)</f>
        <v>14.1833333333333</v>
      </c>
      <c r="AR14" s="775">
        <f t="shared" ca="1" si="27"/>
        <v>24.591666666666701</v>
      </c>
      <c r="AS14" s="775">
        <f t="shared" ca="1" si="27"/>
        <v>13.022220000000001</v>
      </c>
      <c r="AT14" s="775">
        <f t="shared" ca="1" si="27"/>
        <v>20.783333333333299</v>
      </c>
      <c r="AU14" s="775">
        <f t="shared" ca="1" si="27"/>
        <v>29.216670000000001</v>
      </c>
      <c r="AV14" s="775">
        <f t="shared" ca="1" si="27"/>
        <v>15.9166666666667</v>
      </c>
      <c r="AW14" s="775">
        <f t="shared" ca="1" si="27"/>
        <v>15.1291666666667</v>
      </c>
      <c r="AX14" s="775">
        <f t="shared" ca="1" si="27"/>
        <v>11.45</v>
      </c>
      <c r="AY14" s="775">
        <f t="shared" ca="1" si="27"/>
        <v>29.016666666666701</v>
      </c>
      <c r="AZ14" s="775">
        <f t="shared" ca="1" si="27"/>
        <v>18.716666666666701</v>
      </c>
      <c r="BA14" s="775">
        <f t="shared" ca="1" si="27"/>
        <v>0</v>
      </c>
      <c r="BB14" s="775">
        <f t="shared" ca="1" si="27"/>
        <v>11.741666666666699</v>
      </c>
      <c r="BC14" s="775">
        <f t="shared" ca="1" si="27"/>
        <v>16.570833333333301</v>
      </c>
      <c r="BD14" s="775">
        <f t="shared" ca="1" si="27"/>
        <v>21.8</v>
      </c>
      <c r="BE14" s="775">
        <f t="shared" ca="1" si="27"/>
        <v>18.994441666666699</v>
      </c>
      <c r="BF14" s="775">
        <f t="shared" ca="1" si="27"/>
        <v>14.8888883333333</v>
      </c>
      <c r="BG14" s="775">
        <f t="shared" ca="1" si="27"/>
        <v>0</v>
      </c>
      <c r="BH14" s="775">
        <f t="shared" ca="1" si="27"/>
        <v>0</v>
      </c>
      <c r="BJ14" s="775">
        <v>30</v>
      </c>
      <c r="BK14" s="775">
        <v>30</v>
      </c>
      <c r="BL14" s="775">
        <v>30</v>
      </c>
      <c r="BM14" s="775">
        <v>30</v>
      </c>
      <c r="BN14" s="775">
        <v>30</v>
      </c>
      <c r="BO14" s="775">
        <v>30</v>
      </c>
      <c r="BP14" s="775">
        <v>30</v>
      </c>
      <c r="BQ14" s="775">
        <v>30</v>
      </c>
      <c r="BR14" s="775">
        <v>30</v>
      </c>
      <c r="BS14" s="775">
        <v>30</v>
      </c>
      <c r="BT14" s="775">
        <v>30</v>
      </c>
      <c r="BU14" s="775">
        <v>30</v>
      </c>
      <c r="BV14" s="775">
        <v>30</v>
      </c>
      <c r="BW14" s="775">
        <v>30</v>
      </c>
      <c r="BX14" s="775">
        <v>30</v>
      </c>
      <c r="BY14" s="775">
        <v>30</v>
      </c>
      <c r="BZ14" s="775">
        <v>30</v>
      </c>
      <c r="CA14" s="775">
        <v>30</v>
      </c>
      <c r="CC14" s="775">
        <f t="shared" ref="CC14:CT14" ca="1" si="28">MAX(CC20:CC41)</f>
        <v>10580</v>
      </c>
      <c r="CD14" s="775">
        <f t="shared" ca="1" si="28"/>
        <v>9600</v>
      </c>
      <c r="CE14" s="775">
        <f t="shared" ca="1" si="28"/>
        <v>87328</v>
      </c>
      <c r="CF14" s="775">
        <f t="shared" ca="1" si="28"/>
        <v>56902</v>
      </c>
      <c r="CG14" s="775">
        <f t="shared" ca="1" si="28"/>
        <v>50451</v>
      </c>
      <c r="CH14" s="775">
        <f t="shared" ca="1" si="28"/>
        <v>9376.2000000000007</v>
      </c>
      <c r="CI14" s="775">
        <f t="shared" ca="1" si="28"/>
        <v>18238</v>
      </c>
      <c r="CJ14" s="775">
        <f t="shared" ca="1" si="28"/>
        <v>12393.5</v>
      </c>
      <c r="CK14" s="775">
        <f t="shared" ca="1" si="28"/>
        <v>35355</v>
      </c>
      <c r="CL14" s="775">
        <f t="shared" ca="1" si="28"/>
        <v>3518.5619999999999</v>
      </c>
      <c r="CM14" s="775">
        <f t="shared" ca="1" si="28"/>
        <v>8542</v>
      </c>
      <c r="CN14" s="775">
        <f t="shared" ca="1" si="28"/>
        <v>4022.5</v>
      </c>
      <c r="CO14" s="775">
        <f t="shared" ca="1" si="28"/>
        <v>62484</v>
      </c>
      <c r="CP14" s="775">
        <f t="shared" ca="1" si="28"/>
        <v>5802.3</v>
      </c>
      <c r="CQ14" s="775">
        <f t="shared" ca="1" si="28"/>
        <v>17652</v>
      </c>
      <c r="CR14" s="775">
        <f t="shared" ca="1" si="28"/>
        <v>15442</v>
      </c>
      <c r="CS14" s="775">
        <f t="shared" ca="1" si="28"/>
        <v>0</v>
      </c>
      <c r="CT14" s="775">
        <f t="shared" ca="1" si="28"/>
        <v>0</v>
      </c>
      <c r="CV14" s="997">
        <f t="shared" ref="CV14:DM14" ca="1" si="29">MAX(CV20:CV41)</f>
        <v>5765.75</v>
      </c>
      <c r="CW14" s="997">
        <f t="shared" ca="1" si="29"/>
        <v>4410.25</v>
      </c>
      <c r="CX14" s="997">
        <f t="shared" ca="1" si="29"/>
        <v>25513.75</v>
      </c>
      <c r="CY14" s="997">
        <f t="shared" ca="1" si="29"/>
        <v>23927.5</v>
      </c>
      <c r="CZ14" s="997">
        <f t="shared" ca="1" si="29"/>
        <v>16735.5</v>
      </c>
      <c r="DA14" s="997">
        <f t="shared" ca="1" si="29"/>
        <v>3767.7750000000001</v>
      </c>
      <c r="DB14" s="997">
        <f t="shared" ca="1" si="29"/>
        <v>7778.75</v>
      </c>
      <c r="DC14" s="997">
        <f t="shared" ca="1" si="29"/>
        <v>4914.3500000000004</v>
      </c>
      <c r="DD14" s="997">
        <f t="shared" ca="1" si="29"/>
        <v>10197.75</v>
      </c>
      <c r="DE14" s="997">
        <f t="shared" ca="1" si="29"/>
        <v>5628.3902500000004</v>
      </c>
      <c r="DF14" s="997">
        <f t="shared" ca="1" si="29"/>
        <v>2806.25</v>
      </c>
      <c r="DG14" s="997">
        <f t="shared" ca="1" si="29"/>
        <v>756.3</v>
      </c>
      <c r="DH14" s="997">
        <f t="shared" ca="1" si="29"/>
        <v>29111.25</v>
      </c>
      <c r="DI14" s="997">
        <f t="shared" ca="1" si="29"/>
        <v>1346.425</v>
      </c>
      <c r="DJ14" s="997">
        <f t="shared" ca="1" si="29"/>
        <v>4212.5</v>
      </c>
      <c r="DK14" s="997">
        <f t="shared" ca="1" si="29"/>
        <v>6787.75</v>
      </c>
      <c r="DL14" s="997">
        <f t="shared" ca="1" si="29"/>
        <v>0</v>
      </c>
      <c r="DM14" s="997">
        <f t="shared" ca="1" si="29"/>
        <v>0</v>
      </c>
      <c r="DO14" s="775">
        <v>30</v>
      </c>
      <c r="DP14" s="775">
        <v>30</v>
      </c>
      <c r="DQ14" s="775">
        <v>30</v>
      </c>
      <c r="DR14" s="775">
        <v>30</v>
      </c>
      <c r="DS14" s="775">
        <v>30</v>
      </c>
      <c r="DT14" s="775">
        <v>30</v>
      </c>
      <c r="DU14" s="775">
        <v>30</v>
      </c>
      <c r="DV14" s="775">
        <v>30</v>
      </c>
      <c r="DW14" s="775">
        <v>30</v>
      </c>
      <c r="DX14" s="775">
        <v>30</v>
      </c>
      <c r="DY14" s="775">
        <v>30</v>
      </c>
      <c r="DZ14" s="775">
        <v>30</v>
      </c>
      <c r="EA14" s="775">
        <v>30</v>
      </c>
      <c r="EB14" s="775">
        <v>30</v>
      </c>
      <c r="EC14" s="775">
        <v>30</v>
      </c>
      <c r="ED14" s="775">
        <v>30</v>
      </c>
      <c r="EE14" s="775">
        <v>30</v>
      </c>
      <c r="EF14" s="775">
        <v>30</v>
      </c>
      <c r="EH14" s="775">
        <v>30</v>
      </c>
      <c r="EI14" s="775">
        <v>30</v>
      </c>
      <c r="EJ14" s="775">
        <v>30</v>
      </c>
      <c r="EK14" s="775">
        <v>30</v>
      </c>
      <c r="EL14" s="775">
        <v>30</v>
      </c>
      <c r="EM14" s="775">
        <v>30</v>
      </c>
      <c r="EN14" s="775">
        <v>30</v>
      </c>
      <c r="EO14" s="775">
        <v>30</v>
      </c>
      <c r="EP14" s="775">
        <v>30</v>
      </c>
      <c r="EQ14" s="775">
        <v>30</v>
      </c>
      <c r="ER14" s="775">
        <v>30</v>
      </c>
      <c r="ES14" s="775">
        <v>30</v>
      </c>
      <c r="ET14" s="775">
        <v>30</v>
      </c>
      <c r="EU14" s="775">
        <v>30</v>
      </c>
      <c r="EV14" s="775">
        <v>30</v>
      </c>
      <c r="EW14" s="775">
        <v>30</v>
      </c>
      <c r="EX14" s="775">
        <v>30</v>
      </c>
      <c r="EY14" s="775">
        <v>30</v>
      </c>
      <c r="FA14" s="775">
        <v>30</v>
      </c>
      <c r="FB14" s="775">
        <v>30</v>
      </c>
      <c r="FC14" s="775">
        <v>30</v>
      </c>
      <c r="FD14" s="775">
        <v>30</v>
      </c>
      <c r="FE14" s="775">
        <v>30</v>
      </c>
      <c r="FF14" s="775">
        <v>30</v>
      </c>
      <c r="FG14" s="775">
        <v>30</v>
      </c>
      <c r="FH14" s="775">
        <v>30</v>
      </c>
      <c r="FI14" s="775">
        <v>30</v>
      </c>
      <c r="FJ14" s="775">
        <v>30</v>
      </c>
      <c r="FK14" s="775">
        <v>30</v>
      </c>
      <c r="FL14" s="775">
        <v>30</v>
      </c>
      <c r="FM14" s="775">
        <v>30</v>
      </c>
      <c r="FN14" s="775">
        <v>30</v>
      </c>
      <c r="FO14" s="775">
        <v>30</v>
      </c>
      <c r="FP14" s="775">
        <v>30</v>
      </c>
      <c r="FQ14" s="775">
        <v>30</v>
      </c>
      <c r="FS14" s="775">
        <f t="shared" ref="FS14:GI14" ca="1" si="30">MAX(FS20:FS41)</f>
        <v>1079</v>
      </c>
      <c r="FT14" s="775">
        <f t="shared" ca="1" si="30"/>
        <v>1299</v>
      </c>
      <c r="FU14" s="775">
        <f t="shared" ca="1" si="30"/>
        <v>4182.2</v>
      </c>
      <c r="FV14" s="775">
        <f t="shared" ca="1" si="30"/>
        <v>5645</v>
      </c>
      <c r="FW14" s="775">
        <f t="shared" ca="1" si="30"/>
        <v>5736</v>
      </c>
      <c r="FX14" s="775">
        <f t="shared" ca="1" si="30"/>
        <v>1685</v>
      </c>
      <c r="FY14" s="775">
        <f t="shared" ca="1" si="30"/>
        <v>1428</v>
      </c>
      <c r="FZ14" s="775">
        <f t="shared" ca="1" si="30"/>
        <v>1404</v>
      </c>
      <c r="GA14" s="775">
        <f t="shared" ca="1" si="30"/>
        <v>6612</v>
      </c>
      <c r="GB14" s="775">
        <f t="shared" ca="1" si="30"/>
        <v>382.03300000000002</v>
      </c>
      <c r="GC14" s="775">
        <f t="shared" ca="1" si="30"/>
        <v>846</v>
      </c>
      <c r="GD14" s="775">
        <f t="shared" ca="1" si="30"/>
        <v>225.2</v>
      </c>
      <c r="GE14" s="775">
        <f t="shared" ca="1" si="30"/>
        <v>2901</v>
      </c>
      <c r="GF14" s="775">
        <f t="shared" ca="1" si="30"/>
        <v>707.3</v>
      </c>
      <c r="GG14" s="775">
        <f t="shared" ca="1" si="30"/>
        <v>1806</v>
      </c>
      <c r="GH14" s="775">
        <f t="shared" ca="1" si="30"/>
        <v>1223</v>
      </c>
      <c r="GI14" s="775">
        <f t="shared" ca="1" si="30"/>
        <v>0</v>
      </c>
      <c r="GK14" s="775">
        <f t="shared" ref="GK14:HA14" ca="1" si="31">MAX(GK20:GK41)</f>
        <v>3.57627885921231</v>
      </c>
      <c r="GL14" s="775">
        <f t="shared" ca="1" si="31"/>
        <v>2.2935779816513802</v>
      </c>
      <c r="GM14" s="775">
        <f t="shared" ca="1" si="31"/>
        <v>6.6588327457892698</v>
      </c>
      <c r="GN14" s="775">
        <f t="shared" ca="1" si="31"/>
        <v>5.7577626979230896</v>
      </c>
      <c r="GO14" s="775">
        <f t="shared" ca="1" si="31"/>
        <v>5.0847457627118704</v>
      </c>
      <c r="GP14" s="775">
        <f t="shared" ca="1" si="31"/>
        <v>4.4817927170868304</v>
      </c>
      <c r="GQ14" s="775">
        <f t="shared" ca="1" si="31"/>
        <v>5.8208955223880601</v>
      </c>
      <c r="GR14" s="775">
        <f t="shared" ca="1" si="31"/>
        <v>3.0864197530864201</v>
      </c>
      <c r="GS14" s="775">
        <f t="shared" ca="1" si="31"/>
        <v>5.2534804307853999</v>
      </c>
      <c r="GT14" s="775">
        <f t="shared" ca="1" si="31"/>
        <v>1.6662521760755999</v>
      </c>
      <c r="GU14" s="775">
        <f t="shared" ca="1" si="31"/>
        <v>1.4140153878145101</v>
      </c>
      <c r="GV14" s="775">
        <f t="shared" ca="1" si="31"/>
        <v>2.5722451571927598</v>
      </c>
      <c r="GW14" s="775">
        <f t="shared" ca="1" si="31"/>
        <v>2.8864413216862901</v>
      </c>
      <c r="GX14" s="775">
        <f t="shared" ca="1" si="31"/>
        <v>1.90544241991187</v>
      </c>
      <c r="GY14" s="775">
        <f t="shared" ca="1" si="31"/>
        <v>2.5187803800265098</v>
      </c>
      <c r="GZ14" s="775">
        <f t="shared" ca="1" si="31"/>
        <v>3.9068908941755498</v>
      </c>
      <c r="HA14" s="775">
        <f t="shared" ca="1" si="31"/>
        <v>0</v>
      </c>
    </row>
    <row r="15" spans="1:213" s="1111" customFormat="1" ht="11.25" customHeight="1">
      <c r="E15" s="1112">
        <f ca="1">E18/E16-1</f>
        <v>0.18612011452284394</v>
      </c>
      <c r="F15" s="1112">
        <f t="shared" ref="F15:V15" ca="1" si="32">F18/F16-1</f>
        <v>0.18798418729046396</v>
      </c>
      <c r="G15" s="1112">
        <f t="shared" ca="1" si="32"/>
        <v>0.24417068824102062</v>
      </c>
      <c r="H15" s="1112">
        <f t="shared" ca="1" si="32"/>
        <v>0.12673663649617506</v>
      </c>
      <c r="I15" s="1112">
        <f t="shared" ca="1" si="32"/>
        <v>0.1305754384108766</v>
      </c>
      <c r="J15" s="1112">
        <f t="shared" ca="1" si="32"/>
        <v>0.23017302277558227</v>
      </c>
      <c r="K15" s="1112">
        <f t="shared" ca="1" si="32"/>
        <v>0.11047071930324037</v>
      </c>
      <c r="L15" s="1112">
        <f t="shared" ca="1" si="32"/>
        <v>0.15626818315679114</v>
      </c>
      <c r="M15" s="1112">
        <f t="shared" ca="1" si="32"/>
        <v>0.20393767313701927</v>
      </c>
      <c r="N15" s="1112">
        <f t="shared" ca="1" si="32"/>
        <v>0.44114940303758221</v>
      </c>
      <c r="O15" s="1112">
        <f t="shared" ca="1" si="32"/>
        <v>0.36251807152907767</v>
      </c>
      <c r="P15" s="1112">
        <f t="shared" ca="1" si="32"/>
        <v>0.27657516021354711</v>
      </c>
      <c r="Q15" s="1112">
        <f t="shared" ca="1" si="32"/>
        <v>0.24718318106928727</v>
      </c>
      <c r="R15" s="1112">
        <f t="shared" ca="1" si="32"/>
        <v>0.27660553883205519</v>
      </c>
      <c r="S15" s="1112">
        <f t="shared" ca="1" si="32"/>
        <v>0.27997503590637574</v>
      </c>
      <c r="T15" s="1112">
        <f t="shared" ca="1" si="32"/>
        <v>0.17646742539657523</v>
      </c>
      <c r="U15" s="1112" t="e">
        <f t="shared" ca="1" si="32"/>
        <v>#DIV/0!</v>
      </c>
      <c r="V15" s="1112" t="e">
        <f t="shared" ca="1" si="32"/>
        <v>#DIV/0!</v>
      </c>
      <c r="X15" s="1112">
        <f ca="1">X18/X16-1</f>
        <v>0.2330647262056933</v>
      </c>
      <c r="Y15" s="1112">
        <f t="shared" ref="Y15:AO15" ca="1" si="33">Y18/Y16-1</f>
        <v>0.2272698861191913</v>
      </c>
      <c r="Z15" s="1112">
        <f t="shared" ca="1" si="33"/>
        <v>0.27045277019900094</v>
      </c>
      <c r="AA15" s="1112">
        <f t="shared" ca="1" si="33"/>
        <v>0.26383104578648675</v>
      </c>
      <c r="AB15" s="1112">
        <f t="shared" ca="1" si="33"/>
        <v>0.24207217937360559</v>
      </c>
      <c r="AC15" s="1112">
        <f t="shared" ca="1" si="33"/>
        <v>0.33179761322088797</v>
      </c>
      <c r="AD15" s="1112">
        <f t="shared" ca="1" si="33"/>
        <v>0.14904939469854184</v>
      </c>
      <c r="AE15" s="1112">
        <f t="shared" ca="1" si="33"/>
        <v>0.22621199147200644</v>
      </c>
      <c r="AF15" s="1112">
        <f t="shared" ca="1" si="33"/>
        <v>0.22027031568279387</v>
      </c>
      <c r="AG15" s="1112">
        <f t="shared" ca="1" si="33"/>
        <v>0.39340803557474158</v>
      </c>
      <c r="AH15" s="1112">
        <f t="shared" ca="1" si="33"/>
        <v>0.31971099226763533</v>
      </c>
      <c r="AI15" s="1112">
        <f t="shared" ca="1" si="33"/>
        <v>0.27495486646697698</v>
      </c>
      <c r="AJ15" s="1112">
        <f t="shared" ca="1" si="33"/>
        <v>0.20743047669048087</v>
      </c>
      <c r="AK15" s="1112">
        <f t="shared" ca="1" si="33"/>
        <v>0.31564065124648955</v>
      </c>
      <c r="AL15" s="1112">
        <f t="shared" ca="1" si="33"/>
        <v>0.29878313012184243</v>
      </c>
      <c r="AM15" s="1112">
        <f t="shared" ca="1" si="33"/>
        <v>0.1664189008323087</v>
      </c>
      <c r="AN15" s="1112" t="e">
        <f t="shared" ca="1" si="33"/>
        <v>#DIV/0!</v>
      </c>
      <c r="AO15" s="1112" t="e">
        <f t="shared" ca="1" si="33"/>
        <v>#DIV/0!</v>
      </c>
      <c r="AQ15" s="1006" t="e">
        <f>_xlfn.XLOOKUP(AQ7,#REF!,#REF!)</f>
        <v>#REF!</v>
      </c>
      <c r="AR15" s="1006" t="e">
        <f>_xlfn.XLOOKUP(AR7,#REF!,#REF!)</f>
        <v>#REF!</v>
      </c>
      <c r="AS15" s="1006" t="e">
        <f>_xlfn.XLOOKUP(AS7,#REF!,#REF!)</f>
        <v>#REF!</v>
      </c>
      <c r="AT15" s="1006" t="e">
        <f>_xlfn.XLOOKUP(AT7,#REF!,#REF!)</f>
        <v>#REF!</v>
      </c>
      <c r="AU15" s="1006" t="e">
        <f>_xlfn.XLOOKUP(AU7,#REF!,#REF!)</f>
        <v>#REF!</v>
      </c>
      <c r="AV15" s="1006" t="e">
        <f>_xlfn.XLOOKUP(AV7,#REF!,#REF!)</f>
        <v>#REF!</v>
      </c>
      <c r="AW15" s="1006" t="e">
        <f>_xlfn.XLOOKUP(AW7,#REF!,#REF!)</f>
        <v>#REF!</v>
      </c>
      <c r="AX15" s="1006" t="e">
        <f>_xlfn.XLOOKUP(AX7,#REF!,#REF!)</f>
        <v>#REF!</v>
      </c>
      <c r="AY15" s="1006" t="e">
        <f>_xlfn.XLOOKUP(AY7,#REF!,#REF!)</f>
        <v>#REF!</v>
      </c>
      <c r="AZ15" s="1006" t="e">
        <f>_xlfn.XLOOKUP(AZ7,#REF!,#REF!)</f>
        <v>#REF!</v>
      </c>
      <c r="BA15" s="1006" t="e">
        <f>_xlfn.XLOOKUP(BA7,#REF!,#REF!)</f>
        <v>#REF!</v>
      </c>
      <c r="BB15" s="1006" t="e">
        <f>_xlfn.XLOOKUP(BB7,#REF!,#REF!)</f>
        <v>#REF!</v>
      </c>
      <c r="BC15" s="1006" t="e">
        <f>_xlfn.XLOOKUP(BC7,#REF!,#REF!)</f>
        <v>#REF!</v>
      </c>
      <c r="BD15" s="1006" t="e">
        <f>_xlfn.XLOOKUP(BD7,#REF!,#REF!)</f>
        <v>#REF!</v>
      </c>
      <c r="BE15" s="1006" t="e">
        <f>_xlfn.XLOOKUP(BE7,#REF!,#REF!)</f>
        <v>#REF!</v>
      </c>
      <c r="BF15" s="1006" t="e">
        <f>_xlfn.XLOOKUP(BF7,#REF!,#REF!)</f>
        <v>#REF!</v>
      </c>
      <c r="BG15" s="1006" t="e">
        <f>_xlfn.XLOOKUP(BG7,#REF!,#REF!)</f>
        <v>#REF!</v>
      </c>
      <c r="BH15" s="1006" t="e">
        <f>_xlfn.XLOOKUP(BH7,#REF!,#REF!)</f>
        <v>#REF!</v>
      </c>
      <c r="BJ15" s="1112">
        <f ca="1">BJ18/BJ16-1</f>
        <v>0.26972222331719453</v>
      </c>
      <c r="BK15" s="1112">
        <f t="shared" ref="BK15:CA15" ca="1" si="34">BK18/BK16-1</f>
        <v>0.30282059927611682</v>
      </c>
      <c r="BL15" s="1112">
        <f t="shared" ca="1" si="34"/>
        <v>0.25132700730326496</v>
      </c>
      <c r="BM15" s="1112">
        <f t="shared" ca="1" si="34"/>
        <v>0.22448596844788704</v>
      </c>
      <c r="BN15" s="1112">
        <f t="shared" ca="1" si="34"/>
        <v>0.25416449664802143</v>
      </c>
      <c r="BO15" s="1112">
        <f t="shared" ca="1" si="34"/>
        <v>0.44147141716369598</v>
      </c>
      <c r="BP15" s="1112">
        <f t="shared" ca="1" si="34"/>
        <v>0.17950106336833294</v>
      </c>
      <c r="BQ15" s="1112">
        <f t="shared" ca="1" si="34"/>
        <v>0.36291443584257466</v>
      </c>
      <c r="BR15" s="1112">
        <f t="shared" ca="1" si="34"/>
        <v>0.23406635299433631</v>
      </c>
      <c r="BS15" s="1112">
        <f t="shared" ca="1" si="34"/>
        <v>0.41116230908408635</v>
      </c>
      <c r="BT15" s="1112">
        <f t="shared" ca="1" si="34"/>
        <v>0.42992096633494192</v>
      </c>
      <c r="BU15" s="1112">
        <f t="shared" ca="1" si="34"/>
        <v>0.30416698938836473</v>
      </c>
      <c r="BV15" s="1112">
        <f t="shared" ca="1" si="34"/>
        <v>0.35142462881107894</v>
      </c>
      <c r="BW15" s="1112">
        <f t="shared" ca="1" si="34"/>
        <v>0.45455137221895336</v>
      </c>
      <c r="BX15" s="1112">
        <f t="shared" ca="1" si="34"/>
        <v>0.31502317689896486</v>
      </c>
      <c r="BY15" s="1112">
        <f t="shared" ca="1" si="34"/>
        <v>0.25537500252600775</v>
      </c>
      <c r="BZ15" s="1112" t="e">
        <f t="shared" ca="1" si="34"/>
        <v>#DIV/0!</v>
      </c>
      <c r="CA15" s="1112" t="e">
        <f t="shared" ca="1" si="34"/>
        <v>#DIV/0!</v>
      </c>
      <c r="CC15" s="1006"/>
      <c r="CD15" s="1006"/>
      <c r="CE15" s="1006"/>
      <c r="CF15" s="1006"/>
      <c r="CG15" s="1006"/>
      <c r="CH15" s="1006"/>
      <c r="CI15" s="1006"/>
      <c r="CJ15" s="1006"/>
      <c r="CK15" s="1006"/>
      <c r="CL15" s="1006"/>
      <c r="CM15" s="1006"/>
      <c r="CN15" s="1006"/>
      <c r="CO15" s="1006"/>
      <c r="CP15" s="1006"/>
      <c r="CQ15" s="1006"/>
      <c r="CR15" s="1006"/>
      <c r="CS15" s="1006"/>
      <c r="CT15" s="1006"/>
      <c r="CV15" s="1245"/>
      <c r="CW15" s="1245"/>
      <c r="CX15" s="1245"/>
      <c r="CY15" s="1245"/>
      <c r="CZ15" s="1245"/>
      <c r="DA15" s="1245"/>
      <c r="DB15" s="1245"/>
      <c r="DC15" s="1245"/>
      <c r="DD15" s="1245"/>
      <c r="DE15" s="1245"/>
      <c r="DF15" s="1245"/>
      <c r="DG15" s="1245"/>
      <c r="DH15" s="1245"/>
      <c r="DI15" s="1245"/>
      <c r="DJ15" s="1245"/>
      <c r="DK15" s="1245"/>
      <c r="DL15" s="1245"/>
      <c r="DM15" s="1245"/>
      <c r="DO15" s="1112" t="e">
        <f ca="1">DO18/DO16-1</f>
        <v>#DIV/0!</v>
      </c>
      <c r="DP15" s="1112" t="e">
        <f t="shared" ref="DP15:EF15" ca="1" si="35">DP18/DP16-1</f>
        <v>#DIV/0!</v>
      </c>
      <c r="DQ15" s="1112" t="e">
        <f t="shared" ca="1" si="35"/>
        <v>#DIV/0!</v>
      </c>
      <c r="DR15" s="1112" t="e">
        <f t="shared" ca="1" si="35"/>
        <v>#DIV/0!</v>
      </c>
      <c r="DS15" s="1112" t="e">
        <f t="shared" ca="1" si="35"/>
        <v>#DIV/0!</v>
      </c>
      <c r="DT15" s="1112" t="e">
        <f t="shared" ca="1" si="35"/>
        <v>#DIV/0!</v>
      </c>
      <c r="DU15" s="1112" t="e">
        <f t="shared" ca="1" si="35"/>
        <v>#DIV/0!</v>
      </c>
      <c r="DV15" s="1112" t="e">
        <f t="shared" ca="1" si="35"/>
        <v>#DIV/0!</v>
      </c>
      <c r="DW15" s="1112" t="e">
        <f t="shared" ca="1" si="35"/>
        <v>#DIV/0!</v>
      </c>
      <c r="DX15" s="1112" t="e">
        <f t="shared" ca="1" si="35"/>
        <v>#DIV/0!</v>
      </c>
      <c r="DY15" s="1112" t="e">
        <f t="shared" ca="1" si="35"/>
        <v>#DIV/0!</v>
      </c>
      <c r="DZ15" s="1112" t="e">
        <f t="shared" ca="1" si="35"/>
        <v>#DIV/0!</v>
      </c>
      <c r="EA15" s="1112" t="e">
        <f t="shared" ca="1" si="35"/>
        <v>#DIV/0!</v>
      </c>
      <c r="EB15" s="1112" t="e">
        <f t="shared" ca="1" si="35"/>
        <v>#DIV/0!</v>
      </c>
      <c r="EC15" s="1112" t="e">
        <f t="shared" ca="1" si="35"/>
        <v>#DIV/0!</v>
      </c>
      <c r="ED15" s="1112" t="e">
        <f t="shared" ca="1" si="35"/>
        <v>#DIV/0!</v>
      </c>
      <c r="EE15" s="1112" t="e">
        <f t="shared" ca="1" si="35"/>
        <v>#DIV/0!</v>
      </c>
      <c r="EF15" s="1112" t="e">
        <f t="shared" ca="1" si="35"/>
        <v>#DIV/0!</v>
      </c>
      <c r="EG15" s="1502"/>
      <c r="EH15" s="1112" t="e">
        <f ca="1">EH18/EH16-1</f>
        <v>#DIV/0!</v>
      </c>
      <c r="EI15" s="1112" t="e">
        <f t="shared" ref="EI15:EY15" ca="1" si="36">EI18/EI16-1</f>
        <v>#DIV/0!</v>
      </c>
      <c r="EJ15" s="1112" t="e">
        <f t="shared" ca="1" si="36"/>
        <v>#DIV/0!</v>
      </c>
      <c r="EK15" s="1112" t="e">
        <f t="shared" ca="1" si="36"/>
        <v>#DIV/0!</v>
      </c>
      <c r="EL15" s="1112" t="e">
        <f t="shared" ca="1" si="36"/>
        <v>#DIV/0!</v>
      </c>
      <c r="EM15" s="1112">
        <f t="shared" ca="1" si="36"/>
        <v>0</v>
      </c>
      <c r="EN15" s="1112" t="e">
        <f t="shared" ca="1" si="36"/>
        <v>#DIV/0!</v>
      </c>
      <c r="EO15" s="1112" t="e">
        <f t="shared" ca="1" si="36"/>
        <v>#DIV/0!</v>
      </c>
      <c r="EP15" s="1112" t="e">
        <f t="shared" ca="1" si="36"/>
        <v>#DIV/0!</v>
      </c>
      <c r="EQ15" s="1112" t="e">
        <f t="shared" ca="1" si="36"/>
        <v>#DIV/0!</v>
      </c>
      <c r="ER15" s="1112" t="e">
        <f t="shared" ca="1" si="36"/>
        <v>#DIV/0!</v>
      </c>
      <c r="ES15" s="1112">
        <f t="shared" ca="1" si="36"/>
        <v>0.62429247348001482</v>
      </c>
      <c r="ET15" s="1112" t="e">
        <f t="shared" ca="1" si="36"/>
        <v>#DIV/0!</v>
      </c>
      <c r="EU15" s="1112" t="e">
        <f t="shared" ca="1" si="36"/>
        <v>#DIV/0!</v>
      </c>
      <c r="EV15" s="1112" t="e">
        <f t="shared" ca="1" si="36"/>
        <v>#DIV/0!</v>
      </c>
      <c r="EW15" s="1112" t="e">
        <f t="shared" ca="1" si="36"/>
        <v>#DIV/0!</v>
      </c>
      <c r="EX15" s="1112" t="e">
        <f t="shared" ca="1" si="36"/>
        <v>#DIV/0!</v>
      </c>
      <c r="EY15" s="1112" t="e">
        <f t="shared" ca="1" si="36"/>
        <v>#DIV/0!</v>
      </c>
      <c r="FA15" s="1112" t="e">
        <f ca="1">FA18/FA16-1</f>
        <v>#DIV/0!</v>
      </c>
      <c r="FB15" s="1112" t="e">
        <f t="shared" ref="FB15:FQ15" ca="1" si="37">FB18/FB16-1</f>
        <v>#DIV/0!</v>
      </c>
      <c r="FC15" s="1112" t="e">
        <f t="shared" ca="1" si="37"/>
        <v>#DIV/0!</v>
      </c>
      <c r="FD15" s="1112" t="e">
        <f t="shared" ca="1" si="37"/>
        <v>#DIV/0!</v>
      </c>
      <c r="FE15" s="1112" t="e">
        <f t="shared" ca="1" si="37"/>
        <v>#DIV/0!</v>
      </c>
      <c r="FF15" s="1112" t="e">
        <f t="shared" ca="1" si="37"/>
        <v>#DIV/0!</v>
      </c>
      <c r="FG15" s="1112" t="e">
        <f t="shared" ca="1" si="37"/>
        <v>#DIV/0!</v>
      </c>
      <c r="FH15" s="1112" t="e">
        <f t="shared" ca="1" si="37"/>
        <v>#DIV/0!</v>
      </c>
      <c r="FI15" s="1112" t="e">
        <f t="shared" ca="1" si="37"/>
        <v>#DIV/0!</v>
      </c>
      <c r="FJ15" s="1112" t="e">
        <f t="shared" ca="1" si="37"/>
        <v>#DIV/0!</v>
      </c>
      <c r="FK15" s="1112" t="e">
        <f t="shared" ca="1" si="37"/>
        <v>#DIV/0!</v>
      </c>
      <c r="FL15" s="1112" t="e">
        <f t="shared" ca="1" si="37"/>
        <v>#DIV/0!</v>
      </c>
      <c r="FM15" s="1112" t="e">
        <f t="shared" ca="1" si="37"/>
        <v>#DIV/0!</v>
      </c>
      <c r="FN15" s="1112" t="e">
        <f t="shared" ca="1" si="37"/>
        <v>#DIV/0!</v>
      </c>
      <c r="FO15" s="1112" t="e">
        <f t="shared" ca="1" si="37"/>
        <v>#DIV/0!</v>
      </c>
      <c r="FP15" s="1112" t="e">
        <f t="shared" ca="1" si="37"/>
        <v>#DIV/0!</v>
      </c>
      <c r="FQ15" s="1112" t="e">
        <f t="shared" ca="1" si="37"/>
        <v>#DIV/0!</v>
      </c>
      <c r="FS15" s="1006"/>
      <c r="FT15" s="1006"/>
      <c r="FU15" s="1006"/>
      <c r="FV15" s="1006"/>
      <c r="FW15" s="1006"/>
      <c r="FX15" s="1006"/>
      <c r="FY15" s="1006"/>
      <c r="FZ15" s="1006"/>
      <c r="GA15" s="1006"/>
      <c r="GB15" s="1006"/>
      <c r="GC15" s="1006"/>
      <c r="GD15" s="1006"/>
      <c r="GE15" s="1006"/>
      <c r="GF15" s="1006"/>
      <c r="GG15" s="1006"/>
      <c r="GH15" s="1006"/>
      <c r="GI15" s="1006"/>
      <c r="GK15" s="1006"/>
      <c r="GL15" s="1006"/>
      <c r="GM15" s="1006"/>
      <c r="GN15" s="1006"/>
      <c r="GO15" s="1006"/>
      <c r="GP15" s="1006"/>
      <c r="GQ15" s="1006"/>
      <c r="GR15" s="1006"/>
      <c r="GS15" s="1006"/>
      <c r="GT15" s="1006"/>
      <c r="GU15" s="1006"/>
      <c r="GV15" s="1006"/>
      <c r="GW15" s="1006"/>
      <c r="GX15" s="1006"/>
      <c r="GY15" s="1006"/>
      <c r="GZ15" s="1006"/>
      <c r="HA15" s="1006"/>
    </row>
    <row r="16" spans="1:213" s="770" customFormat="1" ht="11.25" customHeight="1">
      <c r="C16" s="776" t="s">
        <v>482</v>
      </c>
      <c r="E16" s="777">
        <f t="shared" ref="E16:V16" ca="1" si="38">+AVERAGEIFS(E20:E41,E20:E41,"&lt;"&amp;E$14,E20:E41,"&gt;"&amp;E$13)</f>
        <v>7.2713397372134567</v>
      </c>
      <c r="F16" s="777">
        <f t="shared" ca="1" si="38"/>
        <v>7.3870055861943582</v>
      </c>
      <c r="G16" s="777">
        <f t="shared" ca="1" si="38"/>
        <v>6.3382733189535001</v>
      </c>
      <c r="H16" s="777">
        <f t="shared" ca="1" si="38"/>
        <v>7.0704960465164923</v>
      </c>
      <c r="I16" s="777">
        <f t="shared" ca="1" si="38"/>
        <v>6.5269659524567381</v>
      </c>
      <c r="J16" s="777">
        <f t="shared" ca="1" si="38"/>
        <v>5.8249868284525519</v>
      </c>
      <c r="K16" s="777">
        <f t="shared" ca="1" si="38"/>
        <v>6.1403635431097774</v>
      </c>
      <c r="L16" s="777">
        <f t="shared" ca="1" si="38"/>
        <v>6.6588773511429808</v>
      </c>
      <c r="M16" s="777">
        <f t="shared" ca="1" si="38"/>
        <v>10.433649712475097</v>
      </c>
      <c r="N16" s="777">
        <f t="shared" ca="1" si="38"/>
        <v>10.980238849115484</v>
      </c>
      <c r="O16" s="777">
        <f t="shared" ca="1" si="38"/>
        <v>7.9205870673907119</v>
      </c>
      <c r="P16" s="777">
        <f t="shared" ca="1" si="38"/>
        <v>8.170247295237699</v>
      </c>
      <c r="Q16" s="777">
        <f t="shared" ca="1" si="38"/>
        <v>11.220626369034841</v>
      </c>
      <c r="R16" s="777">
        <f t="shared" ca="1" si="38"/>
        <v>9.1000317009826599</v>
      </c>
      <c r="S16" s="777">
        <f t="shared" ca="1" si="38"/>
        <v>9.3167291926512359</v>
      </c>
      <c r="T16" s="777">
        <f t="shared" ca="1" si="38"/>
        <v>6.0130913507937898</v>
      </c>
      <c r="U16" s="777" t="e">
        <f t="shared" ca="1" si="38"/>
        <v>#DIV/0!</v>
      </c>
      <c r="V16" s="777" t="e">
        <f t="shared" ca="1" si="38"/>
        <v>#DIV/0!</v>
      </c>
      <c r="W16" s="762"/>
      <c r="X16" s="777">
        <f t="shared" ref="X16:AO16" ca="1" si="39">+AVERAGEIFS(X20:X41,X20:X41,"&lt;"&amp;X$14,X20:X41,"&gt;"&amp;X$13)</f>
        <v>7.5210293085010012</v>
      </c>
      <c r="Y16" s="777">
        <f t="shared" ca="1" si="39"/>
        <v>7.7333305329070852</v>
      </c>
      <c r="Z16" s="777">
        <f t="shared" ca="1" si="39"/>
        <v>6.5703485070741348</v>
      </c>
      <c r="AA16" s="777">
        <f t="shared" ca="1" si="39"/>
        <v>6.8945755286235153</v>
      </c>
      <c r="AB16" s="777">
        <f t="shared" ca="1" si="39"/>
        <v>6.5391109198531048</v>
      </c>
      <c r="AC16" s="777">
        <f t="shared" ca="1" si="39"/>
        <v>6.8763514847473237</v>
      </c>
      <c r="AD16" s="777">
        <f t="shared" ca="1" si="39"/>
        <v>6.4200465186867275</v>
      </c>
      <c r="AE16" s="777">
        <f t="shared" ca="1" si="39"/>
        <v>7.2413591073262449</v>
      </c>
      <c r="AF16" s="777">
        <f t="shared" ca="1" si="39"/>
        <v>11.005760351453144</v>
      </c>
      <c r="AG16" s="777">
        <f t="shared" ca="1" si="39"/>
        <v>11.196514500229606</v>
      </c>
      <c r="AH16" s="777">
        <f t="shared" ca="1" si="39"/>
        <v>8.1376341242019468</v>
      </c>
      <c r="AI16" s="777">
        <f t="shared" ca="1" si="39"/>
        <v>8.987886723927085</v>
      </c>
      <c r="AJ16" s="777">
        <f t="shared" ca="1" si="39"/>
        <v>11.0886608723898</v>
      </c>
      <c r="AK16" s="777">
        <f t="shared" ca="1" si="39"/>
        <v>10.212048001567913</v>
      </c>
      <c r="AL16" s="777">
        <f t="shared" ca="1" si="39"/>
        <v>10.043723805518599</v>
      </c>
      <c r="AM16" s="777">
        <f t="shared" ca="1" si="39"/>
        <v>6.2290419667977082</v>
      </c>
      <c r="AN16" s="777" t="e">
        <f t="shared" ca="1" si="39"/>
        <v>#DIV/0!</v>
      </c>
      <c r="AO16" s="777" t="e">
        <f t="shared" ca="1" si="39"/>
        <v>#DIV/0!</v>
      </c>
      <c r="AP16" s="762"/>
      <c r="AQ16" s="777">
        <f t="shared" ref="AQ16:BH16" ca="1" si="40">+AVERAGEIFS(AQ20:AQ41,AQ20:AQ41,"&lt;"&amp;AQ$14,AQ20:AQ41,"&gt;"&amp;AQ$13)</f>
        <v>11.050346875000013</v>
      </c>
      <c r="AR16" s="777">
        <f t="shared" ca="1" si="40"/>
        <v>17.346701249999999</v>
      </c>
      <c r="AS16" s="777">
        <f t="shared" ca="1" si="40"/>
        <v>10.37356374999999</v>
      </c>
      <c r="AT16" s="777">
        <f t="shared" ca="1" si="40"/>
        <v>12.272916666666685</v>
      </c>
      <c r="AU16" s="777">
        <f t="shared" ca="1" si="40"/>
        <v>22.430451041666661</v>
      </c>
      <c r="AV16" s="777">
        <f t="shared" ca="1" si="40"/>
        <v>5.1208333333333398</v>
      </c>
      <c r="AW16" s="777">
        <f t="shared" ca="1" si="40"/>
        <v>9.416428750000005</v>
      </c>
      <c r="AX16" s="777">
        <f t="shared" ca="1" si="40"/>
        <v>9.9944439999999997</v>
      </c>
      <c r="AY16" s="777">
        <f t="shared" ca="1" si="40"/>
        <v>19.209132291666663</v>
      </c>
      <c r="AZ16" s="777">
        <f t="shared" ca="1" si="40"/>
        <v>10.422619047619056</v>
      </c>
      <c r="BA16" s="777" t="e">
        <f t="shared" ca="1" si="40"/>
        <v>#DIV/0!</v>
      </c>
      <c r="BB16" s="777">
        <f t="shared" ca="1" si="40"/>
        <v>9.0500000000000007</v>
      </c>
      <c r="BC16" s="777">
        <f t="shared" ca="1" si="40"/>
        <v>12.961109583333357</v>
      </c>
      <c r="BD16" s="777">
        <f t="shared" ca="1" si="40"/>
        <v>17.566666666666684</v>
      </c>
      <c r="BE16" s="777">
        <f t="shared" ca="1" si="40"/>
        <v>14.409374583333351</v>
      </c>
      <c r="BF16" s="777">
        <f t="shared" ca="1" si="40"/>
        <v>8.3726397916666659</v>
      </c>
      <c r="BG16" s="777" t="e">
        <f t="shared" ca="1" si="40"/>
        <v>#DIV/0!</v>
      </c>
      <c r="BH16" s="777" t="e">
        <f t="shared" ca="1" si="40"/>
        <v>#DIV/0!</v>
      </c>
      <c r="BJ16" s="777">
        <f t="shared" ref="BJ16:CA16" ca="1" si="41">+AVERAGEIFS(BJ20:BJ41,BJ20:BJ41,"&lt;"&amp;BJ$14,BJ20:BJ41,"&gt;"&amp;BJ$13)</f>
        <v>7.8148794120909093</v>
      </c>
      <c r="BK16" s="777">
        <f t="shared" ca="1" si="41"/>
        <v>10.776865753368421</v>
      </c>
      <c r="BL16" s="777">
        <f t="shared" ca="1" si="41"/>
        <v>6.4864604851696068</v>
      </c>
      <c r="BM16" s="777">
        <f t="shared" ca="1" si="41"/>
        <v>7.1727019107499999</v>
      </c>
      <c r="BN16" s="777">
        <f t="shared" ca="1" si="41"/>
        <v>6.8552594532307687</v>
      </c>
      <c r="BO16" s="777">
        <f t="shared" ca="1" si="41"/>
        <v>8.2151915759090901</v>
      </c>
      <c r="BP16" s="777">
        <f t="shared" ca="1" si="41"/>
        <v>6.5103196047000012</v>
      </c>
      <c r="BQ16" s="777">
        <f t="shared" ca="1" si="41"/>
        <v>8.9006906277368412</v>
      </c>
      <c r="BR16" s="777">
        <f t="shared" ca="1" si="41"/>
        <v>11.490020985772729</v>
      </c>
      <c r="BS16" s="777">
        <f t="shared" ca="1" si="41"/>
        <v>12.45043671657143</v>
      </c>
      <c r="BT16" s="777">
        <f t="shared" ca="1" si="41"/>
        <v>11.232441592181818</v>
      </c>
      <c r="BU16" s="777">
        <f t="shared" ca="1" si="41"/>
        <v>11.726215776142856</v>
      </c>
      <c r="BV16" s="777">
        <f t="shared" ca="1" si="41"/>
        <v>18.000347056999999</v>
      </c>
      <c r="BW16" s="777">
        <f t="shared" ca="1" si="41"/>
        <v>11.829584108363635</v>
      </c>
      <c r="BX16" s="777">
        <f t="shared" ca="1" si="41"/>
        <v>10.737796292909092</v>
      </c>
      <c r="BY16" s="777">
        <f t="shared" ca="1" si="41"/>
        <v>6.4619235311225998</v>
      </c>
      <c r="BZ16" s="777" t="e">
        <f t="shared" ca="1" si="41"/>
        <v>#DIV/0!</v>
      </c>
      <c r="CA16" s="777" t="e">
        <f t="shared" ca="1" si="41"/>
        <v>#DIV/0!</v>
      </c>
      <c r="CC16" s="777">
        <f t="shared" ref="CC16:CT16" ca="1" si="42">+AVERAGEIFS(CC20:CC41,CC20:CC41,"&lt;"&amp;CC$14,CC20:CC41,"&gt;"&amp;CC$13)</f>
        <v>7878.7</v>
      </c>
      <c r="CD16" s="777">
        <f t="shared" ca="1" si="42"/>
        <v>6299.3529411764703</v>
      </c>
      <c r="CE16" s="777">
        <f t="shared" ca="1" si="42"/>
        <v>59372.984210526316</v>
      </c>
      <c r="CF16" s="777">
        <f t="shared" ca="1" si="42"/>
        <v>45585.5</v>
      </c>
      <c r="CG16" s="777">
        <f t="shared" ca="1" si="42"/>
        <v>39141.416666666664</v>
      </c>
      <c r="CH16" s="777">
        <f t="shared" ca="1" si="42"/>
        <v>3446.7736842105264</v>
      </c>
      <c r="CI16" s="777">
        <f t="shared" ca="1" si="42"/>
        <v>14031.7</v>
      </c>
      <c r="CJ16" s="777">
        <f t="shared" ca="1" si="42"/>
        <v>9509.5923076923082</v>
      </c>
      <c r="CK16" s="777">
        <f t="shared" ca="1" si="42"/>
        <v>28287.666666666668</v>
      </c>
      <c r="CL16" s="777">
        <f t="shared" ca="1" si="42"/>
        <v>2563.0488235294119</v>
      </c>
      <c r="CM16" s="777">
        <f t="shared" ca="1" si="42"/>
        <v>5701</v>
      </c>
      <c r="CN16" s="777">
        <f t="shared" ca="1" si="42"/>
        <v>2836.1789473684212</v>
      </c>
      <c r="CO16" s="777">
        <f t="shared" ca="1" si="42"/>
        <v>23569.4</v>
      </c>
      <c r="CP16" s="777">
        <f t="shared" ca="1" si="42"/>
        <v>3239.5842105263159</v>
      </c>
      <c r="CQ16" s="777">
        <f t="shared" ca="1" si="42"/>
        <v>13669.555555555555</v>
      </c>
      <c r="CR16" s="777">
        <f t="shared" ca="1" si="42"/>
        <v>9383.6470588235297</v>
      </c>
      <c r="CS16" s="777" t="e">
        <f t="shared" ca="1" si="42"/>
        <v>#DIV/0!</v>
      </c>
      <c r="CT16" s="777" t="e">
        <f t="shared" ca="1" si="42"/>
        <v>#DIV/0!</v>
      </c>
      <c r="CV16" s="999">
        <f t="shared" ref="CV16:DM16" ca="1" si="43">+AVERAGEIFS(CV20:CV41,CV20:CV41,"&lt;"&amp;CV$14,CV20:CV41,"&gt;"&amp;CV$13)</f>
        <v>4136.6000000000004</v>
      </c>
      <c r="CW16" s="999">
        <f t="shared" ca="1" si="43"/>
        <v>3285.703125</v>
      </c>
      <c r="CX16" s="999">
        <f t="shared" ca="1" si="43"/>
        <v>18230.492105263158</v>
      </c>
      <c r="CY16" s="999">
        <f t="shared" ca="1" si="43"/>
        <v>22027.75</v>
      </c>
      <c r="CZ16" s="999">
        <f t="shared" ca="1" si="43"/>
        <v>11226.7</v>
      </c>
      <c r="DA16" s="999">
        <f t="shared" ca="1" si="43"/>
        <v>1550.60625</v>
      </c>
      <c r="DB16" s="999">
        <f t="shared" ca="1" si="43"/>
        <v>5589.25</v>
      </c>
      <c r="DC16" s="999">
        <f t="shared" ca="1" si="43"/>
        <v>3575.2673076923074</v>
      </c>
      <c r="DD16" s="999">
        <f t="shared" ca="1" si="43"/>
        <v>7711.9868421052633</v>
      </c>
      <c r="DE16" s="999">
        <f t="shared" ca="1" si="43"/>
        <v>1689.019888888889</v>
      </c>
      <c r="DF16" s="999">
        <f t="shared" ca="1" si="43"/>
        <v>1725.2375</v>
      </c>
      <c r="DG16" s="999">
        <f t="shared" ca="1" si="43"/>
        <v>514.42763157894751</v>
      </c>
      <c r="DH16" s="999">
        <f t="shared" ca="1" si="43"/>
        <v>11395</v>
      </c>
      <c r="DI16" s="999">
        <f t="shared" ca="1" si="43"/>
        <v>995.99250000000006</v>
      </c>
      <c r="DJ16" s="999">
        <f t="shared" ca="1" si="43"/>
        <v>2879.5250000000001</v>
      </c>
      <c r="DK16" s="999">
        <f t="shared" ca="1" si="43"/>
        <v>4835.828125</v>
      </c>
      <c r="DL16" s="999" t="e">
        <f t="shared" ca="1" si="43"/>
        <v>#DIV/0!</v>
      </c>
      <c r="DM16" s="999" t="e">
        <f t="shared" ca="1" si="43"/>
        <v>#DIV/0!</v>
      </c>
      <c r="DO16" s="777" t="e">
        <f t="shared" ref="DO16:EF16" ca="1" si="44">+AVERAGEIFS(DO20:DO41,DO20:DO41,"&lt;"&amp;DO$14,DO20:DO41,"&gt;"&amp;DO$13)</f>
        <v>#DIV/0!</v>
      </c>
      <c r="DP16" s="777" t="e">
        <f t="shared" ca="1" si="44"/>
        <v>#DIV/0!</v>
      </c>
      <c r="DQ16" s="777" t="e">
        <f t="shared" ca="1" si="44"/>
        <v>#DIV/0!</v>
      </c>
      <c r="DR16" s="777" t="e">
        <f t="shared" ca="1" si="44"/>
        <v>#DIV/0!</v>
      </c>
      <c r="DS16" s="777" t="e">
        <f t="shared" ca="1" si="44"/>
        <v>#DIV/0!</v>
      </c>
      <c r="DT16" s="777" t="e">
        <f t="shared" ca="1" si="44"/>
        <v>#DIV/0!</v>
      </c>
      <c r="DU16" s="777" t="e">
        <f t="shared" ca="1" si="44"/>
        <v>#DIV/0!</v>
      </c>
      <c r="DV16" s="777" t="e">
        <f t="shared" ca="1" si="44"/>
        <v>#DIV/0!</v>
      </c>
      <c r="DW16" s="777" t="e">
        <f t="shared" ca="1" si="44"/>
        <v>#DIV/0!</v>
      </c>
      <c r="DX16" s="777" t="e">
        <f t="shared" ca="1" si="44"/>
        <v>#DIV/0!</v>
      </c>
      <c r="DY16" s="777" t="e">
        <f t="shared" ca="1" si="44"/>
        <v>#DIV/0!</v>
      </c>
      <c r="DZ16" s="777" t="e">
        <f t="shared" ca="1" si="44"/>
        <v>#DIV/0!</v>
      </c>
      <c r="EA16" s="777" t="e">
        <f t="shared" ca="1" si="44"/>
        <v>#DIV/0!</v>
      </c>
      <c r="EB16" s="777" t="e">
        <f t="shared" ca="1" si="44"/>
        <v>#DIV/0!</v>
      </c>
      <c r="EC16" s="777" t="e">
        <f t="shared" ca="1" si="44"/>
        <v>#DIV/0!</v>
      </c>
      <c r="ED16" s="777" t="e">
        <f t="shared" ca="1" si="44"/>
        <v>#DIV/0!</v>
      </c>
      <c r="EE16" s="777" t="e">
        <f t="shared" ca="1" si="44"/>
        <v>#DIV/0!</v>
      </c>
      <c r="EF16" s="777" t="e">
        <f t="shared" ca="1" si="44"/>
        <v>#DIV/0!</v>
      </c>
      <c r="EG16" s="1502"/>
      <c r="EH16" s="777" t="e">
        <f t="shared" ref="EH16:EY16" ca="1" si="45">+AVERAGEIFS(EH20:EH41,EH20:EH41,"&lt;"&amp;EH$14,EH20:EH41,"&gt;"&amp;EH$13)</f>
        <v>#DIV/0!</v>
      </c>
      <c r="EI16" s="777" t="e">
        <f t="shared" ca="1" si="45"/>
        <v>#DIV/0!</v>
      </c>
      <c r="EJ16" s="777" t="e">
        <f t="shared" ca="1" si="45"/>
        <v>#DIV/0!</v>
      </c>
      <c r="EK16" s="777" t="e">
        <f t="shared" ca="1" si="45"/>
        <v>#DIV/0!</v>
      </c>
      <c r="EL16" s="777" t="e">
        <f t="shared" ca="1" si="45"/>
        <v>#DIV/0!</v>
      </c>
      <c r="EM16" s="777">
        <f t="shared" ca="1" si="45"/>
        <v>29</v>
      </c>
      <c r="EN16" s="777" t="e">
        <f t="shared" ca="1" si="45"/>
        <v>#DIV/0!</v>
      </c>
      <c r="EO16" s="777" t="e">
        <f t="shared" ca="1" si="45"/>
        <v>#DIV/0!</v>
      </c>
      <c r="EP16" s="777" t="e">
        <f t="shared" ca="1" si="45"/>
        <v>#DIV/0!</v>
      </c>
      <c r="EQ16" s="777" t="e">
        <f t="shared" ca="1" si="45"/>
        <v>#DIV/0!</v>
      </c>
      <c r="ER16" s="777" t="e">
        <f t="shared" ca="1" si="45"/>
        <v>#DIV/0!</v>
      </c>
      <c r="ES16" s="777">
        <f t="shared" ca="1" si="45"/>
        <v>11.1</v>
      </c>
      <c r="ET16" s="777" t="e">
        <f t="shared" ca="1" si="45"/>
        <v>#DIV/0!</v>
      </c>
      <c r="EU16" s="777" t="e">
        <f t="shared" ca="1" si="45"/>
        <v>#DIV/0!</v>
      </c>
      <c r="EV16" s="777" t="e">
        <f t="shared" ca="1" si="45"/>
        <v>#DIV/0!</v>
      </c>
      <c r="EW16" s="777" t="e">
        <f t="shared" ca="1" si="45"/>
        <v>#DIV/0!</v>
      </c>
      <c r="EX16" s="777" t="e">
        <f t="shared" ca="1" si="45"/>
        <v>#DIV/0!</v>
      </c>
      <c r="EY16" s="777" t="e">
        <f t="shared" ca="1" si="45"/>
        <v>#DIV/0!</v>
      </c>
      <c r="FA16" s="777" t="e">
        <f t="shared" ref="FA16:FQ16" ca="1" si="46">+AVERAGEIFS(FA20:FA41,FA20:FA41,"&lt;"&amp;FA$14,FA20:FA41,"&gt;"&amp;FA$13)</f>
        <v>#DIV/0!</v>
      </c>
      <c r="FB16" s="777" t="e">
        <f t="shared" ca="1" si="46"/>
        <v>#DIV/0!</v>
      </c>
      <c r="FC16" s="777" t="e">
        <f t="shared" ca="1" si="46"/>
        <v>#DIV/0!</v>
      </c>
      <c r="FD16" s="777" t="e">
        <f t="shared" ca="1" si="46"/>
        <v>#DIV/0!</v>
      </c>
      <c r="FE16" s="777" t="e">
        <f t="shared" ca="1" si="46"/>
        <v>#DIV/0!</v>
      </c>
      <c r="FF16" s="777" t="e">
        <f t="shared" ca="1" si="46"/>
        <v>#DIV/0!</v>
      </c>
      <c r="FG16" s="777" t="e">
        <f t="shared" ca="1" si="46"/>
        <v>#DIV/0!</v>
      </c>
      <c r="FH16" s="777" t="e">
        <f t="shared" ca="1" si="46"/>
        <v>#DIV/0!</v>
      </c>
      <c r="FI16" s="777" t="e">
        <f t="shared" ca="1" si="46"/>
        <v>#DIV/0!</v>
      </c>
      <c r="FJ16" s="777" t="e">
        <f t="shared" ca="1" si="46"/>
        <v>#DIV/0!</v>
      </c>
      <c r="FK16" s="777" t="e">
        <f t="shared" ca="1" si="46"/>
        <v>#DIV/0!</v>
      </c>
      <c r="FL16" s="777" t="e">
        <f t="shared" ca="1" si="46"/>
        <v>#DIV/0!</v>
      </c>
      <c r="FM16" s="777" t="e">
        <f t="shared" ca="1" si="46"/>
        <v>#DIV/0!</v>
      </c>
      <c r="FN16" s="777" t="e">
        <f t="shared" ca="1" si="46"/>
        <v>#DIV/0!</v>
      </c>
      <c r="FO16" s="777" t="e">
        <f t="shared" ca="1" si="46"/>
        <v>#DIV/0!</v>
      </c>
      <c r="FP16" s="777" t="e">
        <f t="shared" ca="1" si="46"/>
        <v>#DIV/0!</v>
      </c>
      <c r="FQ16" s="777" t="e">
        <f t="shared" ca="1" si="46"/>
        <v>#DIV/0!</v>
      </c>
      <c r="FS16" s="777">
        <f t="shared" ref="FS16:GI16" ca="1" si="47">+AVERAGEIFS(FS20:FS41,FS20:FS41,"&lt;"&amp;FS$14,FS20:FS41,"&gt;"&amp;FS$13)</f>
        <v>551.29999999999995</v>
      </c>
      <c r="FT16" s="777">
        <f t="shared" ca="1" si="47"/>
        <v>484.11764705882354</v>
      </c>
      <c r="FU16" s="777">
        <f t="shared" ca="1" si="47"/>
        <v>2579.9684210526316</v>
      </c>
      <c r="FV16" s="777">
        <f t="shared" ca="1" si="47"/>
        <v>4581</v>
      </c>
      <c r="FW16" s="777">
        <f t="shared" ca="1" si="47"/>
        <v>3282.090909090909</v>
      </c>
      <c r="FX16" s="777">
        <f t="shared" ca="1" si="47"/>
        <v>199.35</v>
      </c>
      <c r="FY16" s="777">
        <f t="shared" ca="1" si="47"/>
        <v>613.66666666666663</v>
      </c>
      <c r="FZ16" s="777">
        <f t="shared" ca="1" si="47"/>
        <v>284.57692307692309</v>
      </c>
      <c r="GA16" s="777">
        <f t="shared" ca="1" si="47"/>
        <v>4203.0555555555557</v>
      </c>
      <c r="GB16" s="777">
        <f t="shared" ca="1" si="47"/>
        <v>157.77005263157895</v>
      </c>
      <c r="GC16" s="777">
        <f t="shared" ca="1" si="47"/>
        <v>209.85</v>
      </c>
      <c r="GD16" s="777">
        <f t="shared" ca="1" si="47"/>
        <v>85.263157894736835</v>
      </c>
      <c r="GE16" s="777">
        <f t="shared" ca="1" si="47"/>
        <v>260</v>
      </c>
      <c r="GF16" s="777">
        <f t="shared" ca="1" si="47"/>
        <v>172.05</v>
      </c>
      <c r="GG16" s="777">
        <f t="shared" ca="1" si="47"/>
        <v>1039.25</v>
      </c>
      <c r="GH16" s="777">
        <f t="shared" ca="1" si="47"/>
        <v>621.52941176470586</v>
      </c>
      <c r="GI16" s="777" t="e">
        <f t="shared" ca="1" si="47"/>
        <v>#DIV/0!</v>
      </c>
      <c r="GK16" s="777">
        <f t="shared" ref="GK16:HA16" ca="1" si="48">+AVERAGEIFS(GK20:GK41,GK20:GK41,"&lt;"&amp;GK$14,GK20:GK41,"&gt;"&amp;GK$13)</f>
        <v>2.435125489357115</v>
      </c>
      <c r="GL16" s="777">
        <f t="shared" ca="1" si="48"/>
        <v>1.5046647228764134</v>
      </c>
      <c r="GM16" s="777">
        <f t="shared" ca="1" si="48"/>
        <v>3.9806435223392889</v>
      </c>
      <c r="GN16" s="777">
        <f t="shared" ca="1" si="48"/>
        <v>4.6854082998661299</v>
      </c>
      <c r="GO16" s="777">
        <f t="shared" ca="1" si="48"/>
        <v>3.7460271032072501</v>
      </c>
      <c r="GP16" s="777">
        <f t="shared" ca="1" si="48"/>
        <v>3.0390285150611951</v>
      </c>
      <c r="GQ16" s="777">
        <f t="shared" ca="1" si="48"/>
        <v>4.1933187339597948</v>
      </c>
      <c r="GR16" s="777">
        <f t="shared" ca="1" si="48"/>
        <v>2.5450436153744529</v>
      </c>
      <c r="GS16" s="777">
        <f t="shared" ca="1" si="48"/>
        <v>2.8698206249856684</v>
      </c>
      <c r="GT16" s="777">
        <f t="shared" ca="1" si="48"/>
        <v>1.2240048287356955</v>
      </c>
      <c r="GU16" s="777">
        <f t="shared" ca="1" si="48"/>
        <v>1.244890019518365</v>
      </c>
      <c r="GV16" s="777">
        <f t="shared" ca="1" si="48"/>
        <v>1.7613909181075811</v>
      </c>
      <c r="GW16" s="777">
        <f t="shared" ca="1" si="48"/>
        <v>2.0913884655748398</v>
      </c>
      <c r="GX16" s="777">
        <f t="shared" ca="1" si="48"/>
        <v>1.1898473340165576</v>
      </c>
      <c r="GY16" s="777">
        <f t="shared" ca="1" si="48"/>
        <v>1.7858245410294311</v>
      </c>
      <c r="GZ16" s="777">
        <f t="shared" ca="1" si="48"/>
        <v>3.4483656097387207</v>
      </c>
      <c r="HA16" s="777" t="e">
        <f t="shared" ca="1" si="48"/>
        <v>#DIV/0!</v>
      </c>
    </row>
    <row r="17" spans="1:217" s="770" customFormat="1" ht="11.25" customHeight="1">
      <c r="C17" s="776" t="s">
        <v>1162</v>
      </c>
      <c r="E17" s="777" cm="1">
        <f t="array" aca="1" ref="E17" ca="1">+E16-_xlfn.STDEV.P(IF(E20:E41&lt;E$14,IF(E20:E41&gt;E$13,E20:E41)))</f>
        <v>5.9179971525887822</v>
      </c>
      <c r="F17" s="777" cm="1">
        <f t="array" aca="1" ref="F17" ca="1">+F16-_xlfn.STDEV.P(IF(F20:F41&lt;F$14,IF(F20:F41&gt;F$13,F20:F41)))</f>
        <v>5.998365344563493</v>
      </c>
      <c r="G17" s="777" cm="1">
        <f t="array" aca="1" ref="G17" ca="1">+G16-_xlfn.STDEV.P(IF(G20:G41&lt;G$14,IF(G20:G41&gt;G$13,G20:G41)))</f>
        <v>4.7906527604049263</v>
      </c>
      <c r="H17" s="777" cm="1">
        <f t="array" aca="1" ref="H17" ca="1">+H16-_xlfn.STDEV.P(IF(H20:H41&lt;H$14,IF(H20:H41&gt;H$13,H20:H41)))</f>
        <v>6.1744051592214895</v>
      </c>
      <c r="I17" s="777" cm="1">
        <f t="array" aca="1" ref="I17" ca="1">+I16-_xlfn.STDEV.P(IF(I20:I41&lt;I$14,IF(I20:I41&gt;I$13,I20:I41)))</f>
        <v>5.6747045117218349</v>
      </c>
      <c r="J17" s="777" cm="1">
        <f t="array" aca="1" ref="J17" ca="1">+J16-_xlfn.STDEV.P(IF(J20:J41&lt;J$14,IF(J20:J41&gt;J$13,J20:J41)))</f>
        <v>4.4842320025196756</v>
      </c>
      <c r="K17" s="777" cm="1">
        <f t="array" aca="1" ref="K17" ca="1">+K16-_xlfn.STDEV.P(IF(K20:K41&lt;K$14,IF(K20:K41&gt;K$13,K20:K41)))</f>
        <v>5.4620331657190473</v>
      </c>
      <c r="L17" s="777" cm="1">
        <f t="array" aca="1" ref="L17" ca="1">+L16-_xlfn.STDEV.P(IF(L20:L41&lt;L$14,IF(L20:L41&gt;L$13,L20:L41)))</f>
        <v>5.6183066856159609</v>
      </c>
      <c r="M17" s="777" cm="1">
        <f t="array" aca="1" ref="M17" ca="1">+M16-_xlfn.STDEV.P(IF(M20:M41&lt;M$14,IF(M20:M41&gt;M$13,M20:M41)))</f>
        <v>8.3058354677861956</v>
      </c>
      <c r="N17" s="777" cm="1">
        <f t="array" aca="1" ref="N17" ca="1">+N16-_xlfn.STDEV.P(IF(N20:N41&lt;N$14,IF(N20:N41&gt;N$13,N20:N41)))</f>
        <v>6.1363130356181195</v>
      </c>
      <c r="O17" s="777" cm="1">
        <f t="array" aca="1" ref="O17" ca="1">+O16-_xlfn.STDEV.P(IF(O20:O41&lt;O$14,IF(O20:O41&gt;O$13,O20:O41)))</f>
        <v>5.0492311183420782</v>
      </c>
      <c r="P17" s="777" cm="1">
        <f t="array" aca="1" ref="P17" ca="1">+P16-_xlfn.STDEV.P(IF(P20:P41&lt;P$14,IF(P20:P41&gt;P$13,P20:P41)))</f>
        <v>5.9105598405730317</v>
      </c>
      <c r="Q17" s="777" cm="1">
        <f t="array" aca="1" ref="Q17" ca="1">+Q16-_xlfn.STDEV.P(IF(Q20:Q41&lt;Q$14,IF(Q20:Q41&gt;Q$13,Q20:Q41)))</f>
        <v>8.4470762495468836</v>
      </c>
      <c r="R17" s="777" cm="1">
        <f t="array" aca="1" ref="R17" ca="1">+R16-_xlfn.STDEV.P(IF(R20:R41&lt;R$14,IF(R20:R41&gt;R$13,R20:R41)))</f>
        <v>6.5829125289435657</v>
      </c>
      <c r="S17" s="777" cm="1">
        <f t="array" aca="1" ref="S17" ca="1">+S16-_xlfn.STDEV.P(IF(S20:S41&lt;S$14,IF(S20:S41&gt;S$13,S20:S41)))</f>
        <v>6.7082776024087281</v>
      </c>
      <c r="T17" s="777" cm="1">
        <f t="array" aca="1" ref="T17" ca="1">+T16-_xlfn.STDEV.P(IF(T20:T41&lt;T$14,IF(T20:T41&gt;T$13,T20:T41)))</f>
        <v>4.9519766014447946</v>
      </c>
      <c r="U17" s="777" t="e" cm="1">
        <f t="array" aca="1" ref="U17" ca="1">+U16-_xlfn.STDEV.P(IF(U20:U41&lt;U$14,IF(U20:U41&gt;U$13,U20:U41)))</f>
        <v>#DIV/0!</v>
      </c>
      <c r="V17" s="777" t="e" cm="1">
        <f t="array" aca="1" ref="V17" ca="1">+V16-_xlfn.STDEV.P(IF(V20:V41&lt;V$14,IF(V20:V41&gt;V$13,V20:V41)))</f>
        <v>#DIV/0!</v>
      </c>
      <c r="W17" s="762"/>
      <c r="X17" s="777" cm="1">
        <f t="array" aca="1" ref="X17" ca="1">+X16-_xlfn.STDEV.P(IF(X20:X41&lt;X$14,IF(X20:X41&gt;X$13,X20:X41)))</f>
        <v>5.76814267193022</v>
      </c>
      <c r="Y17" s="777" cm="1">
        <f t="array" aca="1" ref="Y17" ca="1">+Y16-_xlfn.STDEV.P(IF(Y20:Y41&lt;Y$14,IF(Y20:Y41&gt;Y$13,Y20:Y41)))</f>
        <v>5.9757773833712271</v>
      </c>
      <c r="Z17" s="777" cm="1">
        <f t="array" aca="1" ref="Z17" ca="1">+Z16-_xlfn.STDEV.P(IF(Z20:Z41&lt;Z$14,IF(Z20:Z41&gt;Z$13,Z20:Z41)))</f>
        <v>4.7933795521630653</v>
      </c>
      <c r="AA17" s="777" cm="1">
        <f t="array" aca="1" ref="AA17" ca="1">+AA16-_xlfn.STDEV.P(IF(AA20:AA41&lt;AA$14,IF(AA20:AA41&gt;AA$13,AA20:AA41)))</f>
        <v>5.0755724566528535</v>
      </c>
      <c r="AB17" s="777" cm="1">
        <f t="array" aca="1" ref="AB17" ca="1">+AB16-_xlfn.STDEV.P(IF(AB20:AB41&lt;AB$14,IF(AB20:AB41&gt;AB$13,AB20:AB41)))</f>
        <v>4.9561740883185212</v>
      </c>
      <c r="AC17" s="777" cm="1">
        <f t="array" aca="1" ref="AC17" ca="1">+AC16-_xlfn.STDEV.P(IF(AC20:AC41&lt;AC$14,IF(AC20:AC41&gt;AC$13,AC20:AC41)))</f>
        <v>4.5947944744402527</v>
      </c>
      <c r="AD17" s="777" cm="1">
        <f t="array" aca="1" ref="AD17" ca="1">+AD16-_xlfn.STDEV.P(IF(AD20:AD41&lt;AD$14,IF(AD20:AD41&gt;AD$13,AD20:AD41)))</f>
        <v>5.4631424711399896</v>
      </c>
      <c r="AE17" s="777" cm="1">
        <f t="array" aca="1" ref="AE17" ca="1">+AE16-_xlfn.STDEV.P(IF(AE20:AE41&lt;AE$14,IF(AE20:AE41&gt;AE$13,AE20:AE41)))</f>
        <v>5.603276842694024</v>
      </c>
      <c r="AF17" s="777" cm="1">
        <f t="array" aca="1" ref="AF17" ca="1">+AF16-_xlfn.STDEV.P(IF(AF20:AF41&lt;AF$14,IF(AF20:AF41&gt;AF$13,AF20:AF41)))</f>
        <v>8.5815180445093837</v>
      </c>
      <c r="AG17" s="777" cm="1">
        <f t="array" aca="1" ref="AG17" ca="1">+AG16-_xlfn.STDEV.P(IF(AG20:AG41&lt;AG$14,IF(AG20:AG41&gt;AG$13,AG20:AG41)))</f>
        <v>6.7917157254101674</v>
      </c>
      <c r="AH17" s="777" cm="1">
        <f t="array" aca="1" ref="AH17" ca="1">+AH16-_xlfn.STDEV.P(IF(AH20:AH41&lt;AH$14,IF(AH20:AH41&gt;AH$13,AH20:AH41)))</f>
        <v>5.5359430436423738</v>
      </c>
      <c r="AI17" s="777" cm="1">
        <f t="array" aca="1" ref="AI17" ca="1">+AI16-_xlfn.STDEV.P(IF(AI20:AI41&lt;AI$14,IF(AI20:AI41&gt;AI$13,AI20:AI41)))</f>
        <v>6.5166235299293973</v>
      </c>
      <c r="AJ17" s="777" cm="1">
        <f t="array" aca="1" ref="AJ17" ca="1">+AJ16-_xlfn.STDEV.P(IF(AJ20:AJ41&lt;AJ$14,IF(AJ20:AJ41&gt;AJ$13,AJ20:AJ41)))</f>
        <v>8.7885346617709015</v>
      </c>
      <c r="AK17" s="777" cm="1">
        <f t="array" aca="1" ref="AK17" ca="1">+AK16-_xlfn.STDEV.P(IF(AK20:AK41&lt;AK$14,IF(AK20:AK41&gt;AK$13,AK20:AK41)))</f>
        <v>6.9887105197926038</v>
      </c>
      <c r="AL17" s="777" cm="1">
        <f t="array" aca="1" ref="AL17" ca="1">+AL16-_xlfn.STDEV.P(IF(AL20:AL41&lt;AL$14,IF(AL20:AL41&gt;AL$13,AL20:AL41)))</f>
        <v>7.0428285688264882</v>
      </c>
      <c r="AM17" s="777" cm="1">
        <f t="array" aca="1" ref="AM17" ca="1">+AM16-_xlfn.STDEV.P(IF(AM20:AM41&lt;AM$14,IF(AM20:AM41&gt;AM$13,AM20:AM41)))</f>
        <v>5.1924116494449111</v>
      </c>
      <c r="AN17" s="777" t="e" cm="1">
        <f t="array" aca="1" ref="AN17" ca="1">+AN16-_xlfn.STDEV.P(IF(AN20:AN41&lt;AN$14,IF(AN20:AN41&gt;AN$13,AN20:AN41)))</f>
        <v>#DIV/0!</v>
      </c>
      <c r="AO17" s="777" t="e" cm="1">
        <f t="array" aca="1" ref="AO17" ca="1">+AO16-_xlfn.STDEV.P(IF(AO20:AO41&lt;AO$14,IF(AO20:AO41&gt;AO$13,AO20:AO41)))</f>
        <v>#DIV/0!</v>
      </c>
      <c r="AP17" s="762"/>
      <c r="AQ17" s="777" cm="1">
        <f t="array" aca="1" ref="AQ17" ca="1">+AQ16-_xlfn.STDEV.P(IF(AQ20:AQ41&lt;AQ$14,IF(AQ20:AQ41&gt;AQ$13,AQ20:AQ41)))</f>
        <v>10.22928297193209</v>
      </c>
      <c r="AR17" s="777" cm="1">
        <f t="array" aca="1" ref="AR17" ca="1">+AR16-_xlfn.STDEV.P(IF(AR20:AR41&lt;AR$14,IF(AR20:AR41&gt;AR$13,AR20:AR41)))</f>
        <v>15.475602941669068</v>
      </c>
      <c r="AS17" s="777" cm="1">
        <f t="array" aca="1" ref="AS17" ca="1">+AS16-_xlfn.STDEV.P(IF(AS20:AS41&lt;AS$14,IF(AS20:AS41&gt;AS$13,AS20:AS41)))</f>
        <v>8.7114928619293135</v>
      </c>
      <c r="AT17" s="777" cm="1">
        <f t="array" aca="1" ref="AT17" ca="1">+AT16-_xlfn.STDEV.P(IF(AT20:AT41&lt;AT$14,IF(AT20:AT41&gt;AT$13,AT20:AT41)))</f>
        <v>7.2791666666666668</v>
      </c>
      <c r="AU17" s="777" cm="1">
        <f t="array" aca="1" ref="AU17" ca="1">+AU16-_xlfn.STDEV.P(IF(AU20:AU41&lt;AU$14,IF(AU20:AU41&gt;AU$13,AU20:AU41)))</f>
        <v>19.961249402505935</v>
      </c>
      <c r="AV17" s="777" cm="1">
        <f t="array" aca="1" ref="AV17" ca="1">+AV16-_xlfn.STDEV.P(IF(AV20:AV41&lt;AV$14,IF(AV20:AV41&gt;AV$13,AV20:AV41)))</f>
        <v>0.86566694737117267</v>
      </c>
      <c r="AW17" s="777" cm="1">
        <f t="array" aca="1" ref="AW17" ca="1">+AW16-_xlfn.STDEV.P(IF(AW20:AW41&lt;AW$14,IF(AW20:AW41&gt;AW$13,AW20:AW41)))</f>
        <v>7.7309951445555143</v>
      </c>
      <c r="AX17" s="777" cm="1">
        <f t="array" aca="1" ref="AX17" ca="1">+AX16-_xlfn.STDEV.P(IF(AX20:AX41&lt;AX$14,IF(AX20:AX41&gt;AX$13,AX20:AX41)))</f>
        <v>9.2825851431333053</v>
      </c>
      <c r="AY17" s="777" cm="1">
        <f t="array" aca="1" ref="AY17" ca="1">+AY16-_xlfn.STDEV.P(IF(AY20:AY41&lt;AY$14,IF(AY20:AY41&gt;AY$13,AY20:AY41)))</f>
        <v>17.366305528315817</v>
      </c>
      <c r="AZ17" s="777" cm="1">
        <f t="array" aca="1" ref="AZ17" ca="1">+AZ16-_xlfn.STDEV.P(IF(AZ20:AZ41&lt;AZ$14,IF(AZ20:AZ41&gt;AZ$13,AZ20:AZ41)))</f>
        <v>7.1647514881236418</v>
      </c>
      <c r="BA17" s="777" t="e" cm="1">
        <f t="array" aca="1" ref="BA17" ca="1">+BA16-_xlfn.STDEV.P(IF(BA20:BA41&lt;BA$14,IF(BA20:BA41&gt;BA$13,BA20:BA41)))</f>
        <v>#DIV/0!</v>
      </c>
      <c r="BB17" s="777" cm="1">
        <f t="array" aca="1" ref="BB17" ca="1">+BB16-_xlfn.STDEV.P(IF(BB20:BB41&lt;BB$14,IF(BB20:BB41&gt;BB$13,BB20:BB41)))</f>
        <v>7.60435519961199</v>
      </c>
      <c r="BC17" s="777" cm="1">
        <f t="array" aca="1" ref="BC17" ca="1">+BC16-_xlfn.STDEV.P(IF(BC20:BC41&lt;BC$14,IF(BC20:BC41&gt;BC$13,BC20:BC41)))</f>
        <v>10.728226592149706</v>
      </c>
      <c r="BD17" s="777" cm="1">
        <f t="array" aca="1" ref="BD17" ca="1">+BD16-_xlfn.STDEV.P(IF(BD20:BD41&lt;BD$14,IF(BD20:BD41&gt;BD$13,BD20:BD41)))</f>
        <v>13.781021264478166</v>
      </c>
      <c r="BE17" s="777" cm="1">
        <f t="array" aca="1" ref="BE17" ca="1">+BE16-_xlfn.STDEV.P(IF(BE20:BE41&lt;BE$14,IF(BE20:BE41&gt;BE$13,BE20:BE41)))</f>
        <v>12.411629873651894</v>
      </c>
      <c r="BF17" s="777" cm="1">
        <f t="array" aca="1" ref="BF17" ca="1">+BF16-_xlfn.STDEV.P(IF(BF20:BF41&lt;BF$14,IF(BF20:BF41&gt;BF$13,BF20:BF41)))</f>
        <v>6.664450627144201</v>
      </c>
      <c r="BG17" s="777" t="e" cm="1">
        <f t="array" aca="1" ref="BG17" ca="1">+BG16-_xlfn.STDEV.P(IF(BG20:BG41&lt;BG$14,IF(BG20:BG41&gt;BG$13,BG20:BG41)))</f>
        <v>#DIV/0!</v>
      </c>
      <c r="BH17" s="777" t="e" cm="1">
        <f t="array" aca="1" ref="BH17" ca="1">+BH16-_xlfn.STDEV.P(IF(BH20:BH41&lt;BH$14,IF(BH20:BH41&gt;BH$13,BH20:BH41)))</f>
        <v>#DIV/0!</v>
      </c>
      <c r="BJ17" s="777" cm="1">
        <f t="array" aca="1" ref="BJ17" ca="1">+BJ16-_xlfn.STDEV.P(IF(BJ20:BJ41&lt;BJ$14,IF(BJ20:BJ41&gt;BJ$13,BJ20:BJ41)))</f>
        <v>5.70703276210598</v>
      </c>
      <c r="BK17" s="777" cm="1">
        <f t="array" aca="1" ref="BK17" ca="1">+BK16-_xlfn.STDEV.P(IF(BK20:BK41&lt;BK$14,IF(BK20:BK41&gt;BK$13,BK20:BK41)))</f>
        <v>7.5134088076151349</v>
      </c>
      <c r="BL17" s="777" cm="1">
        <f t="array" aca="1" ref="BL17" ca="1">+BL16-_xlfn.STDEV.P(IF(BL20:BL41&lt;BL$14,IF(BL20:BL41&gt;BL$13,BL20:BL41)))</f>
        <v>4.8562377834410455</v>
      </c>
      <c r="BM17" s="777" cm="1">
        <f t="array" aca="1" ref="BM17" ca="1">+BM16-_xlfn.STDEV.P(IF(BM20:BM41&lt;BM$14,IF(BM20:BM41&gt;BM$13,BM20:BM41)))</f>
        <v>5.5625309759272756</v>
      </c>
      <c r="BN17" s="777" cm="1">
        <f t="array" aca="1" ref="BN17" ca="1">+BN16-_xlfn.STDEV.P(IF(BN20:BN41&lt;BN$14,IF(BN20:BN41&gt;BN$13,BN20:BN41)))</f>
        <v>5.1128958849087791</v>
      </c>
      <c r="BO17" s="777" cm="1">
        <f t="array" aca="1" ref="BO17" ca="1">+BO16-_xlfn.STDEV.P(IF(BO20:BO41&lt;BO$14,IF(BO20:BO41&gt;BO$13,BO20:BO41)))</f>
        <v>4.5884193086212477</v>
      </c>
      <c r="BP17" s="777" cm="1">
        <f t="array" aca="1" ref="BP17" ca="1">+BP16-_xlfn.STDEV.P(IF(BP20:BP41&lt;BP$14,IF(BP20:BP41&gt;BP$13,BP20:BP41)))</f>
        <v>5.3417103127886456</v>
      </c>
      <c r="BQ17" s="777" cm="1">
        <f t="array" aca="1" ref="BQ17" ca="1">+BQ16-_xlfn.STDEV.P(IF(BQ20:BQ41&lt;BQ$14,IF(BQ20:BQ41&gt;BQ$13,BQ20:BQ41)))</f>
        <v>5.6705015099624347</v>
      </c>
      <c r="BR17" s="777" cm="1">
        <f t="array" aca="1" ref="BR17" ca="1">+BR16-_xlfn.STDEV.P(IF(BR20:BR41&lt;BR$14,IF(BR20:BR41&gt;BR$13,BR20:BR41)))</f>
        <v>8.8005936778045175</v>
      </c>
      <c r="BS17" s="777" cm="1">
        <f t="array" aca="1" ref="BS17" ca="1">+BS16-_xlfn.STDEV.P(IF(BS20:BS41&lt;BS$14,IF(BS20:BS41&gt;BS$13,BS20:BS41)))</f>
        <v>7.331286407080631</v>
      </c>
      <c r="BT17" s="777" cm="1">
        <f t="array" aca="1" ref="BT17" ca="1">+BT16-_xlfn.STDEV.P(IF(BT20:BT41&lt;BT$14,IF(BT20:BT41&gt;BT$13,BT20:BT41)))</f>
        <v>6.4033794485702158</v>
      </c>
      <c r="BU17" s="777" cm="1">
        <f t="array" aca="1" ref="BU17" ca="1">+BU16-_xlfn.STDEV.P(IF(BU20:BU41&lt;BU$14,IF(BU20:BU41&gt;BU$13,BU20:BU41)))</f>
        <v>8.1594880265951382</v>
      </c>
      <c r="BV17" s="777" cm="1">
        <f t="array" aca="1" ref="BV17" ca="1">+BV16-_xlfn.STDEV.P(IF(BV20:BV41&lt;BV$14,IF(BV20:BV41&gt;BV$13,BV20:BV41)))</f>
        <v>11.674581774023178</v>
      </c>
      <c r="BW17" s="777" cm="1">
        <f t="array" aca="1" ref="BW17" ca="1">+BW16-_xlfn.STDEV.P(IF(BW20:BW41&lt;BW$14,IF(BW20:BW41&gt;BW$13,BW20:BW41)))</f>
        <v>6.4524304191274195</v>
      </c>
      <c r="BX17" s="777" cm="1">
        <f t="array" aca="1" ref="BX17" ca="1">+BX16-_xlfn.STDEV.P(IF(BX20:BX41&lt;BX$14,IF(BX20:BX41&gt;BX$13,BX20:BX41)))</f>
        <v>7.3551415918229424</v>
      </c>
      <c r="BY17" s="777" cm="1">
        <f t="array" aca="1" ref="BY17" ca="1">+BY16-_xlfn.STDEV.P(IF(BY20:BY41&lt;BY$14,IF(BY20:BY41&gt;BY$13,BY20:BY41)))</f>
        <v>4.8117097930392978</v>
      </c>
      <c r="BZ17" s="777" t="e" cm="1">
        <f t="array" aca="1" ref="BZ17" ca="1">+BZ16-_xlfn.STDEV.P(IF(BZ20:BZ41&lt;BZ$14,IF(BZ20:BZ41&gt;BZ$13,BZ20:BZ41)))</f>
        <v>#DIV/0!</v>
      </c>
      <c r="CA17" s="777" t="e" cm="1">
        <f t="array" aca="1" ref="CA17" ca="1">+CA16-_xlfn.STDEV.P(IF(CA20:CA41&lt;CA$14,IF(CA20:CA41&gt;CA$13,CA20:CA41)))</f>
        <v>#DIV/0!</v>
      </c>
      <c r="CC17" s="777" cm="1">
        <f t="array" aca="1" ref="CC17" ca="1">+CC16-_xlfn.STDEV.P(IF(CC20:CC41&lt;CC$14,IF(CC20:CC41&gt;CC$13,CC20:CC41)))</f>
        <v>6248.276248332968</v>
      </c>
      <c r="CD17" s="777" cm="1">
        <f t="array" aca="1" ref="CD17" ca="1">+CD16-_xlfn.STDEV.P(IF(CD20:CD41&lt;CD$14,IF(CD20:CD41&gt;CD$13,CD20:CD41)))</f>
        <v>5514.4052890308021</v>
      </c>
      <c r="CE17" s="777" cm="1">
        <f t="array" aca="1" ref="CE17" ca="1">+CE16-_xlfn.STDEV.P(IF(CE20:CE41&lt;CE$14,IF(CE20:CE41&gt;CE$13,CE20:CE41)))</f>
        <v>47204.219307612671</v>
      </c>
      <c r="CF17" s="777" cm="1">
        <f t="array" aca="1" ref="CF17" ca="1">+CF16-_xlfn.STDEV.P(IF(CF20:CF41&lt;CF$14,IF(CF20:CF41&gt;CF$13,CF20:CF41)))</f>
        <v>40054.873159396848</v>
      </c>
      <c r="CG17" s="777" cm="1">
        <f t="array" aca="1" ref="CG17" ca="1">+CG16-_xlfn.STDEV.P(IF(CG20:CG41&lt;CG$14,IF(CG20:CG41&gt;CG$13,CG20:CG41)))</f>
        <v>32775.078702311577</v>
      </c>
      <c r="CH17" s="777" cm="1">
        <f t="array" aca="1" ref="CH17" ca="1">+CH16-_xlfn.STDEV.P(IF(CH20:CH41&lt;CH$14,IF(CH20:CH41&gt;CH$13,CH20:CH41)))</f>
        <v>1191.6554569813725</v>
      </c>
      <c r="CI17" s="777" cm="1">
        <f t="array" aca="1" ref="CI17" ca="1">+CI16-_xlfn.STDEV.P(IF(CI20:CI41&lt;CI$14,IF(CI20:CI41&gt;CI$13,CI20:CI41)))</f>
        <v>12855.845497946282</v>
      </c>
      <c r="CJ17" s="777" cm="1">
        <f t="array" aca="1" ref="CJ17" ca="1">+CJ16-_xlfn.STDEV.P(IF(CJ20:CJ41&lt;CJ$14,IF(CJ20:CJ41&gt;CJ$13,CJ20:CJ41)))</f>
        <v>8098.6586634686146</v>
      </c>
      <c r="CK17" s="777" cm="1">
        <f t="array" aca="1" ref="CK17" ca="1">+CK16-_xlfn.STDEV.P(IF(CK20:CK41&lt;CK$14,IF(CK20:CK41&gt;CK$13,CK20:CK41)))</f>
        <v>24015.499496092307</v>
      </c>
      <c r="CL17" s="777" cm="1">
        <f t="array" aca="1" ref="CL17" ca="1">+CL16-_xlfn.STDEV.P(IF(CL20:CL41&lt;CL$14,IF(CL20:CL41&gt;CL$13,CL20:CL41)))</f>
        <v>2100.3706009661901</v>
      </c>
      <c r="CM17" s="777" cm="1">
        <f t="array" aca="1" ref="CM17" ca="1">+CM16-_xlfn.STDEV.P(IF(CM20:CM41&lt;CM$14,IF(CM20:CM41&gt;CM$13,CM20:CM41)))</f>
        <v>3545.6677286320792</v>
      </c>
      <c r="CN17" s="777" cm="1">
        <f t="array" aca="1" ref="CN17" ca="1">+CN16-_xlfn.STDEV.P(IF(CN20:CN41&lt;CN$14,IF(CN20:CN41&gt;CN$13,CN20:CN41)))</f>
        <v>2370.8129843277352</v>
      </c>
      <c r="CO17" s="777" cm="1">
        <f t="array" aca="1" ref="CO17" ca="1">+CO16-_xlfn.STDEV.P(IF(CO20:CO41&lt;CO$14,IF(CO20:CO41&gt;CO$13,CO20:CO41)))</f>
        <v>10590.867670032949</v>
      </c>
      <c r="CP17" s="777" cm="1">
        <f t="array" aca="1" ref="CP17" ca="1">+CP16-_xlfn.STDEV.P(IF(CP20:CP41&lt;CP$14,IF(CP20:CP41&gt;CP$13,CP20:CP41)))</f>
        <v>2350.7501526829692</v>
      </c>
      <c r="CQ17" s="777" cm="1">
        <f t="array" aca="1" ref="CQ17" ca="1">+CQ16-_xlfn.STDEV.P(IF(CQ20:CQ41&lt;CQ$14,IF(CQ20:CQ41&gt;CQ$13,CQ20:CQ41)))</f>
        <v>11714.443730898565</v>
      </c>
      <c r="CR17" s="777" cm="1">
        <f t="array" aca="1" ref="CR17" ca="1">+CR16-_xlfn.STDEV.P(IF(CR20:CR41&lt;CR$14,IF(CR20:CR41&gt;CR$13,CR20:CR41)))</f>
        <v>7707.6267395175128</v>
      </c>
      <c r="CS17" s="777" t="e" cm="1">
        <f t="array" aca="1" ref="CS17" ca="1">+CS16-_xlfn.STDEV.P(IF(CS20:CS41&lt;CS$14,IF(CS20:CS41&gt;CS$13,CS20:CS41)))</f>
        <v>#DIV/0!</v>
      </c>
      <c r="CT17" s="777" t="e" cm="1">
        <f t="array" aca="1" ref="CT17" ca="1">+CT16-_xlfn.STDEV.P(IF(CT20:CT41&lt;CT$14,IF(CT20:CT41&gt;CT$13,CT20:CT41)))</f>
        <v>#DIV/0!</v>
      </c>
      <c r="CV17" s="999" cm="1">
        <f t="array" aca="1" ref="CV17" ca="1">+CV16-_xlfn.STDEV.P(IF(CV20:CV41&lt;CV$14,IF(CV20:CV41&gt;CV$13,CV20:CV41)))</f>
        <v>3152.3067338694227</v>
      </c>
      <c r="CW17" s="999" cm="1">
        <f t="array" aca="1" ref="CW17" ca="1">+CW16-_xlfn.STDEV.P(IF(CW20:CW41&lt;CW$14,IF(CW20:CW41&gt;CW$13,CW20:CW41)))</f>
        <v>2658.3173023525765</v>
      </c>
      <c r="CX17" s="999" cm="1">
        <f t="array" aca="1" ref="CX17" ca="1">+CX16-_xlfn.STDEV.P(IF(CX20:CX41&lt;CX$14,IF(CX20:CX41&gt;CX$13,CX20:CX41)))</f>
        <v>14344.795053701277</v>
      </c>
      <c r="CY17" s="999" cm="1">
        <f t="array" aca="1" ref="CY17" ca="1">+CY16-_xlfn.STDEV.P(IF(CY20:CY41&lt;CY$14,IF(CY20:CY41&gt;CY$13,CY20:CY41)))</f>
        <v>21664.5</v>
      </c>
      <c r="CZ17" s="999" cm="1">
        <f t="array" aca="1" ref="CZ17" ca="1">+CZ16-_xlfn.STDEV.P(IF(CZ20:CZ41&lt;CZ$14,IF(CZ20:CZ41&gt;CZ$13,CZ20:CZ41)))</f>
        <v>8057.0115101795891</v>
      </c>
      <c r="DA17" s="999" cm="1">
        <f t="array" aca="1" ref="DA17" ca="1">+DA16-_xlfn.STDEV.P(IF(DA20:DA41&lt;DA$14,IF(DA20:DA41&gt;DA$13,DA20:DA41)))</f>
        <v>255.93499160863257</v>
      </c>
      <c r="DB17" s="999" cm="1">
        <f t="array" aca="1" ref="DB17" ca="1">+DB16-_xlfn.STDEV.P(IF(DB20:DB41&lt;DB$14,IF(DB20:DB41&gt;DB$13,DB20:DB41)))</f>
        <v>4695.0874466155492</v>
      </c>
      <c r="DC17" s="999" cm="1">
        <f t="array" aca="1" ref="DC17" ca="1">+DC16-_xlfn.STDEV.P(IF(DC20:DC41&lt;DC$14,IF(DC20:DC41&gt;DC$13,DC20:DC41)))</f>
        <v>3167.4975280248336</v>
      </c>
      <c r="DD17" s="999" cm="1">
        <f t="array" aca="1" ref="DD17" ca="1">+DD16-_xlfn.STDEV.P(IF(DD20:DD41&lt;DD$14,IF(DD20:DD41&gt;DD$13,DD20:DD41)))</f>
        <v>6234.7042628720901</v>
      </c>
      <c r="DE17" s="999" cm="1">
        <f t="array" aca="1" ref="DE17" ca="1">+DE16-_xlfn.STDEV.P(IF(DE20:DE41&lt;DE$14,IF(DE20:DE41&gt;DE$13,DE20:DE41)))</f>
        <v>544.04969375136238</v>
      </c>
      <c r="DF17" s="999" cm="1">
        <f t="array" aca="1" ref="DF17" ca="1">+DF16-_xlfn.STDEV.P(IF(DF20:DF41&lt;DF$14,IF(DF20:DF41&gt;DF$13,DF20:DF41)))</f>
        <v>1261.6427047113234</v>
      </c>
      <c r="DG17" s="999" cm="1">
        <f t="array" aca="1" ref="DG17" ca="1">+DG16-_xlfn.STDEV.P(IF(DG20:DG41&lt;DG$14,IF(DG20:DG41&gt;DG$13,DG20:DG41)))</f>
        <v>417.58774646781234</v>
      </c>
      <c r="DH17" s="999" cm="1">
        <f t="array" aca="1" ref="DH17" ca="1">+DH16-_xlfn.STDEV.P(IF(DH20:DH41&lt;DH$14,IF(DH20:DH41&gt;DH$13,DH20:DH41)))</f>
        <v>6907.9049068467466</v>
      </c>
      <c r="DI17" s="999" cm="1">
        <f t="array" aca="1" ref="DI17" ca="1">+DI16-_xlfn.STDEV.P(IF(DI20:DI41&lt;DI$14,IF(DI20:DI41&gt;DI$13,DI20:DI41)))</f>
        <v>910.85968093913493</v>
      </c>
      <c r="DJ17" s="999" cm="1">
        <f t="array" aca="1" ref="DJ17" ca="1">+DJ16-_xlfn.STDEV.P(IF(DJ20:DJ41&lt;DJ$14,IF(DJ20:DJ41&gt;DJ$13,DJ20:DJ41)))</f>
        <v>2443.1831192745763</v>
      </c>
      <c r="DK17" s="999" cm="1">
        <f t="array" aca="1" ref="DK17" ca="1">+DK16-_xlfn.STDEV.P(IF(DK20:DK41&lt;DK$14,IF(DK20:DK41&gt;DK$13,DK20:DK41)))</f>
        <v>3931.078899045518</v>
      </c>
      <c r="DL17" s="999" t="e" cm="1">
        <f t="array" aca="1" ref="DL17" ca="1">+DL16-_xlfn.STDEV.P(IF(DL20:DL41&lt;DL$14,IF(DL20:DL41&gt;DL$13,DL20:DL41)))</f>
        <v>#DIV/0!</v>
      </c>
      <c r="DM17" s="999" t="e" cm="1">
        <f t="array" aca="1" ref="DM17" ca="1">+DM16-_xlfn.STDEV.P(IF(DM20:DM41&lt;DM$14,IF(DM20:DM41&gt;DM$13,DM20:DM41)))</f>
        <v>#DIV/0!</v>
      </c>
      <c r="DO17" s="777" t="e" cm="1">
        <f t="array" aca="1" ref="DO17" ca="1">+DO16-_xlfn.STDEV.P(IF(DO20:DO41&lt;DO$14,IF(DO20:DO41&gt;DO$13,DO20:DO41)))</f>
        <v>#DIV/0!</v>
      </c>
      <c r="DP17" s="777" t="e" cm="1">
        <f t="array" aca="1" ref="DP17" ca="1">+DP16-_xlfn.STDEV.P(IF(DP20:DP41&lt;DP$14,IF(DP20:DP41&gt;DP$13,DP20:DP41)))</f>
        <v>#DIV/0!</v>
      </c>
      <c r="DQ17" s="777" t="e" cm="1">
        <f t="array" aca="1" ref="DQ17" ca="1">+DQ16-_xlfn.STDEV.P(IF(DQ20:DQ41&lt;DQ$14,IF(DQ20:DQ41&gt;DQ$13,DQ20:DQ41)))</f>
        <v>#DIV/0!</v>
      </c>
      <c r="DR17" s="777" t="e" cm="1">
        <f t="array" aca="1" ref="DR17" ca="1">+DR16-_xlfn.STDEV.P(IF(DR20:DR41&lt;DR$14,IF(DR20:DR41&gt;DR$13,DR20:DR41)))</f>
        <v>#DIV/0!</v>
      </c>
      <c r="DS17" s="777" t="e" cm="1">
        <f t="array" aca="1" ref="DS17" ca="1">+DS16-_xlfn.STDEV.P(IF(DS20:DS41&lt;DS$14,IF(DS20:DS41&gt;DS$13,DS20:DS41)))</f>
        <v>#DIV/0!</v>
      </c>
      <c r="DT17" s="777" t="e" cm="1">
        <f t="array" aca="1" ref="DT17" ca="1">+DT16-_xlfn.STDEV.P(IF(DT20:DT41&lt;DT$14,IF(DT20:DT41&gt;DT$13,DT20:DT41)))</f>
        <v>#DIV/0!</v>
      </c>
      <c r="DU17" s="777" t="e" cm="1">
        <f t="array" aca="1" ref="DU17" ca="1">+DU16-_xlfn.STDEV.P(IF(DU20:DU41&lt;DU$14,IF(DU20:DU41&gt;DU$13,DU20:DU41)))</f>
        <v>#DIV/0!</v>
      </c>
      <c r="DV17" s="777" t="e" cm="1">
        <f t="array" aca="1" ref="DV17" ca="1">+DV16-_xlfn.STDEV.P(IF(DV20:DV41&lt;DV$14,IF(DV20:DV41&gt;DV$13,DV20:DV41)))</f>
        <v>#DIV/0!</v>
      </c>
      <c r="DW17" s="777" t="e" cm="1">
        <f t="array" aca="1" ref="DW17" ca="1">+DW16-_xlfn.STDEV.P(IF(DW20:DW41&lt;DW$14,IF(DW20:DW41&gt;DW$13,DW20:DW41)))</f>
        <v>#DIV/0!</v>
      </c>
      <c r="DX17" s="777" t="e" cm="1">
        <f t="array" aca="1" ref="DX17" ca="1">+DX16-_xlfn.STDEV.P(IF(DX20:DX41&lt;DX$14,IF(DX20:DX41&gt;DX$13,DX20:DX41)))</f>
        <v>#DIV/0!</v>
      </c>
      <c r="DY17" s="777" t="e" cm="1">
        <f t="array" aca="1" ref="DY17" ca="1">+DY16-_xlfn.STDEV.P(IF(DY20:DY41&lt;DY$14,IF(DY20:DY41&gt;DY$13,DY20:DY41)))</f>
        <v>#DIV/0!</v>
      </c>
      <c r="DZ17" s="777" t="e" cm="1">
        <f t="array" aca="1" ref="DZ17" ca="1">+DZ16-_xlfn.STDEV.P(IF(DZ20:DZ41&lt;DZ$14,IF(DZ20:DZ41&gt;DZ$13,DZ20:DZ41)))</f>
        <v>#DIV/0!</v>
      </c>
      <c r="EA17" s="777" t="e" cm="1">
        <f t="array" aca="1" ref="EA17" ca="1">+EA16-_xlfn.STDEV.P(IF(EA20:EA41&lt;EA$14,IF(EA20:EA41&gt;EA$13,EA20:EA41)))</f>
        <v>#DIV/0!</v>
      </c>
      <c r="EB17" s="777" t="e" cm="1">
        <f t="array" aca="1" ref="EB17" ca="1">+EB16-_xlfn.STDEV.P(IF(EB20:EB41&lt;EB$14,IF(EB20:EB41&gt;EB$13,EB20:EB41)))</f>
        <v>#DIV/0!</v>
      </c>
      <c r="EC17" s="777" t="e" cm="1">
        <f t="array" aca="1" ref="EC17" ca="1">+EC16-_xlfn.STDEV.P(IF(EC20:EC41&lt;EC$14,IF(EC20:EC41&gt;EC$13,EC20:EC41)))</f>
        <v>#DIV/0!</v>
      </c>
      <c r="ED17" s="777" t="e" cm="1">
        <f t="array" aca="1" ref="ED17" ca="1">+ED16-_xlfn.STDEV.P(IF(ED20:ED41&lt;ED$14,IF(ED20:ED41&gt;ED$13,ED20:ED41)))</f>
        <v>#DIV/0!</v>
      </c>
      <c r="EE17" s="777" t="e" cm="1">
        <f t="array" aca="1" ref="EE17" ca="1">+EE16-_xlfn.STDEV.P(IF(EE20:EE41&lt;EE$14,IF(EE20:EE41&gt;EE$13,EE20:EE41)))</f>
        <v>#DIV/0!</v>
      </c>
      <c r="EF17" s="777" t="e" cm="1">
        <f t="array" aca="1" ref="EF17" ca="1">+EF16-_xlfn.STDEV.P(IF(EF20:EF41&lt;EF$14,IF(EF20:EF41&gt;EF$13,EF20:EF41)))</f>
        <v>#DIV/0!</v>
      </c>
      <c r="EG17" s="1502"/>
      <c r="EH17" s="777" t="e" cm="1">
        <f t="array" aca="1" ref="EH17" ca="1">+EH16-_xlfn.STDEV.P(IF(EH20:EH41&lt;EH$14,IF(EH20:EH41&gt;EH$13,EH20:EH41)))</f>
        <v>#DIV/0!</v>
      </c>
      <c r="EI17" s="777" t="e" cm="1">
        <f t="array" aca="1" ref="EI17" ca="1">+EI16-_xlfn.STDEV.P(IF(EI20:EI41&lt;EI$14,IF(EI20:EI41&gt;EI$13,EI20:EI41)))</f>
        <v>#DIV/0!</v>
      </c>
      <c r="EJ17" s="777" t="e" cm="1">
        <f t="array" aca="1" ref="EJ17" ca="1">+EJ16-_xlfn.STDEV.P(IF(EJ20:EJ41&lt;EJ$14,IF(EJ20:EJ41&gt;EJ$13,EJ20:EJ41)))</f>
        <v>#DIV/0!</v>
      </c>
      <c r="EK17" s="777" t="e" cm="1">
        <f t="array" aca="1" ref="EK17" ca="1">+EK16-_xlfn.STDEV.P(IF(EK20:EK41&lt;EK$14,IF(EK20:EK41&gt;EK$13,EK20:EK41)))</f>
        <v>#DIV/0!</v>
      </c>
      <c r="EL17" s="777" t="e" cm="1">
        <f t="array" aca="1" ref="EL17" ca="1">+EL16-_xlfn.STDEV.P(IF(EL20:EL41&lt;EL$14,IF(EL20:EL41&gt;EL$13,EL20:EL41)))</f>
        <v>#DIV/0!</v>
      </c>
      <c r="EM17" s="777" cm="1">
        <f t="array" aca="1" ref="EM17" ca="1">+EM16-_xlfn.STDEV.P(IF(EM20:EM41&lt;EM$14,IF(EM20:EM41&gt;EM$13,EM20:EM41)))</f>
        <v>29</v>
      </c>
      <c r="EN17" s="777" t="e" cm="1">
        <f t="array" aca="1" ref="EN17" ca="1">+EN16-_xlfn.STDEV.P(IF(EN20:EN41&lt;EN$14,IF(EN20:EN41&gt;EN$13,EN20:EN41)))</f>
        <v>#DIV/0!</v>
      </c>
      <c r="EO17" s="777" t="e" cm="1">
        <f t="array" aca="1" ref="EO17" ca="1">+EO16-_xlfn.STDEV.P(IF(EO20:EO41&lt;EO$14,IF(EO20:EO41&gt;EO$13,EO20:EO41)))</f>
        <v>#DIV/0!</v>
      </c>
      <c r="EP17" s="777" t="e" cm="1">
        <f t="array" aca="1" ref="EP17" ca="1">+EP16-_xlfn.STDEV.P(IF(EP20:EP41&lt;EP$14,IF(EP20:EP41&gt;EP$13,EP20:EP41)))</f>
        <v>#DIV/0!</v>
      </c>
      <c r="EQ17" s="777" t="e" cm="1">
        <f t="array" aca="1" ref="EQ17" ca="1">+EQ16-_xlfn.STDEV.P(IF(EQ20:EQ41&lt;EQ$14,IF(EQ20:EQ41&gt;EQ$13,EQ20:EQ41)))</f>
        <v>#DIV/0!</v>
      </c>
      <c r="ER17" s="777" t="e" cm="1">
        <f t="array" aca="1" ref="ER17" ca="1">+ER16-_xlfn.STDEV.P(IF(ER20:ER41&lt;ER$14,IF(ER20:ER41&gt;ER$13,ER20:ER41)))</f>
        <v>#DIV/0!</v>
      </c>
      <c r="ES17" s="777" cm="1">
        <f t="array" aca="1" ref="ES17" ca="1">+ES16-_xlfn.STDEV.P(IF(ES20:ES41&lt;ES$14,IF(ES20:ES41&gt;ES$13,ES20:ES41)))</f>
        <v>4.1703535443718351</v>
      </c>
      <c r="ET17" s="777" t="e" cm="1">
        <f t="array" aca="1" ref="ET17" ca="1">+ET16-_xlfn.STDEV.P(IF(ET20:ET41&lt;ET$14,IF(ET20:ET41&gt;ET$13,ET20:ET41)))</f>
        <v>#DIV/0!</v>
      </c>
      <c r="EU17" s="777" t="e" cm="1">
        <f t="array" aca="1" ref="EU17" ca="1">+EU16-_xlfn.STDEV.P(IF(EU20:EU41&lt;EU$14,IF(EU20:EU41&gt;EU$13,EU20:EU41)))</f>
        <v>#DIV/0!</v>
      </c>
      <c r="EV17" s="777" t="e" cm="1">
        <f t="array" aca="1" ref="EV17" ca="1">+EV16-_xlfn.STDEV.P(IF(EV20:EV41&lt;EV$14,IF(EV20:EV41&gt;EV$13,EV20:EV41)))</f>
        <v>#DIV/0!</v>
      </c>
      <c r="EW17" s="777" t="e" cm="1">
        <f t="array" aca="1" ref="EW17" ca="1">+EW16-_xlfn.STDEV.P(IF(EW20:EW41&lt;EW$14,IF(EW20:EW41&gt;EW$13,EW20:EW41)))</f>
        <v>#DIV/0!</v>
      </c>
      <c r="EX17" s="777" t="e" cm="1">
        <f t="array" aca="1" ref="EX17" ca="1">+EX16-_xlfn.STDEV.P(IF(EX20:EX41&lt;EX$14,IF(EX20:EX41&gt;EX$13,EX20:EX41)))</f>
        <v>#DIV/0!</v>
      </c>
      <c r="EY17" s="777" t="e" cm="1">
        <f t="array" aca="1" ref="EY17" ca="1">+EY16-_xlfn.STDEV.P(IF(EY20:EY41&lt;EY$14,IF(EY20:EY41&gt;EY$13,EY20:EY41)))</f>
        <v>#DIV/0!</v>
      </c>
      <c r="FA17" s="777" t="e" cm="1">
        <f t="array" aca="1" ref="FA17" ca="1">+FA16-_xlfn.STDEV.P(IF(FA20:FA41&lt;FA$14,IF(FA20:FA41&gt;FA$13,FA20:FA41)))</f>
        <v>#DIV/0!</v>
      </c>
      <c r="FB17" s="777" t="e" cm="1">
        <f t="array" aca="1" ref="FB17" ca="1">+FB16-_xlfn.STDEV.P(IF(FB20:FB41&lt;FB$14,IF(FB20:FB41&gt;FB$13,FB20:FB41)))</f>
        <v>#DIV/0!</v>
      </c>
      <c r="FC17" s="777" t="e" cm="1">
        <f t="array" aca="1" ref="FC17" ca="1">+FC16-_xlfn.STDEV.P(IF(FC20:FC41&lt;FC$14,IF(FC20:FC41&gt;FC$13,FC20:FC41)))</f>
        <v>#DIV/0!</v>
      </c>
      <c r="FD17" s="777" t="e" cm="1">
        <f t="array" aca="1" ref="FD17" ca="1">+FD16-_xlfn.STDEV.P(IF(FD20:FD41&lt;FD$14,IF(FD20:FD41&gt;FD$13,FD20:FD41)))</f>
        <v>#DIV/0!</v>
      </c>
      <c r="FE17" s="777" t="e" cm="1">
        <f t="array" aca="1" ref="FE17" ca="1">+FE16-_xlfn.STDEV.P(IF(FE20:FE41&lt;FE$14,IF(FE20:FE41&gt;FE$13,FE20:FE41)))</f>
        <v>#DIV/0!</v>
      </c>
      <c r="FF17" s="777" t="e" cm="1">
        <f t="array" aca="1" ref="FF17" ca="1">+FF16-_xlfn.STDEV.P(IF(FF20:FF41&lt;FF$14,IF(FF20:FF41&gt;FF$13,FF20:FF41)))</f>
        <v>#DIV/0!</v>
      </c>
      <c r="FG17" s="777" t="e" cm="1">
        <f t="array" aca="1" ref="FG17" ca="1">+FG16-_xlfn.STDEV.P(IF(FG20:FG41&lt;FG$14,IF(FG20:FG41&gt;FG$13,FG20:FG41)))</f>
        <v>#DIV/0!</v>
      </c>
      <c r="FH17" s="777" t="e" cm="1">
        <f t="array" aca="1" ref="FH17" ca="1">+FH16-_xlfn.STDEV.P(IF(FH20:FH41&lt;FH$14,IF(FH20:FH41&gt;FH$13,FH20:FH41)))</f>
        <v>#DIV/0!</v>
      </c>
      <c r="FI17" s="777" t="e" cm="1">
        <f t="array" aca="1" ref="FI17" ca="1">+FI16-_xlfn.STDEV.P(IF(FI20:FI41&lt;FI$14,IF(FI20:FI41&gt;FI$13,FI20:FI41)))</f>
        <v>#DIV/0!</v>
      </c>
      <c r="FJ17" s="777" t="e" cm="1">
        <f t="array" aca="1" ref="FJ17" ca="1">+FJ16-_xlfn.STDEV.P(IF(FJ20:FJ41&lt;FJ$14,IF(FJ20:FJ41&gt;FJ$13,FJ20:FJ41)))</f>
        <v>#DIV/0!</v>
      </c>
      <c r="FK17" s="777" t="e" cm="1">
        <f t="array" aca="1" ref="FK17" ca="1">+FK16-_xlfn.STDEV.P(IF(FK20:FK41&lt;FK$14,IF(FK20:FK41&gt;FK$13,FK20:FK41)))</f>
        <v>#DIV/0!</v>
      </c>
      <c r="FL17" s="777" t="e" cm="1">
        <f t="array" aca="1" ref="FL17" ca="1">+FL16-_xlfn.STDEV.P(IF(FL20:FL41&lt;FL$14,IF(FL20:FL41&gt;FL$13,FL20:FL41)))</f>
        <v>#DIV/0!</v>
      </c>
      <c r="FM17" s="777" t="e" cm="1">
        <f t="array" aca="1" ref="FM17" ca="1">+FM16-_xlfn.STDEV.P(IF(FM20:FM41&lt;FM$14,IF(FM20:FM41&gt;FM$13,FM20:FM41)))</f>
        <v>#DIV/0!</v>
      </c>
      <c r="FN17" s="777" t="e" cm="1">
        <f t="array" aca="1" ref="FN17" ca="1">+FN16-_xlfn.STDEV.P(IF(FN20:FN41&lt;FN$14,IF(FN20:FN41&gt;FN$13,FN20:FN41)))</f>
        <v>#DIV/0!</v>
      </c>
      <c r="FO17" s="777" t="e" cm="1">
        <f t="array" aca="1" ref="FO17" ca="1">+FO16-_xlfn.STDEV.P(IF(FO20:FO41&lt;FO$14,IF(FO20:FO41&gt;FO$13,FO20:FO41)))</f>
        <v>#DIV/0!</v>
      </c>
      <c r="FP17" s="777" t="e" cm="1">
        <f t="array" aca="1" ref="FP17" ca="1">+FP16-_xlfn.STDEV.P(IF(FP20:FP41&lt;FP$14,IF(FP20:FP41&gt;FP$13,FP20:FP41)))</f>
        <v>#DIV/0!</v>
      </c>
      <c r="FQ17" s="777" t="e" cm="1">
        <f t="array" aca="1" ref="FQ17" ca="1">+FQ16-_xlfn.STDEV.P(IF(FQ20:FQ41&lt;FQ$14,IF(FQ20:FQ41&gt;FQ$13,FQ20:FQ41)))</f>
        <v>#DIV/0!</v>
      </c>
      <c r="FS17" s="777" cm="1">
        <f t="array" aca="1" ref="FS17" ca="1">+FS16-_xlfn.STDEV.P(IF(FS20:FS41&lt;FS$14,IF(FS20:FS41&gt;FS$13,FS20:FS41)))</f>
        <v>200.26807837462979</v>
      </c>
      <c r="FT17" s="777" cm="1">
        <f t="array" aca="1" ref="FT17" ca="1">+FT16-_xlfn.STDEV.P(IF(FT20:FT41&lt;FT$14,IF(FT20:FT41&gt;FT$13,FT20:FT41)))</f>
        <v>75.856357837304756</v>
      </c>
      <c r="FU17" s="777" cm="1">
        <f t="array" aca="1" ref="FU17" ca="1">+FU16-_xlfn.STDEV.P(IF(FU20:FU41&lt;FU$14,IF(FU20:FU41&gt;FU$13,FU20:FU41)))</f>
        <v>1491.4373349928171</v>
      </c>
      <c r="FV17" s="777" cm="1">
        <f t="array" aca="1" ref="FV17" ca="1">+FV16-_xlfn.STDEV.P(IF(FV20:FV41&lt;FV$14,IF(FV20:FV41&gt;FV$13,FV20:FV41)))</f>
        <v>4137.3507391343173</v>
      </c>
      <c r="FW17" s="777" cm="1">
        <f t="array" aca="1" ref="FW17" ca="1">+FW16-_xlfn.STDEV.P(IF(FW20:FW41&lt;FW$14,IF(FW20:FW41&gt;FW$13,FW20:FW41)))</f>
        <v>2298.6846345398226</v>
      </c>
      <c r="FX17" s="777" cm="1">
        <f t="array" aca="1" ref="FX17" ca="1">+FX16-_xlfn.STDEV.P(IF(FX20:FX41&lt;FX$14,IF(FX20:FX41&gt;FX$13,FX20:FX41)))</f>
        <v>-139.60307566092391</v>
      </c>
      <c r="FY17" s="777" cm="1">
        <f t="array" aca="1" ref="FY17" ca="1">+FY16-_xlfn.STDEV.P(IF(FY20:FY41&lt;FY$14,IF(FY20:FY41&gt;FY$13,FY20:FY41)))</f>
        <v>308.28493833309392</v>
      </c>
      <c r="FZ17" s="777" cm="1">
        <f t="array" aca="1" ref="FZ17" ca="1">+FZ16-_xlfn.STDEV.P(IF(FZ20:FZ41&lt;FZ$14,IF(FZ20:FZ41&gt;FZ$13,FZ20:FZ41)))</f>
        <v>-145.79285022871687</v>
      </c>
      <c r="GA17" s="777" cm="1">
        <f t="array" aca="1" ref="GA17" ca="1">+GA16-_xlfn.STDEV.P(IF(GA20:GA41&lt;GA$14,IF(GA20:GA41&gt;GA$13,GA20:GA41)))</f>
        <v>3320.1166201923861</v>
      </c>
      <c r="GB17" s="777" cm="1">
        <f t="array" aca="1" ref="GB17" ca="1">+GB16-_xlfn.STDEV.P(IF(GB20:GB41&lt;GB$14,IF(GB20:GB41&gt;GB$13,GB20:GB41)))</f>
        <v>52.063117441839537</v>
      </c>
      <c r="GC17" s="777" cm="1">
        <f t="array" aca="1" ref="GC17" ca="1">+GC16-_xlfn.STDEV.P(IF(GC20:GC41&lt;GC$14,IF(GC20:GC41&gt;GC$13,GC20:GC41)))</f>
        <v>2.3112626520051265</v>
      </c>
      <c r="GD17" s="777" cm="1">
        <f t="array" aca="1" ref="GD17" ca="1">+GD16-_xlfn.STDEV.P(IF(GD20:GD41&lt;GD$14,IF(GD20:GD41&gt;GD$13,GD20:GD41)))</f>
        <v>4.335976783201275</v>
      </c>
      <c r="GE17" s="777" cm="1">
        <f t="array" aca="1" ref="GE17" ca="1">+GE16-_xlfn.STDEV.P(IF(GE20:GE41&lt;GE$14,IF(GE20:GE41&gt;GE$13,GE20:GE41)))</f>
        <v>-684.60547320031981</v>
      </c>
      <c r="GF17" s="777" cm="1">
        <f t="array" aca="1" ref="GF17" ca="1">+GF16-_xlfn.STDEV.P(IF(GF20:GF41&lt;GF$14,IF(GF20:GF41&gt;GF$13,GF20:GF41)))</f>
        <v>2.7416821299083551</v>
      </c>
      <c r="GG17" s="777" cm="1">
        <f t="array" aca="1" ref="GG17" ca="1">+GG16-_xlfn.STDEV.P(IF(GG20:GG41&lt;GG$14,IF(GG20:GG41&gt;GG$13,GG20:GG41)))</f>
        <v>771.72488435662717</v>
      </c>
      <c r="GH17" s="777" cm="1">
        <f t="array" aca="1" ref="GH17" ca="1">+GH16-_xlfn.STDEV.P(IF(GH20:GH41&lt;GH$14,IF(GH20:GH41&gt;GH$13,GH20:GH41)))</f>
        <v>399.14814995171872</v>
      </c>
      <c r="GI17" s="777" t="e" cm="1">
        <f t="array" aca="1" ref="GI17" ca="1">+GI16-_xlfn.STDEV.P(IF(GI20:GI41&lt;GI$14,IF(GI20:GI41&gt;GI$13,GI20:GI41)))</f>
        <v>#DIV/0!</v>
      </c>
      <c r="GK17" s="777" cm="1">
        <f t="array" aca="1" ref="GK17" ca="1">+GK16-_xlfn.STDEV.P(IF(GK20:GK41&lt;GK$14,IF(GK20:GK41&gt;GK$13,GK20:GK41)))</f>
        <v>1.8631421503570742</v>
      </c>
      <c r="GL17" s="777" cm="1">
        <f t="array" aca="1" ref="GL17" ca="1">+GL16-_xlfn.STDEV.P(IF(GL20:GL41&lt;GL$14,IF(GL20:GL41&gt;GL$13,GL20:GL41)))</f>
        <v>0.88496188885005833</v>
      </c>
      <c r="GM17" s="777" cm="1">
        <f t="array" aca="1" ref="GM17" ca="1">+GM16-_xlfn.STDEV.P(IF(GM20:GM41&lt;GM$14,IF(GM20:GM41&gt;GM$13,GM20:GM41)))</f>
        <v>3.2036608169137888</v>
      </c>
      <c r="GN17" s="777" cm="1">
        <f t="array" aca="1" ref="GN17" ca="1">+GN16-_xlfn.STDEV.P(IF(GN20:GN41&lt;GN$14,IF(GN20:GN41&gt;GN$13,GN20:GN41)))</f>
        <v>4.6854082998661299</v>
      </c>
      <c r="GO17" s="777" cm="1">
        <f t="array" aca="1" ref="GO17" ca="1">+GO16-_xlfn.STDEV.P(IF(GO20:GO41&lt;GO$14,IF(GO20:GO41&gt;GO$13,GO20:GO41)))</f>
        <v>2.9195955994934528</v>
      </c>
      <c r="GP17" s="777" cm="1">
        <f t="array" aca="1" ref="GP17" ca="1">+GP16-_xlfn.STDEV.P(IF(GP20:GP41&lt;GP$14,IF(GP20:GP41&gt;GP$13,GP20:GP41)))</f>
        <v>2.2757291965586899</v>
      </c>
      <c r="GQ17" s="777" cm="1">
        <f t="array" aca="1" ref="GQ17" ca="1">+GQ16-_xlfn.STDEV.P(IF(GQ20:GQ41&lt;GQ$14,IF(GQ20:GQ41&gt;GQ$13,GQ20:GQ41)))</f>
        <v>3.8668460346293148</v>
      </c>
      <c r="GR17" s="777" cm="1">
        <f t="array" aca="1" ref="GR17" ca="1">+GR16-_xlfn.STDEV.P(IF(GR20:GR41&lt;GR$14,IF(GR20:GR41&gt;GR$13,GR20:GR41)))</f>
        <v>2.2111675271813649</v>
      </c>
      <c r="GS17" s="777" cm="1">
        <f t="array" aca="1" ref="GS17" ca="1">+GS16-_xlfn.STDEV.P(IF(GS20:GS41&lt;GS$14,IF(GS20:GS41&gt;GS$13,GS20:GS41)))</f>
        <v>2.3688210774142902</v>
      </c>
      <c r="GT17" s="777" cm="1">
        <f t="array" aca="1" ref="GT17" ca="1">+GT16-_xlfn.STDEV.P(IF(GT20:GT41&lt;GT$14,IF(GT20:GT41&gt;GT$13,GT20:GT41)))</f>
        <v>0.93048717691894312</v>
      </c>
      <c r="GU17" s="777" cm="1">
        <f t="array" aca="1" ref="GU17" ca="1">+GU16-_xlfn.STDEV.P(IF(GU20:GU41&lt;GU$14,IF(GU20:GU41&gt;GU$13,GU20:GU41)))</f>
        <v>1.1655983640751066</v>
      </c>
      <c r="GV17" s="777" cm="1">
        <f t="array" aca="1" ref="GV17" ca="1">+GV16-_xlfn.STDEV.P(IF(GV20:GV41&lt;GV$14,IF(GV20:GV41&gt;GV$13,GV20:GV41)))</f>
        <v>1.2201093319514835</v>
      </c>
      <c r="GW17" s="777" cm="1">
        <f t="array" aca="1" ref="GW17" ca="1">+GW16-_xlfn.STDEV.P(IF(GW20:GW41&lt;GW$14,IF(GW20:GW41&gt;GW$13,GW20:GW41)))</f>
        <v>1.9351394537209037</v>
      </c>
      <c r="GX17" s="777" cm="1">
        <f t="array" aca="1" ref="GX17" ca="1">+GX16-_xlfn.STDEV.P(IF(GX20:GX41&lt;GX$14,IF(GX20:GX41&gt;GX$13,GX20:GX41)))</f>
        <v>0.72032034601186035</v>
      </c>
      <c r="GY17" s="777" cm="1">
        <f t="array" aca="1" ref="GY17" ca="1">+GY16-_xlfn.STDEV.P(IF(GY20:GY41&lt;GY$14,IF(GY20:GY41&gt;GY$13,GY20:GY41)))</f>
        <v>1.4975745475628341</v>
      </c>
      <c r="GZ17" s="777" cm="1">
        <f t="array" aca="1" ref="GZ17" ca="1">+GZ16-_xlfn.STDEV.P(IF(GZ20:GZ41&lt;GZ$14,IF(GZ20:GZ41&gt;GZ$13,GZ20:GZ41)))</f>
        <v>3.0903209068886737</v>
      </c>
      <c r="HA17" s="777" t="e" cm="1">
        <f t="array" aca="1" ref="HA17" ca="1">+HA16-_xlfn.STDEV.P(IF(HA20:HA41&lt;HA$14,IF(HA20:HA41&gt;HA$13,HA20:HA41)))</f>
        <v>#DIV/0!</v>
      </c>
    </row>
    <row r="18" spans="1:217" s="770" customFormat="1" ht="11.25" customHeight="1">
      <c r="C18" s="776" t="s">
        <v>1163</v>
      </c>
      <c r="E18" s="777" cm="1">
        <f t="array" aca="1" ref="E18" ca="1">+E16+_xlfn.STDEV.P(IF(E20:E41&lt;E$14,IF(E20:E41&gt;E$13,E20:E41)))</f>
        <v>8.6246823218381312</v>
      </c>
      <c r="F18" s="777" cm="1">
        <f t="array" aca="1" ref="F18" ca="1">+F16+_xlfn.STDEV.P(IF(F20:F41&lt;F$14,IF(F20:F41&gt;F$13,F20:F41)))</f>
        <v>8.7756458278252225</v>
      </c>
      <c r="G18" s="777" cm="1">
        <f t="array" aca="1" ref="G18" ca="1">+G16+_xlfn.STDEV.P(IF(G20:G41&lt;G$14,IF(G20:G41&gt;G$13,G20:G41)))</f>
        <v>7.8858938775020739</v>
      </c>
      <c r="H18" s="777" cm="1">
        <f t="array" aca="1" ref="H18" ca="1">+H16+_xlfn.STDEV.P(IF(H20:H41&lt;H$14,IF(H20:H41&gt;H$13,H20:H41)))</f>
        <v>7.9665869338114952</v>
      </c>
      <c r="I18" s="777" cm="1">
        <f t="array" aca="1" ref="I18" ca="1">+I16+_xlfn.STDEV.P(IF(I20:I41&lt;I$14,IF(I20:I41&gt;I$13,I20:I41)))</f>
        <v>7.3792273931916412</v>
      </c>
      <c r="J18" s="777" cm="1">
        <f t="array" aca="1" ref="J18" ca="1">+J16+_xlfn.STDEV.P(IF(J20:J41&lt;J$14,IF(J20:J41&gt;J$13,J20:J41)))</f>
        <v>7.1657416543854282</v>
      </c>
      <c r="K18" s="777" cm="1">
        <f t="array" aca="1" ref="K18" ca="1">+K16+_xlfn.STDEV.P(IF(K20:K41&lt;K$14,IF(K20:K41&gt;K$13,K20:K41)))</f>
        <v>6.8186939205005075</v>
      </c>
      <c r="L18" s="777" cm="1">
        <f t="array" aca="1" ref="L18" ca="1">+L16+_xlfn.STDEV.P(IF(L20:L41&lt;L$14,IF(L20:L41&gt;L$13,L20:L41)))</f>
        <v>7.6994480166700008</v>
      </c>
      <c r="M18" s="777" cm="1">
        <f t="array" aca="1" ref="M18" ca="1">+M16+_xlfn.STDEV.P(IF(M20:M41&lt;M$14,IF(M20:M41&gt;M$13,M20:M41)))</f>
        <v>12.561463957163998</v>
      </c>
      <c r="N18" s="777" cm="1">
        <f t="array" aca="1" ref="N18" ca="1">+N16+_xlfn.STDEV.P(IF(N20:N41&lt;N$14,IF(N20:N41&gt;N$13,N20:N41)))</f>
        <v>15.824164662612848</v>
      </c>
      <c r="O18" s="777" cm="1">
        <f t="array" aca="1" ref="O18" ca="1">+O16+_xlfn.STDEV.P(IF(O20:O41&lt;O$14,IF(O20:O41&gt;O$13,O20:O41)))</f>
        <v>10.791943016439346</v>
      </c>
      <c r="P18" s="777" cm="1">
        <f t="array" aca="1" ref="P18" ca="1">+P16+_xlfn.STDEV.P(IF(P20:P41&lt;P$14,IF(P20:P41&gt;P$13,P20:P41)))</f>
        <v>10.429934749902365</v>
      </c>
      <c r="Q18" s="777" cm="1">
        <f t="array" aca="1" ref="Q18" ca="1">+Q16+_xlfn.STDEV.P(IF(Q20:Q41&lt;Q$14,IF(Q20:Q41&gt;Q$13,Q20:Q41)))</f>
        <v>13.994176488522799</v>
      </c>
      <c r="R18" s="777" cm="1">
        <f t="array" aca="1" ref="R18" ca="1">+R16+_xlfn.STDEV.P(IF(R20:R41&lt;R$14,IF(R20:R41&gt;R$13,R20:R41)))</f>
        <v>11.617150873021753</v>
      </c>
      <c r="S18" s="777" cm="1">
        <f t="array" aca="1" ref="S18" ca="1">+S16+_xlfn.STDEV.P(IF(S20:S41&lt;S$14,IF(S20:S41&gt;S$13,S20:S41)))</f>
        <v>11.925180782893744</v>
      </c>
      <c r="T18" s="777" cm="1">
        <f t="array" aca="1" ref="T18" ca="1">+T16+_xlfn.STDEV.P(IF(T20:T41&lt;T$14,IF(T20:T41&gt;T$13,T20:T41)))</f>
        <v>7.0742061001427849</v>
      </c>
      <c r="U18" s="777" t="e" cm="1">
        <f t="array" aca="1" ref="U18" ca="1">+U16+_xlfn.STDEV.P(IF(U20:U41&lt;U$14,IF(U20:U41&gt;U$13,U20:U41)))</f>
        <v>#DIV/0!</v>
      </c>
      <c r="V18" s="777" t="e" cm="1">
        <f t="array" aca="1" ref="V18" ca="1">+V16+_xlfn.STDEV.P(IF(V20:V41&lt;V$14,IF(V20:V41&gt;V$13,V20:V41)))</f>
        <v>#DIV/0!</v>
      </c>
      <c r="W18" s="762"/>
      <c r="X18" s="777" cm="1">
        <f t="array" aca="1" ref="X18" ca="1">+X16+_xlfn.STDEV.P(IF(X20:X41&lt;X$14,IF(X20:X41&gt;X$13,X20:X41)))</f>
        <v>9.2739159450717814</v>
      </c>
      <c r="Y18" s="777" cm="1">
        <f t="array" aca="1" ref="Y18" ca="1">+Y16+_xlfn.STDEV.P(IF(Y20:Y41&lt;Y$14,IF(Y20:Y41&gt;Y$13,Y20:Y41)))</f>
        <v>9.4908836824429432</v>
      </c>
      <c r="Z18" s="777" cm="1">
        <f t="array" aca="1" ref="Z18" ca="1">+Z16+_xlfn.STDEV.P(IF(Z20:Z41&lt;Z$14,IF(Z20:Z41&gt;Z$13,Z20:Z41)))</f>
        <v>8.3473174619852042</v>
      </c>
      <c r="AA18" s="777" cm="1">
        <f t="array" aca="1" ref="AA18" ca="1">+AA16+_xlfn.STDEV.P(IF(AA20:AA41&lt;AA$14,IF(AA20:AA41&gt;AA$13,AA20:AA41)))</f>
        <v>8.7135786005941771</v>
      </c>
      <c r="AB18" s="777" cm="1">
        <f t="array" aca="1" ref="AB18" ca="1">+AB16+_xlfn.STDEV.P(IF(AB20:AB41&lt;AB$14,IF(AB20:AB41&gt;AB$13,AB20:AB41)))</f>
        <v>8.1220477513876883</v>
      </c>
      <c r="AC18" s="777" cm="1">
        <f t="array" aca="1" ref="AC18" ca="1">+AC16+_xlfn.STDEV.P(IF(AC20:AC41&lt;AC$14,IF(AC20:AC41&gt;AC$13,AC20:AC41)))</f>
        <v>9.1579084950543947</v>
      </c>
      <c r="AD18" s="777" cm="1">
        <f t="array" aca="1" ref="AD18" ca="1">+AD16+_xlfn.STDEV.P(IF(AD20:AD41&lt;AD$14,IF(AD20:AD41&gt;AD$13,AD20:AD41)))</f>
        <v>7.3769505662334653</v>
      </c>
      <c r="AE18" s="777" cm="1">
        <f t="array" aca="1" ref="AE18" ca="1">+AE16+_xlfn.STDEV.P(IF(AE20:AE41&lt;AE$14,IF(AE20:AE41&gt;AE$13,AE20:AE41)))</f>
        <v>8.8794413719584657</v>
      </c>
      <c r="AF18" s="777" cm="1">
        <f t="array" aca="1" ref="AF18" ca="1">+AF16+_xlfn.STDEV.P(IF(AF20:AF41&lt;AF$14,IF(AF20:AF41&gt;AF$13,AF20:AF41)))</f>
        <v>13.430002658396905</v>
      </c>
      <c r="AG18" s="777" cm="1">
        <f t="array" aca="1" ref="AG18" ca="1">+AG16+_xlfn.STDEV.P(IF(AG20:AG41&lt;AG$14,IF(AG20:AG41&gt;AG$13,AG20:AG41)))</f>
        <v>15.601313275049044</v>
      </c>
      <c r="AH18" s="777" cm="1">
        <f t="array" aca="1" ref="AH18" ca="1">+AH16+_xlfn.STDEV.P(IF(AH20:AH41&lt;AH$14,IF(AH20:AH41&gt;AH$13,AH20:AH41)))</f>
        <v>10.739325204761521</v>
      </c>
      <c r="AI18" s="777" cm="1">
        <f t="array" aca="1" ref="AI18" ca="1">+AI16+_xlfn.STDEV.P(IF(AI20:AI41&lt;AI$14,IF(AI20:AI41&gt;AI$13,AI20:AI41)))</f>
        <v>11.459149917924773</v>
      </c>
      <c r="AJ18" s="777" cm="1">
        <f t="array" aca="1" ref="AJ18" ca="1">+AJ16+_xlfn.STDEV.P(IF(AJ20:AJ41&lt;AJ$14,IF(AJ20:AJ41&gt;AJ$13,AJ20:AJ41)))</f>
        <v>13.388787083008699</v>
      </c>
      <c r="AK18" s="777" cm="1">
        <f t="array" aca="1" ref="AK18" ca="1">+AK16+_xlfn.STDEV.P(IF(AK20:AK41&lt;AK$14,IF(AK20:AK41&gt;AK$13,AK20:AK41)))</f>
        <v>13.435385483343222</v>
      </c>
      <c r="AL18" s="777" cm="1">
        <f t="array" aca="1" ref="AL18" ca="1">+AL16+_xlfn.STDEV.P(IF(AL20:AL41&lt;AL$14,IF(AL20:AL41&gt;AL$13,AL20:AL41)))</f>
        <v>13.04461904221071</v>
      </c>
      <c r="AM18" s="777" cm="1">
        <f t="array" aca="1" ref="AM18" ca="1">+AM16+_xlfn.STDEV.P(IF(AM20:AM41&lt;AM$14,IF(AM20:AM41&gt;AM$13,AM20:AM41)))</f>
        <v>7.2656722841505053</v>
      </c>
      <c r="AN18" s="777" t="e" cm="1">
        <f t="array" aca="1" ref="AN18" ca="1">+AN16+_xlfn.STDEV.P(IF(AN20:AN41&lt;AN$14,IF(AN20:AN41&gt;AN$13,AN20:AN41)))</f>
        <v>#DIV/0!</v>
      </c>
      <c r="AO18" s="777" t="e" cm="1">
        <f t="array" aca="1" ref="AO18" ca="1">+AO16+_xlfn.STDEV.P(IF(AO20:AO41&lt;AO$14,IF(AO20:AO41&gt;AO$13,AO20:AO41)))</f>
        <v>#DIV/0!</v>
      </c>
      <c r="AP18" s="762"/>
      <c r="AQ18" s="777" cm="1">
        <f t="array" aca="1" ref="AQ18" ca="1">+AQ16+_xlfn.STDEV.P(IF(AQ20:AQ41&lt;AQ$14,IF(AQ20:AQ41&gt;AQ$13,AQ20:AQ41)))</f>
        <v>11.871410778067936</v>
      </c>
      <c r="AR18" s="777" cm="1">
        <f t="array" aca="1" ref="AR18" ca="1">+AR16+_xlfn.STDEV.P(IF(AR20:AR41&lt;AR$14,IF(AR20:AR41&gt;AR$13,AR20:AR41)))</f>
        <v>19.217799558330931</v>
      </c>
      <c r="AS18" s="777" cm="1">
        <f t="array" aca="1" ref="AS18" ca="1">+AS16+_xlfn.STDEV.P(IF(AS20:AS41&lt;AS$14,IF(AS20:AS41&gt;AS$13,AS20:AS41)))</f>
        <v>12.035634638070666</v>
      </c>
      <c r="AT18" s="777" cm="1">
        <f t="array" aca="1" ref="AT18" ca="1">+AT16+_xlfn.STDEV.P(IF(AT20:AT41&lt;AT$14,IF(AT20:AT41&gt;AT$13,AT20:AT41)))</f>
        <v>17.266666666666701</v>
      </c>
      <c r="AU18" s="777" cm="1">
        <f t="array" aca="1" ref="AU18" ca="1">+AU16+_xlfn.STDEV.P(IF(AU20:AU41&lt;AU$14,IF(AU20:AU41&gt;AU$13,AU20:AU41)))</f>
        <v>24.899652680827387</v>
      </c>
      <c r="AV18" s="777" cm="1">
        <f t="array" aca="1" ref="AV18" ca="1">+AV16+_xlfn.STDEV.P(IF(AV20:AV41&lt;AV$14,IF(AV20:AV41&gt;AV$13,AV20:AV41)))</f>
        <v>9.3759997192955069</v>
      </c>
      <c r="AW18" s="777" cm="1">
        <f t="array" aca="1" ref="AW18" ca="1">+AW16+_xlfn.STDEV.P(IF(AW20:AW41&lt;AW$14,IF(AW20:AW41&gt;AW$13,AW20:AW41)))</f>
        <v>11.101862355444496</v>
      </c>
      <c r="AX18" s="777" cm="1">
        <f t="array" aca="1" ref="AX18" ca="1">+AX16+_xlfn.STDEV.P(IF(AX20:AX41&lt;AX$14,IF(AX20:AX41&gt;AX$13,AX20:AX41)))</f>
        <v>10.706302856866694</v>
      </c>
      <c r="AY18" s="777" cm="1">
        <f t="array" aca="1" ref="AY18" ca="1">+AY16+_xlfn.STDEV.P(IF(AY20:AY41&lt;AY$14,IF(AY20:AY41&gt;AY$13,AY20:AY41)))</f>
        <v>21.051959055017509</v>
      </c>
      <c r="AZ18" s="777" cm="1">
        <f t="array" aca="1" ref="AZ18" ca="1">+AZ16+_xlfn.STDEV.P(IF(AZ20:AZ41&lt;AZ$14,IF(AZ20:AZ41&gt;AZ$13,AZ20:AZ41)))</f>
        <v>13.680486607114471</v>
      </c>
      <c r="BA18" s="777" t="e" cm="1">
        <f t="array" aca="1" ref="BA18" ca="1">+BA16+_xlfn.STDEV.P(IF(BA20:BA41&lt;BA$14,IF(BA20:BA41&gt;BA$13,BA20:BA41)))</f>
        <v>#DIV/0!</v>
      </c>
      <c r="BB18" s="777" cm="1">
        <f t="array" aca="1" ref="BB18" ca="1">+BB16+_xlfn.STDEV.P(IF(BB20:BB41&lt;BB$14,IF(BB20:BB41&gt;BB$13,BB20:BB41)))</f>
        <v>10.495644800388011</v>
      </c>
      <c r="BC18" s="777" cm="1">
        <f t="array" aca="1" ref="BC18" ca="1">+BC16+_xlfn.STDEV.P(IF(BC20:BC41&lt;BC$14,IF(BC20:BC41&gt;BC$13,BC20:BC41)))</f>
        <v>15.193992574517008</v>
      </c>
      <c r="BD18" s="777" cm="1">
        <f t="array" aca="1" ref="BD18" ca="1">+BD16+_xlfn.STDEV.P(IF(BD20:BD41&lt;BD$14,IF(BD20:BD41&gt;BD$13,BD20:BD41)))</f>
        <v>21.352312068855202</v>
      </c>
      <c r="BE18" s="777" cm="1">
        <f t="array" aca="1" ref="BE18" ca="1">+BE16+_xlfn.STDEV.P(IF(BE20:BE41&lt;BE$14,IF(BE20:BE41&gt;BE$13,BE20:BE41)))</f>
        <v>16.407119293014809</v>
      </c>
      <c r="BF18" s="777" cm="1">
        <f t="array" aca="1" ref="BF18" ca="1">+BF16+_xlfn.STDEV.P(IF(BF20:BF41&lt;BF$14,IF(BF20:BF41&gt;BF$13,BF20:BF41)))</f>
        <v>10.08082895618913</v>
      </c>
      <c r="BG18" s="777" t="e" cm="1">
        <f t="array" aca="1" ref="BG18" ca="1">+BG16+_xlfn.STDEV.P(IF(BG20:BG41&lt;BG$14,IF(BG20:BG41&gt;BG$13,BG20:BG41)))</f>
        <v>#DIV/0!</v>
      </c>
      <c r="BH18" s="777" t="e" cm="1">
        <f t="array" aca="1" ref="BH18" ca="1">+BH16+_xlfn.STDEV.P(IF(BH20:BH41&lt;BH$14,IF(BH20:BH41&gt;BH$13,BH20:BH41)))</f>
        <v>#DIV/0!</v>
      </c>
      <c r="BJ18" s="777" cm="1">
        <f t="array" aca="1" ref="BJ18" ca="1">+BJ16+_xlfn.STDEV.P(IF(BJ20:BJ41&lt;BJ$14,IF(BJ20:BJ41&gt;BJ$13,BJ20:BJ41)))</f>
        <v>9.9227260620758386</v>
      </c>
      <c r="BK18" s="777" cm="1">
        <f t="array" aca="1" ref="BK18" ca="1">+BK16+_xlfn.STDEV.P(IF(BK20:BK41&lt;BK$14,IF(BK20:BK41&gt;BK$13,BK20:BK41)))</f>
        <v>14.040322699121706</v>
      </c>
      <c r="BL18" s="777" cm="1">
        <f t="array" aca="1" ref="BL18" ca="1">+BL16+_xlfn.STDEV.P(IF(BL20:BL41&lt;BL$14,IF(BL20:BL41&gt;BL$13,BL20:BL41)))</f>
        <v>8.1166831868981681</v>
      </c>
      <c r="BM18" s="777" cm="1">
        <f t="array" aca="1" ref="BM18" ca="1">+BM16+_xlfn.STDEV.P(IF(BM20:BM41&lt;BM$14,IF(BM20:BM41&gt;BM$13,BM20:BM41)))</f>
        <v>8.7828728455727241</v>
      </c>
      <c r="BN18" s="777" cm="1">
        <f t="array" aca="1" ref="BN18" ca="1">+BN16+_xlfn.STDEV.P(IF(BN20:BN41&lt;BN$14,IF(BN20:BN41&gt;BN$13,BN20:BN41)))</f>
        <v>8.5976230215527583</v>
      </c>
      <c r="BO18" s="777" cm="1">
        <f t="array" aca="1" ref="BO18" ca="1">+BO16+_xlfn.STDEV.P(IF(BO20:BO41&lt;BO$14,IF(BO20:BO41&gt;BO$13,BO20:BO41)))</f>
        <v>11.841963843196933</v>
      </c>
      <c r="BP18" s="777" cm="1">
        <f t="array" aca="1" ref="BP18" ca="1">+BP16+_xlfn.STDEV.P(IF(BP20:BP41&lt;BP$14,IF(BP20:BP41&gt;BP$13,BP20:BP41)))</f>
        <v>7.6789288966113567</v>
      </c>
      <c r="BQ18" s="777" cm="1">
        <f t="array" aca="1" ref="BQ18" ca="1">+BQ16+_xlfn.STDEV.P(IF(BQ20:BQ41&lt;BQ$14,IF(BQ20:BQ41&gt;BQ$13,BQ20:BQ41)))</f>
        <v>12.130879745511248</v>
      </c>
      <c r="BR18" s="777" cm="1">
        <f t="array" aca="1" ref="BR18" ca="1">+BR16+_xlfn.STDEV.P(IF(BR20:BR41&lt;BR$14,IF(BR20:BR41&gt;BR$13,BR20:BR41)))</f>
        <v>14.17944829374094</v>
      </c>
      <c r="BS18" s="777" cm="1">
        <f t="array" aca="1" ref="BS18" ca="1">+BS16+_xlfn.STDEV.P(IF(BS20:BS41&lt;BS$14,IF(BS20:BS41&gt;BS$13,BS20:BS41)))</f>
        <v>17.56958702606223</v>
      </c>
      <c r="BT18" s="777" cm="1">
        <f t="array" aca="1" ref="BT18" ca="1">+BT16+_xlfn.STDEV.P(IF(BT20:BT41&lt;BT$14,IF(BT20:BT41&gt;BT$13,BT20:BT41)))</f>
        <v>16.061503735793419</v>
      </c>
      <c r="BU18" s="777" cm="1">
        <f t="array" aca="1" ref="BU18" ca="1">+BU16+_xlfn.STDEV.P(IF(BU20:BU41&lt;BU$14,IF(BU20:BU41&gt;BU$13,BU20:BU41)))</f>
        <v>15.292943525690575</v>
      </c>
      <c r="BV18" s="777" cm="1">
        <f t="array" aca="1" ref="BV18" ca="1">+BV16+_xlfn.STDEV.P(IF(BV20:BV41&lt;BV$14,IF(BV20:BV41&gt;BV$13,BV20:BV41)))</f>
        <v>24.32611233997682</v>
      </c>
      <c r="BW18" s="777" cm="1">
        <f t="array" aca="1" ref="BW18" ca="1">+BW16+_xlfn.STDEV.P(IF(BW20:BW41&lt;BW$14,IF(BW20:BW41&gt;BW$13,BW20:BW41)))</f>
        <v>17.20673779759985</v>
      </c>
      <c r="BX18" s="777" cm="1">
        <f t="array" aca="1" ref="BX18" ca="1">+BX16+_xlfn.STDEV.P(IF(BX20:BX41&lt;BX$14,IF(BX20:BX41&gt;BX$13,BX20:BX41)))</f>
        <v>14.120450993995242</v>
      </c>
      <c r="BY18" s="777" cm="1">
        <f t="array" aca="1" ref="BY18" ca="1">+BY16+_xlfn.STDEV.P(IF(BY20:BY41&lt;BY$14,IF(BY20:BY41&gt;BY$13,BY20:BY41)))</f>
        <v>8.1121372692059026</v>
      </c>
      <c r="BZ18" s="777" t="e" cm="1">
        <f t="array" aca="1" ref="BZ18" ca="1">+BZ16+_xlfn.STDEV.P(IF(BZ20:BZ41&lt;BZ$14,IF(BZ20:BZ41&gt;BZ$13,BZ20:BZ41)))</f>
        <v>#DIV/0!</v>
      </c>
      <c r="CA18" s="777" t="e" cm="1">
        <f t="array" aca="1" ref="CA18" ca="1">+CA16+_xlfn.STDEV.P(IF(CA20:CA41&lt;CA$14,IF(CA20:CA41&gt;CA$13,CA20:CA41)))</f>
        <v>#DIV/0!</v>
      </c>
      <c r="CC18" s="777" cm="1">
        <f t="array" aca="1" ref="CC18" ca="1">+CC16+_xlfn.STDEV.P(IF(CC20:CC41&lt;CC$14,IF(CC20:CC41&gt;CC$13,CC20:CC41)))</f>
        <v>9509.1237516670317</v>
      </c>
      <c r="CD18" s="777" cm="1">
        <f t="array" aca="1" ref="CD18" ca="1">+CD16+_xlfn.STDEV.P(IF(CD20:CD41&lt;CD$14,IF(CD20:CD41&gt;CD$13,CD20:CD41)))</f>
        <v>7084.3005933221384</v>
      </c>
      <c r="CE18" s="777" cm="1">
        <f t="array" aca="1" ref="CE18" ca="1">+CE16+_xlfn.STDEV.P(IF(CE20:CE41&lt;CE$14,IF(CE20:CE41&gt;CE$13,CE20:CE41)))</f>
        <v>71541.749113439961</v>
      </c>
      <c r="CF18" s="777" cm="1">
        <f t="array" aca="1" ref="CF18" ca="1">+CF16+_xlfn.STDEV.P(IF(CF20:CF41&lt;CF$14,IF(CF20:CF41&gt;CF$13,CF20:CF41)))</f>
        <v>51116.126840603152</v>
      </c>
      <c r="CG18" s="777" cm="1">
        <f t="array" aca="1" ref="CG18" ca="1">+CG16+_xlfn.STDEV.P(IF(CG20:CG41&lt;CG$14,IF(CG20:CG41&gt;CG$13,CG20:CG41)))</f>
        <v>45507.754631021751</v>
      </c>
      <c r="CH18" s="777" cm="1">
        <f t="array" aca="1" ref="CH18" ca="1">+CH16+_xlfn.STDEV.P(IF(CH20:CH41&lt;CH$14,IF(CH20:CH41&gt;CH$13,CH20:CH41)))</f>
        <v>5701.8919114396804</v>
      </c>
      <c r="CI18" s="777" cm="1">
        <f t="array" aca="1" ref="CI18" ca="1">+CI16+_xlfn.STDEV.P(IF(CI20:CI41&lt;CI$14,IF(CI20:CI41&gt;CI$13,CI20:CI41)))</f>
        <v>15207.554502053719</v>
      </c>
      <c r="CJ18" s="777" cm="1">
        <f t="array" aca="1" ref="CJ18" ca="1">+CJ16+_xlfn.STDEV.P(IF(CJ20:CJ41&lt;CJ$14,IF(CJ20:CJ41&gt;CJ$13,CJ20:CJ41)))</f>
        <v>10920.525951916003</v>
      </c>
      <c r="CK18" s="777" cm="1">
        <f t="array" aca="1" ref="CK18" ca="1">+CK16+_xlfn.STDEV.P(IF(CK20:CK41&lt;CK$14,IF(CK20:CK41&gt;CK$13,CK20:CK41)))</f>
        <v>32559.833837241029</v>
      </c>
      <c r="CL18" s="777" cm="1">
        <f t="array" aca="1" ref="CL18" ca="1">+CL16+_xlfn.STDEV.P(IF(CL20:CL41&lt;CL$14,IF(CL20:CL41&gt;CL$13,CL20:CL41)))</f>
        <v>3025.7270460926338</v>
      </c>
      <c r="CM18" s="777" cm="1">
        <f t="array" aca="1" ref="CM18" ca="1">+CM16+_xlfn.STDEV.P(IF(CM20:CM41&lt;CM$14,IF(CM20:CM41&gt;CM$13,CM20:CM41)))</f>
        <v>7856.3322713679208</v>
      </c>
      <c r="CN18" s="777" cm="1">
        <f t="array" aca="1" ref="CN18" ca="1">+CN16+_xlfn.STDEV.P(IF(CN20:CN41&lt;CN$14,IF(CN20:CN41&gt;CN$13,CN20:CN41)))</f>
        <v>3301.5449104091072</v>
      </c>
      <c r="CO18" s="777" cm="1">
        <f t="array" aca="1" ref="CO18" ca="1">+CO16+_xlfn.STDEV.P(IF(CO20:CO41&lt;CO$14,IF(CO20:CO41&gt;CO$13,CO20:CO41)))</f>
        <v>36547.93232996705</v>
      </c>
      <c r="CP18" s="777" cm="1">
        <f t="array" aca="1" ref="CP18" ca="1">+CP16+_xlfn.STDEV.P(IF(CP20:CP41&lt;CP$14,IF(CP20:CP41&gt;CP$13,CP20:CP41)))</f>
        <v>4128.4182683696627</v>
      </c>
      <c r="CQ18" s="777" cm="1">
        <f t="array" aca="1" ref="CQ18" ca="1">+CQ16+_xlfn.STDEV.P(IF(CQ20:CQ41&lt;CQ$14,IF(CQ20:CQ41&gt;CQ$13,CQ20:CQ41)))</f>
        <v>15624.667380212544</v>
      </c>
      <c r="CR18" s="777" cm="1">
        <f t="array" aca="1" ref="CR18" ca="1">+CR16+_xlfn.STDEV.P(IF(CR20:CR41&lt;CR$14,IF(CR20:CR41&gt;CR$13,CR20:CR41)))</f>
        <v>11059.667378129547</v>
      </c>
      <c r="CS18" s="777" t="e" cm="1">
        <f t="array" aca="1" ref="CS18" ca="1">+CS16+_xlfn.STDEV.P(IF(CS20:CS41&lt;CS$14,IF(CS20:CS41&gt;CS$13,CS20:CS41)))</f>
        <v>#DIV/0!</v>
      </c>
      <c r="CT18" s="777" t="e" cm="1">
        <f t="array" aca="1" ref="CT18" ca="1">+CT16+_xlfn.STDEV.P(IF(CT20:CT41&lt;CT$14,IF(CT20:CT41&gt;CT$13,CT20:CT41)))</f>
        <v>#DIV/0!</v>
      </c>
      <c r="CV18" s="999" cm="1">
        <f t="array" aca="1" ref="CV18" ca="1">+CV16+_xlfn.STDEV.P(IF(CV20:CV41&lt;CV$14,IF(CV20:CV41&gt;CV$13,CV20:CV41)))</f>
        <v>5120.893266130578</v>
      </c>
      <c r="CW18" s="999" cm="1">
        <f t="array" aca="1" ref="CW18" ca="1">+CW16+_xlfn.STDEV.P(IF(CW20:CW41&lt;CW$14,IF(CW20:CW41&gt;CW$13,CW20:CW41)))</f>
        <v>3913.0889476474235</v>
      </c>
      <c r="CX18" s="999" cm="1">
        <f t="array" aca="1" ref="CX18" ca="1">+CX16+_xlfn.STDEV.P(IF(CX20:CX41&lt;CX$14,IF(CX20:CX41&gt;CX$13,CX20:CX41)))</f>
        <v>22116.189156825039</v>
      </c>
      <c r="CY18" s="999" cm="1">
        <f t="array" aca="1" ref="CY18" ca="1">+CY16+_xlfn.STDEV.P(IF(CY20:CY41&lt;CY$14,IF(CY20:CY41&gt;CY$13,CY20:CY41)))</f>
        <v>22391</v>
      </c>
      <c r="CZ18" s="999" cm="1">
        <f t="array" aca="1" ref="CZ18" ca="1">+CZ16+_xlfn.STDEV.P(IF(CZ20:CZ41&lt;CZ$14,IF(CZ20:CZ41&gt;CZ$13,CZ20:CZ41)))</f>
        <v>14396.388489820412</v>
      </c>
      <c r="DA18" s="999" cm="1">
        <f t="array" aca="1" ref="DA18" ca="1">+DA16+_xlfn.STDEV.P(IF(DA20:DA41&lt;DA$14,IF(DA20:DA41&gt;DA$13,DA20:DA41)))</f>
        <v>2845.2775083913675</v>
      </c>
      <c r="DB18" s="999" cm="1">
        <f t="array" aca="1" ref="DB18" ca="1">+DB16+_xlfn.STDEV.P(IF(DB20:DB41&lt;DB$14,IF(DB20:DB41&gt;DB$13,DB20:DB41)))</f>
        <v>6483.4125533844508</v>
      </c>
      <c r="DC18" s="999" cm="1">
        <f t="array" aca="1" ref="DC18" ca="1">+DC16+_xlfn.STDEV.P(IF(DC20:DC41&lt;DC$14,IF(DC20:DC41&gt;DC$13,DC20:DC41)))</f>
        <v>3983.0370873597813</v>
      </c>
      <c r="DD18" s="999" cm="1">
        <f t="array" aca="1" ref="DD18" ca="1">+DD16+_xlfn.STDEV.P(IF(DD20:DD41&lt;DD$14,IF(DD20:DD41&gt;DD$13,DD20:DD41)))</f>
        <v>9189.2694213384366</v>
      </c>
      <c r="DE18" s="999" cm="1">
        <f t="array" aca="1" ref="DE18" ca="1">+DE16+_xlfn.STDEV.P(IF(DE20:DE41&lt;DE$14,IF(DE20:DE41&gt;DE$13,DE20:DE41)))</f>
        <v>2833.9900840264154</v>
      </c>
      <c r="DF18" s="999" cm="1">
        <f t="array" aca="1" ref="DF18" ca="1">+DF16+_xlfn.STDEV.P(IF(DF20:DF41&lt;DF$14,IF(DF20:DF41&gt;DF$13,DF20:DF41)))</f>
        <v>2188.8322952886765</v>
      </c>
      <c r="DG18" s="999" cm="1">
        <f t="array" aca="1" ref="DG18" ca="1">+DG16+_xlfn.STDEV.P(IF(DG20:DG41&lt;DG$14,IF(DG20:DG41&gt;DG$13,DG20:DG41)))</f>
        <v>611.26751669008263</v>
      </c>
      <c r="DH18" s="999" cm="1">
        <f t="array" aca="1" ref="DH18" ca="1">+DH16+_xlfn.STDEV.P(IF(DH20:DH41&lt;DH$14,IF(DH20:DH41&gt;DH$13,DH20:DH41)))</f>
        <v>15882.095093153253</v>
      </c>
      <c r="DI18" s="999" cm="1">
        <f t="array" aca="1" ref="DI18" ca="1">+DI16+_xlfn.STDEV.P(IF(DI20:DI41&lt;DI$14,IF(DI20:DI41&gt;DI$13,DI20:DI41)))</f>
        <v>1081.1253190608652</v>
      </c>
      <c r="DJ18" s="999" cm="1">
        <f t="array" aca="1" ref="DJ18" ca="1">+DJ16+_xlfn.STDEV.P(IF(DJ20:DJ41&lt;DJ$14,IF(DJ20:DJ41&gt;DJ$13,DJ20:DJ41)))</f>
        <v>3315.8668807254239</v>
      </c>
      <c r="DK18" s="999" cm="1">
        <f t="array" aca="1" ref="DK18" ca="1">+DK16+_xlfn.STDEV.P(IF(DK20:DK41&lt;DK$14,IF(DK20:DK41&gt;DK$13,DK20:DK41)))</f>
        <v>5740.5773509544815</v>
      </c>
      <c r="DL18" s="999" t="e" cm="1">
        <f t="array" aca="1" ref="DL18" ca="1">+DL16+_xlfn.STDEV.P(IF(DL20:DL41&lt;DL$14,IF(DL20:DL41&gt;DL$13,DL20:DL41)))</f>
        <v>#DIV/0!</v>
      </c>
      <c r="DM18" s="999" t="e" cm="1">
        <f t="array" aca="1" ref="DM18" ca="1">+DM16+_xlfn.STDEV.P(IF(DM20:DM41&lt;DM$14,IF(DM20:DM41&gt;DM$13,DM20:DM41)))</f>
        <v>#DIV/0!</v>
      </c>
      <c r="DO18" s="777" t="e" cm="1">
        <f t="array" aca="1" ref="DO18" ca="1">+DO16+_xlfn.STDEV.P(IF(DO20:DO41&lt;DO$14,IF(DO20:DO41&gt;DO$13,DO20:DO41)))</f>
        <v>#DIV/0!</v>
      </c>
      <c r="DP18" s="777">
        <v>0</v>
      </c>
      <c r="DQ18" s="777" t="e" cm="1">
        <f t="array" aca="1" ref="DQ18" ca="1">+DQ16+_xlfn.STDEV.P(IF(DQ20:DQ41&lt;DQ$14,IF(DQ20:DQ41&gt;DQ$13,DQ20:DQ41)))</f>
        <v>#DIV/0!</v>
      </c>
      <c r="DR18" s="777" t="e" cm="1">
        <f t="array" aca="1" ref="DR18" ca="1">+DR16+_xlfn.STDEV.P(IF(DR20:DR41&lt;DR$14,IF(DR20:DR41&gt;DR$13,DR20:DR41)))</f>
        <v>#DIV/0!</v>
      </c>
      <c r="DS18" s="777" t="e" cm="1">
        <f t="array" aca="1" ref="DS18" ca="1">+DS16+_xlfn.STDEV.P(IF(DS20:DS41&lt;DS$14,IF(DS20:DS41&gt;DS$13,DS20:DS41)))</f>
        <v>#DIV/0!</v>
      </c>
      <c r="DT18" s="777" t="e" cm="1">
        <f t="array" aca="1" ref="DT18" ca="1">+DT16+_xlfn.STDEV.P(IF(DT20:DT41&lt;DT$14,IF(DT20:DT41&gt;DT$13,DT20:DT41)))</f>
        <v>#DIV/0!</v>
      </c>
      <c r="DU18" s="777" t="e" cm="1">
        <f t="array" aca="1" ref="DU18" ca="1">+DU16+_xlfn.STDEV.P(IF(DU20:DU41&lt;DU$14,IF(DU20:DU41&gt;DU$13,DU20:DU41)))</f>
        <v>#DIV/0!</v>
      </c>
      <c r="DV18" s="777" t="e" cm="1">
        <f t="array" aca="1" ref="DV18" ca="1">+DV16+_xlfn.STDEV.P(IF(DV20:DV41&lt;DV$14,IF(DV20:DV41&gt;DV$13,DV20:DV41)))</f>
        <v>#DIV/0!</v>
      </c>
      <c r="DW18" s="777" t="e" cm="1">
        <f t="array" aca="1" ref="DW18" ca="1">+DW16+_xlfn.STDEV.P(IF(DW20:DW41&lt;DW$14,IF(DW20:DW41&gt;DW$13,DW20:DW41)))</f>
        <v>#DIV/0!</v>
      </c>
      <c r="DX18" s="777" t="e" cm="1">
        <f t="array" aca="1" ref="DX18" ca="1">+DX16+_xlfn.STDEV.P(IF(DX20:DX41&lt;DX$14,IF(DX20:DX41&gt;DX$13,DX20:DX41)))</f>
        <v>#DIV/0!</v>
      </c>
      <c r="DY18" s="777" t="e" cm="1">
        <f t="array" aca="1" ref="DY18" ca="1">+DY16+_xlfn.STDEV.P(IF(DY20:DY41&lt;DY$14,IF(DY20:DY41&gt;DY$13,DY20:DY41)))</f>
        <v>#DIV/0!</v>
      </c>
      <c r="DZ18" s="777" t="e" cm="1">
        <f t="array" aca="1" ref="DZ18" ca="1">+DZ16+_xlfn.STDEV.P(IF(DZ20:DZ41&lt;DZ$14,IF(DZ20:DZ41&gt;DZ$13,DZ20:DZ41)))</f>
        <v>#DIV/0!</v>
      </c>
      <c r="EA18" s="777" t="e" cm="1">
        <f t="array" aca="1" ref="EA18" ca="1">+EA16+_xlfn.STDEV.P(IF(EA20:EA41&lt;EA$14,IF(EA20:EA41&gt;EA$13,EA20:EA41)))</f>
        <v>#DIV/0!</v>
      </c>
      <c r="EB18" s="777" t="e" cm="1">
        <f t="array" aca="1" ref="EB18" ca="1">+EB16+_xlfn.STDEV.P(IF(EB20:EB41&lt;EB$14,IF(EB20:EB41&gt;EB$13,EB20:EB41)))</f>
        <v>#DIV/0!</v>
      </c>
      <c r="EC18" s="777" t="e" cm="1">
        <f t="array" aca="1" ref="EC18" ca="1">+EC16+_xlfn.STDEV.P(IF(EC20:EC41&lt;EC$14,IF(EC20:EC41&gt;EC$13,EC20:EC41)))</f>
        <v>#DIV/0!</v>
      </c>
      <c r="ED18" s="777" t="e" cm="1">
        <f t="array" aca="1" ref="ED18" ca="1">+ED16+_xlfn.STDEV.P(IF(ED20:ED41&lt;ED$14,IF(ED20:ED41&gt;ED$13,ED20:ED41)))</f>
        <v>#DIV/0!</v>
      </c>
      <c r="EE18" s="777" t="e" cm="1">
        <f t="array" aca="1" ref="EE18" ca="1">+EE16+_xlfn.STDEV.P(IF(EE20:EE41&lt;EE$14,IF(EE20:EE41&gt;EE$13,EE20:EE41)))</f>
        <v>#DIV/0!</v>
      </c>
      <c r="EF18" s="777" t="e" cm="1">
        <f t="array" aca="1" ref="EF18" ca="1">+EF16+_xlfn.STDEV.P(IF(EF20:EF41&lt;EF$14,IF(EF20:EF41&gt;EF$13,EF20:EF41)))</f>
        <v>#DIV/0!</v>
      </c>
      <c r="EG18" s="1502"/>
      <c r="EH18" s="777" t="e" cm="1">
        <f t="array" aca="1" ref="EH18" ca="1">+EH16+_xlfn.STDEV.P(IF(EH20:EH41&lt;EH$14,IF(EH20:EH41&gt;EH$13,EH20:EH41)))</f>
        <v>#DIV/0!</v>
      </c>
      <c r="EI18" s="777">
        <v>0</v>
      </c>
      <c r="EJ18" s="777" t="e" cm="1">
        <f t="array" aca="1" ref="EJ18" ca="1">+EJ16+_xlfn.STDEV.P(IF(EJ20:EJ41&lt;EJ$14,IF(EJ20:EJ41&gt;EJ$13,EJ20:EJ41)))</f>
        <v>#DIV/0!</v>
      </c>
      <c r="EK18" s="777" t="e" cm="1">
        <f t="array" aca="1" ref="EK18" ca="1">+EK16+_xlfn.STDEV.P(IF(EK20:EK41&lt;EK$14,IF(EK20:EK41&gt;EK$13,EK20:EK41)))</f>
        <v>#DIV/0!</v>
      </c>
      <c r="EL18" s="777" t="e" cm="1">
        <f t="array" aca="1" ref="EL18" ca="1">+EL16+_xlfn.STDEV.P(IF(EL20:EL41&lt;EL$14,IF(EL20:EL41&gt;EL$13,EL20:EL41)))</f>
        <v>#DIV/0!</v>
      </c>
      <c r="EM18" s="777" cm="1">
        <f t="array" aca="1" ref="EM18" ca="1">+EM16+_xlfn.STDEV.P(IF(EM20:EM41&lt;EM$14,IF(EM20:EM41&gt;EM$13,EM20:EM41)))</f>
        <v>29</v>
      </c>
      <c r="EN18" s="777" t="e" cm="1">
        <f t="array" aca="1" ref="EN18" ca="1">+EN16+_xlfn.STDEV.P(IF(EN20:EN41&lt;EN$14,IF(EN20:EN41&gt;EN$13,EN20:EN41)))</f>
        <v>#DIV/0!</v>
      </c>
      <c r="EO18" s="777" t="e" cm="1">
        <f t="array" aca="1" ref="EO18" ca="1">+EO16+_xlfn.STDEV.P(IF(EO20:EO41&lt;EO$14,IF(EO20:EO41&gt;EO$13,EO20:EO41)))</f>
        <v>#DIV/0!</v>
      </c>
      <c r="EP18" s="777" t="e" cm="1">
        <f t="array" aca="1" ref="EP18" ca="1">+EP16+_xlfn.STDEV.P(IF(EP20:EP41&lt;EP$14,IF(EP20:EP41&gt;EP$13,EP20:EP41)))</f>
        <v>#DIV/0!</v>
      </c>
      <c r="EQ18" s="777" t="e" cm="1">
        <f t="array" aca="1" ref="EQ18" ca="1">+EQ16+_xlfn.STDEV.P(IF(EQ20:EQ41&lt;EQ$14,IF(EQ20:EQ41&gt;EQ$13,EQ20:EQ41)))</f>
        <v>#DIV/0!</v>
      </c>
      <c r="ER18" s="777" t="e" cm="1">
        <f t="array" aca="1" ref="ER18" ca="1">+ER16+_xlfn.STDEV.P(IF(ER20:ER41&lt;ER$14,IF(ER20:ER41&gt;ER$13,ER20:ER41)))</f>
        <v>#DIV/0!</v>
      </c>
      <c r="ES18" s="777" cm="1">
        <f t="array" aca="1" ref="ES18" ca="1">+ES16+_xlfn.STDEV.P(IF(ES20:ES41&lt;ES$14,IF(ES20:ES41&gt;ES$13,ES20:ES41)))</f>
        <v>18.029646455628164</v>
      </c>
      <c r="ET18" s="777" t="e" cm="1">
        <f t="array" aca="1" ref="ET18" ca="1">+ET16+_xlfn.STDEV.P(IF(ET20:ET41&lt;ET$14,IF(ET20:ET41&gt;ET$13,ET20:ET41)))</f>
        <v>#DIV/0!</v>
      </c>
      <c r="EU18" s="777" t="e" cm="1">
        <f t="array" aca="1" ref="EU18" ca="1">+EU16+_xlfn.STDEV.P(IF(EU20:EU41&lt;EU$14,IF(EU20:EU41&gt;EU$13,EU20:EU41)))</f>
        <v>#DIV/0!</v>
      </c>
      <c r="EV18" s="777" t="e" cm="1">
        <f t="array" aca="1" ref="EV18" ca="1">+EV16+_xlfn.STDEV.P(IF(EV20:EV41&lt;EV$14,IF(EV20:EV41&gt;EV$13,EV20:EV41)))</f>
        <v>#DIV/0!</v>
      </c>
      <c r="EW18" s="777" t="e" cm="1">
        <f t="array" aca="1" ref="EW18" ca="1">+EW16+_xlfn.STDEV.P(IF(EW20:EW41&lt;EW$14,IF(EW20:EW41&gt;EW$13,EW20:EW41)))</f>
        <v>#DIV/0!</v>
      </c>
      <c r="EX18" s="777" t="e" cm="1">
        <f t="array" aca="1" ref="EX18" ca="1">+EX16+_xlfn.STDEV.P(IF(EX20:EX41&lt;EX$14,IF(EX20:EX41&gt;EX$13,EX20:EX41)))</f>
        <v>#DIV/0!</v>
      </c>
      <c r="EY18" s="777" t="e" cm="1">
        <f t="array" aca="1" ref="EY18" ca="1">+EY16+_xlfn.STDEV.P(IF(EY20:EY41&lt;EY$14,IF(EY20:EY41&gt;EY$13,EY20:EY41)))</f>
        <v>#DIV/0!</v>
      </c>
      <c r="FA18" s="777" t="e" cm="1">
        <f t="array" aca="1" ref="FA18" ca="1">+FA16+_xlfn.STDEV.P(IF(FA20:FA41&lt;FA$14,IF(FA20:FA41&gt;FA$13,FA20:FA41)))</f>
        <v>#DIV/0!</v>
      </c>
      <c r="FB18" s="777">
        <v>0</v>
      </c>
      <c r="FC18" s="777" t="e" cm="1">
        <f t="array" aca="1" ref="FC18" ca="1">+FC16+_xlfn.STDEV.P(IF(FC20:FC41&lt;FC$14,IF(FC20:FC41&gt;FC$13,FC20:FC41)))</f>
        <v>#DIV/0!</v>
      </c>
      <c r="FD18" s="777" t="e" cm="1">
        <f t="array" aca="1" ref="FD18" ca="1">+FD16+_xlfn.STDEV.P(IF(FD20:FD41&lt;FD$14,IF(FD20:FD41&gt;FD$13,FD20:FD41)))</f>
        <v>#DIV/0!</v>
      </c>
      <c r="FE18" s="777" t="e" cm="1">
        <f t="array" aca="1" ref="FE18" ca="1">+FE16+_xlfn.STDEV.P(IF(FE20:FE41&lt;FE$14,IF(FE20:FE41&gt;FE$13,FE20:FE41)))</f>
        <v>#DIV/0!</v>
      </c>
      <c r="FF18" s="777" t="e" cm="1">
        <f t="array" aca="1" ref="FF18" ca="1">+FF16+_xlfn.STDEV.P(IF(FF20:FF41&lt;FF$14,IF(FF20:FF41&gt;FF$13,FF20:FF41)))</f>
        <v>#DIV/0!</v>
      </c>
      <c r="FG18" s="777" t="e" cm="1">
        <f t="array" aca="1" ref="FG18" ca="1">+FG16+_xlfn.STDEV.P(IF(FG20:FG41&lt;FG$14,IF(FG20:FG41&gt;FG$13,FG20:FG41)))</f>
        <v>#DIV/0!</v>
      </c>
      <c r="FH18" s="777" t="e" cm="1">
        <f t="array" aca="1" ref="FH18" ca="1">+FH16+_xlfn.STDEV.P(IF(FH20:FH41&lt;FH$14,IF(FH20:FH41&gt;FH$13,FH20:FH41)))</f>
        <v>#DIV/0!</v>
      </c>
      <c r="FI18" s="777" t="e" cm="1">
        <f t="array" aca="1" ref="FI18" ca="1">+FI16+_xlfn.STDEV.P(IF(FI20:FI41&lt;FI$14,IF(FI20:FI41&gt;FI$13,FI20:FI41)))</f>
        <v>#DIV/0!</v>
      </c>
      <c r="FJ18" s="777" t="e" cm="1">
        <f t="array" aca="1" ref="FJ18" ca="1">+FJ16+_xlfn.STDEV.P(IF(FJ20:FJ41&lt;FJ$14,IF(FJ20:FJ41&gt;FJ$13,FJ20:FJ41)))</f>
        <v>#DIV/0!</v>
      </c>
      <c r="FK18" s="777" t="e" cm="1">
        <f t="array" aca="1" ref="FK18" ca="1">+FK16+_xlfn.STDEV.P(IF(FK20:FK41&lt;FK$14,IF(FK20:FK41&gt;FK$13,FK20:FK41)))</f>
        <v>#DIV/0!</v>
      </c>
      <c r="FL18" s="777" t="e" cm="1">
        <f t="array" aca="1" ref="FL18" ca="1">+FL16+_xlfn.STDEV.P(IF(FL20:FL41&lt;FL$14,IF(FL20:FL41&gt;FL$13,FL20:FL41)))</f>
        <v>#DIV/0!</v>
      </c>
      <c r="FM18" s="777" t="e" cm="1">
        <f t="array" aca="1" ref="FM18" ca="1">+FM16+_xlfn.STDEV.P(IF(FM20:FM41&lt;FM$14,IF(FM20:FM41&gt;FM$13,FM20:FM41)))</f>
        <v>#DIV/0!</v>
      </c>
      <c r="FN18" s="777" t="e" cm="1">
        <f t="array" aca="1" ref="FN18" ca="1">+FN16+_xlfn.STDEV.P(IF(FN20:FN41&lt;FN$14,IF(FN20:FN41&gt;FN$13,FN20:FN41)))</f>
        <v>#DIV/0!</v>
      </c>
      <c r="FO18" s="777" t="e" cm="1">
        <f t="array" aca="1" ref="FO18" ca="1">+FO16+_xlfn.STDEV.P(IF(FO20:FO41&lt;FO$14,IF(FO20:FO41&gt;FO$13,FO20:FO41)))</f>
        <v>#DIV/0!</v>
      </c>
      <c r="FP18" s="777" t="e" cm="1">
        <f t="array" aca="1" ref="FP18" ca="1">+FP16+_xlfn.STDEV.P(IF(FP20:FP41&lt;FP$14,IF(FP20:FP41&gt;FP$13,FP20:FP41)))</f>
        <v>#DIV/0!</v>
      </c>
      <c r="FQ18" s="777" t="e" cm="1">
        <f t="array" aca="1" ref="FQ18" ca="1">+FQ16+_xlfn.STDEV.P(IF(FQ20:FQ41&lt;FQ$14,IF(FQ20:FQ41&gt;FQ$13,FQ20:FQ41)))</f>
        <v>#DIV/0!</v>
      </c>
      <c r="FS18" s="777" cm="1">
        <f t="array" aca="1" ref="FS18" ca="1">+FS16+_xlfn.STDEV.P(IF(FS20:FS41&lt;FS$14,IF(FS20:FS41&gt;FS$13,FS20:FS41)))</f>
        <v>902.33192162537011</v>
      </c>
      <c r="FT18" s="777" cm="1">
        <f t="array" aca="1" ref="FT18" ca="1">+FT16+_xlfn.STDEV.P(IF(FT20:FT41&lt;FT$14,IF(FT20:FT41&gt;FT$13,FT20:FT41)))</f>
        <v>892.37893628034226</v>
      </c>
      <c r="FU18" s="777" cm="1">
        <f t="array" aca="1" ref="FU18" ca="1">+FU16+_xlfn.STDEV.P(IF(FU20:FU41&lt;FU$14,IF(FU20:FU41&gt;FU$13,FU20:FU41)))</f>
        <v>3668.4995071124458</v>
      </c>
      <c r="FV18" s="777" cm="1">
        <f t="array" aca="1" ref="FV18" ca="1">+FV16+_xlfn.STDEV.P(IF(FV20:FV41&lt;FV$14,IF(FV20:FV41&gt;FV$13,FV20:FV41)))</f>
        <v>5024.6492608656827</v>
      </c>
      <c r="FW18" s="777" cm="1">
        <f t="array" aca="1" ref="FW18" ca="1">+FW16+_xlfn.STDEV.P(IF(FW20:FW41&lt;FW$14,IF(FW20:FW41&gt;FW$13,FW20:FW41)))</f>
        <v>4265.4971836419954</v>
      </c>
      <c r="FX18" s="777" cm="1">
        <f t="array" aca="1" ref="FX18" ca="1">+FX16+_xlfn.STDEV.P(IF(FX20:FX41&lt;FX$14,IF(FX20:FX41&gt;FX$13,FX20:FX41)))</f>
        <v>538.30307566092392</v>
      </c>
      <c r="FY18" s="777" cm="1">
        <f t="array" aca="1" ref="FY18" ca="1">+FY16+_xlfn.STDEV.P(IF(FY20:FY41&lt;FY$14,IF(FY20:FY41&gt;FY$13,FY20:FY41)))</f>
        <v>919.04839500023934</v>
      </c>
      <c r="FZ18" s="777" cm="1">
        <f t="array" aca="1" ref="FZ18" ca="1">+FZ16+_xlfn.STDEV.P(IF(FZ20:FZ41&lt;FZ$14,IF(FZ20:FZ41&gt;FZ$13,FZ20:FZ41)))</f>
        <v>714.946696382563</v>
      </c>
      <c r="GA18" s="777" cm="1">
        <f t="array" aca="1" ref="GA18" ca="1">+GA16+_xlfn.STDEV.P(IF(GA20:GA41&lt;GA$14,IF(GA20:GA41&gt;GA$13,GA20:GA41)))</f>
        <v>5085.9944909187252</v>
      </c>
      <c r="GB18" s="777" cm="1">
        <f t="array" aca="1" ref="GB18" ca="1">+GB16+_xlfn.STDEV.P(IF(GB20:GB41&lt;GB$14,IF(GB20:GB41&gt;GB$13,GB20:GB41)))</f>
        <v>263.47698782131835</v>
      </c>
      <c r="GC18" s="777" cm="1">
        <f t="array" aca="1" ref="GC18" ca="1">+GC16+_xlfn.STDEV.P(IF(GC20:GC41&lt;GC$14,IF(GC20:GC41&gt;GC$13,GC20:GC41)))</f>
        <v>417.38873734799483</v>
      </c>
      <c r="GD18" s="777" cm="1">
        <f t="array" aca="1" ref="GD18" ca="1">+GD16+_xlfn.STDEV.P(IF(GD20:GD41&lt;GD$14,IF(GD20:GD41&gt;GD$13,GD20:GD41)))</f>
        <v>166.19033900627238</v>
      </c>
      <c r="GE18" s="777" cm="1">
        <f t="array" aca="1" ref="GE18" ca="1">+GE16+_xlfn.STDEV.P(IF(GE20:GE41&lt;GE$14,IF(GE20:GE41&gt;GE$13,GE20:GE41)))</f>
        <v>1204.6054732003199</v>
      </c>
      <c r="GF18" s="777" cm="1">
        <f t="array" aca="1" ref="GF18" ca="1">+GF16+_xlfn.STDEV.P(IF(GF20:GF41&lt;GF$14,IF(GF20:GF41&gt;GF$13,GF20:GF41)))</f>
        <v>341.3583178700917</v>
      </c>
      <c r="GG18" s="777" cm="1">
        <f t="array" aca="1" ref="GG18" ca="1">+GG16+_xlfn.STDEV.P(IF(GG20:GG41&lt;GG$14,IF(GG20:GG41&gt;GG$13,GG20:GG41)))</f>
        <v>1306.7751156433728</v>
      </c>
      <c r="GH18" s="777" cm="1">
        <f t="array" aca="1" ref="GH18" ca="1">+GH16+_xlfn.STDEV.P(IF(GH20:GH41&lt;GH$14,IF(GH20:GH41&gt;GH$13,GH20:GH41)))</f>
        <v>843.91067357769293</v>
      </c>
      <c r="GI18" s="777" t="e" cm="1">
        <f t="array" aca="1" ref="GI18" ca="1">+GI16+_xlfn.STDEV.P(IF(GI20:GI41&lt;GI$14,IF(GI20:GI41&gt;GI$13,GI20:GI41)))</f>
        <v>#DIV/0!</v>
      </c>
      <c r="GK18" s="777" cm="1">
        <f t="array" aca="1" ref="GK18" ca="1">+GK16+_xlfn.STDEV.P(IF(GK20:GK41&lt;GK$14,IF(GK20:GK41&gt;GK$13,GK20:GK41)))</f>
        <v>3.0071088283571559</v>
      </c>
      <c r="GL18" s="777" cm="1">
        <f t="array" aca="1" ref="GL18" ca="1">+GL16+_xlfn.STDEV.P(IF(GL20:GL41&lt;GL$14,IF(GL20:GL41&gt;GL$13,GL20:GL41)))</f>
        <v>2.1243675569027687</v>
      </c>
      <c r="GM18" s="777" cm="1">
        <f t="array" aca="1" ref="GM18" ca="1">+GM16+_xlfn.STDEV.P(IF(GM20:GM41&lt;GM$14,IF(GM20:GM41&gt;GM$13,GM20:GM41)))</f>
        <v>4.7576262277647885</v>
      </c>
      <c r="GN18" s="777" cm="1">
        <f t="array" aca="1" ref="GN18" ca="1">+GN16+_xlfn.STDEV.P(IF(GN20:GN41&lt;GN$14,IF(GN20:GN41&gt;GN$13,GN20:GN41)))</f>
        <v>4.6854082998661299</v>
      </c>
      <c r="GO18" s="777" cm="1">
        <f t="array" aca="1" ref="GO18" ca="1">+GO16+_xlfn.STDEV.P(IF(GO20:GO41&lt;GO$14,IF(GO20:GO41&gt;GO$13,GO20:GO41)))</f>
        <v>4.5724586069210469</v>
      </c>
      <c r="GP18" s="777" cm="1">
        <f t="array" aca="1" ref="GP18" ca="1">+GP16+_xlfn.STDEV.P(IF(GP20:GP41&lt;GP$14,IF(GP20:GP41&gt;GP$13,GP20:GP41)))</f>
        <v>3.8023278335637003</v>
      </c>
      <c r="GQ18" s="777" cm="1">
        <f t="array" aca="1" ref="GQ18" ca="1">+GQ16+_xlfn.STDEV.P(IF(GQ20:GQ41&lt;GQ$14,IF(GQ20:GQ41&gt;GQ$13,GQ20:GQ41)))</f>
        <v>4.5197914332902744</v>
      </c>
      <c r="GR18" s="777" cm="1">
        <f t="array" aca="1" ref="GR18" ca="1">+GR16+_xlfn.STDEV.P(IF(GR20:GR41&lt;GR$14,IF(GR20:GR41&gt;GR$13,GR20:GR41)))</f>
        <v>2.8789197035675409</v>
      </c>
      <c r="GS18" s="777" cm="1">
        <f t="array" aca="1" ref="GS18" ca="1">+GS16+_xlfn.STDEV.P(IF(GS20:GS41&lt;GS$14,IF(GS20:GS41&gt;GS$13,GS20:GS41)))</f>
        <v>3.3708201725570466</v>
      </c>
      <c r="GT18" s="777" cm="1">
        <f t="array" aca="1" ref="GT18" ca="1">+GT16+_xlfn.STDEV.P(IF(GT20:GT41&lt;GT$14,IF(GT20:GT41&gt;GT$13,GT20:GT41)))</f>
        <v>1.5175224805524479</v>
      </c>
      <c r="GU18" s="777" cm="1">
        <f t="array" aca="1" ref="GU18" ca="1">+GU16+_xlfn.STDEV.P(IF(GU20:GU41&lt;GU$14,IF(GU20:GU41&gt;GU$13,GU20:GU41)))</f>
        <v>1.3241816749616233</v>
      </c>
      <c r="GV18" s="777" cm="1">
        <f t="array" aca="1" ref="GV18" ca="1">+GV16+_xlfn.STDEV.P(IF(GV20:GV41&lt;GV$14,IF(GV20:GV41&gt;GV$13,GV20:GV41)))</f>
        <v>2.3026725042636786</v>
      </c>
      <c r="GW18" s="777" cm="1">
        <f t="array" aca="1" ref="GW18" ca="1">+GW16+_xlfn.STDEV.P(IF(GW20:GW41&lt;GW$14,IF(GW20:GW41&gt;GW$13,GW20:GW41)))</f>
        <v>2.2476374774287762</v>
      </c>
      <c r="GX18" s="777" cm="1">
        <f t="array" aca="1" ref="GX18" ca="1">+GX16+_xlfn.STDEV.P(IF(GX20:GX41&lt;GX$14,IF(GX20:GX41&gt;GX$13,GX20:GX41)))</f>
        <v>1.6593743220212549</v>
      </c>
      <c r="GY18" s="777" cm="1">
        <f t="array" aca="1" ref="GY18" ca="1">+GY16+_xlfn.STDEV.P(IF(GY20:GY41&lt;GY$14,IF(GY20:GY41&gt;GY$13,GY20:GY41)))</f>
        <v>2.0740745344960283</v>
      </c>
      <c r="GZ18" s="777" cm="1">
        <f t="array" aca="1" ref="GZ18" ca="1">+GZ16+_xlfn.STDEV.P(IF(GZ20:GZ41&lt;GZ$14,IF(GZ20:GZ41&gt;GZ$13,GZ20:GZ41)))</f>
        <v>3.8064103125887678</v>
      </c>
      <c r="HA18" s="777" t="e" cm="1">
        <f t="array" aca="1" ref="HA18" ca="1">+HA16+_xlfn.STDEV.P(IF(HA20:HA41&lt;HA$14,IF(HA20:HA41&gt;HA$13,HA20:HA41)))</f>
        <v>#DIV/0!</v>
      </c>
    </row>
    <row r="19" spans="1:217" ht="5.2" customHeight="1">
      <c r="A19" s="762"/>
      <c r="B19" s="762"/>
      <c r="C19" s="762"/>
      <c r="D19" s="762"/>
      <c r="E19" s="762"/>
      <c r="F19" s="762"/>
      <c r="G19" s="762"/>
      <c r="H19" s="762"/>
      <c r="I19" s="762"/>
      <c r="J19" s="762"/>
      <c r="K19" s="762"/>
      <c r="L19" s="762" t="s">
        <v>1457</v>
      </c>
      <c r="M19" s="762"/>
      <c r="N19" s="762"/>
      <c r="O19" s="762"/>
      <c r="P19" s="762"/>
      <c r="Q19" s="762"/>
      <c r="R19" s="762"/>
      <c r="S19" s="762"/>
      <c r="T19" s="762"/>
      <c r="U19" s="762"/>
      <c r="V19" s="762"/>
      <c r="X19" s="762"/>
      <c r="Y19" s="762"/>
      <c r="Z19" s="762"/>
      <c r="AA19" s="762"/>
      <c r="AB19" s="762"/>
      <c r="AC19" s="762"/>
      <c r="AD19" s="762"/>
      <c r="AE19" s="762" t="s">
        <v>1457</v>
      </c>
      <c r="AF19" s="762"/>
      <c r="AG19" s="762"/>
      <c r="AH19" s="762"/>
      <c r="AI19" s="762"/>
      <c r="AJ19" s="762"/>
      <c r="AK19" s="762"/>
      <c r="AL19" s="762"/>
      <c r="AM19" s="762"/>
      <c r="AN19" s="762"/>
      <c r="AO19" s="762"/>
      <c r="AQ19" s="762"/>
      <c r="AR19" s="762"/>
      <c r="AS19" s="762"/>
      <c r="AT19" s="762"/>
      <c r="AU19" s="762"/>
      <c r="AV19" s="762"/>
      <c r="AW19" s="762"/>
      <c r="AX19" s="762"/>
      <c r="AY19" s="762"/>
      <c r="AZ19" s="762"/>
      <c r="BA19" s="762"/>
      <c r="BB19" s="762"/>
      <c r="BC19" s="762"/>
      <c r="BD19" s="762"/>
      <c r="BE19" s="762"/>
      <c r="BF19" s="762"/>
      <c r="BG19" s="762"/>
      <c r="BH19" s="762"/>
      <c r="BJ19" s="762"/>
      <c r="BK19" s="762"/>
      <c r="BL19" s="762"/>
      <c r="BM19" s="762"/>
      <c r="BN19" s="762"/>
      <c r="BO19" s="762"/>
      <c r="BP19" s="762"/>
      <c r="BQ19" s="762" t="s">
        <v>1457</v>
      </c>
      <c r="BR19" s="762"/>
      <c r="BS19" s="762"/>
      <c r="BT19" s="762"/>
      <c r="BU19" s="762"/>
      <c r="BV19" s="762"/>
      <c r="BW19" s="762"/>
      <c r="BX19" s="762"/>
      <c r="BY19" s="762"/>
      <c r="BZ19" s="762"/>
      <c r="CA19" s="762"/>
      <c r="CC19" s="762"/>
      <c r="CD19" s="762"/>
      <c r="CE19" s="762"/>
      <c r="CF19" s="762"/>
      <c r="CG19" s="762"/>
      <c r="CH19" s="762"/>
      <c r="CI19" s="762"/>
      <c r="CJ19" s="762"/>
      <c r="CK19" s="762"/>
      <c r="CL19" s="762"/>
      <c r="CM19" s="762"/>
      <c r="CN19" s="762"/>
      <c r="CO19" s="762"/>
      <c r="CP19" s="762"/>
      <c r="CQ19" s="762"/>
      <c r="CR19" s="762"/>
      <c r="CS19" s="762"/>
      <c r="CT19" s="762"/>
      <c r="CV19" s="998"/>
      <c r="CW19" s="998"/>
      <c r="CX19" s="998"/>
      <c r="CY19" s="998"/>
      <c r="CZ19" s="998"/>
      <c r="DA19" s="998"/>
      <c r="DB19" s="998"/>
      <c r="DC19" s="998"/>
      <c r="DD19" s="998"/>
      <c r="DE19" s="998"/>
      <c r="DF19" s="998"/>
      <c r="DG19" s="998"/>
      <c r="DH19" s="998"/>
      <c r="DI19" s="998"/>
      <c r="DJ19" s="998"/>
      <c r="DK19" s="998"/>
      <c r="DL19" s="998"/>
      <c r="DM19" s="998"/>
      <c r="DO19" s="762"/>
      <c r="DP19" s="762"/>
      <c r="DQ19" s="762"/>
      <c r="DR19" s="762"/>
      <c r="DS19" s="762"/>
      <c r="DT19" s="762"/>
      <c r="DU19" s="762"/>
      <c r="DV19" s="762" t="s">
        <v>1457</v>
      </c>
      <c r="DW19" s="762"/>
      <c r="DX19" s="762"/>
      <c r="DY19" s="762"/>
      <c r="DZ19" s="762"/>
      <c r="EA19" s="762"/>
      <c r="EB19" s="762"/>
      <c r="EC19" s="762"/>
      <c r="ED19" s="762"/>
      <c r="EE19" s="762"/>
      <c r="EF19" s="762"/>
      <c r="EH19" s="762"/>
      <c r="EI19" s="762"/>
      <c r="EJ19" s="762"/>
      <c r="EK19" s="762"/>
      <c r="EL19" s="762"/>
      <c r="EM19" s="762"/>
      <c r="EN19" s="762"/>
      <c r="EO19" s="762" t="s">
        <v>1457</v>
      </c>
      <c r="EP19" s="762"/>
      <c r="EQ19" s="762"/>
      <c r="ER19" s="762"/>
      <c r="ES19" s="762"/>
      <c r="ET19" s="762"/>
      <c r="EU19" s="762"/>
      <c r="EV19" s="762"/>
      <c r="EW19" s="762"/>
      <c r="EX19" s="762"/>
      <c r="EY19" s="762"/>
      <c r="FA19" s="762"/>
      <c r="FB19" s="762"/>
      <c r="FC19" s="762"/>
      <c r="FD19" s="762"/>
      <c r="FE19" s="762"/>
      <c r="FF19" s="762"/>
      <c r="FG19" s="762"/>
      <c r="FH19" s="762" t="s">
        <v>1457</v>
      </c>
      <c r="FI19" s="762"/>
      <c r="FJ19" s="762"/>
      <c r="FK19" s="762"/>
      <c r="FL19" s="762"/>
      <c r="FM19" s="762"/>
      <c r="FN19" s="762"/>
      <c r="FO19" s="762"/>
      <c r="FP19" s="762"/>
      <c r="FQ19" s="762"/>
      <c r="FS19" s="762"/>
      <c r="FT19" s="762"/>
      <c r="FU19" s="762"/>
      <c r="FV19" s="762"/>
      <c r="FW19" s="762"/>
      <c r="FX19" s="762"/>
      <c r="FY19" s="762"/>
      <c r="FZ19" s="762"/>
      <c r="GA19" s="762"/>
      <c r="GB19" s="762"/>
      <c r="GC19" s="762"/>
      <c r="GD19" s="762"/>
      <c r="GE19" s="762"/>
      <c r="GF19" s="762"/>
      <c r="GG19" s="762"/>
      <c r="GH19" s="762"/>
      <c r="GI19" s="762"/>
      <c r="GK19" s="762"/>
      <c r="GL19" s="762"/>
      <c r="GM19" s="762"/>
      <c r="GN19" s="762"/>
      <c r="GO19" s="762"/>
      <c r="GP19" s="762"/>
      <c r="GQ19" s="762"/>
      <c r="GR19" s="762"/>
      <c r="GS19" s="762"/>
      <c r="GT19" s="762"/>
      <c r="GU19" s="762"/>
      <c r="GV19" s="762"/>
      <c r="GW19" s="762"/>
      <c r="GX19" s="762"/>
      <c r="GY19" s="762"/>
      <c r="GZ19" s="762"/>
      <c r="HA19" s="762"/>
    </row>
    <row r="20" spans="1:217" ht="11.25" customHeight="1">
      <c r="C20" s="1514">
        <v>37256</v>
      </c>
      <c r="D20" s="1515">
        <f t="shared" ref="D20:D41" si="49">+C20+45</f>
        <v>37301</v>
      </c>
      <c r="E20" s="1506" t="str" cm="1">
        <f t="array" aca="1" ref="E20" ca="1">IF(SwitchPA=1,_xll.TR(E$7,E$6,"Sdate=#1 Period=#2 NULL=BLANK",,$D20,$E$4),E20)</f>
        <v/>
      </c>
      <c r="F20" s="1506" t="str" cm="1">
        <f t="array" aca="1" ref="F20" ca="1">IF(SwitchPA=1,_xll.TR(F$7,F$6,"Sdate=#1 Period=#2 NULL=BLANK",,$D20,$E$4),F20)</f>
        <v/>
      </c>
      <c r="G20" s="1506" cm="1">
        <f t="array" aca="1" ref="G20" ca="1">IF(SwitchPA=1,_xll.TR(G$7,G$6,"Sdate=#1 Period=#2 NULL=BLANK",,$D20,$E$4),G20)</f>
        <v>5.09081636983111</v>
      </c>
      <c r="H20" s="1506" t="str" cm="1">
        <f t="array" aca="1" ref="H20" ca="1">IF(SwitchPA=1,_xll.TR(H$7,H$6,"Sdate=#1 Period=#2 NULL=BLANK",,$D20,$E$4),H20)</f>
        <v/>
      </c>
      <c r="I20" s="1506" t="str" cm="1">
        <f t="array" aca="1" ref="I20" ca="1">IF(SwitchPA=1,_xll.TR(I$7,I$6,"Sdate=#1 Period=#2 NULL=BLANK",,$D20,$E$4),I20)</f>
        <v/>
      </c>
      <c r="J20" s="1506" t="str" cm="1">
        <f t="array" aca="1" ref="J20" ca="1">IF(SwitchPA=1,_xll.TR(J$7,J$6,"Sdate=#1 Period=#2 NULL=BLANK",,$D20,$E$4),J20)</f>
        <v/>
      </c>
      <c r="K20" s="1506" t="str" cm="1">
        <f t="array" aca="1" ref="K20" ca="1">IF(SwitchPA=1,_xll.TR(K$7,K$6,"Sdate=#1 Period=#2 NULL=BLANK",,$D20,$E$4),K20)</f>
        <v/>
      </c>
      <c r="L20" s="1506" t="str" cm="1">
        <f t="array" aca="1" ref="L20" ca="1">IF(SwitchPA=1,_xll.TR(L$7,L$6,"Sdate=#1 Period=#2 NULL=BLANK",,$D20,$E$4),L20)</f>
        <v/>
      </c>
      <c r="M20" s="1506" t="str" cm="1">
        <f t="array" aca="1" ref="M20" ca="1">IF(SwitchPA=1,_xll.TR(M$7,M$6,"Sdate=#1 Period=#2 NULL=BLANK",,$D20,$E$4),M20)</f>
        <v/>
      </c>
      <c r="N20" s="1506" t="str" cm="1">
        <f t="array" aca="1" ref="N20" ca="1">IF(SwitchPA=1,_xll.TR(N$7,N$6,"Sdate=#1 Period=#2 NULL=BLANK",,$D20,$E$4),N20)</f>
        <v/>
      </c>
      <c r="O20" s="1506" t="str" cm="1">
        <f t="array" aca="1" ref="O20" ca="1">IF(SwitchPA=1,_xll.TR(O$7,O$6,"Sdate=#1 Period=#2 NULL=BLANK",,$D20,$E$4),O20)</f>
        <v/>
      </c>
      <c r="P20" s="1506" t="str" cm="1">
        <f t="array" aca="1" ref="P20" ca="1">IF(SwitchPA=1,_xll.TR(P$7,P$6,"Sdate=#1 Period=#2 NULL=BLANK",,$D20,$E$4),P20)</f>
        <v/>
      </c>
      <c r="Q20" s="1506" t="str" cm="1">
        <f t="array" aca="1" ref="Q20" ca="1">IF(SwitchPA=1,_xll.TR(Q$7,Q$6,"Sdate=#1 Period=#2 NULL=BLANK",,$D20,$E$4),Q20)</f>
        <v/>
      </c>
      <c r="R20" s="1506" t="str" cm="1">
        <f t="array" aca="1" ref="R20" ca="1">IF(SwitchPA=1,_xll.TR(R$7,R$6,"Sdate=#1 Period=#2 NULL=BLANK",,$D20,$E$4),R20)</f>
        <v/>
      </c>
      <c r="S20" s="1506" t="str" cm="1">
        <f t="array" aca="1" ref="S20" ca="1">IF(SwitchPA=1,_xll.TR(S$7,S$6,"Sdate=#1 Period=#2 NULL=BLANK",,$D20,$E$4),S20)</f>
        <v/>
      </c>
      <c r="T20" s="1506" cm="1">
        <f t="array" aca="1" ref="T20" ca="1">IF(SwitchPA=1,_xll.TR(T$7,T$6,"Sdate=#1 Period=#2 NULL=BLANK",,$D20,$E$4),T20)</f>
        <v>5.8099334817420401</v>
      </c>
      <c r="U20" s="1506" t="str" cm="1">
        <f t="array" aca="1" ref="U20" ca="1">IF(SwitchPA=1,_xll.TR(U$7,U$6,"Sdate=#1 Period=#2 NULL=BLANK",,$D20,$E$4),U20)</f>
        <v>No universe defined.</v>
      </c>
      <c r="V20" s="1506" t="str" cm="1">
        <f t="array" aca="1" ref="V20" ca="1">IF(SwitchPA=1,_xll.TR(V$7,V$6,"Sdate=#1 Period=#2 NULL=BLANK",,$D20,$E$4),V20)</f>
        <v>No universe defined.</v>
      </c>
      <c r="X20" s="1506" t="str" cm="1">
        <f t="array" aca="1" ref="X20" ca="1">IF(SwitchPA=1,_xll.TR(X$7,X$6,"Sdate=#1 Period=#2 NULL=BLANK",,$D20,$X$4),X20)</f>
        <v/>
      </c>
      <c r="Y20" s="1506" t="str" cm="1">
        <f t="array" aca="1" ref="Y20" ca="1">IF(SwitchPA=1,_xll.TR(Y$7,Y$6,"Sdate=#1 Period=#2 NULL=BLANK",,$D20,$X$4),Y20)</f>
        <v/>
      </c>
      <c r="Z20" s="1506" cm="1">
        <f t="array" aca="1" ref="Z20" ca="1">IF(SwitchPA=1,_xll.TR(Z$7,Z$6,"Sdate=#1 Period=#2 NULL=BLANK",,$D20,$X$4),Z20)</f>
        <v>5.5781696755257801</v>
      </c>
      <c r="AA20" s="1506" t="str" cm="1">
        <f t="array" aca="1" ref="AA20" ca="1">IF(SwitchPA=1,_xll.TR(AA$7,AA$6,"Sdate=#1 Period=#2 NULL=BLANK",,$D20,$X$4),AA20)</f>
        <v/>
      </c>
      <c r="AB20" s="1506" t="str" cm="1">
        <f t="array" aca="1" ref="AB20" ca="1">IF(SwitchPA=1,_xll.TR(AB$7,AB$6,"Sdate=#1 Period=#2 NULL=BLANK",,$D20,$X$4),AB20)</f>
        <v/>
      </c>
      <c r="AC20" s="1506" t="str" cm="1">
        <f t="array" aca="1" ref="AC20" ca="1">IF(SwitchPA=1,_xll.TR(AC$7,AC$6,"Sdate=#1 Period=#2 NULL=BLANK",,$D20,$X$4),AC20)</f>
        <v/>
      </c>
      <c r="AD20" s="1506" t="str" cm="1">
        <f t="array" aca="1" ref="AD20" ca="1">IF(SwitchPA=1,_xll.TR(AD$7,AD$6,"Sdate=#1 Period=#2 NULL=BLANK",,$D20,$X$4),AD20)</f>
        <v/>
      </c>
      <c r="AE20" s="1506" t="str" cm="1">
        <f t="array" aca="1" ref="AE20" ca="1">IF(SwitchPA=1,_xll.TR(AE$7,AE$6,"Sdate=#1 Period=#2 NULL=BLANK",,$D20,$X$4),AE20)</f>
        <v/>
      </c>
      <c r="AF20" s="1506" t="str" cm="1">
        <f t="array" aca="1" ref="AF20" ca="1">IF(SwitchPA=1,_xll.TR(AF$7,AF$6,"Sdate=#1 Period=#2 NULL=BLANK",,$D20,$X$4),AF20)</f>
        <v/>
      </c>
      <c r="AG20" s="1506" t="str" cm="1">
        <f t="array" aca="1" ref="AG20" ca="1">IF(SwitchPA=1,_xll.TR(AG$7,AG$6,"Sdate=#1 Period=#2 NULL=BLANK",,$D20,$X$4),AG20)</f>
        <v/>
      </c>
      <c r="AH20" s="1506" t="str" cm="1">
        <f t="array" aca="1" ref="AH20" ca="1">IF(SwitchPA=1,_xll.TR(AH$7,AH$6,"Sdate=#1 Period=#2 NULL=BLANK",,$D20,$X$4),AH20)</f>
        <v/>
      </c>
      <c r="AI20" s="1506" t="str" cm="1">
        <f t="array" aca="1" ref="AI20" ca="1">IF(SwitchPA=1,_xll.TR(AI$7,AI$6,"Sdate=#1 Period=#2 NULL=BLANK",,$D20,$X$4),AI20)</f>
        <v/>
      </c>
      <c r="AJ20" s="1506" t="str" cm="1">
        <f t="array" aca="1" ref="AJ20" ca="1">IF(SwitchPA=1,_xll.TR(AJ$7,AJ$6,"Sdate=#1 Period=#2 NULL=BLANK",,$D20,$X$4),AJ20)</f>
        <v/>
      </c>
      <c r="AK20" s="1506" t="str" cm="1">
        <f t="array" aca="1" ref="AK20" ca="1">IF(SwitchPA=1,_xll.TR(AK$7,AK$6,"Sdate=#1 Period=#2 NULL=BLANK",,$D20,$X$4),AK20)</f>
        <v/>
      </c>
      <c r="AL20" s="1506" t="str" cm="1">
        <f t="array" aca="1" ref="AL20" ca="1">IF(SwitchPA=1,_xll.TR(AL$7,AL$6,"Sdate=#1 Period=#2 NULL=BLANK",,$D20,$X$4),AL20)</f>
        <v/>
      </c>
      <c r="AM20" s="1506" cm="1">
        <f t="array" aca="1" ref="AM20" ca="1">IF(SwitchPA=1,_xll.TR(AM$7,AM$6,"Sdate=#1 Period=#2 NULL=BLANK",,$D20,$X$4),AM20)</f>
        <v>6.4143015597167903</v>
      </c>
      <c r="AN20" s="1506" t="str" cm="1">
        <f t="array" aca="1" ref="AN20" ca="1">IF(SwitchPA=1,_xll.TR(AN$7,AN$6,"Sdate=#1 Period=#2 NULL=BLANK",,$D20,$X$4),AN20)</f>
        <v/>
      </c>
      <c r="AO20" s="1506" t="str" cm="1">
        <f t="array" aca="1" ref="AO20" ca="1">IF(SwitchPA=1,_xll.TR(AO$7,AO$6,"Sdate=#1 Period=#2 NULL=BLANK",,$D20,$X$4),AO20)</f>
        <v/>
      </c>
      <c r="AQ20" s="1506" t="str" cm="1">
        <f t="array" aca="1" ref="AQ20" ca="1">IF(SwitchPA=1,_xll.TR(AQ$7,AQ$6,"Sdate=#1 Period=#2 NULL=BLANK Scale=6",,$D20,$AQ$4),AQ20)</f>
        <v/>
      </c>
      <c r="AR20" s="1506" t="str" cm="1">
        <f t="array" aca="1" ref="AR20" ca="1">IF(SwitchPA=1,_xll.TR(AR$7,AR$6,"Sdate=#1 Period=#2 NULL=BLANK Scale=6",,$D20,$AQ$4),AR20)</f>
        <v/>
      </c>
      <c r="AS20" s="1506" t="str" cm="1">
        <f t="array" aca="1" ref="AS20" ca="1">IF(SwitchPA=1,_xll.TR(AS$7,AS$6,"Sdate=#1 Period=#2 NULL=BLANK Scale=6",,$D20,$AQ$4),AS20)</f>
        <v/>
      </c>
      <c r="AT20" s="1506" t="str" cm="1">
        <f t="array" aca="1" ref="AT20" ca="1">IF(SwitchPA=1,_xll.TR(AT$7,AT$6,"Sdate=#1 Period=#2 NULL=BLANK Scale=6",,$D20,$AQ$4),AT20)</f>
        <v/>
      </c>
      <c r="AU20" s="1506" t="str" cm="1">
        <f t="array" aca="1" ref="AU20" ca="1">IF(SwitchPA=1,_xll.TR(AU$7,AU$6,"Sdate=#1 Period=#2 NULL=BLANK Scale=6",,$D20,$AQ$4),AU20)</f>
        <v/>
      </c>
      <c r="AV20" s="1506" t="str" cm="1">
        <f t="array" aca="1" ref="AV20" ca="1">IF(SwitchPA=1,_xll.TR(AV$7,AV$6,"Sdate=#1 Period=#2 NULL=BLANK Scale=6",,$D20,$AQ$4),AV20)</f>
        <v/>
      </c>
      <c r="AW20" s="1506" t="str" cm="1">
        <f t="array" aca="1" ref="AW20" ca="1">IF(SwitchPA=1,_xll.TR(AW$7,AW$6,"Sdate=#1 Period=#2 NULL=BLANK Scale=6",,$D20,$AQ$4),AW20)</f>
        <v/>
      </c>
      <c r="AX20" s="1506" t="str" cm="1">
        <f t="array" aca="1" ref="AX20" ca="1">IF(SwitchPA=1,_xll.TR(AX$7,AX$6,"Sdate=#1 Period=#2 NULL=BLANK Scale=6",,$D20,$AQ$4),AX20)</f>
        <v/>
      </c>
      <c r="AY20" s="1506" t="str" cm="1">
        <f t="array" aca="1" ref="AY20" ca="1">IF(SwitchPA=1,_xll.TR(AY$7,AY$6,"Sdate=#1 Period=#2 NULL=BLANK Scale=6",,$D20,$AQ$4),AY20)</f>
        <v/>
      </c>
      <c r="AZ20" s="1506" t="str" cm="1">
        <f t="array" aca="1" ref="AZ20" ca="1">IF(SwitchPA=1,_xll.TR(AZ$7,AZ$6,"Sdate=#1 Period=#2 NULL=BLANK Scale=6",,$D20,$AQ$4),AZ20)</f>
        <v/>
      </c>
      <c r="BA20" s="1506" t="str" cm="1">
        <f t="array" aca="1" ref="BA20" ca="1">IF(SwitchPA=1,_xll.TR(BA$7,BA$6,"Sdate=#1 Period=#2 NULL=BLANK Scale=6",,$D20,$AQ$4),BA20)</f>
        <v/>
      </c>
      <c r="BB20" s="1506" t="str" cm="1">
        <f t="array" aca="1" ref="BB20" ca="1">IF(SwitchPA=1,_xll.TR(BB$7,BB$6,"Sdate=#1 Period=#2 NULL=BLANK Scale=6",,$D20,$AQ$4),BB20)</f>
        <v/>
      </c>
      <c r="BC20" s="1506" t="str" cm="1">
        <f t="array" aca="1" ref="BC20" ca="1">IF(SwitchPA=1,_xll.TR(BC$7,BC$6,"Sdate=#1 Period=#2 NULL=BLANK Scale=6",,$D20,$AQ$4),BC20)</f>
        <v/>
      </c>
      <c r="BD20" s="1506" t="str" cm="1">
        <f t="array" aca="1" ref="BD20" ca="1">IF(SwitchPA=1,_xll.TR(BD$7,BD$6,"Sdate=#1 Period=#2 NULL=BLANK Scale=6",,$D20,$AQ$4),BD20)</f>
        <v/>
      </c>
      <c r="BE20" s="1506" t="str" cm="1">
        <f t="array" aca="1" ref="BE20" ca="1">IF(SwitchPA=1,_xll.TR(BE$7,BE$6,"Sdate=#1 Period=#2 NULL=BLANK Scale=6",,$D20,$AQ$4),BE20)</f>
        <v/>
      </c>
      <c r="BF20" s="1506" t="str" cm="1">
        <f t="array" aca="1" ref="BF20" ca="1">IF(SwitchPA=1,_xll.TR(BF$7,BF$6,"Sdate=#1 Period=#2 NULL=BLANK Scale=6",,$D20,$AQ$4),BF20)</f>
        <v/>
      </c>
      <c r="BG20" s="1506" t="str" cm="1">
        <f t="array" aca="1" ref="BG20" ca="1">IF(SwitchPA=1,_xll.TR(BG$7,BG$6,"Sdate=#1 Period=#2 NULL=BLANK Scale=6",,$D20,$AQ$4),BG20)</f>
        <v/>
      </c>
      <c r="BH20" s="1506" t="str" cm="1">
        <f t="array" aca="1" ref="BH20" ca="1">IF(SwitchPA=1,_xll.TR(BH$7,BH$6,"Sdate=#1 Period=#2 NULL=BLANK Scale=6",,$D20,$AQ$4),BH20)</f>
        <v/>
      </c>
      <c r="BJ20" s="1506" cm="1">
        <f t="array" aca="1" ref="BJ20" ca="1">IF(SwitchPA=1,_xll.TR(BJ$7,BJ$6,"Sdate=#1 Period=#2 NULL=BLANK Scale=6",,$D20,$BJ$4),BJ20)</f>
        <v>6.2392141680000002</v>
      </c>
      <c r="BK20" s="1506" t="str" cm="1">
        <f t="array" aca="1" ref="BK20" ca="1">IF(SwitchPA=1,_xll.TR(BK$7,BK$6,"Sdate=#1 Period=#2 NULL=BLANK Scale=6",,$D20,$BJ$4),BK20)</f>
        <v/>
      </c>
      <c r="BL20" s="1506" cm="1">
        <f t="array" aca="1" ref="BL20" ca="1">IF(SwitchPA=1,_xll.TR(BL$7,BL$6,"Sdate=#1 Period=#2 NULL=BLANK Scale=6",,$D20,$BJ$4),BL20)</f>
        <v>5.3825859469999999</v>
      </c>
      <c r="BM20" s="1506" t="str" cm="1">
        <f t="array" aca="1" ref="BM20" ca="1">IF(SwitchPA=1,_xll.TR(BM$7,BM$6,"Sdate=#1 Period=#2 NULL=BLANK Scale=6",,$D20,$BJ$4),BM20)</f>
        <v/>
      </c>
      <c r="BN20" s="1506" t="str" cm="1">
        <f t="array" aca="1" ref="BN20" ca="1">IF(SwitchPA=1,_xll.TR(BN$7,BN$6,"Sdate=#1 Period=#2 NULL=BLANK Scale=6",,$D20,$BJ$4),BN20)</f>
        <v/>
      </c>
      <c r="BO20" s="1506" cm="1">
        <f t="array" aca="1" ref="BO20" ca="1">IF(SwitchPA=1,_xll.TR(BO$7,BO$6,"Sdate=#1 Period=#2 NULL=BLANK Scale=6",,$D20,$BJ$4),BO20)</f>
        <v>7.5807020459999999</v>
      </c>
      <c r="BP20" s="1506" t="str" cm="1">
        <f t="array" aca="1" ref="BP20" ca="1">IF(SwitchPA=1,_xll.TR(BP$7,BP$6,"Sdate=#1 Period=#2 NULL=BLANK Scale=6",,$D20,$BJ$4),BP20)</f>
        <v/>
      </c>
      <c r="BQ20" s="1506" t="str" cm="1">
        <f t="array" aca="1" ref="BQ20" ca="1">IF(SwitchPA=1,_xll.TR(BQ$7,BQ$6,"Sdate=#1 Period=#2 NULL=BLANK Scale=6",,$D20,$BJ$4),BQ20)</f>
        <v/>
      </c>
      <c r="BR20" s="1506" cm="1">
        <f t="array" aca="1" ref="BR20" ca="1">IF(SwitchPA=1,_xll.TR(BR$7,BR$6,"Sdate=#1 Period=#2 NULL=BLANK Scale=6",,$D20,$BJ$4),BR20)</f>
        <v>14.173485847</v>
      </c>
      <c r="BS20" s="1506" cm="1">
        <f t="array" aca="1" ref="BS20" ca="1">IF(SwitchPA=1,_xll.TR(BS$7,BS$6,"Sdate=#1 Period=#2 NULL=BLANK Scale=6",,$D20,$BJ$4),BS20)</f>
        <v>6.8325673269999996</v>
      </c>
      <c r="BT20" s="1506" cm="1">
        <f t="array" aca="1" ref="BT20" ca="1">IF(SwitchPA=1,_xll.TR(BT$7,BT$6,"Sdate=#1 Period=#2 NULL=BLANK Scale=6",,$D20,$BJ$4),BT20)</f>
        <v>4.4236536040000001</v>
      </c>
      <c r="BU20" s="1506" cm="1">
        <f t="array" aca="1" ref="BU20" ca="1">IF(SwitchPA=1,_xll.TR(BU$7,BU$6,"Sdate=#1 Period=#2 NULL=BLANK Scale=6",,$D20,$BJ$4),BU20)</f>
        <v>10.650195296</v>
      </c>
      <c r="BV20" s="1506" t="str" cm="1">
        <f t="array" aca="1" ref="BV20" ca="1">IF(SwitchPA=1,_xll.TR(BV$7,BV$6,"Sdate=#1 Period=#2 NULL=BLANK Scale=6",,$D20,$BJ$4),BV20)</f>
        <v/>
      </c>
      <c r="BW20" s="1506" cm="1">
        <f t="array" aca="1" ref="BW20" ca="1">IF(SwitchPA=1,_xll.TR(BW$7,BW$6,"Sdate=#1 Period=#2 NULL=BLANK Scale=6",,$D20,$BJ$4),BW20)</f>
        <v>10.675048949000001</v>
      </c>
      <c r="BX20" s="1506" cm="1">
        <f t="array" aca="1" ref="BX20" ca="1">IF(SwitchPA=1,_xll.TR(BX$7,BX$6,"Sdate=#1 Period=#2 NULL=BLANK Scale=6",,$D20,$BJ$4),BX20)</f>
        <v>7.539440441</v>
      </c>
      <c r="BY20" s="1506" cm="1">
        <f t="array" aca="1" ref="BY20" ca="1">IF(SwitchPA=1,_xll.TR(BY$7,BY$6,"Sdate=#1 Period=#2 NULL=BLANK Scale=6",,$D20,$BJ$4),BY20)</f>
        <v>6.4894959849999996</v>
      </c>
      <c r="BZ20" s="1506" t="str" cm="1">
        <f t="array" aca="1" ref="BZ20" ca="1">IF(SwitchPA=1,_xll.TR(BZ$7,BZ$6,"Sdate=#1 Period=#2 NULL=BLANK Scale=6",,$D20,$BJ$4),BZ20)</f>
        <v/>
      </c>
      <c r="CA20" s="1506" t="str" cm="1">
        <f t="array" aca="1" ref="CA20" ca="1">IF(SwitchPA=1,_xll.TR(CA$7,CA$6,"Sdate=#1 Period=#2 NULL=BLANK Scale=6",,$D20,$BJ$4),CA20)</f>
        <v/>
      </c>
      <c r="CC20" s="1506" cm="1">
        <f t="array" aca="1" ref="CC20" ca="1">IF(SwitchPA=1,_xll.TR(CC$7,CC$6,"Sdate=#1 Period=#2 NULL=BLANK Scale=6",,$D20,$CC$4),CC20)</f>
        <v>5390</v>
      </c>
      <c r="CD20" s="1506" t="str" cm="1">
        <f t="array" aca="1" ref="CD20" ca="1">IF(SwitchPA=1,_xll.TR(CD$7,CD$6,"Sdate=#1 Period=#2 NULL=BLANK Scale=6",,$D20,$CC$4),CD20)</f>
        <v/>
      </c>
      <c r="CE20" s="1506" cm="1">
        <f t="array" aca="1" ref="CE20" ca="1">IF(SwitchPA=1,_xll.TR(CE$7,CE$6,"Sdate=#1 Period=#2 NULL=BLANK Scale=6",,$D20,$CC$4),CE20)</f>
        <v>34128</v>
      </c>
      <c r="CF20" s="1506" t="str" cm="1">
        <f t="array" aca="1" ref="CF20" ca="1">IF(SwitchPA=1,_xll.TR(CF$7,CF$6,"Sdate=#1 Period=#2 NULL=BLANK Scale=6",,$D20,$CC$4),CF20)</f>
        <v/>
      </c>
      <c r="CG20" s="1506" t="str" cm="1">
        <f t="array" aca="1" ref="CG20" ca="1">IF(SwitchPA=1,_xll.TR(CG$7,CG$6,"Sdate=#1 Period=#2 NULL=BLANK Scale=6",,$D20,$CC$4),CG20)</f>
        <v/>
      </c>
      <c r="CH20" s="1506" cm="1">
        <f t="array" aca="1" ref="CH20" ca="1">IF(SwitchPA=1,_xll.TR(CH$7,CH$6,"Sdate=#1 Period=#2 NULL=BLANK Scale=6",,$D20,$CC$4),CH20)</f>
        <v>1271</v>
      </c>
      <c r="CI20" s="1506" t="str" cm="1">
        <f t="array" aca="1" ref="CI20" ca="1">IF(SwitchPA=1,_xll.TR(CI$7,CI$6,"Sdate=#1 Period=#2 NULL=BLANK Scale=6",,$D20,$CC$4),CI20)</f>
        <v/>
      </c>
      <c r="CJ20" s="1506" t="str" cm="1">
        <f t="array" aca="1" ref="CJ20" ca="1">IF(SwitchPA=1,_xll.TR(CJ$7,CJ$6,"Sdate=#1 Period=#2 NULL=BLANK Scale=6",,$D20,$CC$4),CJ20)</f>
        <v/>
      </c>
      <c r="CK20" s="1506" cm="1">
        <f t="array" aca="1" ref="CK20" ca="1">IF(SwitchPA=1,_xll.TR(CK$7,CK$6,"Sdate=#1 Period=#2 NULL=BLANK Scale=6",,$D20,$CC$4),CK20)</f>
        <v>16054</v>
      </c>
      <c r="CL20" s="1506" cm="1">
        <f t="array" aca="1" ref="CL20" ca="1">IF(SwitchPA=1,_xll.TR(CL$7,CL$6,"Sdate=#1 Period=#2 NULL=BLANK Scale=6",,$D20,$CC$4),CL20)</f>
        <v>916.899</v>
      </c>
      <c r="CM20" s="1506" cm="1">
        <f t="array" aca="1" ref="CM20" ca="1">IF(SwitchPA=1,_xll.TR(CM$7,CM$6,"Sdate=#1 Period=#2 NULL=BLANK Scale=6",,$D20,$CC$4),CM20)</f>
        <v>7653</v>
      </c>
      <c r="CN20" s="1506" cm="1">
        <f t="array" aca="1" ref="CN20" ca="1">IF(SwitchPA=1,_xll.TR(CN$7,CN$6,"Sdate=#1 Period=#2 NULL=BLANK Scale=6",,$D20,$CC$4),CN20)</f>
        <v>2654.6</v>
      </c>
      <c r="CO20" s="1506" t="str" cm="1">
        <f t="array" aca="1" ref="CO20" ca="1">IF(SwitchPA=1,_xll.TR(CO$7,CO$6,"Sdate=#1 Period=#2 NULL=BLANK Scale=6",,$D20,$CC$4),CO20)</f>
        <v/>
      </c>
      <c r="CP20" s="1506" cm="1">
        <f t="array" aca="1" ref="CP20" ca="1">IF(SwitchPA=1,_xll.TR(CP$7,CP$6,"Sdate=#1 Period=#2 NULL=BLANK Scale=6",,$D20,$CC$4),CP20)</f>
        <v>1943</v>
      </c>
      <c r="CQ20" s="1506" cm="1">
        <f t="array" aca="1" ref="CQ20" ca="1">IF(SwitchPA=1,_xll.TR(CQ$7,CQ$6,"Sdate=#1 Period=#2 NULL=BLANK Scale=6",,$D20,$CC$4),CQ20)</f>
        <v>8169</v>
      </c>
      <c r="CR20" s="1506" t="str" cm="1">
        <f t="array" aca="1" ref="CR20" ca="1">IF(SwitchPA=1,_xll.TR(CR$7,CR$6,"Sdate=#1 Period=#2 NULL=BLANK Scale=6",,$D20,$CC$4),CR20)</f>
        <v/>
      </c>
      <c r="CS20" s="1506" t="str" cm="1">
        <f t="array" aca="1" ref="CS20" ca="1">IF(SwitchPA=1,_xll.TR(CS$7,CS$6,"Sdate=#1 Period=#2 NULL=BLANK Scale=6",,$D20,$CC$4),CS20)</f>
        <v>Unable to resolve all requested identifiers.</v>
      </c>
      <c r="CT20" s="1506" t="str" cm="1">
        <f t="array" aca="1" ref="CT20" ca="1">IF(SwitchPA=1,_xll.TR(CT$7,CT$6,"Sdate=#1 Period=#2 NULL=BLANK Scale=6",,$D20,$CC$4),CT20)</f>
        <v>Unable to resolve all requested identifiers.</v>
      </c>
      <c r="CV20" s="1516" cm="1">
        <f t="array" aca="1" ref="CV20" ca="1">IF(SwitchPA=1,_xll.TR(CV$7,CV$6,"Sdate=#1 Period=#2 NULL=BLANK Scale=6",,$D20,$AQ$4),CV20)</f>
        <v>3739.25</v>
      </c>
      <c r="CW20" s="1516" t="str" cm="1">
        <f t="array" aca="1" ref="CW20" ca="1">IF(SwitchPA=1,_xll.TR(CW$7,CW$6,"Sdate=#1 Period=#2 NULL=BLANK Scale=6",,$D20,$AQ$4),CW20)</f>
        <v/>
      </c>
      <c r="CX20" s="1516" t="str" cm="1">
        <f t="array" aca="1" ref="CX20" ca="1">IF(SwitchPA=1,_xll.TR(CX$7,CX$6,"Sdate=#1 Period=#2 NULL=BLANK Scale=6",,$D20,$AQ$4),CX20)</f>
        <v/>
      </c>
      <c r="CY20" s="1516" t="str" cm="1">
        <f t="array" aca="1" ref="CY20" ca="1">IF(SwitchPA=1,_xll.TR(CY$7,CY$6,"Sdate=#1 Period=#2 NULL=BLANK Scale=6",,$D20,$AQ$4),CY20)</f>
        <v/>
      </c>
      <c r="CZ20" s="1516" t="str" cm="1">
        <f t="array" aca="1" ref="CZ20" ca="1">IF(SwitchPA=1,_xll.TR(CZ$7,CZ$6,"Sdate=#1 Period=#2 NULL=BLANK Scale=6",,$D20,$AQ$4),CZ20)</f>
        <v/>
      </c>
      <c r="DA20" s="1516" cm="1">
        <f t="array" aca="1" ref="DA20" ca="1">IF(SwitchPA=1,_xll.TR(DA$7,DA$6,"Sdate=#1 Period=#2 NULL=BLANK Scale=6",,$D20,$AQ$4),DA20)</f>
        <v>484.5</v>
      </c>
      <c r="DB20" s="1516" t="str" cm="1">
        <f t="array" aca="1" ref="DB20" ca="1">IF(SwitchPA=1,_xll.TR(DB$7,DB$6,"Sdate=#1 Period=#2 NULL=BLANK Scale=6",,$D20,$AQ$4),DB20)</f>
        <v/>
      </c>
      <c r="DC20" s="1516" t="str" cm="1">
        <f t="array" aca="1" ref="DC20" ca="1">IF(SwitchPA=1,_xll.TR(DC$7,DC$6,"Sdate=#1 Period=#2 NULL=BLANK Scale=6",,$D20,$AQ$4),DC20)</f>
        <v/>
      </c>
      <c r="DD20" s="1516" cm="1">
        <f t="array" aca="1" ref="DD20" ca="1">IF(SwitchPA=1,_xll.TR(DD$7,DD$6,"Sdate=#1 Period=#2 NULL=BLANK Scale=6",,$D20,$AQ$4),DD20)</f>
        <v>5775</v>
      </c>
      <c r="DE20" s="1516" cm="1">
        <f t="array" aca="1" ref="DE20" ca="1">IF(SwitchPA=1,_xll.TR(DE$7,DE$6,"Sdate=#1 Period=#2 NULL=BLANK Scale=6",,$D20,$AQ$4),DE20)</f>
        <v>506.39024999999998</v>
      </c>
      <c r="DF20" s="1516" cm="1">
        <f t="array" aca="1" ref="DF20" ca="1">IF(SwitchPA=1,_xll.TR(DF$7,DF$6,"Sdate=#1 Period=#2 NULL=BLANK Scale=6",,$D20,$AQ$4),DF20)</f>
        <v>1426.75</v>
      </c>
      <c r="DG20" s="1516" cm="1">
        <f t="array" aca="1" ref="DG20" ca="1">IF(SwitchPA=1,_xll.TR(DG$7,DG$6,"Sdate=#1 Period=#2 NULL=BLANK Scale=6",,$D20,$AQ$4),DG20)</f>
        <v>680.42499999999995</v>
      </c>
      <c r="DH20" s="1516" t="str" cm="1">
        <f t="array" aca="1" ref="DH20" ca="1">IF(SwitchPA=1,_xll.TR(DH$7,DH$6,"Sdate=#1 Period=#2 NULL=BLANK Scale=6",,$D20,$AQ$4),DH20)</f>
        <v/>
      </c>
      <c r="DI20" s="1516" cm="1">
        <f t="array" aca="1" ref="DI20" ca="1">IF(SwitchPA=1,_xll.TR(DI$7,DI$6,"Sdate=#1 Period=#2 NULL=BLANK Scale=6",,$D20,$AQ$4),DI20)</f>
        <v>1346.425</v>
      </c>
      <c r="DJ20" s="1516" cm="1">
        <f t="array" aca="1" ref="DJ20" ca="1">IF(SwitchPA=1,_xll.TR(DJ$7,DJ$6,"Sdate=#1 Period=#2 NULL=BLANK Scale=6",,$D20,$AQ$4),DJ20)</f>
        <v>2798.25</v>
      </c>
      <c r="DK20" s="1516" t="str" cm="1">
        <f t="array" aca="1" ref="DK20" ca="1">IF(SwitchPA=1,_xll.TR(DK$7,DK$6,"Sdate=#1 Period=#2 NULL=BLANK Scale=6",,$D20,$AQ$4),DK20)</f>
        <v/>
      </c>
      <c r="DL20" s="1516" t="str" cm="1">
        <f t="array" aca="1" ref="DL20" ca="1">IF(SwitchPA=1,_xll.TR(DL$7,DL$6,"Sdate=#1 Period=#2 NULL=BLANK Scale=6",,$D20,$AQ$4),DL20)</f>
        <v>Unable to resolve all requested identifiers.</v>
      </c>
      <c r="DM20" s="1516" t="str" cm="1">
        <f t="array" aca="1" ref="DM20" ca="1">IF(SwitchPA=1,_xll.TR(DM$7,DM$6,"Sdate=#1 Period=#2 NULL=BLANK Scale=6",,$D20,$AQ$4),DM20)</f>
        <v>Unable to resolve all requested identifiers.</v>
      </c>
      <c r="DO20" s="1506" cm="1">
        <f t="array" aca="1" ref="DO20" ca="1">IF(SwitchPA=1,_xll.TR(DO$7,DO$6,"Sdate=#1 Period=#2 Scale=6 NULL=BLANK",,$D20,$X$4),DO20)</f>
        <v>5278.3751857999996</v>
      </c>
      <c r="DP20" s="1506" t="str" cm="1">
        <f t="array" aca="1" ref="DP20" ca="1">IF(SwitchPA=1,_xll.TR(DP$7,DP$6,"Sdate=#1 Period=#2 Scale=6 NULL=BLANK",,$D20,$X$4),DP20)</f>
        <v/>
      </c>
      <c r="DQ20" s="1506" cm="1">
        <f t="array" aca="1" ref="DQ20" ca="1">IF(SwitchPA=1,_xll.TR(DQ$7,DQ$6,"Sdate=#1 Period=#2 Scale=6 NULL=BLANK",,$D20,$X$4),DQ20)</f>
        <v>26374.671142700001</v>
      </c>
      <c r="DR20" s="1506" t="str" cm="1">
        <f t="array" aca="1" ref="DR20" ca="1">IF(SwitchPA=1,_xll.TR(DR$7,DR$6,"Sdate=#1 Period=#2 Scale=6 NULL=BLANK",,$D20,$X$4),DR20)</f>
        <v/>
      </c>
      <c r="DS20" s="1506" t="str" cm="1">
        <f t="array" aca="1" ref="DS20" ca="1">IF(SwitchPA=1,_xll.TR(DS$7,DS$6,"Sdate=#1 Period=#2 Scale=6 NULL=BLANK",,$D20,$X$4),DS20)</f>
        <v/>
      </c>
      <c r="DT20" s="1506" cm="1">
        <f t="array" aca="1" ref="DT20" ca="1">IF(SwitchPA=1,_xll.TR(DT$7,DT$6,"Sdate=#1 Period=#2 Scale=6 NULL=BLANK",,$D20,$X$4),DT20)</f>
        <v>993.07196799999997</v>
      </c>
      <c r="DU20" s="1506" t="str" cm="1">
        <f t="array" aca="1" ref="DU20" ca="1">IF(SwitchPA=1,_xll.TR(DU$7,DU$6,"Sdate=#1 Period=#2 Scale=6 NULL=BLANK",,$D20,$X$4),DU20)</f>
        <v/>
      </c>
      <c r="DV20" s="1506" t="str" cm="1">
        <f t="array" aca="1" ref="DV20" ca="1">IF(SwitchPA=1,_xll.TR(DV$7,DV$6,"Sdate=#1 Period=#2 Scale=6 NULL=BLANK",,$D20,$X$4),DV20)</f>
        <v/>
      </c>
      <c r="DW20" s="1506" cm="1">
        <f t="array" aca="1" ref="DW20" ca="1">IF(SwitchPA=1,_xll.TR(DW$7,DW$6,"Sdate=#1 Period=#2 Scale=6 NULL=BLANK",,$D20,$X$4),DW20)</f>
        <v>48530.015538500003</v>
      </c>
      <c r="DX20" s="1506" cm="1">
        <f t="array" aca="1" ref="DX20" ca="1">IF(SwitchPA=1,_xll.TR(DX$7,DX$6,"Sdate=#1 Period=#2 Scale=6 NULL=BLANK",,$D20,$X$4),DX20)</f>
        <v>1253.0723499999999</v>
      </c>
      <c r="DY20" s="1506" cm="1">
        <f t="array" aca="1" ref="DY20" ca="1">IF(SwitchPA=1,_xll.TR(DY$7,DY$6,"Sdate=#1 Period=#2 Scale=6 NULL=BLANK",,$D20,$X$4),DY20)</f>
        <v>4644.8362846</v>
      </c>
      <c r="DZ20" s="1506" cm="1">
        <f t="array" aca="1" ref="DZ20" ca="1">IF(SwitchPA=1,_xll.TR(DZ$7,DZ$6,"Sdate=#1 Period=#2 Scale=6 NULL=BLANK",,$D20,$X$4),DZ20)</f>
        <v>1394.1105643000001</v>
      </c>
      <c r="EA20" s="1506" t="str" cm="1">
        <f t="array" aca="1" ref="EA20" ca="1">IF(SwitchPA=1,_xll.TR(EA$7,EA$6,"Sdate=#1 Period=#2 Scale=6 NULL=BLANK",,$D20,$X$4),EA20)</f>
        <v/>
      </c>
      <c r="EB20" s="1506" cm="1">
        <f t="array" aca="1" ref="EB20" ca="1">IF(SwitchPA=1,_xll.TR(EB$7,EB$6,"Sdate=#1 Period=#2 Scale=6 NULL=BLANK",,$D20,$X$4),EB20)</f>
        <v>2285.5279799999998</v>
      </c>
      <c r="EC20" s="1506" cm="1">
        <f t="array" aca="1" ref="EC20" ca="1">IF(SwitchPA=1,_xll.TR(EC$7,EC$6,"Sdate=#1 Period=#2 Scale=6 NULL=BLANK",,$D20,$X$4),EC20)</f>
        <v>10773.860389949999</v>
      </c>
      <c r="ED20" s="1506" cm="1">
        <f t="array" aca="1" ref="ED20" ca="1">IF(SwitchPA=1,_xll.TR(ED$7,ED$6,"Sdate=#1 Period=#2 Scale=6 NULL=BLANK",,$D20,$X$4),ED20)</f>
        <v>7800.3741735570002</v>
      </c>
      <c r="EE20" s="1506" t="str" cm="1">
        <f t="array" aca="1" ref="EE20" ca="1">IF(SwitchPA=1,_xll.TR(EE$7,EE$6,"Sdate=#1 Period=#2 Scale=6 NULL=BLANK",,$D20,$X$4),EE20)</f>
        <v/>
      </c>
      <c r="EF20" s="1506" t="str" cm="1">
        <f t="array" aca="1" ref="EF20" ca="1">IF(SwitchPA=1,_xll.TR(EF$7,EF$6,"Sdate=#1 Period=#2 Scale=6 NULL=BLANK",,$D20,$X$4),EF20)</f>
        <v/>
      </c>
      <c r="EG20" s="1517"/>
      <c r="EH20" s="1506" cm="1">
        <f t="array" aca="1" ref="EH20" ca="1">IF(SwitchPA=1,_xll.TR(EH$7,EH$6,"Sdate=#1 Period=#2 Scale=6 NULL=BLANK",,$D20,$X$4),EH20)</f>
        <v>326</v>
      </c>
      <c r="EI20" s="1506" t="str" cm="1">
        <f t="array" aca="1" ref="EI20" ca="1">IF(SwitchPA=1,_xll.TR(EI$7,EI$6,"Sdate=#1 Period=#2 Scale=6 NULL=BLANK",,$D20,$X$4),EI20)</f>
        <v/>
      </c>
      <c r="EJ20" s="1506" cm="1">
        <f t="array" aca="1" ref="EJ20" ca="1">IF(SwitchPA=1,_xll.TR(EJ$7,EJ$6,"Sdate=#1 Period=#2 Scale=6 NULL=BLANK",,$D20,$X$4),EJ20)</f>
        <v>2152</v>
      </c>
      <c r="EK20" s="1506" t="str" cm="1">
        <f t="array" aca="1" ref="EK20" ca="1">IF(SwitchPA=1,_xll.TR(EK$7,EK$6,"Sdate=#1 Period=#2 Scale=6 NULL=BLANK",,$D20,$X$4),EK20)</f>
        <v/>
      </c>
      <c r="EL20" s="1506" t="str" cm="1">
        <f t="array" aca="1" ref="EL20" ca="1">IF(SwitchPA=1,_xll.TR(EL$7,EL$6,"Sdate=#1 Period=#2 Scale=6 NULL=BLANK",,$D20,$X$4),EL20)</f>
        <v/>
      </c>
      <c r="EM20" s="1506" cm="1">
        <f t="array" aca="1" ref="EM20" ca="1">IF(SwitchPA=1,_xll.TR(EM$7,EM$6,"Sdate=#1 Period=#2 Scale=6 NULL=BLANK",,$D20,$X$4),EM20)</f>
        <v>29</v>
      </c>
      <c r="EN20" s="1506" t="str" cm="1">
        <f t="array" aca="1" ref="EN20" ca="1">IF(SwitchPA=1,_xll.TR(EN$7,EN$6,"Sdate=#1 Period=#2 Scale=6 NULL=BLANK",,$D20,$X$4),EN20)</f>
        <v/>
      </c>
      <c r="EO20" s="1506" t="str" cm="1">
        <f t="array" aca="1" ref="EO20" ca="1">IF(SwitchPA=1,_xll.TR(EO$7,EO$6,"Sdate=#1 Period=#2 Scale=6 NULL=BLANK",,$D20,$X$4),EO20)</f>
        <v/>
      </c>
      <c r="EP20" s="1506" cm="1">
        <f t="array" aca="1" ref="EP20" ca="1">IF(SwitchPA=1,_xll.TR(EP$7,EP$6,"Sdate=#1 Period=#2 Scale=6 NULL=BLANK",,$D20,$X$4),EP20)</f>
        <v>2273</v>
      </c>
      <c r="EQ20" s="1506" cm="1">
        <f t="array" aca="1" ref="EQ20" ca="1">IF(SwitchPA=1,_xll.TR(EQ$7,EQ$6,"Sdate=#1 Period=#2 Scale=6 NULL=BLANK",,$D20,$X$4),EQ20)</f>
        <v>100.501</v>
      </c>
      <c r="ER20" s="1506" cm="1">
        <f t="array" aca="1" ref="ER20" ca="1">IF(SwitchPA=1,_xll.TR(ER$7,ER$6,"Sdate=#1 Period=#2 Scale=6 NULL=BLANK",,$D20,$X$4),ER20)</f>
        <v>805</v>
      </c>
      <c r="ES20" s="1506" cm="1">
        <f t="array" aca="1" ref="ES20" ca="1">IF(SwitchPA=1,_xll.TR(ES$7,ES$6,"Sdate=#1 Period=#2 Scale=6 NULL=BLANK",,$D20,$X$4),ES20)</f>
        <v>36.1</v>
      </c>
      <c r="ET20" s="1506" t="str" cm="1">
        <f t="array" aca="1" ref="ET20" ca="1">IF(SwitchPA=1,_xll.TR(ET$7,ET$6,"Sdate=#1 Period=#2 Scale=6 NULL=BLANK",,$D20,$X$4),ET20)</f>
        <v/>
      </c>
      <c r="EU20" s="1506" cm="1">
        <f t="array" aca="1" ref="EU20" ca="1">IF(SwitchPA=1,_xll.TR(EU$7,EU$6,"Sdate=#1 Period=#2 Scale=6 NULL=BLANK",,$D20,$X$4),EU20)</f>
        <v>182.6</v>
      </c>
      <c r="EV20" s="1506" cm="1">
        <f t="array" aca="1" ref="EV20" ca="1">IF(SwitchPA=1,_xll.TR(EV$7,EV$6,"Sdate=#1 Period=#2 Scale=6 NULL=BLANK",,$D20,$X$4),EV20)</f>
        <v>938</v>
      </c>
      <c r="EW20" s="1506" t="str" cm="1">
        <f t="array" aca="1" ref="EW20" ca="1">IF(SwitchPA=1,_xll.TR(EW$7,EW$6,"Sdate=#1 Period=#2 Scale=6 NULL=BLANK",,$D20,$X$4),EW20)</f>
        <v/>
      </c>
      <c r="EX20" s="1506" t="str" cm="1">
        <f t="array" aca="1" ref="EX20" ca="1">IF(SwitchPA=1,_xll.TR(EX$7,EX$6,"Sdate=#1 Period=#2 Scale=6 NULL=BLANK",,$D20,$X$4),EX20)</f>
        <v>Unable to resolve all requested identifiers.</v>
      </c>
      <c r="EY20" s="1506" t="str" cm="1">
        <f t="array" aca="1" ref="EY20" ca="1">IF(SwitchPA=1,_xll.TR(EY$7,EY$6,"Sdate=#1 Period=#2 Scale=6 NULL=BLANK",,$D20,$X$4),EY20)</f>
        <v>Unable to resolve all requested identifiers.</v>
      </c>
      <c r="FA20" s="1506" cm="1">
        <f t="array" aca="1" ref="FA20" ca="1">IF(SwitchPA=1,_xll.TR(FA$7,FA$6,"Sdate=#1 Period=#2 Scale=6 NULL=BLANK",,$D20,$X$4),FA20)</f>
        <v>761</v>
      </c>
      <c r="FB20" s="1506" t="str" cm="1">
        <f t="array" aca="1" ref="FB20" ca="1">IF(SwitchPA=1,_xll.TR(FB$7,FB$6,"Sdate=#1 Period=#2 Scale=6 NULL=BLANK",,$D20,$X$4),FB20)</f>
        <v/>
      </c>
      <c r="FC20" s="1506" cm="1">
        <f t="array" aca="1" ref="FC20" ca="1">IF(SwitchPA=1,_xll.TR(FC$7,FC$6,"Sdate=#1 Period=#2 Scale=6 NULL=BLANK",,$D20,$X$4),FC20)</f>
        <v>4900</v>
      </c>
      <c r="FD20" s="1506" t="str" cm="1">
        <f t="array" aca="1" ref="FD20" ca="1">IF(SwitchPA=1,_xll.TR(FD$7,FD$6,"Sdate=#1 Period=#2 Scale=6 NULL=BLANK",,$D20,$X$4),FD20)</f>
        <v/>
      </c>
      <c r="FE20" s="1506" t="str" cm="1">
        <f t="array" aca="1" ref="FE20" ca="1">IF(SwitchPA=1,_xll.TR(FE$7,FE$6,"Sdate=#1 Period=#2 Scale=6 NULL=BLANK",,$D20,$X$4),FE20)</f>
        <v/>
      </c>
      <c r="FF20" s="1506" cm="1">
        <f t="array" aca="1" ref="FF20" ca="1">IF(SwitchPA=1,_xll.TR(FF$7,FF$6,"Sdate=#1 Period=#2 Scale=6 NULL=BLANK",,$D20,$X$4),FF20)</f>
        <v>114</v>
      </c>
      <c r="FG20" s="1506" t="str" cm="1">
        <f t="array" aca="1" ref="FG20" ca="1">IF(SwitchPA=1,_xll.TR(FG$7,FG$6,"Sdate=#1 Period=#2 Scale=6 NULL=BLANK",,$D20,$X$4),FG20)</f>
        <v/>
      </c>
      <c r="FH20" s="1506" t="str" cm="1">
        <f t="array" aca="1" ref="FH20" ca="1">IF(SwitchPA=1,_xll.TR(FH$7,FH$6,"Sdate=#1 Period=#2 Scale=6 NULL=BLANK",,$D20,$X$4),FH20)</f>
        <v/>
      </c>
      <c r="FI20" s="1506" cm="1">
        <f t="array" aca="1" ref="FI20" ca="1">IF(SwitchPA=1,_xll.TR(FI$7,FI$6,"Sdate=#1 Period=#2 Scale=6 NULL=BLANK",,$D20,$X$4),FI20)</f>
        <v>3362</v>
      </c>
      <c r="FJ20" s="1506" cm="1">
        <f t="array" aca="1" ref="FJ20" ca="1">IF(SwitchPA=1,_xll.TR(FJ$7,FJ$6,"Sdate=#1 Period=#2 Scale=6 NULL=BLANK",,$D20,$X$4),FJ20)</f>
        <v>178.11099999999999</v>
      </c>
      <c r="FK20" s="1506" cm="1">
        <f t="array" aca="1" ref="FK20" ca="1">IF(SwitchPA=1,_xll.TR(FK$7,FK$6,"Sdate=#1 Period=#2 Scale=6 NULL=BLANK",,$D20,$X$4),FK20)</f>
        <v>1050</v>
      </c>
      <c r="FL20" s="1506" cm="1">
        <f t="array" aca="1" ref="FL20" ca="1">IF(SwitchPA=1,_xll.TR(FL$7,FL$6,"Sdate=#1 Period=#2 Scale=6 NULL=BLANK",,$D20,$X$4),FL20)</f>
        <v>127.4</v>
      </c>
      <c r="FM20" s="1506" t="str" cm="1">
        <f t="array" aca="1" ref="FM20" ca="1">IF(SwitchPA=1,_xll.TR(FM$7,FM$6,"Sdate=#1 Period=#2 Scale=6 NULL=BLANK",,$D20,$X$4),FM20)</f>
        <v/>
      </c>
      <c r="FN20" s="1506" cm="1">
        <f t="array" aca="1" ref="FN20" ca="1">IF(SwitchPA=1,_xll.TR(FN$7,FN$6,"Sdate=#1 Period=#2 Scale=6 NULL=BLANK",,$D20,$X$4),FN20)</f>
        <v>421.5</v>
      </c>
      <c r="FO20" s="1506" cm="1">
        <f t="array" aca="1" ref="FO20" ca="1">IF(SwitchPA=1,_xll.TR(FO$7,FO$6,"Sdate=#1 Period=#2 Scale=6 NULL=BLANK",,$D20,$X$4),FO20)</f>
        <v>1385</v>
      </c>
      <c r="FP20" s="1506" t="str" cm="1">
        <f t="array" aca="1" ref="FP20" ca="1">IF(SwitchPA=1,_xll.TR(FP$7,FP$6,"Sdate=#1 Period=#2 Scale=6 NULL=BLANK",,$D20,$X$4),FP20)</f>
        <v/>
      </c>
      <c r="FQ20" s="1506" t="str" cm="1">
        <f t="array" aca="1" ref="FQ20" ca="1">IF(SwitchPA=1,_xll.TR(FQ$7,FQ$6,"Sdate=#1 Period=#2 Scale=6 NULL=BLANK",,$D20,$X$4),FQ20)</f>
        <v>Unable to resolve all requested identifiers.</v>
      </c>
      <c r="FS20" s="1506" cm="1">
        <f t="array" aca="1" ref="FS20" ca="1">IF(SwitchPA=1,_xll.TR(FS$7,FS$6,"Sdate=#1 Period=#2 NULL=BLANK Scale=6",,$D20,$FS$4),FS20)</f>
        <v>135</v>
      </c>
      <c r="FT20" s="1506" t="str" cm="1">
        <f t="array" aca="1" ref="FT20" ca="1">IF(SwitchPA=1,_xll.TR(FT$7,FT$6,"Sdate=#1 Period=#2 NULL=BLANK Scale=6",,$D20,$FS$4),FT20)</f>
        <v/>
      </c>
      <c r="FU20" s="1506" cm="1">
        <f t="array" aca="1" ref="FU20" ca="1">IF(SwitchPA=1,_xll.TR(FU$7,FU$6,"Sdate=#1 Period=#2 NULL=BLANK Scale=6",,$D20,$FS$4),FU20)</f>
        <v>23</v>
      </c>
      <c r="FV20" s="1506" t="str" cm="1">
        <f t="array" aca="1" ref="FV20" ca="1">IF(SwitchPA=1,_xll.TR(FV$7,FV$6,"Sdate=#1 Period=#2 NULL=BLANK Scale=6",,$D20,$FS$4),FV20)</f>
        <v/>
      </c>
      <c r="FW20" s="1506" t="str" cm="1">
        <f t="array" aca="1" ref="FW20" ca="1">IF(SwitchPA=1,_xll.TR(FW$7,FW$6,"Sdate=#1 Period=#2 NULL=BLANK Scale=6",,$D20,$FS$4),FW20)</f>
        <v/>
      </c>
      <c r="FX20" s="1506" cm="1">
        <f t="array" aca="1" ref="FX20" ca="1">IF(SwitchPA=1,_xll.TR(FX$7,FX$6,"Sdate=#1 Period=#2 NULL=BLANK Scale=6",,$D20,$FS$4),FX20)</f>
        <v>11</v>
      </c>
      <c r="FY20" s="1506" t="str" cm="1">
        <f t="array" aca="1" ref="FY20" ca="1">IF(SwitchPA=1,_xll.TR(FY$7,FY$6,"Sdate=#1 Period=#2 NULL=BLANK Scale=6",,$D20,$FS$4),FY20)</f>
        <v/>
      </c>
      <c r="FZ20" s="1506" t="str" cm="1">
        <f t="array" aca="1" ref="FZ20" ca="1">IF(SwitchPA=1,_xll.TR(FZ$7,FZ$6,"Sdate=#1 Period=#2 NULL=BLANK Scale=6",,$D20,$FS$4),FZ20)</f>
        <v/>
      </c>
      <c r="GA20" s="1506" cm="1">
        <f t="array" aca="1" ref="GA20" ca="1">IF(SwitchPA=1,_xll.TR(GA$7,GA$6,"Sdate=#1 Period=#2 NULL=BLANK Scale=6",,$D20,$FS$4),GA20)</f>
        <v>2098</v>
      </c>
      <c r="GB20" s="1506" cm="1">
        <f t="array" aca="1" ref="GB20" ca="1">IF(SwitchPA=1,_xll.TR(GB$7,GB$6,"Sdate=#1 Period=#2 NULL=BLANK Scale=6",,$D20,$FS$4),GB20)</f>
        <v>93.960999999999999</v>
      </c>
      <c r="GC20" s="1506" cm="1">
        <f t="array" aca="1" ref="GC20" ca="1">IF(SwitchPA=1,_xll.TR(GC$7,GC$6,"Sdate=#1 Period=#2 NULL=BLANK Scale=6",,$D20,$FS$4),GC20)</f>
        <v>635</v>
      </c>
      <c r="GD20" s="1506" cm="1">
        <f t="array" aca="1" ref="GD20" ca="1">IF(SwitchPA=1,_xll.TR(GD$7,GD$6,"Sdate=#1 Period=#2 NULL=BLANK Scale=6",,$D20,$FS$4),GD20)</f>
        <v>225.2</v>
      </c>
      <c r="GE20" s="1506" t="str" cm="1">
        <f t="array" aca="1" ref="GE20" ca="1">IF(SwitchPA=1,_xll.TR(GE$7,GE$6,"Sdate=#1 Period=#2 NULL=BLANK Scale=6",,$D20,$FS$4),GE20)</f>
        <v/>
      </c>
      <c r="GF20" s="1506" cm="1">
        <f t="array" aca="1" ref="GF20" ca="1">IF(SwitchPA=1,_xll.TR(GF$7,GF$6,"Sdate=#1 Period=#2 NULL=BLANK Scale=6",,$D20,$FS$4),GF20)</f>
        <v>-310.39999999999998</v>
      </c>
      <c r="GG20" s="1506" cm="1">
        <f t="array" aca="1" ref="GG20" ca="1">IF(SwitchPA=1,_xll.TR(GG$7,GG$6,"Sdate=#1 Period=#2 NULL=BLANK Scale=6",,$D20,$FS$4),GG20)</f>
        <v>769</v>
      </c>
      <c r="GH20" s="1506" t="str" cm="1">
        <f t="array" aca="1" ref="GH20" ca="1">IF(SwitchPA=1,_xll.TR(GH$7,GH$6,"Sdate=#1 Period=#2 NULL=BLANK Scale=6",,$D20,$FS$4),GH20)</f>
        <v/>
      </c>
      <c r="GI20" s="1506" t="str" cm="1">
        <f t="array" aca="1" ref="GI20" ca="1">IF(SwitchPA=1,_xll.TR(GI$7,GI$6,"Sdate=#1 Period=#2 NULL=BLANK Scale=6",,$D20,$FS$4),GI20)</f>
        <v>Unable to resolve all requested identifiers.</v>
      </c>
      <c r="GK20" s="1506" t="str" cm="1">
        <f t="array" aca="1" ref="GK20" ca="1">IF(SwitchPA=1,_xll.TR(GK$7,GK$6,"Sdate=#1 Period=#2 NULL=BLANK Scale=6",,$D20,$FS$4),GK20)</f>
        <v/>
      </c>
      <c r="GL20" s="1506" t="str" cm="1">
        <f t="array" aca="1" ref="GL20" ca="1">IF(SwitchPA=1,_xll.TR(GL$7,GL$6,"Sdate=#1 Period=#2 NULL=BLANK Scale=6",,$D20,$FS$4),GL20)</f>
        <v/>
      </c>
      <c r="GM20" s="1506" t="str" cm="1">
        <f t="array" aca="1" ref="GM20" ca="1">IF(SwitchPA=1,_xll.TR(GM$7,GM$6,"Sdate=#1 Period=#2 NULL=BLANK Scale=6",,$D20,$FS$4),GM20)</f>
        <v/>
      </c>
      <c r="GN20" s="1506" t="str" cm="1">
        <f t="array" aca="1" ref="GN20" ca="1">IF(SwitchPA=1,_xll.TR(GN$7,GN$6,"Sdate=#1 Period=#2 NULL=BLANK Scale=6",,$D20,$FS$4),GN20)</f>
        <v/>
      </c>
      <c r="GO20" s="1506" t="str" cm="1">
        <f t="array" aca="1" ref="GO20" ca="1">IF(SwitchPA=1,_xll.TR(GO$7,GO$6,"Sdate=#1 Period=#2 NULL=BLANK Scale=6",,$D20,$FS$4),GO20)</f>
        <v/>
      </c>
      <c r="GP20" s="1506" t="str" cm="1">
        <f t="array" aca="1" ref="GP20" ca="1">IF(SwitchPA=1,_xll.TR(GP$7,GP$6,"Sdate=#1 Period=#2 NULL=BLANK Scale=6",,$D20,$FS$4),GP20)</f>
        <v/>
      </c>
      <c r="GQ20" s="1506" t="str" cm="1">
        <f t="array" aca="1" ref="GQ20" ca="1">IF(SwitchPA=1,_xll.TR(GQ$7,GQ$6,"Sdate=#1 Period=#2 NULL=BLANK Scale=6",,$D20,$FS$4),GQ20)</f>
        <v/>
      </c>
      <c r="GR20" s="1506" t="str" cm="1">
        <f t="array" aca="1" ref="GR20" ca="1">IF(SwitchPA=1,_xll.TR(GR$7,GR$6,"Sdate=#1 Period=#2 NULL=BLANK Scale=6",,$D20,$FS$4),GR20)</f>
        <v/>
      </c>
      <c r="GS20" s="1506" t="str" cm="1">
        <f t="array" aca="1" ref="GS20" ca="1">IF(SwitchPA=1,_xll.TR(GS$7,GS$6,"Sdate=#1 Period=#2 NULL=BLANK Scale=6",,$D20,$FS$4),GS20)</f>
        <v/>
      </c>
      <c r="GT20" s="1506" t="str" cm="1">
        <f t="array" aca="1" ref="GT20" ca="1">IF(SwitchPA=1,_xll.TR(GT$7,GT$6,"Sdate=#1 Period=#2 NULL=BLANK Scale=6",,$D20,$FS$4),GT20)</f>
        <v/>
      </c>
      <c r="GU20" s="1506" t="str" cm="1">
        <f t="array" aca="1" ref="GU20" ca="1">IF(SwitchPA=1,_xll.TR(GU$7,GU$6,"Sdate=#1 Period=#2 NULL=BLANK Scale=6",,$D20,$FS$4),GU20)</f>
        <v/>
      </c>
      <c r="GV20" s="1506" t="str" cm="1">
        <f t="array" aca="1" ref="GV20" ca="1">IF(SwitchPA=1,_xll.TR(GV$7,GV$6,"Sdate=#1 Period=#2 NULL=BLANK Scale=6",,$D20,$FS$4),GV20)</f>
        <v/>
      </c>
      <c r="GW20" s="1506" t="str" cm="1">
        <f t="array" aca="1" ref="GW20" ca="1">IF(SwitchPA=1,_xll.TR(GW$7,GW$6,"Sdate=#1 Period=#2 NULL=BLANK Scale=6",,$D20,$FS$4),GW20)</f>
        <v/>
      </c>
      <c r="GX20" s="1506" t="str" cm="1">
        <f t="array" aca="1" ref="GX20" ca="1">IF(SwitchPA=1,_xll.TR(GX$7,GX$6,"Sdate=#1 Period=#2 NULL=BLANK Scale=6",,$D20,$FS$4),GX20)</f>
        <v/>
      </c>
      <c r="GY20" s="1506" t="str" cm="1">
        <f t="array" aca="1" ref="GY20" ca="1">IF(SwitchPA=1,_xll.TR(GY$7,GY$6,"Sdate=#1 Period=#2 NULL=BLANK Scale=6",,$D20,$FS$4),GY20)</f>
        <v/>
      </c>
      <c r="GZ20" s="1506" t="str" cm="1">
        <f t="array" aca="1" ref="GZ20" ca="1">IF(SwitchPA=1,_xll.TR(GZ$7,GZ$6,"Sdate=#1 Period=#2 NULL=BLANK Scale=6",,$D20,$FS$4),GZ20)</f>
        <v/>
      </c>
      <c r="HA20" s="1506" t="str" cm="1">
        <f t="array" aca="1" ref="HA20" ca="1">IF(SwitchPA=1,_xll.TR(HA$7,HA$6,"Sdate=#1 Period=#2 NULL=BLANK Scale=6",,$D20,$FS$4),HA20)</f>
        <v/>
      </c>
      <c r="HC20">
        <v>3.96</v>
      </c>
      <c r="HD20">
        <v>25.98</v>
      </c>
      <c r="HE20">
        <v>24.46</v>
      </c>
    </row>
    <row r="21" spans="1:217" ht="11.25" customHeight="1">
      <c r="C21" s="1514">
        <f>+EOMONTH(C20,12)</f>
        <v>37621</v>
      </c>
      <c r="D21" s="1515">
        <f t="shared" si="49"/>
        <v>37666</v>
      </c>
      <c r="E21" s="1506" t="str" cm="1">
        <f t="array" aca="1" ref="E21" ca="1">IF(SwitchPA=1,_xll.TR(E$7,E$6,"Sdate=#1 Period=#2 NULL=BLANK",,$D21,$E$4),E21)</f>
        <v/>
      </c>
      <c r="F21" s="1506" t="str" cm="1">
        <f t="array" aca="1" ref="F21" ca="1">IF(SwitchPA=1,_xll.TR(F$7,F$6,"Sdate=#1 Period=#2 NULL=BLANK",,$D21,$E$4),F21)</f>
        <v/>
      </c>
      <c r="G21" s="1506" cm="1">
        <f t="array" aca="1" ref="G21" ca="1">IF(SwitchPA=1,_xll.TR(G$7,G$6,"Sdate=#1 Period=#2 NULL=BLANK",,$D21,$E$4),G21)</f>
        <v>3.8103589844652901</v>
      </c>
      <c r="H21" s="1506" t="str" cm="1">
        <f t="array" aca="1" ref="H21" ca="1">IF(SwitchPA=1,_xll.TR(H$7,H$6,"Sdate=#1 Period=#2 NULL=BLANK",,$D21,$E$4),H21)</f>
        <v/>
      </c>
      <c r="I21" s="1506" t="str" cm="1">
        <f t="array" aca="1" ref="I21" ca="1">IF(SwitchPA=1,_xll.TR(I$7,I$6,"Sdate=#1 Period=#2 NULL=BLANK",,$D21,$E$4),I21)</f>
        <v/>
      </c>
      <c r="J21" s="1506" t="str" cm="1">
        <f t="array" aca="1" ref="J21" ca="1">IF(SwitchPA=1,_xll.TR(J$7,J$6,"Sdate=#1 Period=#2 NULL=BLANK",,$D21,$E$4),J21)</f>
        <v/>
      </c>
      <c r="K21" s="1506" t="str" cm="1">
        <f t="array" aca="1" ref="K21" ca="1">IF(SwitchPA=1,_xll.TR(K$7,K$6,"Sdate=#1 Period=#2 NULL=BLANK",,$D21,$E$4),K21)</f>
        <v/>
      </c>
      <c r="L21" s="1506" t="str" cm="1">
        <f t="array" aca="1" ref="L21" ca="1">IF(SwitchPA=1,_xll.TR(L$7,L$6,"Sdate=#1 Period=#2 NULL=BLANK",,$D21,$E$4),L21)</f>
        <v/>
      </c>
      <c r="M21" s="1506" cm="1">
        <f t="array" aca="1" ref="M21" ca="1">IF(SwitchPA=1,_xll.TR(M$7,M$6,"Sdate=#1 Period=#2 NULL=BLANK",,$D21,$E$4),M21)</f>
        <v>10.8752947286892</v>
      </c>
      <c r="N21" s="1506" t="str" cm="1">
        <f t="array" aca="1" ref="N21" ca="1">IF(SwitchPA=1,_xll.TR(N$7,N$6,"Sdate=#1 Period=#2 NULL=BLANK",,$D21,$E$4),N21)</f>
        <v/>
      </c>
      <c r="O21" s="1506" cm="1">
        <f t="array" aca="1" ref="O21" ca="1">IF(SwitchPA=1,_xll.TR(O$7,O$6,"Sdate=#1 Period=#2 NULL=BLANK",,$D21,$E$4),O21)</f>
        <v>3.4934233181705898</v>
      </c>
      <c r="P21" s="1506" t="str" cm="1">
        <f t="array" aca="1" ref="P21" ca="1">IF(SwitchPA=1,_xll.TR(P$7,P$6,"Sdate=#1 Period=#2 NULL=BLANK",,$D21,$E$4),P21)</f>
        <v/>
      </c>
      <c r="Q21" s="1506" t="str" cm="1">
        <f t="array" aca="1" ref="Q21" ca="1">IF(SwitchPA=1,_xll.TR(Q$7,Q$6,"Sdate=#1 Period=#2 NULL=BLANK",,$D21,$E$4),Q21)</f>
        <v/>
      </c>
      <c r="R21" s="1506" cm="1">
        <f t="array" aca="1" ref="R21" ca="1">IF(SwitchPA=1,_xll.TR(R$7,R$6,"Sdate=#1 Period=#2 NULL=BLANK",,$D21,$E$4),R21)</f>
        <v>4.30688208339574</v>
      </c>
      <c r="S21" s="1506" cm="1">
        <f t="array" aca="1" ref="S21" ca="1">IF(SwitchPA=1,_xll.TR(S$7,S$6,"Sdate=#1 Period=#2 NULL=BLANK",,$D21,$E$4),S21)</f>
        <v>6.6675137233761701</v>
      </c>
      <c r="T21" s="1506" cm="1">
        <f t="array" aca="1" ref="T21" ca="1">IF(SwitchPA=1,_xll.TR(T$7,T$6,"Sdate=#1 Period=#2 NULL=BLANK",,$D21,$E$4),T21)</f>
        <v>4.81031945505634</v>
      </c>
      <c r="U21" s="1506" t="str" cm="1">
        <f t="array" aca="1" ref="U21" ca="1">IF(SwitchPA=1,_xll.TR(U$7,U$6,"Sdate=#1 Period=#2 NULL=BLANK",,$D21,$E$4),U21)</f>
        <v>No universe defined.</v>
      </c>
      <c r="V21" s="1506" t="str" cm="1">
        <f t="array" aca="1" ref="V21" ca="1">IF(SwitchPA=1,_xll.TR(V$7,V$6,"Sdate=#1 Period=#2 NULL=BLANK",,$D21,$E$4),V21)</f>
        <v>No universe defined.</v>
      </c>
      <c r="X21" s="1506" cm="1">
        <f t="array" aca="1" ref="X21" ca="1">IF(SwitchPA=1,_xll.TR(X$7,X$6,"Sdate=#1 Period=#2 NULL=BLANK",,$D21,$X$4),X21)</f>
        <v>6.2281527445378204</v>
      </c>
      <c r="Y21" s="1506" t="str" cm="1">
        <f t="array" aca="1" ref="Y21" ca="1">IF(SwitchPA=1,_xll.TR(Y$7,Y$6,"Sdate=#1 Period=#2 NULL=BLANK",,$D21,$X$4),Y21)</f>
        <v/>
      </c>
      <c r="Z21" s="1506" cm="1">
        <f t="array" aca="1" ref="Z21" ca="1">IF(SwitchPA=1,_xll.TR(Z$7,Z$6,"Sdate=#1 Period=#2 NULL=BLANK",,$D21,$X$4),Z21)</f>
        <v>4.1110493923238796</v>
      </c>
      <c r="AA21" s="1506" t="str" cm="1">
        <f t="array" aca="1" ref="AA21" ca="1">IF(SwitchPA=1,_xll.TR(AA$7,AA$6,"Sdate=#1 Period=#2 NULL=BLANK",,$D21,$X$4),AA21)</f>
        <v/>
      </c>
      <c r="AB21" s="1506" t="str" cm="1">
        <f t="array" aca="1" ref="AB21" ca="1">IF(SwitchPA=1,_xll.TR(AB$7,AB$6,"Sdate=#1 Period=#2 NULL=BLANK",,$D21,$X$4),AB21)</f>
        <v/>
      </c>
      <c r="AC21" s="1506" cm="1">
        <f t="array" aca="1" ref="AC21" ca="1">IF(SwitchPA=1,_xll.TR(AC$7,AC$6,"Sdate=#1 Period=#2 NULL=BLANK",,$D21,$X$4),AC21)</f>
        <v>8.1877757896296295</v>
      </c>
      <c r="AD21" s="1506" t="str" cm="1">
        <f t="array" aca="1" ref="AD21" ca="1">IF(SwitchPA=1,_xll.TR(AD$7,AD$6,"Sdate=#1 Period=#2 NULL=BLANK",,$D21,$X$4),AD21)</f>
        <v/>
      </c>
      <c r="AE21" s="1506" t="str" cm="1">
        <f t="array" aca="1" ref="AE21" ca="1">IF(SwitchPA=1,_xll.TR(AE$7,AE$6,"Sdate=#1 Period=#2 NULL=BLANK",,$D21,$X$4),AE21)</f>
        <v/>
      </c>
      <c r="AF21" s="1506" cm="1">
        <f t="array" aca="1" ref="AF21" ca="1">IF(SwitchPA=1,_xll.TR(AF$7,AF$6,"Sdate=#1 Period=#2 NULL=BLANK",,$D21,$X$4),AF21)</f>
        <v>11.9742612184058</v>
      </c>
      <c r="AG21" s="1506" cm="1">
        <f t="array" aca="1" ref="AG21" ca="1">IF(SwitchPA=1,_xll.TR(AG$7,AG$6,"Sdate=#1 Period=#2 NULL=BLANK",,$D21,$X$4),AG21)</f>
        <v>6.17836173802083</v>
      </c>
      <c r="AH21" s="1506" cm="1">
        <f t="array" aca="1" ref="AH21" ca="1">IF(SwitchPA=1,_xll.TR(AH$7,AH$6,"Sdate=#1 Period=#2 NULL=BLANK",,$D21,$X$4),AH21)</f>
        <v>4.5424460849203401</v>
      </c>
      <c r="AI21" s="1506" cm="1">
        <f t="array" aca="1" ref="AI21" ca="1">IF(SwitchPA=1,_xll.TR(AI$7,AI$6,"Sdate=#1 Period=#2 NULL=BLANK",,$D21,$X$4),AI21)</f>
        <v>6.8063858408542002</v>
      </c>
      <c r="AJ21" s="1506" t="str" cm="1">
        <f t="array" aca="1" ref="AJ21" ca="1">IF(SwitchPA=1,_xll.TR(AJ$7,AJ$6,"Sdate=#1 Period=#2 NULL=BLANK",,$D21,$X$4),AJ21)</f>
        <v/>
      </c>
      <c r="AK21" s="1506" cm="1">
        <f t="array" aca="1" ref="AK21" ca="1">IF(SwitchPA=1,_xll.TR(AK$7,AK$6,"Sdate=#1 Period=#2 NULL=BLANK",,$D21,$X$4),AK21)</f>
        <v>4.8446969508611</v>
      </c>
      <c r="AL21" s="1506" cm="1">
        <f t="array" aca="1" ref="AL21" ca="1">IF(SwitchPA=1,_xll.TR(AL$7,AL$6,"Sdate=#1 Period=#2 NULL=BLANK",,$D21,$X$4),AL21)</f>
        <v>7.3188971652687398</v>
      </c>
      <c r="AM21" s="1506" cm="1">
        <f t="array" aca="1" ref="AM21" ca="1">IF(SwitchPA=1,_xll.TR(AM$7,AM$6,"Sdate=#1 Period=#2 NULL=BLANK",,$D21,$X$4),AM21)</f>
        <v>5.1884459154411404</v>
      </c>
      <c r="AN21" s="1506" t="str" cm="1">
        <f t="array" aca="1" ref="AN21" ca="1">IF(SwitchPA=1,_xll.TR(AN$7,AN$6,"Sdate=#1 Period=#2 NULL=BLANK",,$D21,$X$4),AN21)</f>
        <v/>
      </c>
      <c r="AO21" s="1506" t="str" cm="1">
        <f t="array" aca="1" ref="AO21" ca="1">IF(SwitchPA=1,_xll.TR(AO$7,AO$6,"Sdate=#1 Period=#2 NULL=BLANK",,$D21,$X$4),AO21)</f>
        <v/>
      </c>
      <c r="AQ21" s="1506" t="str" cm="1">
        <f t="array" aca="1" ref="AQ21" ca="1">IF(SwitchPA=1,_xll.TR(AQ$7,AQ$6,"Sdate=#1 Period=#2 NULL=BLANK Scale=6",,$D21,$AQ$4),AQ21)</f>
        <v/>
      </c>
      <c r="AR21" s="1506" t="str" cm="1">
        <f t="array" aca="1" ref="AR21" ca="1">IF(SwitchPA=1,_xll.TR(AR$7,AR$6,"Sdate=#1 Period=#2 NULL=BLANK Scale=6",,$D21,$AQ$4),AR21)</f>
        <v/>
      </c>
      <c r="AS21" s="1506" t="str" cm="1">
        <f t="array" aca="1" ref="AS21" ca="1">IF(SwitchPA=1,_xll.TR(AS$7,AS$6,"Sdate=#1 Period=#2 NULL=BLANK Scale=6",,$D21,$AQ$4),AS21)</f>
        <v/>
      </c>
      <c r="AT21" s="1506" t="str" cm="1">
        <f t="array" aca="1" ref="AT21" ca="1">IF(SwitchPA=1,_xll.TR(AT$7,AT$6,"Sdate=#1 Period=#2 NULL=BLANK Scale=6",,$D21,$AQ$4),AT21)</f>
        <v/>
      </c>
      <c r="AU21" s="1506" t="str" cm="1">
        <f t="array" aca="1" ref="AU21" ca="1">IF(SwitchPA=1,_xll.TR(AU$7,AU$6,"Sdate=#1 Period=#2 NULL=BLANK Scale=6",,$D21,$AQ$4),AU21)</f>
        <v/>
      </c>
      <c r="AV21" s="1506" t="str" cm="1">
        <f t="array" aca="1" ref="AV21" ca="1">IF(SwitchPA=1,_xll.TR(AV$7,AV$6,"Sdate=#1 Period=#2 NULL=BLANK Scale=6",,$D21,$AQ$4),AV21)</f>
        <v/>
      </c>
      <c r="AW21" s="1506" t="str" cm="1">
        <f t="array" aca="1" ref="AW21" ca="1">IF(SwitchPA=1,_xll.TR(AW$7,AW$6,"Sdate=#1 Period=#2 NULL=BLANK Scale=6",,$D21,$AQ$4),AW21)</f>
        <v/>
      </c>
      <c r="AX21" s="1506" t="str" cm="1">
        <f t="array" aca="1" ref="AX21" ca="1">IF(SwitchPA=1,_xll.TR(AX$7,AX$6,"Sdate=#1 Period=#2 NULL=BLANK Scale=6",,$D21,$AQ$4),AX21)</f>
        <v/>
      </c>
      <c r="AY21" s="1506" t="str" cm="1">
        <f t="array" aca="1" ref="AY21" ca="1">IF(SwitchPA=1,_xll.TR(AY$7,AY$6,"Sdate=#1 Period=#2 NULL=BLANK Scale=6",,$D21,$AQ$4),AY21)</f>
        <v/>
      </c>
      <c r="AZ21" s="1506" t="str" cm="1">
        <f t="array" aca="1" ref="AZ21" ca="1">IF(SwitchPA=1,_xll.TR(AZ$7,AZ$6,"Sdate=#1 Period=#2 NULL=BLANK Scale=6",,$D21,$AQ$4),AZ21)</f>
        <v/>
      </c>
      <c r="BA21" s="1506" t="str" cm="1">
        <f t="array" aca="1" ref="BA21" ca="1">IF(SwitchPA=1,_xll.TR(BA$7,BA$6,"Sdate=#1 Period=#2 NULL=BLANK Scale=6",,$D21,$AQ$4),BA21)</f>
        <v/>
      </c>
      <c r="BB21" s="1506" t="str" cm="1">
        <f t="array" aca="1" ref="BB21" ca="1">IF(SwitchPA=1,_xll.TR(BB$7,BB$6,"Sdate=#1 Period=#2 NULL=BLANK Scale=6",,$D21,$AQ$4),BB21)</f>
        <v/>
      </c>
      <c r="BC21" s="1506" t="str" cm="1">
        <f t="array" aca="1" ref="BC21" ca="1">IF(SwitchPA=1,_xll.TR(BC$7,BC$6,"Sdate=#1 Period=#2 NULL=BLANK Scale=6",,$D21,$AQ$4),BC21)</f>
        <v/>
      </c>
      <c r="BD21" s="1506" t="str" cm="1">
        <f t="array" aca="1" ref="BD21" ca="1">IF(SwitchPA=1,_xll.TR(BD$7,BD$6,"Sdate=#1 Period=#2 NULL=BLANK Scale=6",,$D21,$AQ$4),BD21)</f>
        <v/>
      </c>
      <c r="BE21" s="1506" t="str" cm="1">
        <f t="array" aca="1" ref="BE21" ca="1">IF(SwitchPA=1,_xll.TR(BE$7,BE$6,"Sdate=#1 Period=#2 NULL=BLANK Scale=6",,$D21,$AQ$4),BE21)</f>
        <v/>
      </c>
      <c r="BF21" s="1506" t="str" cm="1">
        <f t="array" aca="1" ref="BF21" ca="1">IF(SwitchPA=1,_xll.TR(BF$7,BF$6,"Sdate=#1 Period=#2 NULL=BLANK Scale=6",,$D21,$AQ$4),BF21)</f>
        <v/>
      </c>
      <c r="BG21" s="1506" t="str" cm="1">
        <f t="array" aca="1" ref="BG21" ca="1">IF(SwitchPA=1,_xll.TR(BG$7,BG$6,"Sdate=#1 Period=#2 NULL=BLANK Scale=6",,$D21,$AQ$4),BG21)</f>
        <v/>
      </c>
      <c r="BH21" s="1506" t="str" cm="1">
        <f t="array" aca="1" ref="BH21" ca="1">IF(SwitchPA=1,_xll.TR(BH$7,BH$6,"Sdate=#1 Period=#2 NULL=BLANK Scale=6",,$D21,$AQ$4),BH21)</f>
        <v/>
      </c>
      <c r="BJ21" s="1506" cm="1">
        <f t="array" aca="1" ref="BJ21" ca="1">IF(SwitchPA=1,_xll.TR(BJ$7,BJ$6,"Sdate=#1 Period=#2 NULL=BLANK Scale=6",,$D21,$BJ$4),BJ21)</f>
        <v>6.8422640469999996</v>
      </c>
      <c r="BK21" s="1506" t="str" cm="1">
        <f t="array" aca="1" ref="BK21" ca="1">IF(SwitchPA=1,_xll.TR(BK$7,BK$6,"Sdate=#1 Period=#2 NULL=BLANK Scale=6",,$D21,$BJ$4),BK21)</f>
        <v/>
      </c>
      <c r="BL21" s="1506" cm="1">
        <f t="array" aca="1" ref="BL21" ca="1">IF(SwitchPA=1,_xll.TR(BL$7,BL$6,"Sdate=#1 Period=#2 NULL=BLANK Scale=6",,$D21,$BJ$4),BL21)</f>
        <v>4.7143777399999998</v>
      </c>
      <c r="BM21" s="1506" t="str" cm="1">
        <f t="array" aca="1" ref="BM21" ca="1">IF(SwitchPA=1,_xll.TR(BM$7,BM$6,"Sdate=#1 Period=#2 NULL=BLANK Scale=6",,$D21,$BJ$4),BM21)</f>
        <v/>
      </c>
      <c r="BN21" s="1506" t="str" cm="1">
        <f t="array" aca="1" ref="BN21" ca="1">IF(SwitchPA=1,_xll.TR(BN$7,BN$6,"Sdate=#1 Period=#2 NULL=BLANK Scale=6",,$D21,$BJ$4),BN21)</f>
        <v/>
      </c>
      <c r="BO21" s="1506" cm="1">
        <f t="array" aca="1" ref="BO21" ca="1">IF(SwitchPA=1,_xll.TR(BO$7,BO$6,"Sdate=#1 Period=#2 NULL=BLANK Scale=6",,$D21,$BJ$4),BO21)</f>
        <v>12.014670996</v>
      </c>
      <c r="BP21" s="1506" t="str" cm="1">
        <f t="array" aca="1" ref="BP21" ca="1">IF(SwitchPA=1,_xll.TR(BP$7,BP$6,"Sdate=#1 Period=#2 NULL=BLANK Scale=6",,$D21,$BJ$4),BP21)</f>
        <v/>
      </c>
      <c r="BQ21" s="1506" t="str" cm="1">
        <f t="array" aca="1" ref="BQ21" ca="1">IF(SwitchPA=1,_xll.TR(BQ$7,BQ$6,"Sdate=#1 Period=#2 NULL=BLANK Scale=6",,$D21,$BJ$4),BQ21)</f>
        <v/>
      </c>
      <c r="BR21" s="1506" cm="1">
        <f t="array" aca="1" ref="BR21" ca="1">IF(SwitchPA=1,_xll.TR(BR$7,BR$6,"Sdate=#1 Period=#2 NULL=BLANK Scale=6",,$D21,$BJ$4),BR21)</f>
        <v>12.688738274</v>
      </c>
      <c r="BS21" s="1506" cm="1">
        <f t="array" aca="1" ref="BS21" ca="1">IF(SwitchPA=1,_xll.TR(BS$7,BS$6,"Sdate=#1 Period=#2 NULL=BLANK Scale=6",,$D21,$BJ$4),BS21)</f>
        <v>6.3147874589999997</v>
      </c>
      <c r="BT21" s="1506" cm="1">
        <f t="array" aca="1" ref="BT21" ca="1">IF(SwitchPA=1,_xll.TR(BT$7,BT$6,"Sdate=#1 Period=#2 NULL=BLANK Scale=6",,$D21,$BJ$4),BT21)</f>
        <v>7.7131728800000001</v>
      </c>
      <c r="BU21" s="1506" cm="1">
        <f t="array" aca="1" ref="BU21" ca="1">IF(SwitchPA=1,_xll.TR(BU$7,BU$6,"Sdate=#1 Period=#2 NULL=BLANK Scale=6",,$D21,$BJ$4),BU21)</f>
        <v>12.534137971</v>
      </c>
      <c r="BV21" s="1506" t="str" cm="1">
        <f t="array" aca="1" ref="BV21" ca="1">IF(SwitchPA=1,_xll.TR(BV$7,BV$6,"Sdate=#1 Period=#2 NULL=BLANK Scale=6",,$D21,$BJ$4),BV21)</f>
        <v/>
      </c>
      <c r="BW21" s="1506" cm="1">
        <f t="array" aca="1" ref="BW21" ca="1">IF(SwitchPA=1,_xll.TR(BW$7,BW$6,"Sdate=#1 Period=#2 NULL=BLANK Scale=6",,$D21,$BJ$4),BW21)</f>
        <v>3.8377382710000001</v>
      </c>
      <c r="BX21" s="1506" cm="1">
        <f t="array" aca="1" ref="BX21" ca="1">IF(SwitchPA=1,_xll.TR(BX$7,BX$6,"Sdate=#1 Period=#2 NULL=BLANK Scale=6",,$D21,$BJ$4),BX21)</f>
        <v>7.7357987120000002</v>
      </c>
      <c r="BY21" s="1506" cm="1">
        <f t="array" aca="1" ref="BY21" ca="1">IF(SwitchPA=1,_xll.TR(BY$7,BY$6,"Sdate=#1 Period=#2 NULL=BLANK Scale=6",,$D21,$BJ$4),BY21)</f>
        <v>6.4507100599999996</v>
      </c>
      <c r="BZ21" s="1506" t="str" cm="1">
        <f t="array" aca="1" ref="BZ21" ca="1">IF(SwitchPA=1,_xll.TR(BZ$7,BZ$6,"Sdate=#1 Period=#2 NULL=BLANK Scale=6",,$D21,$BJ$4),BZ21)</f>
        <v/>
      </c>
      <c r="CA21" s="1506" t="str" cm="1">
        <f t="array" aca="1" ref="CA21" ca="1">IF(SwitchPA=1,_xll.TR(CA$7,CA$6,"Sdate=#1 Period=#2 NULL=BLANK Scale=6",,$D21,$BJ$4),CA21)</f>
        <v/>
      </c>
      <c r="CC21" s="1506" cm="1">
        <f t="array" aca="1" ref="CC21" ca="1">IF(SwitchPA=1,_xll.TR(CC$7,CC$6,"Sdate=#1 Period=#2 NULL=BLANK Scale=6",,$D21,$CC$4),CC21)</f>
        <v>5320</v>
      </c>
      <c r="CD21" s="1506" t="str" cm="1">
        <f t="array" aca="1" ref="CD21" ca="1">IF(SwitchPA=1,_xll.TR(CD$7,CD$6,"Sdate=#1 Period=#2 NULL=BLANK Scale=6",,$D21,$CC$4),CD21)</f>
        <v/>
      </c>
      <c r="CE21" s="1506" cm="1">
        <f t="array" aca="1" ref="CE21" ca="1">IF(SwitchPA=1,_xll.TR(CE$7,CE$6,"Sdate=#1 Period=#2 NULL=BLANK Scale=6",,$D21,$CC$4),CE21)</f>
        <v>31882</v>
      </c>
      <c r="CF21" s="1506" t="str" cm="1">
        <f t="array" aca="1" ref="CF21" ca="1">IF(SwitchPA=1,_xll.TR(CF$7,CF$6,"Sdate=#1 Period=#2 NULL=BLANK Scale=6",,$D21,$CC$4),CF21)</f>
        <v/>
      </c>
      <c r="CG21" s="1506" t="str" cm="1">
        <f t="array" aca="1" ref="CG21" ca="1">IF(SwitchPA=1,_xll.TR(CG$7,CG$6,"Sdate=#1 Period=#2 NULL=BLANK Scale=6",,$D21,$CC$4),CG21)</f>
        <v/>
      </c>
      <c r="CH21" s="1506" cm="1">
        <f t="array" aca="1" ref="CH21" ca="1">IF(SwitchPA=1,_xll.TR(CH$7,CH$6,"Sdate=#1 Period=#2 NULL=BLANK Scale=6",,$D21,$CC$4),CH21)</f>
        <v>1301</v>
      </c>
      <c r="CI21" s="1506" t="str" cm="1">
        <f t="array" aca="1" ref="CI21" ca="1">IF(SwitchPA=1,_xll.TR(CI$7,CI$6,"Sdate=#1 Period=#2 NULL=BLANK Scale=6",,$D21,$CC$4),CI21)</f>
        <v/>
      </c>
      <c r="CJ21" s="1506" t="str" cm="1">
        <f t="array" aca="1" ref="CJ21" ca="1">IF(SwitchPA=1,_xll.TR(CJ$7,CJ$6,"Sdate=#1 Period=#2 NULL=BLANK Scale=6",,$D21,$CC$4),CJ21)</f>
        <v/>
      </c>
      <c r="CK21" s="1506" cm="1">
        <f t="array" aca="1" ref="CK21" ca="1">IF(SwitchPA=1,_xll.TR(CK$7,CK$6,"Sdate=#1 Period=#2 NULL=BLANK Scale=6",,$D21,$CC$4),CK21)</f>
        <v>16332</v>
      </c>
      <c r="CL21" s="1506" cm="1">
        <f t="array" aca="1" ref="CL21" ca="1">IF(SwitchPA=1,_xll.TR(CL$7,CL$6,"Sdate=#1 Period=#2 NULL=BLANK Scale=6",,$D21,$CC$4),CL21)</f>
        <v>1007.918</v>
      </c>
      <c r="CM21" s="1506" cm="1">
        <f t="array" aca="1" ref="CM21" ca="1">IF(SwitchPA=1,_xll.TR(CM$7,CM$6,"Sdate=#1 Period=#2 NULL=BLANK Scale=6",,$D21,$CC$4),CM21)</f>
        <v>7366</v>
      </c>
      <c r="CN21" s="1506" cm="1">
        <f t="array" aca="1" ref="CN21" ca="1">IF(SwitchPA=1,_xll.TR(CN$7,CN$6,"Sdate=#1 Period=#2 NULL=BLANK Scale=6",,$D21,$CC$4),CN21)</f>
        <v>2363.5</v>
      </c>
      <c r="CO21" s="1506" t="str" cm="1">
        <f t="array" aca="1" ref="CO21" ca="1">IF(SwitchPA=1,_xll.TR(CO$7,CO$6,"Sdate=#1 Period=#2 NULL=BLANK Scale=6",,$D21,$CC$4),CO21)</f>
        <v/>
      </c>
      <c r="CP21" s="1506" cm="1">
        <f t="array" aca="1" ref="CP21" ca="1">IF(SwitchPA=1,_xll.TR(CP$7,CP$6,"Sdate=#1 Period=#2 NULL=BLANK Scale=6",,$D21,$CC$4),CP21)</f>
        <v>1852.9</v>
      </c>
      <c r="CQ21" s="1506" cm="1">
        <f t="array" aca="1" ref="CQ21" ca="1">IF(SwitchPA=1,_xll.TR(CQ$7,CQ$6,"Sdate=#1 Period=#2 NULL=BLANK Scale=6",,$D21,$CC$4),CQ21)</f>
        <v>8067</v>
      </c>
      <c r="CR21" s="1506" cm="1">
        <f t="array" aca="1" ref="CR21" ca="1">IF(SwitchPA=1,_xll.TR(CR$7,CR$6,"Sdate=#1 Period=#2 NULL=BLANK Scale=6",,$D21,$CC$4),CR21)</f>
        <v>7919</v>
      </c>
      <c r="CS21" s="1506" t="str" cm="1">
        <f t="array" aca="1" ref="CS21" ca="1">IF(SwitchPA=1,_xll.TR(CS$7,CS$6,"Sdate=#1 Period=#2 NULL=BLANK Scale=6",,$D21,$CC$4),CS21)</f>
        <v>Unable to resolve all requested identifiers.</v>
      </c>
      <c r="CT21" s="1506" t="str" cm="1">
        <f t="array" aca="1" ref="CT21" ca="1">IF(SwitchPA=1,_xll.TR(CT$7,CT$6,"Sdate=#1 Period=#2 NULL=BLANK Scale=6",,$D21,$CC$4),CT21)</f>
        <v>Unable to resolve all requested identifiers.</v>
      </c>
      <c r="CV21" s="1516" cm="1">
        <f t="array" aca="1" ref="CV21" ca="1">IF(SwitchPA=1,_xll.TR(CV$7,CV$6,"Sdate=#1 Period=#2 NULL=BLANK Scale=6",,$D21,$AQ$4),CV21)</f>
        <v>3621.75</v>
      </c>
      <c r="CW21" s="1516" t="str" cm="1">
        <f t="array" aca="1" ref="CW21" ca="1">IF(SwitchPA=1,_xll.TR(CW$7,CW$6,"Sdate=#1 Period=#2 NULL=BLANK Scale=6",,$D21,$AQ$4),CW21)</f>
        <v/>
      </c>
      <c r="CX21" s="1516" cm="1">
        <f t="array" aca="1" ref="CX21" ca="1">IF(SwitchPA=1,_xll.TR(CX$7,CX$6,"Sdate=#1 Period=#2 NULL=BLANK Scale=6",,$D21,$AQ$4),CX21)</f>
        <v>13821.25</v>
      </c>
      <c r="CY21" s="1516" t="str" cm="1">
        <f t="array" aca="1" ref="CY21" ca="1">IF(SwitchPA=1,_xll.TR(CY$7,CY$6,"Sdate=#1 Period=#2 NULL=BLANK Scale=6",,$D21,$AQ$4),CY21)</f>
        <v/>
      </c>
      <c r="CZ21" s="1516" t="str" cm="1">
        <f t="array" aca="1" ref="CZ21" ca="1">IF(SwitchPA=1,_xll.TR(CZ$7,CZ$6,"Sdate=#1 Period=#2 NULL=BLANK Scale=6",,$D21,$AQ$4),CZ21)</f>
        <v/>
      </c>
      <c r="DA21" s="1516" cm="1">
        <f t="array" aca="1" ref="DA21" ca="1">IF(SwitchPA=1,_xll.TR(DA$7,DA$6,"Sdate=#1 Period=#2 NULL=BLANK Scale=6",,$D21,$AQ$4),DA21)</f>
        <v>501</v>
      </c>
      <c r="DB21" s="1516" t="str" cm="1">
        <f t="array" aca="1" ref="DB21" ca="1">IF(SwitchPA=1,_xll.TR(DB$7,DB$6,"Sdate=#1 Period=#2 NULL=BLANK Scale=6",,$D21,$AQ$4),DB21)</f>
        <v/>
      </c>
      <c r="DC21" s="1516" t="str" cm="1">
        <f t="array" aca="1" ref="DC21" ca="1">IF(SwitchPA=1,_xll.TR(DC$7,DC$6,"Sdate=#1 Period=#2 NULL=BLANK Scale=6",,$D21,$AQ$4),DC21)</f>
        <v/>
      </c>
      <c r="DD21" s="1516" cm="1">
        <f t="array" aca="1" ref="DD21" ca="1">IF(SwitchPA=1,_xll.TR(DD$7,DD$6,"Sdate=#1 Period=#2 NULL=BLANK Scale=6",,$D21,$AQ$4),DD21)</f>
        <v>5528</v>
      </c>
      <c r="DE21" s="1516" cm="1">
        <f t="array" aca="1" ref="DE21" ca="1">IF(SwitchPA=1,_xll.TR(DE$7,DE$6,"Sdate=#1 Period=#2 NULL=BLANK Scale=6",,$D21,$AQ$4),DE21)</f>
        <v>523.13625000000002</v>
      </c>
      <c r="DF21" s="1516" cm="1">
        <f t="array" aca="1" ref="DF21" ca="1">IF(SwitchPA=1,_xll.TR(DF$7,DF$6,"Sdate=#1 Period=#2 NULL=BLANK Scale=6",,$D21,$AQ$4),DF21)</f>
        <v>1322</v>
      </c>
      <c r="DG21" s="1516" cm="1">
        <f t="array" aca="1" ref="DG21" ca="1">IF(SwitchPA=1,_xll.TR(DG$7,DG$6,"Sdate=#1 Period=#2 NULL=BLANK Scale=6",,$D21,$AQ$4),DG21)</f>
        <v>637.07500000000005</v>
      </c>
      <c r="DH21" s="1516" t="str" cm="1">
        <f t="array" aca="1" ref="DH21" ca="1">IF(SwitchPA=1,_xll.TR(DH$7,DH$6,"Sdate=#1 Period=#2 NULL=BLANK Scale=6",,$D21,$AQ$4),DH21)</f>
        <v/>
      </c>
      <c r="DI21" s="1516" cm="1">
        <f t="array" aca="1" ref="DI21" ca="1">IF(SwitchPA=1,_xll.TR(DI$7,DI$6,"Sdate=#1 Period=#2 NULL=BLANK Scale=6",,$D21,$AQ$4),DI21)</f>
        <v>1065.0999999999999</v>
      </c>
      <c r="DJ21" s="1516" cm="1">
        <f t="array" aca="1" ref="DJ21" ca="1">IF(SwitchPA=1,_xll.TR(DJ$7,DJ$6,"Sdate=#1 Period=#2 NULL=BLANK Scale=6",,$D21,$AQ$4),DJ21)</f>
        <v>2651.75</v>
      </c>
      <c r="DK21" s="1516" t="str" cm="1">
        <f t="array" aca="1" ref="DK21" ca="1">IF(SwitchPA=1,_xll.TR(DK$7,DK$6,"Sdate=#1 Period=#2 NULL=BLANK Scale=6",,$D21,$AQ$4),DK21)</f>
        <v/>
      </c>
      <c r="DL21" s="1516" t="str" cm="1">
        <f t="array" aca="1" ref="DL21" ca="1">IF(SwitchPA=1,_xll.TR(DL$7,DL$6,"Sdate=#1 Period=#2 NULL=BLANK Scale=6",,$D21,$AQ$4),DL21)</f>
        <v>Unable to resolve all requested identifiers.</v>
      </c>
      <c r="DM21" s="1516" t="str" cm="1">
        <f t="array" aca="1" ref="DM21" ca="1">IF(SwitchPA=1,_xll.TR(DM$7,DM$6,"Sdate=#1 Period=#2 NULL=BLANK Scale=6",,$D21,$AQ$4),DM21)</f>
        <v>Unable to resolve all requested identifiers.</v>
      </c>
      <c r="DO21" s="1506" cm="1">
        <f t="array" aca="1" ref="DO21" ca="1">IF(SwitchPA=1,_xll.TR(DO$7,DO$6,"Sdate=#1 Period=#2 Scale=6 NULL=BLANK",,$D21,$X$4),DO21)</f>
        <v>4406.4180459999998</v>
      </c>
      <c r="DP21" s="1506" t="str" cm="1">
        <f t="array" aca="1" ref="DP21" ca="1">IF(SwitchPA=1,_xll.TR(DP$7,DP$6,"Sdate=#1 Period=#2 Scale=6 NULL=BLANK",,$D21,$X$4),DP21)</f>
        <v/>
      </c>
      <c r="DQ21" s="1506" cm="1">
        <f t="array" aca="1" ref="DQ21" ca="1">IF(SwitchPA=1,_xll.TR(DQ$7,DQ$6,"Sdate=#1 Period=#2 Scale=6 NULL=BLANK",,$D21,$X$4),DQ21)</f>
        <v>22365.008000000002</v>
      </c>
      <c r="DR21" s="1506" t="str" cm="1">
        <f t="array" aca="1" ref="DR21" ca="1">IF(SwitchPA=1,_xll.TR(DR$7,DR$6,"Sdate=#1 Period=#2 Scale=6 NULL=BLANK",,$D21,$X$4),DR21)</f>
        <v/>
      </c>
      <c r="DS21" s="1506" t="str" cm="1">
        <f t="array" aca="1" ref="DS21" ca="1">IF(SwitchPA=1,_xll.TR(DS$7,DS$6,"Sdate=#1 Period=#2 Scale=6 NULL=BLANK",,$D21,$X$4),DS21)</f>
        <v/>
      </c>
      <c r="DT21" s="1506" cm="1">
        <f t="array" aca="1" ref="DT21" ca="1">IF(SwitchPA=1,_xll.TR(DT$7,DT$6,"Sdate=#1 Period=#2 Scale=6 NULL=BLANK",,$D21,$X$4),DT21)</f>
        <v>1105.3497316</v>
      </c>
      <c r="DU21" s="1506" t="str" cm="1">
        <f t="array" aca="1" ref="DU21" ca="1">IF(SwitchPA=1,_xll.TR(DU$7,DU$6,"Sdate=#1 Period=#2 Scale=6 NULL=BLANK",,$D21,$X$4),DU21)</f>
        <v/>
      </c>
      <c r="DV21" s="1506" t="str" cm="1">
        <f t="array" aca="1" ref="DV21" ca="1">IF(SwitchPA=1,_xll.TR(DV$7,DV$6,"Sdate=#1 Period=#2 Scale=6 NULL=BLANK",,$D21,$X$4),DV21)</f>
        <v/>
      </c>
      <c r="DW21" s="1506" cm="1">
        <f t="array" aca="1" ref="DW21" ca="1">IF(SwitchPA=1,_xll.TR(DW$7,DW$6,"Sdate=#1 Period=#2 Scale=6 NULL=BLANK",,$D21,$X$4),DW21)</f>
        <v>51427.45622285</v>
      </c>
      <c r="DX21" s="1506" cm="1">
        <f t="array" aca="1" ref="DX21" ca="1">IF(SwitchPA=1,_xll.TR(DX$7,DX$6,"Sdate=#1 Period=#2 Scale=6 NULL=BLANK",,$D21,$X$4),DX21)</f>
        <v>1186.2454537000001</v>
      </c>
      <c r="DY21" s="1506" cm="1">
        <f t="array" aca="1" ref="DY21" ca="1">IF(SwitchPA=1,_xll.TR(DY$7,DY$6,"Sdate=#1 Period=#2 Scale=6 NULL=BLANK",,$D21,$X$4),DY21)</f>
        <v>3563.4858703999998</v>
      </c>
      <c r="DZ21" s="1506" cm="1">
        <f t="array" aca="1" ref="DZ21" ca="1">IF(SwitchPA=1,_xll.TR(DZ$7,DZ$6,"Sdate=#1 Period=#2 Scale=6 NULL=BLANK",,$D21,$X$4),DZ21)</f>
        <v>892.43062350000002</v>
      </c>
      <c r="EA21" s="1506" t="str" cm="1">
        <f t="array" aca="1" ref="EA21" ca="1">IF(SwitchPA=1,_xll.TR(EA$7,EA$6,"Sdate=#1 Period=#2 Scale=6 NULL=BLANK",,$D21,$X$4),EA21)</f>
        <v/>
      </c>
      <c r="EB21" s="1506" cm="1">
        <f t="array" aca="1" ref="EB21" ca="1">IF(SwitchPA=1,_xll.TR(EB$7,EB$6,"Sdate=#1 Period=#2 Scale=6 NULL=BLANK",,$D21,$X$4),EB21)</f>
        <v>1514.3715218899999</v>
      </c>
      <c r="EC21" s="1506" cm="1">
        <f t="array" aca="1" ref="EC21" ca="1">IF(SwitchPA=1,_xll.TR(EC$7,EC$6,"Sdate=#1 Period=#2 Scale=6 NULL=BLANK",,$D21,$X$4),EC21)</f>
        <v>10203.518501340001</v>
      </c>
      <c r="ED21" s="1506" cm="1">
        <f t="array" aca="1" ref="ED21" ca="1">IF(SwitchPA=1,_xll.TR(ED$7,ED$6,"Sdate=#1 Period=#2 Scale=6 NULL=BLANK",,$D21,$X$4),ED21)</f>
        <v>6844.2033741069999</v>
      </c>
      <c r="EE21" s="1506" t="str" cm="1">
        <f t="array" aca="1" ref="EE21" ca="1">IF(SwitchPA=1,_xll.TR(EE$7,EE$6,"Sdate=#1 Period=#2 Scale=6 NULL=BLANK",,$D21,$X$4),EE21)</f>
        <v/>
      </c>
      <c r="EF21" s="1506" t="str" cm="1">
        <f t="array" aca="1" ref="EF21" ca="1">IF(SwitchPA=1,_xll.TR(EF$7,EF$6,"Sdate=#1 Period=#2 Scale=6 NULL=BLANK",,$D21,$X$4),EF21)</f>
        <v/>
      </c>
      <c r="EG21" s="1517"/>
      <c r="EH21" s="1506" cm="1">
        <f t="array" aca="1" ref="EH21" ca="1">IF(SwitchPA=1,_xll.TR(EH$7,EH$6,"Sdate=#1 Period=#2 Scale=6 NULL=BLANK",,$D21,$X$4),EH21)</f>
        <v>213</v>
      </c>
      <c r="EI21" s="1506" t="str" cm="1">
        <f t="array" aca="1" ref="EI21" ca="1">IF(SwitchPA=1,_xll.TR(EI$7,EI$6,"Sdate=#1 Period=#2 Scale=6 NULL=BLANK",,$D21,$X$4),EI21)</f>
        <v/>
      </c>
      <c r="EJ21" s="1506" cm="1">
        <f t="array" aca="1" ref="EJ21" ca="1">IF(SwitchPA=1,_xll.TR(EJ$7,EJ$6,"Sdate=#1 Period=#2 Scale=6 NULL=BLANK",,$D21,$X$4),EJ21)</f>
        <v>1909</v>
      </c>
      <c r="EK21" s="1506" t="str" cm="1">
        <f t="array" aca="1" ref="EK21" ca="1">IF(SwitchPA=1,_xll.TR(EK$7,EK$6,"Sdate=#1 Period=#2 Scale=6 NULL=BLANK",,$D21,$X$4),EK21)</f>
        <v/>
      </c>
      <c r="EL21" s="1506" t="str" cm="1">
        <f t="array" aca="1" ref="EL21" ca="1">IF(SwitchPA=1,_xll.TR(EL$7,EL$6,"Sdate=#1 Period=#2 Scale=6 NULL=BLANK",,$D21,$X$4),EL21)</f>
        <v/>
      </c>
      <c r="EM21" s="1506" cm="1">
        <f t="array" aca="1" ref="EM21" ca="1">IF(SwitchPA=1,_xll.TR(EM$7,EM$6,"Sdate=#1 Period=#2 Scale=6 NULL=BLANK",,$D21,$X$4),EM21)</f>
        <v>-1</v>
      </c>
      <c r="EN21" s="1506" t="str" cm="1">
        <f t="array" aca="1" ref="EN21" ca="1">IF(SwitchPA=1,_xll.TR(EN$7,EN$6,"Sdate=#1 Period=#2 Scale=6 NULL=BLANK",,$D21,$X$4),EN21)</f>
        <v/>
      </c>
      <c r="EO21" s="1506" t="str" cm="1">
        <f t="array" aca="1" ref="EO21" ca="1">IF(SwitchPA=1,_xll.TR(EO$7,EO$6,"Sdate=#1 Period=#2 Scale=6 NULL=BLANK",,$D21,$X$4),EO21)</f>
        <v/>
      </c>
      <c r="EP21" s="1506" cm="1">
        <f t="array" aca="1" ref="EP21" ca="1">IF(SwitchPA=1,_xll.TR(EP$7,EP$6,"Sdate=#1 Period=#2 Scale=6 NULL=BLANK",,$D21,$X$4),EP21)</f>
        <v>3248</v>
      </c>
      <c r="EQ21" s="1506" cm="1">
        <f t="array" aca="1" ref="EQ21" ca="1">IF(SwitchPA=1,_xll.TR(EQ$7,EQ$6,"Sdate=#1 Period=#2 Scale=6 NULL=BLANK",,$D21,$X$4),EQ21)</f>
        <v>104.369</v>
      </c>
      <c r="ER21" s="1506" cm="1">
        <f t="array" aca="1" ref="ER21" ca="1">IF(SwitchPA=1,_xll.TR(ER$7,ER$6,"Sdate=#1 Period=#2 Scale=6 NULL=BLANK",,$D21,$X$4),ER21)</f>
        <v>259</v>
      </c>
      <c r="ES21" s="1506" cm="1">
        <f t="array" aca="1" ref="ES21" ca="1">IF(SwitchPA=1,_xll.TR(ES$7,ES$6,"Sdate=#1 Period=#2 Scale=6 NULL=BLANK",,$D21,$X$4),ES21)</f>
        <v>20.9</v>
      </c>
      <c r="ET21" s="1506" t="str" cm="1">
        <f t="array" aca="1" ref="ET21" ca="1">IF(SwitchPA=1,_xll.TR(ET$7,ET$6,"Sdate=#1 Period=#2 Scale=6 NULL=BLANK",,$D21,$X$4),ET21)</f>
        <v/>
      </c>
      <c r="EU21" s="1506" cm="1">
        <f t="array" aca="1" ref="EU21" ca="1">IF(SwitchPA=1,_xll.TR(EU$7,EU$6,"Sdate=#1 Period=#2 Scale=6 NULL=BLANK",,$D21,$X$4),EU21)</f>
        <v>186.9</v>
      </c>
      <c r="EV21" s="1506" cm="1">
        <f t="array" aca="1" ref="EV21" ca="1">IF(SwitchPA=1,_xll.TR(EV$7,EV$6,"Sdate=#1 Period=#2 Scale=6 NULL=BLANK",,$D21,$X$4),EV21)</f>
        <v>932</v>
      </c>
      <c r="EW21" s="1506" cm="1">
        <f t="array" aca="1" ref="EW21" ca="1">IF(SwitchPA=1,_xll.TR(EW$7,EW$6,"Sdate=#1 Period=#2 Scale=6 NULL=BLANK",,$D21,$X$4),EW21)</f>
        <v>913</v>
      </c>
      <c r="EX21" s="1506" t="str" cm="1">
        <f t="array" aca="1" ref="EX21" ca="1">IF(SwitchPA=1,_xll.TR(EX$7,EX$6,"Sdate=#1 Period=#2 Scale=6 NULL=BLANK",,$D21,$X$4),EX21)</f>
        <v>Unable to resolve all requested identifiers.</v>
      </c>
      <c r="EY21" s="1506" t="str" cm="1">
        <f t="array" aca="1" ref="EY21" ca="1">IF(SwitchPA=1,_xll.TR(EY$7,EY$6,"Sdate=#1 Period=#2 Scale=6 NULL=BLANK",,$D21,$X$4),EY21)</f>
        <v>Unable to resolve all requested identifiers.</v>
      </c>
      <c r="FA21" s="1506" cm="1">
        <f t="array" aca="1" ref="FA21" ca="1">IF(SwitchPA=1,_xll.TR(FA$7,FA$6,"Sdate=#1 Period=#2 Scale=6 NULL=BLANK",,$D21,$X$4),FA21)</f>
        <v>610</v>
      </c>
      <c r="FB21" s="1506" t="str" cm="1">
        <f t="array" aca="1" ref="FB21" ca="1">IF(SwitchPA=1,_xll.TR(FB$7,FB$6,"Sdate=#1 Period=#2 Scale=6 NULL=BLANK",,$D21,$X$4),FB21)</f>
        <v/>
      </c>
      <c r="FC21" s="1506" cm="1">
        <f t="array" aca="1" ref="FC21" ca="1">IF(SwitchPA=1,_xll.TR(FC$7,FC$6,"Sdate=#1 Period=#2 Scale=6 NULL=BLANK",,$D21,$X$4),FC21)</f>
        <v>4744</v>
      </c>
      <c r="FD21" s="1506" t="str" cm="1">
        <f t="array" aca="1" ref="FD21" ca="1">IF(SwitchPA=1,_xll.TR(FD$7,FD$6,"Sdate=#1 Period=#2 Scale=6 NULL=BLANK",,$D21,$X$4),FD21)</f>
        <v/>
      </c>
      <c r="FE21" s="1506" t="str" cm="1">
        <f t="array" aca="1" ref="FE21" ca="1">IF(SwitchPA=1,_xll.TR(FE$7,FE$6,"Sdate=#1 Period=#2 Scale=6 NULL=BLANK",,$D21,$X$4),FE21)</f>
        <v/>
      </c>
      <c r="FF21" s="1506" cm="1">
        <f t="array" aca="1" ref="FF21" ca="1">IF(SwitchPA=1,_xll.TR(FF$7,FF$6,"Sdate=#1 Period=#2 Scale=6 NULL=BLANK",,$D21,$X$4),FF21)</f>
        <v>87</v>
      </c>
      <c r="FG21" s="1506" t="str" cm="1">
        <f t="array" aca="1" ref="FG21" ca="1">IF(SwitchPA=1,_xll.TR(FG$7,FG$6,"Sdate=#1 Period=#2 Scale=6 NULL=BLANK",,$D21,$X$4),FG21)</f>
        <v/>
      </c>
      <c r="FH21" s="1506" t="str" cm="1">
        <f t="array" aca="1" ref="FH21" ca="1">IF(SwitchPA=1,_xll.TR(FH$7,FH$6,"Sdate=#1 Period=#2 Scale=6 NULL=BLANK",,$D21,$X$4),FH21)</f>
        <v/>
      </c>
      <c r="FI21" s="1506" cm="1">
        <f t="array" aca="1" ref="FI21" ca="1">IF(SwitchPA=1,_xll.TR(FI$7,FI$6,"Sdate=#1 Period=#2 Scale=6 NULL=BLANK",,$D21,$X$4),FI21)</f>
        <v>4202</v>
      </c>
      <c r="FJ21" s="1506" cm="1">
        <f t="array" aca="1" ref="FJ21" ca="1">IF(SwitchPA=1,_xll.TR(FJ$7,FJ$6,"Sdate=#1 Period=#2 Scale=6 NULL=BLANK",,$D21,$X$4),FJ21)</f>
        <v>184.97200000000001</v>
      </c>
      <c r="FK21" s="1506" cm="1">
        <f t="array" aca="1" ref="FK21" ca="1">IF(SwitchPA=1,_xll.TR(FK$7,FK$6,"Sdate=#1 Period=#2 Scale=6 NULL=BLANK",,$D21,$X$4),FK21)</f>
        <v>462</v>
      </c>
      <c r="FL21" s="1506" cm="1">
        <f t="array" aca="1" ref="FL21" ca="1">IF(SwitchPA=1,_xll.TR(FL$7,FL$6,"Sdate=#1 Period=#2 Scale=6 NULL=BLANK",,$D21,$X$4),FL21)</f>
        <v>41.9</v>
      </c>
      <c r="FM21" s="1506" t="str" cm="1">
        <f t="array" aca="1" ref="FM21" ca="1">IF(SwitchPA=1,_xll.TR(FM$7,FM$6,"Sdate=#1 Period=#2 Scale=6 NULL=BLANK",,$D21,$X$4),FM21)</f>
        <v/>
      </c>
      <c r="FN21" s="1506" cm="1">
        <f t="array" aca="1" ref="FN21" ca="1">IF(SwitchPA=1,_xll.TR(FN$7,FN$6,"Sdate=#1 Period=#2 Scale=6 NULL=BLANK",,$D21,$X$4),FN21)</f>
        <v>305.7</v>
      </c>
      <c r="FO21" s="1506" cm="1">
        <f t="array" aca="1" ref="FO21" ca="1">IF(SwitchPA=1,_xll.TR(FO$7,FO$6,"Sdate=#1 Period=#2 Scale=6 NULL=BLANK",,$D21,$X$4),FO21)</f>
        <v>1330</v>
      </c>
      <c r="FP21" s="1506" cm="1">
        <f t="array" aca="1" ref="FP21" ca="1">IF(SwitchPA=1,_xll.TR(FP$7,FP$6,"Sdate=#1 Period=#2 Scale=6 NULL=BLANK",,$D21,$X$4),FP21)</f>
        <v>1467</v>
      </c>
      <c r="FQ21" s="1506" t="str" cm="1">
        <f t="array" aca="1" ref="FQ21" ca="1">IF(SwitchPA=1,_xll.TR(FQ$7,FQ$6,"Sdate=#1 Period=#2 Scale=6 NULL=BLANK",,$D21,$X$4),FQ21)</f>
        <v>Unable to resolve all requested identifiers.</v>
      </c>
      <c r="FS21" s="1506" cm="1">
        <f t="array" aca="1" ref="FS21" ca="1">IF(SwitchPA=1,_xll.TR(FS$7,FS$6,"Sdate=#1 Period=#2 NULL=BLANK Scale=6",,$D21,$FS$4),FS21)</f>
        <v>356</v>
      </c>
      <c r="FT21" s="1506" t="str" cm="1">
        <f t="array" aca="1" ref="FT21" ca="1">IF(SwitchPA=1,_xll.TR(FT$7,FT$6,"Sdate=#1 Period=#2 NULL=BLANK Scale=6",,$D21,$FS$4),FT21)</f>
        <v/>
      </c>
      <c r="FU21" s="1506" cm="1">
        <f t="array" aca="1" ref="FU21" ca="1">IF(SwitchPA=1,_xll.TR(FU$7,FU$6,"Sdate=#1 Period=#2 NULL=BLANK Scale=6",,$D21,$FS$4),FU21)</f>
        <v>173</v>
      </c>
      <c r="FV21" s="1506" t="str" cm="1">
        <f t="array" aca="1" ref="FV21" ca="1">IF(SwitchPA=1,_xll.TR(FV$7,FV$6,"Sdate=#1 Period=#2 NULL=BLANK Scale=6",,$D21,$FS$4),FV21)</f>
        <v/>
      </c>
      <c r="FW21" s="1506" t="str" cm="1">
        <f t="array" aca="1" ref="FW21" ca="1">IF(SwitchPA=1,_xll.TR(FW$7,FW$6,"Sdate=#1 Period=#2 NULL=BLANK Scale=6",,$D21,$FS$4),FW21)</f>
        <v/>
      </c>
      <c r="FX21" s="1506" cm="1">
        <f t="array" aca="1" ref="FX21" ca="1">IF(SwitchPA=1,_xll.TR(FX$7,FX$6,"Sdate=#1 Period=#2 NULL=BLANK Scale=6",,$D21,$FS$4),FX21)</f>
        <v>-10</v>
      </c>
      <c r="FY21" s="1506" t="str" cm="1">
        <f t="array" aca="1" ref="FY21" ca="1">IF(SwitchPA=1,_xll.TR(FY$7,FY$6,"Sdate=#1 Period=#2 NULL=BLANK Scale=6",,$D21,$FS$4),FY21)</f>
        <v/>
      </c>
      <c r="FZ21" s="1506" t="str" cm="1">
        <f t="array" aca="1" ref="FZ21" ca="1">IF(SwitchPA=1,_xll.TR(FZ$7,FZ$6,"Sdate=#1 Period=#2 NULL=BLANK Scale=6",,$D21,$FS$4),FZ21)</f>
        <v/>
      </c>
      <c r="GA21" s="1506" cm="1">
        <f t="array" aca="1" ref="GA21" ca="1">IF(SwitchPA=1,_xll.TR(GA$7,GA$6,"Sdate=#1 Period=#2 NULL=BLANK Scale=6",,$D21,$FS$4),GA21)</f>
        <v>2229</v>
      </c>
      <c r="GB21" s="1506" cm="1">
        <f t="array" aca="1" ref="GB21" ca="1">IF(SwitchPA=1,_xll.TR(GB$7,GB$6,"Sdate=#1 Period=#2 NULL=BLANK Scale=6",,$D21,$FS$4),GB21)</f>
        <v>106.389</v>
      </c>
      <c r="GC21" s="1506" cm="1">
        <f t="array" aca="1" ref="GC21" ca="1">IF(SwitchPA=1,_xll.TR(GC$7,GC$6,"Sdate=#1 Period=#2 NULL=BLANK Scale=6",,$D21,$FS$4),GC21)</f>
        <v>-15</v>
      </c>
      <c r="GD21" s="1506" cm="1">
        <f t="array" aca="1" ref="GD21" ca="1">IF(SwitchPA=1,_xll.TR(GD$7,GD$6,"Sdate=#1 Period=#2 NULL=BLANK Scale=6",,$D21,$FS$4),GD21)</f>
        <v>-101.5</v>
      </c>
      <c r="GE21" s="1506" t="str" cm="1">
        <f t="array" aca="1" ref="GE21" ca="1">IF(SwitchPA=1,_xll.TR(GE$7,GE$6,"Sdate=#1 Period=#2 NULL=BLANK Scale=6",,$D21,$FS$4),GE21)</f>
        <v/>
      </c>
      <c r="GF21" s="1506" cm="1">
        <f t="array" aca="1" ref="GF21" ca="1">IF(SwitchPA=1,_xll.TR(GF$7,GF$6,"Sdate=#1 Period=#2 NULL=BLANK Scale=6",,$D21,$FS$4),GF21)</f>
        <v>-94.1</v>
      </c>
      <c r="GG21" s="1506" cm="1">
        <f t="array" aca="1" ref="GG21" ca="1">IF(SwitchPA=1,_xll.TR(GG$7,GG$6,"Sdate=#1 Period=#2 NULL=BLANK Scale=6",,$D21,$FS$4),GG21)</f>
        <v>634</v>
      </c>
      <c r="GH21" s="1506" cm="1">
        <f t="array" aca="1" ref="GH21" ca="1">IF(SwitchPA=1,_xll.TR(GH$7,GH$6,"Sdate=#1 Period=#2 NULL=BLANK Scale=6",,$D21,$FS$4),GH21)</f>
        <v>472</v>
      </c>
      <c r="GI21" s="1506" t="str" cm="1">
        <f t="array" aca="1" ref="GI21" ca="1">IF(SwitchPA=1,_xll.TR(GI$7,GI$6,"Sdate=#1 Period=#2 NULL=BLANK Scale=6",,$D21,$FS$4),GI21)</f>
        <v>Unable to resolve all requested identifiers.</v>
      </c>
      <c r="GK21" s="1506" t="str" cm="1">
        <f t="array" aca="1" ref="GK21" ca="1">IF(SwitchPA=1,_xll.TR(GK$7,GK$6,"Sdate=#1 Period=#2 NULL=BLANK Scale=6",,$D21,$FS$4),GK21)</f>
        <v/>
      </c>
      <c r="GL21" s="1506" t="str" cm="1">
        <f t="array" aca="1" ref="GL21" ca="1">IF(SwitchPA=1,_xll.TR(GL$7,GL$6,"Sdate=#1 Period=#2 NULL=BLANK Scale=6",,$D21,$FS$4),GL21)</f>
        <v/>
      </c>
      <c r="GM21" s="1506" t="str" cm="1">
        <f t="array" aca="1" ref="GM21" ca="1">IF(SwitchPA=1,_xll.TR(GM$7,GM$6,"Sdate=#1 Period=#2 NULL=BLANK Scale=6",,$D21,$FS$4),GM21)</f>
        <v/>
      </c>
      <c r="GN21" s="1506" t="str" cm="1">
        <f t="array" aca="1" ref="GN21" ca="1">IF(SwitchPA=1,_xll.TR(GN$7,GN$6,"Sdate=#1 Period=#2 NULL=BLANK Scale=6",,$D21,$FS$4),GN21)</f>
        <v/>
      </c>
      <c r="GO21" s="1506" t="str" cm="1">
        <f t="array" aca="1" ref="GO21" ca="1">IF(SwitchPA=1,_xll.TR(GO$7,GO$6,"Sdate=#1 Period=#2 NULL=BLANK Scale=6",,$D21,$FS$4),GO21)</f>
        <v/>
      </c>
      <c r="GP21" s="1506" t="str" cm="1">
        <f t="array" aca="1" ref="GP21" ca="1">IF(SwitchPA=1,_xll.TR(GP$7,GP$6,"Sdate=#1 Period=#2 NULL=BLANK Scale=6",,$D21,$FS$4),GP21)</f>
        <v/>
      </c>
      <c r="GQ21" s="1506" t="str" cm="1">
        <f t="array" aca="1" ref="GQ21" ca="1">IF(SwitchPA=1,_xll.TR(GQ$7,GQ$6,"Sdate=#1 Period=#2 NULL=BLANK Scale=6",,$D21,$FS$4),GQ21)</f>
        <v/>
      </c>
      <c r="GR21" s="1506" t="str" cm="1">
        <f t="array" aca="1" ref="GR21" ca="1">IF(SwitchPA=1,_xll.TR(GR$7,GR$6,"Sdate=#1 Period=#2 NULL=BLANK Scale=6",,$D21,$FS$4),GR21)</f>
        <v/>
      </c>
      <c r="GS21" s="1506" t="str" cm="1">
        <f t="array" aca="1" ref="GS21" ca="1">IF(SwitchPA=1,_xll.TR(GS$7,GS$6,"Sdate=#1 Period=#2 NULL=BLANK Scale=6",,$D21,$FS$4),GS21)</f>
        <v/>
      </c>
      <c r="GT21" s="1506" t="str" cm="1">
        <f t="array" aca="1" ref="GT21" ca="1">IF(SwitchPA=1,_xll.TR(GT$7,GT$6,"Sdate=#1 Period=#2 NULL=BLANK Scale=6",,$D21,$FS$4),GT21)</f>
        <v/>
      </c>
      <c r="GU21" s="1506" t="str" cm="1">
        <f t="array" aca="1" ref="GU21" ca="1">IF(SwitchPA=1,_xll.TR(GU$7,GU$6,"Sdate=#1 Period=#2 NULL=BLANK Scale=6",,$D21,$FS$4),GU21)</f>
        <v/>
      </c>
      <c r="GV21" s="1506" t="str" cm="1">
        <f t="array" aca="1" ref="GV21" ca="1">IF(SwitchPA=1,_xll.TR(GV$7,GV$6,"Sdate=#1 Period=#2 NULL=BLANK Scale=6",,$D21,$FS$4),GV21)</f>
        <v/>
      </c>
      <c r="GW21" s="1506" t="str" cm="1">
        <f t="array" aca="1" ref="GW21" ca="1">IF(SwitchPA=1,_xll.TR(GW$7,GW$6,"Sdate=#1 Period=#2 NULL=BLANK Scale=6",,$D21,$FS$4),GW21)</f>
        <v/>
      </c>
      <c r="GX21" s="1506" t="str" cm="1">
        <f t="array" aca="1" ref="GX21" ca="1">IF(SwitchPA=1,_xll.TR(GX$7,GX$6,"Sdate=#1 Period=#2 NULL=BLANK Scale=6",,$D21,$FS$4),GX21)</f>
        <v/>
      </c>
      <c r="GY21" s="1506" t="str" cm="1">
        <f t="array" aca="1" ref="GY21" ca="1">IF(SwitchPA=1,_xll.TR(GY$7,GY$6,"Sdate=#1 Period=#2 NULL=BLANK Scale=6",,$D21,$FS$4),GY21)</f>
        <v/>
      </c>
      <c r="GZ21" s="1506" t="str" cm="1">
        <f t="array" aca="1" ref="GZ21" ca="1">IF(SwitchPA=1,_xll.TR(GZ$7,GZ$6,"Sdate=#1 Period=#2 NULL=BLANK Scale=6",,$D21,$FS$4),GZ21)</f>
        <v/>
      </c>
      <c r="HA21" s="1506" t="str" cm="1">
        <f t="array" aca="1" ref="HA21" ca="1">IF(SwitchPA=1,_xll.TR(HA$7,HA$6,"Sdate=#1 Period=#2 NULL=BLANK Scale=6",,$D21,$FS$4),HA21)</f>
        <v/>
      </c>
      <c r="HC21">
        <v>3.38</v>
      </c>
      <c r="HD21">
        <v>26.18</v>
      </c>
      <c r="HE21">
        <v>24.99</v>
      </c>
      <c r="HG21" s="762">
        <f>HC21/HC20-1</f>
        <v>-0.14646464646464652</v>
      </c>
      <c r="HH21" s="762">
        <f t="shared" ref="HH21:HI21" si="50">HD21/HD20-1</f>
        <v>7.6982294072363011E-3</v>
      </c>
      <c r="HI21" s="762">
        <f t="shared" si="50"/>
        <v>2.1668029435813363E-2</v>
      </c>
    </row>
    <row r="22" spans="1:217" ht="11.25" customHeight="1">
      <c r="C22" s="1514">
        <f t="shared" ref="C22:C41" si="51">+EOMONTH(C21,12)</f>
        <v>37986</v>
      </c>
      <c r="D22" s="1515">
        <f t="shared" si="49"/>
        <v>38031</v>
      </c>
      <c r="E22" s="1506" cm="1">
        <f t="array" aca="1" ref="E22" ca="1">IF(SwitchPA=1,_xll.TR(E$7,E$6,"Sdate=#1 Period=#2 NULL=BLANK",,$D22,$E$4),E22)</f>
        <v>7.8432490350863402</v>
      </c>
      <c r="F22" s="1506" t="str" cm="1">
        <f t="array" aca="1" ref="F22" ca="1">IF(SwitchPA=1,_xll.TR(F$7,F$6,"Sdate=#1 Period=#2 NULL=BLANK",,$D22,$E$4),F22)</f>
        <v/>
      </c>
      <c r="G22" s="1506" cm="1">
        <f t="array" aca="1" ref="G22" ca="1">IF(SwitchPA=1,_xll.TR(G$7,G$6,"Sdate=#1 Period=#2 NULL=BLANK",,$D22,$E$4),G22)</f>
        <v>4.8616268006915799</v>
      </c>
      <c r="H22" s="1506" t="str" cm="1">
        <f t="array" aca="1" ref="H22" ca="1">IF(SwitchPA=1,_xll.TR(H$7,H$6,"Sdate=#1 Period=#2 NULL=BLANK",,$D22,$E$4),H22)</f>
        <v/>
      </c>
      <c r="I22" s="1506" t="str" cm="1">
        <f t="array" aca="1" ref="I22" ca="1">IF(SwitchPA=1,_xll.TR(I$7,I$6,"Sdate=#1 Period=#2 NULL=BLANK",,$D22,$E$4),I22)</f>
        <v/>
      </c>
      <c r="J22" s="1506" cm="1">
        <f t="array" aca="1" ref="J22" ca="1">IF(SwitchPA=1,_xll.TR(J$7,J$6,"Sdate=#1 Period=#2 NULL=BLANK",,$D22,$E$4),J22)</f>
        <v>6.25553196330275</v>
      </c>
      <c r="K22" s="1506" t="str" cm="1">
        <f t="array" aca="1" ref="K22" ca="1">IF(SwitchPA=1,_xll.TR(K$7,K$6,"Sdate=#1 Period=#2 NULL=BLANK",,$D22,$E$4),K22)</f>
        <v/>
      </c>
      <c r="L22" s="1506" t="str" cm="1">
        <f t="array" aca="1" ref="L22" ca="1">IF(SwitchPA=1,_xll.TR(L$7,L$6,"Sdate=#1 Period=#2 NULL=BLANK",,$D22,$E$4),L22)</f>
        <v/>
      </c>
      <c r="M22" s="1506" cm="1">
        <f t="array" aca="1" ref="M22" ca="1">IF(SwitchPA=1,_xll.TR(M$7,M$6,"Sdate=#1 Period=#2 NULL=BLANK",,$D22,$E$4),M22)</f>
        <v>12.070003363043099</v>
      </c>
      <c r="N22" s="1506" cm="1">
        <f t="array" aca="1" ref="N22" ca="1">IF(SwitchPA=1,_xll.TR(N$7,N$6,"Sdate=#1 Period=#2 NULL=BLANK",,$D22,$E$4),N22)</f>
        <v>7.4146073379895698</v>
      </c>
      <c r="O22" s="1506" cm="1">
        <f t="array" aca="1" ref="O22" ca="1">IF(SwitchPA=1,_xll.TR(O$7,O$6,"Sdate=#1 Period=#2 NULL=BLANK",,$D22,$E$4),O22)</f>
        <v>4.9764995241042298</v>
      </c>
      <c r="P22" s="1506" cm="1">
        <f t="array" aca="1" ref="P22" ca="1">IF(SwitchPA=1,_xll.TR(P$7,P$6,"Sdate=#1 Period=#2 NULL=BLANK",,$D22,$E$4),P22)</f>
        <v>10.270315850052301</v>
      </c>
      <c r="Q22" s="1506" t="str" cm="1">
        <f t="array" aca="1" ref="Q22" ca="1">IF(SwitchPA=1,_xll.TR(Q$7,Q$6,"Sdate=#1 Period=#2 NULL=BLANK",,$D22,$E$4),Q22)</f>
        <v/>
      </c>
      <c r="R22" s="1506" cm="1">
        <f t="array" aca="1" ref="R22" ca="1">IF(SwitchPA=1,_xll.TR(R$7,R$6,"Sdate=#1 Period=#2 NULL=BLANK",,$D22,$E$4),R22)</f>
        <v>6.8977609064886201</v>
      </c>
      <c r="S22" s="1506" cm="1">
        <f t="array" aca="1" ref="S22" ca="1">IF(SwitchPA=1,_xll.TR(S$7,S$6,"Sdate=#1 Period=#2 NULL=BLANK",,$D22,$E$4),S22)</f>
        <v>7.8058565154212296</v>
      </c>
      <c r="T22" s="1506" cm="1">
        <f t="array" aca="1" ref="T22" ca="1">IF(SwitchPA=1,_xll.TR(T$7,T$6,"Sdate=#1 Period=#2 NULL=BLANK",,$D22,$E$4),T22)</f>
        <v>6.1276091901463499</v>
      </c>
      <c r="U22" s="1506" t="str" cm="1">
        <f t="array" aca="1" ref="U22" ca="1">IF(SwitchPA=1,_xll.TR(U$7,U$6,"Sdate=#1 Period=#2 NULL=BLANK",,$D22,$E$4),U22)</f>
        <v>No universe defined.</v>
      </c>
      <c r="V22" s="1506" t="str" cm="1">
        <f t="array" aca="1" ref="V22" ca="1">IF(SwitchPA=1,_xll.TR(V$7,V$6,"Sdate=#1 Period=#2 NULL=BLANK",,$D22,$E$4),V22)</f>
        <v>No universe defined.</v>
      </c>
      <c r="X22" s="1506" cm="1">
        <f t="array" aca="1" ref="X22" ca="1">IF(SwitchPA=1,_xll.TR(X$7,X$6,"Sdate=#1 Period=#2 NULL=BLANK",,$D22,$X$4),X22)</f>
        <v>8.9945815854686</v>
      </c>
      <c r="Y22" s="1506" t="str" cm="1">
        <f t="array" aca="1" ref="Y22" ca="1">IF(SwitchPA=1,_xll.TR(Y$7,Y$6,"Sdate=#1 Period=#2 NULL=BLANK",,$D22,$X$4),Y22)</f>
        <v/>
      </c>
      <c r="Z22" s="1506" cm="1">
        <f t="array" aca="1" ref="Z22" ca="1">IF(SwitchPA=1,_xll.TR(Z$7,Z$6,"Sdate=#1 Period=#2 NULL=BLANK",,$D22,$X$4),Z22)</f>
        <v>5.2926061719083197</v>
      </c>
      <c r="AA22" s="1506" t="str" cm="1">
        <f t="array" aca="1" ref="AA22" ca="1">IF(SwitchPA=1,_xll.TR(AA$7,AA$6,"Sdate=#1 Period=#2 NULL=BLANK",,$D22,$X$4),AA22)</f>
        <v/>
      </c>
      <c r="AB22" s="1506" t="str" cm="1">
        <f t="array" aca="1" ref="AB22" ca="1">IF(SwitchPA=1,_xll.TR(AB$7,AB$6,"Sdate=#1 Period=#2 NULL=BLANK",,$D22,$X$4),AB22)</f>
        <v/>
      </c>
      <c r="AC22" s="1506" cm="1">
        <f t="array" aca="1" ref="AC22" ca="1">IF(SwitchPA=1,_xll.TR(AC$7,AC$6,"Sdate=#1 Period=#2 NULL=BLANK",,$D22,$X$4),AC22)</f>
        <v>8.8552335584415598</v>
      </c>
      <c r="AD22" s="1506" t="str" cm="1">
        <f t="array" aca="1" ref="AD22" ca="1">IF(SwitchPA=1,_xll.TR(AD$7,AD$6,"Sdate=#1 Period=#2 NULL=BLANK",,$D22,$X$4),AD22)</f>
        <v/>
      </c>
      <c r="AE22" s="1506" t="str" cm="1">
        <f t="array" aca="1" ref="AE22" ca="1">IF(SwitchPA=1,_xll.TR(AE$7,AE$6,"Sdate=#1 Period=#2 NULL=BLANK",,$D22,$X$4),AE22)</f>
        <v/>
      </c>
      <c r="AF22" s="1506" cm="1">
        <f t="array" aca="1" ref="AF22" ca="1">IF(SwitchPA=1,_xll.TR(AF$7,AF$6,"Sdate=#1 Period=#2 NULL=BLANK",,$D22,$X$4),AF22)</f>
        <v>13.4182944921371</v>
      </c>
      <c r="AG22" s="1506" cm="1">
        <f t="array" aca="1" ref="AG22" ca="1">IF(SwitchPA=1,_xll.TR(AG$7,AG$6,"Sdate=#1 Period=#2 NULL=BLANK",,$D22,$X$4),AG22)</f>
        <v>8.0253222267409896</v>
      </c>
      <c r="AH22" s="1506" cm="1">
        <f t="array" aca="1" ref="AH22" ca="1">IF(SwitchPA=1,_xll.TR(AH$7,AH$6,"Sdate=#1 Period=#2 NULL=BLANK",,$D22,$X$4),AH22)</f>
        <v>6.3272331076979</v>
      </c>
      <c r="AI22" s="1506" cm="1">
        <f t="array" aca="1" ref="AI22" ca="1">IF(SwitchPA=1,_xll.TR(AI$7,AI$6,"Sdate=#1 Period=#2 NULL=BLANK",,$D22,$X$4),AI22)</f>
        <v>11.7156201985532</v>
      </c>
      <c r="AJ22" s="1506" t="str" cm="1">
        <f t="array" aca="1" ref="AJ22" ca="1">IF(SwitchPA=1,_xll.TR(AJ$7,AJ$6,"Sdate=#1 Period=#2 NULL=BLANK",,$D22,$X$4),AJ22)</f>
        <v/>
      </c>
      <c r="AK22" s="1506" cm="1">
        <f t="array" aca="1" ref="AK22" ca="1">IF(SwitchPA=1,_xll.TR(AK$7,AK$6,"Sdate=#1 Period=#2 NULL=BLANK",,$D22,$X$4),AK22)</f>
        <v>7.4762821608036401</v>
      </c>
      <c r="AL22" s="1506" cm="1">
        <f t="array" aca="1" ref="AL22" ca="1">IF(SwitchPA=1,_xll.TR(AL$7,AL$6,"Sdate=#1 Period=#2 NULL=BLANK",,$D22,$X$4),AL22)</f>
        <v>8.4876818305178894</v>
      </c>
      <c r="AM22" s="1506" cm="1">
        <f t="array" aca="1" ref="AM22" ca="1">IF(SwitchPA=1,_xll.TR(AM$7,AM$6,"Sdate=#1 Period=#2 NULL=BLANK",,$D22,$X$4),AM22)</f>
        <v>6.5640870977350199</v>
      </c>
      <c r="AN22" s="1506" t="str" cm="1">
        <f t="array" aca="1" ref="AN22" ca="1">IF(SwitchPA=1,_xll.TR(AN$7,AN$6,"Sdate=#1 Period=#2 NULL=BLANK",,$D22,$X$4),AN22)</f>
        <v/>
      </c>
      <c r="AO22" s="1506" t="str" cm="1">
        <f t="array" aca="1" ref="AO22" ca="1">IF(SwitchPA=1,_xll.TR(AO$7,AO$6,"Sdate=#1 Period=#2 NULL=BLANK",,$D22,$X$4),AO22)</f>
        <v/>
      </c>
      <c r="AQ22" s="1506" t="str" cm="1">
        <f t="array" aca="1" ref="AQ22" ca="1">IF(SwitchPA=1,_xll.TR(AQ$7,AQ$6,"Sdate=#1 Period=#2 NULL=BLANK Scale=6",,$D22,$AQ$4),AQ22)</f>
        <v/>
      </c>
      <c r="AR22" s="1506" t="str" cm="1">
        <f t="array" aca="1" ref="AR22" ca="1">IF(SwitchPA=1,_xll.TR(AR$7,AR$6,"Sdate=#1 Period=#2 NULL=BLANK Scale=6",,$D22,$AQ$4),AR22)</f>
        <v/>
      </c>
      <c r="AS22" s="1506" t="str" cm="1">
        <f t="array" aca="1" ref="AS22" ca="1">IF(SwitchPA=1,_xll.TR(AS$7,AS$6,"Sdate=#1 Period=#2 NULL=BLANK Scale=6",,$D22,$AQ$4),AS22)</f>
        <v/>
      </c>
      <c r="AT22" s="1506" t="str" cm="1">
        <f t="array" aca="1" ref="AT22" ca="1">IF(SwitchPA=1,_xll.TR(AT$7,AT$6,"Sdate=#1 Period=#2 NULL=BLANK Scale=6",,$D22,$AQ$4),AT22)</f>
        <v/>
      </c>
      <c r="AU22" s="1506" t="str" cm="1">
        <f t="array" aca="1" ref="AU22" ca="1">IF(SwitchPA=1,_xll.TR(AU$7,AU$6,"Sdate=#1 Period=#2 NULL=BLANK Scale=6",,$D22,$AQ$4),AU22)</f>
        <v/>
      </c>
      <c r="AV22" s="1506" t="str" cm="1">
        <f t="array" aca="1" ref="AV22" ca="1">IF(SwitchPA=1,_xll.TR(AV$7,AV$6,"Sdate=#1 Period=#2 NULL=BLANK Scale=6",,$D22,$AQ$4),AV22)</f>
        <v/>
      </c>
      <c r="AW22" s="1506" t="str" cm="1">
        <f t="array" aca="1" ref="AW22" ca="1">IF(SwitchPA=1,_xll.TR(AW$7,AW$6,"Sdate=#1 Period=#2 NULL=BLANK Scale=6",,$D22,$AQ$4),AW22)</f>
        <v/>
      </c>
      <c r="AX22" s="1506" t="str" cm="1">
        <f t="array" aca="1" ref="AX22" ca="1">IF(SwitchPA=1,_xll.TR(AX$7,AX$6,"Sdate=#1 Period=#2 NULL=BLANK Scale=6",,$D22,$AQ$4),AX22)</f>
        <v/>
      </c>
      <c r="AY22" s="1506" t="str" cm="1">
        <f t="array" aca="1" ref="AY22" ca="1">IF(SwitchPA=1,_xll.TR(AY$7,AY$6,"Sdate=#1 Period=#2 NULL=BLANK Scale=6",,$D22,$AQ$4),AY22)</f>
        <v/>
      </c>
      <c r="AZ22" s="1506" t="str" cm="1">
        <f t="array" aca="1" ref="AZ22" ca="1">IF(SwitchPA=1,_xll.TR(AZ$7,AZ$6,"Sdate=#1 Period=#2 NULL=BLANK Scale=6",,$D22,$AQ$4),AZ22)</f>
        <v/>
      </c>
      <c r="BA22" s="1506" t="str" cm="1">
        <f t="array" aca="1" ref="BA22" ca="1">IF(SwitchPA=1,_xll.TR(BA$7,BA$6,"Sdate=#1 Period=#2 NULL=BLANK Scale=6",,$D22,$AQ$4),BA22)</f>
        <v/>
      </c>
      <c r="BB22" s="1506" t="str" cm="1">
        <f t="array" aca="1" ref="BB22" ca="1">IF(SwitchPA=1,_xll.TR(BB$7,BB$6,"Sdate=#1 Period=#2 NULL=BLANK Scale=6",,$D22,$AQ$4),BB22)</f>
        <v/>
      </c>
      <c r="BC22" s="1506" t="str" cm="1">
        <f t="array" aca="1" ref="BC22" ca="1">IF(SwitchPA=1,_xll.TR(BC$7,BC$6,"Sdate=#1 Period=#2 NULL=BLANK Scale=6",,$D22,$AQ$4),BC22)</f>
        <v/>
      </c>
      <c r="BD22" s="1506" t="str" cm="1">
        <f t="array" aca="1" ref="BD22" ca="1">IF(SwitchPA=1,_xll.TR(BD$7,BD$6,"Sdate=#1 Period=#2 NULL=BLANK Scale=6",,$D22,$AQ$4),BD22)</f>
        <v/>
      </c>
      <c r="BE22" s="1506" t="str" cm="1">
        <f t="array" aca="1" ref="BE22" ca="1">IF(SwitchPA=1,_xll.TR(BE$7,BE$6,"Sdate=#1 Period=#2 NULL=BLANK Scale=6",,$D22,$AQ$4),BE22)</f>
        <v/>
      </c>
      <c r="BF22" s="1506" t="str" cm="1">
        <f t="array" aca="1" ref="BF22" ca="1">IF(SwitchPA=1,_xll.TR(BF$7,BF$6,"Sdate=#1 Period=#2 NULL=BLANK Scale=6",,$D22,$AQ$4),BF22)</f>
        <v/>
      </c>
      <c r="BG22" s="1506" t="str" cm="1">
        <f t="array" aca="1" ref="BG22" ca="1">IF(SwitchPA=1,_xll.TR(BG$7,BG$6,"Sdate=#1 Period=#2 NULL=BLANK Scale=6",,$D22,$AQ$4),BG22)</f>
        <v/>
      </c>
      <c r="BH22" s="1506" t="str" cm="1">
        <f t="array" aca="1" ref="BH22" ca="1">IF(SwitchPA=1,_xll.TR(BH$7,BH$6,"Sdate=#1 Period=#2 NULL=BLANK Scale=6",,$D22,$AQ$4),BH22)</f>
        <v/>
      </c>
      <c r="BJ22" s="1506" cm="1">
        <f t="array" aca="1" ref="BJ22" ca="1">IF(SwitchPA=1,_xll.TR(BJ$7,BJ$6,"Sdate=#1 Period=#2 NULL=BLANK Scale=6",,$D22,$BJ$4),BJ22)</f>
        <v>9.3091218980000008</v>
      </c>
      <c r="BK22" s="1506" t="str" cm="1">
        <f t="array" aca="1" ref="BK22" ca="1">IF(SwitchPA=1,_xll.TR(BK$7,BK$6,"Sdate=#1 Period=#2 NULL=BLANK Scale=6",,$D22,$BJ$4),BK22)</f>
        <v/>
      </c>
      <c r="BL22" s="1506" cm="1">
        <f t="array" aca="1" ref="BL22" ca="1">IF(SwitchPA=1,_xll.TR(BL$7,BL$6,"Sdate=#1 Period=#2 NULL=BLANK Scale=6",,$D22,$BJ$4),BL22)</f>
        <v>5.4631202940000003</v>
      </c>
      <c r="BM22" s="1506" t="str" cm="1">
        <f t="array" aca="1" ref="BM22" ca="1">IF(SwitchPA=1,_xll.TR(BM$7,BM$6,"Sdate=#1 Period=#2 NULL=BLANK Scale=6",,$D22,$BJ$4),BM22)</f>
        <v/>
      </c>
      <c r="BN22" s="1506" t="str" cm="1">
        <f t="array" aca="1" ref="BN22" ca="1">IF(SwitchPA=1,_xll.TR(BN$7,BN$6,"Sdate=#1 Period=#2 NULL=BLANK Scale=6",,$D22,$BJ$4),BN22)</f>
        <v/>
      </c>
      <c r="BO22" s="1506" cm="1">
        <f t="array" aca="1" ref="BO22" ca="1">IF(SwitchPA=1,_xll.TR(BO$7,BO$6,"Sdate=#1 Period=#2 NULL=BLANK Scale=6",,$D22,$BJ$4),BO22)</f>
        <v>9.9686108769999997</v>
      </c>
      <c r="BP22" s="1506" t="str" cm="1">
        <f t="array" aca="1" ref="BP22" ca="1">IF(SwitchPA=1,_xll.TR(BP$7,BP$6,"Sdate=#1 Period=#2 NULL=BLANK Scale=6",,$D22,$BJ$4),BP22)</f>
        <v/>
      </c>
      <c r="BQ22" s="1506" t="str" cm="1">
        <f t="array" aca="1" ref="BQ22" ca="1">IF(SwitchPA=1,_xll.TR(BQ$7,BQ$6,"Sdate=#1 Period=#2 NULL=BLANK Scale=6",,$D22,$BJ$4),BQ22)</f>
        <v/>
      </c>
      <c r="BR22" s="1506" cm="1">
        <f t="array" aca="1" ref="BR22" ca="1">IF(SwitchPA=1,_xll.TR(BR$7,BR$6,"Sdate=#1 Period=#2 NULL=BLANK Scale=6",,$D22,$BJ$4),BR22)</f>
        <v>14.289829083000001</v>
      </c>
      <c r="BS22" s="1506" cm="1">
        <f t="array" aca="1" ref="BS22" ca="1">IF(SwitchPA=1,_xll.TR(BS$7,BS$6,"Sdate=#1 Period=#2 NULL=BLANK Scale=6",,$D22,$BJ$4),BS22)</f>
        <v>7.773590381</v>
      </c>
      <c r="BT22" s="1506" cm="1">
        <f t="array" aca="1" ref="BT22" ca="1">IF(SwitchPA=1,_xll.TR(BT$7,BT$6,"Sdate=#1 Period=#2 NULL=BLANK Scale=6",,$D22,$BJ$4),BT22)</f>
        <v>8.7414621260000001</v>
      </c>
      <c r="BU22" s="1506" cm="1">
        <f t="array" aca="1" ref="BU22" ca="1">IF(SwitchPA=1,_xll.TR(BU$7,BU$6,"Sdate=#1 Period=#2 NULL=BLANK Scale=6",,$D22,$BJ$4),BU22)</f>
        <v>37.190992244999997</v>
      </c>
      <c r="BV22" s="1506" t="str" cm="1">
        <f t="array" aca="1" ref="BV22" ca="1">IF(SwitchPA=1,_xll.TR(BV$7,BV$6,"Sdate=#1 Period=#2 NULL=BLANK Scale=6",,$D22,$BJ$4),BV22)</f>
        <v/>
      </c>
      <c r="BW22" s="1506" cm="1">
        <f t="array" aca="1" ref="BW22" ca="1">IF(SwitchPA=1,_xll.TR(BW$7,BW$6,"Sdate=#1 Period=#2 NULL=BLANK Scale=6",,$D22,$BJ$4),BW22)</f>
        <v>7.311971303</v>
      </c>
      <c r="BX22" s="1506" cm="1">
        <f t="array" aca="1" ref="BX22" ca="1">IF(SwitchPA=1,_xll.TR(BX$7,BX$6,"Sdate=#1 Period=#2 NULL=BLANK Scale=6",,$D22,$BJ$4),BX22)</f>
        <v>8.6513626729999995</v>
      </c>
      <c r="BY22" s="1506" cm="1">
        <f t="array" aca="1" ref="BY22" ca="1">IF(SwitchPA=1,_xll.TR(BY$7,BY$6,"Sdate=#1 Period=#2 NULL=BLANK Scale=6",,$D22,$BJ$4),BY22)</f>
        <v>6.2518377550000004</v>
      </c>
      <c r="BZ22" s="1506" t="str" cm="1">
        <f t="array" aca="1" ref="BZ22" ca="1">IF(SwitchPA=1,_xll.TR(BZ$7,BZ$6,"Sdate=#1 Period=#2 NULL=BLANK Scale=6",,$D22,$BJ$4),BZ22)</f>
        <v/>
      </c>
      <c r="CA22" s="1506" t="str" cm="1">
        <f t="array" aca="1" ref="CA22" ca="1">IF(SwitchPA=1,_xll.TR(CA$7,CA$6,"Sdate=#1 Period=#2 NULL=BLANK Scale=6",,$D22,$BJ$4),CA22)</f>
        <v/>
      </c>
      <c r="CC22" s="1506" cm="1">
        <f t="array" aca="1" ref="CC22" ca="1">IF(SwitchPA=1,_xll.TR(CC$7,CC$6,"Sdate=#1 Period=#2 NULL=BLANK Scale=6",,$D22,$CC$4),CC22)</f>
        <v>5800</v>
      </c>
      <c r="CD22" s="1506" t="str" cm="1">
        <f t="array" aca="1" ref="CD22" ca="1">IF(SwitchPA=1,_xll.TR(CD$7,CD$6,"Sdate=#1 Period=#2 NULL=BLANK Scale=6",,$D22,$CC$4),CD22)</f>
        <v/>
      </c>
      <c r="CE22" s="1506" cm="1">
        <f t="array" aca="1" ref="CE22" ca="1">IF(SwitchPA=1,_xll.TR(CE$7,CE$6,"Sdate=#1 Period=#2 NULL=BLANK Scale=6",,$D22,$CC$4),CE22)</f>
        <v>32837</v>
      </c>
      <c r="CF22" s="1506" t="str" cm="1">
        <f t="array" aca="1" ref="CF22" ca="1">IF(SwitchPA=1,_xll.TR(CF$7,CF$6,"Sdate=#1 Period=#2 NULL=BLANK Scale=6",,$D22,$CC$4),CF22)</f>
        <v/>
      </c>
      <c r="CG22" s="1506" t="str" cm="1">
        <f t="array" aca="1" ref="CG22" ca="1">IF(SwitchPA=1,_xll.TR(CG$7,CG$6,"Sdate=#1 Period=#2 NULL=BLANK Scale=6",,$D22,$CC$4),CG22)</f>
        <v/>
      </c>
      <c r="CH22" s="1506" cm="1">
        <f t="array" aca="1" ref="CH22" ca="1">IF(SwitchPA=1,_xll.TR(CH$7,CH$6,"Sdate=#1 Period=#2 NULL=BLANK Scale=6",,$D22,$CC$4),CH22)</f>
        <v>1578.9</v>
      </c>
      <c r="CI22" s="1506" t="str" cm="1">
        <f t="array" aca="1" ref="CI22" ca="1">IF(SwitchPA=1,_xll.TR(CI$7,CI$6,"Sdate=#1 Period=#2 NULL=BLANK Scale=6",,$D22,$CC$4),CI22)</f>
        <v/>
      </c>
      <c r="CJ22" s="1506" t="str" cm="1">
        <f t="array" aca="1" ref="CJ22" ca="1">IF(SwitchPA=1,_xll.TR(CJ$7,CJ$6,"Sdate=#1 Period=#2 NULL=BLANK Scale=6",,$D22,$CC$4),CJ22)</f>
        <v/>
      </c>
      <c r="CK22" s="1506" cm="1">
        <f t="array" aca="1" ref="CK22" ca="1">IF(SwitchPA=1,_xll.TR(CK$7,CK$6,"Sdate=#1 Period=#2 NULL=BLANK Scale=6",,$D22,$CC$4),CK22)</f>
        <v>18232</v>
      </c>
      <c r="CL22" s="1506" cm="1">
        <f t="array" aca="1" ref="CL22" ca="1">IF(SwitchPA=1,_xll.TR(CL$7,CL$6,"Sdate=#1 Period=#2 NULL=BLANK Scale=6",,$D22,$CC$4),CL22)</f>
        <v>1110.2370000000001</v>
      </c>
      <c r="CM22" s="1506" cm="1">
        <f t="array" aca="1" ref="CM22" ca="1">IF(SwitchPA=1,_xll.TR(CM$7,CM$6,"Sdate=#1 Period=#2 NULL=BLANK Scale=6",,$D22,$CC$4),CM22)</f>
        <v>7728</v>
      </c>
      <c r="CN22" s="1506" cm="1">
        <f t="array" aca="1" ref="CN22" ca="1">IF(SwitchPA=1,_xll.TR(CN$7,CN$6,"Sdate=#1 Period=#2 NULL=BLANK Scale=6",,$D22,$CC$4),CN22)</f>
        <v>1964.5</v>
      </c>
      <c r="CO22" s="1506" t="str" cm="1">
        <f t="array" aca="1" ref="CO22" ca="1">IF(SwitchPA=1,_xll.TR(CO$7,CO$6,"Sdate=#1 Period=#2 NULL=BLANK Scale=6",,$D22,$CC$4),CO22)</f>
        <v/>
      </c>
      <c r="CP22" s="1506" cm="1">
        <f t="array" aca="1" ref="CP22" ca="1">IF(SwitchPA=1,_xll.TR(CP$7,CP$6,"Sdate=#1 Period=#2 NULL=BLANK Scale=6",,$D22,$CC$4),CP22)</f>
        <v>1921.4</v>
      </c>
      <c r="CQ22" s="1506" cm="1">
        <f t="array" aca="1" ref="CQ22" ca="1">IF(SwitchPA=1,_xll.TR(CQ$7,CQ$6,"Sdate=#1 Period=#2 NULL=BLANK Scale=6",,$D22,$CC$4),CQ22)</f>
        <v>8756</v>
      </c>
      <c r="CR22" s="1506" cm="1">
        <f t="array" aca="1" ref="CR22" ca="1">IF(SwitchPA=1,_xll.TR(CR$7,CR$6,"Sdate=#1 Period=#2 NULL=BLANK Scale=6",,$D22,$CC$4),CR22)</f>
        <v>7557</v>
      </c>
      <c r="CS22" s="1506" t="str" cm="1">
        <f t="array" aca="1" ref="CS22" ca="1">IF(SwitchPA=1,_xll.TR(CS$7,CS$6,"Sdate=#1 Period=#2 NULL=BLANK Scale=6",,$D22,$CC$4),CS22)</f>
        <v>Unable to resolve all requested identifiers.</v>
      </c>
      <c r="CT22" s="1506" t="str" cm="1">
        <f t="array" aca="1" ref="CT22" ca="1">IF(SwitchPA=1,_xll.TR(CT$7,CT$6,"Sdate=#1 Period=#2 NULL=BLANK Scale=6",,$D22,$CC$4),CT22)</f>
        <v>Unable to resolve all requested identifiers.</v>
      </c>
      <c r="CV22" s="1516" cm="1">
        <f t="array" aca="1" ref="CV22" ca="1">IF(SwitchPA=1,_xll.TR(CV$7,CV$6,"Sdate=#1 Period=#2 NULL=BLANK Scale=6",,$D22,$AQ$4),CV22)</f>
        <v>3561.5</v>
      </c>
      <c r="CW22" s="1516" t="str" cm="1">
        <f t="array" aca="1" ref="CW22" ca="1">IF(SwitchPA=1,_xll.TR(CW$7,CW$6,"Sdate=#1 Period=#2 NULL=BLANK Scale=6",,$D22,$AQ$4),CW22)</f>
        <v/>
      </c>
      <c r="CX22" s="1516" cm="1">
        <f t="array" aca="1" ref="CX22" ca="1">IF(SwitchPA=1,_xll.TR(CX$7,CX$6,"Sdate=#1 Period=#2 NULL=BLANK Scale=6",,$D22,$AQ$4),CX22)</f>
        <v>13605.75</v>
      </c>
      <c r="CY22" s="1516" t="str" cm="1">
        <f t="array" aca="1" ref="CY22" ca="1">IF(SwitchPA=1,_xll.TR(CY$7,CY$6,"Sdate=#1 Period=#2 NULL=BLANK Scale=6",,$D22,$AQ$4),CY22)</f>
        <v/>
      </c>
      <c r="CZ22" s="1516" t="str" cm="1">
        <f t="array" aca="1" ref="CZ22" ca="1">IF(SwitchPA=1,_xll.TR(CZ$7,CZ$6,"Sdate=#1 Period=#2 NULL=BLANK Scale=6",,$D22,$AQ$4),CZ22)</f>
        <v/>
      </c>
      <c r="DA22" s="1516" cm="1">
        <f t="array" aca="1" ref="DA22" ca="1">IF(SwitchPA=1,_xll.TR(DA$7,DA$6,"Sdate=#1 Period=#2 NULL=BLANK Scale=6",,$D22,$AQ$4),DA22)</f>
        <v>506.55</v>
      </c>
      <c r="DB22" s="1516" t="str" cm="1">
        <f t="array" aca="1" ref="DB22" ca="1">IF(SwitchPA=1,_xll.TR(DB$7,DB$6,"Sdate=#1 Period=#2 NULL=BLANK Scale=6",,$D22,$AQ$4),DB22)</f>
        <v/>
      </c>
      <c r="DC22" s="1516" t="str" cm="1">
        <f t="array" aca="1" ref="DC22" ca="1">IF(SwitchPA=1,_xll.TR(DC$7,DC$6,"Sdate=#1 Period=#2 NULL=BLANK Scale=6",,$D22,$AQ$4),DC22)</f>
        <v/>
      </c>
      <c r="DD22" s="1516" cm="1">
        <f t="array" aca="1" ref="DD22" ca="1">IF(SwitchPA=1,_xll.TR(DD$7,DD$6,"Sdate=#1 Period=#2 NULL=BLANK Scale=6",,$D22,$AQ$4),DD22)</f>
        <v>5545.25</v>
      </c>
      <c r="DE22" s="1516" cm="1">
        <f t="array" aca="1" ref="DE22" ca="1">IF(SwitchPA=1,_xll.TR(DE$7,DE$6,"Sdate=#1 Period=#2 NULL=BLANK Scale=6",,$D22,$AQ$4),DE22)</f>
        <v>522.68650000000002</v>
      </c>
      <c r="DF22" s="1516" cm="1">
        <f t="array" aca="1" ref="DF22" ca="1">IF(SwitchPA=1,_xll.TR(DF$7,DF$6,"Sdate=#1 Period=#2 NULL=BLANK Scale=6",,$D22,$AQ$4),DF22)</f>
        <v>1255.5</v>
      </c>
      <c r="DG22" s="1516" cm="1">
        <f t="array" aca="1" ref="DG22" ca="1">IF(SwitchPA=1,_xll.TR(DG$7,DG$6,"Sdate=#1 Period=#2 NULL=BLANK Scale=6",,$D22,$AQ$4),DG22)</f>
        <v>620.1</v>
      </c>
      <c r="DH22" s="1516" t="str" cm="1">
        <f t="array" aca="1" ref="DH22" ca="1">IF(SwitchPA=1,_xll.TR(DH$7,DH$6,"Sdate=#1 Period=#2 NULL=BLANK Scale=6",,$D22,$AQ$4),DH22)</f>
        <v/>
      </c>
      <c r="DI22" s="1516" cm="1">
        <f t="array" aca="1" ref="DI22" ca="1">IF(SwitchPA=1,_xll.TR(DI$7,DI$6,"Sdate=#1 Period=#2 NULL=BLANK Scale=6",,$D22,$AQ$4),DI22)</f>
        <v>1091.9000000000001</v>
      </c>
      <c r="DJ22" s="1516" cm="1">
        <f t="array" aca="1" ref="DJ22" ca="1">IF(SwitchPA=1,_xll.TR(DJ$7,DJ$6,"Sdate=#1 Period=#2 NULL=BLANK Scale=6",,$D22,$AQ$4),DJ22)</f>
        <v>2582.5</v>
      </c>
      <c r="DK22" s="1516" cm="1">
        <f t="array" aca="1" ref="DK22" ca="1">IF(SwitchPA=1,_xll.TR(DK$7,DK$6,"Sdate=#1 Period=#2 NULL=BLANK Scale=6",,$D22,$AQ$4),DK22)</f>
        <v>3480.5</v>
      </c>
      <c r="DL22" s="1516" t="str" cm="1">
        <f t="array" aca="1" ref="DL22" ca="1">IF(SwitchPA=1,_xll.TR(DL$7,DL$6,"Sdate=#1 Period=#2 NULL=BLANK Scale=6",,$D22,$AQ$4),DL22)</f>
        <v>Unable to resolve all requested identifiers.</v>
      </c>
      <c r="DM22" s="1516" t="str" cm="1">
        <f t="array" aca="1" ref="DM22" ca="1">IF(SwitchPA=1,_xll.TR(DM$7,DM$6,"Sdate=#1 Period=#2 NULL=BLANK Scale=6",,$D22,$AQ$4),DM22)</f>
        <v>Unable to resolve all requested identifiers.</v>
      </c>
      <c r="DO22" s="1506" cm="1">
        <f t="array" aca="1" ref="DO22" ca="1">IF(SwitchPA=1,_xll.TR(DO$7,DO$6,"Sdate=#1 Period=#2 Scale=6 NULL=BLANK",,$D22,$X$4),DO22)</f>
        <v>5427.2180664199996</v>
      </c>
      <c r="DP22" s="1506" t="str" cm="1">
        <f t="array" aca="1" ref="DP22" ca="1">IF(SwitchPA=1,_xll.TR(DP$7,DP$6,"Sdate=#1 Period=#2 Scale=6 NULL=BLANK",,$D22,$X$4),DP22)</f>
        <v/>
      </c>
      <c r="DQ22" s="1506" cm="1">
        <f t="array" aca="1" ref="DQ22" ca="1">IF(SwitchPA=1,_xll.TR(DQ$7,DQ$6,"Sdate=#1 Period=#2 Scale=6 NULL=BLANK",,$D22,$X$4),DQ22)</f>
        <v>27588.757483599999</v>
      </c>
      <c r="DR22" s="1506" t="str" cm="1">
        <f t="array" aca="1" ref="DR22" ca="1">IF(SwitchPA=1,_xll.TR(DR$7,DR$6,"Sdate=#1 Period=#2 Scale=6 NULL=BLANK",,$D22,$X$4),DR22)</f>
        <v/>
      </c>
      <c r="DS22" s="1506" t="str" cm="1">
        <f t="array" aca="1" ref="DS22" ca="1">IF(SwitchPA=1,_xll.TR(DS$7,DS$6,"Sdate=#1 Period=#2 Scale=6 NULL=BLANK",,$D22,$X$4),DS22)</f>
        <v/>
      </c>
      <c r="DT22" s="1506" cm="1">
        <f t="array" aca="1" ref="DT22" ca="1">IF(SwitchPA=1,_xll.TR(DT$7,DT$6,"Sdate=#1 Period=#2 Scale=6 NULL=BLANK",,$D22,$X$4),DT22)</f>
        <v>1250.0638039999999</v>
      </c>
      <c r="DU22" s="1506" t="str" cm="1">
        <f t="array" aca="1" ref="DU22" ca="1">IF(SwitchPA=1,_xll.TR(DU$7,DU$6,"Sdate=#1 Period=#2 Scale=6 NULL=BLANK",,$D22,$X$4),DU22)</f>
        <v/>
      </c>
      <c r="DV22" s="1506" t="str" cm="1">
        <f t="array" aca="1" ref="DV22" ca="1">IF(SwitchPA=1,_xll.TR(DV$7,DV$6,"Sdate=#1 Period=#2 Scale=6 NULL=BLANK",,$D22,$X$4),DV22)</f>
        <v/>
      </c>
      <c r="DW22" s="1506" cm="1">
        <f t="array" aca="1" ref="DW22" ca="1">IF(SwitchPA=1,_xll.TR(DW$7,DW$6,"Sdate=#1 Period=#2 Scale=6 NULL=BLANK",,$D22,$X$4),DW22)</f>
        <v>64447.129165120001</v>
      </c>
      <c r="DX22" s="1506" cm="1">
        <f t="array" aca="1" ref="DX22" ca="1">IF(SwitchPA=1,_xll.TR(DX$7,DX$6,"Sdate=#1 Period=#2 Scale=6 NULL=BLANK",,$D22,$X$4),DX22)</f>
        <v>1397.7770599999999</v>
      </c>
      <c r="DY22" s="1506" cm="1">
        <f t="array" aca="1" ref="DY22" ca="1">IF(SwitchPA=1,_xll.TR(DY$7,DY$6,"Sdate=#1 Period=#2 Scale=6 NULL=BLANK",,$D22,$X$4),DY22)</f>
        <v>4598.0090784000004</v>
      </c>
      <c r="DZ22" s="1506" cm="1">
        <f t="array" aca="1" ref="DZ22" ca="1">IF(SwitchPA=1,_xll.TR(DZ$7,DZ$6,"Sdate=#1 Period=#2 Scale=6 NULL=BLANK",,$D22,$X$4),DZ22)</f>
        <v>1309.1229270199999</v>
      </c>
      <c r="EA22" s="1506" t="str" cm="1">
        <f t="array" aca="1" ref="EA22" ca="1">IF(SwitchPA=1,_xll.TR(EA$7,EA$6,"Sdate=#1 Period=#2 Scale=6 NULL=BLANK",,$D22,$X$4),EA22)</f>
        <v/>
      </c>
      <c r="EB22" s="1506" cm="1">
        <f t="array" aca="1" ref="EB22" ca="1">IF(SwitchPA=1,_xll.TR(EB$7,EB$6,"Sdate=#1 Period=#2 Scale=6 NULL=BLANK",,$D22,$X$4),EB22)</f>
        <v>2308.3893404400001</v>
      </c>
      <c r="EC22" s="1506" cm="1">
        <f t="array" aca="1" ref="EC22" ca="1">IF(SwitchPA=1,_xll.TR(EC$7,EC$6,"Sdate=#1 Period=#2 Scale=6 NULL=BLANK",,$D22,$X$4),EC22)</f>
        <v>11696.642334</v>
      </c>
      <c r="ED22" s="1506" cm="1">
        <f t="array" aca="1" ref="ED22" ca="1">IF(SwitchPA=1,_xll.TR(ED$7,ED$6,"Sdate=#1 Period=#2 Scale=6 NULL=BLANK",,$D22,$X$4),ED22)</f>
        <v>7908.5747606089999</v>
      </c>
      <c r="EE22" s="1506" t="str" cm="1">
        <f t="array" aca="1" ref="EE22" ca="1">IF(SwitchPA=1,_xll.TR(EE$7,EE$6,"Sdate=#1 Period=#2 Scale=6 NULL=BLANK",,$D22,$X$4),EE22)</f>
        <v/>
      </c>
      <c r="EF22" s="1506" t="str" cm="1">
        <f t="array" aca="1" ref="EF22" ca="1">IF(SwitchPA=1,_xll.TR(EF$7,EF$6,"Sdate=#1 Period=#2 Scale=6 NULL=BLANK",,$D22,$X$4),EF22)</f>
        <v/>
      </c>
      <c r="EG22" s="1517"/>
      <c r="EH22" s="1506" cm="1">
        <f t="array" aca="1" ref="EH22" ca="1">IF(SwitchPA=1,_xll.TR(EH$7,EH$6,"Sdate=#1 Period=#2 Scale=6 NULL=BLANK",,$D22,$X$4),EH22)</f>
        <v>256</v>
      </c>
      <c r="EI22" s="1506" t="str" cm="1">
        <f t="array" aca="1" ref="EI22" ca="1">IF(SwitchPA=1,_xll.TR(EI$7,EI$6,"Sdate=#1 Period=#2 Scale=6 NULL=BLANK",,$D22,$X$4),EI22)</f>
        <v/>
      </c>
      <c r="EJ22" s="1506" cm="1">
        <f t="array" aca="1" ref="EJ22" ca="1">IF(SwitchPA=1,_xll.TR(EJ$7,EJ$6,"Sdate=#1 Period=#2 Scale=6 NULL=BLANK",,$D22,$X$4),EJ22)</f>
        <v>2632</v>
      </c>
      <c r="EK22" s="1506" t="str" cm="1">
        <f t="array" aca="1" ref="EK22" ca="1">IF(SwitchPA=1,_xll.TR(EK$7,EK$6,"Sdate=#1 Period=#2 Scale=6 NULL=BLANK",,$D22,$X$4),EK22)</f>
        <v/>
      </c>
      <c r="EL22" s="1506" t="str" cm="1">
        <f t="array" aca="1" ref="EL22" ca="1">IF(SwitchPA=1,_xll.TR(EL$7,EL$6,"Sdate=#1 Period=#2 Scale=6 NULL=BLANK",,$D22,$X$4),EL22)</f>
        <v/>
      </c>
      <c r="EM22" s="1506" cm="1">
        <f t="array" aca="1" ref="EM22" ca="1">IF(SwitchPA=1,_xll.TR(EM$7,EM$6,"Sdate=#1 Period=#2 Scale=6 NULL=BLANK",,$D22,$X$4),EM22)</f>
        <v>44.3</v>
      </c>
      <c r="EN22" s="1506" t="str" cm="1">
        <f t="array" aca="1" ref="EN22" ca="1">IF(SwitchPA=1,_xll.TR(EN$7,EN$6,"Sdate=#1 Period=#2 Scale=6 NULL=BLANK",,$D22,$X$4),EN22)</f>
        <v/>
      </c>
      <c r="EO22" s="1506" t="str" cm="1">
        <f t="array" aca="1" ref="EO22" ca="1">IF(SwitchPA=1,_xll.TR(EO$7,EO$6,"Sdate=#1 Period=#2 Scale=6 NULL=BLANK",,$D22,$X$4),EO22)</f>
        <v/>
      </c>
      <c r="EP22" s="1506" cm="1">
        <f t="array" aca="1" ref="EP22" ca="1">IF(SwitchPA=1,_xll.TR(EP$7,EP$6,"Sdate=#1 Period=#2 Scale=6 NULL=BLANK",,$D22,$X$4),EP22)</f>
        <v>3713</v>
      </c>
      <c r="EQ22" s="1506" cm="1">
        <f t="array" aca="1" ref="EQ22" ca="1">IF(SwitchPA=1,_xll.TR(EQ$7,EQ$6,"Sdate=#1 Period=#2 Scale=6 NULL=BLANK",,$D22,$X$4),EQ22)</f>
        <v>102.873</v>
      </c>
      <c r="ER22" s="1506" cm="1">
        <f t="array" aca="1" ref="ER22" ca="1">IF(SwitchPA=1,_xll.TR(ER$7,ER$6,"Sdate=#1 Period=#2 Scale=6 NULL=BLANK",,$D22,$X$4),ER22)</f>
        <v>325</v>
      </c>
      <c r="ES22" s="1506" cm="1">
        <f t="array" aca="1" ref="ES22" ca="1">IF(SwitchPA=1,_xll.TR(ES$7,ES$6,"Sdate=#1 Period=#2 Scale=6 NULL=BLANK",,$D22,$X$4),ES22)</f>
        <v>6.2</v>
      </c>
      <c r="ET22" s="1506" t="str" cm="1">
        <f t="array" aca="1" ref="ET22" ca="1">IF(SwitchPA=1,_xll.TR(ET$7,ET$6,"Sdate=#1 Period=#2 Scale=6 NULL=BLANK",,$D22,$X$4),ET22)</f>
        <v/>
      </c>
      <c r="EU22" s="1506" cm="1">
        <f t="array" aca="1" ref="EU22" ca="1">IF(SwitchPA=1,_xll.TR(EU$7,EU$6,"Sdate=#1 Period=#2 Scale=6 NULL=BLANK",,$D22,$X$4),EU22)</f>
        <v>196.6</v>
      </c>
      <c r="EV22" s="1506" cm="1">
        <f t="array" aca="1" ref="EV22" ca="1">IF(SwitchPA=1,_xll.TR(EV$7,EV$6,"Sdate=#1 Period=#2 Scale=6 NULL=BLANK",,$D22,$X$4),EV22)</f>
        <v>992</v>
      </c>
      <c r="EW22" s="1506" cm="1">
        <f t="array" aca="1" ref="EW22" ca="1">IF(SwitchPA=1,_xll.TR(EW$7,EW$6,"Sdate=#1 Period=#2 Scale=6 NULL=BLANK",,$D22,$X$4),EW22)</f>
        <v>715</v>
      </c>
      <c r="EX22" s="1506" t="str" cm="1">
        <f t="array" aca="1" ref="EX22" ca="1">IF(SwitchPA=1,_xll.TR(EX$7,EX$6,"Sdate=#1 Period=#2 Scale=6 NULL=BLANK",,$D22,$X$4),EX22)</f>
        <v>Unable to resolve all requested identifiers.</v>
      </c>
      <c r="EY22" s="1506" t="str" cm="1">
        <f t="array" aca="1" ref="EY22" ca="1">IF(SwitchPA=1,_xll.TR(EY$7,EY$6,"Sdate=#1 Period=#2 Scale=6 NULL=BLANK",,$D22,$X$4),EY22)</f>
        <v>Unable to resolve all requested identifiers.</v>
      </c>
      <c r="FA22" s="1506" cm="1">
        <f t="array" aca="1" ref="FA22" ca="1">IF(SwitchPA=1,_xll.TR(FA$7,FA$6,"Sdate=#1 Period=#2 Scale=6 NULL=BLANK",,$D22,$X$4),FA22)</f>
        <v>590</v>
      </c>
      <c r="FB22" s="1506" t="str" cm="1">
        <f t="array" aca="1" ref="FB22" ca="1">IF(SwitchPA=1,_xll.TR(FB$7,FB$6,"Sdate=#1 Period=#2 Scale=6 NULL=BLANK",,$D22,$X$4),FB22)</f>
        <v/>
      </c>
      <c r="FC22" s="1506" cm="1">
        <f t="array" aca="1" ref="FC22" ca="1">IF(SwitchPA=1,_xll.TR(FC$7,FC$6,"Sdate=#1 Period=#2 Scale=6 NULL=BLANK",,$D22,$X$4),FC22)</f>
        <v>5050</v>
      </c>
      <c r="FD22" s="1506" t="str" cm="1">
        <f t="array" aca="1" ref="FD22" ca="1">IF(SwitchPA=1,_xll.TR(FD$7,FD$6,"Sdate=#1 Period=#2 Scale=6 NULL=BLANK",,$D22,$X$4),FD22)</f>
        <v/>
      </c>
      <c r="FE22" s="1506" t="str" cm="1">
        <f t="array" aca="1" ref="FE22" ca="1">IF(SwitchPA=1,_xll.TR(FE$7,FE$6,"Sdate=#1 Period=#2 Scale=6 NULL=BLANK",,$D22,$X$4),FE22)</f>
        <v/>
      </c>
      <c r="FF22" s="1506" cm="1">
        <f t="array" aca="1" ref="FF22" ca="1">IF(SwitchPA=1,_xll.TR(FF$7,FF$6,"Sdate=#1 Period=#2 Scale=6 NULL=BLANK",,$D22,$X$4),FF22)</f>
        <v>124.2</v>
      </c>
      <c r="FG22" s="1506" t="str" cm="1">
        <f t="array" aca="1" ref="FG22" ca="1">IF(SwitchPA=1,_xll.TR(FG$7,FG$6,"Sdate=#1 Period=#2 Scale=6 NULL=BLANK",,$D22,$X$4),FG22)</f>
        <v/>
      </c>
      <c r="FH22" s="1506" t="str" cm="1">
        <f t="array" aca="1" ref="FH22" ca="1">IF(SwitchPA=1,_xll.TR(FH$7,FH$6,"Sdate=#1 Period=#2 Scale=6 NULL=BLANK",,$D22,$X$4),FH22)</f>
        <v/>
      </c>
      <c r="FI22" s="1506" cm="1">
        <f t="array" aca="1" ref="FI22" ca="1">IF(SwitchPA=1,_xll.TR(FI$7,FI$6,"Sdate=#1 Period=#2 Scale=6 NULL=BLANK",,$D22,$X$4),FI22)</f>
        <v>4677</v>
      </c>
      <c r="FJ22" s="1506" cm="1">
        <f t="array" aca="1" ref="FJ22" ca="1">IF(SwitchPA=1,_xll.TR(FJ$7,FJ$6,"Sdate=#1 Period=#2 Scale=6 NULL=BLANK",,$D22,$X$4),FJ22)</f>
        <v>186.887</v>
      </c>
      <c r="FK22" s="1506" cm="1">
        <f t="array" aca="1" ref="FK22" ca="1">IF(SwitchPA=1,_xll.TR(FK$7,FK$6,"Sdate=#1 Period=#2 Scale=6 NULL=BLANK",,$D22,$X$4),FK22)</f>
        <v>526</v>
      </c>
      <c r="FL22" s="1506" cm="1">
        <f t="array" aca="1" ref="FL22" ca="1">IF(SwitchPA=1,_xll.TR(FL$7,FL$6,"Sdate=#1 Period=#2 Scale=6 NULL=BLANK",,$D22,$X$4),FL22)</f>
        <v>57.6</v>
      </c>
      <c r="FM22" s="1506" t="str" cm="1">
        <f t="array" aca="1" ref="FM22" ca="1">IF(SwitchPA=1,_xll.TR(FM$7,FM$6,"Sdate=#1 Period=#2 Scale=6 NULL=BLANK",,$D22,$X$4),FM22)</f>
        <v/>
      </c>
      <c r="FN22" s="1506" cm="1">
        <f t="array" aca="1" ref="FN22" ca="1">IF(SwitchPA=1,_xll.TR(FN$7,FN$6,"Sdate=#1 Period=#2 Scale=6 NULL=BLANK",,$D22,$X$4),FN22)</f>
        <v>321.2</v>
      </c>
      <c r="FO22" s="1506" cm="1">
        <f t="array" aca="1" ref="FO22" ca="1">IF(SwitchPA=1,_xll.TR(FO$7,FO$6,"Sdate=#1 Period=#2 Scale=6 NULL=BLANK",,$D22,$X$4),FO22)</f>
        <v>1386</v>
      </c>
      <c r="FP22" s="1506" cm="1">
        <f t="array" aca="1" ref="FP22" ca="1">IF(SwitchPA=1,_xll.TR(FP$7,FP$6,"Sdate=#1 Period=#2 Scale=6 NULL=BLANK",,$D22,$X$4),FP22)</f>
        <v>1144</v>
      </c>
      <c r="FQ22" s="1506" t="str" cm="1">
        <f t="array" aca="1" ref="FQ22" ca="1">IF(SwitchPA=1,_xll.TR(FQ$7,FQ$6,"Sdate=#1 Period=#2 Scale=6 NULL=BLANK",,$D22,$X$4),FQ22)</f>
        <v>Unable to resolve and collect data for all requested identifiers and fields.</v>
      </c>
      <c r="FS22" s="1506" cm="1">
        <f t="array" aca="1" ref="FS22" ca="1">IF(SwitchPA=1,_xll.TR(FS$7,FS$6,"Sdate=#1 Period=#2 NULL=BLANK Scale=6",,$D22,$FS$4),FS22)</f>
        <v>-4</v>
      </c>
      <c r="FT22" s="1506" t="str" cm="1">
        <f t="array" aca="1" ref="FT22" ca="1">IF(SwitchPA=1,_xll.TR(FT$7,FT$6,"Sdate=#1 Period=#2 NULL=BLANK Scale=6",,$D22,$FS$4),FT22)</f>
        <v/>
      </c>
      <c r="FU22" s="1506" cm="1">
        <f t="array" aca="1" ref="FU22" ca="1">IF(SwitchPA=1,_xll.TR(FU$7,FU$6,"Sdate=#1 Period=#2 NULL=BLANK Scale=6",,$D22,$FS$4),FU22)</f>
        <v>1521</v>
      </c>
      <c r="FV22" s="1506" t="str" cm="1">
        <f t="array" aca="1" ref="FV22" ca="1">IF(SwitchPA=1,_xll.TR(FV$7,FV$6,"Sdate=#1 Period=#2 NULL=BLANK Scale=6",,$D22,$FS$4),FV22)</f>
        <v/>
      </c>
      <c r="FW22" s="1506" t="str" cm="1">
        <f t="array" aca="1" ref="FW22" ca="1">IF(SwitchPA=1,_xll.TR(FW$7,FW$6,"Sdate=#1 Period=#2 NULL=BLANK Scale=6",,$D22,$FS$4),FW22)</f>
        <v/>
      </c>
      <c r="FX22" s="1506" cm="1">
        <f t="array" aca="1" ref="FX22" ca="1">IF(SwitchPA=1,_xll.TR(FX$7,FX$6,"Sdate=#1 Period=#2 NULL=BLANK Scale=6",,$D22,$FS$4),FX22)</f>
        <v>64</v>
      </c>
      <c r="FY22" s="1506" t="str" cm="1">
        <f t="array" aca="1" ref="FY22" ca="1">IF(SwitchPA=1,_xll.TR(FY$7,FY$6,"Sdate=#1 Period=#2 NULL=BLANK Scale=6",,$D22,$FS$4),FY22)</f>
        <v/>
      </c>
      <c r="FZ22" s="1506" t="str" cm="1">
        <f t="array" aca="1" ref="FZ22" ca="1">IF(SwitchPA=1,_xll.TR(FZ$7,FZ$6,"Sdate=#1 Period=#2 NULL=BLANK Scale=6",,$D22,$FS$4),FZ22)</f>
        <v/>
      </c>
      <c r="GA22" s="1506" cm="1">
        <f t="array" aca="1" ref="GA22" ca="1">IF(SwitchPA=1,_xll.TR(GA$7,GA$6,"Sdate=#1 Period=#2 NULL=BLANK Scale=6",,$D22,$FS$4),GA22)</f>
        <v>3096</v>
      </c>
      <c r="GB22" s="1506" cm="1">
        <f t="array" aca="1" ref="GB22" ca="1">IF(SwitchPA=1,_xll.TR(GB$7,GB$6,"Sdate=#1 Period=#2 NULL=BLANK Scale=6",,$D22,$FS$4),GB22)</f>
        <v>109.04</v>
      </c>
      <c r="GC22" s="1506" cm="1">
        <f t="array" aca="1" ref="GC22" ca="1">IF(SwitchPA=1,_xll.TR(GC$7,GC$6,"Sdate=#1 Period=#2 NULL=BLANK Scale=6",,$D22,$FS$4),GC22)</f>
        <v>398</v>
      </c>
      <c r="GD22" s="1506" cm="1">
        <f t="array" aca="1" ref="GD22" ca="1">IF(SwitchPA=1,_xll.TR(GD$7,GD$6,"Sdate=#1 Period=#2 NULL=BLANK Scale=6",,$D22,$FS$4),GD22)</f>
        <v>-198.8</v>
      </c>
      <c r="GE22" s="1506" t="str" cm="1">
        <f t="array" aca="1" ref="GE22" ca="1">IF(SwitchPA=1,_xll.TR(GE$7,GE$6,"Sdate=#1 Period=#2 NULL=BLANK Scale=6",,$D22,$FS$4),GE22)</f>
        <v/>
      </c>
      <c r="GF22" s="1506" cm="1">
        <f t="array" aca="1" ref="GF22" ca="1">IF(SwitchPA=1,_xll.TR(GF$7,GF$6,"Sdate=#1 Period=#2 NULL=BLANK Scale=6",,$D22,$FS$4),GF22)</f>
        <v>113.6</v>
      </c>
      <c r="GG22" s="1506" cm="1">
        <f t="array" aca="1" ref="GG22" ca="1">IF(SwitchPA=1,_xll.TR(GG$7,GG$6,"Sdate=#1 Period=#2 NULL=BLANK Scale=6",,$D22,$FS$4),GG22)</f>
        <v>906</v>
      </c>
      <c r="GH22" s="1506" cm="1">
        <f t="array" aca="1" ref="GH22" ca="1">IF(SwitchPA=1,_xll.TR(GH$7,GH$6,"Sdate=#1 Period=#2 NULL=BLANK Scale=6",,$D22,$FS$4),GH22)</f>
        <v>376</v>
      </c>
      <c r="GI22" s="1506" t="str" cm="1">
        <f t="array" aca="1" ref="GI22" ca="1">IF(SwitchPA=1,_xll.TR(GI$7,GI$6,"Sdate=#1 Period=#2 NULL=BLANK Scale=6",,$D22,$FS$4),GI22)</f>
        <v>Unable to resolve all requested identifiers.</v>
      </c>
      <c r="GK22" s="1506" t="str" cm="1">
        <f t="array" aca="1" ref="GK22" ca="1">IF(SwitchPA=1,_xll.TR(GK$7,GK$6,"Sdate=#1 Period=#2 NULL=BLANK Scale=6",,$D22,$FS$4),GK22)</f>
        <v/>
      </c>
      <c r="GL22" s="1506" t="str" cm="1">
        <f t="array" aca="1" ref="GL22" ca="1">IF(SwitchPA=1,_xll.TR(GL$7,GL$6,"Sdate=#1 Period=#2 NULL=BLANK Scale=6",,$D22,$FS$4),GL22)</f>
        <v/>
      </c>
      <c r="GM22" s="1506" t="str" cm="1">
        <f t="array" aca="1" ref="GM22" ca="1">IF(SwitchPA=1,_xll.TR(GM$7,GM$6,"Sdate=#1 Period=#2 NULL=BLANK Scale=6",,$D22,$FS$4),GM22)</f>
        <v/>
      </c>
      <c r="GN22" s="1506" t="str" cm="1">
        <f t="array" aca="1" ref="GN22" ca="1">IF(SwitchPA=1,_xll.TR(GN$7,GN$6,"Sdate=#1 Period=#2 NULL=BLANK Scale=6",,$D22,$FS$4),GN22)</f>
        <v/>
      </c>
      <c r="GO22" s="1506" t="str" cm="1">
        <f t="array" aca="1" ref="GO22" ca="1">IF(SwitchPA=1,_xll.TR(GO$7,GO$6,"Sdate=#1 Period=#2 NULL=BLANK Scale=6",,$D22,$FS$4),GO22)</f>
        <v/>
      </c>
      <c r="GP22" s="1506" t="str" cm="1">
        <f t="array" aca="1" ref="GP22" ca="1">IF(SwitchPA=1,_xll.TR(GP$7,GP$6,"Sdate=#1 Period=#2 NULL=BLANK Scale=6",,$D22,$FS$4),GP22)</f>
        <v/>
      </c>
      <c r="GQ22" s="1506" t="str" cm="1">
        <f t="array" aca="1" ref="GQ22" ca="1">IF(SwitchPA=1,_xll.TR(GQ$7,GQ$6,"Sdate=#1 Period=#2 NULL=BLANK Scale=6",,$D22,$FS$4),GQ22)</f>
        <v/>
      </c>
      <c r="GR22" s="1506" t="str" cm="1">
        <f t="array" aca="1" ref="GR22" ca="1">IF(SwitchPA=1,_xll.TR(GR$7,GR$6,"Sdate=#1 Period=#2 NULL=BLANK Scale=6",,$D22,$FS$4),GR22)</f>
        <v/>
      </c>
      <c r="GS22" s="1506" t="str" cm="1">
        <f t="array" aca="1" ref="GS22" ca="1">IF(SwitchPA=1,_xll.TR(GS$7,GS$6,"Sdate=#1 Period=#2 NULL=BLANK Scale=6",,$D22,$FS$4),GS22)</f>
        <v/>
      </c>
      <c r="GT22" s="1506" t="str" cm="1">
        <f t="array" aca="1" ref="GT22" ca="1">IF(SwitchPA=1,_xll.TR(GT$7,GT$6,"Sdate=#1 Period=#2 NULL=BLANK Scale=6",,$D22,$FS$4),GT22)</f>
        <v/>
      </c>
      <c r="GU22" s="1506" t="str" cm="1">
        <f t="array" aca="1" ref="GU22" ca="1">IF(SwitchPA=1,_xll.TR(GU$7,GU$6,"Sdate=#1 Period=#2 NULL=BLANK Scale=6",,$D22,$FS$4),GU22)</f>
        <v/>
      </c>
      <c r="GV22" s="1506" t="str" cm="1">
        <f t="array" aca="1" ref="GV22" ca="1">IF(SwitchPA=1,_xll.TR(GV$7,GV$6,"Sdate=#1 Period=#2 NULL=BLANK Scale=6",,$D22,$FS$4),GV22)</f>
        <v/>
      </c>
      <c r="GW22" s="1506" t="str" cm="1">
        <f t="array" aca="1" ref="GW22" ca="1">IF(SwitchPA=1,_xll.TR(GW$7,GW$6,"Sdate=#1 Period=#2 NULL=BLANK Scale=6",,$D22,$FS$4),GW22)</f>
        <v/>
      </c>
      <c r="GX22" s="1506" t="str" cm="1">
        <f t="array" aca="1" ref="GX22" ca="1">IF(SwitchPA=1,_xll.TR(GX$7,GX$6,"Sdate=#1 Period=#2 NULL=BLANK Scale=6",,$D22,$FS$4),GX22)</f>
        <v/>
      </c>
      <c r="GY22" s="1506" t="str" cm="1">
        <f t="array" aca="1" ref="GY22" ca="1">IF(SwitchPA=1,_xll.TR(GY$7,GY$6,"Sdate=#1 Period=#2 NULL=BLANK Scale=6",,$D22,$FS$4),GY22)</f>
        <v/>
      </c>
      <c r="GZ22" s="1506" t="str" cm="1">
        <f t="array" aca="1" ref="GZ22" ca="1">IF(SwitchPA=1,_xll.TR(GZ$7,GZ$6,"Sdate=#1 Period=#2 NULL=BLANK Scale=6",,$D22,$FS$4),GZ22)</f>
        <v/>
      </c>
      <c r="HA22" s="1506" t="str" cm="1">
        <f t="array" aca="1" ref="HA22" ca="1">IF(SwitchPA=1,_xll.TR(HA$7,HA$6,"Sdate=#1 Period=#2 NULL=BLANK Scale=6",,$D22,$FS$4),HA22)</f>
        <v/>
      </c>
      <c r="HC22">
        <v>5.47</v>
      </c>
      <c r="HD22">
        <v>31.08</v>
      </c>
      <c r="HE22">
        <v>28.85</v>
      </c>
      <c r="HG22" s="762">
        <f t="shared" ref="HG22:HG41" si="52">HC22/HC21-1</f>
        <v>0.61834319526627213</v>
      </c>
      <c r="HH22" s="762">
        <f t="shared" ref="HH22:HH41" si="53">HD22/HD21-1</f>
        <v>0.18716577540106938</v>
      </c>
      <c r="HI22" s="762">
        <f t="shared" ref="HI22:HI41" si="54">HE22/HE21-1</f>
        <v>0.15446178471388561</v>
      </c>
    </row>
    <row r="23" spans="1:217" ht="11.25" customHeight="1">
      <c r="C23" s="1514">
        <f t="shared" si="51"/>
        <v>38352</v>
      </c>
      <c r="D23" s="1515">
        <f t="shared" si="49"/>
        <v>38397</v>
      </c>
      <c r="E23" s="1506" cm="1">
        <f t="array" aca="1" ref="E23" ca="1">IF(SwitchPA=1,_xll.TR(E$7,E$6,"Sdate=#1 Period=#2 NULL=BLANK",,$D23,$E$4),E23)</f>
        <v>7.1596350422116304</v>
      </c>
      <c r="F23" s="1506" t="str" cm="1">
        <f t="array" aca="1" ref="F23" ca="1">IF(SwitchPA=1,_xll.TR(F$7,F$6,"Sdate=#1 Period=#2 NULL=BLANK",,$D23,$E$4),F23)</f>
        <v/>
      </c>
      <c r="G23" s="1506" cm="1">
        <f t="array" aca="1" ref="G23" ca="1">IF(SwitchPA=1,_xll.TR(G$7,G$6,"Sdate=#1 Period=#2 NULL=BLANK",,$D23,$E$4),G23)</f>
        <v>4.6757616890881497</v>
      </c>
      <c r="H23" s="1506" t="str" cm="1">
        <f t="array" aca="1" ref="H23" ca="1">IF(SwitchPA=1,_xll.TR(H$7,H$6,"Sdate=#1 Period=#2 NULL=BLANK",,$D23,$E$4),H23)</f>
        <v/>
      </c>
      <c r="I23" s="1506" t="str" cm="1">
        <f t="array" aca="1" ref="I23" ca="1">IF(SwitchPA=1,_xll.TR(I$7,I$6,"Sdate=#1 Period=#2 NULL=BLANK",,$D23,$E$4),I23)</f>
        <v/>
      </c>
      <c r="J23" s="1506" cm="1">
        <f t="array" aca="1" ref="J23" ca="1">IF(SwitchPA=1,_xll.TR(J$7,J$6,"Sdate=#1 Period=#2 NULL=BLANK",,$D23,$E$4),J23)</f>
        <v>5.47653336457335</v>
      </c>
      <c r="K23" s="1506" t="str" cm="1">
        <f t="array" aca="1" ref="K23" ca="1">IF(SwitchPA=1,_xll.TR(K$7,K$6,"Sdate=#1 Period=#2 NULL=BLANK",,$D23,$E$4),K23)</f>
        <v/>
      </c>
      <c r="L23" s="1506" t="str" cm="1">
        <f t="array" aca="1" ref="L23" ca="1">IF(SwitchPA=1,_xll.TR(L$7,L$6,"Sdate=#1 Period=#2 NULL=BLANK",,$D23,$E$4),L23)</f>
        <v/>
      </c>
      <c r="M23" s="1506" cm="1">
        <f t="array" aca="1" ref="M23" ca="1">IF(SwitchPA=1,_xll.TR(M$7,M$6,"Sdate=#1 Period=#2 NULL=BLANK",,$D23,$E$4),M23)</f>
        <v>10.5371407903595</v>
      </c>
      <c r="N23" s="1506" cm="1">
        <f t="array" aca="1" ref="N23" ca="1">IF(SwitchPA=1,_xll.TR(N$7,N$6,"Sdate=#1 Period=#2 NULL=BLANK",,$D23,$E$4),N23)</f>
        <v>8.4810239999999997</v>
      </c>
      <c r="O23" s="1506" cm="1">
        <f t="array" aca="1" ref="O23" ca="1">IF(SwitchPA=1,_xll.TR(O$7,O$6,"Sdate=#1 Period=#2 NULL=BLANK",,$D23,$E$4),O23)</f>
        <v>6.8159051195180798</v>
      </c>
      <c r="P23" s="1506" cm="1">
        <f t="array" aca="1" ref="P23" ca="1">IF(SwitchPA=1,_xll.TR(P$7,P$6,"Sdate=#1 Period=#2 NULL=BLANK",,$D23,$E$4),P23)</f>
        <v>6.5239899077085601</v>
      </c>
      <c r="Q23" s="1506" t="str" cm="1">
        <f t="array" aca="1" ref="Q23" ca="1">IF(SwitchPA=1,_xll.TR(Q$7,Q$6,"Sdate=#1 Period=#2 NULL=BLANK",,$D23,$E$4),Q23)</f>
        <v/>
      </c>
      <c r="R23" s="1506" cm="1">
        <f t="array" aca="1" ref="R23" ca="1">IF(SwitchPA=1,_xll.TR(R$7,R$6,"Sdate=#1 Period=#2 NULL=BLANK",,$D23,$E$4),R23)</f>
        <v>6.7003797540549801</v>
      </c>
      <c r="S23" s="1506" cm="1">
        <f t="array" aca="1" ref="S23" ca="1">IF(SwitchPA=1,_xll.TR(S$7,S$6,"Sdate=#1 Period=#2 NULL=BLANK",,$D23,$E$4),S23)</f>
        <v>7.3815473673909899</v>
      </c>
      <c r="T23" s="1506" cm="1">
        <f t="array" aca="1" ref="T23" ca="1">IF(SwitchPA=1,_xll.TR(T$7,T$6,"Sdate=#1 Period=#2 NULL=BLANK",,$D23,$E$4),T23)</f>
        <v>7.1357045111673898</v>
      </c>
      <c r="U23" s="1506" t="str" cm="1">
        <f t="array" aca="1" ref="U23" ca="1">IF(SwitchPA=1,_xll.TR(U$7,U$6,"Sdate=#1 Period=#2 NULL=BLANK",,$D23,$E$4),U23)</f>
        <v>No universe defined.</v>
      </c>
      <c r="V23" s="1506" t="str" cm="1">
        <f t="array" aca="1" ref="V23" ca="1">IF(SwitchPA=1,_xll.TR(V$7,V$6,"Sdate=#1 Period=#2 NULL=BLANK",,$D23,$E$4),V23)</f>
        <v>No universe defined.</v>
      </c>
      <c r="X23" s="1506" cm="1">
        <f t="array" aca="1" ref="X23" ca="1">IF(SwitchPA=1,_xll.TR(X$7,X$6,"Sdate=#1 Period=#2 NULL=BLANK",,$D23,$X$4),X23)</f>
        <v>8.4010254093316501</v>
      </c>
      <c r="Y23" s="1506" t="str" cm="1">
        <f t="array" aca="1" ref="Y23" ca="1">IF(SwitchPA=1,_xll.TR(Y$7,Y$6,"Sdate=#1 Period=#2 NULL=BLANK",,$D23,$X$4),Y23)</f>
        <v/>
      </c>
      <c r="Z23" s="1506" cm="1">
        <f t="array" aca="1" ref="Z23" ca="1">IF(SwitchPA=1,_xll.TR(Z$7,Z$6,"Sdate=#1 Period=#2 NULL=BLANK",,$D23,$X$4),Z23)</f>
        <v>4.8828369958462901</v>
      </c>
      <c r="AA23" s="1506" t="str" cm="1">
        <f t="array" aca="1" ref="AA23" ca="1">IF(SwitchPA=1,_xll.TR(AA$7,AA$6,"Sdate=#1 Period=#2 NULL=BLANK",,$D23,$X$4),AA23)</f>
        <v/>
      </c>
      <c r="AB23" s="1506" t="str" cm="1">
        <f t="array" aca="1" ref="AB23" ca="1">IF(SwitchPA=1,_xll.TR(AB$7,AB$6,"Sdate=#1 Period=#2 NULL=BLANK",,$D23,$X$4),AB23)</f>
        <v/>
      </c>
      <c r="AC23" s="1506" cm="1">
        <f t="array" aca="1" ref="AC23" ca="1">IF(SwitchPA=1,_xll.TR(AC$7,AC$6,"Sdate=#1 Period=#2 NULL=BLANK",,$D23,$X$4),AC23)</f>
        <v>9.8102607114641494</v>
      </c>
      <c r="AD23" s="1506" t="str" cm="1">
        <f t="array" aca="1" ref="AD23" ca="1">IF(SwitchPA=1,_xll.TR(AD$7,AD$6,"Sdate=#1 Period=#2 NULL=BLANK",,$D23,$X$4),AD23)</f>
        <v/>
      </c>
      <c r="AE23" s="1506" t="str" cm="1">
        <f t="array" aca="1" ref="AE23" ca="1">IF(SwitchPA=1,_xll.TR(AE$7,AE$6,"Sdate=#1 Period=#2 NULL=BLANK",,$D23,$X$4),AE23)</f>
        <v/>
      </c>
      <c r="AF23" s="1506" cm="1">
        <f t="array" aca="1" ref="AF23" ca="1">IF(SwitchPA=1,_xll.TR(AF$7,AF$6,"Sdate=#1 Period=#2 NULL=BLANK",,$D23,$X$4),AF23)</f>
        <v>11.5139967904427</v>
      </c>
      <c r="AG23" s="1506" cm="1">
        <f t="array" aca="1" ref="AG23" ca="1">IF(SwitchPA=1,_xll.TR(AG$7,AG$6,"Sdate=#1 Period=#2 NULL=BLANK",,$D23,$X$4),AG23)</f>
        <v>10.4305678862807</v>
      </c>
      <c r="AH23" s="1506" cm="1">
        <f t="array" aca="1" ref="AH23" ca="1">IF(SwitchPA=1,_xll.TR(AH$7,AH$6,"Sdate=#1 Period=#2 NULL=BLANK",,$D23,$X$4),AH23)</f>
        <v>6.8144562660258403</v>
      </c>
      <c r="AI23" s="1506" cm="1">
        <f t="array" aca="1" ref="AI23" ca="1">IF(SwitchPA=1,_xll.TR(AI$7,AI$6,"Sdate=#1 Period=#2 NULL=BLANK",,$D23,$X$4),AI23)</f>
        <v>7.8671992230412204</v>
      </c>
      <c r="AJ23" s="1506" t="str" cm="1">
        <f t="array" aca="1" ref="AJ23" ca="1">IF(SwitchPA=1,_xll.TR(AJ$7,AJ$6,"Sdate=#1 Period=#2 NULL=BLANK",,$D23,$X$4),AJ23)</f>
        <v/>
      </c>
      <c r="AK23" s="1506" cm="1">
        <f t="array" aca="1" ref="AK23" ca="1">IF(SwitchPA=1,_xll.TR(AK$7,AK$6,"Sdate=#1 Period=#2 NULL=BLANK",,$D23,$X$4),AK23)</f>
        <v>7.28760510078083</v>
      </c>
      <c r="AL23" s="1506" cm="1">
        <f t="array" aca="1" ref="AL23" ca="1">IF(SwitchPA=1,_xll.TR(AL$7,AL$6,"Sdate=#1 Period=#2 NULL=BLANK",,$D23,$X$4),AL23)</f>
        <v>8.3757236926784095</v>
      </c>
      <c r="AM23" s="1506" cm="1">
        <f t="array" aca="1" ref="AM23" ca="1">IF(SwitchPA=1,_xll.TR(AM$7,AM$6,"Sdate=#1 Period=#2 NULL=BLANK",,$D23,$X$4),AM23)</f>
        <v>7.51567363032499</v>
      </c>
      <c r="AN23" s="1506" t="str" cm="1">
        <f t="array" aca="1" ref="AN23" ca="1">IF(SwitchPA=1,_xll.TR(AN$7,AN$6,"Sdate=#1 Period=#2 NULL=BLANK",,$D23,$X$4),AN23)</f>
        <v/>
      </c>
      <c r="AO23" s="1506" t="str" cm="1">
        <f t="array" aca="1" ref="AO23" ca="1">IF(SwitchPA=1,_xll.TR(AO$7,AO$6,"Sdate=#1 Period=#2 NULL=BLANK",,$D23,$X$4),AO23)</f>
        <v/>
      </c>
      <c r="AQ23" s="1506" t="str" cm="1">
        <f t="array" aca="1" ref="AQ23" ca="1">IF(SwitchPA=1,_xll.TR(AQ$7,AQ$6,"Sdate=#1 Period=#2 NULL=BLANK Scale=6",,$D23,$AQ$4),AQ23)</f>
        <v/>
      </c>
      <c r="AR23" s="1506" t="str" cm="1">
        <f t="array" aca="1" ref="AR23" ca="1">IF(SwitchPA=1,_xll.TR(AR$7,AR$6,"Sdate=#1 Period=#2 NULL=BLANK Scale=6",,$D23,$AQ$4),AR23)</f>
        <v/>
      </c>
      <c r="AS23" s="1506" t="str" cm="1">
        <f t="array" aca="1" ref="AS23" ca="1">IF(SwitchPA=1,_xll.TR(AS$7,AS$6,"Sdate=#1 Period=#2 NULL=BLANK Scale=6",,$D23,$AQ$4),AS23)</f>
        <v/>
      </c>
      <c r="AT23" s="1506" t="str" cm="1">
        <f t="array" aca="1" ref="AT23" ca="1">IF(SwitchPA=1,_xll.TR(AT$7,AT$6,"Sdate=#1 Period=#2 NULL=BLANK Scale=6",,$D23,$AQ$4),AT23)</f>
        <v/>
      </c>
      <c r="AU23" s="1506" t="str" cm="1">
        <f t="array" aca="1" ref="AU23" ca="1">IF(SwitchPA=1,_xll.TR(AU$7,AU$6,"Sdate=#1 Period=#2 NULL=BLANK Scale=6",,$D23,$AQ$4),AU23)</f>
        <v/>
      </c>
      <c r="AV23" s="1506" t="str" cm="1">
        <f t="array" aca="1" ref="AV23" ca="1">IF(SwitchPA=1,_xll.TR(AV$7,AV$6,"Sdate=#1 Period=#2 NULL=BLANK Scale=6",,$D23,$AQ$4),AV23)</f>
        <v/>
      </c>
      <c r="AW23" s="1506" t="str" cm="1">
        <f t="array" aca="1" ref="AW23" ca="1">IF(SwitchPA=1,_xll.TR(AW$7,AW$6,"Sdate=#1 Period=#2 NULL=BLANK Scale=6",,$D23,$AQ$4),AW23)</f>
        <v/>
      </c>
      <c r="AX23" s="1506" t="str" cm="1">
        <f t="array" aca="1" ref="AX23" ca="1">IF(SwitchPA=1,_xll.TR(AX$7,AX$6,"Sdate=#1 Period=#2 NULL=BLANK Scale=6",,$D23,$AQ$4),AX23)</f>
        <v/>
      </c>
      <c r="AY23" s="1506" t="str" cm="1">
        <f t="array" aca="1" ref="AY23" ca="1">IF(SwitchPA=1,_xll.TR(AY$7,AY$6,"Sdate=#1 Period=#2 NULL=BLANK Scale=6",,$D23,$AQ$4),AY23)</f>
        <v/>
      </c>
      <c r="AZ23" s="1506" t="str" cm="1">
        <f t="array" aca="1" ref="AZ23" ca="1">IF(SwitchPA=1,_xll.TR(AZ$7,AZ$6,"Sdate=#1 Period=#2 NULL=BLANK Scale=6",,$D23,$AQ$4),AZ23)</f>
        <v/>
      </c>
      <c r="BA23" s="1506" t="str" cm="1">
        <f t="array" aca="1" ref="BA23" ca="1">IF(SwitchPA=1,_xll.TR(BA$7,BA$6,"Sdate=#1 Period=#2 NULL=BLANK Scale=6",,$D23,$AQ$4),BA23)</f>
        <v/>
      </c>
      <c r="BB23" s="1506" t="str" cm="1">
        <f t="array" aca="1" ref="BB23" ca="1">IF(SwitchPA=1,_xll.TR(BB$7,BB$6,"Sdate=#1 Period=#2 NULL=BLANK Scale=6",,$D23,$AQ$4),BB23)</f>
        <v/>
      </c>
      <c r="BC23" s="1506" t="str" cm="1">
        <f t="array" aca="1" ref="BC23" ca="1">IF(SwitchPA=1,_xll.TR(BC$7,BC$6,"Sdate=#1 Period=#2 NULL=BLANK Scale=6",,$D23,$AQ$4),BC23)</f>
        <v/>
      </c>
      <c r="BD23" s="1506" t="str" cm="1">
        <f t="array" aca="1" ref="BD23" ca="1">IF(SwitchPA=1,_xll.TR(BD$7,BD$6,"Sdate=#1 Period=#2 NULL=BLANK Scale=6",,$D23,$AQ$4),BD23)</f>
        <v/>
      </c>
      <c r="BE23" s="1506" t="str" cm="1">
        <f t="array" aca="1" ref="BE23" ca="1">IF(SwitchPA=1,_xll.TR(BE$7,BE$6,"Sdate=#1 Period=#2 NULL=BLANK Scale=6",,$D23,$AQ$4),BE23)</f>
        <v/>
      </c>
      <c r="BF23" s="1506" t="str" cm="1">
        <f t="array" aca="1" ref="BF23" ca="1">IF(SwitchPA=1,_xll.TR(BF$7,BF$6,"Sdate=#1 Period=#2 NULL=BLANK Scale=6",,$D23,$AQ$4),BF23)</f>
        <v/>
      </c>
      <c r="BG23" s="1506" t="str" cm="1">
        <f t="array" aca="1" ref="BG23" ca="1">IF(SwitchPA=1,_xll.TR(BG$7,BG$6,"Sdate=#1 Period=#2 NULL=BLANK Scale=6",,$D23,$AQ$4),BG23)</f>
        <v/>
      </c>
      <c r="BH23" s="1506" t="str" cm="1">
        <f t="array" aca="1" ref="BH23" ca="1">IF(SwitchPA=1,_xll.TR(BH$7,BH$6,"Sdate=#1 Period=#2 NULL=BLANK Scale=6",,$D23,$AQ$4),BH23)</f>
        <v/>
      </c>
      <c r="BJ23" s="1506" cm="1">
        <f t="array" aca="1" ref="BJ23" ca="1">IF(SwitchPA=1,_xll.TR(BJ$7,BJ$6,"Sdate=#1 Period=#2 NULL=BLANK Scale=6",,$D23,$BJ$4),BJ23)</f>
        <v>9.4901214839999994</v>
      </c>
      <c r="BK23" s="1506" cm="1">
        <f t="array" aca="1" ref="BK23" ca="1">IF(SwitchPA=1,_xll.TR(BK$7,BK$6,"Sdate=#1 Period=#2 NULL=BLANK Scale=6",,$D23,$BJ$4),BK23)</f>
        <v>10.613856435000001</v>
      </c>
      <c r="BL23" s="1506" cm="1">
        <f t="array" aca="1" ref="BL23" ca="1">IF(SwitchPA=1,_xll.TR(BL$7,BL$6,"Sdate=#1 Period=#2 NULL=BLANK Scale=6",,$D23,$BJ$4),BL23)</f>
        <v>5.0643401819999996</v>
      </c>
      <c r="BM23" s="1506" t="str" cm="1">
        <f t="array" aca="1" ref="BM23" ca="1">IF(SwitchPA=1,_xll.TR(BM$7,BM$6,"Sdate=#1 Period=#2 NULL=BLANK Scale=6",,$D23,$BJ$4),BM23)</f>
        <v/>
      </c>
      <c r="BN23" s="1506" t="str" cm="1">
        <f t="array" aca="1" ref="BN23" ca="1">IF(SwitchPA=1,_xll.TR(BN$7,BN$6,"Sdate=#1 Period=#2 NULL=BLANK Scale=6",,$D23,$BJ$4),BN23)</f>
        <v/>
      </c>
      <c r="BO23" s="1506" cm="1">
        <f t="array" aca="1" ref="BO23" ca="1">IF(SwitchPA=1,_xll.TR(BO$7,BO$6,"Sdate=#1 Period=#2 NULL=BLANK Scale=6",,$D23,$BJ$4),BO23)</f>
        <v>14.272924286</v>
      </c>
      <c r="BP23" s="1506" t="str" cm="1">
        <f t="array" aca="1" ref="BP23" ca="1">IF(SwitchPA=1,_xll.TR(BP$7,BP$6,"Sdate=#1 Period=#2 NULL=BLANK Scale=6",,$D23,$BJ$4),BP23)</f>
        <v/>
      </c>
      <c r="BQ23" s="1506" cm="1">
        <f t="array" aca="1" ref="BQ23" ca="1">IF(SwitchPA=1,_xll.TR(BQ$7,BQ$6,"Sdate=#1 Period=#2 NULL=BLANK Scale=6",,$D23,$BJ$4),BQ23)</f>
        <v>11.666997688</v>
      </c>
      <c r="BR23" s="1506" cm="1">
        <f t="array" aca="1" ref="BR23" ca="1">IF(SwitchPA=1,_xll.TR(BR$7,BR$6,"Sdate=#1 Period=#2 NULL=BLANK Scale=6",,$D23,$BJ$4),BR23)</f>
        <v>12.196802086</v>
      </c>
      <c r="BS23" s="1506" cm="1">
        <f t="array" aca="1" ref="BS23" ca="1">IF(SwitchPA=1,_xll.TR(BS$7,BS$6,"Sdate=#1 Period=#2 NULL=BLANK Scale=6",,$D23,$BJ$4),BS23)</f>
        <v>11.363972030999999</v>
      </c>
      <c r="BT23" s="1506" cm="1">
        <f t="array" aca="1" ref="BT23" ca="1">IF(SwitchPA=1,_xll.TR(BT$7,BT$6,"Sdate=#1 Period=#2 NULL=BLANK Scale=6",,$D23,$BJ$4),BT23)</f>
        <v>6.482312866</v>
      </c>
      <c r="BU23" s="1506" cm="1">
        <f t="array" aca="1" ref="BU23" ca="1">IF(SwitchPA=1,_xll.TR(BU$7,BU$6,"Sdate=#1 Period=#2 NULL=BLANK Scale=6",,$D23,$BJ$4),BU23)</f>
        <v>10.990675345</v>
      </c>
      <c r="BV23" s="1506" t="str" cm="1">
        <f t="array" aca="1" ref="BV23" ca="1">IF(SwitchPA=1,_xll.TR(BV$7,BV$6,"Sdate=#1 Period=#2 NULL=BLANK Scale=6",,$D23,$BJ$4),BV23)</f>
        <v/>
      </c>
      <c r="BW23" s="1506" cm="1">
        <f t="array" aca="1" ref="BW23" ca="1">IF(SwitchPA=1,_xll.TR(BW$7,BW$6,"Sdate=#1 Period=#2 NULL=BLANK Scale=6",,$D23,$BJ$4),BW23)</f>
        <v>7.4813298829999999</v>
      </c>
      <c r="BX23" s="1506" cm="1">
        <f t="array" aca="1" ref="BX23" ca="1">IF(SwitchPA=1,_xll.TR(BX$7,BX$6,"Sdate=#1 Period=#2 NULL=BLANK Scale=6",,$D23,$BJ$4),BX23)</f>
        <v>8.7621159179999992</v>
      </c>
      <c r="BY23" s="1506" cm="1">
        <f t="array" aca="1" ref="BY23" ca="1">IF(SwitchPA=1,_xll.TR(BY$7,BY$6,"Sdate=#1 Period=#2 NULL=BLANK Scale=6",,$D23,$BJ$4),BY23)</f>
        <v>7.6460798350000001</v>
      </c>
      <c r="BZ23" s="1506" t="str" cm="1">
        <f t="array" aca="1" ref="BZ23" ca="1">IF(SwitchPA=1,_xll.TR(BZ$7,BZ$6,"Sdate=#1 Period=#2 NULL=BLANK Scale=6",,$D23,$BJ$4),BZ23)</f>
        <v/>
      </c>
      <c r="CA23" s="1506" t="str" cm="1">
        <f t="array" aca="1" ref="CA23" ca="1">IF(SwitchPA=1,_xll.TR(CA$7,CA$6,"Sdate=#1 Period=#2 NULL=BLANK Scale=6",,$D23,$BJ$4),CA23)</f>
        <v/>
      </c>
      <c r="CC23" s="1506" cm="1">
        <f t="array" aca="1" ref="CC23" ca="1">IF(SwitchPA=1,_xll.TR(CC$7,CC$6,"Sdate=#1 Period=#2 NULL=BLANK Scale=6",,$D23,$CC$4),CC23)</f>
        <v>6580</v>
      </c>
      <c r="CD23" s="1506" cm="1">
        <f t="array" aca="1" ref="CD23" ca="1">IF(SwitchPA=1,_xll.TR(CD$7,CD$6,"Sdate=#1 Period=#2 NULL=BLANK Scale=6",,$D23,$CC$4),CD23)</f>
        <v>4814</v>
      </c>
      <c r="CE23" s="1506" cm="1">
        <f t="array" aca="1" ref="CE23" ca="1">IF(SwitchPA=1,_xll.TR(CE$7,CE$6,"Sdate=#1 Period=#2 NULL=BLANK Scale=6",,$D23,$CC$4),CE23)</f>
        <v>36219.199999999997</v>
      </c>
      <c r="CF23" s="1506" t="str" cm="1">
        <f t="array" aca="1" ref="CF23" ca="1">IF(SwitchPA=1,_xll.TR(CF$7,CF$6,"Sdate=#1 Period=#2 NULL=BLANK Scale=6",,$D23,$CC$4),CF23)</f>
        <v/>
      </c>
      <c r="CG23" s="1506" t="str" cm="1">
        <f t="array" aca="1" ref="CG23" ca="1">IF(SwitchPA=1,_xll.TR(CG$7,CG$6,"Sdate=#1 Period=#2 NULL=BLANK Scale=6",,$D23,$CC$4),CG23)</f>
        <v/>
      </c>
      <c r="CH23" s="1506" cm="1">
        <f t="array" aca="1" ref="CH23" ca="1">IF(SwitchPA=1,_xll.TR(CH$7,CH$6,"Sdate=#1 Period=#2 NULL=BLANK Scale=6",,$D23,$CC$4),CH23)</f>
        <v>1996.8</v>
      </c>
      <c r="CI23" s="1506" t="str" cm="1">
        <f t="array" aca="1" ref="CI23" ca="1">IF(SwitchPA=1,_xll.TR(CI$7,CI$6,"Sdate=#1 Period=#2 NULL=BLANK Scale=6",,$D23,$CC$4),CI23)</f>
        <v/>
      </c>
      <c r="CJ23" s="1506" t="str" cm="1">
        <f t="array" aca="1" ref="CJ23" ca="1">IF(SwitchPA=1,_xll.TR(CJ$7,CJ$6,"Sdate=#1 Period=#2 NULL=BLANK Scale=6",,$D23,$CC$4),CJ23)</f>
        <v/>
      </c>
      <c r="CK23" s="1506" cm="1">
        <f t="array" aca="1" ref="CK23" ca="1">IF(SwitchPA=1,_xll.TR(CK$7,CK$6,"Sdate=#1 Period=#2 NULL=BLANK Scale=6",,$D23,$CC$4),CK23)</f>
        <v>20011</v>
      </c>
      <c r="CL23" s="1506" cm="1">
        <f t="array" aca="1" ref="CL23" ca="1">IF(SwitchPA=1,_xll.TR(CL$7,CL$6,"Sdate=#1 Period=#2 NULL=BLANK Scale=6",,$D23,$CC$4),CL23)</f>
        <v>1513.7370000000001</v>
      </c>
      <c r="CM23" s="1506" cm="1">
        <f t="array" aca="1" ref="CM23" ca="1">IF(SwitchPA=1,_xll.TR(CM$7,CM$6,"Sdate=#1 Period=#2 NULL=BLANK Scale=6",,$D23,$CC$4),CM23)</f>
        <v>8542</v>
      </c>
      <c r="CN23" s="1506" cm="1">
        <f t="array" aca="1" ref="CN23" ca="1">IF(SwitchPA=1,_xll.TR(CN$7,CN$6,"Sdate=#1 Period=#2 NULL=BLANK Scale=6",,$D23,$CC$4),CN23)</f>
        <v>2190.1</v>
      </c>
      <c r="CO23" s="1506" t="str" cm="1">
        <f t="array" aca="1" ref="CO23" ca="1">IF(SwitchPA=1,_xll.TR(CO$7,CO$6,"Sdate=#1 Period=#2 NULL=BLANK Scale=6",,$D23,$CC$4),CO23)</f>
        <v/>
      </c>
      <c r="CP23" s="1506" cm="1">
        <f t="array" aca="1" ref="CP23" ca="1">IF(SwitchPA=1,_xll.TR(CP$7,CP$6,"Sdate=#1 Period=#2 NULL=BLANK Scale=6",,$D23,$CC$4),CP23)</f>
        <v>2051.1999999999998</v>
      </c>
      <c r="CQ23" s="1506" cm="1">
        <f t="array" aca="1" ref="CQ23" ca="1">IF(SwitchPA=1,_xll.TR(CQ$7,CQ$6,"Sdate=#1 Period=#2 NULL=BLANK Scale=6",,$D23,$CC$4),CQ23)</f>
        <v>9513</v>
      </c>
      <c r="CR23" s="1506" cm="1">
        <f t="array" aca="1" ref="CR23" ca="1">IF(SwitchPA=1,_xll.TR(CR$7,CR$6,"Sdate=#1 Period=#2 NULL=BLANK Scale=6",,$D23,$CC$4),CR23)</f>
        <v>7414</v>
      </c>
      <c r="CS23" s="1506" t="str" cm="1">
        <f t="array" aca="1" ref="CS23" ca="1">IF(SwitchPA=1,_xll.TR(CS$7,CS$6,"Sdate=#1 Period=#2 NULL=BLANK Scale=6",,$D23,$CC$4),CS23)</f>
        <v>Unable to resolve all requested identifiers.</v>
      </c>
      <c r="CT23" s="1506" t="str" cm="1">
        <f t="array" aca="1" ref="CT23" ca="1">IF(SwitchPA=1,_xll.TR(CT$7,CT$6,"Sdate=#1 Period=#2 NULL=BLANK Scale=6",,$D23,$CC$4),CT23)</f>
        <v>Unable to resolve all requested identifiers.</v>
      </c>
      <c r="CV23" s="1516" cm="1">
        <f t="array" aca="1" ref="CV23" ca="1">IF(SwitchPA=1,_xll.TR(CV$7,CV$6,"Sdate=#1 Period=#2 NULL=BLANK Scale=6",,$D23,$AQ$4),CV23)</f>
        <v>3228.5</v>
      </c>
      <c r="CW23" s="1516" t="str" cm="1">
        <f t="array" aca="1" ref="CW23" ca="1">IF(SwitchPA=1,_xll.TR(CW$7,CW$6,"Sdate=#1 Period=#2 NULL=BLANK Scale=6",,$D23,$AQ$4),CW23)</f>
        <v/>
      </c>
      <c r="CX23" s="1516" cm="1">
        <f t="array" aca="1" ref="CX23" ca="1">IF(SwitchPA=1,_xll.TR(CX$7,CX$6,"Sdate=#1 Period=#2 NULL=BLANK Scale=6",,$D23,$AQ$4),CX23)</f>
        <v>13545.725</v>
      </c>
      <c r="CY23" s="1516" t="str" cm="1">
        <f t="array" aca="1" ref="CY23" ca="1">IF(SwitchPA=1,_xll.TR(CY$7,CY$6,"Sdate=#1 Period=#2 NULL=BLANK Scale=6",,$D23,$AQ$4),CY23)</f>
        <v/>
      </c>
      <c r="CZ23" s="1516" t="str" cm="1">
        <f t="array" aca="1" ref="CZ23" ca="1">IF(SwitchPA=1,_xll.TR(CZ$7,CZ$6,"Sdate=#1 Period=#2 NULL=BLANK Scale=6",,$D23,$AQ$4),CZ23)</f>
        <v/>
      </c>
      <c r="DA23" s="1516" cm="1">
        <f t="array" aca="1" ref="DA23" ca="1">IF(SwitchPA=1,_xll.TR(DA$7,DA$6,"Sdate=#1 Period=#2 NULL=BLANK Scale=6",,$D23,$AQ$4),DA23)</f>
        <v>477.07499999999999</v>
      </c>
      <c r="DB23" s="1516" t="str" cm="1">
        <f t="array" aca="1" ref="DB23" ca="1">IF(SwitchPA=1,_xll.TR(DB$7,DB$6,"Sdate=#1 Period=#2 NULL=BLANK Scale=6",,$D23,$AQ$4),DB23)</f>
        <v/>
      </c>
      <c r="DC23" s="1516" t="str" cm="1">
        <f t="array" aca="1" ref="DC23" ca="1">IF(SwitchPA=1,_xll.TR(DC$7,DC$6,"Sdate=#1 Period=#2 NULL=BLANK Scale=6",,$D23,$AQ$4),DC23)</f>
        <v/>
      </c>
      <c r="DD23" s="1516" cm="1">
        <f t="array" aca="1" ref="DD23" ca="1">IF(SwitchPA=1,_xll.TR(DD$7,DD$6,"Sdate=#1 Period=#2 NULL=BLANK Scale=6",,$D23,$AQ$4),DD23)</f>
        <v>5536.75</v>
      </c>
      <c r="DE23" s="1516" cm="1">
        <f t="array" aca="1" ref="DE23" ca="1">IF(SwitchPA=1,_xll.TR(DE$7,DE$6,"Sdate=#1 Period=#2 NULL=BLANK Scale=6",,$D23,$AQ$4),DE23)</f>
        <v>702.13424999999995</v>
      </c>
      <c r="DF23" s="1516" cm="1">
        <f t="array" aca="1" ref="DF23" ca="1">IF(SwitchPA=1,_xll.TR(DF$7,DF$6,"Sdate=#1 Period=#2 NULL=BLANK Scale=6",,$D23,$AQ$4),DF23)</f>
        <v>1251</v>
      </c>
      <c r="DG23" s="1516" cm="1">
        <f t="array" aca="1" ref="DG23" ca="1">IF(SwitchPA=1,_xll.TR(DG$7,DG$6,"Sdate=#1 Period=#2 NULL=BLANK Scale=6",,$D23,$AQ$4),DG23)</f>
        <v>456.1</v>
      </c>
      <c r="DH23" s="1516" t="str" cm="1">
        <f t="array" aca="1" ref="DH23" ca="1">IF(SwitchPA=1,_xll.TR(DH$7,DH$6,"Sdate=#1 Period=#2 NULL=BLANK Scale=6",,$D23,$AQ$4),DH23)</f>
        <v/>
      </c>
      <c r="DI23" s="1516" cm="1">
        <f t="array" aca="1" ref="DI23" ca="1">IF(SwitchPA=1,_xll.TR(DI$7,DI$6,"Sdate=#1 Period=#2 NULL=BLANK Scale=6",,$D23,$AQ$4),DI23)</f>
        <v>1096.05</v>
      </c>
      <c r="DJ23" s="1516" cm="1">
        <f t="array" aca="1" ref="DJ23" ca="1">IF(SwitchPA=1,_xll.TR(DJ$7,DJ$6,"Sdate=#1 Period=#2 NULL=BLANK Scale=6",,$D23,$AQ$4),DJ23)</f>
        <v>2464</v>
      </c>
      <c r="DK23" s="1516" cm="1">
        <f t="array" aca="1" ref="DK23" ca="1">IF(SwitchPA=1,_xll.TR(DK$7,DK$6,"Sdate=#1 Period=#2 NULL=BLANK Scale=6",,$D23,$AQ$4),DK23)</f>
        <v>3481</v>
      </c>
      <c r="DL23" s="1516" t="str" cm="1">
        <f t="array" aca="1" ref="DL23" ca="1">IF(SwitchPA=1,_xll.TR(DL$7,DL$6,"Sdate=#1 Period=#2 NULL=BLANK Scale=6",,$D23,$AQ$4),DL23)</f>
        <v>Unable to resolve all requested identifiers.</v>
      </c>
      <c r="DM23" s="1516" t="str" cm="1">
        <f t="array" aca="1" ref="DM23" ca="1">IF(SwitchPA=1,_xll.TR(DM$7,DM$6,"Sdate=#1 Period=#2 NULL=BLANK Scale=6",,$D23,$AQ$4),DM23)</f>
        <v>Unable to resolve all requested identifiers.</v>
      </c>
      <c r="DO23" s="1506" cm="1">
        <f t="array" aca="1" ref="DO23" ca="1">IF(SwitchPA=1,_xll.TR(DO$7,DO$6,"Sdate=#1 Period=#2 Scale=6 NULL=BLANK",,$D23,$X$4),DO23)</f>
        <v>6282.4604222899998</v>
      </c>
      <c r="DP23" s="1506" cm="1">
        <f t="array" aca="1" ref="DP23" ca="1">IF(SwitchPA=1,_xll.TR(DP$7,DP$6,"Sdate=#1 Period=#2 Scale=6 NULL=BLANK",,$D23,$X$4),DP23)</f>
        <v>5158.3342276000003</v>
      </c>
      <c r="DQ23" s="1506" cm="1">
        <f t="array" aca="1" ref="DQ23" ca="1">IF(SwitchPA=1,_xll.TR(DQ$7,DQ$6,"Sdate=#1 Period=#2 Scale=6 NULL=BLANK",,$D23,$X$4),DQ23)</f>
        <v>33287.4015803</v>
      </c>
      <c r="DR23" s="1506" t="str" cm="1">
        <f t="array" aca="1" ref="DR23" ca="1">IF(SwitchPA=1,_xll.TR(DR$7,DR$6,"Sdate=#1 Period=#2 Scale=6 NULL=BLANK",,$D23,$X$4),DR23)</f>
        <v/>
      </c>
      <c r="DS23" s="1506" t="str" cm="1">
        <f t="array" aca="1" ref="DS23" ca="1">IF(SwitchPA=1,_xll.TR(DS$7,DS$6,"Sdate=#1 Period=#2 Scale=6 NULL=BLANK",,$D23,$X$4),DS23)</f>
        <v/>
      </c>
      <c r="DT23" s="1506" cm="1">
        <f t="array" aca="1" ref="DT23" ca="1">IF(SwitchPA=1,_xll.TR(DT$7,DT$6,"Sdate=#1 Period=#2 Scale=6 NULL=BLANK",,$D23,$X$4),DT23)</f>
        <v>1904.0080997499999</v>
      </c>
      <c r="DU23" s="1506" t="str" cm="1">
        <f t="array" aca="1" ref="DU23" ca="1">IF(SwitchPA=1,_xll.TR(DU$7,DU$6,"Sdate=#1 Period=#2 Scale=6 NULL=BLANK",,$D23,$X$4),DU23)</f>
        <v/>
      </c>
      <c r="DV23" s="1506" cm="1">
        <f t="array" aca="1" ref="DV23" ca="1">IF(SwitchPA=1,_xll.TR(DV$7,DV$6,"Sdate=#1 Period=#2 Scale=6 NULL=BLANK",,$D23,$X$4),DV23)</f>
        <v>11962.1727295</v>
      </c>
      <c r="DW23" s="1506" cm="1">
        <f t="array" aca="1" ref="DW23" ca="1">IF(SwitchPA=1,_xll.TR(DW$7,DW$6,"Sdate=#1 Period=#2 Scale=6 NULL=BLANK",,$D23,$X$4),DW23)</f>
        <v>66045.683293239999</v>
      </c>
      <c r="DX23" s="1506" cm="1">
        <f t="array" aca="1" ref="DX23" ca="1">IF(SwitchPA=1,_xll.TR(DX$7,DX$6,"Sdate=#1 Period=#2 Scale=6 NULL=BLANK",,$D23,$X$4),DX23)</f>
        <v>2393.9457120000002</v>
      </c>
      <c r="DY23" s="1506" cm="1">
        <f t="array" aca="1" ref="DY23" ca="1">IF(SwitchPA=1,_xll.TR(DY$7,DY$6,"Sdate=#1 Period=#2 Scale=6 NULL=BLANK",,$D23,$X$4),DY23)</f>
        <v>6099.8564073199996</v>
      </c>
      <c r="DZ23" s="1506" cm="1">
        <f t="array" aca="1" ref="DZ23" ca="1">IF(SwitchPA=1,_xll.TR(DZ$7,DZ$6,"Sdate=#1 Period=#2 Scale=6 NULL=BLANK",,$D23,$X$4),DZ23)</f>
        <v>1440.8775376999999</v>
      </c>
      <c r="EA23" s="1506" t="str" cm="1">
        <f t="array" aca="1" ref="EA23" ca="1">IF(SwitchPA=1,_xll.TR(EA$7,EA$6,"Sdate=#1 Period=#2 Scale=6 NULL=BLANK",,$D23,$X$4),EA23)</f>
        <v/>
      </c>
      <c r="EB23" s="1506" cm="1">
        <f t="array" aca="1" ref="EB23" ca="1">IF(SwitchPA=1,_xll.TR(EB$7,EB$6,"Sdate=#1 Period=#2 Scale=6 NULL=BLANK",,$D23,$X$4),EB23)</f>
        <v>2690.2862260000002</v>
      </c>
      <c r="EC23" s="1506" cm="1">
        <f t="array" aca="1" ref="EC23" ca="1">IF(SwitchPA=1,_xll.TR(EC$7,EC$6,"Sdate=#1 Period=#2 Scale=6 NULL=BLANK",,$D23,$X$4),EC23)</f>
        <v>13204.508688960001</v>
      </c>
      <c r="ED23" s="1506" cm="1">
        <f t="array" aca="1" ref="ED23" ca="1">IF(SwitchPA=1,_xll.TR(ED$7,ED$6,"Sdate=#1 Period=#2 Scale=6 NULL=BLANK",,$D23,$X$4),ED23)</f>
        <v>9198.2340413260008</v>
      </c>
      <c r="EE23" s="1506" t="str" cm="1">
        <f t="array" aca="1" ref="EE23" ca="1">IF(SwitchPA=1,_xll.TR(EE$7,EE$6,"Sdate=#1 Period=#2 Scale=6 NULL=BLANK",,$D23,$X$4),EE23)</f>
        <v/>
      </c>
      <c r="EF23" s="1506" t="str" cm="1">
        <f t="array" aca="1" ref="EF23" ca="1">IF(SwitchPA=1,_xll.TR(EF$7,EF$6,"Sdate=#1 Period=#2 Scale=6 NULL=BLANK",,$D23,$X$4),EF23)</f>
        <v/>
      </c>
      <c r="EG23" s="1517"/>
      <c r="EH23" s="1506" cm="1">
        <f t="array" aca="1" ref="EH23" ca="1">IF(SwitchPA=1,_xll.TR(EH$7,EH$6,"Sdate=#1 Period=#2 Scale=6 NULL=BLANK",,$D23,$X$4),EH23)</f>
        <v>381</v>
      </c>
      <c r="EI23" s="1506" cm="1">
        <f t="array" aca="1" ref="EI23" ca="1">IF(SwitchPA=1,_xll.TR(EI$7,EI$6,"Sdate=#1 Period=#2 Scale=6 NULL=BLANK",,$D23,$X$4),EI23)</f>
        <v>180</v>
      </c>
      <c r="EJ23" s="1506" cm="1">
        <f t="array" aca="1" ref="EJ23" ca="1">IF(SwitchPA=1,_xll.TR(EJ$7,EJ$6,"Sdate=#1 Period=#2 Scale=6 NULL=BLANK",,$D23,$X$4),EJ23)</f>
        <v>3969.2</v>
      </c>
      <c r="EK23" s="1506" t="str" cm="1">
        <f t="array" aca="1" ref="EK23" ca="1">IF(SwitchPA=1,_xll.TR(EK$7,EK$6,"Sdate=#1 Period=#2 Scale=6 NULL=BLANK",,$D23,$X$4),EK23)</f>
        <v/>
      </c>
      <c r="EL23" s="1506" t="str" cm="1">
        <f t="array" aca="1" ref="EL23" ca="1">IF(SwitchPA=1,_xll.TR(EL$7,EL$6,"Sdate=#1 Period=#2 Scale=6 NULL=BLANK",,$D23,$X$4),EL23)</f>
        <v/>
      </c>
      <c r="EM23" s="1506" cm="1">
        <f t="array" aca="1" ref="EM23" ca="1">IF(SwitchPA=1,_xll.TR(EM$7,EM$6,"Sdate=#1 Period=#2 Scale=6 NULL=BLANK",,$D23,$X$4),EM23)</f>
        <v>92.5</v>
      </c>
      <c r="EN23" s="1506" t="str" cm="1">
        <f t="array" aca="1" ref="EN23" ca="1">IF(SwitchPA=1,_xll.TR(EN$7,EN$6,"Sdate=#1 Period=#2 Scale=6 NULL=BLANK",,$D23,$X$4),EN23)</f>
        <v/>
      </c>
      <c r="EO23" s="1506" t="str" cm="1">
        <f t="array" aca="1" ref="EO23" ca="1">IF(SwitchPA=1,_xll.TR(EO$7,EO$6,"Sdate=#1 Period=#2 Scale=6 NULL=BLANK",,$D23,$X$4),EO23)</f>
        <v/>
      </c>
      <c r="EP23" s="1506" cm="1">
        <f t="array" aca="1" ref="EP23" ca="1">IF(SwitchPA=1,_xll.TR(EP$7,EP$6,"Sdate=#1 Period=#2 Scale=6 NULL=BLANK",,$D23,$X$4),EP23)</f>
        <v>4578</v>
      </c>
      <c r="EQ23" s="1506" cm="1">
        <f t="array" aca="1" ref="EQ23" ca="1">IF(SwitchPA=1,_xll.TR(EQ$7,EQ$6,"Sdate=#1 Period=#2 Scale=6 NULL=BLANK",,$D23,$X$4),EQ23)</f>
        <v>123.339</v>
      </c>
      <c r="ER23" s="1506" cm="1">
        <f t="array" aca="1" ref="ER23" ca="1">IF(SwitchPA=1,_xll.TR(ER$7,ER$6,"Sdate=#1 Period=#2 Scale=6 NULL=BLANK",,$D23,$X$4),ER23)</f>
        <v>750</v>
      </c>
      <c r="ES23" s="1506" cm="1">
        <f t="array" aca="1" ref="ES23" ca="1">IF(SwitchPA=1,_xll.TR(ES$7,ES$6,"Sdate=#1 Period=#2 Scale=6 NULL=BLANK",,$D23,$X$4),ES23)</f>
        <v>73.400000000000006</v>
      </c>
      <c r="ET23" s="1506" t="str" cm="1">
        <f t="array" aca="1" ref="ET23" ca="1">IF(SwitchPA=1,_xll.TR(ET$7,ET$6,"Sdate=#1 Period=#2 Scale=6 NULL=BLANK",,$D23,$X$4),ET23)</f>
        <v/>
      </c>
      <c r="EU23" s="1506" cm="1">
        <f t="array" aca="1" ref="EU23" ca="1">IF(SwitchPA=1,_xll.TR(EU$7,EU$6,"Sdate=#1 Period=#2 Scale=6 NULL=BLANK",,$D23,$X$4),EU23)</f>
        <v>228.8</v>
      </c>
      <c r="EV23" s="1506" cm="1">
        <f t="array" aca="1" ref="EV23" ca="1">IF(SwitchPA=1,_xll.TR(EV$7,EV$6,"Sdate=#1 Period=#2 Scale=6 NULL=BLANK",,$D23,$X$4),EV23)</f>
        <v>1185</v>
      </c>
      <c r="EW23" s="1506" cm="1">
        <f t="array" aca="1" ref="EW23" ca="1">IF(SwitchPA=1,_xll.TR(EW$7,EW$6,"Sdate=#1 Period=#2 Scale=6 NULL=BLANK",,$D23,$X$4),EW23)</f>
        <v>767</v>
      </c>
      <c r="EX23" s="1506" t="str" cm="1">
        <f t="array" aca="1" ref="EX23" ca="1">IF(SwitchPA=1,_xll.TR(EX$7,EX$6,"Sdate=#1 Period=#2 Scale=6 NULL=BLANK",,$D23,$X$4),EX23)</f>
        <v>Unable to resolve all requested identifiers.</v>
      </c>
      <c r="EY23" s="1506" t="str" cm="1">
        <f t="array" aca="1" ref="EY23" ca="1">IF(SwitchPA=1,_xll.TR(EY$7,EY$6,"Sdate=#1 Period=#2 Scale=6 NULL=BLANK",,$D23,$X$4),EY23)</f>
        <v>Unable to resolve all requested identifiers.</v>
      </c>
      <c r="FA23" s="1506" cm="1">
        <f t="array" aca="1" ref="FA23" ca="1">IF(SwitchPA=1,_xll.TR(FA$7,FA$6,"Sdate=#1 Period=#2 Scale=6 NULL=BLANK",,$D23,$X$4),FA23)</f>
        <v>683</v>
      </c>
      <c r="FB23" s="1506" cm="1">
        <f t="array" aca="1" ref="FB23" ca="1">IF(SwitchPA=1,_xll.TR(FB$7,FB$6,"Sdate=#1 Period=#2 Scale=6 NULL=BLANK",,$D23,$X$4),FB23)</f>
        <v>486</v>
      </c>
      <c r="FC23" s="1506" cm="1">
        <f t="array" aca="1" ref="FC23" ca="1">IF(SwitchPA=1,_xll.TR(FC$7,FC$6,"Sdate=#1 Period=#2 Scale=6 NULL=BLANK",,$D23,$X$4),FC23)</f>
        <v>6572.9</v>
      </c>
      <c r="FD23" s="1506" t="str" cm="1">
        <f t="array" aca="1" ref="FD23" ca="1">IF(SwitchPA=1,_xll.TR(FD$7,FD$6,"Sdate=#1 Period=#2 Scale=6 NULL=BLANK",,$D23,$X$4),FD23)</f>
        <v/>
      </c>
      <c r="FE23" s="1506" t="str" cm="1">
        <f t="array" aca="1" ref="FE23" ca="1">IF(SwitchPA=1,_xll.TR(FE$7,FE$6,"Sdate=#1 Period=#2 Scale=6 NULL=BLANK",,$D23,$X$4),FE23)</f>
        <v/>
      </c>
      <c r="FF23" s="1506" cm="1">
        <f t="array" aca="1" ref="FF23" ca="1">IF(SwitchPA=1,_xll.TR(FF$7,FF$6,"Sdate=#1 Period=#2 Scale=6 NULL=BLANK",,$D23,$X$4),FF23)</f>
        <v>165.8</v>
      </c>
      <c r="FG23" s="1506" t="str" cm="1">
        <f t="array" aca="1" ref="FG23" ca="1">IF(SwitchPA=1,_xll.TR(FG$7,FG$6,"Sdate=#1 Period=#2 Scale=6 NULL=BLANK",,$D23,$X$4),FG23)</f>
        <v/>
      </c>
      <c r="FH23" s="1506" t="str" cm="1">
        <f t="array" aca="1" ref="FH23" ca="1">IF(SwitchPA=1,_xll.TR(FH$7,FH$6,"Sdate=#1 Period=#2 Scale=6 NULL=BLANK",,$D23,$X$4),FH23)</f>
        <v/>
      </c>
      <c r="FI23" s="1506" cm="1">
        <f t="array" aca="1" ref="FI23" ca="1">IF(SwitchPA=1,_xll.TR(FI$7,FI$6,"Sdate=#1 Period=#2 Scale=6 NULL=BLANK",,$D23,$X$4),FI23)</f>
        <v>5577</v>
      </c>
      <c r="FJ23" s="1506" cm="1">
        <f t="array" aca="1" ref="FJ23" ca="1">IF(SwitchPA=1,_xll.TR(FJ$7,FJ$6,"Sdate=#1 Period=#2 Scale=6 NULL=BLANK",,$D23,$X$4),FJ23)</f>
        <v>220.607</v>
      </c>
      <c r="FK23" s="1506" cm="1">
        <f t="array" aca="1" ref="FK23" ca="1">IF(SwitchPA=1,_xll.TR(FK$7,FK$6,"Sdate=#1 Period=#2 Scale=6 NULL=BLANK",,$D23,$X$4),FK23)</f>
        <v>941</v>
      </c>
      <c r="FL23" s="1506" cm="1">
        <f t="array" aca="1" ref="FL23" ca="1">IF(SwitchPA=1,_xll.TR(FL$7,FL$6,"Sdate=#1 Period=#2 Scale=6 NULL=BLANK",,$D23,$X$4),FL23)</f>
        <v>131.6</v>
      </c>
      <c r="FM23" s="1506" t="str" cm="1">
        <f t="array" aca="1" ref="FM23" ca="1">IF(SwitchPA=1,_xll.TR(FM$7,FM$6,"Sdate=#1 Period=#2 Scale=6 NULL=BLANK",,$D23,$X$4),FM23)</f>
        <v/>
      </c>
      <c r="FN23" s="1506" cm="1">
        <f t="array" aca="1" ref="FN23" ca="1">IF(SwitchPA=1,_xll.TR(FN$7,FN$6,"Sdate=#1 Period=#2 Scale=6 NULL=BLANK",,$D23,$X$4),FN23)</f>
        <v>363.1</v>
      </c>
      <c r="FO23" s="1506" cm="1">
        <f t="array" aca="1" ref="FO23" ca="1">IF(SwitchPA=1,_xll.TR(FO$7,FO$6,"Sdate=#1 Period=#2 Scale=6 NULL=BLANK",,$D23,$X$4),FO23)</f>
        <v>1573</v>
      </c>
      <c r="FP23" s="1506" cm="1">
        <f t="array" aca="1" ref="FP23" ca="1">IF(SwitchPA=1,_xll.TR(FP$7,FP$6,"Sdate=#1 Period=#2 Scale=6 NULL=BLANK",,$D23,$X$4),FP23)</f>
        <v>1203</v>
      </c>
      <c r="FQ23" s="1506" t="str" cm="1">
        <f t="array" aca="1" ref="FQ23" ca="1">IF(SwitchPA=1,_xll.TR(FQ$7,FQ$6,"Sdate=#1 Period=#2 Scale=6 NULL=BLANK",,$D23,$X$4),FQ23)</f>
        <v>Unable to resolve all requested identifiers.</v>
      </c>
      <c r="FS23" s="1506" cm="1">
        <f t="array" aca="1" ref="FS23" ca="1">IF(SwitchPA=1,_xll.TR(FS$7,FS$6,"Sdate=#1 Period=#2 NULL=BLANK Scale=6",,$D23,$FS$4),FS23)</f>
        <v>232</v>
      </c>
      <c r="FT23" s="1506" cm="1">
        <f t="array" aca="1" ref="FT23" ca="1">IF(SwitchPA=1,_xll.TR(FT$7,FT$6,"Sdate=#1 Period=#2 NULL=BLANK Scale=6",,$D23,$FS$4),FT23)</f>
        <v>-56</v>
      </c>
      <c r="FU23" s="1506" cm="1">
        <f t="array" aca="1" ref="FU23" ca="1">IF(SwitchPA=1,_xll.TR(FU$7,FU$6,"Sdate=#1 Period=#2 NULL=BLANK Scale=6",,$D23,$FS$4),FU23)</f>
        <v>3063.8</v>
      </c>
      <c r="FV23" s="1506" t="str" cm="1">
        <f t="array" aca="1" ref="FV23" ca="1">IF(SwitchPA=1,_xll.TR(FV$7,FV$6,"Sdate=#1 Period=#2 NULL=BLANK Scale=6",,$D23,$FS$4),FV23)</f>
        <v/>
      </c>
      <c r="FW23" s="1506" t="str" cm="1">
        <f t="array" aca="1" ref="FW23" ca="1">IF(SwitchPA=1,_xll.TR(FW$7,FW$6,"Sdate=#1 Period=#2 NULL=BLANK Scale=6",,$D23,$FS$4),FW23)</f>
        <v/>
      </c>
      <c r="FX23" s="1506" cm="1">
        <f t="array" aca="1" ref="FX23" ca="1">IF(SwitchPA=1,_xll.TR(FX$7,FX$6,"Sdate=#1 Period=#2 NULL=BLANK Scale=6",,$D23,$FS$4),FX23)</f>
        <v>-191.5</v>
      </c>
      <c r="FY23" s="1506" t="str" cm="1">
        <f t="array" aca="1" ref="FY23" ca="1">IF(SwitchPA=1,_xll.TR(FY$7,FY$6,"Sdate=#1 Period=#2 NULL=BLANK Scale=6",,$D23,$FS$4),FY23)</f>
        <v/>
      </c>
      <c r="FZ23" s="1506" t="str" cm="1">
        <f t="array" aca="1" ref="FZ23" ca="1">IF(SwitchPA=1,_xll.TR(FZ$7,FZ$6,"Sdate=#1 Period=#2 NULL=BLANK Scale=6",,$D23,$FS$4),FZ23)</f>
        <v/>
      </c>
      <c r="GA23" s="1506" cm="1">
        <f t="array" aca="1" ref="GA23" ca="1">IF(SwitchPA=1,_xll.TR(GA$7,GA$6,"Sdate=#1 Period=#2 NULL=BLANK Scale=6",,$D23,$FS$4),GA23)</f>
        <v>3291</v>
      </c>
      <c r="GB23" s="1506" cm="1">
        <f t="array" aca="1" ref="GB23" ca="1">IF(SwitchPA=1,_xll.TR(GB$7,GB$6,"Sdate=#1 Period=#2 NULL=BLANK Scale=6",,$D23,$FS$4),GB23)</f>
        <v>133.90299999999999</v>
      </c>
      <c r="GC23" s="1506" cm="1">
        <f t="array" aca="1" ref="GC23" ca="1">IF(SwitchPA=1,_xll.TR(GC$7,GC$6,"Sdate=#1 Period=#2 NULL=BLANK Scale=6",,$D23,$FS$4),GC23)</f>
        <v>-79</v>
      </c>
      <c r="GD23" s="1506" cm="1">
        <f t="array" aca="1" ref="GD23" ca="1">IF(SwitchPA=1,_xll.TR(GD$7,GD$6,"Sdate=#1 Period=#2 NULL=BLANK Scale=6",,$D23,$FS$4),GD23)</f>
        <v>-44.5</v>
      </c>
      <c r="GE23" s="1506" t="str" cm="1">
        <f t="array" aca="1" ref="GE23" ca="1">IF(SwitchPA=1,_xll.TR(GE$7,GE$6,"Sdate=#1 Period=#2 NULL=BLANK Scale=6",,$D23,$FS$4),GE23)</f>
        <v/>
      </c>
      <c r="GF23" s="1506" cm="1">
        <f t="array" aca="1" ref="GF23" ca="1">IF(SwitchPA=1,_xll.TR(GF$7,GF$6,"Sdate=#1 Period=#2 NULL=BLANK Scale=6",,$D23,$FS$4),GF23)</f>
        <v>125.3</v>
      </c>
      <c r="GG23" s="1506" cm="1">
        <f t="array" aca="1" ref="GG23" ca="1">IF(SwitchPA=1,_xll.TR(GG$7,GG$6,"Sdate=#1 Period=#2 NULL=BLANK Scale=6",,$D23,$FS$4),GG23)</f>
        <v>774</v>
      </c>
      <c r="GH23" s="1506" cm="1">
        <f t="array" aca="1" ref="GH23" ca="1">IF(SwitchPA=1,_xll.TR(GH$7,GH$6,"Sdate=#1 Period=#2 NULL=BLANK Scale=6",,$D23,$FS$4),GH23)</f>
        <v>446</v>
      </c>
      <c r="GI23" s="1506" t="str" cm="1">
        <f t="array" aca="1" ref="GI23" ca="1">IF(SwitchPA=1,_xll.TR(GI$7,GI$6,"Sdate=#1 Period=#2 NULL=BLANK Scale=6",,$D23,$FS$4),GI23)</f>
        <v>Unable to resolve all requested identifiers.</v>
      </c>
      <c r="GK23" s="1506" t="str" cm="1">
        <f t="array" aca="1" ref="GK23" ca="1">IF(SwitchPA=1,_xll.TR(GK$7,GK$6,"Sdate=#1 Period=#2 NULL=BLANK Scale=6",,$D23,$FS$4),GK23)</f>
        <v/>
      </c>
      <c r="GL23" s="1506" t="str" cm="1">
        <f t="array" aca="1" ref="GL23" ca="1">IF(SwitchPA=1,_xll.TR(GL$7,GL$6,"Sdate=#1 Period=#2 NULL=BLANK Scale=6",,$D23,$FS$4),GL23)</f>
        <v/>
      </c>
      <c r="GM23" s="1506" t="str" cm="1">
        <f t="array" aca="1" ref="GM23" ca="1">IF(SwitchPA=1,_xll.TR(GM$7,GM$6,"Sdate=#1 Period=#2 NULL=BLANK Scale=6",,$D23,$FS$4),GM23)</f>
        <v/>
      </c>
      <c r="GN23" s="1506" t="str" cm="1">
        <f t="array" aca="1" ref="GN23" ca="1">IF(SwitchPA=1,_xll.TR(GN$7,GN$6,"Sdate=#1 Period=#2 NULL=BLANK Scale=6",,$D23,$FS$4),GN23)</f>
        <v/>
      </c>
      <c r="GO23" s="1506" t="str" cm="1">
        <f t="array" aca="1" ref="GO23" ca="1">IF(SwitchPA=1,_xll.TR(GO$7,GO$6,"Sdate=#1 Period=#2 NULL=BLANK Scale=6",,$D23,$FS$4),GO23)</f>
        <v/>
      </c>
      <c r="GP23" s="1506" t="str" cm="1">
        <f t="array" aca="1" ref="GP23" ca="1">IF(SwitchPA=1,_xll.TR(GP$7,GP$6,"Sdate=#1 Period=#2 NULL=BLANK Scale=6",,$D23,$FS$4),GP23)</f>
        <v/>
      </c>
      <c r="GQ23" s="1506" t="str" cm="1">
        <f t="array" aca="1" ref="GQ23" ca="1">IF(SwitchPA=1,_xll.TR(GQ$7,GQ$6,"Sdate=#1 Period=#2 NULL=BLANK Scale=6",,$D23,$FS$4),GQ23)</f>
        <v/>
      </c>
      <c r="GR23" s="1506" t="str" cm="1">
        <f t="array" aca="1" ref="GR23" ca="1">IF(SwitchPA=1,_xll.TR(GR$7,GR$6,"Sdate=#1 Period=#2 NULL=BLANK Scale=6",,$D23,$FS$4),GR23)</f>
        <v/>
      </c>
      <c r="GS23" s="1506" t="str" cm="1">
        <f t="array" aca="1" ref="GS23" ca="1">IF(SwitchPA=1,_xll.TR(GS$7,GS$6,"Sdate=#1 Period=#2 NULL=BLANK Scale=6",,$D23,$FS$4),GS23)</f>
        <v/>
      </c>
      <c r="GT23" s="1506" t="str" cm="1">
        <f t="array" aca="1" ref="GT23" ca="1">IF(SwitchPA=1,_xll.TR(GT$7,GT$6,"Sdate=#1 Period=#2 NULL=BLANK Scale=6",,$D23,$FS$4),GT23)</f>
        <v/>
      </c>
      <c r="GU23" s="1506" t="str" cm="1">
        <f t="array" aca="1" ref="GU23" ca="1">IF(SwitchPA=1,_xll.TR(GU$7,GU$6,"Sdate=#1 Period=#2 NULL=BLANK Scale=6",,$D23,$FS$4),GU23)</f>
        <v/>
      </c>
      <c r="GV23" s="1506" t="str" cm="1">
        <f t="array" aca="1" ref="GV23" ca="1">IF(SwitchPA=1,_xll.TR(GV$7,GV$6,"Sdate=#1 Period=#2 NULL=BLANK Scale=6",,$D23,$FS$4),GV23)</f>
        <v/>
      </c>
      <c r="GW23" s="1506" t="str" cm="1">
        <f t="array" aca="1" ref="GW23" ca="1">IF(SwitchPA=1,_xll.TR(GW$7,GW$6,"Sdate=#1 Period=#2 NULL=BLANK Scale=6",,$D23,$FS$4),GW23)</f>
        <v/>
      </c>
      <c r="GX23" s="1506" t="str" cm="1">
        <f t="array" aca="1" ref="GX23" ca="1">IF(SwitchPA=1,_xll.TR(GX$7,GX$6,"Sdate=#1 Period=#2 NULL=BLANK Scale=6",,$D23,$FS$4),GX23)</f>
        <v/>
      </c>
      <c r="GY23" s="1506" t="str" cm="1">
        <f t="array" aca="1" ref="GY23" ca="1">IF(SwitchPA=1,_xll.TR(GY$7,GY$6,"Sdate=#1 Period=#2 NULL=BLANK Scale=6",,$D23,$FS$4),GY23)</f>
        <v/>
      </c>
      <c r="GZ23" s="1506" t="str" cm="1">
        <f t="array" aca="1" ref="GZ23" ca="1">IF(SwitchPA=1,_xll.TR(GZ$7,GZ$6,"Sdate=#1 Period=#2 NULL=BLANK Scale=6",,$D23,$FS$4),GZ23)</f>
        <v/>
      </c>
      <c r="HA23" s="1506" t="str" cm="1">
        <f t="array" aca="1" ref="HA23" ca="1">IF(SwitchPA=1,_xll.TR(HA$7,HA$6,"Sdate=#1 Period=#2 NULL=BLANK Scale=6",,$D23,$FS$4),HA23)</f>
        <v/>
      </c>
      <c r="HC23">
        <v>5.89</v>
      </c>
      <c r="HD23">
        <v>41.51</v>
      </c>
      <c r="HE23">
        <v>38.26</v>
      </c>
      <c r="HG23" s="762">
        <f t="shared" si="52"/>
        <v>7.6782449725776969E-2</v>
      </c>
      <c r="HH23" s="762">
        <f t="shared" si="53"/>
        <v>0.3355855855855856</v>
      </c>
      <c r="HI23" s="762">
        <f t="shared" si="54"/>
        <v>0.32616984402079718</v>
      </c>
    </row>
    <row r="24" spans="1:217" ht="11.25" customHeight="1">
      <c r="C24" s="1514">
        <f t="shared" si="51"/>
        <v>38717</v>
      </c>
      <c r="D24" s="1515">
        <f t="shared" si="49"/>
        <v>38762</v>
      </c>
      <c r="E24" s="1506" cm="1">
        <f t="array" aca="1" ref="E24" ca="1">IF(SwitchPA=1,_xll.TR(E$7,E$6,"Sdate=#1 Period=#2 NULL=BLANK",,$D24,$E$4),E24)</f>
        <v>5.1637922224389996</v>
      </c>
      <c r="F24" s="1506" cm="1">
        <f t="array" aca="1" ref="F24" ca="1">IF(SwitchPA=1,_xll.TR(F$7,F$6,"Sdate=#1 Period=#2 NULL=BLANK",,$D24,$E$4),F24)</f>
        <v>5.9150139856867696</v>
      </c>
      <c r="G24" s="1506" cm="1">
        <f t="array" aca="1" ref="G24" ca="1">IF(SwitchPA=1,_xll.TR(G$7,G$6,"Sdate=#1 Period=#2 NULL=BLANK",,$D24,$E$4),G24)</f>
        <v>4.1778896675090502</v>
      </c>
      <c r="H24" s="1506" t="str" cm="1">
        <f t="array" aca="1" ref="H24" ca="1">IF(SwitchPA=1,_xll.TR(H$7,H$6,"Sdate=#1 Period=#2 NULL=BLANK",,$D24,$E$4),H24)</f>
        <v/>
      </c>
      <c r="I24" s="1506" t="str" cm="1">
        <f t="array" aca="1" ref="I24" ca="1">IF(SwitchPA=1,_xll.TR(I$7,I$6,"Sdate=#1 Period=#2 NULL=BLANK",,$D24,$E$4),I24)</f>
        <v/>
      </c>
      <c r="J24" s="1506" cm="1">
        <f t="array" aca="1" ref="J24" ca="1">IF(SwitchPA=1,_xll.TR(J$7,J$6,"Sdate=#1 Period=#2 NULL=BLANK",,$D24,$E$4),J24)</f>
        <v>4.5528816612196303</v>
      </c>
      <c r="K24" s="1506" t="str" cm="1">
        <f t="array" aca="1" ref="K24" ca="1">IF(SwitchPA=1,_xll.TR(K$7,K$6,"Sdate=#1 Period=#2 NULL=BLANK",,$D24,$E$4),K24)</f>
        <v/>
      </c>
      <c r="L24" s="1506" cm="1">
        <f t="array" aca="1" ref="L24" ca="1">IF(SwitchPA=1,_xll.TR(L$7,L$6,"Sdate=#1 Period=#2 NULL=BLANK",,$D24,$E$4),L24)</f>
        <v>4.8375732900463104</v>
      </c>
      <c r="M24" s="1506" cm="1">
        <f t="array" aca="1" ref="M24" ca="1">IF(SwitchPA=1,_xll.TR(M$7,M$6,"Sdate=#1 Period=#2 NULL=BLANK",,$D24,$E$4),M24)</f>
        <v>8.7401546211716106</v>
      </c>
      <c r="N24" s="1506" cm="1">
        <f t="array" aca="1" ref="N24" ca="1">IF(SwitchPA=1,_xll.TR(N$7,N$6,"Sdate=#1 Period=#2 NULL=BLANK",,$D24,$E$4),N24)</f>
        <v>8.6775754678400006</v>
      </c>
      <c r="O24" s="1506" cm="1">
        <f t="array" aca="1" ref="O24" ca="1">IF(SwitchPA=1,_xll.TR(O$7,O$6,"Sdate=#1 Period=#2 NULL=BLANK",,$D24,$E$4),O24)</f>
        <v>6.0740813233428703</v>
      </c>
      <c r="P24" s="1506" cm="1">
        <f t="array" aca="1" ref="P24" ca="1">IF(SwitchPA=1,_xll.TR(P$7,P$6,"Sdate=#1 Period=#2 NULL=BLANK",,$D24,$E$4),P24)</f>
        <v>5.6052937037281598</v>
      </c>
      <c r="Q24" s="1506" t="str" cm="1">
        <f t="array" aca="1" ref="Q24" ca="1">IF(SwitchPA=1,_xll.TR(Q$7,Q$6,"Sdate=#1 Period=#2 NULL=BLANK",,$D24,$E$4),Q24)</f>
        <v/>
      </c>
      <c r="R24" s="1506" cm="1">
        <f t="array" aca="1" ref="R24" ca="1">IF(SwitchPA=1,_xll.TR(R$7,R$6,"Sdate=#1 Period=#2 NULL=BLANK",,$D24,$E$4),R24)</f>
        <v>6.65901864139519</v>
      </c>
      <c r="S24" s="1506" cm="1">
        <f t="array" aca="1" ref="S24" ca="1">IF(SwitchPA=1,_xll.TR(S$7,S$6,"Sdate=#1 Period=#2 NULL=BLANK",,$D24,$E$4),S24)</f>
        <v>6.1610815466557796</v>
      </c>
      <c r="T24" s="1506" cm="1">
        <f t="array" aca="1" ref="T24" ca="1">IF(SwitchPA=1,_xll.TR(T$7,T$6,"Sdate=#1 Period=#2 NULL=BLANK",,$D24,$E$4),T24)</f>
        <v>6.4909001478257702</v>
      </c>
      <c r="U24" s="1506" t="str" cm="1">
        <f t="array" aca="1" ref="U24" ca="1">IF(SwitchPA=1,_xll.TR(U$7,U$6,"Sdate=#1 Period=#2 NULL=BLANK",,$D24,$E$4),U24)</f>
        <v>No universe defined.</v>
      </c>
      <c r="V24" s="1506" t="str" cm="1">
        <f t="array" aca="1" ref="V24" ca="1">IF(SwitchPA=1,_xll.TR(V$7,V$6,"Sdate=#1 Period=#2 NULL=BLANK",,$D24,$E$4),V24)</f>
        <v>No universe defined.</v>
      </c>
      <c r="W24" s="1521">
        <f ca="1">E24/G24-1</f>
        <v>0.23598099360957181</v>
      </c>
      <c r="X24" s="1506" cm="1">
        <f t="array" aca="1" ref="X24" ca="1">IF(SwitchPA=1,_xll.TR(X$7,X$6,"Sdate=#1 Period=#2 NULL=BLANK",,$D24,$X$4),X24)</f>
        <v>4.7560622116386799</v>
      </c>
      <c r="Y24" s="1506" cm="1">
        <f t="array" aca="1" ref="Y24" ca="1">IF(SwitchPA=1,_xll.TR(Y$7,Y$6,"Sdate=#1 Period=#2 NULL=BLANK",,$D24,$X$4),Y24)</f>
        <v>6.1828681434361696</v>
      </c>
      <c r="Z24" s="1506" cm="1">
        <f t="array" aca="1" ref="Z24" ca="1">IF(SwitchPA=1,_xll.TR(Z$7,Z$6,"Sdate=#1 Period=#2 NULL=BLANK",,$D24,$X$4),Z24)</f>
        <v>4.3275248469905199</v>
      </c>
      <c r="AA24" s="1506" t="str" cm="1">
        <f t="array" aca="1" ref="AA24" ca="1">IF(SwitchPA=1,_xll.TR(AA$7,AA$6,"Sdate=#1 Period=#2 NULL=BLANK",,$D24,$X$4),AA24)</f>
        <v/>
      </c>
      <c r="AB24" s="1506" t="str" cm="1">
        <f t="array" aca="1" ref="AB24" ca="1">IF(SwitchPA=1,_xll.TR(AB$7,AB$6,"Sdate=#1 Period=#2 NULL=BLANK",,$D24,$X$4),AB24)</f>
        <v/>
      </c>
      <c r="AC24" s="1506" cm="1">
        <f t="array" aca="1" ref="AC24" ca="1">IF(SwitchPA=1,_xll.TR(AC$7,AC$6,"Sdate=#1 Period=#2 NULL=BLANK",,$D24,$X$4),AC24)</f>
        <v>5.3390478550465099</v>
      </c>
      <c r="AD24" s="1506" t="str" cm="1">
        <f t="array" aca="1" ref="AD24" ca="1">IF(SwitchPA=1,_xll.TR(AD$7,AD$6,"Sdate=#1 Period=#2 NULL=BLANK",,$D24,$X$4),AD24)</f>
        <v/>
      </c>
      <c r="AE24" s="1506" cm="1">
        <f t="array" aca="1" ref="AE24" ca="1">IF(SwitchPA=1,_xll.TR(AE$7,AE$6,"Sdate=#1 Period=#2 NULL=BLANK",,$D24,$X$4),AE24)</f>
        <v>5.6611184364582003</v>
      </c>
      <c r="AF24" s="1506" cm="1">
        <f t="array" aca="1" ref="AF24" ca="1">IF(SwitchPA=1,_xll.TR(AF$7,AF$6,"Sdate=#1 Period=#2 NULL=BLANK",,$D24,$X$4),AF24)</f>
        <v>9.3381891525977192</v>
      </c>
      <c r="AG24" s="1506" cm="1">
        <f t="array" aca="1" ref="AG24" ca="1">IF(SwitchPA=1,_xll.TR(AG$7,AG$6,"Sdate=#1 Period=#2 NULL=BLANK",,$D24,$X$4),AG24)</f>
        <v>9.3950968832251505</v>
      </c>
      <c r="AH24" s="1506" cm="1">
        <f t="array" aca="1" ref="AH24" ca="1">IF(SwitchPA=1,_xll.TR(AH$7,AH$6,"Sdate=#1 Period=#2 NULL=BLANK",,$D24,$X$4),AH24)</f>
        <v>4.6011676179480299</v>
      </c>
      <c r="AI24" s="1506" cm="1">
        <f t="array" aca="1" ref="AI24" ca="1">IF(SwitchPA=1,_xll.TR(AI$7,AI$6,"Sdate=#1 Period=#2 NULL=BLANK",,$D24,$X$4),AI24)</f>
        <v>7.5404255744536304</v>
      </c>
      <c r="AJ24" s="1506" t="str" cm="1">
        <f t="array" aca="1" ref="AJ24" ca="1">IF(SwitchPA=1,_xll.TR(AJ$7,AJ$6,"Sdate=#1 Period=#2 NULL=BLANK",,$D24,$X$4),AJ24)</f>
        <v/>
      </c>
      <c r="AK24" s="1506" cm="1">
        <f t="array" aca="1" ref="AK24" ca="1">IF(SwitchPA=1,_xll.TR(AK$7,AK$6,"Sdate=#1 Period=#2 NULL=BLANK",,$D24,$X$4),AK24)</f>
        <v>7.03312961846287</v>
      </c>
      <c r="AL24" s="1506" cm="1">
        <f t="array" aca="1" ref="AL24" ca="1">IF(SwitchPA=1,_xll.TR(AL$7,AL$6,"Sdate=#1 Period=#2 NULL=BLANK",,$D24,$X$4),AL24)</f>
        <v>6.4679882199841003</v>
      </c>
      <c r="AM24" s="1506" cm="1">
        <f t="array" aca="1" ref="AM24" ca="1">IF(SwitchPA=1,_xll.TR(AM$7,AM$6,"Sdate=#1 Period=#2 NULL=BLANK",,$D24,$X$4),AM24)</f>
        <v>7.3575397316565398</v>
      </c>
      <c r="AN24" s="1506" t="str" cm="1">
        <f t="array" aca="1" ref="AN24" ca="1">IF(SwitchPA=1,_xll.TR(AN$7,AN$6,"Sdate=#1 Period=#2 NULL=BLANK",,$D24,$X$4),AN24)</f>
        <v/>
      </c>
      <c r="AO24" s="1506" t="str" cm="1">
        <f t="array" aca="1" ref="AO24" ca="1">IF(SwitchPA=1,_xll.TR(AO$7,AO$6,"Sdate=#1 Period=#2 NULL=BLANK",,$D24,$X$4),AO24)</f>
        <v/>
      </c>
      <c r="AQ24" s="1506" t="str" cm="1">
        <f t="array" aca="1" ref="AQ24" ca="1">IF(SwitchPA=1,_xll.TR(AQ$7,AQ$6,"Sdate=#1 Period=#2 NULL=BLANK Scale=6",,$D24,$AQ$4),AQ24)</f>
        <v/>
      </c>
      <c r="AR24" s="1506" t="str" cm="1">
        <f t="array" aca="1" ref="AR24" ca="1">IF(SwitchPA=1,_xll.TR(AR$7,AR$6,"Sdate=#1 Period=#2 NULL=BLANK Scale=6",,$D24,$AQ$4),AR24)</f>
        <v/>
      </c>
      <c r="AS24" s="1506" t="str" cm="1">
        <f t="array" aca="1" ref="AS24" ca="1">IF(SwitchPA=1,_xll.TR(AS$7,AS$6,"Sdate=#1 Period=#2 NULL=BLANK Scale=6",,$D24,$AQ$4),AS24)</f>
        <v/>
      </c>
      <c r="AT24" s="1506" t="str" cm="1">
        <f t="array" aca="1" ref="AT24" ca="1">IF(SwitchPA=1,_xll.TR(AT$7,AT$6,"Sdate=#1 Period=#2 NULL=BLANK Scale=6",,$D24,$AQ$4),AT24)</f>
        <v/>
      </c>
      <c r="AU24" s="1506" t="str" cm="1">
        <f t="array" aca="1" ref="AU24" ca="1">IF(SwitchPA=1,_xll.TR(AU$7,AU$6,"Sdate=#1 Period=#2 NULL=BLANK Scale=6",,$D24,$AQ$4),AU24)</f>
        <v/>
      </c>
      <c r="AV24" s="1506" t="str" cm="1">
        <f t="array" aca="1" ref="AV24" ca="1">IF(SwitchPA=1,_xll.TR(AV$7,AV$6,"Sdate=#1 Period=#2 NULL=BLANK Scale=6",,$D24,$AQ$4),AV24)</f>
        <v/>
      </c>
      <c r="AW24" s="1506" t="str" cm="1">
        <f t="array" aca="1" ref="AW24" ca="1">IF(SwitchPA=1,_xll.TR(AW$7,AW$6,"Sdate=#1 Period=#2 NULL=BLANK Scale=6",,$D24,$AQ$4),AW24)</f>
        <v/>
      </c>
      <c r="AX24" s="1506" t="str" cm="1">
        <f t="array" aca="1" ref="AX24" ca="1">IF(SwitchPA=1,_xll.TR(AX$7,AX$6,"Sdate=#1 Period=#2 NULL=BLANK Scale=6",,$D24,$AQ$4),AX24)</f>
        <v/>
      </c>
      <c r="AY24" s="1506" t="str" cm="1">
        <f t="array" aca="1" ref="AY24" ca="1">IF(SwitchPA=1,_xll.TR(AY$7,AY$6,"Sdate=#1 Period=#2 NULL=BLANK Scale=6",,$D24,$AQ$4),AY24)</f>
        <v/>
      </c>
      <c r="AZ24" s="1506" t="str" cm="1">
        <f t="array" aca="1" ref="AZ24" ca="1">IF(SwitchPA=1,_xll.TR(AZ$7,AZ$6,"Sdate=#1 Period=#2 NULL=BLANK Scale=6",,$D24,$AQ$4),AZ24)</f>
        <v/>
      </c>
      <c r="BA24" s="1506" t="str" cm="1">
        <f t="array" aca="1" ref="BA24" ca="1">IF(SwitchPA=1,_xll.TR(BA$7,BA$6,"Sdate=#1 Period=#2 NULL=BLANK Scale=6",,$D24,$AQ$4),BA24)</f>
        <v/>
      </c>
      <c r="BB24" s="1506" t="str" cm="1">
        <f t="array" aca="1" ref="BB24" ca="1">IF(SwitchPA=1,_xll.TR(BB$7,BB$6,"Sdate=#1 Period=#2 NULL=BLANK Scale=6",,$D24,$AQ$4),BB24)</f>
        <v/>
      </c>
      <c r="BC24" s="1506" t="str" cm="1">
        <f t="array" aca="1" ref="BC24" ca="1">IF(SwitchPA=1,_xll.TR(BC$7,BC$6,"Sdate=#1 Period=#2 NULL=BLANK Scale=6",,$D24,$AQ$4),BC24)</f>
        <v/>
      </c>
      <c r="BD24" s="1506" t="str" cm="1">
        <f t="array" aca="1" ref="BD24" ca="1">IF(SwitchPA=1,_xll.TR(BD$7,BD$6,"Sdate=#1 Period=#2 NULL=BLANK Scale=6",,$D24,$AQ$4),BD24)</f>
        <v/>
      </c>
      <c r="BE24" s="1506" t="str" cm="1">
        <f t="array" aca="1" ref="BE24" ca="1">IF(SwitchPA=1,_xll.TR(BE$7,BE$6,"Sdate=#1 Period=#2 NULL=BLANK Scale=6",,$D24,$AQ$4),BE24)</f>
        <v/>
      </c>
      <c r="BF24" s="1506" t="str" cm="1">
        <f t="array" aca="1" ref="BF24" ca="1">IF(SwitchPA=1,_xll.TR(BF$7,BF$6,"Sdate=#1 Period=#2 NULL=BLANK Scale=6",,$D24,$AQ$4),BF24)</f>
        <v/>
      </c>
      <c r="BG24" s="1506" t="str" cm="1">
        <f t="array" aca="1" ref="BG24" ca="1">IF(SwitchPA=1,_xll.TR(BG$7,BG$6,"Sdate=#1 Period=#2 NULL=BLANK Scale=6",,$D24,$AQ$4),BG24)</f>
        <v/>
      </c>
      <c r="BH24" s="1506" t="str" cm="1">
        <f t="array" aca="1" ref="BH24" ca="1">IF(SwitchPA=1,_xll.TR(BH$7,BH$6,"Sdate=#1 Period=#2 NULL=BLANK Scale=6",,$D24,$AQ$4),BH24)</f>
        <v/>
      </c>
      <c r="BJ24" s="1506" cm="1">
        <f t="array" aca="1" ref="BJ24" ca="1">IF(SwitchPA=1,_xll.TR(BJ$7,BJ$6,"Sdate=#1 Period=#2 NULL=BLANK Scale=6",,$D24,$BJ$4),BJ24)</f>
        <v>5.1669253700000004</v>
      </c>
      <c r="BK24" s="1506" cm="1">
        <f t="array" aca="1" ref="BK24" ca="1">IF(SwitchPA=1,_xll.TR(BK$7,BK$6,"Sdate=#1 Period=#2 NULL=BLANK Scale=6",,$D24,$BJ$4),BK24)</f>
        <v>12.216149422999999</v>
      </c>
      <c r="BL24" s="1506" cm="1">
        <f t="array" aca="1" ref="BL24" ca="1">IF(SwitchPA=1,_xll.TR(BL$7,BL$6,"Sdate=#1 Period=#2 NULL=BLANK Scale=6",,$D24,$BJ$4),BL24)</f>
        <v>3.8730776730000001</v>
      </c>
      <c r="BM24" s="1506" t="str" cm="1">
        <f t="array" aca="1" ref="BM24" ca="1">IF(SwitchPA=1,_xll.TR(BM$7,BM$6,"Sdate=#1 Period=#2 NULL=BLANK Scale=6",,$D24,$BJ$4),BM24)</f>
        <v/>
      </c>
      <c r="BN24" s="1506" t="str" cm="1">
        <f t="array" aca="1" ref="BN24" ca="1">IF(SwitchPA=1,_xll.TR(BN$7,BN$6,"Sdate=#1 Period=#2 NULL=BLANK Scale=6",,$D24,$BJ$4),BN24)</f>
        <v/>
      </c>
      <c r="BO24" s="1506" cm="1">
        <f t="array" aca="1" ref="BO24" ca="1">IF(SwitchPA=1,_xll.TR(BO$7,BO$6,"Sdate=#1 Period=#2 NULL=BLANK Scale=6",,$D24,$BJ$4),BO24)</f>
        <v>6.0185884850000004</v>
      </c>
      <c r="BP24" s="1506" t="str" cm="1">
        <f t="array" aca="1" ref="BP24" ca="1">IF(SwitchPA=1,_xll.TR(BP$7,BP$6,"Sdate=#1 Period=#2 NULL=BLANK Scale=6",,$D24,$BJ$4),BP24)</f>
        <v/>
      </c>
      <c r="BQ24" s="1506" cm="1">
        <f t="array" aca="1" ref="BQ24" ca="1">IF(SwitchPA=1,_xll.TR(BQ$7,BQ$6,"Sdate=#1 Period=#2 NULL=BLANK Scale=6",,$D24,$BJ$4),BQ24)</f>
        <v>6.2969294610000004</v>
      </c>
      <c r="BR24" s="1506" cm="1">
        <f t="array" aca="1" ref="BR24" ca="1">IF(SwitchPA=1,_xll.TR(BR$7,BR$6,"Sdate=#1 Period=#2 NULL=BLANK Scale=6",,$D24,$BJ$4),BR24)</f>
        <v>9.9656770760000004</v>
      </c>
      <c r="BS24" s="1506" cm="1">
        <f t="array" aca="1" ref="BS24" ca="1">IF(SwitchPA=1,_xll.TR(BS$7,BS$6,"Sdate=#1 Period=#2 NULL=BLANK Scale=6",,$D24,$BJ$4),BS24)</f>
        <v>10.72620386</v>
      </c>
      <c r="BT24" s="1506" cm="1">
        <f t="array" aca="1" ref="BT24" ca="1">IF(SwitchPA=1,_xll.TR(BT$7,BT$6,"Sdate=#1 Period=#2 NULL=BLANK Scale=6",,$D24,$BJ$4),BT24)</f>
        <v>5.9919077720000002</v>
      </c>
      <c r="BU24" s="1506" cm="1">
        <f t="array" aca="1" ref="BU24" ca="1">IF(SwitchPA=1,_xll.TR(BU$7,BU$6,"Sdate=#1 Period=#2 NULL=BLANK Scale=6",,$D24,$BJ$4),BU24)</f>
        <v>13.050299536000001</v>
      </c>
      <c r="BV24" s="1506" t="str" cm="1">
        <f t="array" aca="1" ref="BV24" ca="1">IF(SwitchPA=1,_xll.TR(BV$7,BV$6,"Sdate=#1 Period=#2 NULL=BLANK Scale=6",,$D24,$BJ$4),BV24)</f>
        <v/>
      </c>
      <c r="BW24" s="1506" cm="1">
        <f t="array" aca="1" ref="BW24" ca="1">IF(SwitchPA=1,_xll.TR(BW$7,BW$6,"Sdate=#1 Period=#2 NULL=BLANK Scale=6",,$D24,$BJ$4),BW24)</f>
        <v>7.2448852590000001</v>
      </c>
      <c r="BX24" s="1506" cm="1">
        <f t="array" aca="1" ref="BX24" ca="1">IF(SwitchPA=1,_xll.TR(BX$7,BX$6,"Sdate=#1 Period=#2 NULL=BLANK Scale=6",,$D24,$BJ$4),BX24)</f>
        <v>7.1732493509999999</v>
      </c>
      <c r="BY24" s="1506" cm="1">
        <f t="array" aca="1" ref="BY24" ca="1">IF(SwitchPA=1,_xll.TR(BY$7,BY$6,"Sdate=#1 Period=#2 NULL=BLANK Scale=6",,$D24,$BJ$4),BY24)</f>
        <v>7.2875987169999998</v>
      </c>
      <c r="BZ24" s="1506" t="str" cm="1">
        <f t="array" aca="1" ref="BZ24" ca="1">IF(SwitchPA=1,_xll.TR(BZ$7,BZ$6,"Sdate=#1 Period=#2 NULL=BLANK Scale=6",,$D24,$BJ$4),BZ24)</f>
        <v/>
      </c>
      <c r="CA24" s="1506" t="str" cm="1">
        <f t="array" aca="1" ref="CA24" ca="1">IF(SwitchPA=1,_xll.TR(CA$7,CA$6,"Sdate=#1 Period=#2 NULL=BLANK Scale=6",,$D24,$BJ$4),CA24)</f>
        <v/>
      </c>
      <c r="CC24" s="1506" cm="1">
        <f t="array" aca="1" ref="CC24" ca="1">IF(SwitchPA=1,_xll.TR(CC$7,CC$6,"Sdate=#1 Period=#2 NULL=BLANK Scale=6",,$D24,$CC$4),CC24)</f>
        <v>7059</v>
      </c>
      <c r="CD24" s="1506" cm="1">
        <f t="array" aca="1" ref="CD24" ca="1">IF(SwitchPA=1,_xll.TR(CD$7,CD$6,"Sdate=#1 Period=#2 NULL=BLANK Scale=6",,$D24,$CC$4),CD24)</f>
        <v>5704</v>
      </c>
      <c r="CE24" s="1506" cm="1">
        <f t="array" aca="1" ref="CE24" ca="1">IF(SwitchPA=1,_xll.TR(CE$7,CE$6,"Sdate=#1 Period=#2 NULL=BLANK Scale=6",,$D24,$CC$4),CE24)</f>
        <v>40882.6</v>
      </c>
      <c r="CF24" s="1506" t="str" cm="1">
        <f t="array" aca="1" ref="CF24" ca="1">IF(SwitchPA=1,_xll.TR(CF$7,CF$6,"Sdate=#1 Period=#2 NULL=BLANK Scale=6",,$D24,$CC$4),CF24)</f>
        <v/>
      </c>
      <c r="CG24" s="1506" t="str" cm="1">
        <f t="array" aca="1" ref="CG24" ca="1">IF(SwitchPA=1,_xll.TR(CG$7,CG$6,"Sdate=#1 Period=#2 NULL=BLANK Scale=6",,$D24,$CC$4),CG24)</f>
        <v/>
      </c>
      <c r="CH24" s="1506" cm="1">
        <f t="array" aca="1" ref="CH24" ca="1">IF(SwitchPA=1,_xll.TR(CH$7,CH$6,"Sdate=#1 Period=#2 NULL=BLANK Scale=6",,$D24,$CC$4),CH24)</f>
        <v>2357.6999999999998</v>
      </c>
      <c r="CI24" s="1506" t="str" cm="1">
        <f t="array" aca="1" ref="CI24" ca="1">IF(SwitchPA=1,_xll.TR(CI$7,CI$6,"Sdate=#1 Period=#2 NULL=BLANK Scale=6",,$D24,$CC$4),CI24)</f>
        <v/>
      </c>
      <c r="CJ24" s="1506" cm="1">
        <f t="array" aca="1" ref="CJ24" ca="1">IF(SwitchPA=1,_xll.TR(CJ$7,CJ$6,"Sdate=#1 Period=#2 NULL=BLANK Scale=6",,$D24,$CC$4),CJ24)</f>
        <v>12393.5</v>
      </c>
      <c r="CK24" s="1506" cm="1">
        <f t="array" aca="1" ref="CK24" ca="1">IF(SwitchPA=1,_xll.TR(CK$7,CK$6,"Sdate=#1 Period=#2 NULL=BLANK Scale=6",,$D24,$CC$4),CK24)</f>
        <v>21167</v>
      </c>
      <c r="CL24" s="1506" cm="1">
        <f t="array" aca="1" ref="CL24" ca="1">IF(SwitchPA=1,_xll.TR(CL$7,CL$6,"Sdate=#1 Period=#2 NULL=BLANK Scale=6",,$D24,$CC$4),CL24)</f>
        <v>2107.4989999999998</v>
      </c>
      <c r="CM24" s="1506" cm="1">
        <f t="array" aca="1" ref="CM24" ca="1">IF(SwitchPA=1,_xll.TR(CM$7,CM$6,"Sdate=#1 Period=#2 NULL=BLANK Scale=6",,$D24,$CC$4),CM24)</f>
        <v>7952</v>
      </c>
      <c r="CN24" s="1506" cm="1">
        <f t="array" aca="1" ref="CN24" ca="1">IF(SwitchPA=1,_xll.TR(CN$7,CN$6,"Sdate=#1 Period=#2 NULL=BLANK Scale=6",,$D24,$CC$4),CN24)</f>
        <v>2450.6</v>
      </c>
      <c r="CO24" s="1506" t="str" cm="1">
        <f t="array" aca="1" ref="CO24" ca="1">IF(SwitchPA=1,_xll.TR(CO$7,CO$6,"Sdate=#1 Period=#2 NULL=BLANK Scale=6",,$D24,$CC$4),CO24)</f>
        <v/>
      </c>
      <c r="CP24" s="1506" cm="1">
        <f t="array" aca="1" ref="CP24" ca="1">IF(SwitchPA=1,_xll.TR(CP$7,CP$6,"Sdate=#1 Period=#2 NULL=BLANK Scale=6",,$D24,$CC$4),CP24)</f>
        <v>2150.1999999999998</v>
      </c>
      <c r="CQ24" s="1506" cm="1">
        <f t="array" aca="1" ref="CQ24" ca="1">IF(SwitchPA=1,_xll.TR(CQ$7,CQ$6,"Sdate=#1 Period=#2 NULL=BLANK Scale=6",,$D24,$CC$4),CQ24)</f>
        <v>10201</v>
      </c>
      <c r="CR24" s="1506" cm="1">
        <f t="array" aca="1" ref="CR24" ca="1">IF(SwitchPA=1,_xll.TR(CR$7,CR$6,"Sdate=#1 Period=#2 NULL=BLANK Scale=6",,$D24,$CC$4),CR24)</f>
        <v>8104</v>
      </c>
      <c r="CS24" s="1506" t="str" cm="1">
        <f t="array" aca="1" ref="CS24" ca="1">IF(SwitchPA=1,_xll.TR(CS$7,CS$6,"Sdate=#1 Period=#2 NULL=BLANK Scale=6",,$D24,$CC$4),CS24)</f>
        <v>Unable to resolve all requested identifiers.</v>
      </c>
      <c r="CT24" s="1506" t="str" cm="1">
        <f t="array" aca="1" ref="CT24" ca="1">IF(SwitchPA=1,_xll.TR(CT$7,CT$6,"Sdate=#1 Period=#2 NULL=BLANK Scale=6",,$D24,$CC$4),CT24)</f>
        <v>Unable to resolve all requested identifiers.</v>
      </c>
      <c r="CV24" s="1516" cm="1">
        <f t="array" aca="1" ref="CV24" ca="1">IF(SwitchPA=1,_xll.TR(CV$7,CV$6,"Sdate=#1 Period=#2 NULL=BLANK Scale=6",,$D24,$AQ$4),CV24)</f>
        <v>3137</v>
      </c>
      <c r="CW24" s="1516" cm="1">
        <f t="array" aca="1" ref="CW24" ca="1">IF(SwitchPA=1,_xll.TR(CW$7,CW$6,"Sdate=#1 Period=#2 NULL=BLANK Scale=6",,$D24,$AQ$4),CW24)</f>
        <v>1819.75</v>
      </c>
      <c r="CX24" s="1516" cm="1">
        <f t="array" aca="1" ref="CX24" ca="1">IF(SwitchPA=1,_xll.TR(CX$7,CX$6,"Sdate=#1 Period=#2 NULL=BLANK Scale=6",,$D24,$AQ$4),CX24)</f>
        <v>13408.174999999999</v>
      </c>
      <c r="CY24" s="1516" t="str" cm="1">
        <f t="array" aca="1" ref="CY24" ca="1">IF(SwitchPA=1,_xll.TR(CY$7,CY$6,"Sdate=#1 Period=#2 NULL=BLANK Scale=6",,$D24,$AQ$4),CY24)</f>
        <v/>
      </c>
      <c r="CZ24" s="1516" t="str" cm="1">
        <f t="array" aca="1" ref="CZ24" ca="1">IF(SwitchPA=1,_xll.TR(CZ$7,CZ$6,"Sdate=#1 Period=#2 NULL=BLANK Scale=6",,$D24,$AQ$4),CZ24)</f>
        <v/>
      </c>
      <c r="DA24" s="1516" cm="1">
        <f t="array" aca="1" ref="DA24" ca="1">IF(SwitchPA=1,_xll.TR(DA$7,DA$6,"Sdate=#1 Period=#2 NULL=BLANK Scale=6",,$D24,$AQ$4),DA24)</f>
        <v>470.32499999999999</v>
      </c>
      <c r="DB24" s="1516" t="str" cm="1">
        <f t="array" aca="1" ref="DB24" ca="1">IF(SwitchPA=1,_xll.TR(DB$7,DB$6,"Sdate=#1 Period=#2 NULL=BLANK Scale=6",,$D24,$AQ$4),DB24)</f>
        <v/>
      </c>
      <c r="DC24" s="1516" cm="1">
        <f t="array" aca="1" ref="DC24" ca="1">IF(SwitchPA=1,_xll.TR(DC$7,DC$6,"Sdate=#1 Period=#2 NULL=BLANK Scale=6",,$D24,$AQ$4),DC24)</f>
        <v>4914.3500000000004</v>
      </c>
      <c r="DD24" s="1516" cm="1">
        <f t="array" aca="1" ref="DD24" ca="1">IF(SwitchPA=1,_xll.TR(DD$7,DD$6,"Sdate=#1 Period=#2 NULL=BLANK Scale=6",,$D24,$AQ$4),DD24)</f>
        <v>5584.25</v>
      </c>
      <c r="DE24" s="1516" cm="1">
        <f t="array" aca="1" ref="DE24" ca="1">IF(SwitchPA=1,_xll.TR(DE$7,DE$6,"Sdate=#1 Period=#2 NULL=BLANK Scale=6",,$D24,$AQ$4),DE24)</f>
        <v>935.33624999999995</v>
      </c>
      <c r="DF24" s="1516" cm="1">
        <f t="array" aca="1" ref="DF24" ca="1">IF(SwitchPA=1,_xll.TR(DF$7,DF$6,"Sdate=#1 Period=#2 NULL=BLANK Scale=6",,$D24,$AQ$4),DF24)</f>
        <v>1086.25</v>
      </c>
      <c r="DG24" s="1516" cm="1">
        <f t="array" aca="1" ref="DG24" ca="1">IF(SwitchPA=1,_xll.TR(DG$7,DG$6,"Sdate=#1 Period=#2 NULL=BLANK Scale=6",,$D24,$AQ$4),DG24)</f>
        <v>421.8</v>
      </c>
      <c r="DH24" s="1516" t="str" cm="1">
        <f t="array" aca="1" ref="DH24" ca="1">IF(SwitchPA=1,_xll.TR(DH$7,DH$6,"Sdate=#1 Period=#2 NULL=BLANK Scale=6",,$D24,$AQ$4),DH24)</f>
        <v/>
      </c>
      <c r="DI24" s="1516" cm="1">
        <f t="array" aca="1" ref="DI24" ca="1">IF(SwitchPA=1,_xll.TR(DI$7,DI$6,"Sdate=#1 Period=#2 NULL=BLANK Scale=6",,$D24,$AQ$4),DI24)</f>
        <v>1032.425</v>
      </c>
      <c r="DJ24" s="1516" cm="1">
        <f t="array" aca="1" ref="DJ24" ca="1">IF(SwitchPA=1,_xll.TR(DJ$7,DJ$6,"Sdate=#1 Period=#2 NULL=BLANK Scale=6",,$D24,$AQ$4),DJ24)</f>
        <v>2352</v>
      </c>
      <c r="DK24" s="1516" cm="1">
        <f t="array" aca="1" ref="DK24" ca="1">IF(SwitchPA=1,_xll.TR(DK$7,DK$6,"Sdate=#1 Period=#2 NULL=BLANK Scale=6",,$D24,$AQ$4),DK24)</f>
        <v>3509.75</v>
      </c>
      <c r="DL24" s="1516" t="str" cm="1">
        <f t="array" aca="1" ref="DL24" ca="1">IF(SwitchPA=1,_xll.TR(DL$7,DL$6,"Sdate=#1 Period=#2 NULL=BLANK Scale=6",,$D24,$AQ$4),DL24)</f>
        <v>Unable to resolve all requested identifiers.</v>
      </c>
      <c r="DM24" s="1516" t="str" cm="1">
        <f t="array" aca="1" ref="DM24" ca="1">IF(SwitchPA=1,_xll.TR(DM$7,DM$6,"Sdate=#1 Period=#2 NULL=BLANK Scale=6",,$D24,$AQ$4),DM24)</f>
        <v>Unable to resolve and collect data for all requested identifiers and fields.</v>
      </c>
      <c r="DO24" s="1506" cm="1">
        <f t="array" aca="1" ref="DO24" ca="1">IF(SwitchPA=1,_xll.TR(DO$7,DO$6,"Sdate=#1 Period=#2 Scale=6 NULL=BLANK",,$D24,$X$4),DO24)</f>
        <v>5270.2638776499998</v>
      </c>
      <c r="DP24" s="1506" cm="1">
        <f t="array" aca="1" ref="DP24" ca="1">IF(SwitchPA=1,_xll.TR(DP$7,DP$6,"Sdate=#1 Period=#2 Scale=6 NULL=BLANK",,$D24,$X$4),DP24)</f>
        <v>6450.1268954200004</v>
      </c>
      <c r="DQ24" s="1506" cm="1">
        <f t="array" aca="1" ref="DQ24" ca="1">IF(SwitchPA=1,_xll.TR(DQ$7,DQ$6,"Sdate=#1 Period=#2 Scale=6 NULL=BLANK",,$D24,$X$4),DQ24)</f>
        <v>35748.506922</v>
      </c>
      <c r="DR24" s="1506" t="str" cm="1">
        <f t="array" aca="1" ref="DR24" ca="1">IF(SwitchPA=1,_xll.TR(DR$7,DR$6,"Sdate=#1 Period=#2 Scale=6 NULL=BLANK",,$D24,$X$4),DR24)</f>
        <v/>
      </c>
      <c r="DS24" s="1506" t="str" cm="1">
        <f t="array" aca="1" ref="DS24" ca="1">IF(SwitchPA=1,_xll.TR(DS$7,DS$6,"Sdate=#1 Period=#2 Scale=6 NULL=BLANK",,$D24,$X$4),DS24)</f>
        <v/>
      </c>
      <c r="DT24" s="1506" cm="1">
        <f t="array" aca="1" ref="DT24" ca="1">IF(SwitchPA=1,_xll.TR(DT$7,DT$6,"Sdate=#1 Period=#2 Scale=6 NULL=BLANK",,$D24,$X$4),DT24)</f>
        <v>1530.52705178</v>
      </c>
      <c r="DU24" s="1506" t="str" cm="1">
        <f t="array" aca="1" ref="DU24" ca="1">IF(SwitchPA=1,_xll.TR(DU$7,DU$6,"Sdate=#1 Period=#2 Scale=6 NULL=BLANK",,$D24,$X$4),DU24)</f>
        <v/>
      </c>
      <c r="DV24" s="1506" cm="1">
        <f t="array" aca="1" ref="DV24" ca="1">IF(SwitchPA=1,_xll.TR(DV$7,DV$6,"Sdate=#1 Period=#2 Scale=6 NULL=BLANK",,$D24,$X$4),DV24)</f>
        <v>9077.0238181200002</v>
      </c>
      <c r="DW24" s="1506" cm="1">
        <f t="array" aca="1" ref="DW24" ca="1">IF(SwitchPA=1,_xll.TR(DW$7,DW$6,"Sdate=#1 Period=#2 Scale=6 NULL=BLANK",,$D24,$X$4),DW24)</f>
        <v>57292.677508000001</v>
      </c>
      <c r="DX24" s="1506" cm="1">
        <f t="array" aca="1" ref="DX24" ca="1">IF(SwitchPA=1,_xll.TR(DX$7,DX$6,"Sdate=#1 Period=#2 Scale=6 NULL=BLANK",,$D24,$X$4),DX24)</f>
        <v>2844.53563265</v>
      </c>
      <c r="DY24" s="1506" cm="1">
        <f t="array" aca="1" ref="DY24" ca="1">IF(SwitchPA=1,_xll.TR(DY$7,DY$6,"Sdate=#1 Period=#2 Scale=6 NULL=BLANK",,$D24,$X$4),DY24)</f>
        <v>3649.0718329800002</v>
      </c>
      <c r="DZ24" s="1506" cm="1">
        <f t="array" aca="1" ref="DZ24" ca="1">IF(SwitchPA=1,_xll.TR(DZ$7,DZ$6,"Sdate=#1 Period=#2 Scale=6 NULL=BLANK",,$D24,$X$4),DZ24)</f>
        <v>1443.36312871</v>
      </c>
      <c r="EA24" s="1506" t="str" cm="1">
        <f t="array" aca="1" ref="EA24" ca="1">IF(SwitchPA=1,_xll.TR(EA$7,EA$6,"Sdate=#1 Period=#2 Scale=6 NULL=BLANK",,$D24,$X$4),EA24)</f>
        <v/>
      </c>
      <c r="EB24" s="1506" cm="1">
        <f t="array" aca="1" ref="EB24" ca="1">IF(SwitchPA=1,_xll.TR(EB$7,EB$6,"Sdate=#1 Period=#2 Scale=6 NULL=BLANK",,$D24,$X$4),EB24)</f>
        <v>2987.7906807499999</v>
      </c>
      <c r="EC24" s="1506" cm="1">
        <f t="array" aca="1" ref="EC24" ca="1">IF(SwitchPA=1,_xll.TR(EC$7,EC$6,"Sdate=#1 Period=#2 Scale=6 NULL=BLANK",,$D24,$X$4),EC24)</f>
        <v>10838.779769549999</v>
      </c>
      <c r="ED24" s="1506" cm="1">
        <f t="array" aca="1" ref="ED24" ca="1">IF(SwitchPA=1,_xll.TR(ED$7,ED$6,"Sdate=#1 Period=#2 Scale=6 NULL=BLANK",,$D24,$X$4),ED24)</f>
        <v>9889.2714586820002</v>
      </c>
      <c r="EE24" s="1506" t="str" cm="1">
        <f t="array" aca="1" ref="EE24" ca="1">IF(SwitchPA=1,_xll.TR(EE$7,EE$6,"Sdate=#1 Period=#2 Scale=6 NULL=BLANK",,$D24,$X$4),EE24)</f>
        <v/>
      </c>
      <c r="EF24" s="1506" t="str" cm="1">
        <f t="array" aca="1" ref="EF24" ca="1">IF(SwitchPA=1,_xll.TR(EF$7,EF$6,"Sdate=#1 Period=#2 Scale=6 NULL=BLANK",,$D24,$X$4),EF24)</f>
        <v/>
      </c>
      <c r="EG24" s="1517"/>
      <c r="EH24" s="1506" cm="1">
        <f t="array" aca="1" ref="EH24" ca="1">IF(SwitchPA=1,_xll.TR(EH$7,EH$6,"Sdate=#1 Period=#2 Scale=6 NULL=BLANK",,$D24,$X$4),EH24)</f>
        <v>790</v>
      </c>
      <c r="EI24" s="1506" cm="1">
        <f t="array" aca="1" ref="EI24" ca="1">IF(SwitchPA=1,_xll.TR(EI$7,EI$6,"Sdate=#1 Period=#2 Scale=6 NULL=BLANK",,$D24,$X$4),EI24)</f>
        <v>539</v>
      </c>
      <c r="EJ24" s="1506" cm="1">
        <f t="array" aca="1" ref="EJ24" ca="1">IF(SwitchPA=1,_xll.TR(EJ$7,EJ$6,"Sdate=#1 Period=#2 Scale=6 NULL=BLANK",,$D24,$X$4),EJ24)</f>
        <v>6139.5</v>
      </c>
      <c r="EK24" s="1506" t="str" cm="1">
        <f t="array" aca="1" ref="EK24" ca="1">IF(SwitchPA=1,_xll.TR(EK$7,EK$6,"Sdate=#1 Period=#2 Scale=6 NULL=BLANK",,$D24,$X$4),EK24)</f>
        <v/>
      </c>
      <c r="EL24" s="1506" t="str" cm="1">
        <f t="array" aca="1" ref="EL24" ca="1">IF(SwitchPA=1,_xll.TR(EL$7,EL$6,"Sdate=#1 Period=#2 Scale=6 NULL=BLANK",,$D24,$X$4),EL24)</f>
        <v/>
      </c>
      <c r="EM24" s="1506" cm="1">
        <f t="array" aca="1" ref="EM24" ca="1">IF(SwitchPA=1,_xll.TR(EM$7,EM$6,"Sdate=#1 Period=#2 Scale=6 NULL=BLANK",,$D24,$X$4),EM24)</f>
        <v>187.5</v>
      </c>
      <c r="EN24" s="1506" t="str" cm="1">
        <f t="array" aca="1" ref="EN24" ca="1">IF(SwitchPA=1,_xll.TR(EN$7,EN$6,"Sdate=#1 Period=#2 Scale=6 NULL=BLANK",,$D24,$X$4),EN24)</f>
        <v/>
      </c>
      <c r="EO24" s="1506" cm="1">
        <f t="array" aca="1" ref="EO24" ca="1">IF(SwitchPA=1,_xll.TR(EO$7,EO$6,"Sdate=#1 Period=#2 Scale=6 NULL=BLANK",,$D24,$X$4),EO24)</f>
        <v>1088.7</v>
      </c>
      <c r="EP24" s="1506" cm="1">
        <f t="array" aca="1" ref="EP24" ca="1">IF(SwitchPA=1,_xll.TR(EP$7,EP$6,"Sdate=#1 Period=#2 Scale=6 NULL=BLANK",,$D24,$X$4),EP24)</f>
        <v>4854</v>
      </c>
      <c r="EQ24" s="1506" cm="1">
        <f t="array" aca="1" ref="EQ24" ca="1">IF(SwitchPA=1,_xll.TR(EQ$7,EQ$6,"Sdate=#1 Period=#2 Scale=6 NULL=BLANK",,$D24,$X$4),EQ24)</f>
        <v>161.99799999999999</v>
      </c>
      <c r="ER24" s="1506" cm="1">
        <f t="array" aca="1" ref="ER24" ca="1">IF(SwitchPA=1,_xll.TR(ER$7,ER$6,"Sdate=#1 Period=#2 Scale=6 NULL=BLANK",,$D24,$X$4),ER24)</f>
        <v>556</v>
      </c>
      <c r="ES24" s="1506" cm="1">
        <f t="array" aca="1" ref="ES24" ca="1">IF(SwitchPA=1,_xll.TR(ES$7,ES$6,"Sdate=#1 Period=#2 Scale=6 NULL=BLANK",,$D24,$X$4),ES24)</f>
        <v>67.8</v>
      </c>
      <c r="ET24" s="1506" t="str" cm="1">
        <f t="array" aca="1" ref="ET24" ca="1">IF(SwitchPA=1,_xll.TR(ET$7,ET$6,"Sdate=#1 Period=#2 Scale=6 NULL=BLANK",,$D24,$X$4),ET24)</f>
        <v/>
      </c>
      <c r="EU24" s="1506" cm="1">
        <f t="array" aca="1" ref="EU24" ca="1">IF(SwitchPA=1,_xll.TR(EU$7,EU$6,"Sdate=#1 Period=#2 Scale=6 NULL=BLANK",,$D24,$X$4),EU24)</f>
        <v>279.89999999999998</v>
      </c>
      <c r="EV24" s="1506" cm="1">
        <f t="array" aca="1" ref="EV24" ca="1">IF(SwitchPA=1,_xll.TR(EV$7,EV$6,"Sdate=#1 Period=#2 Scale=6 NULL=BLANK",,$D24,$X$4),EV24)</f>
        <v>1050</v>
      </c>
      <c r="EW24" s="1506" cm="1">
        <f t="array" aca="1" ref="EW24" ca="1">IF(SwitchPA=1,_xll.TR(EW$7,EW$6,"Sdate=#1 Period=#2 Scale=6 NULL=BLANK",,$D24,$X$4),EW24)</f>
        <v>909</v>
      </c>
      <c r="EX24" s="1506" t="str" cm="1">
        <f t="array" aca="1" ref="EX24" ca="1">IF(SwitchPA=1,_xll.TR(EX$7,EX$6,"Sdate=#1 Period=#2 Scale=6 NULL=BLANK",,$D24,$X$4),EX24)</f>
        <v>Unable to resolve all requested identifiers.</v>
      </c>
      <c r="EY24" s="1506" t="str" cm="1">
        <f t="array" aca="1" ref="EY24" ca="1">IF(SwitchPA=1,_xll.TR(EY$7,EY$6,"Sdate=#1 Period=#2 Scale=6 NULL=BLANK",,$D24,$X$4),EY24)</f>
        <v>Unable to resolve all requested identifiers.</v>
      </c>
      <c r="FA24" s="1506" cm="1">
        <f t="array" aca="1" ref="FA24" ca="1">IF(SwitchPA=1,_xll.TR(FA$7,FA$6,"Sdate=#1 Period=#2 Scale=6 NULL=BLANK",,$D24,$X$4),FA24)</f>
        <v>1077</v>
      </c>
      <c r="FB24" s="1506" cm="1">
        <f t="array" aca="1" ref="FB24" ca="1">IF(SwitchPA=1,_xll.TR(FB$7,FB$6,"Sdate=#1 Period=#2 Scale=6 NULL=BLANK",,$D24,$X$4),FB24)</f>
        <v>528</v>
      </c>
      <c r="FC24" s="1506" cm="1">
        <f t="array" aca="1" ref="FC24" ca="1">IF(SwitchPA=1,_xll.TR(FC$7,FC$6,"Sdate=#1 Period=#2 Scale=6 NULL=BLANK",,$D24,$X$4),FC24)</f>
        <v>9230</v>
      </c>
      <c r="FD24" s="1506" t="str" cm="1">
        <f t="array" aca="1" ref="FD24" ca="1">IF(SwitchPA=1,_xll.TR(FD$7,FD$6,"Sdate=#1 Period=#2 Scale=6 NULL=BLANK",,$D24,$X$4),FD24)</f>
        <v/>
      </c>
      <c r="FE24" s="1506" t="str" cm="1">
        <f t="array" aca="1" ref="FE24" ca="1">IF(SwitchPA=1,_xll.TR(FE$7,FE$6,"Sdate=#1 Period=#2 Scale=6 NULL=BLANK",,$D24,$X$4),FE24)</f>
        <v/>
      </c>
      <c r="FF24" s="1506" cm="1">
        <f t="array" aca="1" ref="FF24" ca="1">IF(SwitchPA=1,_xll.TR(FF$7,FF$6,"Sdate=#1 Period=#2 Scale=6 NULL=BLANK",,$D24,$X$4),FF24)</f>
        <v>260</v>
      </c>
      <c r="FG24" s="1506" t="str" cm="1">
        <f t="array" aca="1" ref="FG24" ca="1">IF(SwitchPA=1,_xll.TR(FG$7,FG$6,"Sdate=#1 Period=#2 Scale=6 NULL=BLANK",,$D24,$X$4),FG24)</f>
        <v/>
      </c>
      <c r="FH24" s="1506" cm="1">
        <f t="array" aca="1" ref="FH24" ca="1">IF(SwitchPA=1,_xll.TR(FH$7,FH$6,"Sdate=#1 Period=#2 Scale=6 NULL=BLANK",,$D24,$X$4),FH24)</f>
        <v>1441.5</v>
      </c>
      <c r="FI24" s="1506" cm="1">
        <f t="array" aca="1" ref="FI24" ca="1">IF(SwitchPA=1,_xll.TR(FI$7,FI$6,"Sdate=#1 Period=#2 Scale=6 NULL=BLANK",,$D24,$X$4),FI24)</f>
        <v>5840</v>
      </c>
      <c r="FJ24" s="1506" cm="1">
        <f t="array" aca="1" ref="FJ24" ca="1">IF(SwitchPA=1,_xll.TR(FJ$7,FJ$6,"Sdate=#1 Period=#2 Scale=6 NULL=BLANK",,$D24,$X$4),FJ24)</f>
        <v>282.96100000000001</v>
      </c>
      <c r="FK24" s="1506" cm="1">
        <f t="array" aca="1" ref="FK24" ca="1">IF(SwitchPA=1,_xll.TR(FK$7,FK$6,"Sdate=#1 Period=#2 Scale=6 NULL=BLANK",,$D24,$X$4),FK24)</f>
        <v>609</v>
      </c>
      <c r="FL24" s="1506" cm="1">
        <f t="array" aca="1" ref="FL24" ca="1">IF(SwitchPA=1,_xll.TR(FL$7,FL$6,"Sdate=#1 Period=#2 Scale=6 NULL=BLANK",,$D24,$X$4),FL24)</f>
        <v>118.5</v>
      </c>
      <c r="FM24" s="1506" t="str" cm="1">
        <f t="array" aca="1" ref="FM24" ca="1">IF(SwitchPA=1,_xll.TR(FM$7,FM$6,"Sdate=#1 Period=#2 Scale=6 NULL=BLANK",,$D24,$X$4),FM24)</f>
        <v/>
      </c>
      <c r="FN24" s="1506" cm="1">
        <f t="array" aca="1" ref="FN24" ca="1">IF(SwitchPA=1,_xll.TR(FN$7,FN$6,"Sdate=#1 Period=#2 Scale=6 NULL=BLANK",,$D24,$X$4),FN24)</f>
        <v>416.2</v>
      </c>
      <c r="FO24" s="1506" cm="1">
        <f t="array" aca="1" ref="FO24" ca="1">IF(SwitchPA=1,_xll.TR(FO$7,FO$6,"Sdate=#1 Period=#2 Scale=6 NULL=BLANK",,$D24,$X$4),FO24)</f>
        <v>1422</v>
      </c>
      <c r="FP24" s="1506" cm="1">
        <f t="array" aca="1" ref="FP24" ca="1">IF(SwitchPA=1,_xll.TR(FP$7,FP$6,"Sdate=#1 Period=#2 Scale=6 NULL=BLANK",,$D24,$X$4),FP24)</f>
        <v>1357</v>
      </c>
      <c r="FQ24" s="1506" t="str" cm="1">
        <f t="array" aca="1" ref="FQ24" ca="1">IF(SwitchPA=1,_xll.TR(FQ$7,FQ$6,"Sdate=#1 Period=#2 Scale=6 NULL=BLANK",,$D24,$X$4),FQ24)</f>
        <v>Unable to resolve all requested identifiers.</v>
      </c>
      <c r="FS24" s="1506" cm="1">
        <f t="array" aca="1" ref="FS24" ca="1">IF(SwitchPA=1,_xll.TR(FS$7,FS$6,"Sdate=#1 Period=#2 NULL=BLANK Scale=6",,$D24,$FS$4),FS24)</f>
        <v>415</v>
      </c>
      <c r="FT24" s="1506" cm="1">
        <f t="array" aca="1" ref="FT24" ca="1">IF(SwitchPA=1,_xll.TR(FT$7,FT$6,"Sdate=#1 Period=#2 NULL=BLANK Scale=6",,$D24,$FS$4),FT24)</f>
        <v>161</v>
      </c>
      <c r="FU24" s="1506" cm="1">
        <f t="array" aca="1" ref="FU24" ca="1">IF(SwitchPA=1,_xll.TR(FU$7,FU$6,"Sdate=#1 Period=#2 NULL=BLANK Scale=6",,$D24,$FS$4),FU24)</f>
        <v>2999.6</v>
      </c>
      <c r="FV24" s="1506" t="str" cm="1">
        <f t="array" aca="1" ref="FV24" ca="1">IF(SwitchPA=1,_xll.TR(FV$7,FV$6,"Sdate=#1 Period=#2 NULL=BLANK Scale=6",,$D24,$FS$4),FV24)</f>
        <v/>
      </c>
      <c r="FW24" s="1506" t="str" cm="1">
        <f t="array" aca="1" ref="FW24" ca="1">IF(SwitchPA=1,_xll.TR(FW$7,FW$6,"Sdate=#1 Period=#2 NULL=BLANK Scale=6",,$D24,$FS$4),FW24)</f>
        <v/>
      </c>
      <c r="FX24" s="1506" cm="1">
        <f t="array" aca="1" ref="FX24" ca="1">IF(SwitchPA=1,_xll.TR(FX$7,FX$6,"Sdate=#1 Period=#2 NULL=BLANK Scale=6",,$D24,$FS$4),FX24)</f>
        <v>216.4</v>
      </c>
      <c r="FY24" s="1506" t="str" cm="1">
        <f t="array" aca="1" ref="FY24" ca="1">IF(SwitchPA=1,_xll.TR(FY$7,FY$6,"Sdate=#1 Period=#2 NULL=BLANK Scale=6",,$D24,$FS$4),FY24)</f>
        <v/>
      </c>
      <c r="FZ24" s="1506" cm="1">
        <f t="array" aca="1" ref="FZ24" ca="1">IF(SwitchPA=1,_xll.TR(FZ$7,FZ$6,"Sdate=#1 Period=#2 NULL=BLANK Scale=6",,$D24,$FS$4),FZ24)</f>
        <v>550.6</v>
      </c>
      <c r="GA24" s="1506" cm="1">
        <f t="array" aca="1" ref="GA24" ca="1">IF(SwitchPA=1,_xll.TR(GA$7,GA$6,"Sdate=#1 Period=#2 NULL=BLANK Scale=6",,$D24,$FS$4),GA24)</f>
        <v>3261</v>
      </c>
      <c r="GB24" s="1506" cm="1">
        <f t="array" aca="1" ref="GB24" ca="1">IF(SwitchPA=1,_xll.TR(GB$7,GB$6,"Sdate=#1 Period=#2 NULL=BLANK Scale=6",,$D24,$FS$4),GB24)</f>
        <v>98.781999999999996</v>
      </c>
      <c r="GC24" s="1506" cm="1">
        <f t="array" aca="1" ref="GC24" ca="1">IF(SwitchPA=1,_xll.TR(GC$7,GC$6,"Sdate=#1 Period=#2 NULL=BLANK Scale=6",,$D24,$FS$4),GC24)</f>
        <v>-244</v>
      </c>
      <c r="GD24" s="1506" cm="1">
        <f t="array" aca="1" ref="GD24" ca="1">IF(SwitchPA=1,_xll.TR(GD$7,GD$6,"Sdate=#1 Period=#2 NULL=BLANK Scale=6",,$D24,$FS$4),GD24)</f>
        <v>31.6</v>
      </c>
      <c r="GE24" s="1506" t="str" cm="1">
        <f t="array" aca="1" ref="GE24" ca="1">IF(SwitchPA=1,_xll.TR(GE$7,GE$6,"Sdate=#1 Period=#2 NULL=BLANK Scale=6",,$D24,$FS$4),GE24)</f>
        <v/>
      </c>
      <c r="GF24" s="1506" cm="1">
        <f t="array" aca="1" ref="GF24" ca="1">IF(SwitchPA=1,_xll.TR(GF$7,GF$6,"Sdate=#1 Period=#2 NULL=BLANK Scale=6",,$D24,$FS$4),GF24)</f>
        <v>123.5</v>
      </c>
      <c r="GG24" s="1506" cm="1">
        <f t="array" aca="1" ref="GG24" ca="1">IF(SwitchPA=1,_xll.TR(GG$7,GG$6,"Sdate=#1 Period=#2 NULL=BLANK Scale=6",,$D24,$FS$4),GG24)</f>
        <v>810</v>
      </c>
      <c r="GH24" s="1506" cm="1">
        <f t="array" aca="1" ref="GH24" ca="1">IF(SwitchPA=1,_xll.TR(GH$7,GH$6,"Sdate=#1 Period=#2 NULL=BLANK Scale=6",,$D24,$FS$4),GH24)</f>
        <v>600</v>
      </c>
      <c r="GI24" s="1506" t="str" cm="1">
        <f t="array" aca="1" ref="GI24" ca="1">IF(SwitchPA=1,_xll.TR(GI$7,GI$6,"Sdate=#1 Period=#2 NULL=BLANK Scale=6",,$D24,$FS$4),GI24)</f>
        <v>Unable to resolve and collect data for all requested identifiers and fields.</v>
      </c>
      <c r="GK24" s="1506" t="str" cm="1">
        <f t="array" aca="1" ref="GK24" ca="1">IF(SwitchPA=1,_xll.TR(GK$7,GK$6,"Sdate=#1 Period=#2 NULL=BLANK Scale=6",,$D24,$FS$4),GK24)</f>
        <v/>
      </c>
      <c r="GL24" s="1506" t="str" cm="1">
        <f t="array" aca="1" ref="GL24" ca="1">IF(SwitchPA=1,_xll.TR(GL$7,GL$6,"Sdate=#1 Period=#2 NULL=BLANK Scale=6",,$D24,$FS$4),GL24)</f>
        <v/>
      </c>
      <c r="GM24" s="1506" t="str" cm="1">
        <f t="array" aca="1" ref="GM24" ca="1">IF(SwitchPA=1,_xll.TR(GM$7,GM$6,"Sdate=#1 Period=#2 NULL=BLANK Scale=6",,$D24,$FS$4),GM24)</f>
        <v/>
      </c>
      <c r="GN24" s="1506" t="str" cm="1">
        <f t="array" aca="1" ref="GN24" ca="1">IF(SwitchPA=1,_xll.TR(GN$7,GN$6,"Sdate=#1 Period=#2 NULL=BLANK Scale=6",,$D24,$FS$4),GN24)</f>
        <v/>
      </c>
      <c r="GO24" s="1506" t="str" cm="1">
        <f t="array" aca="1" ref="GO24" ca="1">IF(SwitchPA=1,_xll.TR(GO$7,GO$6,"Sdate=#1 Period=#2 NULL=BLANK Scale=6",,$D24,$FS$4),GO24)</f>
        <v/>
      </c>
      <c r="GP24" s="1506" t="str" cm="1">
        <f t="array" aca="1" ref="GP24" ca="1">IF(SwitchPA=1,_xll.TR(GP$7,GP$6,"Sdate=#1 Period=#2 NULL=BLANK Scale=6",,$D24,$FS$4),GP24)</f>
        <v/>
      </c>
      <c r="GQ24" s="1506" t="str" cm="1">
        <f t="array" aca="1" ref="GQ24" ca="1">IF(SwitchPA=1,_xll.TR(GQ$7,GQ$6,"Sdate=#1 Period=#2 NULL=BLANK Scale=6",,$D24,$FS$4),GQ24)</f>
        <v/>
      </c>
      <c r="GR24" s="1506" t="str" cm="1">
        <f t="array" aca="1" ref="GR24" ca="1">IF(SwitchPA=1,_xll.TR(GR$7,GR$6,"Sdate=#1 Period=#2 NULL=BLANK Scale=6",,$D24,$FS$4),GR24)</f>
        <v/>
      </c>
      <c r="GS24" s="1506" t="str" cm="1">
        <f t="array" aca="1" ref="GS24" ca="1">IF(SwitchPA=1,_xll.TR(GS$7,GS$6,"Sdate=#1 Period=#2 NULL=BLANK Scale=6",,$D24,$FS$4),GS24)</f>
        <v/>
      </c>
      <c r="GT24" s="1506" t="str" cm="1">
        <f t="array" aca="1" ref="GT24" ca="1">IF(SwitchPA=1,_xll.TR(GT$7,GT$6,"Sdate=#1 Period=#2 NULL=BLANK Scale=6",,$D24,$FS$4),GT24)</f>
        <v/>
      </c>
      <c r="GU24" s="1506" t="str" cm="1">
        <f t="array" aca="1" ref="GU24" ca="1">IF(SwitchPA=1,_xll.TR(GU$7,GU$6,"Sdate=#1 Period=#2 NULL=BLANK Scale=6",,$D24,$FS$4),GU24)</f>
        <v/>
      </c>
      <c r="GV24" s="1506" t="str" cm="1">
        <f t="array" aca="1" ref="GV24" ca="1">IF(SwitchPA=1,_xll.TR(GV$7,GV$6,"Sdate=#1 Period=#2 NULL=BLANK Scale=6",,$D24,$FS$4),GV24)</f>
        <v/>
      </c>
      <c r="GW24" s="1506" t="str" cm="1">
        <f t="array" aca="1" ref="GW24" ca="1">IF(SwitchPA=1,_xll.TR(GW$7,GW$6,"Sdate=#1 Period=#2 NULL=BLANK Scale=6",,$D24,$FS$4),GW24)</f>
        <v/>
      </c>
      <c r="GX24" s="1506" t="str" cm="1">
        <f t="array" aca="1" ref="GX24" ca="1">IF(SwitchPA=1,_xll.TR(GX$7,GX$6,"Sdate=#1 Period=#2 NULL=BLANK Scale=6",,$D24,$FS$4),GX24)</f>
        <v/>
      </c>
      <c r="GY24" s="1506" t="str" cm="1">
        <f t="array" aca="1" ref="GY24" ca="1">IF(SwitchPA=1,_xll.TR(GY$7,GY$6,"Sdate=#1 Period=#2 NULL=BLANK Scale=6",,$D24,$FS$4),GY24)</f>
        <v/>
      </c>
      <c r="GZ24" s="1506" t="str" cm="1">
        <f t="array" aca="1" ref="GZ24" ca="1">IF(SwitchPA=1,_xll.TR(GZ$7,GZ$6,"Sdate=#1 Period=#2 NULL=BLANK Scale=6",,$D24,$FS$4),GZ24)</f>
        <v/>
      </c>
      <c r="HA24" s="1506" t="str" cm="1">
        <f t="array" aca="1" ref="HA24" ca="1">IF(SwitchPA=1,_xll.TR(HA$7,HA$6,"Sdate=#1 Period=#2 NULL=BLANK Scale=6",,$D24,$FS$4),HA24)</f>
        <v/>
      </c>
      <c r="HC24">
        <v>8.69</v>
      </c>
      <c r="HD24">
        <v>56.64</v>
      </c>
      <c r="HE24">
        <v>54.57</v>
      </c>
      <c r="HG24" s="762">
        <f t="shared" si="52"/>
        <v>0.47538200339558578</v>
      </c>
      <c r="HH24" s="762">
        <f t="shared" si="53"/>
        <v>0.36449048422066976</v>
      </c>
      <c r="HI24" s="762">
        <f t="shared" si="54"/>
        <v>0.42629377940407753</v>
      </c>
    </row>
    <row r="25" spans="1:217" ht="11.25" customHeight="1">
      <c r="C25" s="1514">
        <f t="shared" si="51"/>
        <v>39082</v>
      </c>
      <c r="D25" s="1515">
        <f t="shared" si="49"/>
        <v>39127</v>
      </c>
      <c r="E25" s="1506" cm="1">
        <f t="array" aca="1" ref="E25" ca="1">IF(SwitchPA=1,_xll.TR(E$7,E$6,"Sdate=#1 Period=#2 NULL=BLANK",,$D25,$E$4),E25)</f>
        <v>6.4594073510234598</v>
      </c>
      <c r="F25" s="1506" cm="1">
        <f t="array" aca="1" ref="F25" ca="1">IF(SwitchPA=1,_xll.TR(F$7,F$6,"Sdate=#1 Period=#2 NULL=BLANK",,$D25,$E$4),F25)</f>
        <v>6.4843101014492603</v>
      </c>
      <c r="G25" s="1506" cm="1">
        <f t="array" aca="1" ref="G25" ca="1">IF(SwitchPA=1,_xll.TR(G$7,G$6,"Sdate=#1 Period=#2 NULL=BLANK",,$D25,$E$4),G25)</f>
        <v>5.10444115827526</v>
      </c>
      <c r="H25" s="1506" t="str" cm="1">
        <f t="array" aca="1" ref="H25" ca="1">IF(SwitchPA=1,_xll.TR(H$7,H$6,"Sdate=#1 Period=#2 NULL=BLANK",,$D25,$E$4),H25)</f>
        <v/>
      </c>
      <c r="I25" s="1506" t="str" cm="1">
        <f t="array" aca="1" ref="I25" ca="1">IF(SwitchPA=1,_xll.TR(I$7,I$6,"Sdate=#1 Period=#2 NULL=BLANK",,$D25,$E$4),I25)</f>
        <v/>
      </c>
      <c r="J25" s="1506" cm="1">
        <f t="array" aca="1" ref="J25" ca="1">IF(SwitchPA=1,_xll.TR(J$7,J$6,"Sdate=#1 Period=#2 NULL=BLANK",,$D25,$E$4),J25)</f>
        <v>5.7818214115525697</v>
      </c>
      <c r="K25" s="1506" t="str" cm="1">
        <f t="array" aca="1" ref="K25" ca="1">IF(SwitchPA=1,_xll.TR(K$7,K$6,"Sdate=#1 Period=#2 NULL=BLANK",,$D25,$E$4),K25)</f>
        <v/>
      </c>
      <c r="L25" s="1506" cm="1">
        <f t="array" aca="1" ref="L25" ca="1">IF(SwitchPA=1,_xll.TR(L$7,L$6,"Sdate=#1 Period=#2 NULL=BLANK",,$D25,$E$4),L25)</f>
        <v>7.2876688111865997</v>
      </c>
      <c r="M25" s="1506" cm="1">
        <f t="array" aca="1" ref="M25" ca="1">IF(SwitchPA=1,_xll.TR(M$7,M$6,"Sdate=#1 Period=#2 NULL=BLANK",,$D25,$E$4),M25)</f>
        <v>9.2814855596134702</v>
      </c>
      <c r="N25" s="1506" cm="1">
        <f t="array" aca="1" ref="N25" ca="1">IF(SwitchPA=1,_xll.TR(N$7,N$6,"Sdate=#1 Period=#2 NULL=BLANK",,$D25,$E$4),N25)</f>
        <v>10.3359581024162</v>
      </c>
      <c r="O25" s="1506" cm="1">
        <f t="array" aca="1" ref="O25" ca="1">IF(SwitchPA=1,_xll.TR(O$7,O$6,"Sdate=#1 Period=#2 NULL=BLANK",,$D25,$E$4),O25)</f>
        <v>7.5390300852434402</v>
      </c>
      <c r="P25" s="1506" cm="1">
        <f t="array" aca="1" ref="P25" ca="1">IF(SwitchPA=1,_xll.TR(P$7,P$6,"Sdate=#1 Period=#2 NULL=BLANK",,$D25,$E$4),P25)</f>
        <v>5.8872506291597499</v>
      </c>
      <c r="Q25" s="1506" t="str" cm="1">
        <f t="array" aca="1" ref="Q25" ca="1">IF(SwitchPA=1,_xll.TR(Q$7,Q$6,"Sdate=#1 Period=#2 NULL=BLANK",,$D25,$E$4),Q25)</f>
        <v/>
      </c>
      <c r="R25" s="1506" cm="1">
        <f t="array" aca="1" ref="R25" ca="1">IF(SwitchPA=1,_xll.TR(R$7,R$6,"Sdate=#1 Period=#2 NULL=BLANK",,$D25,$E$4),R25)</f>
        <v>6.7905482901647796</v>
      </c>
      <c r="S25" s="1506" cm="1">
        <f t="array" aca="1" ref="S25" ca="1">IF(SwitchPA=1,_xll.TR(S$7,S$6,"Sdate=#1 Period=#2 NULL=BLANK",,$D25,$E$4),S25)</f>
        <v>7.0103118805630702</v>
      </c>
      <c r="T25" s="1506" cm="1">
        <f t="array" aca="1" ref="T25" ca="1">IF(SwitchPA=1,_xll.TR(T$7,T$6,"Sdate=#1 Period=#2 NULL=BLANK",,$D25,$E$4),T25)</f>
        <v>7.5572706697475196</v>
      </c>
      <c r="U25" s="1506" t="str" cm="1">
        <f t="array" aca="1" ref="U25" ca="1">IF(SwitchPA=1,_xll.TR(U$7,U$6,"Sdate=#1 Period=#2 NULL=BLANK",,$D25,$E$4),U25)</f>
        <v>No universe defined.</v>
      </c>
      <c r="V25" s="1506" t="str" cm="1">
        <f t="array" aca="1" ref="V25" ca="1">IF(SwitchPA=1,_xll.TR(V$7,V$6,"Sdate=#1 Period=#2 NULL=BLANK",,$D25,$E$4),V25)</f>
        <v>No universe defined.</v>
      </c>
      <c r="W25" s="1521">
        <f t="shared" ref="W25:W41" ca="1" si="55">E25/G25-1</f>
        <v>0.26544848901853713</v>
      </c>
      <c r="X25" s="1506" cm="1">
        <f t="array" aca="1" ref="X25" ca="1">IF(SwitchPA=1,_xll.TR(X$7,X$6,"Sdate=#1 Period=#2 NULL=BLANK",,$D25,$X$4),X25)</f>
        <v>6.2722087080421902</v>
      </c>
      <c r="Y25" s="1506" cm="1">
        <f t="array" aca="1" ref="Y25" ca="1">IF(SwitchPA=1,_xll.TR(Y$7,Y$6,"Sdate=#1 Period=#2 NULL=BLANK",,$D25,$X$4),Y25)</f>
        <v>6.6834554186910404</v>
      </c>
      <c r="Z25" s="1506" cm="1">
        <f t="array" aca="1" ref="Z25" ca="1">IF(SwitchPA=1,_xll.TR(Z$7,Z$6,"Sdate=#1 Period=#2 NULL=BLANK",,$D25,$X$4),Z25)</f>
        <v>5.25599251952716</v>
      </c>
      <c r="AA25" s="1506" t="str" cm="1">
        <f t="array" aca="1" ref="AA25" ca="1">IF(SwitchPA=1,_xll.TR(AA$7,AA$6,"Sdate=#1 Period=#2 NULL=BLANK",,$D25,$X$4),AA25)</f>
        <v/>
      </c>
      <c r="AB25" s="1506" t="str" cm="1">
        <f t="array" aca="1" ref="AB25" ca="1">IF(SwitchPA=1,_xll.TR(AB$7,AB$6,"Sdate=#1 Period=#2 NULL=BLANK",,$D25,$X$4),AB25)</f>
        <v/>
      </c>
      <c r="AC25" s="1506" cm="1">
        <f t="array" aca="1" ref="AC25" ca="1">IF(SwitchPA=1,_xll.TR(AC$7,AC$6,"Sdate=#1 Period=#2 NULL=BLANK",,$D25,$X$4),AC25)</f>
        <v>4.8229750563671097</v>
      </c>
      <c r="AD25" s="1506" t="str" cm="1">
        <f t="array" aca="1" ref="AD25" ca="1">IF(SwitchPA=1,_xll.TR(AD$7,AD$6,"Sdate=#1 Period=#2 NULL=BLANK",,$D25,$X$4),AD25)</f>
        <v/>
      </c>
      <c r="AE25" s="1506" cm="1">
        <f t="array" aca="1" ref="AE25" ca="1">IF(SwitchPA=1,_xll.TR(AE$7,AE$6,"Sdate=#1 Period=#2 NULL=BLANK",,$D25,$X$4),AE25)</f>
        <v>7.3872933247219201</v>
      </c>
      <c r="AF25" s="1506" cm="1">
        <f t="array" aca="1" ref="AF25" ca="1">IF(SwitchPA=1,_xll.TR(AF$7,AF$6,"Sdate=#1 Period=#2 NULL=BLANK",,$D25,$X$4),AF25)</f>
        <v>9.4336223876016501</v>
      </c>
      <c r="AG25" s="1506" cm="1">
        <f t="array" aca="1" ref="AG25" ca="1">IF(SwitchPA=1,_xll.TR(AG$7,AG$6,"Sdate=#1 Period=#2 NULL=BLANK",,$D25,$X$4),AG25)</f>
        <v>11.8404134759956</v>
      </c>
      <c r="AH25" s="1506" cm="1">
        <f t="array" aca="1" ref="AH25" ca="1">IF(SwitchPA=1,_xll.TR(AH$7,AH$6,"Sdate=#1 Period=#2 NULL=BLANK",,$D25,$X$4),AH25)</f>
        <v>7.1609857600476996</v>
      </c>
      <c r="AI25" s="1506" cm="1">
        <f t="array" aca="1" ref="AI25" ca="1">IF(SwitchPA=1,_xll.TR(AI$7,AI$6,"Sdate=#1 Period=#2 NULL=BLANK",,$D25,$X$4),AI25)</f>
        <v>4.9377469761559896</v>
      </c>
      <c r="AJ25" s="1506" t="str" cm="1">
        <f t="array" aca="1" ref="AJ25" ca="1">IF(SwitchPA=1,_xll.TR(AJ$7,AJ$6,"Sdate=#1 Period=#2 NULL=BLANK",,$D25,$X$4),AJ25)</f>
        <v/>
      </c>
      <c r="AK25" s="1506" cm="1">
        <f t="array" aca="1" ref="AK25" ca="1">IF(SwitchPA=1,_xll.TR(AK$7,AK$6,"Sdate=#1 Period=#2 NULL=BLANK",,$D25,$X$4),AK25)</f>
        <v>7.2252268320928597</v>
      </c>
      <c r="AL25" s="1506" cm="1">
        <f t="array" aca="1" ref="AL25" ca="1">IF(SwitchPA=1,_xll.TR(AL$7,AL$6,"Sdate=#1 Period=#2 NULL=BLANK",,$D25,$X$4),AL25)</f>
        <v>7.2185180585813598</v>
      </c>
      <c r="AM25" s="1506" cm="1">
        <f t="array" aca="1" ref="AM25" ca="1">IF(SwitchPA=1,_xll.TR(AM$7,AM$6,"Sdate=#1 Period=#2 NULL=BLANK",,$D25,$X$4),AM25)</f>
        <v>7.7918483439647499</v>
      </c>
      <c r="AN25" s="1506" t="str" cm="1">
        <f t="array" aca="1" ref="AN25" ca="1">IF(SwitchPA=1,_xll.TR(AN$7,AN$6,"Sdate=#1 Period=#2 NULL=BLANK",,$D25,$X$4),AN25)</f>
        <v/>
      </c>
      <c r="AO25" s="1506" t="str" cm="1">
        <f t="array" aca="1" ref="AO25" ca="1">IF(SwitchPA=1,_xll.TR(AO$7,AO$6,"Sdate=#1 Period=#2 NULL=BLANK",,$D25,$X$4),AO25)</f>
        <v/>
      </c>
      <c r="AQ25" s="1506" t="str" cm="1">
        <f t="array" aca="1" ref="AQ25" ca="1">IF(SwitchPA=1,_xll.TR(AQ$7,AQ$6,"Sdate=#1 Period=#2 NULL=BLANK Scale=6",,$D25,$AQ$4),AQ25)</f>
        <v/>
      </c>
      <c r="AR25" s="1506" t="str" cm="1">
        <f t="array" aca="1" ref="AR25" ca="1">IF(SwitchPA=1,_xll.TR(AR$7,AR$6,"Sdate=#1 Period=#2 NULL=BLANK Scale=6",,$D25,$AQ$4),AR25)</f>
        <v/>
      </c>
      <c r="AS25" s="1506" t="str" cm="1">
        <f t="array" aca="1" ref="AS25" ca="1">IF(SwitchPA=1,_xll.TR(AS$7,AS$6,"Sdate=#1 Period=#2 NULL=BLANK Scale=6",,$D25,$AQ$4),AS25)</f>
        <v/>
      </c>
      <c r="AT25" s="1506" t="str" cm="1">
        <f t="array" aca="1" ref="AT25" ca="1">IF(SwitchPA=1,_xll.TR(AT$7,AT$6,"Sdate=#1 Period=#2 NULL=BLANK Scale=6",,$D25,$AQ$4),AT25)</f>
        <v/>
      </c>
      <c r="AU25" s="1506" t="str" cm="1">
        <f t="array" aca="1" ref="AU25" ca="1">IF(SwitchPA=1,_xll.TR(AU$7,AU$6,"Sdate=#1 Period=#2 NULL=BLANK Scale=6",,$D25,$AQ$4),AU25)</f>
        <v/>
      </c>
      <c r="AV25" s="1506" t="str" cm="1">
        <f t="array" aca="1" ref="AV25" ca="1">IF(SwitchPA=1,_xll.TR(AV$7,AV$6,"Sdate=#1 Period=#2 NULL=BLANK Scale=6",,$D25,$AQ$4),AV25)</f>
        <v/>
      </c>
      <c r="AW25" s="1506" t="str" cm="1">
        <f t="array" aca="1" ref="AW25" ca="1">IF(SwitchPA=1,_xll.TR(AW$7,AW$6,"Sdate=#1 Period=#2 NULL=BLANK Scale=6",,$D25,$AQ$4),AW25)</f>
        <v/>
      </c>
      <c r="AX25" s="1506" t="str" cm="1">
        <f t="array" aca="1" ref="AX25" ca="1">IF(SwitchPA=1,_xll.TR(AX$7,AX$6,"Sdate=#1 Period=#2 NULL=BLANK Scale=6",,$D25,$AQ$4),AX25)</f>
        <v/>
      </c>
      <c r="AY25" s="1506" t="str" cm="1">
        <f t="array" aca="1" ref="AY25" ca="1">IF(SwitchPA=1,_xll.TR(AY$7,AY$6,"Sdate=#1 Period=#2 NULL=BLANK Scale=6",,$D25,$AQ$4),AY25)</f>
        <v/>
      </c>
      <c r="AZ25" s="1506" t="str" cm="1">
        <f t="array" aca="1" ref="AZ25" ca="1">IF(SwitchPA=1,_xll.TR(AZ$7,AZ$6,"Sdate=#1 Period=#2 NULL=BLANK Scale=6",,$D25,$AQ$4),AZ25)</f>
        <v/>
      </c>
      <c r="BA25" s="1506" t="str" cm="1">
        <f t="array" aca="1" ref="BA25" ca="1">IF(SwitchPA=1,_xll.TR(BA$7,BA$6,"Sdate=#1 Period=#2 NULL=BLANK Scale=6",,$D25,$AQ$4),BA25)</f>
        <v/>
      </c>
      <c r="BB25" s="1506" t="str" cm="1">
        <f t="array" aca="1" ref="BB25" ca="1">IF(SwitchPA=1,_xll.TR(BB$7,BB$6,"Sdate=#1 Period=#2 NULL=BLANK Scale=6",,$D25,$AQ$4),BB25)</f>
        <v/>
      </c>
      <c r="BC25" s="1506" t="str" cm="1">
        <f t="array" aca="1" ref="BC25" ca="1">IF(SwitchPA=1,_xll.TR(BC$7,BC$6,"Sdate=#1 Period=#2 NULL=BLANK Scale=6",,$D25,$AQ$4),BC25)</f>
        <v/>
      </c>
      <c r="BD25" s="1506" t="str" cm="1">
        <f t="array" aca="1" ref="BD25" ca="1">IF(SwitchPA=1,_xll.TR(BD$7,BD$6,"Sdate=#1 Period=#2 NULL=BLANK Scale=6",,$D25,$AQ$4),BD25)</f>
        <v/>
      </c>
      <c r="BE25" s="1506" t="str" cm="1">
        <f t="array" aca="1" ref="BE25" ca="1">IF(SwitchPA=1,_xll.TR(BE$7,BE$6,"Sdate=#1 Period=#2 NULL=BLANK Scale=6",,$D25,$AQ$4),BE25)</f>
        <v/>
      </c>
      <c r="BF25" s="1506" t="str" cm="1">
        <f t="array" aca="1" ref="BF25" ca="1">IF(SwitchPA=1,_xll.TR(BF$7,BF$6,"Sdate=#1 Period=#2 NULL=BLANK Scale=6",,$D25,$AQ$4),BF25)</f>
        <v/>
      </c>
      <c r="BG25" s="1506" t="str" cm="1">
        <f t="array" aca="1" ref="BG25" ca="1">IF(SwitchPA=1,_xll.TR(BG$7,BG$6,"Sdate=#1 Period=#2 NULL=BLANK Scale=6",,$D25,$AQ$4),BG25)</f>
        <v/>
      </c>
      <c r="BH25" s="1506" t="str" cm="1">
        <f t="array" aca="1" ref="BH25" ca="1">IF(SwitchPA=1,_xll.TR(BH$7,BH$6,"Sdate=#1 Period=#2 NULL=BLANK Scale=6",,$D25,$AQ$4),BH25)</f>
        <v/>
      </c>
      <c r="BJ25" s="1506" cm="1">
        <f t="array" aca="1" ref="BJ25" ca="1">IF(SwitchPA=1,_xll.TR(BJ$7,BJ$6,"Sdate=#1 Period=#2 NULL=BLANK Scale=6",,$D25,$BJ$4),BJ25)</f>
        <v>6.4853042309999998</v>
      </c>
      <c r="BK25" s="1506" cm="1">
        <f t="array" aca="1" ref="BK25" ca="1">IF(SwitchPA=1,_xll.TR(BK$7,BK$6,"Sdate=#1 Period=#2 NULL=BLANK Scale=6",,$D25,$BJ$4),BK25)</f>
        <v>8.1956129729999994</v>
      </c>
      <c r="BL25" s="1506" cm="1">
        <f t="array" aca="1" ref="BL25" ca="1">IF(SwitchPA=1,_xll.TR(BL$7,BL$6,"Sdate=#1 Period=#2 NULL=BLANK Scale=6",,$D25,$BJ$4),BL25)</f>
        <v>5.354815458</v>
      </c>
      <c r="BM25" s="1506" t="str" cm="1">
        <f t="array" aca="1" ref="BM25" ca="1">IF(SwitchPA=1,_xll.TR(BM$7,BM$6,"Sdate=#1 Period=#2 NULL=BLANK Scale=6",,$D25,$BJ$4),BM25)</f>
        <v/>
      </c>
      <c r="BN25" s="1506" t="str" cm="1">
        <f t="array" aca="1" ref="BN25" ca="1">IF(SwitchPA=1,_xll.TR(BN$7,BN$6,"Sdate=#1 Period=#2 NULL=BLANK Scale=6",,$D25,$BJ$4),BN25)</f>
        <v/>
      </c>
      <c r="BO25" s="1506" cm="1">
        <f t="array" aca="1" ref="BO25" ca="1">IF(SwitchPA=1,_xll.TR(BO$7,BO$6,"Sdate=#1 Period=#2 NULL=BLANK Scale=6",,$D25,$BJ$4),BO25)</f>
        <v>6.6801269980000004</v>
      </c>
      <c r="BP25" s="1506" t="str" cm="1">
        <f t="array" aca="1" ref="BP25" ca="1">IF(SwitchPA=1,_xll.TR(BP$7,BP$6,"Sdate=#1 Period=#2 NULL=BLANK Scale=6",,$D25,$BJ$4),BP25)</f>
        <v/>
      </c>
      <c r="BQ25" s="1506" cm="1">
        <f t="array" aca="1" ref="BQ25" ca="1">IF(SwitchPA=1,_xll.TR(BQ$7,BQ$6,"Sdate=#1 Period=#2 NULL=BLANK Scale=6",,$D25,$BJ$4),BQ25)</f>
        <v>7.8552288729999997</v>
      </c>
      <c r="BR25" s="1506" cm="1">
        <f t="array" aca="1" ref="BR25" ca="1">IF(SwitchPA=1,_xll.TR(BR$7,BR$6,"Sdate=#1 Period=#2 NULL=BLANK Scale=6",,$D25,$BJ$4),BR25)</f>
        <v>9.8041218840000006</v>
      </c>
      <c r="BS25" s="1506" cm="1">
        <f t="array" aca="1" ref="BS25" ca="1">IF(SwitchPA=1,_xll.TR(BS$7,BS$6,"Sdate=#1 Period=#2 NULL=BLANK Scale=6",,$D25,$BJ$4),BS25)</f>
        <v>13.185752170000001</v>
      </c>
      <c r="BT25" s="1506" cm="1">
        <f t="array" aca="1" ref="BT25" ca="1">IF(SwitchPA=1,_xll.TR(BT$7,BT$6,"Sdate=#1 Period=#2 NULL=BLANK Scale=6",,$D25,$BJ$4),BT25)</f>
        <v>12.890678533000001</v>
      </c>
      <c r="BU25" s="1506" cm="1">
        <f t="array" aca="1" ref="BU25" ca="1">IF(SwitchPA=1,_xll.TR(BU$7,BU$6,"Sdate=#1 Period=#2 NULL=BLANK Scale=6",,$D25,$BJ$4),BU25)</f>
        <v>8.8389487130000006</v>
      </c>
      <c r="BV25" s="1506" t="str" cm="1">
        <f t="array" aca="1" ref="BV25" ca="1">IF(SwitchPA=1,_xll.TR(BV$7,BV$6,"Sdate=#1 Period=#2 NULL=BLANK Scale=6",,$D25,$BJ$4),BV25)</f>
        <v/>
      </c>
      <c r="BW25" s="1506" cm="1">
        <f t="array" aca="1" ref="BW25" ca="1">IF(SwitchPA=1,_xll.TR(BW$7,BW$6,"Sdate=#1 Period=#2 NULL=BLANK Scale=6",,$D25,$BJ$4),BW25)</f>
        <v>7.2434003919999999</v>
      </c>
      <c r="BX25" s="1506" cm="1">
        <f t="array" aca="1" ref="BX25" ca="1">IF(SwitchPA=1,_xll.TR(BX$7,BX$6,"Sdate=#1 Period=#2 NULL=BLANK Scale=6",,$D25,$BJ$4),BX25)</f>
        <v>8.8410389719999998</v>
      </c>
      <c r="BY25" s="1506" cm="1">
        <f t="array" aca="1" ref="BY25" ca="1">IF(SwitchPA=1,_xll.TR(BY$7,BY$6,"Sdate=#1 Period=#2 NULL=BLANK Scale=6",,$D25,$BJ$4),BY25)</f>
        <v>7.4074107470000001</v>
      </c>
      <c r="BZ25" s="1506" t="str" cm="1">
        <f t="array" aca="1" ref="BZ25" ca="1">IF(SwitchPA=1,_xll.TR(BZ$7,BZ$6,"Sdate=#1 Period=#2 NULL=BLANK Scale=6",,$D25,$BJ$4),BZ25)</f>
        <v/>
      </c>
      <c r="CA25" s="1506" t="str" cm="1">
        <f t="array" aca="1" ref="CA25" ca="1">IF(SwitchPA=1,_xll.TR(CA$7,CA$6,"Sdate=#1 Period=#2 NULL=BLANK Scale=6",,$D25,$BJ$4),CA25)</f>
        <v/>
      </c>
      <c r="CC25" s="1506" cm="1">
        <f t="array" aca="1" ref="CC25" ca="1">IF(SwitchPA=1,_xll.TR(CC$7,CC$6,"Sdate=#1 Period=#2 NULL=BLANK Scale=6",,$D25,$CC$4),CC25)</f>
        <v>7292</v>
      </c>
      <c r="CD25" s="1506" cm="1">
        <f t="array" aca="1" ref="CD25" ca="1">IF(SwitchPA=1,_xll.TR(CD$7,CD$6,"Sdate=#1 Period=#2 NULL=BLANK Scale=6",,$D25,$CC$4),CD25)</f>
        <v>5778</v>
      </c>
      <c r="CE25" s="1506" cm="1">
        <f t="array" aca="1" ref="CE25" ca="1">IF(SwitchPA=1,_xll.TR(CE$7,CE$6,"Sdate=#1 Period=#2 NULL=BLANK Scale=6",,$D25,$CC$4),CE25)</f>
        <v>49855.9</v>
      </c>
      <c r="CF25" s="1506" t="str" cm="1">
        <f t="array" aca="1" ref="CF25" ca="1">IF(SwitchPA=1,_xll.TR(CF$7,CF$6,"Sdate=#1 Period=#2 NULL=BLANK Scale=6",,$D25,$CC$4),CF25)</f>
        <v/>
      </c>
      <c r="CG25" s="1506" t="str" cm="1">
        <f t="array" aca="1" ref="CG25" ca="1">IF(SwitchPA=1,_xll.TR(CG$7,CG$6,"Sdate=#1 Period=#2 NULL=BLANK Scale=6",,$D25,$CC$4),CG25)</f>
        <v/>
      </c>
      <c r="CH25" s="1506" cm="1">
        <f t="array" aca="1" ref="CH25" ca="1">IF(SwitchPA=1,_xll.TR(CH$7,CH$6,"Sdate=#1 Period=#2 NULL=BLANK Scale=6",,$D25,$CC$4),CH25)</f>
        <v>2072.3000000000002</v>
      </c>
      <c r="CI25" s="1506" t="str" cm="1">
        <f t="array" aca="1" ref="CI25" ca="1">IF(SwitchPA=1,_xll.TR(CI$7,CI$6,"Sdate=#1 Period=#2 NULL=BLANK Scale=6",,$D25,$CC$4),CI25)</f>
        <v/>
      </c>
      <c r="CJ25" s="1506" t="str" cm="1">
        <f t="array" aca="1" ref="CJ25" ca="1">IF(SwitchPA=1,_xll.TR(CJ$7,CJ$6,"Sdate=#1 Period=#2 NULL=BLANK Scale=6",,$D25,$CC$4),CJ25)</f>
        <v/>
      </c>
      <c r="CK25" s="1506" cm="1">
        <f t="array" aca="1" ref="CK25" ca="1">IF(SwitchPA=1,_xll.TR(CK$7,CK$6,"Sdate=#1 Period=#2 NULL=BLANK Scale=6",,$D25,$CC$4),CK25)</f>
        <v>22923</v>
      </c>
      <c r="CL25" s="1506" cm="1">
        <f t="array" aca="1" ref="CL25" ca="1">IF(SwitchPA=1,_xll.TR(CL$7,CL$6,"Sdate=#1 Period=#2 NULL=BLANK Scale=6",,$D25,$CC$4),CL25)</f>
        <v>2368.5059999999999</v>
      </c>
      <c r="CM25" s="1506" cm="1">
        <f t="array" aca="1" ref="CM25" ca="1">IF(SwitchPA=1,_xll.TR(CM$7,CM$6,"Sdate=#1 Period=#2 NULL=BLANK Scale=6",,$D25,$CC$4),CM25)</f>
        <v>7350</v>
      </c>
      <c r="CN25" s="1506" cm="1">
        <f t="array" aca="1" ref="CN25" ca="1">IF(SwitchPA=1,_xll.TR(CN$7,CN$6,"Sdate=#1 Period=#2 NULL=BLANK Scale=6",,$D25,$CC$4),CN25)</f>
        <v>2622.4</v>
      </c>
      <c r="CO25" s="1506" t="str" cm="1">
        <f t="array" aca="1" ref="CO25" ca="1">IF(SwitchPA=1,_xll.TR(CO$7,CO$6,"Sdate=#1 Period=#2 NULL=BLANK Scale=6",,$D25,$CC$4),CO25)</f>
        <v/>
      </c>
      <c r="CP25" s="1506" cm="1">
        <f t="array" aca="1" ref="CP25" ca="1">IF(SwitchPA=1,_xll.TR(CP$7,CP$6,"Sdate=#1 Period=#2 NULL=BLANK Scale=6",,$D25,$CC$4),CP25)</f>
        <v>2345.9</v>
      </c>
      <c r="CQ25" s="1506" cm="1">
        <f t="array" aca="1" ref="CQ25" ca="1">IF(SwitchPA=1,_xll.TR(CQ$7,CQ$6,"Sdate=#1 Period=#2 NULL=BLANK Scale=6",,$D25,$CC$4),CQ25)</f>
        <v>10466</v>
      </c>
      <c r="CR25" s="1506" t="str" cm="1">
        <f t="array" aca="1" ref="CR25" ca="1">IF(SwitchPA=1,_xll.TR(CR$7,CR$6,"Sdate=#1 Period=#2 NULL=BLANK Scale=6",,$D25,$CC$4),CR25)</f>
        <v/>
      </c>
      <c r="CS25" s="1506" t="str" cm="1">
        <f t="array" aca="1" ref="CS25" ca="1">IF(SwitchPA=1,_xll.TR(CS$7,CS$6,"Sdate=#1 Period=#2 NULL=BLANK Scale=6",,$D25,$CC$4),CS25)</f>
        <v>Unable to resolve all requested identifiers.</v>
      </c>
      <c r="CT25" s="1506" t="str" cm="1">
        <f t="array" aca="1" ref="CT25" ca="1">IF(SwitchPA=1,_xll.TR(CT$7,CT$6,"Sdate=#1 Period=#2 NULL=BLANK Scale=6",,$D25,$CC$4),CT25)</f>
        <v>Unable to resolve and collect data for all requested identifiers and fields.</v>
      </c>
      <c r="CV25" s="1516" cm="1">
        <f t="array" aca="1" ref="CV25" ca="1">IF(SwitchPA=1,_xll.TR(CV$7,CV$6,"Sdate=#1 Period=#2 NULL=BLANK Scale=6",,$D25,$AQ$4),CV25)</f>
        <v>3127.5</v>
      </c>
      <c r="CW25" s="1516" cm="1">
        <f t="array" aca="1" ref="CW25" ca="1">IF(SwitchPA=1,_xll.TR(CW$7,CW$6,"Sdate=#1 Period=#2 NULL=BLANK Scale=6",,$D25,$AQ$4),CW25)</f>
        <v>2089.25</v>
      </c>
      <c r="CX25" s="1516" cm="1">
        <f t="array" aca="1" ref="CX25" ca="1">IF(SwitchPA=1,_xll.TR(CX$7,CX$6,"Sdate=#1 Period=#2 NULL=BLANK Scale=6",,$D25,$AQ$4),CX25)</f>
        <v>14469.475</v>
      </c>
      <c r="CY25" s="1516" t="str" cm="1">
        <f t="array" aca="1" ref="CY25" ca="1">IF(SwitchPA=1,_xll.TR(CY$7,CY$6,"Sdate=#1 Period=#2 NULL=BLANK Scale=6",,$D25,$AQ$4),CY25)</f>
        <v/>
      </c>
      <c r="CZ25" s="1516" t="str" cm="1">
        <f t="array" aca="1" ref="CZ25" ca="1">IF(SwitchPA=1,_xll.TR(CZ$7,CZ$6,"Sdate=#1 Period=#2 NULL=BLANK Scale=6",,$D25,$AQ$4),CZ25)</f>
        <v/>
      </c>
      <c r="DA25" s="1516" cm="1">
        <f t="array" aca="1" ref="DA25" ca="1">IF(SwitchPA=1,_xll.TR(DA$7,DA$6,"Sdate=#1 Period=#2 NULL=BLANK Scale=6",,$D25,$AQ$4),DA25)</f>
        <v>360.9</v>
      </c>
      <c r="DB25" s="1516" t="str" cm="1">
        <f t="array" aca="1" ref="DB25" ca="1">IF(SwitchPA=1,_xll.TR(DB$7,DB$6,"Sdate=#1 Period=#2 NULL=BLANK Scale=6",,$D25,$AQ$4),DB25)</f>
        <v/>
      </c>
      <c r="DC25" s="1516" t="str" cm="1">
        <f t="array" aca="1" ref="DC25" ca="1">IF(SwitchPA=1,_xll.TR(DC$7,DC$6,"Sdate=#1 Period=#2 NULL=BLANK Scale=6",,$D25,$AQ$4),DC25)</f>
        <v/>
      </c>
      <c r="DD25" s="1516" cm="1">
        <f t="array" aca="1" ref="DD25" ca="1">IF(SwitchPA=1,_xll.TR(DD$7,DD$6,"Sdate=#1 Period=#2 NULL=BLANK Scale=6",,$D25,$AQ$4),DD25)</f>
        <v>5726.5</v>
      </c>
      <c r="DE25" s="1516" cm="1">
        <f t="array" aca="1" ref="DE25" ca="1">IF(SwitchPA=1,_xll.TR(DE$7,DE$6,"Sdate=#1 Period=#2 NULL=BLANK Scale=6",,$D25,$AQ$4),DE25)</f>
        <v>976.37175000000002</v>
      </c>
      <c r="DF25" s="1516" cm="1">
        <f t="array" aca="1" ref="DF25" ca="1">IF(SwitchPA=1,_xll.TR(DF$7,DF$6,"Sdate=#1 Period=#2 NULL=BLANK Scale=6",,$D25,$AQ$4),DF25)</f>
        <v>925.5</v>
      </c>
      <c r="DG25" s="1516" cm="1">
        <f t="array" aca="1" ref="DG25" ca="1">IF(SwitchPA=1,_xll.TR(DG$7,DG$6,"Sdate=#1 Period=#2 NULL=BLANK Scale=6",,$D25,$AQ$4),DG25)</f>
        <v>428.9</v>
      </c>
      <c r="DH25" s="1516" t="str" cm="1">
        <f t="array" aca="1" ref="DH25" ca="1">IF(SwitchPA=1,_xll.TR(DH$7,DH$6,"Sdate=#1 Period=#2 NULL=BLANK Scale=6",,$D25,$AQ$4),DH25)</f>
        <v/>
      </c>
      <c r="DI25" s="1516" cm="1">
        <f t="array" aca="1" ref="DI25" ca="1">IF(SwitchPA=1,_xll.TR(DI$7,DI$6,"Sdate=#1 Period=#2 NULL=BLANK Scale=6",,$D25,$AQ$4),DI25)</f>
        <v>1009.725</v>
      </c>
      <c r="DJ25" s="1516" cm="1">
        <f t="array" aca="1" ref="DJ25" ca="1">IF(SwitchPA=1,_xll.TR(DJ$7,DJ$6,"Sdate=#1 Period=#2 NULL=BLANK Scale=6",,$D25,$AQ$4),DJ25)</f>
        <v>2341.5</v>
      </c>
      <c r="DK25" s="1516" t="str" cm="1">
        <f t="array" aca="1" ref="DK25" ca="1">IF(SwitchPA=1,_xll.TR(DK$7,DK$6,"Sdate=#1 Period=#2 NULL=BLANK Scale=6",,$D25,$AQ$4),DK25)</f>
        <v/>
      </c>
      <c r="DL25" s="1516" t="str" cm="1">
        <f t="array" aca="1" ref="DL25" ca="1">IF(SwitchPA=1,_xll.TR(DL$7,DL$6,"Sdate=#1 Period=#2 NULL=BLANK Scale=6",,$D25,$AQ$4),DL25)</f>
        <v>Unable to resolve all requested identifiers.</v>
      </c>
      <c r="DM25" s="1516" t="str" cm="1">
        <f t="array" aca="1" ref="DM25" ca="1">IF(SwitchPA=1,_xll.TR(DM$7,DM$6,"Sdate=#1 Period=#2 NULL=BLANK Scale=6",,$D25,$AQ$4),DM25)</f>
        <v>Unable to resolve all requested identifiers.</v>
      </c>
      <c r="DO25" s="1506" cm="1">
        <f t="array" aca="1" ref="DO25" ca="1">IF(SwitchPA=1,_xll.TR(DO$7,DO$6,"Sdate=#1 Period=#2 Scale=6 NULL=BLANK",,$D25,$X$4),DO25)</f>
        <v>6245.3479742500003</v>
      </c>
      <c r="DP25" s="1506" cm="1">
        <f t="array" aca="1" ref="DP25" ca="1">IF(SwitchPA=1,_xll.TR(DP$7,DP$6,"Sdate=#1 Period=#2 Scale=6 NULL=BLANK",,$D25,$X$4),DP25)</f>
        <v>7564.5507741800002</v>
      </c>
      <c r="DQ25" s="1506" cm="1">
        <f t="array" aca="1" ref="DQ25" ca="1">IF(SwitchPA=1,_xll.TR(DQ$7,DQ$6,"Sdate=#1 Period=#2 Scale=6 NULL=BLANK",,$D25,$X$4),DQ25)</f>
        <v>50271.542999999998</v>
      </c>
      <c r="DR25" s="1506" t="str" cm="1">
        <f t="array" aca="1" ref="DR25" ca="1">IF(SwitchPA=1,_xll.TR(DR$7,DR$6,"Sdate=#1 Period=#2 Scale=6 NULL=BLANK",,$D25,$X$4),DR25)</f>
        <v/>
      </c>
      <c r="DS25" s="1506" t="str" cm="1">
        <f t="array" aca="1" ref="DS25" ca="1">IF(SwitchPA=1,_xll.TR(DS$7,DS$6,"Sdate=#1 Period=#2 Scale=6 NULL=BLANK",,$D25,$X$4),DS25)</f>
        <v/>
      </c>
      <c r="DT25" s="1506" cm="1">
        <f t="array" aca="1" ref="DT25" ca="1">IF(SwitchPA=1,_xll.TR(DT$7,DT$6,"Sdate=#1 Period=#2 Scale=6 NULL=BLANK",,$D25,$X$4),DT25)</f>
        <v>1261.20797724</v>
      </c>
      <c r="DU25" s="1506" t="str" cm="1">
        <f t="array" aca="1" ref="DU25" ca="1">IF(SwitchPA=1,_xll.TR(DU$7,DU$6,"Sdate=#1 Period=#2 Scale=6 NULL=BLANK",,$D25,$X$4),DU25)</f>
        <v/>
      </c>
      <c r="DV25" s="1506" cm="1">
        <f t="array" aca="1" ref="DV25" ca="1">IF(SwitchPA=1,_xll.TR(DV$7,DV$6,"Sdate=#1 Period=#2 Scale=6 NULL=BLANK",,$D25,$X$4),DV25)</f>
        <v>9213.3979452399999</v>
      </c>
      <c r="DW25" s="1506" cm="1">
        <f t="array" aca="1" ref="DW25" ca="1">IF(SwitchPA=1,_xll.TR(DW$7,DW$6,"Sdate=#1 Period=#2 Scale=6 NULL=BLANK",,$D25,$X$4),DW25)</f>
        <v>59373.762127360002</v>
      </c>
      <c r="DX25" s="1506" cm="1">
        <f t="array" aca="1" ref="DX25" ca="1">IF(SwitchPA=1,_xll.TR(DX$7,DX$6,"Sdate=#1 Period=#2 Scale=6 NULL=BLANK",,$D25,$X$4),DX25)</f>
        <v>4661.5589648200003</v>
      </c>
      <c r="DY25" s="1506" cm="1">
        <f t="array" aca="1" ref="DY25" ca="1">IF(SwitchPA=1,_xll.TR(DY$7,DY$6,"Sdate=#1 Period=#2 Scale=6 NULL=BLANK",,$D25,$X$4),DY25)</f>
        <v>3403.1391327000001</v>
      </c>
      <c r="DZ25" s="1506" cm="1">
        <f t="array" aca="1" ref="DZ25" ca="1">IF(SwitchPA=1,_xll.TR(DZ$7,DZ$6,"Sdate=#1 Period=#2 Scale=6 NULL=BLANK",,$D25,$X$4),DZ25)</f>
        <v>1181.7674429599999</v>
      </c>
      <c r="EA25" s="1506" t="str" cm="1">
        <f t="array" aca="1" ref="EA25" ca="1">IF(SwitchPA=1,_xll.TR(EA$7,EA$6,"Sdate=#1 Period=#2 Scale=6 NULL=BLANK",,$D25,$X$4),EA25)</f>
        <v/>
      </c>
      <c r="EB25" s="1506" cm="1">
        <f t="array" aca="1" ref="EB25" ca="1">IF(SwitchPA=1,_xll.TR(EB$7,EB$6,"Sdate=#1 Period=#2 Scale=6 NULL=BLANK",,$D25,$X$4),EB25)</f>
        <v>3303.7149189699999</v>
      </c>
      <c r="EC25" s="1506" cm="1">
        <f t="array" aca="1" ref="EC25" ca="1">IF(SwitchPA=1,_xll.TR(EC$7,EC$6,"Sdate=#1 Period=#2 Scale=6 NULL=BLANK",,$D25,$X$4),EC25)</f>
        <v>12377.454560120001</v>
      </c>
      <c r="ED25" s="1506" cm="1">
        <f t="array" aca="1" ref="ED25" ca="1">IF(SwitchPA=1,_xll.TR(ED$7,ED$6,"Sdate=#1 Period=#2 Scale=6 NULL=BLANK",,$D25,$X$4),ED25)</f>
        <v>11992.597999400001</v>
      </c>
      <c r="EE25" s="1506" t="str" cm="1">
        <f t="array" aca="1" ref="EE25" ca="1">IF(SwitchPA=1,_xll.TR(EE$7,EE$6,"Sdate=#1 Period=#2 Scale=6 NULL=BLANK",,$D25,$X$4),EE25)</f>
        <v/>
      </c>
      <c r="EF25" s="1506" t="str" cm="1">
        <f t="array" aca="1" ref="EF25" ca="1">IF(SwitchPA=1,_xll.TR(EF$7,EF$6,"Sdate=#1 Period=#2 Scale=6 NULL=BLANK",,$D25,$X$4),EF25)</f>
        <v/>
      </c>
      <c r="EG25" s="1517"/>
      <c r="EH25" s="1506" cm="1">
        <f t="array" aca="1" ref="EH25" ca="1">IF(SwitchPA=1,_xll.TR(EH$7,EH$6,"Sdate=#1 Period=#2 Scale=6 NULL=BLANK",,$D25,$X$4),EH25)</f>
        <v>753</v>
      </c>
      <c r="EI25" s="1506" cm="1">
        <f t="array" aca="1" ref="EI25" ca="1">IF(SwitchPA=1,_xll.TR(EI$7,EI$6,"Sdate=#1 Period=#2 Scale=6 NULL=BLANK",,$D25,$X$4),EI25)</f>
        <v>632</v>
      </c>
      <c r="EJ25" s="1506" cm="1">
        <f t="array" aca="1" ref="EJ25" ca="1">IF(SwitchPA=1,_xll.TR(EJ$7,EJ$6,"Sdate=#1 Period=#2 Scale=6 NULL=BLANK",,$D25,$X$4),EJ25)</f>
        <v>6565.5</v>
      </c>
      <c r="EK25" s="1506" t="str" cm="1">
        <f t="array" aca="1" ref="EK25" ca="1">IF(SwitchPA=1,_xll.TR(EK$7,EK$6,"Sdate=#1 Period=#2 Scale=6 NULL=BLANK",,$D25,$X$4),EK25)</f>
        <v/>
      </c>
      <c r="EL25" s="1506" t="str" cm="1">
        <f t="array" aca="1" ref="EL25" ca="1">IF(SwitchPA=1,_xll.TR(EL$7,EL$6,"Sdate=#1 Period=#2 Scale=6 NULL=BLANK",,$D25,$X$4),EL25)</f>
        <v/>
      </c>
      <c r="EM25" s="1506" cm="1">
        <f t="array" aca="1" ref="EM25" ca="1">IF(SwitchPA=1,_xll.TR(EM$7,EM$6,"Sdate=#1 Period=#2 Scale=6 NULL=BLANK",,$D25,$X$4),EM25)</f>
        <v>140.9</v>
      </c>
      <c r="EN25" s="1506" t="str" cm="1">
        <f t="array" aca="1" ref="EN25" ca="1">IF(SwitchPA=1,_xll.TR(EN$7,EN$6,"Sdate=#1 Period=#2 Scale=6 NULL=BLANK",,$D25,$X$4),EN25)</f>
        <v/>
      </c>
      <c r="EO25" s="1506" t="str" cm="1">
        <f t="array" aca="1" ref="EO25" ca="1">IF(SwitchPA=1,_xll.TR(EO$7,EO$6,"Sdate=#1 Period=#2 Scale=6 NULL=BLANK",,$D25,$X$4),EO25)</f>
        <v/>
      </c>
      <c r="EP25" s="1506" cm="1">
        <f t="array" aca="1" ref="EP25" ca="1">IF(SwitchPA=1,_xll.TR(EP$7,EP$6,"Sdate=#1 Period=#2 Scale=6 NULL=BLANK",,$D25,$X$4),EP25)</f>
        <v>4622</v>
      </c>
      <c r="EQ25" s="1506" cm="1">
        <f t="array" aca="1" ref="EQ25" ca="1">IF(SwitchPA=1,_xll.TR(EQ$7,EQ$6,"Sdate=#1 Period=#2 Scale=6 NULL=BLANK",,$D25,$X$4),EQ25)</f>
        <v>266.65899999999999</v>
      </c>
      <c r="ER25" s="1506" cm="1">
        <f t="array" aca="1" ref="ER25" ca="1">IF(SwitchPA=1,_xll.TR(ER$7,ER$6,"Sdate=#1 Period=#2 Scale=6 NULL=BLANK",,$D25,$X$4),ER25)</f>
        <v>150</v>
      </c>
      <c r="ES25" s="1506" cm="1">
        <f t="array" aca="1" ref="ES25" ca="1">IF(SwitchPA=1,_xll.TR(ES$7,ES$6,"Sdate=#1 Period=#2 Scale=6 NULL=BLANK",,$D25,$X$4),ES25)</f>
        <v>76.099999999999994</v>
      </c>
      <c r="ET25" s="1506" t="str" cm="1">
        <f t="array" aca="1" ref="ET25" ca="1">IF(SwitchPA=1,_xll.TR(ET$7,ET$6,"Sdate=#1 Period=#2 Scale=6 NULL=BLANK",,$D25,$X$4),ET25)</f>
        <v/>
      </c>
      <c r="EU25" s="1506" cm="1">
        <f t="array" aca="1" ref="EU25" ca="1">IF(SwitchPA=1,_xll.TR(EU$7,EU$6,"Sdate=#1 Period=#2 Scale=6 NULL=BLANK",,$D25,$X$4),EU25)</f>
        <v>327.60000000000002</v>
      </c>
      <c r="EV25" s="1506" cm="1">
        <f t="array" aca="1" ref="EV25" ca="1">IF(SwitchPA=1,_xll.TR(EV$7,EV$6,"Sdate=#1 Period=#2 Scale=6 NULL=BLANK",,$D25,$X$4),EV25)</f>
        <v>1163</v>
      </c>
      <c r="EW25" s="1506" t="str" cm="1">
        <f t="array" aca="1" ref="EW25" ca="1">IF(SwitchPA=1,_xll.TR(EW$7,EW$6,"Sdate=#1 Period=#2 Scale=6 NULL=BLANK",,$D25,$X$4),EW25)</f>
        <v/>
      </c>
      <c r="EX25" s="1506" t="str" cm="1">
        <f t="array" aca="1" ref="EX25" ca="1">IF(SwitchPA=1,_xll.TR(EX$7,EX$6,"Sdate=#1 Period=#2 Scale=6 NULL=BLANK",,$D25,$X$4),EX25)</f>
        <v>Unable to resolve all requested identifiers.</v>
      </c>
      <c r="EY25" s="1506" t="str" cm="1">
        <f t="array" aca="1" ref="EY25" ca="1">IF(SwitchPA=1,_xll.TR(EY$7,EY$6,"Sdate=#1 Period=#2 Scale=6 NULL=BLANK",,$D25,$X$4),EY25)</f>
        <v>Unable to resolve all requested identifiers.</v>
      </c>
      <c r="FA25" s="1506" cm="1">
        <f t="array" aca="1" ref="FA25" ca="1">IF(SwitchPA=1,_xll.TR(FA$7,FA$6,"Sdate=#1 Period=#2 Scale=6 NULL=BLANK",,$D25,$X$4),FA25)</f>
        <v>1063</v>
      </c>
      <c r="FB25" s="1506" cm="1">
        <f t="array" aca="1" ref="FB25" ca="1">IF(SwitchPA=1,_xll.TR(FB$7,FB$6,"Sdate=#1 Period=#2 Scale=6 NULL=BLANK",,$D25,$X$4),FB25)</f>
        <v>955</v>
      </c>
      <c r="FC25" s="1506" cm="1">
        <f t="array" aca="1" ref="FC25" ca="1">IF(SwitchPA=1,_xll.TR(FC$7,FC$6,"Sdate=#1 Period=#2 Scale=6 NULL=BLANK",,$D25,$X$4),FC25)</f>
        <v>9388.1</v>
      </c>
      <c r="FD25" s="1506" t="str" cm="1">
        <f t="array" aca="1" ref="FD25" ca="1">IF(SwitchPA=1,_xll.TR(FD$7,FD$6,"Sdate=#1 Period=#2 Scale=6 NULL=BLANK",,$D25,$X$4),FD25)</f>
        <v/>
      </c>
      <c r="FE25" s="1506" t="str" cm="1">
        <f t="array" aca="1" ref="FE25" ca="1">IF(SwitchPA=1,_xll.TR(FE$7,FE$6,"Sdate=#1 Period=#2 Scale=6 NULL=BLANK",,$D25,$X$4),FE25)</f>
        <v/>
      </c>
      <c r="FF25" s="1506" cm="1">
        <f t="array" aca="1" ref="FF25" ca="1">IF(SwitchPA=1,_xll.TR(FF$7,FF$6,"Sdate=#1 Period=#2 Scale=6 NULL=BLANK",,$D25,$X$4),FF25)</f>
        <v>156.4</v>
      </c>
      <c r="FG25" s="1506" t="str" cm="1">
        <f t="array" aca="1" ref="FG25" ca="1">IF(SwitchPA=1,_xll.TR(FG$7,FG$6,"Sdate=#1 Period=#2 Scale=6 NULL=BLANK",,$D25,$X$4),FG25)</f>
        <v/>
      </c>
      <c r="FH25" s="1506" t="str" cm="1">
        <f t="array" aca="1" ref="FH25" ca="1">IF(SwitchPA=1,_xll.TR(FH$7,FH$6,"Sdate=#1 Period=#2 Scale=6 NULL=BLANK",,$D25,$X$4),FH25)</f>
        <v/>
      </c>
      <c r="FI25" s="1506" cm="1">
        <f t="array" aca="1" ref="FI25" ca="1">IF(SwitchPA=1,_xll.TR(FI$7,FI$6,"Sdate=#1 Period=#2 Scale=6 NULL=BLANK",,$D25,$X$4),FI25)</f>
        <v>5701</v>
      </c>
      <c r="FJ25" s="1506" cm="1">
        <f t="array" aca="1" ref="FJ25" ca="1">IF(SwitchPA=1,_xll.TR(FJ$7,FJ$6,"Sdate=#1 Period=#2 Scale=6 NULL=BLANK",,$D25,$X$4),FJ25)</f>
        <v>380.09500000000003</v>
      </c>
      <c r="FK25" s="1506" cm="1">
        <f t="array" aca="1" ref="FK25" ca="1">IF(SwitchPA=1,_xll.TR(FK$7,FK$6,"Sdate=#1 Period=#2 Scale=6 NULL=BLANK",,$D25,$X$4),FK25)</f>
        <v>264</v>
      </c>
      <c r="FL25" s="1506" cm="1">
        <f t="array" aca="1" ref="FL25" ca="1">IF(SwitchPA=1,_xll.TR(FL$7,FL$6,"Sdate=#1 Period=#2 Scale=6 NULL=BLANK",,$D25,$X$4),FL25)</f>
        <v>137.80000000000001</v>
      </c>
      <c r="FM25" s="1506" t="str" cm="1">
        <f t="array" aca="1" ref="FM25" ca="1">IF(SwitchPA=1,_xll.TR(FM$7,FM$6,"Sdate=#1 Period=#2 Scale=6 NULL=BLANK",,$D25,$X$4),FM25)</f>
        <v/>
      </c>
      <c r="FN25" s="1506" cm="1">
        <f t="array" aca="1" ref="FN25" ca="1">IF(SwitchPA=1,_xll.TR(FN$7,FN$6,"Sdate=#1 Period=#2 Scale=6 NULL=BLANK",,$D25,$X$4),FN25)</f>
        <v>459.4</v>
      </c>
      <c r="FO25" s="1506" cm="1">
        <f t="array" aca="1" ref="FO25" ca="1">IF(SwitchPA=1,_xll.TR(FO$7,FO$6,"Sdate=#1 Period=#2 Scale=6 NULL=BLANK",,$D25,$X$4),FO25)</f>
        <v>1449</v>
      </c>
      <c r="FP25" s="1506" t="str" cm="1">
        <f t="array" aca="1" ref="FP25" ca="1">IF(SwitchPA=1,_xll.TR(FP$7,FP$6,"Sdate=#1 Period=#2 Scale=6 NULL=BLANK",,$D25,$X$4),FP25)</f>
        <v/>
      </c>
      <c r="FQ25" s="1506" t="str" cm="1">
        <f t="array" aca="1" ref="FQ25" ca="1">IF(SwitchPA=1,_xll.TR(FQ$7,FQ$6,"Sdate=#1 Period=#2 Scale=6 NULL=BLANK",,$D25,$X$4),FQ25)</f>
        <v>Unable to resolve all requested identifiers.</v>
      </c>
      <c r="FS25" s="1506" cm="1">
        <f t="array" aca="1" ref="FS25" ca="1">IF(SwitchPA=1,_xll.TR(FS$7,FS$6,"Sdate=#1 Period=#2 NULL=BLANK Scale=6",,$D25,$FS$4),FS25)</f>
        <v>204</v>
      </c>
      <c r="FT25" s="1506" cm="1">
        <f t="array" aca="1" ref="FT25" ca="1">IF(SwitchPA=1,_xll.TR(FT$7,FT$6,"Sdate=#1 Period=#2 NULL=BLANK Scale=6",,$D25,$FS$4),FT25)</f>
        <v>507</v>
      </c>
      <c r="FU25" s="1506" cm="1">
        <f t="array" aca="1" ref="FU25" ca="1">IF(SwitchPA=1,_xll.TR(FU$7,FU$6,"Sdate=#1 Period=#2 NULL=BLANK Scale=6",,$D25,$FS$4),FU25)</f>
        <v>-1089.0999999999999</v>
      </c>
      <c r="FV25" s="1506" t="str" cm="1">
        <f t="array" aca="1" ref="FV25" ca="1">IF(SwitchPA=1,_xll.TR(FV$7,FV$6,"Sdate=#1 Period=#2 NULL=BLANK Scale=6",,$D25,$FS$4),FV25)</f>
        <v/>
      </c>
      <c r="FW25" s="1506" t="str" cm="1">
        <f t="array" aca="1" ref="FW25" ca="1">IF(SwitchPA=1,_xll.TR(FW$7,FW$6,"Sdate=#1 Period=#2 NULL=BLANK Scale=6",,$D25,$FS$4),FW25)</f>
        <v/>
      </c>
      <c r="FX25" s="1506" cm="1">
        <f t="array" aca="1" ref="FX25" ca="1">IF(SwitchPA=1,_xll.TR(FX$7,FX$6,"Sdate=#1 Period=#2 NULL=BLANK Scale=6",,$D25,$FS$4),FX25)</f>
        <v>2.9</v>
      </c>
      <c r="FY25" s="1506" t="str" cm="1">
        <f t="array" aca="1" ref="FY25" ca="1">IF(SwitchPA=1,_xll.TR(FY$7,FY$6,"Sdate=#1 Period=#2 NULL=BLANK Scale=6",,$D25,$FS$4),FY25)</f>
        <v/>
      </c>
      <c r="FZ25" s="1506" t="str" cm="1">
        <f t="array" aca="1" ref="FZ25" ca="1">IF(SwitchPA=1,_xll.TR(FZ$7,FZ$6,"Sdate=#1 Period=#2 NULL=BLANK Scale=6",,$D25,$FS$4),FZ25)</f>
        <v/>
      </c>
      <c r="GA25" s="1506" cm="1">
        <f t="array" aca="1" ref="GA25" ca="1">IF(SwitchPA=1,_xll.TR(GA$7,GA$6,"Sdate=#1 Period=#2 NULL=BLANK Scale=6",,$D25,$FS$4),GA25)</f>
        <v>2671</v>
      </c>
      <c r="GB25" s="1506" cm="1">
        <f t="array" aca="1" ref="GB25" ca="1">IF(SwitchPA=1,_xll.TR(GB$7,GB$6,"Sdate=#1 Period=#2 NULL=BLANK Scale=6",,$D25,$FS$4),GB25)</f>
        <v>276.447</v>
      </c>
      <c r="GC25" s="1506" cm="1">
        <f t="array" aca="1" ref="GC25" ca="1">IF(SwitchPA=1,_xll.TR(GC$7,GC$6,"Sdate=#1 Period=#2 NULL=BLANK Scale=6",,$D25,$FS$4),GC25)</f>
        <v>178</v>
      </c>
      <c r="GD25" s="1506" cm="1">
        <f t="array" aca="1" ref="GD25" ca="1">IF(SwitchPA=1,_xll.TR(GD$7,GD$6,"Sdate=#1 Period=#2 NULL=BLANK Scale=6",,$D25,$FS$4),GD25)</f>
        <v>70.599999999999994</v>
      </c>
      <c r="GE25" s="1506" t="str" cm="1">
        <f t="array" aca="1" ref="GE25" ca="1">IF(SwitchPA=1,_xll.TR(GE$7,GE$6,"Sdate=#1 Period=#2 NULL=BLANK Scale=6",,$D25,$FS$4),GE25)</f>
        <v/>
      </c>
      <c r="GF25" s="1506" cm="1">
        <f t="array" aca="1" ref="GF25" ca="1">IF(SwitchPA=1,_xll.TR(GF$7,GF$6,"Sdate=#1 Period=#2 NULL=BLANK Scale=6",,$D25,$FS$4),GF25)</f>
        <v>139.4</v>
      </c>
      <c r="GG25" s="1506" cm="1">
        <f t="array" aca="1" ref="GG25" ca="1">IF(SwitchPA=1,_xll.TR(GG$7,GG$6,"Sdate=#1 Period=#2 NULL=BLANK Scale=6",,$D25,$FS$4),GG25)</f>
        <v>764</v>
      </c>
      <c r="GH25" s="1506" t="str" cm="1">
        <f t="array" aca="1" ref="GH25" ca="1">IF(SwitchPA=1,_xll.TR(GH$7,GH$6,"Sdate=#1 Period=#2 NULL=BLANK Scale=6",,$D25,$FS$4),GH25)</f>
        <v/>
      </c>
      <c r="GI25" s="1506" t="str" cm="1">
        <f t="array" aca="1" ref="GI25" ca="1">IF(SwitchPA=1,_xll.TR(GI$7,GI$6,"Sdate=#1 Period=#2 NULL=BLANK Scale=6",,$D25,$FS$4),GI25)</f>
        <v>Unable to resolve and collect data for all requested identifiers and fields.</v>
      </c>
      <c r="GK25" s="1506" t="str" cm="1">
        <f t="array" aca="1" ref="GK25" ca="1">IF(SwitchPA=1,_xll.TR(GK$7,GK$6,"Sdate=#1 Period=#2 NULL=BLANK Scale=6",,$D25,$FS$4),GK25)</f>
        <v/>
      </c>
      <c r="GL25" s="1506" t="str" cm="1">
        <f t="array" aca="1" ref="GL25" ca="1">IF(SwitchPA=1,_xll.TR(GL$7,GL$6,"Sdate=#1 Period=#2 NULL=BLANK Scale=6",,$D25,$FS$4),GL25)</f>
        <v/>
      </c>
      <c r="GM25" s="1506" t="str" cm="1">
        <f t="array" aca="1" ref="GM25" ca="1">IF(SwitchPA=1,_xll.TR(GM$7,GM$6,"Sdate=#1 Period=#2 NULL=BLANK Scale=6",,$D25,$FS$4),GM25)</f>
        <v/>
      </c>
      <c r="GN25" s="1506" t="str" cm="1">
        <f t="array" aca="1" ref="GN25" ca="1">IF(SwitchPA=1,_xll.TR(GN$7,GN$6,"Sdate=#1 Period=#2 NULL=BLANK Scale=6",,$D25,$FS$4),GN25)</f>
        <v/>
      </c>
      <c r="GO25" s="1506" t="str" cm="1">
        <f t="array" aca="1" ref="GO25" ca="1">IF(SwitchPA=1,_xll.TR(GO$7,GO$6,"Sdate=#1 Period=#2 NULL=BLANK Scale=6",,$D25,$FS$4),GO25)</f>
        <v/>
      </c>
      <c r="GP25" s="1506" t="str" cm="1">
        <f t="array" aca="1" ref="GP25" ca="1">IF(SwitchPA=1,_xll.TR(GP$7,GP$6,"Sdate=#1 Period=#2 NULL=BLANK Scale=6",,$D25,$FS$4),GP25)</f>
        <v/>
      </c>
      <c r="GQ25" s="1506" t="str" cm="1">
        <f t="array" aca="1" ref="GQ25" ca="1">IF(SwitchPA=1,_xll.TR(GQ$7,GQ$6,"Sdate=#1 Period=#2 NULL=BLANK Scale=6",,$D25,$FS$4),GQ25)</f>
        <v/>
      </c>
      <c r="GR25" s="1506" t="str" cm="1">
        <f t="array" aca="1" ref="GR25" ca="1">IF(SwitchPA=1,_xll.TR(GR$7,GR$6,"Sdate=#1 Period=#2 NULL=BLANK Scale=6",,$D25,$FS$4),GR25)</f>
        <v/>
      </c>
      <c r="GS25" s="1506" t="str" cm="1">
        <f t="array" aca="1" ref="GS25" ca="1">IF(SwitchPA=1,_xll.TR(GS$7,GS$6,"Sdate=#1 Period=#2 NULL=BLANK Scale=6",,$D25,$FS$4),GS25)</f>
        <v/>
      </c>
      <c r="GT25" s="1506" t="str" cm="1">
        <f t="array" aca="1" ref="GT25" ca="1">IF(SwitchPA=1,_xll.TR(GT$7,GT$6,"Sdate=#1 Period=#2 NULL=BLANK Scale=6",,$D25,$FS$4),GT25)</f>
        <v/>
      </c>
      <c r="GU25" s="1506" t="str" cm="1">
        <f t="array" aca="1" ref="GU25" ca="1">IF(SwitchPA=1,_xll.TR(GU$7,GU$6,"Sdate=#1 Period=#2 NULL=BLANK Scale=6",,$D25,$FS$4),GU25)</f>
        <v/>
      </c>
      <c r="GV25" s="1506" t="str" cm="1">
        <f t="array" aca="1" ref="GV25" ca="1">IF(SwitchPA=1,_xll.TR(GV$7,GV$6,"Sdate=#1 Period=#2 NULL=BLANK Scale=6",,$D25,$FS$4),GV25)</f>
        <v/>
      </c>
      <c r="GW25" s="1506" t="str" cm="1">
        <f t="array" aca="1" ref="GW25" ca="1">IF(SwitchPA=1,_xll.TR(GW$7,GW$6,"Sdate=#1 Period=#2 NULL=BLANK Scale=6",,$D25,$FS$4),GW25)</f>
        <v/>
      </c>
      <c r="GX25" s="1506" t="str" cm="1">
        <f t="array" aca="1" ref="GX25" ca="1">IF(SwitchPA=1,_xll.TR(GX$7,GX$6,"Sdate=#1 Period=#2 NULL=BLANK Scale=6",,$D25,$FS$4),GX25)</f>
        <v/>
      </c>
      <c r="GY25" s="1506" t="str" cm="1">
        <f t="array" aca="1" ref="GY25" ca="1">IF(SwitchPA=1,_xll.TR(GY$7,GY$6,"Sdate=#1 Period=#2 NULL=BLANK Scale=6",,$D25,$FS$4),GY25)</f>
        <v/>
      </c>
      <c r="GZ25" s="1506" t="str" cm="1">
        <f t="array" aca="1" ref="GZ25" ca="1">IF(SwitchPA=1,_xll.TR(GZ$7,GZ$6,"Sdate=#1 Period=#2 NULL=BLANK Scale=6",,$D25,$FS$4),GZ25)</f>
        <v/>
      </c>
      <c r="HA25" s="1506" t="str" cm="1">
        <f t="array" aca="1" ref="HA25" ca="1">IF(SwitchPA=1,_xll.TR(HA$7,HA$6,"Sdate=#1 Period=#2 NULL=BLANK Scale=6",,$D25,$FS$4),HA25)</f>
        <v/>
      </c>
      <c r="HC25">
        <v>6.73</v>
      </c>
      <c r="HD25">
        <v>66.05</v>
      </c>
      <c r="HE25">
        <v>65.16</v>
      </c>
      <c r="HG25" s="762">
        <f t="shared" si="52"/>
        <v>-0.22554660529344062</v>
      </c>
      <c r="HH25" s="762">
        <f t="shared" si="53"/>
        <v>0.16613700564971756</v>
      </c>
      <c r="HI25" s="762">
        <f t="shared" si="54"/>
        <v>0.19406267179769099</v>
      </c>
    </row>
    <row r="26" spans="1:217" ht="11.25" customHeight="1">
      <c r="C26" s="1514">
        <f t="shared" si="51"/>
        <v>39447</v>
      </c>
      <c r="D26" s="1515">
        <f t="shared" si="49"/>
        <v>39492</v>
      </c>
      <c r="E26" s="1506" cm="1">
        <f t="array" aca="1" ref="E26" ca="1">IF(SwitchPA=1,_xll.TR(E$7,E$6,"Sdate=#1 Period=#2 NULL=BLANK",,$D26,$E$4),E26)</f>
        <v>6.5182680604198504</v>
      </c>
      <c r="F26" s="1506" cm="1">
        <f t="array" aca="1" ref="F26" ca="1">IF(SwitchPA=1,_xll.TR(F$7,F$6,"Sdate=#1 Period=#2 NULL=BLANK",,$D26,$E$4),F26)</f>
        <v>6.8774853206424602</v>
      </c>
      <c r="G26" s="1506" cm="1">
        <f t="array" aca="1" ref="G26" ca="1">IF(SwitchPA=1,_xll.TR(G$7,G$6,"Sdate=#1 Period=#2 NULL=BLANK",,$D26,$E$4),G26)</f>
        <v>5.0671232671321498</v>
      </c>
      <c r="H26" s="1506" t="str" cm="1">
        <f t="array" aca="1" ref="H26" ca="1">IF(SwitchPA=1,_xll.TR(H$7,H$6,"Sdate=#1 Period=#2 NULL=BLANK",,$D26,$E$4),H26)</f>
        <v/>
      </c>
      <c r="I26" s="1506" t="str" cm="1">
        <f t="array" aca="1" ref="I26" ca="1">IF(SwitchPA=1,_xll.TR(I$7,I$6,"Sdate=#1 Period=#2 NULL=BLANK",,$D26,$E$4),I26)</f>
        <v/>
      </c>
      <c r="J26" s="1506" cm="1">
        <f t="array" aca="1" ref="J26" ca="1">IF(SwitchPA=1,_xll.TR(J$7,J$6,"Sdate=#1 Period=#2 NULL=BLANK",,$D26,$E$4),J26)</f>
        <v>7.1918964517682502</v>
      </c>
      <c r="K26" s="1506" t="str" cm="1">
        <f t="array" aca="1" ref="K26" ca="1">IF(SwitchPA=1,_xll.TR(K$7,K$6,"Sdate=#1 Period=#2 NULL=BLANK",,$D26,$E$4),K26)</f>
        <v/>
      </c>
      <c r="L26" s="1506" cm="1">
        <f t="array" aca="1" ref="L26" ca="1">IF(SwitchPA=1,_xll.TR(L$7,L$6,"Sdate=#1 Period=#2 NULL=BLANK",,$D26,$E$4),L26)</f>
        <v>8.3553127706758996</v>
      </c>
      <c r="M26" s="1506" cm="1">
        <f t="array" aca="1" ref="M26" ca="1">IF(SwitchPA=1,_xll.TR(M$7,M$6,"Sdate=#1 Period=#2 NULL=BLANK",,$D26,$E$4),M26)</f>
        <v>8.2913344231288999</v>
      </c>
      <c r="N26" s="1506" cm="1">
        <f t="array" aca="1" ref="N26" ca="1">IF(SwitchPA=1,_xll.TR(N$7,N$6,"Sdate=#1 Period=#2 NULL=BLANK",,$D26,$E$4),N26)</f>
        <v>8.9566522319462205</v>
      </c>
      <c r="O26" s="1506" cm="1">
        <f t="array" aca="1" ref="O26" ca="1">IF(SwitchPA=1,_xll.TR(O$7,O$6,"Sdate=#1 Period=#2 NULL=BLANK",,$D26,$E$4),O26)</f>
        <v>4.7424120221756096</v>
      </c>
      <c r="P26" s="1506" t="str" cm="1">
        <f t="array" aca="1" ref="P26" ca="1">IF(SwitchPA=1,_xll.TR(P$7,P$6,"Sdate=#1 Period=#2 NULL=BLANK",,$D26,$E$4),P26)</f>
        <v/>
      </c>
      <c r="Q26" s="1506" t="str" cm="1">
        <f t="array" aca="1" ref="Q26" ca="1">IF(SwitchPA=1,_xll.TR(Q$7,Q$6,"Sdate=#1 Period=#2 NULL=BLANK",,$D26,$E$4),Q26)</f>
        <v/>
      </c>
      <c r="R26" s="1506" cm="1">
        <f t="array" aca="1" ref="R26" ca="1">IF(SwitchPA=1,_xll.TR(R$7,R$6,"Sdate=#1 Period=#2 NULL=BLANK",,$D26,$E$4),R26)</f>
        <v>7.3423223139757097</v>
      </c>
      <c r="S26" s="1506" cm="1">
        <f t="array" aca="1" ref="S26" ca="1">IF(SwitchPA=1,_xll.TR(S$7,S$6,"Sdate=#1 Period=#2 NULL=BLANK",,$D26,$E$4),S26)</f>
        <v>5.3694648802934601</v>
      </c>
      <c r="T26" s="1506" cm="1">
        <f t="array" aca="1" ref="T26" ca="1">IF(SwitchPA=1,_xll.TR(T$7,T$6,"Sdate=#1 Period=#2 NULL=BLANK",,$D26,$E$4),T26)</f>
        <v>5.4655337189159399</v>
      </c>
      <c r="U26" s="1506" t="str" cm="1">
        <f t="array" aca="1" ref="U26" ca="1">IF(SwitchPA=1,_xll.TR(U$7,U$6,"Sdate=#1 Period=#2 NULL=BLANK",,$D26,$E$4),U26)</f>
        <v>No universe defined.</v>
      </c>
      <c r="V26" s="1506" t="str" cm="1">
        <f t="array" aca="1" ref="V26" ca="1">IF(SwitchPA=1,_xll.TR(V$7,V$6,"Sdate=#1 Period=#2 NULL=BLANK",,$D26,$E$4),V26)</f>
        <v>No universe defined.</v>
      </c>
      <c r="W26" s="1521">
        <f t="shared" ca="1" si="55"/>
        <v>0.28638434803837098</v>
      </c>
      <c r="X26" s="1506" cm="1">
        <f t="array" aca="1" ref="X26" ca="1">IF(SwitchPA=1,_xll.TR(X$7,X$6,"Sdate=#1 Period=#2 NULL=BLANK",,$D26,$X$4),X26)</f>
        <v>6.21805268640815</v>
      </c>
      <c r="Y26" s="1506" cm="1">
        <f t="array" aca="1" ref="Y26" ca="1">IF(SwitchPA=1,_xll.TR(Y$7,Y$6,"Sdate=#1 Period=#2 NULL=BLANK",,$D26,$X$4),Y26)</f>
        <v>7.3729470618474799</v>
      </c>
      <c r="Z26" s="1506" cm="1">
        <f t="array" aca="1" ref="Z26" ca="1">IF(SwitchPA=1,_xll.TR(Z$7,Z$6,"Sdate=#1 Period=#2 NULL=BLANK",,$D26,$X$4),Z26)</f>
        <v>4.9996822154400098</v>
      </c>
      <c r="AA26" s="1506" t="str" cm="1">
        <f t="array" aca="1" ref="AA26" ca="1">IF(SwitchPA=1,_xll.TR(AA$7,AA$6,"Sdate=#1 Period=#2 NULL=BLANK",,$D26,$X$4),AA26)</f>
        <v/>
      </c>
      <c r="AB26" s="1506" t="str" cm="1">
        <f t="array" aca="1" ref="AB26" ca="1">IF(SwitchPA=1,_xll.TR(AB$7,AB$6,"Sdate=#1 Period=#2 NULL=BLANK",,$D26,$X$4),AB26)</f>
        <v/>
      </c>
      <c r="AC26" s="1506" t="str" cm="1">
        <f t="array" aca="1" ref="AC26" ca="1">IF(SwitchPA=1,_xll.TR(AC$7,AC$6,"Sdate=#1 Period=#2 NULL=BLANK",,$D26,$X$4),AC26)</f>
        <v/>
      </c>
      <c r="AD26" s="1506" t="str" cm="1">
        <f t="array" aca="1" ref="AD26" ca="1">IF(SwitchPA=1,_xll.TR(AD$7,AD$6,"Sdate=#1 Period=#2 NULL=BLANK",,$D26,$X$4),AD26)</f>
        <v/>
      </c>
      <c r="AE26" s="1506" cm="1">
        <f t="array" aca="1" ref="AE26" ca="1">IF(SwitchPA=1,_xll.TR(AE$7,AE$6,"Sdate=#1 Period=#2 NULL=BLANK",,$D26,$X$4),AE26)</f>
        <v>8.6133765003673499</v>
      </c>
      <c r="AF26" s="1506" cm="1">
        <f t="array" aca="1" ref="AF26" ca="1">IF(SwitchPA=1,_xll.TR(AF$7,AF$6,"Sdate=#1 Period=#2 NULL=BLANK",,$D26,$X$4),AF26)</f>
        <v>8.8604206591523305</v>
      </c>
      <c r="AG26" s="1506" cm="1">
        <f t="array" aca="1" ref="AG26" ca="1">IF(SwitchPA=1,_xll.TR(AG$7,AG$6,"Sdate=#1 Period=#2 NULL=BLANK",,$D26,$X$4),AG26)</f>
        <v>10.028010659460101</v>
      </c>
      <c r="AH26" s="1506" cm="1">
        <f t="array" aca="1" ref="AH26" ca="1">IF(SwitchPA=1,_xll.TR(AH$7,AH$6,"Sdate=#1 Period=#2 NULL=BLANK",,$D26,$X$4),AH26)</f>
        <v>4.9258405869260704</v>
      </c>
      <c r="AI26" s="1506" t="str" cm="1">
        <f t="array" aca="1" ref="AI26" ca="1">IF(SwitchPA=1,_xll.TR(AI$7,AI$6,"Sdate=#1 Period=#2 NULL=BLANK",,$D26,$X$4),AI26)</f>
        <v/>
      </c>
      <c r="AJ26" s="1506" t="str" cm="1">
        <f t="array" aca="1" ref="AJ26" ca="1">IF(SwitchPA=1,_xll.TR(AJ$7,AJ$6,"Sdate=#1 Period=#2 NULL=BLANK",,$D26,$X$4),AJ26)</f>
        <v/>
      </c>
      <c r="AK26" s="1506" cm="1">
        <f t="array" aca="1" ref="AK26" ca="1">IF(SwitchPA=1,_xll.TR(AK$7,AK$6,"Sdate=#1 Period=#2 NULL=BLANK",,$D26,$X$4),AK26)</f>
        <v>8.61341496603902</v>
      </c>
      <c r="AL26" s="1506" cm="1">
        <f t="array" aca="1" ref="AL26" ca="1">IF(SwitchPA=1,_xll.TR(AL$7,AL$6,"Sdate=#1 Period=#2 NULL=BLANK",,$D26,$X$4),AL26)</f>
        <v>6.3337475476909102</v>
      </c>
      <c r="AM26" s="1506" cm="1">
        <f t="array" aca="1" ref="AM26" ca="1">IF(SwitchPA=1,_xll.TR(AM$7,AM$6,"Sdate=#1 Period=#2 NULL=BLANK",,$D26,$X$4),AM26)</f>
        <v>5.2657178383166299</v>
      </c>
      <c r="AN26" s="1506" t="str" cm="1">
        <f t="array" aca="1" ref="AN26" ca="1">IF(SwitchPA=1,_xll.TR(AN$7,AN$6,"Sdate=#1 Period=#2 NULL=BLANK",,$D26,$X$4),AN26)</f>
        <v/>
      </c>
      <c r="AO26" s="1506" t="str" cm="1">
        <f t="array" aca="1" ref="AO26" ca="1">IF(SwitchPA=1,_xll.TR(AO$7,AO$6,"Sdate=#1 Period=#2 NULL=BLANK",,$D26,$X$4),AO26)</f>
        <v/>
      </c>
      <c r="AQ26" s="1506" t="str" cm="1">
        <f t="array" aca="1" ref="AQ26" ca="1">IF(SwitchPA=1,_xll.TR(AQ$7,AQ$6,"Sdate=#1 Period=#2 NULL=BLANK Scale=6",,$D26,$AQ$4),AQ26)</f>
        <v/>
      </c>
      <c r="AR26" s="1506" t="str" cm="1">
        <f t="array" aca="1" ref="AR26" ca="1">IF(SwitchPA=1,_xll.TR(AR$7,AR$6,"Sdate=#1 Period=#2 NULL=BLANK Scale=6",,$D26,$AQ$4),AR26)</f>
        <v/>
      </c>
      <c r="AS26" s="1506" t="str" cm="1">
        <f t="array" aca="1" ref="AS26" ca="1">IF(SwitchPA=1,_xll.TR(AS$7,AS$6,"Sdate=#1 Period=#2 NULL=BLANK Scale=6",,$D26,$AQ$4),AS26)</f>
        <v/>
      </c>
      <c r="AT26" s="1506" t="str" cm="1">
        <f t="array" aca="1" ref="AT26" ca="1">IF(SwitchPA=1,_xll.TR(AT$7,AT$6,"Sdate=#1 Period=#2 NULL=BLANK Scale=6",,$D26,$AQ$4),AT26)</f>
        <v/>
      </c>
      <c r="AU26" s="1506" t="str" cm="1">
        <f t="array" aca="1" ref="AU26" ca="1">IF(SwitchPA=1,_xll.TR(AU$7,AU$6,"Sdate=#1 Period=#2 NULL=BLANK Scale=6",,$D26,$AQ$4),AU26)</f>
        <v/>
      </c>
      <c r="AV26" s="1506" t="str" cm="1">
        <f t="array" aca="1" ref="AV26" ca="1">IF(SwitchPA=1,_xll.TR(AV$7,AV$6,"Sdate=#1 Period=#2 NULL=BLANK Scale=6",,$D26,$AQ$4),AV26)</f>
        <v/>
      </c>
      <c r="AW26" s="1506" t="str" cm="1">
        <f t="array" aca="1" ref="AW26" ca="1">IF(SwitchPA=1,_xll.TR(AW$7,AW$6,"Sdate=#1 Period=#2 NULL=BLANK Scale=6",,$D26,$AQ$4),AW26)</f>
        <v/>
      </c>
      <c r="AX26" s="1506" t="str" cm="1">
        <f t="array" aca="1" ref="AX26" ca="1">IF(SwitchPA=1,_xll.TR(AX$7,AX$6,"Sdate=#1 Period=#2 NULL=BLANK Scale=6",,$D26,$AQ$4),AX26)</f>
        <v/>
      </c>
      <c r="AY26" s="1506" t="str" cm="1">
        <f t="array" aca="1" ref="AY26" ca="1">IF(SwitchPA=1,_xll.TR(AY$7,AY$6,"Sdate=#1 Period=#2 NULL=BLANK Scale=6",,$D26,$AQ$4),AY26)</f>
        <v/>
      </c>
      <c r="AZ26" s="1506" t="str" cm="1">
        <f t="array" aca="1" ref="AZ26" ca="1">IF(SwitchPA=1,_xll.TR(AZ$7,AZ$6,"Sdate=#1 Period=#2 NULL=BLANK Scale=6",,$D26,$AQ$4),AZ26)</f>
        <v/>
      </c>
      <c r="BA26" s="1506" t="str" cm="1">
        <f t="array" aca="1" ref="BA26" ca="1">IF(SwitchPA=1,_xll.TR(BA$7,BA$6,"Sdate=#1 Period=#2 NULL=BLANK Scale=6",,$D26,$AQ$4),BA26)</f>
        <v/>
      </c>
      <c r="BB26" s="1506" t="str" cm="1">
        <f t="array" aca="1" ref="BB26" ca="1">IF(SwitchPA=1,_xll.TR(BB$7,BB$6,"Sdate=#1 Period=#2 NULL=BLANK Scale=6",,$D26,$AQ$4),BB26)</f>
        <v/>
      </c>
      <c r="BC26" s="1506" t="str" cm="1">
        <f t="array" aca="1" ref="BC26" ca="1">IF(SwitchPA=1,_xll.TR(BC$7,BC$6,"Sdate=#1 Period=#2 NULL=BLANK Scale=6",,$D26,$AQ$4),BC26)</f>
        <v/>
      </c>
      <c r="BD26" s="1506" t="str" cm="1">
        <f t="array" aca="1" ref="BD26" ca="1">IF(SwitchPA=1,_xll.TR(BD$7,BD$6,"Sdate=#1 Period=#2 NULL=BLANK Scale=6",,$D26,$AQ$4),BD26)</f>
        <v/>
      </c>
      <c r="BE26" s="1506" t="str" cm="1">
        <f t="array" aca="1" ref="BE26" ca="1">IF(SwitchPA=1,_xll.TR(BE$7,BE$6,"Sdate=#1 Period=#2 NULL=BLANK Scale=6",,$D26,$AQ$4),BE26)</f>
        <v/>
      </c>
      <c r="BF26" s="1506" t="str" cm="1">
        <f t="array" aca="1" ref="BF26" ca="1">IF(SwitchPA=1,_xll.TR(BF$7,BF$6,"Sdate=#1 Period=#2 NULL=BLANK Scale=6",,$D26,$AQ$4),BF26)</f>
        <v/>
      </c>
      <c r="BG26" s="1506" t="str" cm="1">
        <f t="array" aca="1" ref="BG26" ca="1">IF(SwitchPA=1,_xll.TR(BG$7,BG$6,"Sdate=#1 Period=#2 NULL=BLANK Scale=6",,$D26,$AQ$4),BG26)</f>
        <v/>
      </c>
      <c r="BH26" s="1506" t="str" cm="1">
        <f t="array" aca="1" ref="BH26" ca="1">IF(SwitchPA=1,_xll.TR(BH$7,BH$6,"Sdate=#1 Period=#2 NULL=BLANK Scale=6",,$D26,$AQ$4),BH26)</f>
        <v/>
      </c>
      <c r="BJ26" s="1506" cm="1">
        <f t="array" aca="1" ref="BJ26" ca="1">IF(SwitchPA=1,_xll.TR(BJ$7,BJ$6,"Sdate=#1 Period=#2 NULL=BLANK Scale=6",,$D26,$BJ$4),BJ26)</f>
        <v>6.1167659810000004</v>
      </c>
      <c r="BK26" s="1506" cm="1">
        <f t="array" aca="1" ref="BK26" ca="1">IF(SwitchPA=1,_xll.TR(BK$7,BK$6,"Sdate=#1 Period=#2 NULL=BLANK Scale=6",,$D26,$BJ$4),BK26)</f>
        <v>9.6738227840000004</v>
      </c>
      <c r="BL26" s="1506" cm="1">
        <f t="array" aca="1" ref="BL26" ca="1">IF(SwitchPA=1,_xll.TR(BL$7,BL$6,"Sdate=#1 Period=#2 NULL=BLANK Scale=6",,$D26,$BJ$4),BL26)</f>
        <v>5.0363898899999997</v>
      </c>
      <c r="BM26" s="1506" t="str" cm="1">
        <f t="array" aca="1" ref="BM26" ca="1">IF(SwitchPA=1,_xll.TR(BM$7,BM$6,"Sdate=#1 Period=#2 NULL=BLANK Scale=6",,$D26,$BJ$4),BM26)</f>
        <v/>
      </c>
      <c r="BN26" s="1506" t="str" cm="1">
        <f t="array" aca="1" ref="BN26" ca="1">IF(SwitchPA=1,_xll.TR(BN$7,BN$6,"Sdate=#1 Period=#2 NULL=BLANK Scale=6",,$D26,$BJ$4),BN26)</f>
        <v/>
      </c>
      <c r="BO26" s="1506" cm="1">
        <f t="array" aca="1" ref="BO26" ca="1">IF(SwitchPA=1,_xll.TR(BO$7,BO$6,"Sdate=#1 Period=#2 NULL=BLANK Scale=6",,$D26,$BJ$4),BO26)</f>
        <v>14.045599388999999</v>
      </c>
      <c r="BP26" s="1506" t="str" cm="1">
        <f t="array" aca="1" ref="BP26" ca="1">IF(SwitchPA=1,_xll.TR(BP$7,BP$6,"Sdate=#1 Period=#2 NULL=BLANK Scale=6",,$D26,$BJ$4),BP26)</f>
        <v/>
      </c>
      <c r="BQ26" s="1506" cm="1">
        <f t="array" aca="1" ref="BQ26" ca="1">IF(SwitchPA=1,_xll.TR(BQ$7,BQ$6,"Sdate=#1 Period=#2 NULL=BLANK Scale=6",,$D26,$BJ$4),BQ26)</f>
        <v>14.383087991</v>
      </c>
      <c r="BR26" s="1506" cm="1">
        <f t="array" aca="1" ref="BR26" ca="1">IF(SwitchPA=1,_xll.TR(BR$7,BR$6,"Sdate=#1 Period=#2 NULL=BLANK Scale=6",,$D26,$BJ$4),BR26)</f>
        <v>10.017848239999999</v>
      </c>
      <c r="BS26" s="1506" cm="1">
        <f t="array" aca="1" ref="BS26" ca="1">IF(SwitchPA=1,_xll.TR(BS$7,BS$6,"Sdate=#1 Period=#2 NULL=BLANK Scale=6",,$D26,$BJ$4),BS26)</f>
        <v>10.475752740000001</v>
      </c>
      <c r="BT26" s="1506" cm="1">
        <f t="array" aca="1" ref="BT26" ca="1">IF(SwitchPA=1,_xll.TR(BT$7,BT$6,"Sdate=#1 Period=#2 NULL=BLANK Scale=6",,$D26,$BJ$4),BT26)</f>
        <v>6.017421208</v>
      </c>
      <c r="BU26" s="1506" cm="1">
        <f t="array" aca="1" ref="BU26" ca="1">IF(SwitchPA=1,_xll.TR(BU$7,BU$6,"Sdate=#1 Period=#2 NULL=BLANK Scale=6",,$D26,$BJ$4),BU26)</f>
        <v>13.305970116999999</v>
      </c>
      <c r="BV26" s="1506" t="str" cm="1">
        <f t="array" aca="1" ref="BV26" ca="1">IF(SwitchPA=1,_xll.TR(BV$7,BV$6,"Sdate=#1 Period=#2 NULL=BLANK Scale=6",,$D26,$BJ$4),BV26)</f>
        <v/>
      </c>
      <c r="BW26" s="1506" cm="1">
        <f t="array" aca="1" ref="BW26" ca="1">IF(SwitchPA=1,_xll.TR(BW$7,BW$6,"Sdate=#1 Period=#2 NULL=BLANK Scale=6",,$D26,$BJ$4),BW26)</f>
        <v>9.0394945809999996</v>
      </c>
      <c r="BX26" s="1506" cm="1">
        <f t="array" aca="1" ref="BX26" ca="1">IF(SwitchPA=1,_xll.TR(BX$7,BX$6,"Sdate=#1 Period=#2 NULL=BLANK Scale=6",,$D26,$BJ$4),BX26)</f>
        <v>6.701382164</v>
      </c>
      <c r="BY26" s="1506" cm="1">
        <f t="array" aca="1" ref="BY26" ca="1">IF(SwitchPA=1,_xll.TR(BY$7,BY$6,"Sdate=#1 Period=#2 NULL=BLANK Scale=6",,$D26,$BJ$4),BY26)</f>
        <v>5.200495461</v>
      </c>
      <c r="BZ26" s="1506" t="str" cm="1">
        <f t="array" aca="1" ref="BZ26" ca="1">IF(SwitchPA=1,_xll.TR(BZ$7,BZ$6,"Sdate=#1 Period=#2 NULL=BLANK Scale=6",,$D26,$BJ$4),BZ26)</f>
        <v/>
      </c>
      <c r="CA26" s="1506" t="str" cm="1">
        <f t="array" aca="1" ref="CA26" ca="1">IF(SwitchPA=1,_xll.TR(CA$7,CA$6,"Sdate=#1 Period=#2 NULL=BLANK Scale=6",,$D26,$BJ$4),CA26)</f>
        <v/>
      </c>
      <c r="CC26" s="1506" cm="1">
        <f t="array" aca="1" ref="CC26" ca="1">IF(SwitchPA=1,_xll.TR(CC$7,CC$6,"Sdate=#1 Period=#2 NULL=BLANK Scale=6",,$D26,$CC$4),CC26)</f>
        <v>6830</v>
      </c>
      <c r="CD26" s="1506" cm="1">
        <f t="array" aca="1" ref="CD26" ca="1">IF(SwitchPA=1,_xll.TR(CD$7,CD$6,"Sdate=#1 Period=#2 NULL=BLANK Scale=6",,$D26,$CC$4),CD26)</f>
        <v>6444</v>
      </c>
      <c r="CE26" s="1506" cm="1">
        <f t="array" aca="1" ref="CE26" ca="1">IF(SwitchPA=1,_xll.TR(CE$7,CE$6,"Sdate=#1 Period=#2 NULL=BLANK Scale=6",,$D26,$CC$4),CE26)</f>
        <v>57724.7</v>
      </c>
      <c r="CF26" s="1506" t="str" cm="1">
        <f t="array" aca="1" ref="CF26" ca="1">IF(SwitchPA=1,_xll.TR(CF$7,CF$6,"Sdate=#1 Period=#2 NULL=BLANK Scale=6",,$D26,$CC$4),CF26)</f>
        <v/>
      </c>
      <c r="CG26" s="1506" t="str" cm="1">
        <f t="array" aca="1" ref="CG26" ca="1">IF(SwitchPA=1,_xll.TR(CG$7,CG$6,"Sdate=#1 Period=#2 NULL=BLANK Scale=6",,$D26,$CC$4),CG26)</f>
        <v/>
      </c>
      <c r="CH26" s="1506" cm="1">
        <f t="array" aca="1" ref="CH26" ca="1">IF(SwitchPA=1,_xll.TR(CH$7,CH$6,"Sdate=#1 Period=#2 NULL=BLANK Scale=6",,$D26,$CC$4),CH26)</f>
        <v>1276.8</v>
      </c>
      <c r="CI26" s="1506" t="str" cm="1">
        <f t="array" aca="1" ref="CI26" ca="1">IF(SwitchPA=1,_xll.TR(CI$7,CI$6,"Sdate=#1 Period=#2 NULL=BLANK Scale=6",,$D26,$CC$4),CI26)</f>
        <v/>
      </c>
      <c r="CJ26" s="1506" cm="1">
        <f t="array" aca="1" ref="CJ26" ca="1">IF(SwitchPA=1,_xll.TR(CJ$7,CJ$6,"Sdate=#1 Period=#2 NULL=BLANK Scale=6",,$D26,$CC$4),CJ26)</f>
        <v>8876.7000000000007</v>
      </c>
      <c r="CK26" s="1506" cm="1">
        <f t="array" aca="1" ref="CK26" ca="1">IF(SwitchPA=1,_xll.TR(CK$7,CK$6,"Sdate=#1 Period=#2 NULL=BLANK Scale=6",,$D26,$CC$4),CK26)</f>
        <v>24462</v>
      </c>
      <c r="CL26" s="1506" cm="1">
        <f t="array" aca="1" ref="CL26" ca="1">IF(SwitchPA=1,_xll.TR(CL$7,CL$6,"Sdate=#1 Period=#2 NULL=BLANK Scale=6",,$D26,$CC$4),CL26)</f>
        <v>2336.1869999999999</v>
      </c>
      <c r="CM26" s="1506" cm="1">
        <f t="array" aca="1" ref="CM26" ca="1">IF(SwitchPA=1,_xll.TR(CM$7,CM$6,"Sdate=#1 Period=#2 NULL=BLANK Scale=6",,$D26,$CC$4),CM26)</f>
        <v>7888</v>
      </c>
      <c r="CN26" s="1506" cm="1">
        <f t="array" aca="1" ref="CN26" ca="1">IF(SwitchPA=1,_xll.TR(CN$7,CN$6,"Sdate=#1 Period=#2 NULL=BLANK Scale=6",,$D26,$CC$4),CN26)</f>
        <v>2642.7</v>
      </c>
      <c r="CO26" s="1506" t="str" cm="1">
        <f t="array" aca="1" ref="CO26" ca="1">IF(SwitchPA=1,_xll.TR(CO$7,CO$6,"Sdate=#1 Period=#2 NULL=BLANK Scale=6",,$D26,$CC$4),CO26)</f>
        <v/>
      </c>
      <c r="CP26" s="1506" cm="1">
        <f t="array" aca="1" ref="CP26" ca="1">IF(SwitchPA=1,_xll.TR(CP$7,CP$6,"Sdate=#1 Period=#2 NULL=BLANK Scale=6",,$D26,$CC$4),CP26)</f>
        <v>2632.9</v>
      </c>
      <c r="CQ26" s="1506" cm="1">
        <f t="array" aca="1" ref="CQ26" ca="1">IF(SwitchPA=1,_xll.TR(CQ$7,CQ$6,"Sdate=#1 Period=#2 NULL=BLANK Scale=6",,$D26,$CC$4),CQ26)</f>
        <v>12220</v>
      </c>
      <c r="CR26" s="1506" t="str" cm="1">
        <f t="array" aca="1" ref="CR26" ca="1">IF(SwitchPA=1,_xll.TR(CR$7,CR$6,"Sdate=#1 Period=#2 NULL=BLANK Scale=6",,$D26,$CC$4),CR26)</f>
        <v/>
      </c>
      <c r="CS26" s="1506" t="str" cm="1">
        <f t="array" aca="1" ref="CS26" ca="1">IF(SwitchPA=1,_xll.TR(CS$7,CS$6,"Sdate=#1 Period=#2 NULL=BLANK Scale=6",,$D26,$CC$4),CS26)</f>
        <v>Unable to resolve all requested identifiers.</v>
      </c>
      <c r="CT26" s="1506" t="str" cm="1">
        <f t="array" aca="1" ref="CT26" ca="1">IF(SwitchPA=1,_xll.TR(CT$7,CT$6,"Sdate=#1 Period=#2 NULL=BLANK Scale=6",,$D26,$CC$4),CT26)</f>
        <v>Unable to resolve all requested identifiers.</v>
      </c>
      <c r="CV26" s="1516" cm="1">
        <f t="array" aca="1" ref="CV26" ca="1">IF(SwitchPA=1,_xll.TR(CV$7,CV$6,"Sdate=#1 Period=#2 NULL=BLANK Scale=6",,$D26,$AQ$4),CV26)</f>
        <v>2960.75</v>
      </c>
      <c r="CW26" s="1516" cm="1">
        <f t="array" aca="1" ref="CW26" ca="1">IF(SwitchPA=1,_xll.TR(CW$7,CW$6,"Sdate=#1 Period=#2 NULL=BLANK Scale=6",,$D26,$AQ$4),CW26)</f>
        <v>2213.75</v>
      </c>
      <c r="CX26" s="1516" cm="1">
        <f t="array" aca="1" ref="CX26" ca="1">IF(SwitchPA=1,_xll.TR(CX$7,CX$6,"Sdate=#1 Period=#2 NULL=BLANK Scale=6",,$D26,$AQ$4),CX26)</f>
        <v>14760.875</v>
      </c>
      <c r="CY26" s="1516" t="str" cm="1">
        <f t="array" aca="1" ref="CY26" ca="1">IF(SwitchPA=1,_xll.TR(CY$7,CY$6,"Sdate=#1 Period=#2 NULL=BLANK Scale=6",,$D26,$AQ$4),CY26)</f>
        <v/>
      </c>
      <c r="CZ26" s="1516" t="str" cm="1">
        <f t="array" aca="1" ref="CZ26" ca="1">IF(SwitchPA=1,_xll.TR(CZ$7,CZ$6,"Sdate=#1 Period=#2 NULL=BLANK Scale=6",,$D26,$AQ$4),CZ26)</f>
        <v/>
      </c>
      <c r="DA26" s="1516" cm="1">
        <f t="array" aca="1" ref="DA26" ca="1">IF(SwitchPA=1,_xll.TR(DA$7,DA$6,"Sdate=#1 Period=#2 NULL=BLANK Scale=6",,$D26,$AQ$4),DA26)</f>
        <v>365.27499999999998</v>
      </c>
      <c r="DB26" s="1516" t="str" cm="1">
        <f t="array" aca="1" ref="DB26" ca="1">IF(SwitchPA=1,_xll.TR(DB$7,DB$6,"Sdate=#1 Period=#2 NULL=BLANK Scale=6",,$D26,$AQ$4),DB26)</f>
        <v/>
      </c>
      <c r="DC26" s="1516" cm="1">
        <f t="array" aca="1" ref="DC26" ca="1">IF(SwitchPA=1,_xll.TR(DC$7,DC$6,"Sdate=#1 Period=#2 NULL=BLANK Scale=6",,$D26,$AQ$4),DC26)</f>
        <v>3999.4</v>
      </c>
      <c r="DD26" s="1516" cm="1">
        <f t="array" aca="1" ref="DD26" ca="1">IF(SwitchPA=1,_xll.TR(DD$7,DD$6,"Sdate=#1 Period=#2 NULL=BLANK Scale=6",,$D26,$AQ$4),DD26)</f>
        <v>6258</v>
      </c>
      <c r="DE26" s="1516" cm="1">
        <f t="array" aca="1" ref="DE26" ca="1">IF(SwitchPA=1,_xll.TR(DE$7,DE$6,"Sdate=#1 Period=#2 NULL=BLANK Scale=6",,$D26,$AQ$4),DE26)</f>
        <v>1009.7485</v>
      </c>
      <c r="DF26" s="1516" cm="1">
        <f t="array" aca="1" ref="DF26" ca="1">IF(SwitchPA=1,_xll.TR(DF$7,DF$6,"Sdate=#1 Period=#2 NULL=BLANK Scale=6",,$D26,$AQ$4),DF26)</f>
        <v>974.5</v>
      </c>
      <c r="DG26" s="1516" cm="1">
        <f t="array" aca="1" ref="DG26" ca="1">IF(SwitchPA=1,_xll.TR(DG$7,DG$6,"Sdate=#1 Period=#2 NULL=BLANK Scale=6",,$D26,$AQ$4),DG26)</f>
        <v>444.35</v>
      </c>
      <c r="DH26" s="1516" t="str" cm="1">
        <f t="array" aca="1" ref="DH26" ca="1">IF(SwitchPA=1,_xll.TR(DH$7,DH$6,"Sdate=#1 Period=#2 NULL=BLANK Scale=6",,$D26,$AQ$4),DH26)</f>
        <v/>
      </c>
      <c r="DI26" s="1516" cm="1">
        <f t="array" aca="1" ref="DI26" ca="1">IF(SwitchPA=1,_xll.TR(DI$7,DI$6,"Sdate=#1 Period=#2 NULL=BLANK Scale=6",,$D26,$AQ$4),DI26)</f>
        <v>958.47500000000002</v>
      </c>
      <c r="DJ26" s="1516" cm="1">
        <f t="array" aca="1" ref="DJ26" ca="1">IF(SwitchPA=1,_xll.TR(DJ$7,DJ$6,"Sdate=#1 Period=#2 NULL=BLANK Scale=6",,$D26,$AQ$4),DJ26)</f>
        <v>2504</v>
      </c>
      <c r="DK26" s="1516" t="str" cm="1">
        <f t="array" aca="1" ref="DK26" ca="1">IF(SwitchPA=1,_xll.TR(DK$7,DK$6,"Sdate=#1 Period=#2 NULL=BLANK Scale=6",,$D26,$AQ$4),DK26)</f>
        <v/>
      </c>
      <c r="DL26" s="1516" t="str" cm="1">
        <f t="array" aca="1" ref="DL26" ca="1">IF(SwitchPA=1,_xll.TR(DL$7,DL$6,"Sdate=#1 Period=#2 NULL=BLANK Scale=6",,$D26,$AQ$4),DL26)</f>
        <v>Unable to resolve all requested identifiers.</v>
      </c>
      <c r="DM26" s="1516" t="str" cm="1">
        <f t="array" aca="1" ref="DM26" ca="1">IF(SwitchPA=1,_xll.TR(DM$7,DM$6,"Sdate=#1 Period=#2 NULL=BLANK Scale=6",,$D26,$AQ$4),DM26)</f>
        <v>Unable to resolve all requested identifiers.</v>
      </c>
      <c r="DO26" s="1506" cm="1">
        <f t="array" aca="1" ref="DO26" ca="1">IF(SwitchPA=1,_xll.TR(DO$7,DO$6,"Sdate=#1 Period=#2 Scale=6 NULL=BLANK",,$D26,$X$4),DO26)</f>
        <v>6135.1162789500004</v>
      </c>
      <c r="DP26" s="1506" cm="1">
        <f t="array" aca="1" ref="DP26" ca="1">IF(SwitchPA=1,_xll.TR(DP$7,DP$6,"Sdate=#1 Period=#2 Scale=6 NULL=BLANK",,$D26,$X$4),DP26)</f>
        <v>8996.6551887200003</v>
      </c>
      <c r="DQ26" s="1506" cm="1">
        <f t="array" aca="1" ref="DQ26" ca="1">IF(SwitchPA=1,_xll.TR(DQ$7,DQ$6,"Sdate=#1 Period=#2 Scale=6 NULL=BLANK",,$D26,$X$4),DQ26)</f>
        <v>51832.006549999998</v>
      </c>
      <c r="DR26" s="1506" t="str" cm="1">
        <f t="array" aca="1" ref="DR26" ca="1">IF(SwitchPA=1,_xll.TR(DR$7,DR$6,"Sdate=#1 Period=#2 Scale=6 NULL=BLANK",,$D26,$X$4),DR26)</f>
        <v/>
      </c>
      <c r="DS26" s="1506" t="str" cm="1">
        <f t="array" aca="1" ref="DS26" ca="1">IF(SwitchPA=1,_xll.TR(DS$7,DS$6,"Sdate=#1 Period=#2 Scale=6 NULL=BLANK",,$D26,$X$4),DS26)</f>
        <v/>
      </c>
      <c r="DT26" s="1506" cm="1">
        <f t="array" aca="1" ref="DT26" ca="1">IF(SwitchPA=1,_xll.TR(DT$7,DT$6,"Sdate=#1 Period=#2 Scale=6 NULL=BLANK",,$D26,$X$4),DT26)</f>
        <v>1911.60607688</v>
      </c>
      <c r="DU26" s="1506" t="str" cm="1">
        <f t="array" aca="1" ref="DU26" ca="1">IF(SwitchPA=1,_xll.TR(DU$7,DU$6,"Sdate=#1 Period=#2 Scale=6 NULL=BLANK",,$D26,$X$4),DU26)</f>
        <v/>
      </c>
      <c r="DV26" s="1506" cm="1">
        <f t="array" aca="1" ref="DV26" ca="1">IF(SwitchPA=1,_xll.TR(DV$7,DV$6,"Sdate=#1 Period=#2 Scale=6 NULL=BLANK",,$D26,$X$4),DV26)</f>
        <v>9016.75786152</v>
      </c>
      <c r="DW26" s="1506" cm="1">
        <f t="array" aca="1" ref="DW26" ca="1">IF(SwitchPA=1,_xll.TR(DW$7,DW$6,"Sdate=#1 Period=#2 Scale=6 NULL=BLANK",,$D26,$X$4),DW26)</f>
        <v>59626.232723280002</v>
      </c>
      <c r="DX26" s="1506" cm="1">
        <f t="array" aca="1" ref="DX26" ca="1">IF(SwitchPA=1,_xll.TR(DX$7,DX$6,"Sdate=#1 Period=#2 Scale=6 NULL=BLANK",,$D26,$X$4),DX26)</f>
        <v>4409.5690764000001</v>
      </c>
      <c r="DY26" s="1506" cm="1">
        <f t="array" aca="1" ref="DY26" ca="1">IF(SwitchPA=1,_xll.TR(DY$7,DY$6,"Sdate=#1 Period=#2 Scale=6 NULL=BLANK",,$D26,$X$4),DY26)</f>
        <v>1835.31346839</v>
      </c>
      <c r="DZ26" s="1506" cm="1">
        <f t="array" aca="1" ref="DZ26" ca="1">IF(SwitchPA=1,_xll.TR(DZ$7,DZ$6,"Sdate=#1 Period=#2 Scale=6 NULL=BLANK",,$D26,$X$4),DZ26)</f>
        <v>914.12014706000002</v>
      </c>
      <c r="EA26" s="1506" t="str" cm="1">
        <f t="array" aca="1" ref="EA26" ca="1">IF(SwitchPA=1,_xll.TR(EA$7,EA$6,"Sdate=#1 Period=#2 Scale=6 NULL=BLANK",,$D26,$X$4),EA26)</f>
        <v/>
      </c>
      <c r="EB26" s="1506" cm="1">
        <f t="array" aca="1" ref="EB26" ca="1">IF(SwitchPA=1,_xll.TR(EB$7,EB$6,"Sdate=#1 Period=#2 Scale=6 NULL=BLANK",,$D26,$X$4),EB26)</f>
        <v>4635.4528208900001</v>
      </c>
      <c r="EC26" s="1506" cm="1">
        <f t="array" aca="1" ref="EC26" ca="1">IF(SwitchPA=1,_xll.TR(EC$7,EC$6,"Sdate=#1 Period=#2 Scale=6 NULL=BLANK",,$D26,$X$4),EC26)</f>
        <v>11787.731227259999</v>
      </c>
      <c r="ED26" s="1506" cm="1">
        <f t="array" aca="1" ref="ED26" ca="1">IF(SwitchPA=1,_xll.TR(ED$7,ED$6,"Sdate=#1 Period=#2 Scale=6 NULL=BLANK",,$D26,$X$4),ED26)</f>
        <v>8934.451201635</v>
      </c>
      <c r="EE26" s="1506" t="str" cm="1">
        <f t="array" aca="1" ref="EE26" ca="1">IF(SwitchPA=1,_xll.TR(EE$7,EE$6,"Sdate=#1 Period=#2 Scale=6 NULL=BLANK",,$D26,$X$4),EE26)</f>
        <v/>
      </c>
      <c r="EF26" s="1506" t="str" cm="1">
        <f t="array" aca="1" ref="EF26" ca="1">IF(SwitchPA=1,_xll.TR(EF$7,EF$6,"Sdate=#1 Period=#2 Scale=6 NULL=BLANK",,$D26,$X$4),EF26)</f>
        <v/>
      </c>
      <c r="EG26" s="1517"/>
      <c r="EH26" s="1506" cm="1">
        <f t="array" aca="1" ref="EH26" ca="1">IF(SwitchPA=1,_xll.TR(EH$7,EH$6,"Sdate=#1 Period=#2 Scale=6 NULL=BLANK",,$D26,$X$4),EH26)</f>
        <v>616</v>
      </c>
      <c r="EI26" s="1506" cm="1">
        <f t="array" aca="1" ref="EI26" ca="1">IF(SwitchPA=1,_xll.TR(EI$7,EI$6,"Sdate=#1 Period=#2 Scale=6 NULL=BLANK",,$D26,$X$4),EI26)</f>
        <v>756</v>
      </c>
      <c r="EJ26" s="1506" cm="1">
        <f t="array" aca="1" ref="EJ26" ca="1">IF(SwitchPA=1,_xll.TR(EJ$7,EJ$6,"Sdate=#1 Period=#2 Scale=6 NULL=BLANK",,$D26,$X$4),EJ26)</f>
        <v>7371.9</v>
      </c>
      <c r="EK26" s="1506" t="str" cm="1">
        <f t="array" aca="1" ref="EK26" ca="1">IF(SwitchPA=1,_xll.TR(EK$7,EK$6,"Sdate=#1 Period=#2 Scale=6 NULL=BLANK",,$D26,$X$4),EK26)</f>
        <v/>
      </c>
      <c r="EL26" s="1506" t="str" cm="1">
        <f t="array" aca="1" ref="EL26" ca="1">IF(SwitchPA=1,_xll.TR(EL$7,EL$6,"Sdate=#1 Period=#2 Scale=6 NULL=BLANK",,$D26,$X$4),EL26)</f>
        <v/>
      </c>
      <c r="EM26" s="1506" cm="1">
        <f t="array" aca="1" ref="EM26" ca="1">IF(SwitchPA=1,_xll.TR(EM$7,EM$6,"Sdate=#1 Period=#2 Scale=6 NULL=BLANK",,$D26,$X$4),EM26)</f>
        <v>114</v>
      </c>
      <c r="EN26" s="1506" t="str" cm="1">
        <f t="array" aca="1" ref="EN26" ca="1">IF(SwitchPA=1,_xll.TR(EN$7,EN$6,"Sdate=#1 Period=#2 Scale=6 NULL=BLANK",,$D26,$X$4),EN26)</f>
        <v/>
      </c>
      <c r="EO26" s="1506" cm="1">
        <f t="array" aca="1" ref="EO26" ca="1">IF(SwitchPA=1,_xll.TR(EO$7,EO$6,"Sdate=#1 Period=#2 Scale=6 NULL=BLANK",,$D26,$X$4),EO26)</f>
        <v>494.9</v>
      </c>
      <c r="EP26" s="1506" cm="1">
        <f t="array" aca="1" ref="EP26" ca="1">IF(SwitchPA=1,_xll.TR(EP$7,EP$6,"Sdate=#1 Period=#2 Scale=6 NULL=BLANK",,$D26,$X$4),EP26)</f>
        <v>5344</v>
      </c>
      <c r="EQ26" s="1506" cm="1">
        <f t="array" aca="1" ref="EQ26" ca="1">IF(SwitchPA=1,_xll.TR(EQ$7,EQ$6,"Sdate=#1 Period=#2 Scale=6 NULL=BLANK",,$D26,$X$4),EQ26)</f>
        <v>314.83100000000002</v>
      </c>
      <c r="ER26" s="1506" cm="1">
        <f t="array" aca="1" ref="ER26" ca="1">IF(SwitchPA=1,_xll.TR(ER$7,ER$6,"Sdate=#1 Period=#2 Scale=6 NULL=BLANK",,$D26,$X$4),ER26)</f>
        <v>166</v>
      </c>
      <c r="ES26" s="1506" cm="1">
        <f t="array" aca="1" ref="ES26" ca="1">IF(SwitchPA=1,_xll.TR(ES$7,ES$6,"Sdate=#1 Period=#2 Scale=6 NULL=BLANK",,$D26,$X$4),ES26)</f>
        <v>6.2</v>
      </c>
      <c r="ET26" s="1506" t="str" cm="1">
        <f t="array" aca="1" ref="ET26" ca="1">IF(SwitchPA=1,_xll.TR(ET$7,ET$6,"Sdate=#1 Period=#2 Scale=6 NULL=BLANK",,$D26,$X$4),ET26)</f>
        <v/>
      </c>
      <c r="EU26" s="1506" cm="1">
        <f t="array" aca="1" ref="EU26" ca="1">IF(SwitchPA=1,_xll.TR(EU$7,EU$6,"Sdate=#1 Period=#2 Scale=6 NULL=BLANK",,$D26,$X$4),EU26)</f>
        <v>392.9</v>
      </c>
      <c r="EV26" s="1506" cm="1">
        <f t="array" aca="1" ref="EV26" ca="1">IF(SwitchPA=1,_xll.TR(EV$7,EV$6,"Sdate=#1 Period=#2 Scale=6 NULL=BLANK",,$D26,$X$4),EV26)</f>
        <v>1432</v>
      </c>
      <c r="EW26" s="1506" t="str" cm="1">
        <f t="array" aca="1" ref="EW26" ca="1">IF(SwitchPA=1,_xll.TR(EW$7,EW$6,"Sdate=#1 Period=#2 Scale=6 NULL=BLANK",,$D26,$X$4),EW26)</f>
        <v/>
      </c>
      <c r="EX26" s="1506" t="str" cm="1">
        <f t="array" aca="1" ref="EX26" ca="1">IF(SwitchPA=1,_xll.TR(EX$7,EX$6,"Sdate=#1 Period=#2 Scale=6 NULL=BLANK",,$D26,$X$4),EX26)</f>
        <v>Unable to resolve all requested identifiers.</v>
      </c>
      <c r="EY26" s="1506" t="str" cm="1">
        <f t="array" aca="1" ref="EY26" ca="1">IF(SwitchPA=1,_xll.TR(EY$7,EY$6,"Sdate=#1 Period=#2 Scale=6 NULL=BLANK",,$D26,$X$4),EY26)</f>
        <v>Unable to resolve and collect data for all requested identifiers and fields.</v>
      </c>
      <c r="FA26" s="1506" cm="1">
        <f t="array" aca="1" ref="FA26" ca="1">IF(SwitchPA=1,_xll.TR(FA$7,FA$6,"Sdate=#1 Period=#2 Scale=6 NULL=BLANK",,$D26,$X$4),FA26)</f>
        <v>943</v>
      </c>
      <c r="FB26" s="1506" cm="1">
        <f t="array" aca="1" ref="FB26" ca="1">IF(SwitchPA=1,_xll.TR(FB$7,FB$6,"Sdate=#1 Period=#2 Scale=6 NULL=BLANK",,$D26,$X$4),FB26)</f>
        <v>1068</v>
      </c>
      <c r="FC26" s="1506" cm="1">
        <f t="array" aca="1" ref="FC26" ca="1">IF(SwitchPA=1,_xll.TR(FC$7,FC$6,"Sdate=#1 Period=#2 Scale=6 NULL=BLANK",,$D26,$X$4),FC26)</f>
        <v>10291.5</v>
      </c>
      <c r="FD26" s="1506" t="str" cm="1">
        <f t="array" aca="1" ref="FD26" ca="1">IF(SwitchPA=1,_xll.TR(FD$7,FD$6,"Sdate=#1 Period=#2 Scale=6 NULL=BLANK",,$D26,$X$4),FD26)</f>
        <v/>
      </c>
      <c r="FE26" s="1506" t="str" cm="1">
        <f t="array" aca="1" ref="FE26" ca="1">IF(SwitchPA=1,_xll.TR(FE$7,FE$6,"Sdate=#1 Period=#2 Scale=6 NULL=BLANK",,$D26,$X$4),FE26)</f>
        <v/>
      </c>
      <c r="FF26" s="1506" cm="1">
        <f t="array" aca="1" ref="FF26" ca="1">IF(SwitchPA=1,_xll.TR(FF$7,FF$6,"Sdate=#1 Period=#2 Scale=6 NULL=BLANK",,$D26,$X$4),FF26)</f>
        <v>162</v>
      </c>
      <c r="FG26" s="1506" t="str" cm="1">
        <f t="array" aca="1" ref="FG26" ca="1">IF(SwitchPA=1,_xll.TR(FG$7,FG$6,"Sdate=#1 Period=#2 Scale=6 NULL=BLANK",,$D26,$X$4),FG26)</f>
        <v/>
      </c>
      <c r="FH26" s="1506" cm="1">
        <f t="array" aca="1" ref="FH26" ca="1">IF(SwitchPA=1,_xll.TR(FH$7,FH$6,"Sdate=#1 Period=#2 Scale=6 NULL=BLANK",,$D26,$X$4),FH26)</f>
        <v>626.9</v>
      </c>
      <c r="FI26" s="1506" cm="1">
        <f t="array" aca="1" ref="FI26" ca="1">IF(SwitchPA=1,_xll.TR(FI$7,FI$6,"Sdate=#1 Period=#2 Scale=6 NULL=BLANK",,$D26,$X$4),FI26)</f>
        <v>6416</v>
      </c>
      <c r="FJ26" s="1506" cm="1">
        <f t="array" aca="1" ref="FJ26" ca="1">IF(SwitchPA=1,_xll.TR(FJ$7,FJ$6,"Sdate=#1 Period=#2 Scale=6 NULL=BLANK",,$D26,$X$4),FJ26)</f>
        <v>421.68599999999998</v>
      </c>
      <c r="FK26" s="1506" cm="1">
        <f t="array" aca="1" ref="FK26" ca="1">IF(SwitchPA=1,_xll.TR(FK$7,FK$6,"Sdate=#1 Period=#2 Scale=6 NULL=BLANK",,$D26,$X$4),FK26)</f>
        <v>305</v>
      </c>
      <c r="FL26" s="1506" cm="1">
        <f t="array" aca="1" ref="FL26" ca="1">IF(SwitchPA=1,_xll.TR(FL$7,FL$6,"Sdate=#1 Period=#2 Scale=6 NULL=BLANK",,$D26,$X$4),FL26)</f>
        <v>63.6</v>
      </c>
      <c r="FM26" s="1506" t="str" cm="1">
        <f t="array" aca="1" ref="FM26" ca="1">IF(SwitchPA=1,_xll.TR(FM$7,FM$6,"Sdate=#1 Period=#2 Scale=6 NULL=BLANK",,$D26,$X$4),FM26)</f>
        <v/>
      </c>
      <c r="FN26" s="1506" cm="1">
        <f t="array" aca="1" ref="FN26" ca="1">IF(SwitchPA=1,_xll.TR(FN$7,FN$6,"Sdate=#1 Period=#2 Scale=6 NULL=BLANK",,$D26,$X$4),FN26)</f>
        <v>526.6</v>
      </c>
      <c r="FO26" s="1506" cm="1">
        <f t="array" aca="1" ref="FO26" ca="1">IF(SwitchPA=1,_xll.TR(FO$7,FO$6,"Sdate=#1 Period=#2 Scale=6 NULL=BLANK",,$D26,$X$4),FO26)</f>
        <v>1835</v>
      </c>
      <c r="FP26" s="1506" t="str" cm="1">
        <f t="array" aca="1" ref="FP26" ca="1">IF(SwitchPA=1,_xll.TR(FP$7,FP$6,"Sdate=#1 Period=#2 Scale=6 NULL=BLANK",,$D26,$X$4),FP26)</f>
        <v/>
      </c>
      <c r="FQ26" s="1506" t="str" cm="1">
        <f t="array" aca="1" ref="FQ26" ca="1">IF(SwitchPA=1,_xll.TR(FQ$7,FQ$6,"Sdate=#1 Period=#2 Scale=6 NULL=BLANK",,$D26,$X$4),FQ26)</f>
        <v>Unable to resolve all requested identifiers.</v>
      </c>
      <c r="FS26" s="1506" cm="1">
        <f t="array" aca="1" ref="FS26" ca="1">IF(SwitchPA=1,_xll.TR(FS$7,FS$6,"Sdate=#1 Period=#2 NULL=BLANK Scale=6",,$D26,$FS$4),FS26)</f>
        <v>203</v>
      </c>
      <c r="FT26" s="1506" cm="1">
        <f t="array" aca="1" ref="FT26" ca="1">IF(SwitchPA=1,_xll.TR(FT$7,FT$6,"Sdate=#1 Period=#2 NULL=BLANK Scale=6",,$D26,$FS$4),FT26)</f>
        <v>257</v>
      </c>
      <c r="FU26" s="1506" cm="1">
        <f t="array" aca="1" ref="FU26" ca="1">IF(SwitchPA=1,_xll.TR(FU$7,FU$6,"Sdate=#1 Period=#2 NULL=BLANK Scale=6",,$D26,$FS$4),FU26)</f>
        <v>4182.2</v>
      </c>
      <c r="FV26" s="1506" t="str" cm="1">
        <f t="array" aca="1" ref="FV26" ca="1">IF(SwitchPA=1,_xll.TR(FV$7,FV$6,"Sdate=#1 Period=#2 NULL=BLANK Scale=6",,$D26,$FS$4),FV26)</f>
        <v/>
      </c>
      <c r="FW26" s="1506" t="str" cm="1">
        <f t="array" aca="1" ref="FW26" ca="1">IF(SwitchPA=1,_xll.TR(FW$7,FW$6,"Sdate=#1 Period=#2 NULL=BLANK Scale=6",,$D26,$FS$4),FW26)</f>
        <v/>
      </c>
      <c r="FX26" s="1506" cm="1">
        <f t="array" aca="1" ref="FX26" ca="1">IF(SwitchPA=1,_xll.TR(FX$7,FX$6,"Sdate=#1 Period=#2 NULL=BLANK Scale=6",,$D26,$FS$4),FX26)</f>
        <v>128.1</v>
      </c>
      <c r="FY26" s="1506" t="str" cm="1">
        <f t="array" aca="1" ref="FY26" ca="1">IF(SwitchPA=1,_xll.TR(FY$7,FY$6,"Sdate=#1 Period=#2 NULL=BLANK Scale=6",,$D26,$FS$4),FY26)</f>
        <v/>
      </c>
      <c r="FZ26" s="1506" cm="1">
        <f t="array" aca="1" ref="FZ26" ca="1">IF(SwitchPA=1,_xll.TR(FZ$7,FZ$6,"Sdate=#1 Period=#2 NULL=BLANK Scale=6",,$D26,$FS$4),FZ26)</f>
        <v>-364.1</v>
      </c>
      <c r="GA26" s="1506" cm="1">
        <f t="array" aca="1" ref="GA26" ca="1">IF(SwitchPA=1,_xll.TR(GA$7,GA$6,"Sdate=#1 Period=#2 NULL=BLANK Scale=6",,$D26,$FS$4),GA26)</f>
        <v>2824</v>
      </c>
      <c r="GB26" s="1506" cm="1">
        <f t="array" aca="1" ref="GB26" ca="1">IF(SwitchPA=1,_xll.TR(GB$7,GB$6,"Sdate=#1 Period=#2 NULL=BLANK Scale=6",,$D26,$FS$4),GB26)</f>
        <v>147.62100000000001</v>
      </c>
      <c r="GC26" s="1506" cm="1">
        <f t="array" aca="1" ref="GC26" ca="1">IF(SwitchPA=1,_xll.TR(GC$7,GC$6,"Sdate=#1 Period=#2 NULL=BLANK Scale=6",,$D26,$FS$4),GC26)</f>
        <v>212</v>
      </c>
      <c r="GD26" s="1506" cm="1">
        <f t="array" aca="1" ref="GD26" ca="1">IF(SwitchPA=1,_xll.TR(GD$7,GD$6,"Sdate=#1 Period=#2 NULL=BLANK Scale=6",,$D26,$FS$4),GD26)</f>
        <v>23.8</v>
      </c>
      <c r="GE26" s="1506" t="str" cm="1">
        <f t="array" aca="1" ref="GE26" ca="1">IF(SwitchPA=1,_xll.TR(GE$7,GE$6,"Sdate=#1 Period=#2 NULL=BLANK Scale=6",,$D26,$FS$4),GE26)</f>
        <v/>
      </c>
      <c r="GF26" s="1506" cm="1">
        <f t="array" aca="1" ref="GF26" ca="1">IF(SwitchPA=1,_xll.TR(GF$7,GF$6,"Sdate=#1 Period=#2 NULL=BLANK Scale=6",,$D26,$FS$4),GF26)</f>
        <v>154.19999999999999</v>
      </c>
      <c r="GG26" s="1506" cm="1">
        <f t="array" aca="1" ref="GG26" ca="1">IF(SwitchPA=1,_xll.TR(GG$7,GG$6,"Sdate=#1 Period=#2 NULL=BLANK Scale=6",,$D26,$FS$4),GG26)</f>
        <v>699</v>
      </c>
      <c r="GH26" s="1506" t="str" cm="1">
        <f t="array" aca="1" ref="GH26" ca="1">IF(SwitchPA=1,_xll.TR(GH$7,GH$6,"Sdate=#1 Period=#2 NULL=BLANK Scale=6",,$D26,$FS$4),GH26)</f>
        <v/>
      </c>
      <c r="GI26" s="1506" t="str" cm="1">
        <f t="array" aca="1" ref="GI26" ca="1">IF(SwitchPA=1,_xll.TR(GI$7,GI$6,"Sdate=#1 Period=#2 NULL=BLANK Scale=6",,$D26,$FS$4),GI26)</f>
        <v>Unable to resolve all requested identifiers.</v>
      </c>
      <c r="GK26" s="1506" t="str" cm="1">
        <f t="array" aca="1" ref="GK26" ca="1">IF(SwitchPA=1,_xll.TR(GK$7,GK$6,"Sdate=#1 Period=#2 NULL=BLANK Scale=6",,$D26,$FS$4),GK26)</f>
        <v/>
      </c>
      <c r="GL26" s="1506" t="str" cm="1">
        <f t="array" aca="1" ref="GL26" ca="1">IF(SwitchPA=1,_xll.TR(GL$7,GL$6,"Sdate=#1 Period=#2 NULL=BLANK Scale=6",,$D26,$FS$4),GL26)</f>
        <v/>
      </c>
      <c r="GM26" s="1506" t="str" cm="1">
        <f t="array" aca="1" ref="GM26" ca="1">IF(SwitchPA=1,_xll.TR(GM$7,GM$6,"Sdate=#1 Period=#2 NULL=BLANK Scale=6",,$D26,$FS$4),GM26)</f>
        <v/>
      </c>
      <c r="GN26" s="1506" t="str" cm="1">
        <f t="array" aca="1" ref="GN26" ca="1">IF(SwitchPA=1,_xll.TR(GN$7,GN$6,"Sdate=#1 Period=#2 NULL=BLANK Scale=6",,$D26,$FS$4),GN26)</f>
        <v/>
      </c>
      <c r="GO26" s="1506" t="str" cm="1">
        <f t="array" aca="1" ref="GO26" ca="1">IF(SwitchPA=1,_xll.TR(GO$7,GO$6,"Sdate=#1 Period=#2 NULL=BLANK Scale=6",,$D26,$FS$4),GO26)</f>
        <v/>
      </c>
      <c r="GP26" s="1506" t="str" cm="1">
        <f t="array" aca="1" ref="GP26" ca="1">IF(SwitchPA=1,_xll.TR(GP$7,GP$6,"Sdate=#1 Period=#2 NULL=BLANK Scale=6",,$D26,$FS$4),GP26)</f>
        <v/>
      </c>
      <c r="GQ26" s="1506" t="str" cm="1">
        <f t="array" aca="1" ref="GQ26" ca="1">IF(SwitchPA=1,_xll.TR(GQ$7,GQ$6,"Sdate=#1 Period=#2 NULL=BLANK Scale=6",,$D26,$FS$4),GQ26)</f>
        <v/>
      </c>
      <c r="GR26" s="1506" t="str" cm="1">
        <f t="array" aca="1" ref="GR26" ca="1">IF(SwitchPA=1,_xll.TR(GR$7,GR$6,"Sdate=#1 Period=#2 NULL=BLANK Scale=6",,$D26,$FS$4),GR26)</f>
        <v/>
      </c>
      <c r="GS26" s="1506" t="str" cm="1">
        <f t="array" aca="1" ref="GS26" ca="1">IF(SwitchPA=1,_xll.TR(GS$7,GS$6,"Sdate=#1 Period=#2 NULL=BLANK Scale=6",,$D26,$FS$4),GS26)</f>
        <v/>
      </c>
      <c r="GT26" s="1506" t="str" cm="1">
        <f t="array" aca="1" ref="GT26" ca="1">IF(SwitchPA=1,_xll.TR(GT$7,GT$6,"Sdate=#1 Period=#2 NULL=BLANK Scale=6",,$D26,$FS$4),GT26)</f>
        <v/>
      </c>
      <c r="GU26" s="1506" t="str" cm="1">
        <f t="array" aca="1" ref="GU26" ca="1">IF(SwitchPA=1,_xll.TR(GU$7,GU$6,"Sdate=#1 Period=#2 NULL=BLANK Scale=6",,$D26,$FS$4),GU26)</f>
        <v/>
      </c>
      <c r="GV26" s="1506" t="str" cm="1">
        <f t="array" aca="1" ref="GV26" ca="1">IF(SwitchPA=1,_xll.TR(GV$7,GV$6,"Sdate=#1 Period=#2 NULL=BLANK Scale=6",,$D26,$FS$4),GV26)</f>
        <v/>
      </c>
      <c r="GW26" s="1506" t="str" cm="1">
        <f t="array" aca="1" ref="GW26" ca="1">IF(SwitchPA=1,_xll.TR(GW$7,GW$6,"Sdate=#1 Period=#2 NULL=BLANK Scale=6",,$D26,$FS$4),GW26)</f>
        <v/>
      </c>
      <c r="GX26" s="1506" t="str" cm="1">
        <f t="array" aca="1" ref="GX26" ca="1">IF(SwitchPA=1,_xll.TR(GX$7,GX$6,"Sdate=#1 Period=#2 NULL=BLANK Scale=6",,$D26,$FS$4),GX26)</f>
        <v/>
      </c>
      <c r="GY26" s="1506" t="str" cm="1">
        <f t="array" aca="1" ref="GY26" ca="1">IF(SwitchPA=1,_xll.TR(GY$7,GY$6,"Sdate=#1 Period=#2 NULL=BLANK Scale=6",,$D26,$FS$4),GY26)</f>
        <v/>
      </c>
      <c r="GZ26" s="1506" t="str" cm="1">
        <f t="array" aca="1" ref="GZ26" ca="1">IF(SwitchPA=1,_xll.TR(GZ$7,GZ$6,"Sdate=#1 Period=#2 NULL=BLANK Scale=6",,$D26,$FS$4),GZ26)</f>
        <v/>
      </c>
      <c r="HA26" s="1506" t="str" cm="1">
        <f t="array" aca="1" ref="HA26" ca="1">IF(SwitchPA=1,_xll.TR(HA$7,HA$6,"Sdate=#1 Period=#2 NULL=BLANK Scale=6",,$D26,$FS$4),HA26)</f>
        <v/>
      </c>
      <c r="HC26">
        <v>6.97</v>
      </c>
      <c r="HD26">
        <v>72.34</v>
      </c>
      <c r="HE26">
        <v>72.44</v>
      </c>
      <c r="HG26" s="762">
        <f t="shared" si="52"/>
        <v>3.5661218424962726E-2</v>
      </c>
      <c r="HH26" s="762">
        <f t="shared" si="53"/>
        <v>9.5230885692657141E-2</v>
      </c>
      <c r="HI26" s="762">
        <f t="shared" si="54"/>
        <v>0.11172498465316139</v>
      </c>
    </row>
    <row r="27" spans="1:217" ht="11.25" customHeight="1">
      <c r="C27" s="1514">
        <f t="shared" si="51"/>
        <v>39813</v>
      </c>
      <c r="D27" s="1515">
        <f t="shared" si="49"/>
        <v>39858</v>
      </c>
      <c r="E27" s="1506" cm="1">
        <f t="array" aca="1" ref="E27" ca="1">IF(SwitchPA=1,_xll.TR(E$7,E$6,"Sdate=#1 Period=#2 NULL=BLANK",,$D27,$E$4),E27)</f>
        <v>4.7369274153280196</v>
      </c>
      <c r="F27" s="1506" cm="1">
        <f t="array" aca="1" ref="F27" ca="1">IF(SwitchPA=1,_xll.TR(F$7,F$6,"Sdate=#1 Period=#2 NULL=BLANK",,$D27,$E$4),F27)</f>
        <v>4.9289060952092898</v>
      </c>
      <c r="G27" s="1506" cm="1">
        <f t="array" aca="1" ref="G27" ca="1">IF(SwitchPA=1,_xll.TR(G$7,G$6,"Sdate=#1 Period=#2 NULL=BLANK",,$D27,$E$4),G27)</f>
        <v>4.7220345732420901</v>
      </c>
      <c r="H27" s="1506" t="str" cm="1">
        <f t="array" aca="1" ref="H27" ca="1">IF(SwitchPA=1,_xll.TR(H$7,H$6,"Sdate=#1 Period=#2 NULL=BLANK",,$D27,$E$4),H27)</f>
        <v/>
      </c>
      <c r="I27" s="1506" t="str" cm="1">
        <f t="array" aca="1" ref="I27" ca="1">IF(SwitchPA=1,_xll.TR(I$7,I$6,"Sdate=#1 Period=#2 NULL=BLANK",,$D27,$E$4),I27)</f>
        <v/>
      </c>
      <c r="J27" s="1506" cm="1">
        <f t="array" aca="1" ref="J27" ca="1">IF(SwitchPA=1,_xll.TR(J$7,J$6,"Sdate=#1 Period=#2 NULL=BLANK",,$D27,$E$4),J27)</f>
        <v>3.5881868055597401</v>
      </c>
      <c r="K27" s="1506" t="str" cm="1">
        <f t="array" aca="1" ref="K27" ca="1">IF(SwitchPA=1,_xll.TR(K$7,K$6,"Sdate=#1 Period=#2 NULL=BLANK",,$D27,$E$4),K27)</f>
        <v/>
      </c>
      <c r="L27" s="1506" cm="1">
        <f t="array" aca="1" ref="L27" ca="1">IF(SwitchPA=1,_xll.TR(L$7,L$6,"Sdate=#1 Period=#2 NULL=BLANK",,$D27,$E$4),L27)</f>
        <v>6.5852120570952701</v>
      </c>
      <c r="M27" s="1506" cm="1">
        <f t="array" aca="1" ref="M27" ca="1">IF(SwitchPA=1,_xll.TR(M$7,M$6,"Sdate=#1 Period=#2 NULL=BLANK",,$D27,$E$4),M27)</f>
        <v>5.8577647288569796</v>
      </c>
      <c r="N27" s="1506" cm="1">
        <f t="array" aca="1" ref="N27" ca="1">IF(SwitchPA=1,_xll.TR(N$7,N$6,"Sdate=#1 Period=#2 NULL=BLANK",,$D27,$E$4),N27)</f>
        <v>7.5137277655543002</v>
      </c>
      <c r="O27" s="1506" cm="1">
        <f t="array" aca="1" ref="O27" ca="1">IF(SwitchPA=1,_xll.TR(O$7,O$6,"Sdate=#1 Period=#2 NULL=BLANK",,$D27,$E$4),O27)</f>
        <v>4.0092160282969402</v>
      </c>
      <c r="P27" s="1506" t="str" cm="1">
        <f t="array" aca="1" ref="P27" ca="1">IF(SwitchPA=1,_xll.TR(P$7,P$6,"Sdate=#1 Period=#2 NULL=BLANK",,$D27,$E$4),P27)</f>
        <v/>
      </c>
      <c r="Q27" s="1506" t="str" cm="1">
        <f t="array" aca="1" ref="Q27" ca="1">IF(SwitchPA=1,_xll.TR(Q$7,Q$6,"Sdate=#1 Period=#2 NULL=BLANK",,$D27,$E$4),Q27)</f>
        <v/>
      </c>
      <c r="R27" s="1506" cm="1">
        <f t="array" aca="1" ref="R27" ca="1">IF(SwitchPA=1,_xll.TR(R$7,R$6,"Sdate=#1 Period=#2 NULL=BLANK",,$D27,$E$4),R27)</f>
        <v>5.4705480508151396</v>
      </c>
      <c r="S27" s="1506" cm="1">
        <f t="array" aca="1" ref="S27" ca="1">IF(SwitchPA=1,_xll.TR(S$7,S$6,"Sdate=#1 Period=#2 NULL=BLANK",,$D27,$E$4),S27)</f>
        <v>5.7661063715638603</v>
      </c>
      <c r="T27" s="1506" cm="1">
        <f t="array" aca="1" ref="T27" ca="1">IF(SwitchPA=1,_xll.TR(T$7,T$6,"Sdate=#1 Period=#2 NULL=BLANK",,$D27,$E$4),T27)</f>
        <v>4.9918680820272003</v>
      </c>
      <c r="U27" s="1506" t="str" cm="1">
        <f t="array" aca="1" ref="U27" ca="1">IF(SwitchPA=1,_xll.TR(U$7,U$6,"Sdate=#1 Period=#2 NULL=BLANK",,$D27,$E$4),U27)</f>
        <v>No universe defined.</v>
      </c>
      <c r="V27" s="1506" t="str" cm="1">
        <f t="array" aca="1" ref="V27" ca="1">IF(SwitchPA=1,_xll.TR(V$7,V$6,"Sdate=#1 Period=#2 NULL=BLANK",,$D27,$E$4),V27)</f>
        <v>No universe defined.</v>
      </c>
      <c r="W27" s="1521">
        <f t="shared" ca="1" si="55"/>
        <v>3.1539036521082142E-3</v>
      </c>
      <c r="X27" s="1506" cm="1">
        <f t="array" aca="1" ref="X27" ca="1">IF(SwitchPA=1,_xll.TR(X$7,X$6,"Sdate=#1 Period=#2 NULL=BLANK",,$D27,$X$4),X27)</f>
        <v>3.3887856633925502</v>
      </c>
      <c r="Y27" s="1506" cm="1">
        <f t="array" aca="1" ref="Y27" ca="1">IF(SwitchPA=1,_xll.TR(Y$7,Y$6,"Sdate=#1 Period=#2 NULL=BLANK",,$D27,$X$4),Y27)</f>
        <v>3.7565618059803199</v>
      </c>
      <c r="Z27" s="1506" cm="1">
        <f t="array" aca="1" ref="Z27" ca="1">IF(SwitchPA=1,_xll.TR(Z$7,Z$6,"Sdate=#1 Period=#2 NULL=BLANK",,$D27,$X$4),Z27)</f>
        <v>3.8103490523059498</v>
      </c>
      <c r="AA27" s="1506" t="str" cm="1">
        <f t="array" aca="1" ref="AA27" ca="1">IF(SwitchPA=1,_xll.TR(AA$7,AA$6,"Sdate=#1 Period=#2 NULL=BLANK",,$D27,$X$4),AA27)</f>
        <v/>
      </c>
      <c r="AB27" s="1506" t="str" cm="1">
        <f t="array" aca="1" ref="AB27" ca="1">IF(SwitchPA=1,_xll.TR(AB$7,AB$6,"Sdate=#1 Period=#2 NULL=BLANK",,$D27,$X$4),AB27)</f>
        <v/>
      </c>
      <c r="AC27" s="1506" cm="1">
        <f t="array" aca="1" ref="AC27" ca="1">IF(SwitchPA=1,_xll.TR(AC$7,AC$6,"Sdate=#1 Period=#2 NULL=BLANK",,$D27,$X$4),AC27)</f>
        <v>3.2884806384152001</v>
      </c>
      <c r="AD27" s="1506" t="str" cm="1">
        <f t="array" aca="1" ref="AD27" ca="1">IF(SwitchPA=1,_xll.TR(AD$7,AD$6,"Sdate=#1 Period=#2 NULL=BLANK",,$D27,$X$4),AD27)</f>
        <v/>
      </c>
      <c r="AE27" s="1506" cm="1">
        <f t="array" aca="1" ref="AE27" ca="1">IF(SwitchPA=1,_xll.TR(AE$7,AE$6,"Sdate=#1 Period=#2 NULL=BLANK",,$D27,$X$4),AE27)</f>
        <v>6.2203002651934396</v>
      </c>
      <c r="AF27" s="1506" cm="1">
        <f t="array" aca="1" ref="AF27" ca="1">IF(SwitchPA=1,_xll.TR(AF$7,AF$6,"Sdate=#1 Period=#2 NULL=BLANK",,$D27,$X$4),AF27)</f>
        <v>5.1766030376843402</v>
      </c>
      <c r="AG27" s="1506" cm="1">
        <f t="array" aca="1" ref="AG27" ca="1">IF(SwitchPA=1,_xll.TR(AG$7,AG$6,"Sdate=#1 Period=#2 NULL=BLANK",,$D27,$X$4),AG27)</f>
        <v>6.9976276902643804</v>
      </c>
      <c r="AH27" s="1506" cm="1">
        <f t="array" aca="1" ref="AH27" ca="1">IF(SwitchPA=1,_xll.TR(AH$7,AH$6,"Sdate=#1 Period=#2 NULL=BLANK",,$D27,$X$4),AH27)</f>
        <v>5.72614845145453</v>
      </c>
      <c r="AI27" s="1506" t="str" cm="1">
        <f t="array" aca="1" ref="AI27" ca="1">IF(SwitchPA=1,_xll.TR(AI$7,AI$6,"Sdate=#1 Period=#2 NULL=BLANK",,$D27,$X$4),AI27)</f>
        <v/>
      </c>
      <c r="AJ27" s="1506" t="str" cm="1">
        <f t="array" aca="1" ref="AJ27" ca="1">IF(SwitchPA=1,_xll.TR(AJ$7,AJ$6,"Sdate=#1 Period=#2 NULL=BLANK",,$D27,$X$4),AJ27)</f>
        <v/>
      </c>
      <c r="AK27" s="1506" cm="1">
        <f t="array" aca="1" ref="AK27" ca="1">IF(SwitchPA=1,_xll.TR(AK$7,AK$6,"Sdate=#1 Period=#2 NULL=BLANK",,$D27,$X$4),AK27)</f>
        <v>5.8604879118775202</v>
      </c>
      <c r="AL27" s="1506" cm="1">
        <f t="array" aca="1" ref="AL27" ca="1">IF(SwitchPA=1,_xll.TR(AL$7,AL$6,"Sdate=#1 Period=#2 NULL=BLANK",,$D27,$X$4),AL27)</f>
        <v>5.1710796349084402</v>
      </c>
      <c r="AM27" s="1506" cm="1">
        <f t="array" aca="1" ref="AM27" ca="1">IF(SwitchPA=1,_xll.TR(AM$7,AM$6,"Sdate=#1 Period=#2 NULL=BLANK",,$D27,$X$4),AM27)</f>
        <v>4.5650406367785799</v>
      </c>
      <c r="AN27" s="1506" t="str" cm="1">
        <f t="array" aca="1" ref="AN27" ca="1">IF(SwitchPA=1,_xll.TR(AN$7,AN$6,"Sdate=#1 Period=#2 NULL=BLANK",,$D27,$X$4),AN27)</f>
        <v/>
      </c>
      <c r="AO27" s="1506" t="str" cm="1">
        <f t="array" aca="1" ref="AO27" ca="1">IF(SwitchPA=1,_xll.TR(AO$7,AO$6,"Sdate=#1 Period=#2 NULL=BLANK",,$D27,$X$4),AO27)</f>
        <v/>
      </c>
      <c r="AQ27" s="1506" t="str" cm="1">
        <f t="array" aca="1" ref="AQ27" ca="1">IF(SwitchPA=1,_xll.TR(AQ$7,AQ$6,"Sdate=#1 Period=#2 NULL=BLANK Scale=6",,$D27,$AQ$4),AQ27)</f>
        <v/>
      </c>
      <c r="AR27" s="1506" t="str" cm="1">
        <f t="array" aca="1" ref="AR27" ca="1">IF(SwitchPA=1,_xll.TR(AR$7,AR$6,"Sdate=#1 Period=#2 NULL=BLANK Scale=6",,$D27,$AQ$4),AR27)</f>
        <v/>
      </c>
      <c r="AS27" s="1506" t="str" cm="1">
        <f t="array" aca="1" ref="AS27" ca="1">IF(SwitchPA=1,_xll.TR(AS$7,AS$6,"Sdate=#1 Period=#2 NULL=BLANK Scale=6",,$D27,$AQ$4),AS27)</f>
        <v/>
      </c>
      <c r="AT27" s="1506" t="str" cm="1">
        <f t="array" aca="1" ref="AT27" ca="1">IF(SwitchPA=1,_xll.TR(AT$7,AT$6,"Sdate=#1 Period=#2 NULL=BLANK Scale=6",,$D27,$AQ$4),AT27)</f>
        <v/>
      </c>
      <c r="AU27" s="1506" t="str" cm="1">
        <f t="array" aca="1" ref="AU27" ca="1">IF(SwitchPA=1,_xll.TR(AU$7,AU$6,"Sdate=#1 Period=#2 NULL=BLANK Scale=6",,$D27,$AQ$4),AU27)</f>
        <v/>
      </c>
      <c r="AV27" s="1506" t="str" cm="1">
        <f t="array" aca="1" ref="AV27" ca="1">IF(SwitchPA=1,_xll.TR(AV$7,AV$6,"Sdate=#1 Period=#2 NULL=BLANK Scale=6",,$D27,$AQ$4),AV27)</f>
        <v/>
      </c>
      <c r="AW27" s="1506" t="str" cm="1">
        <f t="array" aca="1" ref="AW27" ca="1">IF(SwitchPA=1,_xll.TR(AW$7,AW$6,"Sdate=#1 Period=#2 NULL=BLANK Scale=6",,$D27,$AQ$4),AW27)</f>
        <v/>
      </c>
      <c r="AX27" s="1506" t="str" cm="1">
        <f t="array" aca="1" ref="AX27" ca="1">IF(SwitchPA=1,_xll.TR(AX$7,AX$6,"Sdate=#1 Period=#2 NULL=BLANK Scale=6",,$D27,$AQ$4),AX27)</f>
        <v/>
      </c>
      <c r="AY27" s="1506" t="str" cm="1">
        <f t="array" aca="1" ref="AY27" ca="1">IF(SwitchPA=1,_xll.TR(AY$7,AY$6,"Sdate=#1 Period=#2 NULL=BLANK Scale=6",,$D27,$AQ$4),AY27)</f>
        <v/>
      </c>
      <c r="AZ27" s="1506" t="str" cm="1">
        <f t="array" aca="1" ref="AZ27" ca="1">IF(SwitchPA=1,_xll.TR(AZ$7,AZ$6,"Sdate=#1 Period=#2 NULL=BLANK Scale=6",,$D27,$AQ$4),AZ27)</f>
        <v/>
      </c>
      <c r="BA27" s="1506" t="str" cm="1">
        <f t="array" aca="1" ref="BA27" ca="1">IF(SwitchPA=1,_xll.TR(BA$7,BA$6,"Sdate=#1 Period=#2 NULL=BLANK Scale=6",,$D27,$AQ$4),BA27)</f>
        <v/>
      </c>
      <c r="BB27" s="1506" t="str" cm="1">
        <f t="array" aca="1" ref="BB27" ca="1">IF(SwitchPA=1,_xll.TR(BB$7,BB$6,"Sdate=#1 Period=#2 NULL=BLANK Scale=6",,$D27,$AQ$4),BB27)</f>
        <v/>
      </c>
      <c r="BC27" s="1506" t="str" cm="1">
        <f t="array" aca="1" ref="BC27" ca="1">IF(SwitchPA=1,_xll.TR(BC$7,BC$6,"Sdate=#1 Period=#2 NULL=BLANK Scale=6",,$D27,$AQ$4),BC27)</f>
        <v/>
      </c>
      <c r="BD27" s="1506" t="str" cm="1">
        <f t="array" aca="1" ref="BD27" ca="1">IF(SwitchPA=1,_xll.TR(BD$7,BD$6,"Sdate=#1 Period=#2 NULL=BLANK Scale=6",,$D27,$AQ$4),BD27)</f>
        <v/>
      </c>
      <c r="BE27" s="1506" t="str" cm="1">
        <f t="array" aca="1" ref="BE27" ca="1">IF(SwitchPA=1,_xll.TR(BE$7,BE$6,"Sdate=#1 Period=#2 NULL=BLANK Scale=6",,$D27,$AQ$4),BE27)</f>
        <v/>
      </c>
      <c r="BF27" s="1506" t="str" cm="1">
        <f t="array" aca="1" ref="BF27" ca="1">IF(SwitchPA=1,_xll.TR(BF$7,BF$6,"Sdate=#1 Period=#2 NULL=BLANK Scale=6",,$D27,$AQ$4),BF27)</f>
        <v/>
      </c>
      <c r="BG27" s="1506" t="str" cm="1">
        <f t="array" aca="1" ref="BG27" ca="1">IF(SwitchPA=1,_xll.TR(BG$7,BG$6,"Sdate=#1 Period=#2 NULL=BLANK Scale=6",,$D27,$AQ$4),BG27)</f>
        <v/>
      </c>
      <c r="BH27" s="1506" t="str" cm="1">
        <f t="array" aca="1" ref="BH27" ca="1">IF(SwitchPA=1,_xll.TR(BH$7,BH$6,"Sdate=#1 Period=#2 NULL=BLANK Scale=6",,$D27,$AQ$4),BH27)</f>
        <v/>
      </c>
      <c r="BJ27" s="1506" cm="1">
        <f t="array" aca="1" ref="BJ27" ca="1">IF(SwitchPA=1,_xll.TR(BJ$7,BJ$6,"Sdate=#1 Period=#2 NULL=BLANK Scale=6",,$D27,$BJ$4),BJ27)</f>
        <v>3.0779005540000002</v>
      </c>
      <c r="BK27" s="1506" cm="1">
        <f t="array" aca="1" ref="BK27" ca="1">IF(SwitchPA=1,_xll.TR(BK$7,BK$6,"Sdate=#1 Period=#2 NULL=BLANK Scale=6",,$D27,$BJ$4),BK27)</f>
        <v>4.6225212149999999</v>
      </c>
      <c r="BL27" s="1506" cm="1">
        <f t="array" aca="1" ref="BL27" ca="1">IF(SwitchPA=1,_xll.TR(BL$7,BL$6,"Sdate=#1 Period=#2 NULL=BLANK Scale=6",,$D27,$BJ$4),BL27)</f>
        <v>3.1183433690000002</v>
      </c>
      <c r="BM27" s="1506" t="str" cm="1">
        <f t="array" aca="1" ref="BM27" ca="1">IF(SwitchPA=1,_xll.TR(BM$7,BM$6,"Sdate=#1 Period=#2 NULL=BLANK Scale=6",,$D27,$BJ$4),BM27)</f>
        <v/>
      </c>
      <c r="BN27" s="1506" t="str" cm="1">
        <f t="array" aca="1" ref="BN27" ca="1">IF(SwitchPA=1,_xll.TR(BN$7,BN$6,"Sdate=#1 Period=#2 NULL=BLANK Scale=6",,$D27,$BJ$4),BN27)</f>
        <v/>
      </c>
      <c r="BO27" s="1506" cm="1">
        <f t="array" aca="1" ref="BO27" ca="1">IF(SwitchPA=1,_xll.TR(BO$7,BO$6,"Sdate=#1 Period=#2 NULL=BLANK Scale=6",,$D27,$BJ$4),BO27)</f>
        <v>3.9564827070000002</v>
      </c>
      <c r="BP27" s="1506" t="str" cm="1">
        <f t="array" aca="1" ref="BP27" ca="1">IF(SwitchPA=1,_xll.TR(BP$7,BP$6,"Sdate=#1 Period=#2 NULL=BLANK Scale=6",,$D27,$BJ$4),BP27)</f>
        <v/>
      </c>
      <c r="BQ27" s="1506" cm="1">
        <f t="array" aca="1" ref="BQ27" ca="1">IF(SwitchPA=1,_xll.TR(BQ$7,BQ$6,"Sdate=#1 Period=#2 NULL=BLANK Scale=6",,$D27,$BJ$4),BQ27)</f>
        <v>5.3542137419999998</v>
      </c>
      <c r="BR27" s="1506" cm="1">
        <f t="array" aca="1" ref="BR27" ca="1">IF(SwitchPA=1,_xll.TR(BR$7,BR$6,"Sdate=#1 Period=#2 NULL=BLANK Scale=6",,$D27,$BJ$4),BR27)</f>
        <v>4.9090904569999996</v>
      </c>
      <c r="BS27" s="1506" cm="1">
        <f t="array" aca="1" ref="BS27" ca="1">IF(SwitchPA=1,_xll.TR(BS$7,BS$6,"Sdate=#1 Period=#2 NULL=BLANK Scale=6",,$D27,$BJ$4),BS27)</f>
        <v>6.7992455610000002</v>
      </c>
      <c r="BT27" s="1506" cm="1">
        <f t="array" aca="1" ref="BT27" ca="1">IF(SwitchPA=1,_xll.TR(BT$7,BT$6,"Sdate=#1 Period=#2 NULL=BLANK Scale=6",,$D27,$BJ$4),BT27)</f>
        <v>8.3277624469999996</v>
      </c>
      <c r="BU27" s="1506" cm="1">
        <f t="array" aca="1" ref="BU27" ca="1">IF(SwitchPA=1,_xll.TR(BU$7,BU$6,"Sdate=#1 Period=#2 NULL=BLANK Scale=6",,$D27,$BJ$4),BU27)</f>
        <v>5.1428759450000001</v>
      </c>
      <c r="BV27" s="1506" t="str" cm="1">
        <f t="array" aca="1" ref="BV27" ca="1">IF(SwitchPA=1,_xll.TR(BV$7,BV$6,"Sdate=#1 Period=#2 NULL=BLANK Scale=6",,$D27,$BJ$4),BV27)</f>
        <v/>
      </c>
      <c r="BW27" s="1506" cm="1">
        <f t="array" aca="1" ref="BW27" ca="1">IF(SwitchPA=1,_xll.TR(BW$7,BW$6,"Sdate=#1 Period=#2 NULL=BLANK Scale=6",,$D27,$BJ$4),BW27)</f>
        <v>6.1641268360000003</v>
      </c>
      <c r="BX27" s="1506" cm="1">
        <f t="array" aca="1" ref="BX27" ca="1">IF(SwitchPA=1,_xll.TR(BX$7,BX$6,"Sdate=#1 Period=#2 NULL=BLANK Scale=6",,$D27,$BJ$4),BX27)</f>
        <v>4.6737958319999997</v>
      </c>
      <c r="BY27" s="1506" cm="1">
        <f t="array" aca="1" ref="BY27" ca="1">IF(SwitchPA=1,_xll.TR(BY$7,BY$6,"Sdate=#1 Period=#2 NULL=BLANK Scale=6",,$D27,$BJ$4),BY27)</f>
        <v>5.4011579589999998</v>
      </c>
      <c r="BZ27" s="1506" t="str" cm="1">
        <f t="array" aca="1" ref="BZ27" ca="1">IF(SwitchPA=1,_xll.TR(BZ$7,BZ$6,"Sdate=#1 Period=#2 NULL=BLANK Scale=6",,$D27,$BJ$4),BZ27)</f>
        <v/>
      </c>
      <c r="CA27" s="1506" t="str" cm="1">
        <f t="array" aca="1" ref="CA27" ca="1">IF(SwitchPA=1,_xll.TR(CA$7,CA$6,"Sdate=#1 Period=#2 NULL=BLANK Scale=6",,$D27,$BJ$4),CA27)</f>
        <v/>
      </c>
      <c r="CC27" s="1506" cm="1">
        <f t="array" aca="1" ref="CC27" ca="1">IF(SwitchPA=1,_xll.TR(CC$7,CC$6,"Sdate=#1 Period=#2 NULL=BLANK Scale=6",,$D27,$CC$4),CC27)</f>
        <v>6726</v>
      </c>
      <c r="CD27" s="1506" cm="1">
        <f t="array" aca="1" ref="CD27" ca="1">IF(SwitchPA=1,_xll.TR(CD$7,CD$6,"Sdate=#1 Period=#2 NULL=BLANK Scale=6",,$D27,$CC$4),CD27)</f>
        <v>6823</v>
      </c>
      <c r="CE27" s="1506" cm="1">
        <f t="array" aca="1" ref="CE27" ca="1">IF(SwitchPA=1,_xll.TR(CE$7,CE$6,"Sdate=#1 Period=#2 NULL=BLANK Scale=6",,$D27,$CC$4),CE27)</f>
        <v>62698.3</v>
      </c>
      <c r="CF27" s="1506" t="str" cm="1">
        <f t="array" aca="1" ref="CF27" ca="1">IF(SwitchPA=1,_xll.TR(CF$7,CF$6,"Sdate=#1 Period=#2 NULL=BLANK Scale=6",,$D27,$CC$4),CF27)</f>
        <v/>
      </c>
      <c r="CG27" s="1506" t="str" cm="1">
        <f t="array" aca="1" ref="CG27" ca="1">IF(SwitchPA=1,_xll.TR(CG$7,CG$6,"Sdate=#1 Period=#2 NULL=BLANK Scale=6",,$D27,$CC$4),CG27)</f>
        <v/>
      </c>
      <c r="CH27" s="1506" cm="1">
        <f t="array" aca="1" ref="CH27" ca="1">IF(SwitchPA=1,_xll.TR(CH$7,CH$6,"Sdate=#1 Period=#2 NULL=BLANK Scale=6",,$D27,$CC$4),CH27)</f>
        <v>1764.5</v>
      </c>
      <c r="CI27" s="1506" cm="1">
        <f t="array" aca="1" ref="CI27" ca="1">IF(SwitchPA=1,_xll.TR(CI$7,CI$6,"Sdate=#1 Period=#2 NULL=BLANK Scale=6",,$D27,$CC$4),CI27)</f>
        <v>16510</v>
      </c>
      <c r="CJ27" s="1506" cm="1">
        <f t="array" aca="1" ref="CJ27" ca="1">IF(SwitchPA=1,_xll.TR(CJ$7,CJ$6,"Sdate=#1 Period=#2 NULL=BLANK Scale=6",,$D27,$CC$4),CJ27)</f>
        <v>10671</v>
      </c>
      <c r="CK27" s="1506" cm="1">
        <f t="array" aca="1" ref="CK27" ca="1">IF(SwitchPA=1,_xll.TR(CK$7,CK$6,"Sdate=#1 Period=#2 NULL=BLANK Scale=6",,$D27,$CC$4),CK27)</f>
        <v>25269</v>
      </c>
      <c r="CL27" s="1506" cm="1">
        <f t="array" aca="1" ref="CL27" ca="1">IF(SwitchPA=1,_xll.TR(CL$7,CL$6,"Sdate=#1 Period=#2 NULL=BLANK Scale=6",,$D27,$CC$4),CL27)</f>
        <v>2467.1149999999998</v>
      </c>
      <c r="CM27" s="1506" cm="1">
        <f t="array" aca="1" ref="CM27" ca="1">IF(SwitchPA=1,_xll.TR(CM$7,CM$6,"Sdate=#1 Period=#2 NULL=BLANK Scale=6",,$D27,$CC$4),CM27)</f>
        <v>8442</v>
      </c>
      <c r="CN27" s="1506" cm="1">
        <f t="array" aca="1" ref="CN27" ca="1">IF(SwitchPA=1,_xll.TR(CN$7,CN$6,"Sdate=#1 Period=#2 NULL=BLANK Scale=6",,$D27,$CC$4),CN27)</f>
        <v>2738.7</v>
      </c>
      <c r="CO27" s="1506" t="str" cm="1">
        <f t="array" aca="1" ref="CO27" ca="1">IF(SwitchPA=1,_xll.TR(CO$7,CO$6,"Sdate=#1 Period=#2 NULL=BLANK Scale=6",,$D27,$CC$4),CO27)</f>
        <v/>
      </c>
      <c r="CP27" s="1506" cm="1">
        <f t="array" aca="1" ref="CP27" ca="1">IF(SwitchPA=1,_xll.TR(CP$7,CP$6,"Sdate=#1 Period=#2 NULL=BLANK Scale=6",,$D27,$CC$4),CP27)</f>
        <v>3115.3</v>
      </c>
      <c r="CQ27" s="1506" cm="1">
        <f t="array" aca="1" ref="CQ27" ca="1">IF(SwitchPA=1,_xll.TR(CQ$7,CQ$6,"Sdate=#1 Period=#2 NULL=BLANK Scale=6",,$D27,$CC$4),CQ27)</f>
        <v>15849</v>
      </c>
      <c r="CR27" s="1506" cm="1">
        <f t="array" aca="1" ref="CR27" ca="1">IF(SwitchPA=1,_xll.TR(CR$7,CR$6,"Sdate=#1 Period=#2 NULL=BLANK Scale=6",,$D27,$CC$4),CR27)</f>
        <v>8887</v>
      </c>
      <c r="CS27" s="1506" t="str" cm="1">
        <f t="array" aca="1" ref="CS27" ca="1">IF(SwitchPA=1,_xll.TR(CS$7,CS$6,"Sdate=#1 Period=#2 NULL=BLANK Scale=6",,$D27,$CC$4),CS27)</f>
        <v>Unable to resolve all requested identifiers.</v>
      </c>
      <c r="CT27" s="1506" t="str" cm="1">
        <f t="array" aca="1" ref="CT27" ca="1">IF(SwitchPA=1,_xll.TR(CT$7,CT$6,"Sdate=#1 Period=#2 NULL=BLANK Scale=6",,$D27,$CC$4),CT27)</f>
        <v>Unable to resolve and collect data for all requested identifiers and fields.</v>
      </c>
      <c r="CV27" s="1516" cm="1">
        <f t="array" aca="1" ref="CV27" ca="1">IF(SwitchPA=1,_xll.TR(CV$7,CV$6,"Sdate=#1 Period=#2 NULL=BLANK Scale=6",,$D27,$AQ$4),CV27)</f>
        <v>3058.25</v>
      </c>
      <c r="CW27" s="1516" cm="1">
        <f t="array" aca="1" ref="CW27" ca="1">IF(SwitchPA=1,_xll.TR(CW$7,CW$6,"Sdate=#1 Period=#2 NULL=BLANK Scale=6",,$D27,$AQ$4),CW27)</f>
        <v>2504.5</v>
      </c>
      <c r="CX27" s="1516" cm="1">
        <f t="array" aca="1" ref="CX27" ca="1">IF(SwitchPA=1,_xll.TR(CX$7,CX$6,"Sdate=#1 Period=#2 NULL=BLANK Scale=6",,$D27,$AQ$4),CX27)</f>
        <v>14033.525</v>
      </c>
      <c r="CY27" s="1516" t="str" cm="1">
        <f t="array" aca="1" ref="CY27" ca="1">IF(SwitchPA=1,_xll.TR(CY$7,CY$6,"Sdate=#1 Period=#2 NULL=BLANK Scale=6",,$D27,$AQ$4),CY27)</f>
        <v/>
      </c>
      <c r="CZ27" s="1516" t="str" cm="1">
        <f t="array" aca="1" ref="CZ27" ca="1">IF(SwitchPA=1,_xll.TR(CZ$7,CZ$6,"Sdate=#1 Period=#2 NULL=BLANK Scale=6",,$D27,$AQ$4),CZ27)</f>
        <v/>
      </c>
      <c r="DA27" s="1516" cm="1">
        <f t="array" aca="1" ref="DA27" ca="1">IF(SwitchPA=1,_xll.TR(DA$7,DA$6,"Sdate=#1 Period=#2 NULL=BLANK Scale=6",,$D27,$AQ$4),DA27)</f>
        <v>570.4</v>
      </c>
      <c r="DB27" s="1516" t="str" cm="1">
        <f t="array" aca="1" ref="DB27" ca="1">IF(SwitchPA=1,_xll.TR(DB$7,DB$6,"Sdate=#1 Period=#2 NULL=BLANK Scale=6",,$D27,$AQ$4),DB27)</f>
        <v/>
      </c>
      <c r="DC27" s="1516" cm="1">
        <f t="array" aca="1" ref="DC27" ca="1">IF(SwitchPA=1,_xll.TR(DC$7,DC$6,"Sdate=#1 Period=#2 NULL=BLANK Scale=6",,$D27,$AQ$4),DC27)</f>
        <v>3853.0749999999998</v>
      </c>
      <c r="DD27" s="1516" cm="1">
        <f t="array" aca="1" ref="DD27" ca="1">IF(SwitchPA=1,_xll.TR(DD$7,DD$6,"Sdate=#1 Period=#2 NULL=BLANK Scale=6",,$D27,$AQ$4),DD27)</f>
        <v>6847.25</v>
      </c>
      <c r="DE27" s="1516" cm="1">
        <f t="array" aca="1" ref="DE27" ca="1">IF(SwitchPA=1,_xll.TR(DE$7,DE$6,"Sdate=#1 Period=#2 NULL=BLANK Scale=6",,$D27,$AQ$4),DE27)</f>
        <v>1043.5920000000001</v>
      </c>
      <c r="DF27" s="1516" cm="1">
        <f t="array" aca="1" ref="DF27" ca="1">IF(SwitchPA=1,_xll.TR(DF$7,DF$6,"Sdate=#1 Period=#2 NULL=BLANK Scale=6",,$D27,$AQ$4),DF27)</f>
        <v>1341.25</v>
      </c>
      <c r="DG27" s="1516" cm="1">
        <f t="array" aca="1" ref="DG27" ca="1">IF(SwitchPA=1,_xll.TR(DG$7,DG$6,"Sdate=#1 Period=#2 NULL=BLANK Scale=6",,$D27,$AQ$4),DG27)</f>
        <v>453.22500000000002</v>
      </c>
      <c r="DH27" s="1516" t="str" cm="1">
        <f t="array" aca="1" ref="DH27" ca="1">IF(SwitchPA=1,_xll.TR(DH$7,DH$6,"Sdate=#1 Period=#2 NULL=BLANK Scale=6",,$D27,$AQ$4),DH27)</f>
        <v/>
      </c>
      <c r="DI27" s="1516" cm="1">
        <f t="array" aca="1" ref="DI27" ca="1">IF(SwitchPA=1,_xll.TR(DI$7,DI$6,"Sdate=#1 Period=#2 NULL=BLANK Scale=6",,$D27,$AQ$4),DI27)</f>
        <v>926.92499999999995</v>
      </c>
      <c r="DJ27" s="1516" cm="1">
        <f t="array" aca="1" ref="DJ27" ca="1">IF(SwitchPA=1,_xll.TR(DJ$7,DJ$6,"Sdate=#1 Period=#2 NULL=BLANK Scale=6",,$D27,$AQ$4),DJ27)</f>
        <v>3061.75</v>
      </c>
      <c r="DK27" s="1516" cm="1">
        <f t="array" aca="1" ref="DK27" ca="1">IF(SwitchPA=1,_xll.TR(DK$7,DK$6,"Sdate=#1 Period=#2 NULL=BLANK Scale=6",,$D27,$AQ$4),DK27)</f>
        <v>3906.75</v>
      </c>
      <c r="DL27" s="1516" t="str" cm="1">
        <f t="array" aca="1" ref="DL27" ca="1">IF(SwitchPA=1,_xll.TR(DL$7,DL$6,"Sdate=#1 Period=#2 NULL=BLANK Scale=6",,$D27,$AQ$4),DL27)</f>
        <v>Unable to resolve and collect data for all requested identifiers and fields.</v>
      </c>
      <c r="DM27" s="1516" t="str" cm="1">
        <f t="array" aca="1" ref="DM27" ca="1">IF(SwitchPA=1,_xll.TR(DM$7,DM$6,"Sdate=#1 Period=#2 NULL=BLANK Scale=6",,$D27,$AQ$4),DM27)</f>
        <v>Unable to resolve and collect data for all requested identifiers and fields.</v>
      </c>
      <c r="DO27" s="1506" cm="1">
        <f t="array" aca="1" ref="DO27" ca="1">IF(SwitchPA=1,_xll.TR(DO$7,DO$6,"Sdate=#1 Period=#2 Scale=6 NULL=BLANK",,$D27,$X$4),DO27)</f>
        <v>2939.39502937</v>
      </c>
      <c r="DP27" s="1506" cm="1">
        <f t="array" aca="1" ref="DP27" ca="1">IF(SwitchPA=1,_xll.TR(DP$7,DP$6,"Sdate=#1 Period=#2 Scale=6 NULL=BLANK",,$D27,$X$4),DP27)</f>
        <v>4432.9978450799999</v>
      </c>
      <c r="DQ27" s="1506" cm="1">
        <f t="array" aca="1" ref="DQ27" ca="1">IF(SwitchPA=1,_xll.TR(DQ$7,DQ$6,"Sdate=#1 Period=#2 Scale=6 NULL=BLANK",,$D27,$X$4),DQ27)</f>
        <v>34958.500176859998</v>
      </c>
      <c r="DR27" s="1506" t="str" cm="1">
        <f t="array" aca="1" ref="DR27" ca="1">IF(SwitchPA=1,_xll.TR(DR$7,DR$6,"Sdate=#1 Period=#2 Scale=6 NULL=BLANK",,$D27,$X$4),DR27)</f>
        <v/>
      </c>
      <c r="DS27" s="1506" t="str" cm="1">
        <f t="array" aca="1" ref="DS27" ca="1">IF(SwitchPA=1,_xll.TR(DS$7,DS$6,"Sdate=#1 Period=#2 Scale=6 NULL=BLANK",,$D27,$X$4),DS27)</f>
        <v/>
      </c>
      <c r="DT27" s="1506" cm="1">
        <f t="array" aca="1" ref="DT27" ca="1">IF(SwitchPA=1,_xll.TR(DT$7,DT$6,"Sdate=#1 Period=#2 Scale=6 NULL=BLANK",,$D27,$X$4),DT27)</f>
        <v>1150.94081944</v>
      </c>
      <c r="DU27" s="1506" t="str" cm="1">
        <f t="array" aca="1" ref="DU27" ca="1">IF(SwitchPA=1,_xll.TR(DU$7,DU$6,"Sdate=#1 Period=#2 Scale=6 NULL=BLANK",,$D27,$X$4),DU27)</f>
        <v/>
      </c>
      <c r="DV27" s="1506" cm="1">
        <f t="array" aca="1" ref="DV27" ca="1">IF(SwitchPA=1,_xll.TR(DV$7,DV$6,"Sdate=#1 Period=#2 Scale=6 NULL=BLANK",,$D27,$X$4),DV27)</f>
        <v>4570.8922719399998</v>
      </c>
      <c r="DW27" s="1506" cm="1">
        <f t="array" aca="1" ref="DW27" ca="1">IF(SwitchPA=1,_xll.TR(DW$7,DW$6,"Sdate=#1 Period=#2 Scale=6 NULL=BLANK",,$D27,$X$4),DW27)</f>
        <v>33902.178697520001</v>
      </c>
      <c r="DX27" s="1506" cm="1">
        <f t="array" aca="1" ref="DX27" ca="1">IF(SwitchPA=1,_xll.TR(DX$7,DX$6,"Sdate=#1 Period=#2 Scale=6 NULL=BLANK",,$D27,$X$4),DX27)</f>
        <v>2909.1252058499999</v>
      </c>
      <c r="DY27" s="1506" cm="1">
        <f t="array" aca="1" ref="DY27" ca="1">IF(SwitchPA=1,_xll.TR(DY$7,DY$6,"Sdate=#1 Period=#2 Scale=6 NULL=BLANK",,$D27,$X$4),DY27)</f>
        <v>2814.7837071200001</v>
      </c>
      <c r="DZ27" s="1506" cm="1">
        <f t="array" aca="1" ref="DZ27" ca="1">IF(SwitchPA=1,_xll.TR(DZ$7,DZ$6,"Sdate=#1 Period=#2 Scale=6 NULL=BLANK",,$D27,$X$4),DZ27)</f>
        <v>657.25954576000004</v>
      </c>
      <c r="EA27" s="1506" t="str" cm="1">
        <f t="array" aca="1" ref="EA27" ca="1">IF(SwitchPA=1,_xll.TR(EA$7,EA$6,"Sdate=#1 Period=#2 Scale=6 NULL=BLANK",,$D27,$X$4),EA27)</f>
        <v/>
      </c>
      <c r="EB27" s="1506" cm="1">
        <f t="array" aca="1" ref="EB27" ca="1">IF(SwitchPA=1,_xll.TR(EB$7,EB$6,"Sdate=#1 Period=#2 Scale=6 NULL=BLANK",,$D27,$X$4),EB27)</f>
        <v>3987.5736500399998</v>
      </c>
      <c r="EC27" s="1506" cm="1">
        <f t="array" aca="1" ref="EC27" ca="1">IF(SwitchPA=1,_xll.TR(EC$7,EC$6,"Sdate=#1 Period=#2 Scale=6 NULL=BLANK",,$D27,$X$4),EC27)</f>
        <v>9543.8910881100001</v>
      </c>
      <c r="ED27" s="1506" cm="1">
        <f t="array" aca="1" ref="ED27" ca="1">IF(SwitchPA=1,_xll.TR(ED$7,ED$6,"Sdate=#1 Period=#2 Scale=6 NULL=BLANK",,$D27,$X$4),ED27)</f>
        <v>6767.6509231299997</v>
      </c>
      <c r="EE27" s="1506" t="str" cm="1">
        <f t="array" aca="1" ref="EE27" ca="1">IF(SwitchPA=1,_xll.TR(EE$7,EE$6,"Sdate=#1 Period=#2 Scale=6 NULL=BLANK",,$D27,$X$4),EE27)</f>
        <v/>
      </c>
      <c r="EF27" s="1506" t="str" cm="1">
        <f t="array" aca="1" ref="EF27" ca="1">IF(SwitchPA=1,_xll.TR(EF$7,EF$6,"Sdate=#1 Period=#2 Scale=6 NULL=BLANK",,$D27,$X$4),EF27)</f>
        <v/>
      </c>
      <c r="EG27" s="1517"/>
      <c r="EH27" s="1506" cm="1">
        <f t="array" aca="1" ref="EH27" ca="1">IF(SwitchPA=1,_xll.TR(EH$7,EH$6,"Sdate=#1 Period=#2 Scale=6 NULL=BLANK",,$D27,$X$4),EH27)</f>
        <v>565</v>
      </c>
      <c r="EI27" s="1506" cm="1">
        <f t="array" aca="1" ref="EI27" ca="1">IF(SwitchPA=1,_xll.TR(EI$7,EI$6,"Sdate=#1 Period=#2 Scale=6 NULL=BLANK",,$D27,$X$4),EI27)</f>
        <v>599</v>
      </c>
      <c r="EJ27" s="1506" cm="1">
        <f t="array" aca="1" ref="EJ27" ca="1">IF(SwitchPA=1,_xll.TR(EJ$7,EJ$6,"Sdate=#1 Period=#2 Scale=6 NULL=BLANK",,$D27,$X$4),EJ27)</f>
        <v>7962.3</v>
      </c>
      <c r="EK27" s="1506" t="str" cm="1">
        <f t="array" aca="1" ref="EK27" ca="1">IF(SwitchPA=1,_xll.TR(EK$7,EK$6,"Sdate=#1 Period=#2 Scale=6 NULL=BLANK",,$D27,$X$4),EK27)</f>
        <v/>
      </c>
      <c r="EL27" s="1506" t="str" cm="1">
        <f t="array" aca="1" ref="EL27" ca="1">IF(SwitchPA=1,_xll.TR(EL$7,EL$6,"Sdate=#1 Period=#2 Scale=6 NULL=BLANK",,$D27,$X$4),EL27)</f>
        <v/>
      </c>
      <c r="EM27" s="1506" cm="1">
        <f t="array" aca="1" ref="EM27" ca="1">IF(SwitchPA=1,_xll.TR(EM$7,EM$6,"Sdate=#1 Period=#2 Scale=6 NULL=BLANK",,$D27,$X$4),EM27)</f>
        <v>251.2</v>
      </c>
      <c r="EN27" s="1506" t="str" cm="1">
        <f t="array" aca="1" ref="EN27" ca="1">IF(SwitchPA=1,_xll.TR(EN$7,EN$6,"Sdate=#1 Period=#2 Scale=6 NULL=BLANK",,$D27,$X$4),EN27)</f>
        <v/>
      </c>
      <c r="EO27" s="1506" cm="1">
        <f t="array" aca="1" ref="EO27" ca="1">IF(SwitchPA=1,_xll.TR(EO$7,EO$6,"Sdate=#1 Period=#2 Scale=6 NULL=BLANK",,$D27,$X$4),EO27)</f>
        <v>464</v>
      </c>
      <c r="EP27" s="1506" cm="1">
        <f t="array" aca="1" ref="EP27" ca="1">IF(SwitchPA=1,_xll.TR(EP$7,EP$6,"Sdate=#1 Period=#2 Scale=6 NULL=BLANK",,$D27,$X$4),EP27)</f>
        <v>5404</v>
      </c>
      <c r="EQ27" s="1506" cm="1">
        <f t="array" aca="1" ref="EQ27" ca="1">IF(SwitchPA=1,_xll.TR(EQ$7,EQ$6,"Sdate=#1 Period=#2 Scale=6 NULL=BLANK",,$D27,$X$4),EQ27)</f>
        <v>285.25</v>
      </c>
      <c r="ER27" s="1506" cm="1">
        <f t="array" aca="1" ref="ER27" ca="1">IF(SwitchPA=1,_xll.TR(ER$7,ER$6,"Sdate=#1 Period=#2 Scale=6 NULL=BLANK",,$D27,$X$4),ER27)</f>
        <v>162</v>
      </c>
      <c r="ES27" s="1506" cm="1">
        <f t="array" aca="1" ref="ES27" ca="1">IF(SwitchPA=1,_xll.TR(ES$7,ES$6,"Sdate=#1 Period=#2 Scale=6 NULL=BLANK",,$D27,$X$4),ES27)</f>
        <v>70.8</v>
      </c>
      <c r="ET27" s="1506" t="str" cm="1">
        <f t="array" aca="1" ref="ET27" ca="1">IF(SwitchPA=1,_xll.TR(ET$7,ET$6,"Sdate=#1 Period=#2 Scale=6 NULL=BLANK",,$D27,$X$4),ET27)</f>
        <v/>
      </c>
      <c r="EU27" s="1506" cm="1">
        <f t="array" aca="1" ref="EU27" ca="1">IF(SwitchPA=1,_xll.TR(EU$7,EU$6,"Sdate=#1 Period=#2 Scale=6 NULL=BLANK",,$D27,$X$4),EU27)</f>
        <v>550.29999999999995</v>
      </c>
      <c r="EV27" s="1506" cm="1">
        <f t="array" aca="1" ref="EV27" ca="1">IF(SwitchPA=1,_xll.TR(EV$7,EV$6,"Sdate=#1 Period=#2 Scale=6 NULL=BLANK",,$D27,$X$4),EV27)</f>
        <v>1352</v>
      </c>
      <c r="EW27" s="1506" cm="1">
        <f t="array" aca="1" ref="EW27" ca="1">IF(SwitchPA=1,_xll.TR(EW$7,EW$6,"Sdate=#1 Period=#2 Scale=6 NULL=BLANK",,$D27,$X$4),EW27)</f>
        <v>963</v>
      </c>
      <c r="EX27" s="1506" t="str" cm="1">
        <f t="array" aca="1" ref="EX27" ca="1">IF(SwitchPA=1,_xll.TR(EX$7,EX$6,"Sdate=#1 Period=#2 Scale=6 NULL=BLANK",,$D27,$X$4),EX27)</f>
        <v>Unable to resolve all requested identifiers.</v>
      </c>
      <c r="EY27" s="1506" t="str" cm="1">
        <f t="array" aca="1" ref="EY27" ca="1">IF(SwitchPA=1,_xll.TR(EY$7,EY$6,"Sdate=#1 Period=#2 Scale=6 NULL=BLANK",,$D27,$X$4),EY27)</f>
        <v>Unable to resolve all requested identifiers.</v>
      </c>
      <c r="FA27" s="1506" cm="1">
        <f t="array" aca="1" ref="FA27" ca="1">IF(SwitchPA=1,_xll.TR(FA$7,FA$6,"Sdate=#1 Period=#2 Scale=6 NULL=BLANK",,$D27,$X$4),FA27)</f>
        <v>832</v>
      </c>
      <c r="FB27" s="1506" cm="1">
        <f t="array" aca="1" ref="FB27" ca="1">IF(SwitchPA=1,_xll.TR(FB$7,FB$6,"Sdate=#1 Period=#2 Scale=6 NULL=BLANK",,$D27,$X$4),FB27)</f>
        <v>959</v>
      </c>
      <c r="FC27" s="1506" cm="1">
        <f t="array" aca="1" ref="FC27" ca="1">IF(SwitchPA=1,_xll.TR(FC$7,FC$6,"Sdate=#1 Period=#2 Scale=6 NULL=BLANK",,$D27,$X$4),FC27)</f>
        <v>11210.6</v>
      </c>
      <c r="FD27" s="1506" t="str" cm="1">
        <f t="array" aca="1" ref="FD27" ca="1">IF(SwitchPA=1,_xll.TR(FD$7,FD$6,"Sdate=#1 Period=#2 Scale=6 NULL=BLANK",,$D27,$X$4),FD27)</f>
        <v/>
      </c>
      <c r="FE27" s="1506" t="str" cm="1">
        <f t="array" aca="1" ref="FE27" ca="1">IF(SwitchPA=1,_xll.TR(FE$7,FE$6,"Sdate=#1 Period=#2 Scale=6 NULL=BLANK",,$D27,$X$4),FE27)</f>
        <v/>
      </c>
      <c r="FF27" s="1506" cm="1">
        <f t="array" aca="1" ref="FF27" ca="1">IF(SwitchPA=1,_xll.TR(FF$7,FF$6,"Sdate=#1 Period=#2 Scale=6 NULL=BLANK",,$D27,$X$4),FF27)</f>
        <v>320.8</v>
      </c>
      <c r="FG27" s="1506" t="str" cm="1">
        <f t="array" aca="1" ref="FG27" ca="1">IF(SwitchPA=1,_xll.TR(FG$7,FG$6,"Sdate=#1 Period=#2 Scale=6 NULL=BLANK",,$D27,$X$4),FG27)</f>
        <v/>
      </c>
      <c r="FH27" s="1506" cm="1">
        <f t="array" aca="1" ref="FH27" ca="1">IF(SwitchPA=1,_xll.TR(FH$7,FH$6,"Sdate=#1 Period=#2 Scale=6 NULL=BLANK",,$D27,$X$4),FH27)</f>
        <v>853.7</v>
      </c>
      <c r="FI27" s="1506" cm="1">
        <f t="array" aca="1" ref="FI27" ca="1">IF(SwitchPA=1,_xll.TR(FI$7,FI$6,"Sdate=#1 Period=#2 Scale=6 NULL=BLANK",,$D27,$X$4),FI27)</f>
        <v>6557</v>
      </c>
      <c r="FJ27" s="1506" cm="1">
        <f t="array" aca="1" ref="FJ27" ca="1">IF(SwitchPA=1,_xll.TR(FJ$7,FJ$6,"Sdate=#1 Period=#2 Scale=6 NULL=BLANK",,$D27,$X$4),FJ27)</f>
        <v>396.935</v>
      </c>
      <c r="FK27" s="1506" cm="1">
        <f t="array" aca="1" ref="FK27" ca="1">IF(SwitchPA=1,_xll.TR(FK$7,FK$6,"Sdate=#1 Period=#2 Scale=6 NULL=BLANK",,$D27,$X$4),FK27)</f>
        <v>338</v>
      </c>
      <c r="FL27" s="1506" cm="1">
        <f t="array" aca="1" ref="FL27" ca="1">IF(SwitchPA=1,_xll.TR(FL$7,FL$6,"Sdate=#1 Period=#2 Scale=6 NULL=BLANK",,$D27,$X$4),FL27)</f>
        <v>138.80000000000001</v>
      </c>
      <c r="FM27" s="1506" t="str" cm="1">
        <f t="array" aca="1" ref="FM27" ca="1">IF(SwitchPA=1,_xll.TR(FM$7,FM$6,"Sdate=#1 Period=#2 Scale=6 NULL=BLANK",,$D27,$X$4),FM27)</f>
        <v/>
      </c>
      <c r="FN27" s="1506" cm="1">
        <f t="array" aca="1" ref="FN27" ca="1">IF(SwitchPA=1,_xll.TR(FN$7,FN$6,"Sdate=#1 Period=#2 Scale=6 NULL=BLANK",,$D27,$X$4),FN27)</f>
        <v>674.5</v>
      </c>
      <c r="FO27" s="1506" cm="1">
        <f t="array" aca="1" ref="FO27" ca="1">IF(SwitchPA=1,_xll.TR(FO$7,FO$6,"Sdate=#1 Period=#2 Scale=6 NULL=BLANK",,$D27,$X$4),FO27)</f>
        <v>1915</v>
      </c>
      <c r="FP27" s="1506" cm="1">
        <f t="array" aca="1" ref="FP27" ca="1">IF(SwitchPA=1,_xll.TR(FP$7,FP$6,"Sdate=#1 Period=#2 Scale=6 NULL=BLANK",,$D27,$X$4),FP27)</f>
        <v>1253</v>
      </c>
      <c r="FQ27" s="1506" t="str" cm="1">
        <f t="array" aca="1" ref="FQ27" ca="1">IF(SwitchPA=1,_xll.TR(FQ$7,FQ$6,"Sdate=#1 Period=#2 Scale=6 NULL=BLANK",,$D27,$X$4),FQ27)</f>
        <v>Unable to resolve and collect data for all requested identifiers and fields.</v>
      </c>
      <c r="FS27" s="1506" cm="1">
        <f t="array" aca="1" ref="FS27" ca="1">IF(SwitchPA=1,_xll.TR(FS$7,FS$6,"Sdate=#1 Period=#2 NULL=BLANK Scale=6",,$D27,$FS$4),FS27)</f>
        <v>9</v>
      </c>
      <c r="FT27" s="1506" cm="1">
        <f t="array" aca="1" ref="FT27" ca="1">IF(SwitchPA=1,_xll.TR(FT$7,FT$6,"Sdate=#1 Period=#2 NULL=BLANK Scale=6",,$D27,$FS$4),FT27)</f>
        <v>127</v>
      </c>
      <c r="FU27" s="1506" cm="1">
        <f t="array" aca="1" ref="FU27" ca="1">IF(SwitchPA=1,_xll.TR(FU$7,FU$6,"Sdate=#1 Period=#2 NULL=BLANK Scale=6",,$D27,$FS$4),FU27)</f>
        <v>2535</v>
      </c>
      <c r="FV27" s="1506" t="str" cm="1">
        <f t="array" aca="1" ref="FV27" ca="1">IF(SwitchPA=1,_xll.TR(FV$7,FV$6,"Sdate=#1 Period=#2 NULL=BLANK Scale=6",,$D27,$FS$4),FV27)</f>
        <v/>
      </c>
      <c r="FW27" s="1506" t="str" cm="1">
        <f t="array" aca="1" ref="FW27" ca="1">IF(SwitchPA=1,_xll.TR(FW$7,FW$6,"Sdate=#1 Period=#2 NULL=BLANK Scale=6",,$D27,$FS$4),FW27)</f>
        <v/>
      </c>
      <c r="FX27" s="1506" cm="1">
        <f t="array" aca="1" ref="FX27" ca="1">IF(SwitchPA=1,_xll.TR(FX$7,FX$6,"Sdate=#1 Period=#2 NULL=BLANK Scale=6",,$D27,$FS$4),FX27)</f>
        <v>-64.7</v>
      </c>
      <c r="FY27" s="1506" t="str" cm="1">
        <f t="array" aca="1" ref="FY27" ca="1">IF(SwitchPA=1,_xll.TR(FY$7,FY$6,"Sdate=#1 Period=#2 NULL=BLANK Scale=6",,$D27,$FS$4),FY27)</f>
        <v/>
      </c>
      <c r="FZ27" s="1506" cm="1">
        <f t="array" aca="1" ref="FZ27" ca="1">IF(SwitchPA=1,_xll.TR(FZ$7,FZ$6,"Sdate=#1 Period=#2 NULL=BLANK Scale=6",,$D27,$FS$4),FZ27)</f>
        <v>-581.6</v>
      </c>
      <c r="GA27" s="1506" cm="1">
        <f t="array" aca="1" ref="GA27" ca="1">IF(SwitchPA=1,_xll.TR(GA$7,GA$6,"Sdate=#1 Period=#2 NULL=BLANK Scale=6",,$D27,$FS$4),GA27)</f>
        <v>3062</v>
      </c>
      <c r="GB27" s="1506" cm="1">
        <f t="array" aca="1" ref="GB27" ca="1">IF(SwitchPA=1,_xll.TR(GB$7,GB$6,"Sdate=#1 Period=#2 NULL=BLANK Scale=6",,$D27,$FS$4),GB27)</f>
        <v>227.422</v>
      </c>
      <c r="GC27" s="1506" cm="1">
        <f t="array" aca="1" ref="GC27" ca="1">IF(SwitchPA=1,_xll.TR(GC$7,GC$6,"Sdate=#1 Period=#2 NULL=BLANK Scale=6",,$D27,$FS$4),GC27)</f>
        <v>287</v>
      </c>
      <c r="GD27" s="1506" cm="1">
        <f t="array" aca="1" ref="GD27" ca="1">IF(SwitchPA=1,_xll.TR(GD$7,GD$6,"Sdate=#1 Period=#2 NULL=BLANK Scale=6",,$D27,$FS$4),GD27)</f>
        <v>30</v>
      </c>
      <c r="GE27" s="1506" t="str" cm="1">
        <f t="array" aca="1" ref="GE27" ca="1">IF(SwitchPA=1,_xll.TR(GE$7,GE$6,"Sdate=#1 Period=#2 NULL=BLANK Scale=6",,$D27,$FS$4),GE27)</f>
        <v/>
      </c>
      <c r="GF27" s="1506" cm="1">
        <f t="array" aca="1" ref="GF27" ca="1">IF(SwitchPA=1,_xll.TR(GF$7,GF$6,"Sdate=#1 Period=#2 NULL=BLANK Scale=6",,$D27,$FS$4),GF27)</f>
        <v>132.80000000000001</v>
      </c>
      <c r="GG27" s="1506" cm="1">
        <f t="array" aca="1" ref="GG27" ca="1">IF(SwitchPA=1,_xll.TR(GG$7,GG$6,"Sdate=#1 Period=#2 NULL=BLANK Scale=6",,$D27,$FS$4),GG27)</f>
        <v>1054</v>
      </c>
      <c r="GH27" s="1506" cm="1">
        <f t="array" aca="1" ref="GH27" ca="1">IF(SwitchPA=1,_xll.TR(GH$7,GH$6,"Sdate=#1 Period=#2 NULL=BLANK Scale=6",,$D27,$FS$4),GH27)</f>
        <v>165</v>
      </c>
      <c r="GI27" s="1506" t="str" cm="1">
        <f t="array" aca="1" ref="GI27" ca="1">IF(SwitchPA=1,_xll.TR(GI$7,GI$6,"Sdate=#1 Period=#2 NULL=BLANK Scale=6",,$D27,$FS$4),GI27)</f>
        <v>Unable to resolve and collect data for all requested identifiers and fields.</v>
      </c>
      <c r="GK27" s="1506" t="str" cm="1">
        <f t="array" aca="1" ref="GK27" ca="1">IF(SwitchPA=1,_xll.TR(GK$7,GK$6,"Sdate=#1 Period=#2 NULL=BLANK Scale=6",,$D27,$FS$4),GK27)</f>
        <v/>
      </c>
      <c r="GL27" s="1506" t="str" cm="1">
        <f t="array" aca="1" ref="GL27" ca="1">IF(SwitchPA=1,_xll.TR(GL$7,GL$6,"Sdate=#1 Period=#2 NULL=BLANK Scale=6",,$D27,$FS$4),GL27)</f>
        <v/>
      </c>
      <c r="GM27" s="1506" t="str" cm="1">
        <f t="array" aca="1" ref="GM27" ca="1">IF(SwitchPA=1,_xll.TR(GM$7,GM$6,"Sdate=#1 Period=#2 NULL=BLANK Scale=6",,$D27,$FS$4),GM27)</f>
        <v/>
      </c>
      <c r="GN27" s="1506" t="str" cm="1">
        <f t="array" aca="1" ref="GN27" ca="1">IF(SwitchPA=1,_xll.TR(GN$7,GN$6,"Sdate=#1 Period=#2 NULL=BLANK Scale=6",,$D27,$FS$4),GN27)</f>
        <v/>
      </c>
      <c r="GO27" s="1506" t="str" cm="1">
        <f t="array" aca="1" ref="GO27" ca="1">IF(SwitchPA=1,_xll.TR(GO$7,GO$6,"Sdate=#1 Period=#2 NULL=BLANK Scale=6",,$D27,$FS$4),GO27)</f>
        <v/>
      </c>
      <c r="GP27" s="1506" t="str" cm="1">
        <f t="array" aca="1" ref="GP27" ca="1">IF(SwitchPA=1,_xll.TR(GP$7,GP$6,"Sdate=#1 Period=#2 NULL=BLANK Scale=6",,$D27,$FS$4),GP27)</f>
        <v/>
      </c>
      <c r="GQ27" s="1506" t="str" cm="1">
        <f t="array" aca="1" ref="GQ27" ca="1">IF(SwitchPA=1,_xll.TR(GQ$7,GQ$6,"Sdate=#1 Period=#2 NULL=BLANK Scale=6",,$D27,$FS$4),GQ27)</f>
        <v/>
      </c>
      <c r="GR27" s="1506" t="str" cm="1">
        <f t="array" aca="1" ref="GR27" ca="1">IF(SwitchPA=1,_xll.TR(GR$7,GR$6,"Sdate=#1 Period=#2 NULL=BLANK Scale=6",,$D27,$FS$4),GR27)</f>
        <v/>
      </c>
      <c r="GS27" s="1506" t="str" cm="1">
        <f t="array" aca="1" ref="GS27" ca="1">IF(SwitchPA=1,_xll.TR(GS$7,GS$6,"Sdate=#1 Period=#2 NULL=BLANK Scale=6",,$D27,$FS$4),GS27)</f>
        <v/>
      </c>
      <c r="GT27" s="1506" t="str" cm="1">
        <f t="array" aca="1" ref="GT27" ca="1">IF(SwitchPA=1,_xll.TR(GT$7,GT$6,"Sdate=#1 Period=#2 NULL=BLANK Scale=6",,$D27,$FS$4),GT27)</f>
        <v/>
      </c>
      <c r="GU27" s="1506" t="str" cm="1">
        <f t="array" aca="1" ref="GU27" ca="1">IF(SwitchPA=1,_xll.TR(GU$7,GU$6,"Sdate=#1 Period=#2 NULL=BLANK Scale=6",,$D27,$FS$4),GU27)</f>
        <v/>
      </c>
      <c r="GV27" s="1506" t="str" cm="1">
        <f t="array" aca="1" ref="GV27" ca="1">IF(SwitchPA=1,_xll.TR(GV$7,GV$6,"Sdate=#1 Period=#2 NULL=BLANK Scale=6",,$D27,$FS$4),GV27)</f>
        <v/>
      </c>
      <c r="GW27" s="1506" t="str" cm="1">
        <f t="array" aca="1" ref="GW27" ca="1">IF(SwitchPA=1,_xll.TR(GW$7,GW$6,"Sdate=#1 Period=#2 NULL=BLANK Scale=6",,$D27,$FS$4),GW27)</f>
        <v/>
      </c>
      <c r="GX27" s="1506" t="str" cm="1">
        <f t="array" aca="1" ref="GX27" ca="1">IF(SwitchPA=1,_xll.TR(GX$7,GX$6,"Sdate=#1 Period=#2 NULL=BLANK Scale=6",,$D27,$FS$4),GX27)</f>
        <v/>
      </c>
      <c r="GY27" s="1506" t="str" cm="1">
        <f t="array" aca="1" ref="GY27" ca="1">IF(SwitchPA=1,_xll.TR(GY$7,GY$6,"Sdate=#1 Period=#2 NULL=BLANK Scale=6",,$D27,$FS$4),GY27)</f>
        <v/>
      </c>
      <c r="GZ27" s="1506" t="str" cm="1">
        <f t="array" aca="1" ref="GZ27" ca="1">IF(SwitchPA=1,_xll.TR(GZ$7,GZ$6,"Sdate=#1 Period=#2 NULL=BLANK Scale=6",,$D27,$FS$4),GZ27)</f>
        <v/>
      </c>
      <c r="HA27" s="1506" t="str" cm="1">
        <f t="array" aca="1" ref="HA27" ca="1">IF(SwitchPA=1,_xll.TR(HA$7,HA$6,"Sdate=#1 Period=#2 NULL=BLANK Scale=6",,$D27,$FS$4),HA27)</f>
        <v/>
      </c>
      <c r="HC27">
        <v>8.86</v>
      </c>
      <c r="HD27">
        <v>99.67</v>
      </c>
      <c r="HE27">
        <v>96.94</v>
      </c>
      <c r="HG27" s="762">
        <f t="shared" si="52"/>
        <v>0.27116212338593981</v>
      </c>
      <c r="HH27" s="762">
        <f t="shared" si="53"/>
        <v>0.37779928117224215</v>
      </c>
      <c r="HI27" s="762">
        <f t="shared" si="54"/>
        <v>0.33821093318608497</v>
      </c>
    </row>
    <row r="28" spans="1:217" ht="11.25" customHeight="1">
      <c r="C28" s="1514">
        <f t="shared" si="51"/>
        <v>40178</v>
      </c>
      <c r="D28" s="1515">
        <f t="shared" si="49"/>
        <v>40223</v>
      </c>
      <c r="E28" s="1506" cm="1">
        <f t="array" aca="1" ref="E28" ca="1">IF(SwitchPA=1,_xll.TR(E$7,E$6,"Sdate=#1 Period=#2 NULL=BLANK",,$D28,$E$4),E28)</f>
        <v>5.7097225011042596</v>
      </c>
      <c r="F28" s="1506" cm="1">
        <f t="array" aca="1" ref="F28" ca="1">IF(SwitchPA=1,_xll.TR(F$7,F$6,"Sdate=#1 Period=#2 NULL=BLANK",,$D28,$E$4),F28)</f>
        <v>6.1093186533901198</v>
      </c>
      <c r="G28" s="1506" cm="1">
        <f t="array" aca="1" ref="G28" ca="1">IF(SwitchPA=1,_xll.TR(G$7,G$6,"Sdate=#1 Period=#2 NULL=BLANK",,$D28,$E$4),G28)</f>
        <v>5.9301668828837597</v>
      </c>
      <c r="H28" s="1506" t="str" cm="1">
        <f t="array" aca="1" ref="H28" ca="1">IF(SwitchPA=1,_xll.TR(H$7,H$6,"Sdate=#1 Period=#2 NULL=BLANK",,$D28,$E$4),H28)</f>
        <v/>
      </c>
      <c r="I28" s="1506" t="str" cm="1">
        <f t="array" aca="1" ref="I28" ca="1">IF(SwitchPA=1,_xll.TR(I$7,I$6,"Sdate=#1 Period=#2 NULL=BLANK",,$D28,$E$4),I28)</f>
        <v/>
      </c>
      <c r="J28" s="1506" cm="1">
        <f t="array" aca="1" ref="J28" ca="1">IF(SwitchPA=1,_xll.TR(J$7,J$6,"Sdate=#1 Period=#2 NULL=BLANK",,$D28,$E$4),J28)</f>
        <v>5.9114011723623898</v>
      </c>
      <c r="K28" s="1506" t="str" cm="1">
        <f t="array" aca="1" ref="K28" ca="1">IF(SwitchPA=1,_xll.TR(K$7,K$6,"Sdate=#1 Period=#2 NULL=BLANK",,$D28,$E$4),K28)</f>
        <v/>
      </c>
      <c r="L28" s="1506" cm="1">
        <f t="array" aca="1" ref="L28" ca="1">IF(SwitchPA=1,_xll.TR(L$7,L$6,"Sdate=#1 Period=#2 NULL=BLANK",,$D28,$E$4),L28)</f>
        <v>7.1496247591346496</v>
      </c>
      <c r="M28" s="1506" cm="1">
        <f t="array" aca="1" ref="M28" ca="1">IF(SwitchPA=1,_xll.TR(M$7,M$6,"Sdate=#1 Period=#2 NULL=BLANK",,$D28,$E$4),M28)</f>
        <v>8.7178693160578202</v>
      </c>
      <c r="N28" s="1506" cm="1">
        <f t="array" aca="1" ref="N28" ca="1">IF(SwitchPA=1,_xll.TR(N$7,N$6,"Sdate=#1 Period=#2 NULL=BLANK",,$D28,$E$4),N28)</f>
        <v>9.3385317655283</v>
      </c>
      <c r="O28" s="1506" cm="1">
        <f t="array" aca="1" ref="O28" ca="1">IF(SwitchPA=1,_xll.TR(O$7,O$6,"Sdate=#1 Period=#2 NULL=BLANK",,$D28,$E$4),O28)</f>
        <v>4.9863673176310597</v>
      </c>
      <c r="P28" s="1506" cm="1">
        <f t="array" aca="1" ref="P28" ca="1">IF(SwitchPA=1,_xll.TR(P$7,P$6,"Sdate=#1 Period=#2 NULL=BLANK",,$D28,$E$4),P28)</f>
        <v>5.6125677391995801</v>
      </c>
      <c r="Q28" s="1506" t="str" cm="1">
        <f t="array" aca="1" ref="Q28" ca="1">IF(SwitchPA=1,_xll.TR(Q$7,Q$6,"Sdate=#1 Period=#2 NULL=BLANK",,$D28,$E$4),Q28)</f>
        <v/>
      </c>
      <c r="R28" s="1506" cm="1">
        <f t="array" aca="1" ref="R28" ca="1">IF(SwitchPA=1,_xll.TR(R$7,R$6,"Sdate=#1 Period=#2 NULL=BLANK",,$D28,$E$4),R28)</f>
        <v>6.7754790588824596</v>
      </c>
      <c r="S28" s="1506" cm="1">
        <f t="array" aca="1" ref="S28" ca="1">IF(SwitchPA=1,_xll.TR(S$7,S$6,"Sdate=#1 Period=#2 NULL=BLANK",,$D28,$E$4),S28)</f>
        <v>7.4667003758188999</v>
      </c>
      <c r="T28" s="1506" cm="1">
        <f t="array" aca="1" ref="T28" ca="1">IF(SwitchPA=1,_xll.TR(T$7,T$6,"Sdate=#1 Period=#2 NULL=BLANK",,$D28,$E$4),T28)</f>
        <v>8.8720618346742608</v>
      </c>
      <c r="U28" s="1506" t="str" cm="1">
        <f t="array" aca="1" ref="U28" ca="1">IF(SwitchPA=1,_xll.TR(U$7,U$6,"Sdate=#1 Period=#2 NULL=BLANK",,$D28,$E$4),U28)</f>
        <v>No universe defined.</v>
      </c>
      <c r="V28" s="1506" t="str" cm="1">
        <f t="array" aca="1" ref="V28" ca="1">IF(SwitchPA=1,_xll.TR(V$7,V$6,"Sdate=#1 Period=#2 NULL=BLANK",,$D28,$E$4),V28)</f>
        <v>No universe defined.</v>
      </c>
      <c r="W28" s="1521">
        <f t="shared" ca="1" si="55"/>
        <v>-3.7173385864699426E-2</v>
      </c>
      <c r="X28" s="1506" cm="1">
        <f t="array" aca="1" ref="X28" ca="1">IF(SwitchPA=1,_xll.TR(X$7,X$6,"Sdate=#1 Period=#2 NULL=BLANK",,$D28,$X$4),X28)</f>
        <v>6.3668981758847298</v>
      </c>
      <c r="Y28" s="1506" cm="1">
        <f t="array" aca="1" ref="Y28" ca="1">IF(SwitchPA=1,_xll.TR(Y$7,Y$6,"Sdate=#1 Period=#2 NULL=BLANK",,$D28,$X$4),Y28)</f>
        <v>7.4471388141094002</v>
      </c>
      <c r="Z28" s="1506" cm="1">
        <f t="array" aca="1" ref="Z28" ca="1">IF(SwitchPA=1,_xll.TR(Z$7,Z$6,"Sdate=#1 Period=#2 NULL=BLANK",,$D28,$X$4),Z28)</f>
        <v>6.8694054370497204</v>
      </c>
      <c r="AA28" s="1506" t="str" cm="1">
        <f t="array" aca="1" ref="AA28" ca="1">IF(SwitchPA=1,_xll.TR(AA$7,AA$6,"Sdate=#1 Period=#2 NULL=BLANK",,$D28,$X$4),AA28)</f>
        <v/>
      </c>
      <c r="AB28" s="1506" t="str" cm="1">
        <f t="array" aca="1" ref="AB28" ca="1">IF(SwitchPA=1,_xll.TR(AB$7,AB$6,"Sdate=#1 Period=#2 NULL=BLANK",,$D28,$X$4),AB28)</f>
        <v/>
      </c>
      <c r="AC28" s="1506" t="str" cm="1">
        <f t="array" aca="1" ref="AC28" ca="1">IF(SwitchPA=1,_xll.TR(AC$7,AC$6,"Sdate=#1 Period=#2 NULL=BLANK",,$D28,$X$4),AC28)</f>
        <v/>
      </c>
      <c r="AD28" s="1506" t="str" cm="1">
        <f t="array" aca="1" ref="AD28" ca="1">IF(SwitchPA=1,_xll.TR(AD$7,AD$6,"Sdate=#1 Period=#2 NULL=BLANK",,$D28,$X$4),AD28)</f>
        <v/>
      </c>
      <c r="AE28" s="1506" cm="1">
        <f t="array" aca="1" ref="AE28" ca="1">IF(SwitchPA=1,_xll.TR(AE$7,AE$6,"Sdate=#1 Period=#2 NULL=BLANK",,$D28,$X$4),AE28)</f>
        <v>10.408627059314499</v>
      </c>
      <c r="AF28" s="1506" cm="1">
        <f t="array" aca="1" ref="AF28" ca="1">IF(SwitchPA=1,_xll.TR(AF$7,AF$6,"Sdate=#1 Period=#2 NULL=BLANK",,$D28,$X$4),AF28)</f>
        <v>9.5382207360887996</v>
      </c>
      <c r="AG28" s="1506" cm="1">
        <f t="array" aca="1" ref="AG28" ca="1">IF(SwitchPA=1,_xll.TR(AG$7,AG$6,"Sdate=#1 Period=#2 NULL=BLANK",,$D28,$X$4),AG28)</f>
        <v>12.1480130022628</v>
      </c>
      <c r="AH28" s="1506" cm="1">
        <f t="array" aca="1" ref="AH28" ca="1">IF(SwitchPA=1,_xll.TR(AH$7,AH$6,"Sdate=#1 Period=#2 NULL=BLANK",,$D28,$X$4),AH28)</f>
        <v>5.3613557840334396</v>
      </c>
      <c r="AI28" s="1506" cm="1">
        <f t="array" aca="1" ref="AI28" ca="1">IF(SwitchPA=1,_xll.TR(AI$7,AI$6,"Sdate=#1 Period=#2 NULL=BLANK",,$D28,$X$4),AI28)</f>
        <v>6.1089943687975996</v>
      </c>
      <c r="AJ28" s="1506" t="str" cm="1">
        <f t="array" aca="1" ref="AJ28" ca="1">IF(SwitchPA=1,_xll.TR(AJ$7,AJ$6,"Sdate=#1 Period=#2 NULL=BLANK",,$D28,$X$4),AJ28)</f>
        <v/>
      </c>
      <c r="AK28" s="1506" cm="1">
        <f t="array" aca="1" ref="AK28" ca="1">IF(SwitchPA=1,_xll.TR(AK$7,AK$6,"Sdate=#1 Period=#2 NULL=BLANK",,$D28,$X$4),AK28)</f>
        <v>7.5827780272007903</v>
      </c>
      <c r="AL28" s="1506" cm="1">
        <f t="array" aca="1" ref="AL28" ca="1">IF(SwitchPA=1,_xll.TR(AL$7,AL$6,"Sdate=#1 Period=#2 NULL=BLANK",,$D28,$X$4),AL28)</f>
        <v>8.5021839561530594</v>
      </c>
      <c r="AM28" s="1506" cm="1">
        <f t="array" aca="1" ref="AM28" ca="1">IF(SwitchPA=1,_xll.TR(AM$7,AM$6,"Sdate=#1 Period=#2 NULL=BLANK",,$D28,$X$4),AM28)</f>
        <v>6.6126964204275804</v>
      </c>
      <c r="AN28" s="1506" t="str" cm="1">
        <f t="array" aca="1" ref="AN28" ca="1">IF(SwitchPA=1,_xll.TR(AN$7,AN$6,"Sdate=#1 Period=#2 NULL=BLANK",,$D28,$X$4),AN28)</f>
        <v/>
      </c>
      <c r="AO28" s="1506" t="str" cm="1">
        <f t="array" aca="1" ref="AO28" ca="1">IF(SwitchPA=1,_xll.TR(AO$7,AO$6,"Sdate=#1 Period=#2 NULL=BLANK",,$D28,$X$4),AO28)</f>
        <v/>
      </c>
      <c r="AQ28" s="1506" t="str" cm="1">
        <f t="array" aca="1" ref="AQ28" ca="1">IF(SwitchPA=1,_xll.TR(AQ$7,AQ$6,"Sdate=#1 Period=#2 NULL=BLANK Scale=6",,$D28,$AQ$4),AQ28)</f>
        <v/>
      </c>
      <c r="AR28" s="1506" t="str" cm="1">
        <f t="array" aca="1" ref="AR28" ca="1">IF(SwitchPA=1,_xll.TR(AR$7,AR$6,"Sdate=#1 Period=#2 NULL=BLANK Scale=6",,$D28,$AQ$4),AR28)</f>
        <v/>
      </c>
      <c r="AS28" s="1506" t="str" cm="1">
        <f t="array" aca="1" ref="AS28" ca="1">IF(SwitchPA=1,_xll.TR(AS$7,AS$6,"Sdate=#1 Period=#2 NULL=BLANK Scale=6",,$D28,$AQ$4),AS28)</f>
        <v/>
      </c>
      <c r="AT28" s="1506" t="str" cm="1">
        <f t="array" aca="1" ref="AT28" ca="1">IF(SwitchPA=1,_xll.TR(AT$7,AT$6,"Sdate=#1 Period=#2 NULL=BLANK Scale=6",,$D28,$AQ$4),AT28)</f>
        <v/>
      </c>
      <c r="AU28" s="1506" t="str" cm="1">
        <f t="array" aca="1" ref="AU28" ca="1">IF(SwitchPA=1,_xll.TR(AU$7,AU$6,"Sdate=#1 Period=#2 NULL=BLANK Scale=6",,$D28,$AQ$4),AU28)</f>
        <v/>
      </c>
      <c r="AV28" s="1506" t="str" cm="1">
        <f t="array" aca="1" ref="AV28" ca="1">IF(SwitchPA=1,_xll.TR(AV$7,AV$6,"Sdate=#1 Period=#2 NULL=BLANK Scale=6",,$D28,$AQ$4),AV28)</f>
        <v/>
      </c>
      <c r="AW28" s="1506" t="str" cm="1">
        <f t="array" aca="1" ref="AW28" ca="1">IF(SwitchPA=1,_xll.TR(AW$7,AW$6,"Sdate=#1 Period=#2 NULL=BLANK Scale=6",,$D28,$AQ$4),AW28)</f>
        <v/>
      </c>
      <c r="AX28" s="1506" t="str" cm="1">
        <f t="array" aca="1" ref="AX28" ca="1">IF(SwitchPA=1,_xll.TR(AX$7,AX$6,"Sdate=#1 Period=#2 NULL=BLANK Scale=6",,$D28,$AQ$4),AX28)</f>
        <v/>
      </c>
      <c r="AY28" s="1506" t="str" cm="1">
        <f t="array" aca="1" ref="AY28" ca="1">IF(SwitchPA=1,_xll.TR(AY$7,AY$6,"Sdate=#1 Period=#2 NULL=BLANK Scale=6",,$D28,$AQ$4),AY28)</f>
        <v/>
      </c>
      <c r="AZ28" s="1506" t="str" cm="1">
        <f t="array" aca="1" ref="AZ28" ca="1">IF(SwitchPA=1,_xll.TR(AZ$7,AZ$6,"Sdate=#1 Period=#2 NULL=BLANK Scale=6",,$D28,$AQ$4),AZ28)</f>
        <v/>
      </c>
      <c r="BA28" s="1506" t="str" cm="1">
        <f t="array" aca="1" ref="BA28" ca="1">IF(SwitchPA=1,_xll.TR(BA$7,BA$6,"Sdate=#1 Period=#2 NULL=BLANK Scale=6",,$D28,$AQ$4),BA28)</f>
        <v/>
      </c>
      <c r="BB28" s="1506" t="str" cm="1">
        <f t="array" aca="1" ref="BB28" ca="1">IF(SwitchPA=1,_xll.TR(BB$7,BB$6,"Sdate=#1 Period=#2 NULL=BLANK Scale=6",,$D28,$AQ$4),BB28)</f>
        <v/>
      </c>
      <c r="BC28" s="1506" t="str" cm="1">
        <f t="array" aca="1" ref="BC28" ca="1">IF(SwitchPA=1,_xll.TR(BC$7,BC$6,"Sdate=#1 Period=#2 NULL=BLANK Scale=6",,$D28,$AQ$4),BC28)</f>
        <v/>
      </c>
      <c r="BD28" s="1506" t="str" cm="1">
        <f t="array" aca="1" ref="BD28" ca="1">IF(SwitchPA=1,_xll.TR(BD$7,BD$6,"Sdate=#1 Period=#2 NULL=BLANK Scale=6",,$D28,$AQ$4),BD28)</f>
        <v/>
      </c>
      <c r="BE28" s="1506" t="str" cm="1">
        <f t="array" aca="1" ref="BE28" ca="1">IF(SwitchPA=1,_xll.TR(BE$7,BE$6,"Sdate=#1 Period=#2 NULL=BLANK Scale=6",,$D28,$AQ$4),BE28)</f>
        <v/>
      </c>
      <c r="BF28" s="1506" t="str" cm="1">
        <f t="array" aca="1" ref="BF28" ca="1">IF(SwitchPA=1,_xll.TR(BF$7,BF$6,"Sdate=#1 Period=#2 NULL=BLANK Scale=6",,$D28,$AQ$4),BF28)</f>
        <v/>
      </c>
      <c r="BG28" s="1506" t="str" cm="1">
        <f t="array" aca="1" ref="BG28" ca="1">IF(SwitchPA=1,_xll.TR(BG$7,BG$6,"Sdate=#1 Period=#2 NULL=BLANK Scale=6",,$D28,$AQ$4),BG28)</f>
        <v/>
      </c>
      <c r="BH28" s="1506" t="str" cm="1">
        <f t="array" aca="1" ref="BH28" ca="1">IF(SwitchPA=1,_xll.TR(BH$7,BH$6,"Sdate=#1 Period=#2 NULL=BLANK Scale=6",,$D28,$AQ$4),BH28)</f>
        <v/>
      </c>
      <c r="BJ28" s="1506" cm="1">
        <f t="array" aca="1" ref="BJ28" ca="1">IF(SwitchPA=1,_xll.TR(BJ$7,BJ$6,"Sdate=#1 Period=#2 NULL=BLANK Scale=6",,$D28,$BJ$4),BJ28)</f>
        <v>7.4856613110000003</v>
      </c>
      <c r="BK28" s="1506" cm="1">
        <f t="array" aca="1" ref="BK28" ca="1">IF(SwitchPA=1,_xll.TR(BK$7,BK$6,"Sdate=#1 Period=#2 NULL=BLANK Scale=6",,$D28,$BJ$4),BK28)</f>
        <v>9.3261612209999996</v>
      </c>
      <c r="BL28" s="1506" cm="1">
        <f t="array" aca="1" ref="BL28" ca="1">IF(SwitchPA=1,_xll.TR(BL$7,BL$6,"Sdate=#1 Period=#2 NULL=BLANK Scale=6",,$D28,$BJ$4),BL28)</f>
        <v>7.2900867590000002</v>
      </c>
      <c r="BM28" s="1506" t="str" cm="1">
        <f t="array" aca="1" ref="BM28" ca="1">IF(SwitchPA=1,_xll.TR(BM$7,BM$6,"Sdate=#1 Period=#2 NULL=BLANK Scale=6",,$D28,$BJ$4),BM28)</f>
        <v/>
      </c>
      <c r="BN28" s="1506" t="str" cm="1">
        <f t="array" aca="1" ref="BN28" ca="1">IF(SwitchPA=1,_xll.TR(BN$7,BN$6,"Sdate=#1 Period=#2 NULL=BLANK Scale=6",,$D28,$BJ$4),BN28)</f>
        <v/>
      </c>
      <c r="BO28" s="1506" cm="1">
        <f t="array" aca="1" ref="BO28" ca="1">IF(SwitchPA=1,_xll.TR(BO$7,BO$6,"Sdate=#1 Period=#2 NULL=BLANK Scale=6",,$D28,$BJ$4),BO28)</f>
        <v>4.7540516930000001</v>
      </c>
      <c r="BP28" s="1506" t="str" cm="1">
        <f t="array" aca="1" ref="BP28" ca="1">IF(SwitchPA=1,_xll.TR(BP$7,BP$6,"Sdate=#1 Period=#2 NULL=BLANK Scale=6",,$D28,$BJ$4),BP28)</f>
        <v/>
      </c>
      <c r="BQ28" s="1506" cm="1">
        <f t="array" aca="1" ref="BQ28" ca="1">IF(SwitchPA=1,_xll.TR(BQ$7,BQ$6,"Sdate=#1 Period=#2 NULL=BLANK Scale=6",,$D28,$BJ$4),BQ28)</f>
        <v>15.334063627999999</v>
      </c>
      <c r="BR28" s="1506" cm="1">
        <f t="array" aca="1" ref="BR28" ca="1">IF(SwitchPA=1,_xll.TR(BR$7,BR$6,"Sdate=#1 Period=#2 NULL=BLANK Scale=6",,$D28,$BJ$4),BR28)</f>
        <v>10.293111945</v>
      </c>
      <c r="BS28" s="1506" cm="1">
        <f t="array" aca="1" ref="BS28" ca="1">IF(SwitchPA=1,_xll.TR(BS$7,BS$6,"Sdate=#1 Period=#2 NULL=BLANK Scale=6",,$D28,$BJ$4),BS28)</f>
        <v>13.984996239999999</v>
      </c>
      <c r="BT28" s="1506" cm="1">
        <f t="array" aca="1" ref="BT28" ca="1">IF(SwitchPA=1,_xll.TR(BT$7,BT$6,"Sdate=#1 Period=#2 NULL=BLANK Scale=6",,$D28,$BJ$4),BT28)</f>
        <v>5.1702202059999998</v>
      </c>
      <c r="BU28" s="1506" cm="1">
        <f t="array" aca="1" ref="BU28" ca="1">IF(SwitchPA=1,_xll.TR(BU$7,BU$6,"Sdate=#1 Period=#2 NULL=BLANK Scale=6",,$D28,$BJ$4),BU28)</f>
        <v>5.843327285</v>
      </c>
      <c r="BV28" s="1506" t="str" cm="1">
        <f t="array" aca="1" ref="BV28" ca="1">IF(SwitchPA=1,_xll.TR(BV$7,BV$6,"Sdate=#1 Period=#2 NULL=BLANK Scale=6",,$D28,$BJ$4),BV28)</f>
        <v/>
      </c>
      <c r="BW28" s="1506" cm="1">
        <f t="array" aca="1" ref="BW28" ca="1">IF(SwitchPA=1,_xll.TR(BW$7,BW$6,"Sdate=#1 Period=#2 NULL=BLANK Scale=6",,$D28,$BJ$4),BW28)</f>
        <v>7.7838606070000003</v>
      </c>
      <c r="BX28" s="1506" cm="1">
        <f t="array" aca="1" ref="BX28" ca="1">IF(SwitchPA=1,_xll.TR(BX$7,BX$6,"Sdate=#1 Period=#2 NULL=BLANK Scale=6",,$D28,$BJ$4),BX28)</f>
        <v>9.0721409869999992</v>
      </c>
      <c r="BY28" s="1506" cm="1">
        <f t="array" aca="1" ref="BY28" ca="1">IF(SwitchPA=1,_xll.TR(BY$7,BY$6,"Sdate=#1 Period=#2 NULL=BLANK Scale=6",,$D28,$BJ$4),BY28)</f>
        <v>10.182885008</v>
      </c>
      <c r="BZ28" s="1506" t="str" cm="1">
        <f t="array" aca="1" ref="BZ28" ca="1">IF(SwitchPA=1,_xll.TR(BZ$7,BZ$6,"Sdate=#1 Period=#2 NULL=BLANK Scale=6",,$D28,$BJ$4),BZ28)</f>
        <v/>
      </c>
      <c r="CA28" s="1506" t="str" cm="1">
        <f t="array" aca="1" ref="CA28" ca="1">IF(SwitchPA=1,_xll.TR(CA$7,CA$6,"Sdate=#1 Period=#2 NULL=BLANK Scale=6",,$D28,$BJ$4),CA28)</f>
        <v/>
      </c>
      <c r="CC28" s="1506" cm="1">
        <f t="array" aca="1" ref="CC28" ca="1">IF(SwitchPA=1,_xll.TR(CC$7,CC$6,"Sdate=#1 Period=#2 NULL=BLANK Scale=6",,$D28,$CC$4),CC28)</f>
        <v>4905</v>
      </c>
      <c r="CD28" s="1506" cm="1">
        <f t="array" aca="1" ref="CD28" ca="1">IF(SwitchPA=1,_xll.TR(CD$7,CD$6,"Sdate=#1 Period=#2 NULL=BLANK Scale=6",,$D28,$CC$4),CD28)</f>
        <v>5082</v>
      </c>
      <c r="CE28" s="1506" cm="1">
        <f t="array" aca="1" ref="CE28" ca="1">IF(SwitchPA=1,_xll.TR(CE$7,CE$6,"Sdate=#1 Period=#2 NULL=BLANK Scale=6",,$D28,$CC$4),CE28)</f>
        <v>51825</v>
      </c>
      <c r="CF28" s="1506" t="str" cm="1">
        <f t="array" aca="1" ref="CF28" ca="1">IF(SwitchPA=1,_xll.TR(CF$7,CF$6,"Sdate=#1 Period=#2 NULL=BLANK Scale=6",,$D28,$CC$4),CF28)</f>
        <v/>
      </c>
      <c r="CG28" s="1506" cm="1">
        <f t="array" aca="1" ref="CG28" ca="1">IF(SwitchPA=1,_xll.TR(CG$7,CG$6,"Sdate=#1 Period=#2 NULL=BLANK Scale=6",,$D28,$CC$4),CG28)</f>
        <v>30828</v>
      </c>
      <c r="CH28" s="1506" cm="1">
        <f t="array" aca="1" ref="CH28" ca="1">IF(SwitchPA=1,_xll.TR(CH$7,CH$6,"Sdate=#1 Period=#2 NULL=BLANK Scale=6",,$D28,$CC$4),CH28)</f>
        <v>1531.5</v>
      </c>
      <c r="CI28" s="1506" cm="1">
        <f t="array" aca="1" ref="CI28" ca="1">IF(SwitchPA=1,_xll.TR(CI$7,CI$6,"Sdate=#1 Period=#2 NULL=BLANK Scale=6",,$D28,$CC$4),CI28)</f>
        <v>14523</v>
      </c>
      <c r="CJ28" s="1506" cm="1">
        <f t="array" aca="1" ref="CJ28" ca="1">IF(SwitchPA=1,_xll.TR(CJ$7,CJ$6,"Sdate=#1 Period=#2 NULL=BLANK Scale=6",,$D28,$CC$4),CJ28)</f>
        <v>7649</v>
      </c>
      <c r="CK28" s="1506" cm="1">
        <f t="array" aca="1" ref="CK28" ca="1">IF(SwitchPA=1,_xll.TR(CK$7,CK$6,"Sdate=#1 Period=#2 NULL=BLANK Scale=6",,$D28,$CC$4),CK28)</f>
        <v>23123</v>
      </c>
      <c r="CL28" s="1506" cm="1">
        <f t="array" aca="1" ref="CL28" ca="1">IF(SwitchPA=1,_xll.TR(CL$7,CL$6,"Sdate=#1 Period=#2 NULL=BLANK Scale=6",,$D28,$CC$4),CL28)</f>
        <v>2005.394</v>
      </c>
      <c r="CM28" s="1506" cm="1">
        <f t="array" aca="1" ref="CM28" ca="1">IF(SwitchPA=1,_xll.TR(CM$7,CM$6,"Sdate=#1 Period=#2 NULL=BLANK Scale=6",,$D28,$CC$4),CM28)</f>
        <v>7464</v>
      </c>
      <c r="CN28" s="1506" cm="1">
        <f t="array" aca="1" ref="CN28" ca="1">IF(SwitchPA=1,_xll.TR(CN$7,CN$6,"Sdate=#1 Period=#2 NULL=BLANK Scale=6",,$D28,$CC$4),CN28)</f>
        <v>2060.6999999999998</v>
      </c>
      <c r="CO28" s="1506" t="str" cm="1">
        <f t="array" aca="1" ref="CO28" ca="1">IF(SwitchPA=1,_xll.TR(CO$7,CO$6,"Sdate=#1 Period=#2 NULL=BLANK Scale=6",,$D28,$CC$4),CO28)</f>
        <v/>
      </c>
      <c r="CP28" s="1506" cm="1">
        <f t="array" aca="1" ref="CP28" ca="1">IF(SwitchPA=1,_xll.TR(CP$7,CP$6,"Sdate=#1 Period=#2 NULL=BLANK Scale=6",,$D28,$CC$4),CP28)</f>
        <v>2826.2</v>
      </c>
      <c r="CQ28" s="1506" cm="1">
        <f t="array" aca="1" ref="CQ28" ca="1">IF(SwitchPA=1,_xll.TR(CQ$7,CQ$6,"Sdate=#1 Period=#2 NULL=BLANK Scale=6",,$D28,$CC$4),CQ28)</f>
        <v>12239</v>
      </c>
      <c r="CR28" s="1506" cm="1">
        <f t="array" aca="1" ref="CR28" ca="1">IF(SwitchPA=1,_xll.TR(CR$7,CR$6,"Sdate=#1 Period=#2 NULL=BLANK Scale=6",,$D28,$CC$4),CR28)</f>
        <v>5761</v>
      </c>
      <c r="CS28" s="1506" t="str" cm="1">
        <f t="array" aca="1" ref="CS28" ca="1">IF(SwitchPA=1,_xll.TR(CS$7,CS$6,"Sdate=#1 Period=#2 NULL=BLANK Scale=6",,$D28,$CC$4),CS28)</f>
        <v>Unable to resolve all requested identifiers.</v>
      </c>
      <c r="CT28" s="1506" t="str" cm="1">
        <f t="array" aca="1" ref="CT28" ca="1">IF(SwitchPA=1,_xll.TR(CT$7,CT$6,"Sdate=#1 Period=#2 NULL=BLANK Scale=6",,$D28,$CC$4),CT28)</f>
        <v>Unable to resolve all requested identifiers.</v>
      </c>
      <c r="CV28" s="1516" cm="1">
        <f t="array" aca="1" ref="CV28" ca="1">IF(SwitchPA=1,_xll.TR(CV$7,CV$6,"Sdate=#1 Period=#2 NULL=BLANK Scale=6",,$D28,$AQ$4),CV28)</f>
        <v>3220.75</v>
      </c>
      <c r="CW28" s="1516" cm="1">
        <f t="array" aca="1" ref="CW28" ca="1">IF(SwitchPA=1,_xll.TR(CW$7,CW$6,"Sdate=#1 Period=#2 NULL=BLANK Scale=6",,$D28,$AQ$4),CW28)</f>
        <v>2624.75</v>
      </c>
      <c r="CX28" s="1516" cm="1">
        <f t="array" aca="1" ref="CX28" ca="1">IF(SwitchPA=1,_xll.TR(CX$7,CX$6,"Sdate=#1 Period=#2 NULL=BLANK Scale=6",,$D28,$AQ$4),CX28)</f>
        <v>15931.5</v>
      </c>
      <c r="CY28" s="1516" t="str" cm="1">
        <f t="array" aca="1" ref="CY28" ca="1">IF(SwitchPA=1,_xll.TR(CY$7,CY$6,"Sdate=#1 Period=#2 NULL=BLANK Scale=6",,$D28,$AQ$4),CY28)</f>
        <v/>
      </c>
      <c r="CZ28" s="1516" t="str" cm="1">
        <f t="array" aca="1" ref="CZ28" ca="1">IF(SwitchPA=1,_xll.TR(CZ$7,CZ$6,"Sdate=#1 Period=#2 NULL=BLANK Scale=6",,$D28,$AQ$4),CZ28)</f>
        <v/>
      </c>
      <c r="DA28" s="1516" cm="1">
        <f t="array" aca="1" ref="DA28" ca="1">IF(SwitchPA=1,_xll.TR(DA$7,DA$6,"Sdate=#1 Period=#2 NULL=BLANK Scale=6",,$D28,$AQ$4),DA28)</f>
        <v>681.8</v>
      </c>
      <c r="DB28" s="1516" t="str" cm="1">
        <f t="array" aca="1" ref="DB28" ca="1">IF(SwitchPA=1,_xll.TR(DB$7,DB$6,"Sdate=#1 Period=#2 NULL=BLANK Scale=6",,$D28,$AQ$4),DB28)</f>
        <v/>
      </c>
      <c r="DC28" s="1516" cm="1">
        <f t="array" aca="1" ref="DC28" ca="1">IF(SwitchPA=1,_xll.TR(DC$7,DC$6,"Sdate=#1 Period=#2 NULL=BLANK Scale=6",,$D28,$AQ$4),DC28)</f>
        <v>3567.5</v>
      </c>
      <c r="DD28" s="1516" cm="1">
        <f t="array" aca="1" ref="DD28" ca="1">IF(SwitchPA=1,_xll.TR(DD$7,DD$6,"Sdate=#1 Period=#2 NULL=BLANK Scale=6",,$D28,$AQ$4),DD28)</f>
        <v>6891.5</v>
      </c>
      <c r="DE28" s="1516" cm="1">
        <f t="array" aca="1" ref="DE28" ca="1">IF(SwitchPA=1,_xll.TR(DE$7,DE$6,"Sdate=#1 Period=#2 NULL=BLANK Scale=6",,$D28,$AQ$4),DE28)</f>
        <v>1026.3665000000001</v>
      </c>
      <c r="DF28" s="1516" cm="1">
        <f t="array" aca="1" ref="DF28" ca="1">IF(SwitchPA=1,_xll.TR(DF$7,DF$6,"Sdate=#1 Period=#2 NULL=BLANK Scale=6",,$D28,$AQ$4),DF28)</f>
        <v>2085</v>
      </c>
      <c r="DG28" s="1516" cm="1">
        <f t="array" aca="1" ref="DG28" ca="1">IF(SwitchPA=1,_xll.TR(DG$7,DG$6,"Sdate=#1 Period=#2 NULL=BLANK Scale=6",,$D28,$AQ$4),DG28)</f>
        <v>401.67500000000001</v>
      </c>
      <c r="DH28" s="1516" t="str" cm="1">
        <f t="array" aca="1" ref="DH28" ca="1">IF(SwitchPA=1,_xll.TR(DH$7,DH$6,"Sdate=#1 Period=#2 NULL=BLANK Scale=6",,$D28,$AQ$4),DH28)</f>
        <v/>
      </c>
      <c r="DI28" s="1516" cm="1">
        <f t="array" aca="1" ref="DI28" ca="1">IF(SwitchPA=1,_xll.TR(DI$7,DI$6,"Sdate=#1 Period=#2 NULL=BLANK Scale=6",,$D28,$AQ$4),DI28)</f>
        <v>944.32500000000005</v>
      </c>
      <c r="DJ28" s="1516" cm="1">
        <f t="array" aca="1" ref="DJ28" ca="1">IF(SwitchPA=1,_xll.TR(DJ$7,DJ$6,"Sdate=#1 Period=#2 NULL=BLANK Scale=6",,$D28,$AQ$4),DJ28)</f>
        <v>2730.5</v>
      </c>
      <c r="DK28" s="1516" cm="1">
        <f t="array" aca="1" ref="DK28" ca="1">IF(SwitchPA=1,_xll.TR(DK$7,DK$6,"Sdate=#1 Period=#2 NULL=BLANK Scale=6",,$D28,$AQ$4),DK28)</f>
        <v>4134.25</v>
      </c>
      <c r="DL28" s="1516" t="str" cm="1">
        <f t="array" aca="1" ref="DL28" ca="1">IF(SwitchPA=1,_xll.TR(DL$7,DL$6,"Sdate=#1 Period=#2 NULL=BLANK Scale=6",,$D28,$AQ$4),DL28)</f>
        <v>Unable to resolve all requested identifiers.</v>
      </c>
      <c r="DM28" s="1516" t="str" cm="1">
        <f t="array" aca="1" ref="DM28" ca="1">IF(SwitchPA=1,_xll.TR(DM$7,DM$6,"Sdate=#1 Period=#2 NULL=BLANK Scale=6",,$D28,$AQ$4),DM28)</f>
        <v>Unable to resolve all requested identifiers.</v>
      </c>
      <c r="DO28" s="1506" cm="1">
        <f t="array" aca="1" ref="DO28" ca="1">IF(SwitchPA=1,_xll.TR(DO$7,DO$6,"Sdate=#1 Period=#2 Scale=6 NULL=BLANK",,$D28,$X$4),DO28)</f>
        <v>5000.4217555799996</v>
      </c>
      <c r="DP28" s="1506" cm="1">
        <f t="array" aca="1" ref="DP28" ca="1">IF(SwitchPA=1,_xll.TR(DP$7,DP$6,"Sdate=#1 Period=#2 Scale=6 NULL=BLANK",,$D28,$X$4),DP28)</f>
        <v>6593.5959834599998</v>
      </c>
      <c r="DQ28" s="1506" cm="1">
        <f t="array" aca="1" ref="DQ28" ca="1">IF(SwitchPA=1,_xll.TR(DQ$7,DQ$6,"Sdate=#1 Period=#2 Scale=6 NULL=BLANK",,$D28,$X$4),DQ28)</f>
        <v>50709.843498800001</v>
      </c>
      <c r="DR28" s="1506" t="str" cm="1">
        <f t="array" aca="1" ref="DR28" ca="1">IF(SwitchPA=1,_xll.TR(DR$7,DR$6,"Sdate=#1 Period=#2 Scale=6 NULL=BLANK",,$D28,$X$4),DR28)</f>
        <v/>
      </c>
      <c r="DS28" s="1506" t="str" cm="1">
        <f t="array" aca="1" ref="DS28" ca="1">IF(SwitchPA=1,_xll.TR(DS$7,DS$6,"Sdate=#1 Period=#2 Scale=6 NULL=BLANK",,$D28,$X$4),DS28)</f>
        <v/>
      </c>
      <c r="DT28" s="1506" cm="1">
        <f t="array" aca="1" ref="DT28" ca="1">IF(SwitchPA=1,_xll.TR(DT$7,DT$6,"Sdate=#1 Period=#2 Scale=6 NULL=BLANK",,$D28,$X$4),DT28)</f>
        <v>1314.4952932000001</v>
      </c>
      <c r="DU28" s="1506" t="str" cm="1">
        <f t="array" aca="1" ref="DU28" ca="1">IF(SwitchPA=1,_xll.TR(DU$7,DU$6,"Sdate=#1 Period=#2 Scale=6 NULL=BLANK",,$D28,$X$4),DU28)</f>
        <v/>
      </c>
      <c r="DV28" s="1506" cm="1">
        <f t="array" aca="1" ref="DV28" ca="1">IF(SwitchPA=1,_xll.TR(DV$7,DV$6,"Sdate=#1 Period=#2 Scale=6 NULL=BLANK",,$D28,$X$4),DV28)</f>
        <v>5535.5969697600003</v>
      </c>
      <c r="DW28" s="1506" cm="1">
        <f t="array" aca="1" ref="DW28" ca="1">IF(SwitchPA=1,_xll.TR(DW$7,DW$6,"Sdate=#1 Period=#2 Scale=6 NULL=BLANK",,$D28,$X$4),DW28)</f>
        <v>59103.048790859997</v>
      </c>
      <c r="DX28" s="1506" cm="1">
        <f t="array" aca="1" ref="DX28" ca="1">IF(SwitchPA=1,_xll.TR(DX$7,DX$6,"Sdate=#1 Period=#2 Scale=6 NULL=BLANK",,$D28,$X$4),DX28)</f>
        <v>3963.0822195999999</v>
      </c>
      <c r="DY28" s="1506" cm="1">
        <f t="array" aca="1" ref="DY28" ca="1">IF(SwitchPA=1,_xll.TR(DY$7,DY$6,"Sdate=#1 Period=#2 Scale=6 NULL=BLANK",,$D28,$X$4),DY28)</f>
        <v>4627.3470839800002</v>
      </c>
      <c r="DZ28" s="1506" cm="1">
        <f t="array" aca="1" ref="DZ28" ca="1">IF(SwitchPA=1,_xll.TR(DZ$7,DZ$6,"Sdate=#1 Period=#2 Scale=6 NULL=BLANK",,$D28,$X$4),DZ28)</f>
        <v>882.34241999999995</v>
      </c>
      <c r="EA28" s="1506" t="str" cm="1">
        <f t="array" aca="1" ref="EA28" ca="1">IF(SwitchPA=1,_xll.TR(EA$7,EA$6,"Sdate=#1 Period=#2 Scale=6 NULL=BLANK",,$D28,$X$4),EA28)</f>
        <v/>
      </c>
      <c r="EB28" s="1506" cm="1">
        <f t="array" aca="1" ref="EB28" ca="1">IF(SwitchPA=1,_xll.TR(EB$7,EB$6,"Sdate=#1 Period=#2 Scale=6 NULL=BLANK",,$D28,$X$4),EB28)</f>
        <v>4643.8512383999996</v>
      </c>
      <c r="EC28" s="1506" cm="1">
        <f t="array" aca="1" ref="EC28" ca="1">IF(SwitchPA=1,_xll.TR(EC$7,EC$6,"Sdate=#1 Period=#2 Scale=6 NULL=BLANK",,$D28,$X$4),EC28)</f>
        <v>12846.151637880001</v>
      </c>
      <c r="ED28" s="1506" cm="1">
        <f t="array" aca="1" ref="ED28" ca="1">IF(SwitchPA=1,_xll.TR(ED$7,ED$6,"Sdate=#1 Period=#2 Scale=6 NULL=BLANK",,$D28,$X$4),ED28)</f>
        <v>8024.1133862440001</v>
      </c>
      <c r="EE28" s="1506" t="str" cm="1">
        <f t="array" aca="1" ref="EE28" ca="1">IF(SwitchPA=1,_xll.TR(EE$7,EE$6,"Sdate=#1 Period=#2 Scale=6 NULL=BLANK",,$D28,$X$4),EE28)</f>
        <v/>
      </c>
      <c r="EF28" s="1506" t="str" cm="1">
        <f t="array" aca="1" ref="EF28" ca="1">IF(SwitchPA=1,_xll.TR(EF$7,EF$6,"Sdate=#1 Period=#2 Scale=6 NULL=BLANK",,$D28,$X$4),EF28)</f>
        <v/>
      </c>
      <c r="EG28" s="1517"/>
      <c r="EH28" s="1506" cm="1">
        <f t="array" aca="1" ref="EH28" ca="1">IF(SwitchPA=1,_xll.TR(EH$7,EH$6,"Sdate=#1 Period=#2 Scale=6 NULL=BLANK",,$D28,$X$4),EH28)</f>
        <v>543</v>
      </c>
      <c r="EI28" s="1506" cm="1">
        <f t="array" aca="1" ref="EI28" ca="1">IF(SwitchPA=1,_xll.TR(EI$7,EI$6,"Sdate=#1 Period=#2 Scale=6 NULL=BLANK",,$D28,$X$4),EI28)</f>
        <v>388</v>
      </c>
      <c r="EJ28" s="1506" cm="1">
        <f t="array" aca="1" ref="EJ28" ca="1">IF(SwitchPA=1,_xll.TR(EJ$7,EJ$6,"Sdate=#1 Period=#2 Scale=6 NULL=BLANK",,$D28,$X$4),EJ28)</f>
        <v>3674</v>
      </c>
      <c r="EK28" s="1506" t="str" cm="1">
        <f t="array" aca="1" ref="EK28" ca="1">IF(SwitchPA=1,_xll.TR(EK$7,EK$6,"Sdate=#1 Period=#2 Scale=6 NULL=BLANK",,$D28,$X$4),EK28)</f>
        <v/>
      </c>
      <c r="EL28" s="1506" cm="1">
        <f t="array" aca="1" ref="EL28" ca="1">IF(SwitchPA=1,_xll.TR(EL$7,EL$6,"Sdate=#1 Period=#2 Scale=6 NULL=BLANK",,$D28,$X$4),EL28)</f>
        <v>347</v>
      </c>
      <c r="EM28" s="1506" cm="1">
        <f t="array" aca="1" ref="EM28" ca="1">IF(SwitchPA=1,_xll.TR(EM$7,EM$6,"Sdate=#1 Period=#2 Scale=6 NULL=BLANK",,$D28,$X$4),EM28)</f>
        <v>182.6</v>
      </c>
      <c r="EN28" s="1506" cm="1">
        <f t="array" aca="1" ref="EN28" ca="1">IF(SwitchPA=1,_xll.TR(EN$7,EN$6,"Sdate=#1 Period=#2 Scale=6 NULL=BLANK",,$D28,$X$4),EN28)</f>
        <v>443</v>
      </c>
      <c r="EO28" s="1506" cm="1">
        <f t="array" aca="1" ref="EO28" ca="1">IF(SwitchPA=1,_xll.TR(EO$7,EO$6,"Sdate=#1 Period=#2 Scale=6 NULL=BLANK",,$D28,$X$4),EO28)</f>
        <v>-85</v>
      </c>
      <c r="EP28" s="1506" cm="1">
        <f t="array" aca="1" ref="EP28" ca="1">IF(SwitchPA=1,_xll.TR(EP$7,EP$6,"Sdate=#1 Period=#2 Scale=6 NULL=BLANK",,$D28,$X$4),EP28)</f>
        <v>5252</v>
      </c>
      <c r="EQ28" s="1506" cm="1">
        <f t="array" aca="1" ref="EQ28" ca="1">IF(SwitchPA=1,_xll.TR(EQ$7,EQ$6,"Sdate=#1 Period=#2 Scale=6 NULL=BLANK",,$D28,$X$4),EQ28)</f>
        <v>210.316</v>
      </c>
      <c r="ER28" s="1506" cm="1">
        <f t="array" aca="1" ref="ER28" ca="1">IF(SwitchPA=1,_xll.TR(ER$7,ER$6,"Sdate=#1 Period=#2 Scale=6 NULL=BLANK",,$D28,$X$4),ER28)</f>
        <v>574</v>
      </c>
      <c r="ES28" s="1506" cm="1">
        <f t="array" aca="1" ref="ES28" ca="1">IF(SwitchPA=1,_xll.TR(ES$7,ES$6,"Sdate=#1 Period=#2 Scale=6 NULL=BLANK",,$D28,$X$4),ES28)</f>
        <v>119.3</v>
      </c>
      <c r="ET28" s="1506" t="str" cm="1">
        <f t="array" aca="1" ref="ET28" ca="1">IF(SwitchPA=1,_xll.TR(ET$7,ET$6,"Sdate=#1 Period=#2 Scale=6 NULL=BLANK",,$D28,$X$4),ET28)</f>
        <v/>
      </c>
      <c r="EU28" s="1506" cm="1">
        <f t="array" aca="1" ref="EU28" ca="1">IF(SwitchPA=1,_xll.TR(EU$7,EU$6,"Sdate=#1 Period=#2 Scale=6 NULL=BLANK",,$D28,$X$4),EU28)</f>
        <v>480.9</v>
      </c>
      <c r="EV28" s="1506" cm="1">
        <f t="array" aca="1" ref="EV28" ca="1">IF(SwitchPA=1,_xll.TR(EV$7,EV$6,"Sdate=#1 Period=#2 Scale=6 NULL=BLANK",,$D28,$X$4),EV28)</f>
        <v>1009</v>
      </c>
      <c r="EW28" s="1506" cm="1">
        <f t="array" aca="1" ref="EW28" ca="1">IF(SwitchPA=1,_xll.TR(EW$7,EW$6,"Sdate=#1 Period=#2 Scale=6 NULL=BLANK",,$D28,$X$4),EW28)</f>
        <v>254</v>
      </c>
      <c r="EX28" s="1506" t="str" cm="1">
        <f t="array" aca="1" ref="EX28" ca="1">IF(SwitchPA=1,_xll.TR(EX$7,EX$6,"Sdate=#1 Period=#2 Scale=6 NULL=BLANK",,$D28,$X$4),EX28)</f>
        <v>Unable to resolve and collect data for all requested identifiers and fields.</v>
      </c>
      <c r="EY28" s="1506" t="str" cm="1">
        <f t="array" aca="1" ref="EY28" ca="1">IF(SwitchPA=1,_xll.TR(EY$7,EY$6,"Sdate=#1 Period=#2 Scale=6 NULL=BLANK",,$D28,$X$4),EY28)</f>
        <v>Unable to resolve all requested identifiers.</v>
      </c>
      <c r="FA28" s="1506" cm="1">
        <f t="array" aca="1" ref="FA28" ca="1">IF(SwitchPA=1,_xll.TR(FA$7,FA$6,"Sdate=#1 Period=#2 Scale=6 NULL=BLANK",,$D28,$X$4),FA28)</f>
        <v>815</v>
      </c>
      <c r="FB28" s="1506" cm="1">
        <f t="array" aca="1" ref="FB28" ca="1">IF(SwitchPA=1,_xll.TR(FB$7,FB$6,"Sdate=#1 Period=#2 Scale=6 NULL=BLANK",,$D28,$X$4),FB28)</f>
        <v>707</v>
      </c>
      <c r="FC28" s="1506" cm="1">
        <f t="array" aca="1" ref="FC28" ca="1">IF(SwitchPA=1,_xll.TR(FC$7,FC$6,"Sdate=#1 Period=#2 Scale=6 NULL=BLANK",,$D28,$X$4),FC28)</f>
        <v>6956</v>
      </c>
      <c r="FD28" s="1506" t="str" cm="1">
        <f t="array" aca="1" ref="FD28" ca="1">IF(SwitchPA=1,_xll.TR(FD$7,FD$6,"Sdate=#1 Period=#2 Scale=6 NULL=BLANK",,$D28,$X$4),FD28)</f>
        <v/>
      </c>
      <c r="FE28" s="1506" cm="1">
        <f t="array" aca="1" ref="FE28" ca="1">IF(SwitchPA=1,_xll.TR(FE$7,FE$6,"Sdate=#1 Period=#2 Scale=6 NULL=BLANK",,$D28,$X$4),FE28)</f>
        <v>2121</v>
      </c>
      <c r="FF28" s="1506" cm="1">
        <f t="array" aca="1" ref="FF28" ca="1">IF(SwitchPA=1,_xll.TR(FF$7,FF$6,"Sdate=#1 Period=#2 Scale=6 NULL=BLANK",,$D28,$X$4),FF28)</f>
        <v>252.8</v>
      </c>
      <c r="FG28" s="1506" cm="1">
        <f t="array" aca="1" ref="FG28" ca="1">IF(SwitchPA=1,_xll.TR(FG$7,FG$6,"Sdate=#1 Period=#2 Scale=6 NULL=BLANK",,$D28,$X$4),FG28)</f>
        <v>1555</v>
      </c>
      <c r="FH28" s="1506" cm="1">
        <f t="array" aca="1" ref="FH28" ca="1">IF(SwitchPA=1,_xll.TR(FH$7,FH$6,"Sdate=#1 Period=#2 Scale=6 NULL=BLANK",,$D28,$X$4),FH28)</f>
        <v>361</v>
      </c>
      <c r="FI28" s="1506" cm="1">
        <f t="array" aca="1" ref="FI28" ca="1">IF(SwitchPA=1,_xll.TR(FI$7,FI$6,"Sdate=#1 Period=#2 Scale=6 NULL=BLANK",,$D28,$X$4),FI28)</f>
        <v>6409</v>
      </c>
      <c r="FJ28" s="1506" cm="1">
        <f t="array" aca="1" ref="FJ28" ca="1">IF(SwitchPA=1,_xll.TR(FJ$7,FJ$6,"Sdate=#1 Period=#2 Scale=6 NULL=BLANK",,$D28,$X$4),FJ28)</f>
        <v>310.82900000000001</v>
      </c>
      <c r="FK28" s="1506" cm="1">
        <f t="array" aca="1" ref="FK28" ca="1">IF(SwitchPA=1,_xll.TR(FK$7,FK$6,"Sdate=#1 Period=#2 Scale=6 NULL=BLANK",,$D28,$X$4),FK28)</f>
        <v>895</v>
      </c>
      <c r="FL28" s="1506" cm="1">
        <f t="array" aca="1" ref="FL28" ca="1">IF(SwitchPA=1,_xll.TR(FL$7,FL$6,"Sdate=#1 Period=#2 Scale=6 NULL=BLANK",,$D28,$X$4),FL28)</f>
        <v>183.9</v>
      </c>
      <c r="FM28" s="1506" t="str" cm="1">
        <f t="array" aca="1" ref="FM28" ca="1">IF(SwitchPA=1,_xll.TR(FM$7,FM$6,"Sdate=#1 Period=#2 Scale=6 NULL=BLANK",,$D28,$X$4),FM28)</f>
        <v/>
      </c>
      <c r="FN28" s="1506" cm="1">
        <f t="array" aca="1" ref="FN28" ca="1">IF(SwitchPA=1,_xll.TR(FN$7,FN$6,"Sdate=#1 Period=#2 Scale=6 NULL=BLANK",,$D28,$X$4),FN28)</f>
        <v>608.1</v>
      </c>
      <c r="FO28" s="1506" cm="1">
        <f t="array" aca="1" ref="FO28" ca="1">IF(SwitchPA=1,_xll.TR(FO$7,FO$6,"Sdate=#1 Period=#2 Scale=6 NULL=BLANK",,$D28,$X$4),FO28)</f>
        <v>1489</v>
      </c>
      <c r="FP28" s="1506" cm="1">
        <f t="array" aca="1" ref="FP28" ca="1">IF(SwitchPA=1,_xll.TR(FP$7,FP$6,"Sdate=#1 Period=#2 Scale=6 NULL=BLANK",,$D28,$X$4),FP28)</f>
        <v>788</v>
      </c>
      <c r="FQ28" s="1506" t="str" cm="1">
        <f t="array" aca="1" ref="FQ28" ca="1">IF(SwitchPA=1,_xll.TR(FQ$7,FQ$6,"Sdate=#1 Period=#2 Scale=6 NULL=BLANK",,$D28,$X$4),FQ28)</f>
        <v>Unable to resolve all requested identifiers.</v>
      </c>
      <c r="FS28" s="1506" cm="1">
        <f t="array" aca="1" ref="FS28" ca="1">IF(SwitchPA=1,_xll.TR(FS$7,FS$6,"Sdate=#1 Period=#2 NULL=BLANK Scale=6",,$D28,$FS$4),FS28)</f>
        <v>440</v>
      </c>
      <c r="FT28" s="1506" cm="1">
        <f t="array" aca="1" ref="FT28" ca="1">IF(SwitchPA=1,_xll.TR(FT$7,FT$6,"Sdate=#1 Period=#2 NULL=BLANK Scale=6",,$D28,$FS$4),FT28)</f>
        <v>69</v>
      </c>
      <c r="FU28" s="1506" cm="1">
        <f t="array" aca="1" ref="FU28" ca="1">IF(SwitchPA=1,_xll.TR(FU$7,FU$6,"Sdate=#1 Period=#2 NULL=BLANK Scale=6",,$D28,$FS$4),FU28)</f>
        <v>3699</v>
      </c>
      <c r="FV28" s="1506" t="str" cm="1">
        <f t="array" aca="1" ref="FV28" ca="1">IF(SwitchPA=1,_xll.TR(FV$7,FV$6,"Sdate=#1 Period=#2 NULL=BLANK Scale=6",,$D28,$FS$4),FV28)</f>
        <v/>
      </c>
      <c r="FW28" s="1506" t="str" cm="1">
        <f t="array" aca="1" ref="FW28" ca="1">IF(SwitchPA=1,_xll.TR(FW$7,FW$6,"Sdate=#1 Period=#2 NULL=BLANK Scale=6",,$D28,$FS$4),FW28)</f>
        <v/>
      </c>
      <c r="FX28" s="1506" cm="1">
        <f t="array" aca="1" ref="FX28" ca="1">IF(SwitchPA=1,_xll.TR(FX$7,FX$6,"Sdate=#1 Period=#2 NULL=BLANK Scale=6",,$D28,$FS$4),FX28)</f>
        <v>62.3</v>
      </c>
      <c r="FY28" s="1506" cm="1">
        <f t="array" aca="1" ref="FY28" ca="1">IF(SwitchPA=1,_xll.TR(FY$7,FY$6,"Sdate=#1 Period=#2 NULL=BLANK Scale=6",,$D28,$FS$4),FY28)</f>
        <v>338</v>
      </c>
      <c r="FZ28" s="1506" cm="1">
        <f t="array" aca="1" ref="FZ28" ca="1">IF(SwitchPA=1,_xll.TR(FZ$7,FZ$6,"Sdate=#1 Period=#2 NULL=BLANK Scale=6",,$D28,$FS$4),FZ28)</f>
        <v>1404</v>
      </c>
      <c r="GA28" s="1506" cm="1">
        <f t="array" aca="1" ref="GA28" ca="1">IF(SwitchPA=1,_xll.TR(GA$7,GA$6,"Sdate=#1 Period=#2 NULL=BLANK Scale=6",,$D28,$FS$4),GA28)</f>
        <v>4038</v>
      </c>
      <c r="GB28" s="1506" cm="1">
        <f t="array" aca="1" ref="GB28" ca="1">IF(SwitchPA=1,_xll.TR(GB$7,GB$6,"Sdate=#1 Period=#2 NULL=BLANK Scale=6",,$D28,$FS$4),GB28)</f>
        <v>257.73899999999998</v>
      </c>
      <c r="GC28" s="1506" cm="1">
        <f t="array" aca="1" ref="GC28" ca="1">IF(SwitchPA=1,_xll.TR(GC$7,GC$6,"Sdate=#1 Period=#2 NULL=BLANK Scale=6",,$D28,$FS$4),GC28)</f>
        <v>846</v>
      </c>
      <c r="GD28" s="1506" cm="1">
        <f t="array" aca="1" ref="GD28" ca="1">IF(SwitchPA=1,_xll.TR(GD$7,GD$6,"Sdate=#1 Period=#2 NULL=BLANK Scale=6",,$D28,$FS$4),GD28)</f>
        <v>198</v>
      </c>
      <c r="GE28" s="1506" t="str" cm="1">
        <f t="array" aca="1" ref="GE28" ca="1">IF(SwitchPA=1,_xll.TR(GE$7,GE$6,"Sdate=#1 Period=#2 NULL=BLANK Scale=6",,$D28,$FS$4),GE28)</f>
        <v/>
      </c>
      <c r="GF28" s="1506" cm="1">
        <f t="array" aca="1" ref="GF28" ca="1">IF(SwitchPA=1,_xll.TR(GF$7,GF$6,"Sdate=#1 Period=#2 NULL=BLANK Scale=6",,$D28,$FS$4),GF28)</f>
        <v>140.30000000000001</v>
      </c>
      <c r="GG28" s="1506" cm="1">
        <f t="array" aca="1" ref="GG28" ca="1">IF(SwitchPA=1,_xll.TR(GG$7,GG$6,"Sdate=#1 Period=#2 NULL=BLANK Scale=6",,$D28,$FS$4),GG28)</f>
        <v>1106</v>
      </c>
      <c r="GH28" s="1506" cm="1">
        <f t="array" aca="1" ref="GH28" ca="1">IF(SwitchPA=1,_xll.TR(GH$7,GH$6,"Sdate=#1 Period=#2 NULL=BLANK Scale=6",,$D28,$FS$4),GH28)</f>
        <v>969</v>
      </c>
      <c r="GI28" s="1506" t="str" cm="1">
        <f t="array" aca="1" ref="GI28" ca="1">IF(SwitchPA=1,_xll.TR(GI$7,GI$6,"Sdate=#1 Period=#2 NULL=BLANK Scale=6",,$D28,$FS$4),GI28)</f>
        <v>Unable to resolve all requested identifiers.</v>
      </c>
      <c r="GK28" s="1506" t="str" cm="1">
        <f t="array" aca="1" ref="GK28" ca="1">IF(SwitchPA=1,_xll.TR(GK$7,GK$6,"Sdate=#1 Period=#2 NULL=BLANK Scale=6",,$D28,$FS$4),GK28)</f>
        <v/>
      </c>
      <c r="GL28" s="1506" t="str" cm="1">
        <f t="array" aca="1" ref="GL28" ca="1">IF(SwitchPA=1,_xll.TR(GL$7,GL$6,"Sdate=#1 Period=#2 NULL=BLANK Scale=6",,$D28,$FS$4),GL28)</f>
        <v/>
      </c>
      <c r="GM28" s="1506" t="str" cm="1">
        <f t="array" aca="1" ref="GM28" ca="1">IF(SwitchPA=1,_xll.TR(GM$7,GM$6,"Sdate=#1 Period=#2 NULL=BLANK Scale=6",,$D28,$FS$4),GM28)</f>
        <v/>
      </c>
      <c r="GN28" s="1506" t="str" cm="1">
        <f t="array" aca="1" ref="GN28" ca="1">IF(SwitchPA=1,_xll.TR(GN$7,GN$6,"Sdate=#1 Period=#2 NULL=BLANK Scale=6",,$D28,$FS$4),GN28)</f>
        <v/>
      </c>
      <c r="GO28" s="1506" t="str" cm="1">
        <f t="array" aca="1" ref="GO28" ca="1">IF(SwitchPA=1,_xll.TR(GO$7,GO$6,"Sdate=#1 Period=#2 NULL=BLANK Scale=6",,$D28,$FS$4),GO28)</f>
        <v/>
      </c>
      <c r="GP28" s="1506" t="str" cm="1">
        <f t="array" aca="1" ref="GP28" ca="1">IF(SwitchPA=1,_xll.TR(GP$7,GP$6,"Sdate=#1 Period=#2 NULL=BLANK Scale=6",,$D28,$FS$4),GP28)</f>
        <v/>
      </c>
      <c r="GQ28" s="1506" t="str" cm="1">
        <f t="array" aca="1" ref="GQ28" ca="1">IF(SwitchPA=1,_xll.TR(GQ$7,GQ$6,"Sdate=#1 Period=#2 NULL=BLANK Scale=6",,$D28,$FS$4),GQ28)</f>
        <v/>
      </c>
      <c r="GR28" s="1506" t="str" cm="1">
        <f t="array" aca="1" ref="GR28" ca="1">IF(SwitchPA=1,_xll.TR(GR$7,GR$6,"Sdate=#1 Period=#2 NULL=BLANK Scale=6",,$D28,$FS$4),GR28)</f>
        <v/>
      </c>
      <c r="GS28" s="1506" t="str" cm="1">
        <f t="array" aca="1" ref="GS28" ca="1">IF(SwitchPA=1,_xll.TR(GS$7,GS$6,"Sdate=#1 Period=#2 NULL=BLANK Scale=6",,$D28,$FS$4),GS28)</f>
        <v/>
      </c>
      <c r="GT28" s="1506" t="str" cm="1">
        <f t="array" aca="1" ref="GT28" ca="1">IF(SwitchPA=1,_xll.TR(GT$7,GT$6,"Sdate=#1 Period=#2 NULL=BLANK Scale=6",,$D28,$FS$4),GT28)</f>
        <v/>
      </c>
      <c r="GU28" s="1506" t="str" cm="1">
        <f t="array" aca="1" ref="GU28" ca="1">IF(SwitchPA=1,_xll.TR(GU$7,GU$6,"Sdate=#1 Period=#2 NULL=BLANK Scale=6",,$D28,$FS$4),GU28)</f>
        <v/>
      </c>
      <c r="GV28" s="1506" t="str" cm="1">
        <f t="array" aca="1" ref="GV28" ca="1">IF(SwitchPA=1,_xll.TR(GV$7,GV$6,"Sdate=#1 Period=#2 NULL=BLANK Scale=6",,$D28,$FS$4),GV28)</f>
        <v/>
      </c>
      <c r="GW28" s="1506" t="str" cm="1">
        <f t="array" aca="1" ref="GW28" ca="1">IF(SwitchPA=1,_xll.TR(GW$7,GW$6,"Sdate=#1 Period=#2 NULL=BLANK Scale=6",,$D28,$FS$4),GW28)</f>
        <v/>
      </c>
      <c r="GX28" s="1506" t="str" cm="1">
        <f t="array" aca="1" ref="GX28" ca="1">IF(SwitchPA=1,_xll.TR(GX$7,GX$6,"Sdate=#1 Period=#2 NULL=BLANK Scale=6",,$D28,$FS$4),GX28)</f>
        <v/>
      </c>
      <c r="GY28" s="1506" t="str" cm="1">
        <f t="array" aca="1" ref="GY28" ca="1">IF(SwitchPA=1,_xll.TR(GY$7,GY$6,"Sdate=#1 Period=#2 NULL=BLANK Scale=6",,$D28,$FS$4),GY28)</f>
        <v/>
      </c>
      <c r="GZ28" s="1506" t="str" cm="1">
        <f t="array" aca="1" ref="GZ28" ca="1">IF(SwitchPA=1,_xll.TR(GZ$7,GZ$6,"Sdate=#1 Period=#2 NULL=BLANK Scale=6",,$D28,$FS$4),GZ28)</f>
        <v/>
      </c>
      <c r="HA28" s="1506" t="str" cm="1">
        <f t="array" aca="1" ref="HA28" ca="1">IF(SwitchPA=1,_xll.TR(HA$7,HA$6,"Sdate=#1 Period=#2 NULL=BLANK Scale=6",,$D28,$FS$4),HA28)</f>
        <v/>
      </c>
      <c r="HC28">
        <v>3.94</v>
      </c>
      <c r="HD28">
        <v>61.95</v>
      </c>
      <c r="HE28">
        <v>61.74</v>
      </c>
      <c r="HG28" s="762">
        <f t="shared" si="52"/>
        <v>-0.5553047404063205</v>
      </c>
      <c r="HH28" s="762">
        <f t="shared" si="53"/>
        <v>-0.37844888130831744</v>
      </c>
      <c r="HI28" s="762">
        <f t="shared" si="54"/>
        <v>-0.36311120280585929</v>
      </c>
    </row>
    <row r="29" spans="1:217" ht="11.25" customHeight="1">
      <c r="C29" s="1514">
        <f t="shared" si="51"/>
        <v>40543</v>
      </c>
      <c r="D29" s="1515">
        <f t="shared" si="49"/>
        <v>40588</v>
      </c>
      <c r="E29" s="1506" cm="1">
        <f t="array" aca="1" ref="E29" ca="1">IF(SwitchPA=1,_xll.TR(E$7,E$6,"Sdate=#1 Period=#2 NULL=BLANK",,$D29,$E$4),E29)</f>
        <v>6.2917095413208504</v>
      </c>
      <c r="F29" s="1506" cm="1">
        <f t="array" aca="1" ref="F29" ca="1">IF(SwitchPA=1,_xll.TR(F$7,F$6,"Sdate=#1 Period=#2 NULL=BLANK",,$D29,$E$4),F29)</f>
        <v>7.2385142449467299</v>
      </c>
      <c r="G29" s="1506" cm="1">
        <f t="array" aca="1" ref="G29" ca="1">IF(SwitchPA=1,_xll.TR(G$7,G$6,"Sdate=#1 Period=#2 NULL=BLANK",,$D29,$E$4),G29)</f>
        <v>5.6131026037756202</v>
      </c>
      <c r="H29" s="1506" t="str" cm="1">
        <f t="array" aca="1" ref="H29" ca="1">IF(SwitchPA=1,_xll.TR(H$7,H$6,"Sdate=#1 Period=#2 NULL=BLANK",,$D29,$E$4),H29)</f>
        <v/>
      </c>
      <c r="I29" s="1506" cm="1">
        <f t="array" aca="1" ref="I29" ca="1">IF(SwitchPA=1,_xll.TR(I$7,I$6,"Sdate=#1 Period=#2 NULL=BLANK",,$D29,$E$4),I29)</f>
        <v>6.1852158686275303</v>
      </c>
      <c r="J29" s="1506" cm="1">
        <f t="array" aca="1" ref="J29" ca="1">IF(SwitchPA=1,_xll.TR(J$7,J$6,"Sdate=#1 Period=#2 NULL=BLANK",,$D29,$E$4),J29)</f>
        <v>5.3867298517031799</v>
      </c>
      <c r="K29" s="1506" t="str" cm="1">
        <f t="array" aca="1" ref="K29" ca="1">IF(SwitchPA=1,_xll.TR(K$7,K$6,"Sdate=#1 Period=#2 NULL=BLANK",,$D29,$E$4),K29)</f>
        <v/>
      </c>
      <c r="L29" s="1506" cm="1">
        <f t="array" aca="1" ref="L29" ca="1">IF(SwitchPA=1,_xll.TR(L$7,L$6,"Sdate=#1 Period=#2 NULL=BLANK",,$D29,$E$4),L29)</f>
        <v>6.9676970079078702</v>
      </c>
      <c r="M29" s="1506" cm="1">
        <f t="array" aca="1" ref="M29" ca="1">IF(SwitchPA=1,_xll.TR(M$7,M$6,"Sdate=#1 Period=#2 NULL=BLANK",,$D29,$E$4),M29)</f>
        <v>8.3292376239351196</v>
      </c>
      <c r="N29" s="1506" cm="1">
        <f t="array" aca="1" ref="N29" ca="1">IF(SwitchPA=1,_xll.TR(N$7,N$6,"Sdate=#1 Period=#2 NULL=BLANK",,$D29,$E$4),N29)</f>
        <v>9.1258616712777094</v>
      </c>
      <c r="O29" s="1506" cm="1">
        <f t="array" aca="1" ref="O29" ca="1">IF(SwitchPA=1,_xll.TR(O$7,O$6,"Sdate=#1 Period=#2 NULL=BLANK",,$D29,$E$4),O29)</f>
        <v>6.3222673132448897</v>
      </c>
      <c r="P29" s="1506" cm="1">
        <f t="array" aca="1" ref="P29" ca="1">IF(SwitchPA=1,_xll.TR(P$7,P$6,"Sdate=#1 Period=#2 NULL=BLANK",,$D29,$E$4),P29)</f>
        <v>6.1621906783504503</v>
      </c>
      <c r="Q29" s="1506" t="str" cm="1">
        <f t="array" aca="1" ref="Q29" ca="1">IF(SwitchPA=1,_xll.TR(Q$7,Q$6,"Sdate=#1 Period=#2 NULL=BLANK",,$D29,$E$4),Q29)</f>
        <v/>
      </c>
      <c r="R29" s="1506" cm="1">
        <f t="array" aca="1" ref="R29" ca="1">IF(SwitchPA=1,_xll.TR(R$7,R$6,"Sdate=#1 Period=#2 NULL=BLANK",,$D29,$E$4),R29)</f>
        <v>8.4186797217840201</v>
      </c>
      <c r="S29" s="1506" cm="1">
        <f t="array" aca="1" ref="S29" ca="1">IF(SwitchPA=1,_xll.TR(S$7,S$6,"Sdate=#1 Period=#2 NULL=BLANK",,$D29,$E$4),S29)</f>
        <v>7.6195289045547501</v>
      </c>
      <c r="T29" s="1506" cm="1">
        <f t="array" aca="1" ref="T29" ca="1">IF(SwitchPA=1,_xll.TR(T$7,T$6,"Sdate=#1 Period=#2 NULL=BLANK",,$D29,$E$4),T29)</f>
        <v>4.0957282789535201</v>
      </c>
      <c r="U29" s="1506" t="str" cm="1">
        <f t="array" aca="1" ref="U29" ca="1">IF(SwitchPA=1,_xll.TR(U$7,U$6,"Sdate=#1 Period=#2 NULL=BLANK",,$D29,$E$4),U29)</f>
        <v>No universe defined.</v>
      </c>
      <c r="V29" s="1506" t="str" cm="1">
        <f t="array" aca="1" ref="V29" ca="1">IF(SwitchPA=1,_xll.TR(V$7,V$6,"Sdate=#1 Period=#2 NULL=BLANK",,$D29,$E$4),V29)</f>
        <v>No universe defined.</v>
      </c>
      <c r="W29" s="1521">
        <f t="shared" ca="1" si="55"/>
        <v>0.12089694157537201</v>
      </c>
      <c r="X29" s="1506" cm="1">
        <f t="array" aca="1" ref="X29" ca="1">IF(SwitchPA=1,_xll.TR(X$7,X$6,"Sdate=#1 Period=#2 NULL=BLANK",,$D29,$X$4),X29)</f>
        <v>6.4489330128632503</v>
      </c>
      <c r="Y29" s="1506" cm="1">
        <f t="array" aca="1" ref="Y29" ca="1">IF(SwitchPA=1,_xll.TR(Y$7,Y$6,"Sdate=#1 Period=#2 NULL=BLANK",,$D29,$X$4),Y29)</f>
        <v>8.1679702357921098</v>
      </c>
      <c r="Z29" s="1506" cm="1">
        <f t="array" aca="1" ref="Z29" ca="1">IF(SwitchPA=1,_xll.TR(Z$7,Z$6,"Sdate=#1 Period=#2 NULL=BLANK",,$D29,$X$4),Z29)</f>
        <v>5.9645460975766698</v>
      </c>
      <c r="AA29" s="1506" t="str" cm="1">
        <f t="array" aca="1" ref="AA29" ca="1">IF(SwitchPA=1,_xll.TR(AA$7,AA$6,"Sdate=#1 Period=#2 NULL=BLANK",,$D29,$X$4),AA29)</f>
        <v/>
      </c>
      <c r="AB29" s="1506" cm="1">
        <f t="array" aca="1" ref="AB29" ca="1">IF(SwitchPA=1,_xll.TR(AB$7,AB$6,"Sdate=#1 Period=#2 NULL=BLANK",,$D29,$X$4),AB29)</f>
        <v>5.8760244323787596</v>
      </c>
      <c r="AC29" s="1506" cm="1">
        <f t="array" aca="1" ref="AC29" ca="1">IF(SwitchPA=1,_xll.TR(AC$7,AC$6,"Sdate=#1 Period=#2 NULL=BLANK",,$D29,$X$4),AC29)</f>
        <v>7.5250636211926798</v>
      </c>
      <c r="AD29" s="1506" t="str" cm="1">
        <f t="array" aca="1" ref="AD29" ca="1">IF(SwitchPA=1,_xll.TR(AD$7,AD$6,"Sdate=#1 Period=#2 NULL=BLANK",,$D29,$X$4),AD29)</f>
        <v/>
      </c>
      <c r="AE29" s="1506" cm="1">
        <f t="array" aca="1" ref="AE29" ca="1">IF(SwitchPA=1,_xll.TR(AE$7,AE$6,"Sdate=#1 Period=#2 NULL=BLANK",,$D29,$X$4),AE29)</f>
        <v>8.6548426896463599</v>
      </c>
      <c r="AF29" s="1506" cm="1">
        <f t="array" aca="1" ref="AF29" ca="1">IF(SwitchPA=1,_xll.TR(AF$7,AF$6,"Sdate=#1 Period=#2 NULL=BLANK",,$D29,$X$4),AF29)</f>
        <v>9.07026836203827</v>
      </c>
      <c r="AG29" s="1506" cm="1">
        <f t="array" aca="1" ref="AG29" ca="1">IF(SwitchPA=1,_xll.TR(AG$7,AG$6,"Sdate=#1 Period=#2 NULL=BLANK",,$D29,$X$4),AG29)</f>
        <v>10.310787294049399</v>
      </c>
      <c r="AH29" s="1506" cm="1">
        <f t="array" aca="1" ref="AH29" ca="1">IF(SwitchPA=1,_xll.TR(AH$7,AH$6,"Sdate=#1 Period=#2 NULL=BLANK",,$D29,$X$4),AH29)</f>
        <v>6.2885794928572496</v>
      </c>
      <c r="AI29" s="1506" cm="1">
        <f t="array" aca="1" ref="AI29" ca="1">IF(SwitchPA=1,_xll.TR(AI$7,AI$6,"Sdate=#1 Period=#2 NULL=BLANK",,$D29,$X$4),AI29)</f>
        <v>7.0327253642262804</v>
      </c>
      <c r="AJ29" s="1506" t="str" cm="1">
        <f t="array" aca="1" ref="AJ29" ca="1">IF(SwitchPA=1,_xll.TR(AJ$7,AJ$6,"Sdate=#1 Period=#2 NULL=BLANK",,$D29,$X$4),AJ29)</f>
        <v/>
      </c>
      <c r="AK29" s="1506" cm="1">
        <f t="array" aca="1" ref="AK29" ca="1">IF(SwitchPA=1,_xll.TR(AK$7,AK$6,"Sdate=#1 Period=#2 NULL=BLANK",,$D29,$X$4),AK29)</f>
        <v>9.2488045115363793</v>
      </c>
      <c r="AL29" s="1506" cm="1">
        <f t="array" aca="1" ref="AL29" ca="1">IF(SwitchPA=1,_xll.TR(AL$7,AL$6,"Sdate=#1 Period=#2 NULL=BLANK",,$D29,$X$4),AL29)</f>
        <v>8.3208381225885706</v>
      </c>
      <c r="AM29" s="1506" cm="1">
        <f t="array" aca="1" ref="AM29" ca="1">IF(SwitchPA=1,_xll.TR(AM$7,AM$6,"Sdate=#1 Period=#2 NULL=BLANK",,$D29,$X$4),AM29)</f>
        <v>3.9542758573083598</v>
      </c>
      <c r="AN29" s="1506" t="str" cm="1">
        <f t="array" aca="1" ref="AN29" ca="1">IF(SwitchPA=1,_xll.TR(AN$7,AN$6,"Sdate=#1 Period=#2 NULL=BLANK",,$D29,$X$4),AN29)</f>
        <v/>
      </c>
      <c r="AO29" s="1506" t="str" cm="1">
        <f t="array" aca="1" ref="AO29" ca="1">IF(SwitchPA=1,_xll.TR(AO$7,AO$6,"Sdate=#1 Period=#2 NULL=BLANK",,$D29,$X$4),AO29)</f>
        <v/>
      </c>
      <c r="AQ29" s="1506" t="str" cm="1">
        <f t="array" aca="1" ref="AQ29" ca="1">IF(SwitchPA=1,_xll.TR(AQ$7,AQ$6,"Sdate=#1 Period=#2 NULL=BLANK Scale=6",,$D29,$AQ$4),AQ29)</f>
        <v/>
      </c>
      <c r="AR29" s="1506" t="str" cm="1">
        <f t="array" aca="1" ref="AR29" ca="1">IF(SwitchPA=1,_xll.TR(AR$7,AR$6,"Sdate=#1 Period=#2 NULL=BLANK Scale=6",,$D29,$AQ$4),AR29)</f>
        <v/>
      </c>
      <c r="AS29" s="1506" t="str" cm="1">
        <f t="array" aca="1" ref="AS29" ca="1">IF(SwitchPA=1,_xll.TR(AS$7,AS$6,"Sdate=#1 Period=#2 NULL=BLANK Scale=6",,$D29,$AQ$4),AS29)</f>
        <v/>
      </c>
      <c r="AT29" s="1506" t="str" cm="1">
        <f t="array" aca="1" ref="AT29" ca="1">IF(SwitchPA=1,_xll.TR(AT$7,AT$6,"Sdate=#1 Period=#2 NULL=BLANK Scale=6",,$D29,$AQ$4),AT29)</f>
        <v/>
      </c>
      <c r="AU29" s="1506" t="str" cm="1">
        <f t="array" aca="1" ref="AU29" ca="1">IF(SwitchPA=1,_xll.TR(AU$7,AU$6,"Sdate=#1 Period=#2 NULL=BLANK Scale=6",,$D29,$AQ$4),AU29)</f>
        <v/>
      </c>
      <c r="AV29" s="1506" t="str" cm="1">
        <f t="array" aca="1" ref="AV29" ca="1">IF(SwitchPA=1,_xll.TR(AV$7,AV$6,"Sdate=#1 Period=#2 NULL=BLANK Scale=6",,$D29,$AQ$4),AV29)</f>
        <v/>
      </c>
      <c r="AW29" s="1506" t="str" cm="1">
        <f t="array" aca="1" ref="AW29" ca="1">IF(SwitchPA=1,_xll.TR(AW$7,AW$6,"Sdate=#1 Period=#2 NULL=BLANK Scale=6",,$D29,$AQ$4),AW29)</f>
        <v/>
      </c>
      <c r="AX29" s="1506" t="str" cm="1">
        <f t="array" aca="1" ref="AX29" ca="1">IF(SwitchPA=1,_xll.TR(AX$7,AX$6,"Sdate=#1 Period=#2 NULL=BLANK Scale=6",,$D29,$AQ$4),AX29)</f>
        <v/>
      </c>
      <c r="AY29" s="1506" t="str" cm="1">
        <f t="array" aca="1" ref="AY29" ca="1">IF(SwitchPA=1,_xll.TR(AY$7,AY$6,"Sdate=#1 Period=#2 NULL=BLANK Scale=6",,$D29,$AQ$4),AY29)</f>
        <v/>
      </c>
      <c r="AZ29" s="1506" t="str" cm="1">
        <f t="array" aca="1" ref="AZ29" ca="1">IF(SwitchPA=1,_xll.TR(AZ$7,AZ$6,"Sdate=#1 Period=#2 NULL=BLANK Scale=6",,$D29,$AQ$4),AZ29)</f>
        <v/>
      </c>
      <c r="BA29" s="1506" t="str" cm="1">
        <f t="array" aca="1" ref="BA29" ca="1">IF(SwitchPA=1,_xll.TR(BA$7,BA$6,"Sdate=#1 Period=#2 NULL=BLANK Scale=6",,$D29,$AQ$4),BA29)</f>
        <v/>
      </c>
      <c r="BB29" s="1506" t="str" cm="1">
        <f t="array" aca="1" ref="BB29" ca="1">IF(SwitchPA=1,_xll.TR(BB$7,BB$6,"Sdate=#1 Period=#2 NULL=BLANK Scale=6",,$D29,$AQ$4),BB29)</f>
        <v/>
      </c>
      <c r="BC29" s="1506" t="str" cm="1">
        <f t="array" aca="1" ref="BC29" ca="1">IF(SwitchPA=1,_xll.TR(BC$7,BC$6,"Sdate=#1 Period=#2 NULL=BLANK Scale=6",,$D29,$AQ$4),BC29)</f>
        <v/>
      </c>
      <c r="BD29" s="1506" t="str" cm="1">
        <f t="array" aca="1" ref="BD29" ca="1">IF(SwitchPA=1,_xll.TR(BD$7,BD$6,"Sdate=#1 Period=#2 NULL=BLANK Scale=6",,$D29,$AQ$4),BD29)</f>
        <v/>
      </c>
      <c r="BE29" s="1506" t="str" cm="1">
        <f t="array" aca="1" ref="BE29" ca="1">IF(SwitchPA=1,_xll.TR(BE$7,BE$6,"Sdate=#1 Period=#2 NULL=BLANK Scale=6",,$D29,$AQ$4),BE29)</f>
        <v/>
      </c>
      <c r="BF29" s="1506" t="str" cm="1">
        <f t="array" aca="1" ref="BF29" ca="1">IF(SwitchPA=1,_xll.TR(BF$7,BF$6,"Sdate=#1 Period=#2 NULL=BLANK Scale=6",,$D29,$AQ$4),BF29)</f>
        <v/>
      </c>
      <c r="BG29" s="1506" t="str" cm="1">
        <f t="array" aca="1" ref="BG29" ca="1">IF(SwitchPA=1,_xll.TR(BG$7,BG$6,"Sdate=#1 Period=#2 NULL=BLANK Scale=6",,$D29,$AQ$4),BG29)</f>
        <v/>
      </c>
      <c r="BH29" s="1506" t="str" cm="1">
        <f t="array" aca="1" ref="BH29" ca="1">IF(SwitchPA=1,_xll.TR(BH$7,BH$6,"Sdate=#1 Period=#2 NULL=BLANK Scale=6",,$D29,$AQ$4),BH29)</f>
        <v/>
      </c>
      <c r="BJ29" s="1506" cm="1">
        <f t="array" aca="1" ref="BJ29" ca="1">IF(SwitchPA=1,_xll.TR(BJ$7,BJ$6,"Sdate=#1 Period=#2 NULL=BLANK Scale=6",,$D29,$BJ$4),BJ29)</f>
        <v>6.6755951250000001</v>
      </c>
      <c r="BK29" s="1506" cm="1">
        <f t="array" aca="1" ref="BK29" ca="1">IF(SwitchPA=1,_xll.TR(BK$7,BK$6,"Sdate=#1 Period=#2 NULL=BLANK Scale=6",,$D29,$BJ$4),BK29)</f>
        <v>10.742289297999999</v>
      </c>
      <c r="BL29" s="1506" cm="1">
        <f t="array" aca="1" ref="BL29" ca="1">IF(SwitchPA=1,_xll.TR(BL$7,BL$6,"Sdate=#1 Period=#2 NULL=BLANK Scale=6",,$D29,$BJ$4),BL29)</f>
        <v>6.8119543990000002</v>
      </c>
      <c r="BM29" s="1506" t="str" cm="1">
        <f t="array" aca="1" ref="BM29" ca="1">IF(SwitchPA=1,_xll.TR(BM$7,BM$6,"Sdate=#1 Period=#2 NULL=BLANK Scale=6",,$D29,$BJ$4),BM29)</f>
        <v/>
      </c>
      <c r="BN29" s="1506" cm="1">
        <f t="array" aca="1" ref="BN29" ca="1">IF(SwitchPA=1,_xll.TR(BN$7,BN$6,"Sdate=#1 Period=#2 NULL=BLANK Scale=6",,$D29,$BJ$4),BN29)</f>
        <v>6.7091678300000002</v>
      </c>
      <c r="BO29" s="1506" cm="1">
        <f t="array" aca="1" ref="BO29" ca="1">IF(SwitchPA=1,_xll.TR(BO$7,BO$6,"Sdate=#1 Period=#2 NULL=BLANK Scale=6",,$D29,$BJ$4),BO29)</f>
        <v>7.4710071979999997</v>
      </c>
      <c r="BP29" s="1506" t="str" cm="1">
        <f t="array" aca="1" ref="BP29" ca="1">IF(SwitchPA=1,_xll.TR(BP$7,BP$6,"Sdate=#1 Period=#2 NULL=BLANK Scale=6",,$D29,$BJ$4),BP29)</f>
        <v/>
      </c>
      <c r="BQ29" s="1506" cm="1">
        <f t="array" aca="1" ref="BQ29" ca="1">IF(SwitchPA=1,_xll.TR(BQ$7,BQ$6,"Sdate=#1 Period=#2 NULL=BLANK Scale=6",,$D29,$BJ$4),BQ29)</f>
        <v>9.5810594269999996</v>
      </c>
      <c r="BR29" s="1506" cm="1">
        <f t="array" aca="1" ref="BR29" ca="1">IF(SwitchPA=1,_xll.TR(BR$7,BR$6,"Sdate=#1 Period=#2 NULL=BLANK Scale=6",,$D29,$BJ$4),BR29)</f>
        <v>8.8571194519999992</v>
      </c>
      <c r="BS29" s="1506" cm="1">
        <f t="array" aca="1" ref="BS29" ca="1">IF(SwitchPA=1,_xll.TR(BS$7,BS$6,"Sdate=#1 Period=#2 NULL=BLANK Scale=6",,$D29,$BJ$4),BS29)</f>
        <v>11.745659114</v>
      </c>
      <c r="BT29" s="1506" cm="1">
        <f t="array" aca="1" ref="BT29" ca="1">IF(SwitchPA=1,_xll.TR(BT$7,BT$6,"Sdate=#1 Period=#2 NULL=BLANK Scale=6",,$D29,$BJ$4),BT29)</f>
        <v>11.110051795</v>
      </c>
      <c r="BU29" s="1506" cm="1">
        <f t="array" aca="1" ref="BU29" ca="1">IF(SwitchPA=1,_xll.TR(BU$7,BU$6,"Sdate=#1 Period=#2 NULL=BLANK Scale=6",,$D29,$BJ$4),BU29)</f>
        <v>7.0819241660000003</v>
      </c>
      <c r="BV29" s="1506" t="str" cm="1">
        <f t="array" aca="1" ref="BV29" ca="1">IF(SwitchPA=1,_xll.TR(BV$7,BV$6,"Sdate=#1 Period=#2 NULL=BLANK Scale=6",,$D29,$BJ$4),BV29)</f>
        <v/>
      </c>
      <c r="BW29" s="1506" cm="1">
        <f t="array" aca="1" ref="BW29" ca="1">IF(SwitchPA=1,_xll.TR(BW$7,BW$6,"Sdate=#1 Period=#2 NULL=BLANK Scale=6",,$D29,$BJ$4),BW29)</f>
        <v>8.9948934519999995</v>
      </c>
      <c r="BX29" s="1506" cm="1">
        <f t="array" aca="1" ref="BX29" ca="1">IF(SwitchPA=1,_xll.TR(BX$7,BX$6,"Sdate=#1 Period=#2 NULL=BLANK Scale=6",,$D29,$BJ$4),BX29)</f>
        <v>8.9098142389999992</v>
      </c>
      <c r="BY29" s="1506" cm="1">
        <f t="array" aca="1" ref="BY29" ca="1">IF(SwitchPA=1,_xll.TR(BY$7,BY$6,"Sdate=#1 Period=#2 NULL=BLANK Scale=6",,$D29,$BJ$4),BY29)</f>
        <v>3.8884460289999998</v>
      </c>
      <c r="BZ29" s="1506" t="str" cm="1">
        <f t="array" aca="1" ref="BZ29" ca="1">IF(SwitchPA=1,_xll.TR(BZ$7,BZ$6,"Sdate=#1 Period=#2 NULL=BLANK Scale=6",,$D29,$BJ$4),BZ29)</f>
        <v/>
      </c>
      <c r="CA29" s="1506" t="str" cm="1">
        <f t="array" aca="1" ref="CA29" ca="1">IF(SwitchPA=1,_xll.TR(CA$7,CA$6,"Sdate=#1 Period=#2 NULL=BLANK Scale=6",,$D29,$BJ$4),CA29)</f>
        <v/>
      </c>
      <c r="CC29" s="1506" cm="1">
        <f t="array" aca="1" ref="CC29" ca="1">IF(SwitchPA=1,_xll.TR(CC$7,CC$6,"Sdate=#1 Period=#2 NULL=BLANK Scale=6",,$D29,$CC$4),CC29)</f>
        <v>5842</v>
      </c>
      <c r="CD29" s="1506" cm="1">
        <f t="array" aca="1" ref="CD29" ca="1">IF(SwitchPA=1,_xll.TR(CD$7,CD$6,"Sdate=#1 Period=#2 NULL=BLANK Scale=6",,$D29,$CC$4),CD29)</f>
        <v>5918</v>
      </c>
      <c r="CE29" s="1506" cm="1">
        <f t="array" aca="1" ref="CE29" ca="1">IF(SwitchPA=1,_xll.TR(CE$7,CE$6,"Sdate=#1 Period=#2 NULL=BLANK Scale=6",,$D29,$CC$4),CE29)</f>
        <v>60623</v>
      </c>
      <c r="CF29" s="1506" t="str" cm="1">
        <f t="array" aca="1" ref="CF29" ca="1">IF(SwitchPA=1,_xll.TR(CF$7,CF$6,"Sdate=#1 Period=#2 NULL=BLANK Scale=6",,$D29,$CC$4),CF29)</f>
        <v/>
      </c>
      <c r="CG29" s="1506" cm="1">
        <f t="array" aca="1" ref="CG29" ca="1">IF(SwitchPA=1,_xll.TR(CG$7,CG$6,"Sdate=#1 Period=#2 NULL=BLANK Scale=6",,$D29,$CC$4),CG29)</f>
        <v>39358</v>
      </c>
      <c r="CH29" s="1506" cm="1">
        <f t="array" aca="1" ref="CH29" ca="1">IF(SwitchPA=1,_xll.TR(CH$7,CH$6,"Sdate=#1 Period=#2 NULL=BLANK Scale=6",,$D29,$CC$4),CH29)</f>
        <v>1585.9</v>
      </c>
      <c r="CI29" s="1506" cm="1">
        <f t="array" aca="1" ref="CI29" ca="1">IF(SwitchPA=1,_xll.TR(CI$7,CI$6,"Sdate=#1 Period=#2 NULL=BLANK Scale=6",,$D29,$CC$4),CI29)</f>
        <v>11835</v>
      </c>
      <c r="CJ29" s="1506" cm="1">
        <f t="array" aca="1" ref="CJ29" ca="1">IF(SwitchPA=1,_xll.TR(CJ$7,CJ$6,"Sdate=#1 Period=#2 NULL=BLANK Scale=6",,$D29,$CC$4),CJ29)</f>
        <v>8902</v>
      </c>
      <c r="CK29" s="1506" cm="1">
        <f t="array" aca="1" ref="CK29" ca="1">IF(SwitchPA=1,_xll.TR(CK$7,CK$6,"Sdate=#1 Period=#2 NULL=BLANK Scale=6",,$D29,$CC$4),CK29)</f>
        <v>26662</v>
      </c>
      <c r="CL29" s="1506" cm="1">
        <f t="array" aca="1" ref="CL29" ca="1">IF(SwitchPA=1,_xll.TR(CL$7,CL$6,"Sdate=#1 Period=#2 NULL=BLANK Scale=6",,$D29,$CC$4),CL29)</f>
        <v>2362.7640000000001</v>
      </c>
      <c r="CM29" s="1506" cm="1">
        <f t="array" aca="1" ref="CM29" ca="1">IF(SwitchPA=1,_xll.TR(CM$7,CM$6,"Sdate=#1 Period=#2 NULL=BLANK Scale=6",,$D29,$CC$4),CM29)</f>
        <v>5850</v>
      </c>
      <c r="CN29" s="1506" cm="1">
        <f t="array" aca="1" ref="CN29" ca="1">IF(SwitchPA=1,_xll.TR(CN$7,CN$6,"Sdate=#1 Period=#2 NULL=BLANK Scale=6",,$D29,$CC$4),CN29)</f>
        <v>2621.9</v>
      </c>
      <c r="CO29" s="1506" t="str" cm="1">
        <f t="array" aca="1" ref="CO29" ca="1">IF(SwitchPA=1,_xll.TR(CO$7,CO$6,"Sdate=#1 Period=#2 NULL=BLANK Scale=6",,$D29,$CC$4),CO29)</f>
        <v/>
      </c>
      <c r="CP29" s="1506" cm="1">
        <f t="array" aca="1" ref="CP29" ca="1">IF(SwitchPA=1,_xll.TR(CP$7,CP$6,"Sdate=#1 Period=#2 NULL=BLANK Scale=6",,$D29,$CC$4),CP29)</f>
        <v>3116.3</v>
      </c>
      <c r="CQ29" s="1506" cm="1">
        <f t="array" aca="1" ref="CQ29" ca="1">IF(SwitchPA=1,_xll.TR(CQ$7,CQ$6,"Sdate=#1 Period=#2 NULL=BLANK Scale=6",,$D29,$CC$4),CQ29)</f>
        <v>13423</v>
      </c>
      <c r="CR29" s="1506" cm="1">
        <f t="array" aca="1" ref="CR29" ca="1">IF(SwitchPA=1,_xll.TR(CR$7,CR$6,"Sdate=#1 Period=#2 NULL=BLANK Scale=6",,$D29,$CC$4),CR29)</f>
        <v>6047</v>
      </c>
      <c r="CS29" s="1506" t="str" cm="1">
        <f t="array" aca="1" ref="CS29" ca="1">IF(SwitchPA=1,_xll.TR(CS$7,CS$6,"Sdate=#1 Period=#2 NULL=BLANK Scale=6",,$D29,$CC$4),CS29)</f>
        <v>Unable to resolve all requested identifiers.</v>
      </c>
      <c r="CT29" s="1506" t="str" cm="1">
        <f t="array" aca="1" ref="CT29" ca="1">IF(SwitchPA=1,_xll.TR(CT$7,CT$6,"Sdate=#1 Period=#2 NULL=BLANK Scale=6",,$D29,$CC$4),CT29)</f>
        <v>Unable to resolve all requested identifiers.</v>
      </c>
      <c r="CV29" s="1516" cm="1">
        <f t="array" aca="1" ref="CV29" ca="1">IF(SwitchPA=1,_xll.TR(CV$7,CV$6,"Sdate=#1 Period=#2 NULL=BLANK Scale=6",,$D29,$AQ$4),CV29)</f>
        <v>3083.25</v>
      </c>
      <c r="CW29" s="1516" cm="1">
        <f t="array" aca="1" ref="CW29" ca="1">IF(SwitchPA=1,_xll.TR(CW$7,CW$6,"Sdate=#1 Period=#2 NULL=BLANK Scale=6",,$D29,$AQ$4),CW29)</f>
        <v>2825</v>
      </c>
      <c r="CX29" s="1516" cm="1">
        <f t="array" aca="1" ref="CX29" ca="1">IF(SwitchPA=1,_xll.TR(CX$7,CX$6,"Sdate=#1 Period=#2 NULL=BLANK Scale=6",,$D29,$AQ$4),CX29)</f>
        <v>16465.5</v>
      </c>
      <c r="CY29" s="1516" t="str" cm="1">
        <f t="array" aca="1" ref="CY29" ca="1">IF(SwitchPA=1,_xll.TR(CY$7,CY$6,"Sdate=#1 Period=#2 NULL=BLANK Scale=6",,$D29,$AQ$4),CY29)</f>
        <v/>
      </c>
      <c r="CZ29" s="1516" t="str" cm="1">
        <f t="array" aca="1" ref="CZ29" ca="1">IF(SwitchPA=1,_xll.TR(CZ$7,CZ$6,"Sdate=#1 Period=#2 NULL=BLANK Scale=6",,$D29,$AQ$4),CZ29)</f>
        <v/>
      </c>
      <c r="DA29" s="1516" cm="1">
        <f t="array" aca="1" ref="DA29" ca="1">IF(SwitchPA=1,_xll.TR(DA$7,DA$6,"Sdate=#1 Period=#2 NULL=BLANK Scale=6",,$D29,$AQ$4),DA29)</f>
        <v>682.8</v>
      </c>
      <c r="DB29" s="1516" cm="1">
        <f t="array" aca="1" ref="DB29" ca="1">IF(SwitchPA=1,_xll.TR(DB$7,DB$6,"Sdate=#1 Period=#2 NULL=BLANK Scale=6",,$D29,$AQ$4),DB29)</f>
        <v>5804.75</v>
      </c>
      <c r="DC29" s="1516" cm="1">
        <f t="array" aca="1" ref="DC29" ca="1">IF(SwitchPA=1,_xll.TR(DC$7,DC$6,"Sdate=#1 Period=#2 NULL=BLANK Scale=6",,$D29,$AQ$4),DC29)</f>
        <v>3431</v>
      </c>
      <c r="DD29" s="1516" cm="1">
        <f t="array" aca="1" ref="DD29" ca="1">IF(SwitchPA=1,_xll.TR(DD$7,DD$6,"Sdate=#1 Period=#2 NULL=BLANK Scale=6",,$D29,$AQ$4),DD29)</f>
        <v>6942</v>
      </c>
      <c r="DE29" s="1516" cm="1">
        <f t="array" aca="1" ref="DE29" ca="1">IF(SwitchPA=1,_xll.TR(DE$7,DE$6,"Sdate=#1 Period=#2 NULL=BLANK Scale=6",,$D29,$AQ$4),DE29)</f>
        <v>999.06975</v>
      </c>
      <c r="DF29" s="1516" cm="1">
        <f t="array" aca="1" ref="DF29" ca="1">IF(SwitchPA=1,_xll.TR(DF$7,DF$6,"Sdate=#1 Period=#2 NULL=BLANK Scale=6",,$D29,$AQ$4),DF29)</f>
        <v>1870.5</v>
      </c>
      <c r="DG29" s="1516" cm="1">
        <f t="array" aca="1" ref="DG29" ca="1">IF(SwitchPA=1,_xll.TR(DG$7,DG$6,"Sdate=#1 Period=#2 NULL=BLANK Scale=6",,$D29,$AQ$4),DG29)</f>
        <v>371.32499999999999</v>
      </c>
      <c r="DH29" s="1516" t="str" cm="1">
        <f t="array" aca="1" ref="DH29" ca="1">IF(SwitchPA=1,_xll.TR(DH$7,DH$6,"Sdate=#1 Period=#2 NULL=BLANK Scale=6",,$D29,$AQ$4),DH29)</f>
        <v/>
      </c>
      <c r="DI29" s="1516" cm="1">
        <f t="array" aca="1" ref="DI29" ca="1">IF(SwitchPA=1,_xll.TR(DI$7,DI$6,"Sdate=#1 Period=#2 NULL=BLANK Scale=6",,$D29,$AQ$4),DI29)</f>
        <v>929.05</v>
      </c>
      <c r="DJ29" s="1516" cm="1">
        <f t="array" aca="1" ref="DJ29" ca="1">IF(SwitchPA=1,_xll.TR(DJ$7,DJ$6,"Sdate=#1 Period=#2 NULL=BLANK Scale=6",,$D29,$AQ$4),DJ29)</f>
        <v>2624.75</v>
      </c>
      <c r="DK29" s="1516" cm="1">
        <f t="array" aca="1" ref="DK29" ca="1">IF(SwitchPA=1,_xll.TR(DK$7,DK$6,"Sdate=#1 Period=#2 NULL=BLANK Scale=6",,$D29,$AQ$4),DK29)</f>
        <v>3737.75</v>
      </c>
      <c r="DL29" s="1516" t="str" cm="1">
        <f t="array" aca="1" ref="DL29" ca="1">IF(SwitchPA=1,_xll.TR(DL$7,DL$6,"Sdate=#1 Period=#2 NULL=BLANK Scale=6",,$D29,$AQ$4),DL29)</f>
        <v>Unable to resolve all requested identifiers.</v>
      </c>
      <c r="DM29" s="1516" t="str" cm="1">
        <f t="array" aca="1" ref="DM29" ca="1">IF(SwitchPA=1,_xll.TR(DM$7,DM$6,"Sdate=#1 Period=#2 NULL=BLANK Scale=6",,$D29,$AQ$4),DM29)</f>
        <v>Unable to resolve all requested identifiers.</v>
      </c>
      <c r="DO29" s="1506" cm="1">
        <f t="array" aca="1" ref="DO29" ca="1">IF(SwitchPA=1,_xll.TR(DO$7,DO$6,"Sdate=#1 Period=#2 Scale=6 NULL=BLANK",,$D29,$X$4),DO29)</f>
        <v>7743.6903455199999</v>
      </c>
      <c r="DP29" s="1506" cm="1">
        <f t="array" aca="1" ref="DP29" ca="1">IF(SwitchPA=1,_xll.TR(DP$7,DP$6,"Sdate=#1 Period=#2 Scale=6 NULL=BLANK",,$D29,$X$4),DP29)</f>
        <v>9259.8533748600003</v>
      </c>
      <c r="DQ29" s="1506" cm="1">
        <f t="array" aca="1" ref="DQ29" ca="1">IF(SwitchPA=1,_xll.TR(DQ$7,DQ$6,"Sdate=#1 Period=#2 Scale=6 NULL=BLANK",,$D29,$X$4),DQ29)</f>
        <v>67295.29750606</v>
      </c>
      <c r="DR29" s="1506" t="str" cm="1">
        <f t="array" aca="1" ref="DR29" ca="1">IF(SwitchPA=1,_xll.TR(DR$7,DR$6,"Sdate=#1 Period=#2 Scale=6 NULL=BLANK",,$D29,$X$4),DR29)</f>
        <v/>
      </c>
      <c r="DS29" s="1506" cm="1">
        <f t="array" aca="1" ref="DS29" ca="1">IF(SwitchPA=1,_xll.TR(DS$7,DS$6,"Sdate=#1 Period=#2 Scale=6 NULL=BLANK",,$D29,$X$4),DS29)</f>
        <v>23710.199110199999</v>
      </c>
      <c r="DT29" s="1506" cm="1">
        <f t="array" aca="1" ref="DT29" ca="1">IF(SwitchPA=1,_xll.TR(DT$7,DT$6,"Sdate=#1 Period=#2 Scale=6 NULL=BLANK",,$D29,$X$4),DT29)</f>
        <v>1490.46593596</v>
      </c>
      <c r="DU29" s="1506" t="str" cm="1">
        <f t="array" aca="1" ref="DU29" ca="1">IF(SwitchPA=1,_xll.TR(DU$7,DU$6,"Sdate=#1 Period=#2 Scale=6 NULL=BLANK",,$D29,$X$4),DU29)</f>
        <v/>
      </c>
      <c r="DV29" s="1506" cm="1">
        <f t="array" aca="1" ref="DV29" ca="1">IF(SwitchPA=1,_xll.TR(DV$7,DV$6,"Sdate=#1 Period=#2 Scale=6 NULL=BLANK",,$D29,$X$4),DV29)</f>
        <v>7866.0497895400003</v>
      </c>
      <c r="DW29" s="1506" cm="1">
        <f t="array" aca="1" ref="DW29" ca="1">IF(SwitchPA=1,_xll.TR(DW$7,DW$6,"Sdate=#1 Period=#2 Scale=6 NULL=BLANK",,$D29,$X$4),DW29)</f>
        <v>65648.969378199996</v>
      </c>
      <c r="DX29" s="1506" cm="1">
        <f t="array" aca="1" ref="DX29" ca="1">IF(SwitchPA=1,_xll.TR(DX$7,DX$6,"Sdate=#1 Period=#2 Scale=6 NULL=BLANK",,$D29,$X$4),DX29)</f>
        <v>5672.68352564</v>
      </c>
      <c r="DY29" s="1506" cm="1">
        <f t="array" aca="1" ref="DY29" ca="1">IF(SwitchPA=1,_xll.TR(DY$7,DY$6,"Sdate=#1 Period=#2 Scale=6 NULL=BLANK",,$D29,$X$4),DY29)</f>
        <v>5532.8057938399998</v>
      </c>
      <c r="DZ29" s="1506" cm="1">
        <f t="array" aca="1" ref="DZ29" ca="1">IF(SwitchPA=1,_xll.TR(DZ$7,DZ$6,"Sdate=#1 Period=#2 Scale=6 NULL=BLANK",,$D29,$X$4),DZ29)</f>
        <v>1535.3611590999999</v>
      </c>
      <c r="EA29" s="1506" t="str" cm="1">
        <f t="array" aca="1" ref="EA29" ca="1">IF(SwitchPA=1,_xll.TR(EA$7,EA$6,"Sdate=#1 Period=#2 Scale=6 NULL=BLANK",,$D29,$X$4),EA29)</f>
        <v/>
      </c>
      <c r="EB29" s="1506" cm="1">
        <f t="array" aca="1" ref="EB29" ca="1">IF(SwitchPA=1,_xll.TR(EB$7,EB$6,"Sdate=#1 Period=#2 Scale=6 NULL=BLANK",,$D29,$X$4),EB29)</f>
        <v>6288.3300119599999</v>
      </c>
      <c r="EC29" s="1506" cm="1">
        <f t="array" aca="1" ref="EC29" ca="1">IF(SwitchPA=1,_xll.TR(EC$7,EC$6,"Sdate=#1 Period=#2 Scale=6 NULL=BLANK",,$D29,$X$4),EC29)</f>
        <v>16643.5329986</v>
      </c>
      <c r="ED29" s="1506" cm="1">
        <f t="array" aca="1" ref="ED29" ca="1">IF(SwitchPA=1,_xll.TR(ED$7,ED$6,"Sdate=#1 Period=#2 Scale=6 NULL=BLANK",,$D29,$X$4),ED29)</f>
        <v>4191.7448192649999</v>
      </c>
      <c r="EE29" s="1506" t="str" cm="1">
        <f t="array" aca="1" ref="EE29" ca="1">IF(SwitchPA=1,_xll.TR(EE$7,EE$6,"Sdate=#1 Period=#2 Scale=6 NULL=BLANK",,$D29,$X$4),EE29)</f>
        <v/>
      </c>
      <c r="EF29" s="1506" t="str" cm="1">
        <f t="array" aca="1" ref="EF29" ca="1">IF(SwitchPA=1,_xll.TR(EF$7,EF$6,"Sdate=#1 Period=#2 Scale=6 NULL=BLANK",,$D29,$X$4),EF29)</f>
        <v/>
      </c>
      <c r="EG29" s="1517"/>
      <c r="EH29" s="1506" cm="1">
        <f t="array" aca="1" ref="EH29" ca="1">IF(SwitchPA=1,_xll.TR(EH$7,EH$6,"Sdate=#1 Period=#2 Scale=6 NULL=BLANK",,$D29,$X$4),EH29)</f>
        <v>891</v>
      </c>
      <c r="EI29" s="1506" cm="1">
        <f t="array" aca="1" ref="EI29" ca="1">IF(SwitchPA=1,_xll.TR(EI$7,EI$6,"Sdate=#1 Period=#2 Scale=6 NULL=BLANK",,$D29,$X$4),EI29)</f>
        <v>562</v>
      </c>
      <c r="EJ29" s="1506" cm="1">
        <f t="array" aca="1" ref="EJ29" ca="1">IF(SwitchPA=1,_xll.TR(EJ$7,EJ$6,"Sdate=#1 Period=#2 Scale=6 NULL=BLANK",,$D29,$X$4),EJ29)</f>
        <v>6519</v>
      </c>
      <c r="EK29" s="1506" t="str" cm="1">
        <f t="array" aca="1" ref="EK29" ca="1">IF(SwitchPA=1,_xll.TR(EK$7,EK$6,"Sdate=#1 Period=#2 Scale=6 NULL=BLANK",,$D29,$X$4),EK29)</f>
        <v/>
      </c>
      <c r="EL29" s="1506" cm="1">
        <f t="array" aca="1" ref="EL29" ca="1">IF(SwitchPA=1,_xll.TR(EL$7,EL$6,"Sdate=#1 Period=#2 Scale=6 NULL=BLANK",,$D29,$X$4),EL29)</f>
        <v>2182</v>
      </c>
      <c r="EM29" s="1506" cm="1">
        <f t="array" aca="1" ref="EM29" ca="1">IF(SwitchPA=1,_xll.TR(EM$7,EM$6,"Sdate=#1 Period=#2 Scale=6 NULL=BLANK",,$D29,$X$4),EM29)</f>
        <v>104.1</v>
      </c>
      <c r="EN29" s="1506" cm="1">
        <f t="array" aca="1" ref="EN29" ca="1">IF(SwitchPA=1,_xll.TR(EN$7,EN$6,"Sdate=#1 Period=#2 Scale=6 NULL=BLANK",,$D29,$X$4),EN29)</f>
        <v>1076</v>
      </c>
      <c r="EO29" s="1506" cm="1">
        <f t="array" aca="1" ref="EO29" ca="1">IF(SwitchPA=1,_xll.TR(EO$7,EO$6,"Sdate=#1 Period=#2 Scale=6 NULL=BLANK",,$D29,$X$4),EO29)</f>
        <v>422</v>
      </c>
      <c r="EP29" s="1506" cm="1">
        <f t="array" aca="1" ref="EP29" ca="1">IF(SwitchPA=1,_xll.TR(EP$7,EP$6,"Sdate=#1 Period=#2 Scale=6 NULL=BLANK",,$D29,$X$4),EP29)</f>
        <v>6002</v>
      </c>
      <c r="EQ29" s="1506" cm="1">
        <f t="array" aca="1" ref="EQ29" ca="1">IF(SwitchPA=1,_xll.TR(EQ$7,EQ$6,"Sdate=#1 Period=#2 Scale=6 NULL=BLANK",,$D29,$X$4),EQ29)</f>
        <v>421.80599999999998</v>
      </c>
      <c r="ER29" s="1506" cm="1">
        <f t="array" aca="1" ref="ER29" ca="1">IF(SwitchPA=1,_xll.TR(ER$7,ER$6,"Sdate=#1 Period=#2 Scale=6 NULL=BLANK",,$D29,$X$4),ER29)</f>
        <v>239</v>
      </c>
      <c r="ES29" s="1506" cm="1">
        <f t="array" aca="1" ref="ES29" ca="1">IF(SwitchPA=1,_xll.TR(ES$7,ES$6,"Sdate=#1 Period=#2 Scale=6 NULL=BLANK",,$D29,$X$4),ES29)</f>
        <v>127.3</v>
      </c>
      <c r="ET29" s="1506" t="str" cm="1">
        <f t="array" aca="1" ref="ET29" ca="1">IF(SwitchPA=1,_xll.TR(ET$7,ET$6,"Sdate=#1 Period=#2 Scale=6 NULL=BLANK",,$D29,$X$4),ET29)</f>
        <v/>
      </c>
      <c r="EU29" s="1506" cm="1">
        <f t="array" aca="1" ref="EU29" ca="1">IF(SwitchPA=1,_xll.TR(EU$7,EU$6,"Sdate=#1 Period=#2 Scale=6 NULL=BLANK",,$D29,$X$4),EU29)</f>
        <v>556.20000000000005</v>
      </c>
      <c r="EV29" s="1506" cm="1">
        <f t="array" aca="1" ref="EV29" ca="1">IF(SwitchPA=1,_xll.TR(EV$7,EV$6,"Sdate=#1 Period=#2 Scale=6 NULL=BLANK",,$D29,$X$4),EV29)</f>
        <v>1487</v>
      </c>
      <c r="EW29" s="1506" cm="1">
        <f t="array" aca="1" ref="EW29" ca="1">IF(SwitchPA=1,_xll.TR(EW$7,EW$6,"Sdate=#1 Period=#2 Scale=6 NULL=BLANK",,$D29,$X$4),EW29)</f>
        <v>478</v>
      </c>
      <c r="EX29" s="1506" t="str" cm="1">
        <f t="array" aca="1" ref="EX29" ca="1">IF(SwitchPA=1,_xll.TR(EX$7,EX$6,"Sdate=#1 Period=#2 Scale=6 NULL=BLANK",,$D29,$X$4),EX29)</f>
        <v>Unable to resolve all requested identifiers.</v>
      </c>
      <c r="EY29" s="1506" t="str" cm="1">
        <f t="array" aca="1" ref="EY29" ca="1">IF(SwitchPA=1,_xll.TR(EY$7,EY$6,"Sdate=#1 Period=#2 Scale=6 NULL=BLANK",,$D29,$X$4),EY29)</f>
        <v>Unable to resolve all requested identifiers.</v>
      </c>
      <c r="FA29" s="1506" cm="1">
        <f t="array" aca="1" ref="FA29" ca="1">IF(SwitchPA=1,_xll.TR(FA$7,FA$6,"Sdate=#1 Period=#2 Scale=6 NULL=BLANK",,$D29,$X$4),FA29)</f>
        <v>1171</v>
      </c>
      <c r="FB29" s="1506" cm="1">
        <f t="array" aca="1" ref="FB29" ca="1">IF(SwitchPA=1,_xll.TR(FB$7,FB$6,"Sdate=#1 Period=#2 Scale=6 NULL=BLANK",,$D29,$X$4),FB29)</f>
        <v>862</v>
      </c>
      <c r="FC29" s="1506" cm="1">
        <f t="array" aca="1" ref="FC29" ca="1">IF(SwitchPA=1,_xll.TR(FC$7,FC$6,"Sdate=#1 Period=#2 Scale=6 NULL=BLANK",,$D29,$X$4),FC29)</f>
        <v>9879</v>
      </c>
      <c r="FD29" s="1506" t="str" cm="1">
        <f t="array" aca="1" ref="FD29" ca="1">IF(SwitchPA=1,_xll.TR(FD$7,FD$6,"Sdate=#1 Period=#2 Scale=6 NULL=BLANK",,$D29,$X$4),FD29)</f>
        <v/>
      </c>
      <c r="FE29" s="1506" cm="1">
        <f t="array" aca="1" ref="FE29" ca="1">IF(SwitchPA=1,_xll.TR(FE$7,FE$6,"Sdate=#1 Period=#2 Scale=6 NULL=BLANK",,$D29,$X$4),FE29)</f>
        <v>3534</v>
      </c>
      <c r="FF29" s="1506" cm="1">
        <f t="array" aca="1" ref="FF29" ca="1">IF(SwitchPA=1,_xll.TR(FF$7,FF$6,"Sdate=#1 Period=#2 Scale=6 NULL=BLANK",,$D29,$X$4),FF29)</f>
        <v>191</v>
      </c>
      <c r="FG29" s="1506" cm="1">
        <f t="array" aca="1" ref="FG29" ca="1">IF(SwitchPA=1,_xll.TR(FG$7,FG$6,"Sdate=#1 Period=#2 Scale=6 NULL=BLANK",,$D29,$X$4),FG29)</f>
        <v>1778</v>
      </c>
      <c r="FH29" s="1506" cm="1">
        <f t="array" aca="1" ref="FH29" ca="1">IF(SwitchPA=1,_xll.TR(FH$7,FH$6,"Sdate=#1 Period=#2 Scale=6 NULL=BLANK",,$D29,$X$4),FH29)</f>
        <v>821</v>
      </c>
      <c r="FI29" s="1506" cm="1">
        <f t="array" aca="1" ref="FI29" ca="1">IF(SwitchPA=1,_xll.TR(FI$7,FI$6,"Sdate=#1 Period=#2 Scale=6 NULL=BLANK",,$D29,$X$4),FI29)</f>
        <v>7101</v>
      </c>
      <c r="FJ29" s="1506" cm="1">
        <f t="array" aca="1" ref="FJ29" ca="1">IF(SwitchPA=1,_xll.TR(FJ$7,FJ$6,"Sdate=#1 Period=#2 Scale=6 NULL=BLANK",,$D29,$X$4),FJ29)</f>
        <v>517.38400000000001</v>
      </c>
      <c r="FK29" s="1506" cm="1">
        <f t="array" aca="1" ref="FK29" ca="1">IF(SwitchPA=1,_xll.TR(FK$7,FK$6,"Sdate=#1 Period=#2 Scale=6 NULL=BLANK",,$D29,$X$4),FK29)</f>
        <v>498</v>
      </c>
      <c r="FL29" s="1506" cm="1">
        <f t="array" aca="1" ref="FL29" ca="1">IF(SwitchPA=1,_xll.TR(FL$7,FL$6,"Sdate=#1 Period=#2 Scale=6 NULL=BLANK",,$D29,$X$4),FL29)</f>
        <v>182.5</v>
      </c>
      <c r="FM29" s="1506" t="str" cm="1">
        <f t="array" aca="1" ref="FM29" ca="1">IF(SwitchPA=1,_xll.TR(FM$7,FM$6,"Sdate=#1 Period=#2 Scale=6 NULL=BLANK",,$D29,$X$4),FM29)</f>
        <v/>
      </c>
      <c r="FN29" s="1506" cm="1">
        <f t="array" aca="1" ref="FN29" ca="1">IF(SwitchPA=1,_xll.TR(FN$7,FN$6,"Sdate=#1 Period=#2 Scale=6 NULL=BLANK",,$D29,$X$4),FN29)</f>
        <v>689.8</v>
      </c>
      <c r="FO29" s="1506" cm="1">
        <f t="array" aca="1" ref="FO29" ca="1">IF(SwitchPA=1,_xll.TR(FO$7,FO$6,"Sdate=#1 Period=#2 Scale=6 NULL=BLANK",,$D29,$X$4),FO29)</f>
        <v>1957</v>
      </c>
      <c r="FP29" s="1506" cm="1">
        <f t="array" aca="1" ref="FP29" ca="1">IF(SwitchPA=1,_xll.TR(FP$7,FP$6,"Sdate=#1 Period=#2 Scale=6 NULL=BLANK",,$D29,$X$4),FP29)</f>
        <v>1078</v>
      </c>
      <c r="FQ29" s="1506" t="str" cm="1">
        <f t="array" aca="1" ref="FQ29" ca="1">IF(SwitchPA=1,_xll.TR(FQ$7,FQ$6,"Sdate=#1 Period=#2 Scale=6 NULL=BLANK",,$D29,$X$4),FQ29)</f>
        <v>Unable to resolve all requested identifiers.</v>
      </c>
      <c r="FS29" s="1506" cm="1">
        <f t="array" aca="1" ref="FS29" ca="1">IF(SwitchPA=1,_xll.TR(FS$7,FS$6,"Sdate=#1 Period=#2 NULL=BLANK Scale=6",,$D29,$FS$4),FS29)</f>
        <v>325</v>
      </c>
      <c r="FT29" s="1506" cm="1">
        <f t="array" aca="1" ref="FT29" ca="1">IF(SwitchPA=1,_xll.TR(FT$7,FT$6,"Sdate=#1 Period=#2 NULL=BLANK Scale=6",,$D29,$FS$4),FT29)</f>
        <v>-61</v>
      </c>
      <c r="FU29" s="1506" cm="1">
        <f t="array" aca="1" ref="FU29" ca="1">IF(SwitchPA=1,_xll.TR(FU$7,FU$6,"Sdate=#1 Period=#2 NULL=BLANK Scale=6",,$D29,$FS$4),FU29)</f>
        <v>3844</v>
      </c>
      <c r="FV29" s="1506" t="str" cm="1">
        <f t="array" aca="1" ref="FV29" ca="1">IF(SwitchPA=1,_xll.TR(FV$7,FV$6,"Sdate=#1 Period=#2 NULL=BLANK Scale=6",,$D29,$FS$4),FV29)</f>
        <v/>
      </c>
      <c r="FW29" s="1506" cm="1">
        <f t="array" aca="1" ref="FW29" ca="1">IF(SwitchPA=1,_xll.TR(FW$7,FW$6,"Sdate=#1 Period=#2 NULL=BLANK Scale=6",,$D29,$FS$4),FW29)</f>
        <v>443</v>
      </c>
      <c r="FX29" s="1506" cm="1">
        <f t="array" aca="1" ref="FX29" ca="1">IF(SwitchPA=1,_xll.TR(FX$7,FX$6,"Sdate=#1 Period=#2 NULL=BLANK Scale=6",,$D29,$FS$4),FX29)</f>
        <v>30.2</v>
      </c>
      <c r="FY29" s="1506" cm="1">
        <f t="array" aca="1" ref="FY29" ca="1">IF(SwitchPA=1,_xll.TR(FY$7,FY$6,"Sdate=#1 Period=#2 NULL=BLANK Scale=6",,$D29,$FS$4),FY29)</f>
        <v>1428</v>
      </c>
      <c r="FZ29" s="1506" cm="1">
        <f t="array" aca="1" ref="FZ29" ca="1">IF(SwitchPA=1,_xll.TR(FZ$7,FZ$6,"Sdate=#1 Period=#2 NULL=BLANK Scale=6",,$D29,$FS$4),FZ29)</f>
        <v>-334</v>
      </c>
      <c r="GA29" s="1506" cm="1">
        <f t="array" aca="1" ref="GA29" ca="1">IF(SwitchPA=1,_xll.TR(GA$7,GA$6,"Sdate=#1 Period=#2 NULL=BLANK Scale=6",,$D29,$FS$4),GA29)</f>
        <v>4083</v>
      </c>
      <c r="GB29" s="1506" cm="1">
        <f t="array" aca="1" ref="GB29" ca="1">IF(SwitchPA=1,_xll.TR(GB$7,GB$6,"Sdate=#1 Period=#2 NULL=BLANK Scale=6",,$D29,$FS$4),GB29)</f>
        <v>255.83099999999999</v>
      </c>
      <c r="GC29" s="1506" cm="1">
        <f t="array" aca="1" ref="GC29" ca="1">IF(SwitchPA=1,_xll.TR(GC$7,GC$6,"Sdate=#1 Period=#2 NULL=BLANK Scale=6",,$D29,$FS$4),GC29)</f>
        <v>227</v>
      </c>
      <c r="GD29" s="1506" cm="1">
        <f t="array" aca="1" ref="GD29" ca="1">IF(SwitchPA=1,_xll.TR(GD$7,GD$6,"Sdate=#1 Period=#2 NULL=BLANK Scale=6",,$D29,$FS$4),GD29)</f>
        <v>101.3</v>
      </c>
      <c r="GE29" s="1506" t="str" cm="1">
        <f t="array" aca="1" ref="GE29" ca="1">IF(SwitchPA=1,_xll.TR(GE$7,GE$6,"Sdate=#1 Period=#2 NULL=BLANK Scale=6",,$D29,$FS$4),GE29)</f>
        <v/>
      </c>
      <c r="GF29" s="1506" cm="1">
        <f t="array" aca="1" ref="GF29" ca="1">IF(SwitchPA=1,_xll.TR(GF$7,GF$6,"Sdate=#1 Period=#2 NULL=BLANK Scale=6",,$D29,$FS$4),GF29)</f>
        <v>212.2</v>
      </c>
      <c r="GG29" s="1506" cm="1">
        <f t="array" aca="1" ref="GG29" ca="1">IF(SwitchPA=1,_xll.TR(GG$7,GG$6,"Sdate=#1 Period=#2 NULL=BLANK Scale=6",,$D29,$FS$4),GG29)</f>
        <v>1003</v>
      </c>
      <c r="GH29" s="1506" cm="1">
        <f t="array" aca="1" ref="GH29" ca="1">IF(SwitchPA=1,_xll.TR(GH$7,GH$6,"Sdate=#1 Period=#2 NULL=BLANK Scale=6",,$D29,$FS$4),GH29)</f>
        <v>623</v>
      </c>
      <c r="GI29" s="1506" t="str" cm="1">
        <f t="array" aca="1" ref="GI29" ca="1">IF(SwitchPA=1,_xll.TR(GI$7,GI$6,"Sdate=#1 Period=#2 NULL=BLANK Scale=6",,$D29,$FS$4),GI29)</f>
        <v>Unable to resolve all requested identifiers.</v>
      </c>
      <c r="GK29" s="1506" cm="1">
        <f t="array" aca="1" ref="GK29" ca="1">IF(SwitchPA=1,_xll.TR(GK$7,GK$6,"Sdate=#1 Period=#2 NULL=BLANK Scale=6",,$D29,$FS$4),GK29)</f>
        <v>2.0068317677199001</v>
      </c>
      <c r="GL29" s="1506" cm="1">
        <f t="array" aca="1" ref="GL29" ca="1">IF(SwitchPA=1,_xll.TR(GL$7,GL$6,"Sdate=#1 Period=#2 NULL=BLANK Scale=6",,$D29,$FS$4),GL29)</f>
        <v>0.45475216007275998</v>
      </c>
      <c r="GM29" s="1506" cm="1">
        <f t="array" aca="1" ref="GM29" ca="1">IF(SwitchPA=1,_xll.TR(GM$7,GM$6,"Sdate=#1 Period=#2 NULL=BLANK Scale=6",,$D29,$FS$4),GM29)</f>
        <v>2.8576231299378101</v>
      </c>
      <c r="GN29" s="1506" t="str" cm="1">
        <f t="array" aca="1" ref="GN29" ca="1">IF(SwitchPA=1,_xll.TR(GN$7,GN$6,"Sdate=#1 Period=#2 NULL=BLANK Scale=6",,$D29,$FS$4),GN29)</f>
        <v/>
      </c>
      <c r="GO29" s="1506" t="str" cm="1">
        <f t="array" aca="1" ref="GO29" ca="1">IF(SwitchPA=1,_xll.TR(GO$7,GO$6,"Sdate=#1 Period=#2 NULL=BLANK Scale=6",,$D29,$FS$4),GO29)</f>
        <v/>
      </c>
      <c r="GP29" s="1506" cm="1">
        <f t="array" aca="1" ref="GP29" ca="1">IF(SwitchPA=1,_xll.TR(GP$7,GP$6,"Sdate=#1 Period=#2 NULL=BLANK Scale=6",,$D29,$FS$4),GP29)</f>
        <v>4.2530568846358303</v>
      </c>
      <c r="GQ29" s="1506" t="str" cm="1">
        <f t="array" aca="1" ref="GQ29" ca="1">IF(SwitchPA=1,_xll.TR(GQ$7,GQ$6,"Sdate=#1 Period=#2 NULL=BLANK Scale=6",,$D29,$FS$4),GQ29)</f>
        <v/>
      </c>
      <c r="GR29" s="1506" cm="1">
        <f t="array" aca="1" ref="GR29" ca="1">IF(SwitchPA=1,_xll.TR(GR$7,GR$6,"Sdate=#1 Period=#2 NULL=BLANK Scale=6",,$D29,$FS$4),GR29)</f>
        <v>2.1287919105907398</v>
      </c>
      <c r="GS29" s="1506" cm="1">
        <f t="array" aca="1" ref="GS29" ca="1">IF(SwitchPA=1,_xll.TR(GS$7,GS$6,"Sdate=#1 Period=#2 NULL=BLANK Scale=6",,$D29,$FS$4),GS29)</f>
        <v>2.3939064200217599</v>
      </c>
      <c r="GT29" s="1506" cm="1">
        <f t="array" aca="1" ref="GT29" ca="1">IF(SwitchPA=1,_xll.TR(GT$7,GT$6,"Sdate=#1 Period=#2 NULL=BLANK Scale=6",,$D29,$FS$4),GT29)</f>
        <v>0.97188476223533504</v>
      </c>
      <c r="GU29" s="1506" cm="1">
        <f t="array" aca="1" ref="GU29" ca="1">IF(SwitchPA=1,_xll.TR(GU$7,GU$6,"Sdate=#1 Period=#2 NULL=BLANK Scale=6",,$D29,$FS$4),GU29)</f>
        <v>1.01402737873923</v>
      </c>
      <c r="GV29" s="1506" t="str" cm="1">
        <f t="array" aca="1" ref="GV29" ca="1">IF(SwitchPA=1,_xll.TR(GV$7,GV$6,"Sdate=#1 Period=#2 NULL=BLANK Scale=6",,$D29,$FS$4),GV29)</f>
        <v/>
      </c>
      <c r="GW29" s="1506" t="str" cm="1">
        <f t="array" aca="1" ref="GW29" ca="1">IF(SwitchPA=1,_xll.TR(GW$7,GW$6,"Sdate=#1 Period=#2 NULL=BLANK Scale=6",,$D29,$FS$4),GW29)</f>
        <v/>
      </c>
      <c r="GX29" s="1506" cm="1">
        <f t="array" aca="1" ref="GX29" ca="1">IF(SwitchPA=1,_xll.TR(GX$7,GX$6,"Sdate=#1 Period=#2 NULL=BLANK Scale=6",,$D29,$FS$4),GX29)</f>
        <v>0.61282019855374403</v>
      </c>
      <c r="GY29" s="1506" cm="1">
        <f t="array" aca="1" ref="GY29" ca="1">IF(SwitchPA=1,_xll.TR(GY$7,GY$6,"Sdate=#1 Period=#2 NULL=BLANK Scale=6",,$D29,$FS$4),GY29)</f>
        <v>2.48615662786756</v>
      </c>
      <c r="GZ29" s="1506" cm="1">
        <f t="array" aca="1" ref="GZ29" ca="1">IF(SwitchPA=1,_xll.TR(GZ$7,GZ$6,"Sdate=#1 Period=#2 NULL=BLANK Scale=6",,$D29,$FS$4),GZ29)</f>
        <v>3.72960372956135</v>
      </c>
      <c r="HA29" s="1506" t="str" cm="1">
        <f t="array" aca="1" ref="HA29" ca="1">IF(SwitchPA=1,_xll.TR(HA$7,HA$6,"Sdate=#1 Period=#2 NULL=BLANK Scale=6",,$D29,$FS$4),HA29)</f>
        <v/>
      </c>
      <c r="HC29">
        <v>4.37</v>
      </c>
      <c r="HD29">
        <v>79.48</v>
      </c>
      <c r="HE29">
        <v>79.61</v>
      </c>
      <c r="HG29" s="762">
        <f t="shared" si="52"/>
        <v>0.1091370558375635</v>
      </c>
      <c r="HH29" s="762">
        <f t="shared" si="53"/>
        <v>0.28297013720742537</v>
      </c>
      <c r="HI29" s="762">
        <f t="shared" si="54"/>
        <v>0.28943958535795256</v>
      </c>
    </row>
    <row r="30" spans="1:217" ht="11.25" customHeight="1">
      <c r="C30" s="1514">
        <f t="shared" si="51"/>
        <v>40908</v>
      </c>
      <c r="D30" s="1515">
        <f t="shared" si="49"/>
        <v>40953</v>
      </c>
      <c r="E30" s="1506" cm="1">
        <f t="array" aca="1" ref="E30" ca="1">IF(SwitchPA=1,_xll.TR(E$7,E$6,"Sdate=#1 Period=#2 NULL=BLANK",,$D30,$E$4),E30)</f>
        <v>5.3720191970030298</v>
      </c>
      <c r="F30" s="1506" cm="1">
        <f t="array" aca="1" ref="F30" ca="1">IF(SwitchPA=1,_xll.TR(F$7,F$6,"Sdate=#1 Period=#2 NULL=BLANK",,$D30,$E$4),F30)</f>
        <v>7.0863523891336504</v>
      </c>
      <c r="G30" s="1506" cm="1">
        <f t="array" aca="1" ref="G30" ca="1">IF(SwitchPA=1,_xll.TR(G$7,G$6,"Sdate=#1 Period=#2 NULL=BLANK",,$D30,$E$4),G30)</f>
        <v>6.0872655791151002</v>
      </c>
      <c r="H30" s="1506" t="str" cm="1">
        <f t="array" aca="1" ref="H30" ca="1">IF(SwitchPA=1,_xll.TR(H$7,H$6,"Sdate=#1 Period=#2 NULL=BLANK",,$D30,$E$4),H30)</f>
        <v/>
      </c>
      <c r="I30" s="1506" cm="1">
        <f t="array" aca="1" ref="I30" ca="1">IF(SwitchPA=1,_xll.TR(I$7,I$6,"Sdate=#1 Period=#2 NULL=BLANK",,$D30,$E$4),I30)</f>
        <v>4.90426029754786</v>
      </c>
      <c r="J30" s="1506" cm="1">
        <f t="array" aca="1" ref="J30" ca="1">IF(SwitchPA=1,_xll.TR(J$7,J$6,"Sdate=#1 Period=#2 NULL=BLANK",,$D30,$E$4),J30)</f>
        <v>5.5359252751945602</v>
      </c>
      <c r="K30" s="1506" t="str" cm="1">
        <f t="array" aca="1" ref="K30" ca="1">IF(SwitchPA=1,_xll.TR(K$7,K$6,"Sdate=#1 Period=#2 NULL=BLANK",,$D30,$E$4),K30)</f>
        <v/>
      </c>
      <c r="L30" s="1506" cm="1">
        <f t="array" aca="1" ref="L30" ca="1">IF(SwitchPA=1,_xll.TR(L$7,L$6,"Sdate=#1 Period=#2 NULL=BLANK",,$D30,$E$4),L30)</f>
        <v>5.0386172213395897</v>
      </c>
      <c r="M30" s="1506" cm="1">
        <f t="array" aca="1" ref="M30" ca="1">IF(SwitchPA=1,_xll.TR(M$7,M$6,"Sdate=#1 Period=#2 NULL=BLANK",,$D30,$E$4),M30)</f>
        <v>8.0350650454030603</v>
      </c>
      <c r="N30" s="1506" cm="1">
        <f t="array" aca="1" ref="N30" ca="1">IF(SwitchPA=1,_xll.TR(N$7,N$6,"Sdate=#1 Period=#2 NULL=BLANK",,$D30,$E$4),N30)</f>
        <v>8.9733789856627197</v>
      </c>
      <c r="O30" s="1506" cm="1">
        <f t="array" aca="1" ref="O30" ca="1">IF(SwitchPA=1,_xll.TR(O$7,O$6,"Sdate=#1 Period=#2 NULL=BLANK",,$D30,$E$4),O30)</f>
        <v>6.0704714621837201</v>
      </c>
      <c r="P30" s="1506" cm="1">
        <f t="array" aca="1" ref="P30" ca="1">IF(SwitchPA=1,_xll.TR(P$7,P$6,"Sdate=#1 Period=#2 NULL=BLANK",,$D30,$E$4),P30)</f>
        <v>4.4610687978077603</v>
      </c>
      <c r="Q30" s="1506" t="str" cm="1">
        <f t="array" aca="1" ref="Q30" ca="1">IF(SwitchPA=1,_xll.TR(Q$7,Q$6,"Sdate=#1 Period=#2 NULL=BLANK",,$D30,$E$4),Q30)</f>
        <v/>
      </c>
      <c r="R30" s="1506" cm="1">
        <f t="array" aca="1" ref="R30" ca="1">IF(SwitchPA=1,_xll.TR(R$7,R$6,"Sdate=#1 Period=#2 NULL=BLANK",,$D30,$E$4),R30)</f>
        <v>8.0687912775927408</v>
      </c>
      <c r="S30" s="1506" cm="1">
        <f t="array" aca="1" ref="S30" ca="1">IF(SwitchPA=1,_xll.TR(S$7,S$6,"Sdate=#1 Period=#2 NULL=BLANK",,$D30,$E$4),S30)</f>
        <v>7.1280771109433996</v>
      </c>
      <c r="T30" s="1506" cm="1">
        <f t="array" aca="1" ref="T30" ca="1">IF(SwitchPA=1,_xll.TR(T$7,T$6,"Sdate=#1 Period=#2 NULL=BLANK",,$D30,$E$4),T30)</f>
        <v>5.1152771847804299</v>
      </c>
      <c r="U30" s="1506" t="str" cm="1">
        <f t="array" aca="1" ref="U30" ca="1">IF(SwitchPA=1,_xll.TR(U$7,U$6,"Sdate=#1 Period=#2 NULL=BLANK",,$D30,$E$4),U30)</f>
        <v>No universe defined.</v>
      </c>
      <c r="V30" s="1506" t="str" cm="1">
        <f t="array" aca="1" ref="V30" ca="1">IF(SwitchPA=1,_xll.TR(V$7,V$6,"Sdate=#1 Period=#2 NULL=BLANK",,$D30,$E$4),V30)</f>
        <v>No universe defined.</v>
      </c>
      <c r="W30" s="1521">
        <f t="shared" ca="1" si="55"/>
        <v>-0.11749879692550647</v>
      </c>
      <c r="X30" s="1506" cm="1">
        <f t="array" aca="1" ref="X30" ca="1">IF(SwitchPA=1,_xll.TR(X$7,X$6,"Sdate=#1 Period=#2 NULL=BLANK",,$D30,$X$4),X30)</f>
        <v>6.1645998992764897</v>
      </c>
      <c r="Y30" s="1506" cm="1">
        <f t="array" aca="1" ref="Y30" ca="1">IF(SwitchPA=1,_xll.TR(Y$7,Y$6,"Sdate=#1 Period=#2 NULL=BLANK",,$D30,$X$4),Y30)</f>
        <v>7.4076056450093501</v>
      </c>
      <c r="Z30" s="1506" cm="1">
        <f t="array" aca="1" ref="Z30" ca="1">IF(SwitchPA=1,_xll.TR(Z$7,Z$6,"Sdate=#1 Period=#2 NULL=BLANK",,$D30,$X$4),Z30)</f>
        <v>5.9727803211908501</v>
      </c>
      <c r="AA30" s="1506" t="str" cm="1">
        <f t="array" aca="1" ref="AA30" ca="1">IF(SwitchPA=1,_xll.TR(AA$7,AA$6,"Sdate=#1 Period=#2 NULL=BLANK",,$D30,$X$4),AA30)</f>
        <v/>
      </c>
      <c r="AB30" s="1506" cm="1">
        <f t="array" aca="1" ref="AB30" ca="1">IF(SwitchPA=1,_xll.TR(AB$7,AB$6,"Sdate=#1 Period=#2 NULL=BLANK",,$D30,$X$4),AB30)</f>
        <v>4.6793796446190097</v>
      </c>
      <c r="AC30" s="1506" cm="1">
        <f t="array" aca="1" ref="AC30" ca="1">IF(SwitchPA=1,_xll.TR(AC$7,AC$6,"Sdate=#1 Period=#2 NULL=BLANK",,$D30,$X$4),AC30)</f>
        <v>5.9988775132713803</v>
      </c>
      <c r="AD30" s="1506" t="str" cm="1">
        <f t="array" aca="1" ref="AD30" ca="1">IF(SwitchPA=1,_xll.TR(AD$7,AD$6,"Sdate=#1 Period=#2 NULL=BLANK",,$D30,$X$4),AD30)</f>
        <v/>
      </c>
      <c r="AE30" s="1506" cm="1">
        <f t="array" aca="1" ref="AE30" ca="1">IF(SwitchPA=1,_xll.TR(AE$7,AE$6,"Sdate=#1 Period=#2 NULL=BLANK",,$D30,$X$4),AE30)</f>
        <v>5.4829009926327501</v>
      </c>
      <c r="AF30" s="1506" cm="1">
        <f t="array" aca="1" ref="AF30" ca="1">IF(SwitchPA=1,_xll.TR(AF$7,AF$6,"Sdate=#1 Period=#2 NULL=BLANK",,$D30,$X$4),AF30)</f>
        <v>8.4182050183660095</v>
      </c>
      <c r="AG30" s="1506" cm="1">
        <f t="array" aca="1" ref="AG30" ca="1">IF(SwitchPA=1,_xll.TR(AG$7,AG$6,"Sdate=#1 Period=#2 NULL=BLANK",,$D30,$X$4),AG30)</f>
        <v>9.0206579588885898</v>
      </c>
      <c r="AH30" s="1506" cm="1">
        <f t="array" aca="1" ref="AH30" ca="1">IF(SwitchPA=1,_xll.TR(AH$7,AH$6,"Sdate=#1 Period=#2 NULL=BLANK",,$D30,$X$4),AH30)</f>
        <v>8.2411025962120608</v>
      </c>
      <c r="AI30" s="1506" cm="1">
        <f t="array" aca="1" ref="AI30" ca="1">IF(SwitchPA=1,_xll.TR(AI$7,AI$6,"Sdate=#1 Period=#2 NULL=BLANK",,$D30,$X$4),AI30)</f>
        <v>5.3506599219343904</v>
      </c>
      <c r="AJ30" s="1506" t="str" cm="1">
        <f t="array" aca="1" ref="AJ30" ca="1">IF(SwitchPA=1,_xll.TR(AJ$7,AJ$6,"Sdate=#1 Period=#2 NULL=BLANK",,$D30,$X$4),AJ30)</f>
        <v/>
      </c>
      <c r="AK30" s="1506" cm="1">
        <f t="array" aca="1" ref="AK30" ca="1">IF(SwitchPA=1,_xll.TR(AK$7,AK$6,"Sdate=#1 Period=#2 NULL=BLANK",,$D30,$X$4),AK30)</f>
        <v>9.0315981300706607</v>
      </c>
      <c r="AL30" s="1506" cm="1">
        <f t="array" aca="1" ref="AL30" ca="1">IF(SwitchPA=1,_xll.TR(AL$7,AL$6,"Sdate=#1 Period=#2 NULL=BLANK",,$D30,$X$4),AL30)</f>
        <v>7.2784184520036801</v>
      </c>
      <c r="AM30" s="1506" cm="1">
        <f t="array" aca="1" ref="AM30" ca="1">IF(SwitchPA=1,_xll.TR(AM$7,AM$6,"Sdate=#1 Period=#2 NULL=BLANK",,$D30,$X$4),AM30)</f>
        <v>6.9689293584979701</v>
      </c>
      <c r="AN30" s="1506" t="str" cm="1">
        <f t="array" aca="1" ref="AN30" ca="1">IF(SwitchPA=1,_xll.TR(AN$7,AN$6,"Sdate=#1 Period=#2 NULL=BLANK",,$D30,$X$4),AN30)</f>
        <v/>
      </c>
      <c r="AO30" s="1506" t="str" cm="1">
        <f t="array" aca="1" ref="AO30" ca="1">IF(SwitchPA=1,_xll.TR(AO$7,AO$6,"Sdate=#1 Period=#2 NULL=BLANK",,$D30,$X$4),AO30)</f>
        <v/>
      </c>
      <c r="AQ30" s="1506" t="str" cm="1">
        <f t="array" aca="1" ref="AQ30" ca="1">IF(SwitchPA=1,_xll.TR(AQ$7,AQ$6,"Sdate=#1 Period=#2 NULL=BLANK Scale=6",,$D30,$AQ$4),AQ30)</f>
        <v/>
      </c>
      <c r="AR30" s="1506" t="str" cm="1">
        <f t="array" aca="1" ref="AR30" ca="1">IF(SwitchPA=1,_xll.TR(AR$7,AR$6,"Sdate=#1 Period=#2 NULL=BLANK Scale=6",,$D30,$AQ$4),AR30)</f>
        <v/>
      </c>
      <c r="AS30" s="1506" t="str" cm="1">
        <f t="array" aca="1" ref="AS30" ca="1">IF(SwitchPA=1,_xll.TR(AS$7,AS$6,"Sdate=#1 Period=#2 NULL=BLANK Scale=6",,$D30,$AQ$4),AS30)</f>
        <v/>
      </c>
      <c r="AT30" s="1506" t="str" cm="1">
        <f t="array" aca="1" ref="AT30" ca="1">IF(SwitchPA=1,_xll.TR(AT$7,AT$6,"Sdate=#1 Period=#2 NULL=BLANK Scale=6",,$D30,$AQ$4),AT30)</f>
        <v/>
      </c>
      <c r="AU30" s="1506" t="str" cm="1">
        <f t="array" aca="1" ref="AU30" ca="1">IF(SwitchPA=1,_xll.TR(AU$7,AU$6,"Sdate=#1 Period=#2 NULL=BLANK Scale=6",,$D30,$AQ$4),AU30)</f>
        <v/>
      </c>
      <c r="AV30" s="1506" t="str" cm="1">
        <f t="array" aca="1" ref="AV30" ca="1">IF(SwitchPA=1,_xll.TR(AV$7,AV$6,"Sdate=#1 Period=#2 NULL=BLANK Scale=6",,$D30,$AQ$4),AV30)</f>
        <v/>
      </c>
      <c r="AW30" s="1506" t="str" cm="1">
        <f t="array" aca="1" ref="AW30" ca="1">IF(SwitchPA=1,_xll.TR(AW$7,AW$6,"Sdate=#1 Period=#2 NULL=BLANK Scale=6",,$D30,$AQ$4),AW30)</f>
        <v/>
      </c>
      <c r="AX30" s="1506" t="str" cm="1">
        <f t="array" aca="1" ref="AX30" ca="1">IF(SwitchPA=1,_xll.TR(AX$7,AX$6,"Sdate=#1 Period=#2 NULL=BLANK Scale=6",,$D30,$AQ$4),AX30)</f>
        <v/>
      </c>
      <c r="AY30" s="1506" t="str" cm="1">
        <f t="array" aca="1" ref="AY30" ca="1">IF(SwitchPA=1,_xll.TR(AY$7,AY$6,"Sdate=#1 Period=#2 NULL=BLANK Scale=6",,$D30,$AQ$4),AY30)</f>
        <v/>
      </c>
      <c r="AZ30" s="1506" t="str" cm="1">
        <f t="array" aca="1" ref="AZ30" ca="1">IF(SwitchPA=1,_xll.TR(AZ$7,AZ$6,"Sdate=#1 Period=#2 NULL=BLANK Scale=6",,$D30,$AQ$4),AZ30)</f>
        <v/>
      </c>
      <c r="BA30" s="1506" t="str" cm="1">
        <f t="array" aca="1" ref="BA30" ca="1">IF(SwitchPA=1,_xll.TR(BA$7,BA$6,"Sdate=#1 Period=#2 NULL=BLANK Scale=6",,$D30,$AQ$4),BA30)</f>
        <v/>
      </c>
      <c r="BB30" s="1506" t="str" cm="1">
        <f t="array" aca="1" ref="BB30" ca="1">IF(SwitchPA=1,_xll.TR(BB$7,BB$6,"Sdate=#1 Period=#2 NULL=BLANK Scale=6",,$D30,$AQ$4),BB30)</f>
        <v/>
      </c>
      <c r="BC30" s="1506" t="str" cm="1">
        <f t="array" aca="1" ref="BC30" ca="1">IF(SwitchPA=1,_xll.TR(BC$7,BC$6,"Sdate=#1 Period=#2 NULL=BLANK Scale=6",,$D30,$AQ$4),BC30)</f>
        <v/>
      </c>
      <c r="BD30" s="1506" t="str" cm="1">
        <f t="array" aca="1" ref="BD30" ca="1">IF(SwitchPA=1,_xll.TR(BD$7,BD$6,"Sdate=#1 Period=#2 NULL=BLANK Scale=6",,$D30,$AQ$4),BD30)</f>
        <v/>
      </c>
      <c r="BE30" s="1506" t="str" cm="1">
        <f t="array" aca="1" ref="BE30" ca="1">IF(SwitchPA=1,_xll.TR(BE$7,BE$6,"Sdate=#1 Period=#2 NULL=BLANK Scale=6",,$D30,$AQ$4),BE30)</f>
        <v/>
      </c>
      <c r="BF30" s="1506" t="str" cm="1">
        <f t="array" aca="1" ref="BF30" ca="1">IF(SwitchPA=1,_xll.TR(BF$7,BF$6,"Sdate=#1 Period=#2 NULL=BLANK Scale=6",,$D30,$AQ$4),BF30)</f>
        <v/>
      </c>
      <c r="BG30" s="1506" t="str" cm="1">
        <f t="array" aca="1" ref="BG30" ca="1">IF(SwitchPA=1,_xll.TR(BG$7,BG$6,"Sdate=#1 Period=#2 NULL=BLANK Scale=6",,$D30,$AQ$4),BG30)</f>
        <v/>
      </c>
      <c r="BH30" s="1506" t="str" cm="1">
        <f t="array" aca="1" ref="BH30" ca="1">IF(SwitchPA=1,_xll.TR(BH$7,BH$6,"Sdate=#1 Period=#2 NULL=BLANK Scale=6",,$D30,$AQ$4),BH30)</f>
        <v/>
      </c>
      <c r="BJ30" s="1506" cm="1">
        <f t="array" aca="1" ref="BJ30" ca="1">IF(SwitchPA=1,_xll.TR(BJ$7,BJ$6,"Sdate=#1 Period=#2 NULL=BLANK Scale=6",,$D30,$BJ$4),BJ30)</f>
        <v>6.1075869120000004</v>
      </c>
      <c r="BK30" s="1506" cm="1">
        <f t="array" aca="1" ref="BK30" ca="1">IF(SwitchPA=1,_xll.TR(BK$7,BK$6,"Sdate=#1 Period=#2 NULL=BLANK Scale=6",,$D30,$BJ$4),BK30)</f>
        <v>9.7723389039999997</v>
      </c>
      <c r="BL30" s="1506" cm="1">
        <f t="array" aca="1" ref="BL30" ca="1">IF(SwitchPA=1,_xll.TR(BL$7,BL$6,"Sdate=#1 Period=#2 NULL=BLANK Scale=6",,$D30,$BJ$4),BL30)</f>
        <v>6.1048713130000003</v>
      </c>
      <c r="BM30" s="1506" t="str" cm="1">
        <f t="array" aca="1" ref="BM30" ca="1">IF(SwitchPA=1,_xll.TR(BM$7,BM$6,"Sdate=#1 Period=#2 NULL=BLANK Scale=6",,$D30,$BJ$4),BM30)</f>
        <v/>
      </c>
      <c r="BN30" s="1506" cm="1">
        <f t="array" aca="1" ref="BN30" ca="1">IF(SwitchPA=1,_xll.TR(BN$7,BN$6,"Sdate=#1 Period=#2 NULL=BLANK Scale=6",,$D30,$BJ$4),BN30)</f>
        <v>4.8911845449999998</v>
      </c>
      <c r="BO30" s="1506" cm="1">
        <f t="array" aca="1" ref="BO30" ca="1">IF(SwitchPA=1,_xll.TR(BO$7,BO$6,"Sdate=#1 Period=#2 NULL=BLANK Scale=6",,$D30,$BJ$4),BO30)</f>
        <v>6.3627142230000002</v>
      </c>
      <c r="BP30" s="1506" t="str" cm="1">
        <f t="array" aca="1" ref="BP30" ca="1">IF(SwitchPA=1,_xll.TR(BP$7,BP$6,"Sdate=#1 Period=#2 NULL=BLANK Scale=6",,$D30,$BJ$4),BP30)</f>
        <v/>
      </c>
      <c r="BQ30" s="1506" cm="1">
        <f t="array" aca="1" ref="BQ30" ca="1">IF(SwitchPA=1,_xll.TR(BQ$7,BQ$6,"Sdate=#1 Period=#2 NULL=BLANK Scale=6",,$D30,$BJ$4),BQ30)</f>
        <v>5.7631840539999999</v>
      </c>
      <c r="BR30" s="1506" cm="1">
        <f t="array" aca="1" ref="BR30" ca="1">IF(SwitchPA=1,_xll.TR(BR$7,BR$6,"Sdate=#1 Period=#2 NULL=BLANK Scale=6",,$D30,$BJ$4),BR30)</f>
        <v>8.6077657769999991</v>
      </c>
      <c r="BS30" s="1506" cm="1">
        <f t="array" aca="1" ref="BS30" ca="1">IF(SwitchPA=1,_xll.TR(BS$7,BS$6,"Sdate=#1 Period=#2 NULL=BLANK Scale=6",,$D30,$BJ$4),BS30)</f>
        <v>9.5516518680000004</v>
      </c>
      <c r="BT30" s="1506" cm="1">
        <f t="array" aca="1" ref="BT30" ca="1">IF(SwitchPA=1,_xll.TR(BT$7,BT$6,"Sdate=#1 Period=#2 NULL=BLANK Scale=6",,$D30,$BJ$4),BT30)</f>
        <v>16.331778757999999</v>
      </c>
      <c r="BU30" s="1506" cm="1">
        <f t="array" aca="1" ref="BU30" ca="1">IF(SwitchPA=1,_xll.TR(BU$7,BU$6,"Sdate=#1 Period=#2 NULL=BLANK Scale=6",,$D30,$BJ$4),BU30)</f>
        <v>14.146597845000001</v>
      </c>
      <c r="BV30" s="1506" t="str" cm="1">
        <f t="array" aca="1" ref="BV30" ca="1">IF(SwitchPA=1,_xll.TR(BV$7,BV$6,"Sdate=#1 Period=#2 NULL=BLANK Scale=6",,$D30,$BJ$4),BV30)</f>
        <v/>
      </c>
      <c r="BW30" s="1506" cm="1">
        <f t="array" aca="1" ref="BW30" ca="1">IF(SwitchPA=1,_xll.TR(BW$7,BW$6,"Sdate=#1 Period=#2 NULL=BLANK Scale=6",,$D30,$BJ$4),BW30)</f>
        <v>9.6944419810000007</v>
      </c>
      <c r="BX30" s="1506" cm="1">
        <f t="array" aca="1" ref="BX30" ca="1">IF(SwitchPA=1,_xll.TR(BX$7,BX$6,"Sdate=#1 Period=#2 NULL=BLANK Scale=6",,$D30,$BJ$4),BX30)</f>
        <v>7.1933778620000002</v>
      </c>
      <c r="BY30" s="1506" cm="1">
        <f t="array" aca="1" ref="BY30" ca="1">IF(SwitchPA=1,_xll.TR(BY$7,BY$6,"Sdate=#1 Period=#2 NULL=BLANK Scale=6",,$D30,$BJ$4),BY30)</f>
        <v>8.7930908250000002</v>
      </c>
      <c r="BZ30" s="1506" t="str" cm="1">
        <f t="array" aca="1" ref="BZ30" ca="1">IF(SwitchPA=1,_xll.TR(BZ$7,BZ$6,"Sdate=#1 Period=#2 NULL=BLANK Scale=6",,$D30,$BJ$4),BZ30)</f>
        <v/>
      </c>
      <c r="CA30" s="1506" t="str" cm="1">
        <f t="array" aca="1" ref="CA30" ca="1">IF(SwitchPA=1,_xll.TR(CA$7,CA$6,"Sdate=#1 Period=#2 NULL=BLANK Scale=6",,$D30,$BJ$4),CA30)</f>
        <v/>
      </c>
      <c r="CC30" s="1506" cm="1">
        <f t="array" aca="1" ref="CC30" ca="1">IF(SwitchPA=1,_xll.TR(CC$7,CC$6,"Sdate=#1 Period=#2 NULL=BLANK Scale=6",,$D30,$CC$4),CC30)</f>
        <v>7178</v>
      </c>
      <c r="CD30" s="1506" cm="1">
        <f t="array" aca="1" ref="CD30" ca="1">IF(SwitchPA=1,_xll.TR(CD$7,CD$6,"Sdate=#1 Period=#2 NULL=BLANK Scale=6",,$D30,$CC$4),CD30)</f>
        <v>6763</v>
      </c>
      <c r="CE30" s="1506" cm="1">
        <f t="array" aca="1" ref="CE30" ca="1">IF(SwitchPA=1,_xll.TR(CE$7,CE$6,"Sdate=#1 Period=#2 NULL=BLANK Scale=6",,$D30,$CC$4),CE30)</f>
        <v>71853</v>
      </c>
      <c r="CF30" s="1506" t="str" cm="1">
        <f t="array" aca="1" ref="CF30" ca="1">IF(SwitchPA=1,_xll.TR(CF$7,CF$6,"Sdate=#1 Period=#2 NULL=BLANK Scale=6",,$D30,$CC$4),CF30)</f>
        <v/>
      </c>
      <c r="CG30" s="1506" cm="1">
        <f t="array" aca="1" ref="CG30" ca="1">IF(SwitchPA=1,_xll.TR(CG$7,CG$6,"Sdate=#1 Period=#2 NULL=BLANK Scale=6",,$D30,$CC$4),CG30)</f>
        <v>48183</v>
      </c>
      <c r="CH30" s="1506" cm="1">
        <f t="array" aca="1" ref="CH30" ca="1">IF(SwitchPA=1,_xll.TR(CH$7,CH$6,"Sdate=#1 Period=#2 NULL=BLANK Scale=6",,$D30,$CC$4),CH30)</f>
        <v>1961.1</v>
      </c>
      <c r="CI30" s="1506" cm="1">
        <f t="array" aca="1" ref="CI30" ca="1">IF(SwitchPA=1,_xll.TR(CI$7,CI$6,"Sdate=#1 Period=#2 NULL=BLANK Scale=6",,$D30,$CC$4),CI30)</f>
        <v>15562</v>
      </c>
      <c r="CJ30" s="1506" cm="1">
        <f t="array" aca="1" ref="CJ30" ca="1">IF(SwitchPA=1,_xll.TR(CJ$7,CJ$6,"Sdate=#1 Period=#2 NULL=BLANK Scale=6",,$D30,$CC$4),CJ30)</f>
        <v>11001</v>
      </c>
      <c r="CK30" s="1506" cm="1">
        <f t="array" aca="1" ref="CK30" ca="1">IF(SwitchPA=1,_xll.TR(CK$7,CK$6,"Sdate=#1 Period=#2 NULL=BLANK Scale=6",,$D30,$CC$4),CK30)</f>
        <v>29611</v>
      </c>
      <c r="CL30" s="1506" cm="1">
        <f t="array" aca="1" ref="CL30" ca="1">IF(SwitchPA=1,_xll.TR(CL$7,CL$6,"Sdate=#1 Period=#2 NULL=BLANK Scale=6",,$D30,$CC$4),CL30)</f>
        <v>2869.0050000000001</v>
      </c>
      <c r="CM30" s="1506" cm="1">
        <f t="array" aca="1" ref="CM30" ca="1">IF(SwitchPA=1,_xll.TR(CM$7,CM$6,"Sdate=#1 Period=#2 NULL=BLANK Scale=6",,$D30,$CC$4),CM30)</f>
        <v>7000</v>
      </c>
      <c r="CN30" s="1506" cm="1">
        <f t="array" aca="1" ref="CN30" ca="1">IF(SwitchPA=1,_xll.TR(CN$7,CN$6,"Sdate=#1 Period=#2 NULL=BLANK Scale=6",,$D30,$CC$4),CN30)</f>
        <v>2840.9</v>
      </c>
      <c r="CO30" s="1506" t="str" cm="1">
        <f t="array" aca="1" ref="CO30" ca="1">IF(SwitchPA=1,_xll.TR(CO$7,CO$6,"Sdate=#1 Period=#2 NULL=BLANK Scale=6",,$D30,$CC$4),CO30)</f>
        <v/>
      </c>
      <c r="CP30" s="1506" cm="1">
        <f t="array" aca="1" ref="CP30" ca="1">IF(SwitchPA=1,_xll.TR(CP$7,CP$6,"Sdate=#1 Period=#2 NULL=BLANK Scale=6",,$D30,$CC$4),CP30)</f>
        <v>3377.9</v>
      </c>
      <c r="CQ30" s="1506" cm="1">
        <f t="array" aca="1" ref="CQ30" ca="1">IF(SwitchPA=1,_xll.TR(CQ$7,CQ$6,"Sdate=#1 Period=#2 NULL=BLANK Scale=6",,$D30,$CC$4),CQ30)</f>
        <v>14885</v>
      </c>
      <c r="CR30" s="1506" cm="1">
        <f t="array" aca="1" ref="CR30" ca="1">IF(SwitchPA=1,_xll.TR(CR$7,CR$6,"Sdate=#1 Period=#2 NULL=BLANK Scale=6",,$D30,$CC$4),CR30)</f>
        <v>6835</v>
      </c>
      <c r="CS30" s="1506" t="str" cm="1">
        <f t="array" aca="1" ref="CS30" ca="1">IF(SwitchPA=1,_xll.TR(CS$7,CS$6,"Sdate=#1 Period=#2 NULL=BLANK Scale=6",,$D30,$CC$4),CS30)</f>
        <v>Unable to resolve all requested identifiers.</v>
      </c>
      <c r="CT30" s="1506" t="str" cm="1">
        <f t="array" aca="1" ref="CT30" ca="1">IF(SwitchPA=1,_xll.TR(CT$7,CT$6,"Sdate=#1 Period=#2 NULL=BLANK Scale=6",,$D30,$CC$4),CT30)</f>
        <v>Unable to resolve all requested identifiers.</v>
      </c>
      <c r="CV30" s="1516" cm="1">
        <f t="array" aca="1" ref="CV30" ca="1">IF(SwitchPA=1,_xll.TR(CV$7,CV$6,"Sdate=#1 Period=#2 NULL=BLANK Scale=6",,$D30,$AQ$4),CV30)</f>
        <v>2992.5</v>
      </c>
      <c r="CW30" s="1516" cm="1">
        <f t="array" aca="1" ref="CW30" ca="1">IF(SwitchPA=1,_xll.TR(CW$7,CW$6,"Sdate=#1 Period=#2 NULL=BLANK Scale=6",,$D30,$AQ$4),CW30)</f>
        <v>3232</v>
      </c>
      <c r="CX30" s="1516" cm="1">
        <f t="array" aca="1" ref="CX30" ca="1">IF(SwitchPA=1,_xll.TR(CX$7,CX$6,"Sdate=#1 Period=#2 NULL=BLANK Scale=6",,$D30,$AQ$4),CX30)</f>
        <v>16969.75</v>
      </c>
      <c r="CY30" s="1516" t="str" cm="1">
        <f t="array" aca="1" ref="CY30" ca="1">IF(SwitchPA=1,_xll.TR(CY$7,CY$6,"Sdate=#1 Period=#2 NULL=BLANK Scale=6",,$D30,$AQ$4),CY30)</f>
        <v/>
      </c>
      <c r="CZ30" s="1516" cm="1">
        <f t="array" aca="1" ref="CZ30" ca="1">IF(SwitchPA=1,_xll.TR(CZ$7,CZ$6,"Sdate=#1 Period=#2 NULL=BLANK Scale=6",,$D30,$AQ$4),CZ30)</f>
        <v>7426.25</v>
      </c>
      <c r="DA30" s="1516" cm="1">
        <f t="array" aca="1" ref="DA30" ca="1">IF(SwitchPA=1,_xll.TR(DA$7,DA$6,"Sdate=#1 Period=#2 NULL=BLANK Scale=6",,$D30,$AQ$4),DA30)</f>
        <v>812.625</v>
      </c>
      <c r="DB30" s="1516" cm="1">
        <f t="array" aca="1" ref="DB30" ca="1">IF(SwitchPA=1,_xll.TR(DB$7,DB$6,"Sdate=#1 Period=#2 NULL=BLANK Scale=6",,$D30,$AQ$4),DB30)</f>
        <v>4249.75</v>
      </c>
      <c r="DC30" s="1516" cm="1">
        <f t="array" aca="1" ref="DC30" ca="1">IF(SwitchPA=1,_xll.TR(DC$7,DC$6,"Sdate=#1 Period=#2 NULL=BLANK Scale=6",,$D30,$AQ$4),DC30)</f>
        <v>3682.25</v>
      </c>
      <c r="DD30" s="1516" cm="1">
        <f t="array" aca="1" ref="DD30" ca="1">IF(SwitchPA=1,_xll.TR(DD$7,DD$6,"Sdate=#1 Period=#2 NULL=BLANK Scale=6",,$D30,$AQ$4),DD30)</f>
        <v>7575.5</v>
      </c>
      <c r="DE30" s="1516" cm="1">
        <f t="array" aca="1" ref="DE30" ca="1">IF(SwitchPA=1,_xll.TR(DE$7,DE$6,"Sdate=#1 Period=#2 NULL=BLANK Scale=6",,$D30,$AQ$4),DE30)</f>
        <v>1080.9555</v>
      </c>
      <c r="DF30" s="1516" cm="1">
        <f t="array" aca="1" ref="DF30" ca="1">IF(SwitchPA=1,_xll.TR(DF$7,DF$6,"Sdate=#1 Period=#2 NULL=BLANK Scale=6",,$D30,$AQ$4),DF30)</f>
        <v>2328.5</v>
      </c>
      <c r="DG30" s="1516" cm="1">
        <f t="array" aca="1" ref="DG30" ca="1">IF(SwitchPA=1,_xll.TR(DG$7,DG$6,"Sdate=#1 Period=#2 NULL=BLANK Scale=6",,$D30,$AQ$4),DG30)</f>
        <v>374.6</v>
      </c>
      <c r="DH30" s="1516" t="str" cm="1">
        <f t="array" aca="1" ref="DH30" ca="1">IF(SwitchPA=1,_xll.TR(DH$7,DH$6,"Sdate=#1 Period=#2 NULL=BLANK Scale=6",,$D30,$AQ$4),DH30)</f>
        <v/>
      </c>
      <c r="DI30" s="1516" cm="1">
        <f t="array" aca="1" ref="DI30" ca="1">IF(SwitchPA=1,_xll.TR(DI$7,DI$6,"Sdate=#1 Period=#2 NULL=BLANK Scale=6",,$D30,$AQ$4),DI30)</f>
        <v>951.6</v>
      </c>
      <c r="DJ30" s="1516" cm="1">
        <f t="array" aca="1" ref="DJ30" ca="1">IF(SwitchPA=1,_xll.TR(DJ$7,DJ$6,"Sdate=#1 Period=#2 NULL=BLANK Scale=6",,$D30,$AQ$4),DJ30)</f>
        <v>2711.25</v>
      </c>
      <c r="DK30" s="1516" cm="1">
        <f t="array" aca="1" ref="DK30" ca="1">IF(SwitchPA=1,_xll.TR(DK$7,DK$6,"Sdate=#1 Period=#2 NULL=BLANK Scale=6",,$D30,$AQ$4),DK30)</f>
        <v>3579</v>
      </c>
      <c r="DL30" s="1516" t="str" cm="1">
        <f t="array" aca="1" ref="DL30" ca="1">IF(SwitchPA=1,_xll.TR(DL$7,DL$6,"Sdate=#1 Period=#2 NULL=BLANK Scale=6",,$D30,$AQ$4),DL30)</f>
        <v>Unable to resolve all requested identifiers.</v>
      </c>
      <c r="DM30" s="1516" t="str" cm="1">
        <f t="array" aca="1" ref="DM30" ca="1">IF(SwitchPA=1,_xll.TR(DM$7,DM$6,"Sdate=#1 Period=#2 NULL=BLANK Scale=6",,$D30,$AQ$4),DM30)</f>
        <v>Unable to resolve all requested identifiers.</v>
      </c>
      <c r="DO30" s="1506" cm="1">
        <f t="array" aca="1" ref="DO30" ca="1">IF(SwitchPA=1,_xll.TR(DO$7,DO$6,"Sdate=#1 Period=#2 Scale=6 NULL=BLANK",,$D30,$X$4),DO30)</f>
        <v>8367.3940695599995</v>
      </c>
      <c r="DP30" s="1506" cm="1">
        <f t="array" aca="1" ref="DP30" ca="1">IF(SwitchPA=1,_xll.TR(DP$7,DP$6,"Sdate=#1 Period=#2 Scale=6 NULL=BLANK",,$D30,$X$4),DP30)</f>
        <v>10173.004799</v>
      </c>
      <c r="DQ30" s="1506" cm="1">
        <f t="array" aca="1" ref="DQ30" ca="1">IF(SwitchPA=1,_xll.TR(DQ$7,DQ$6,"Sdate=#1 Period=#2 Scale=6 NULL=BLANK",,$D30,$X$4),DQ30)</f>
        <v>69241.450433620004</v>
      </c>
      <c r="DR30" s="1506" t="str" cm="1">
        <f t="array" aca="1" ref="DR30" ca="1">IF(SwitchPA=1,_xll.TR(DR$7,DR$6,"Sdate=#1 Period=#2 Scale=6 NULL=BLANK",,$D30,$X$4),DR30)</f>
        <v/>
      </c>
      <c r="DS30" s="1506" cm="1">
        <f t="array" aca="1" ref="DS30" ca="1">IF(SwitchPA=1,_xll.TR(DS$7,DS$6,"Sdate=#1 Period=#2 Scale=6 NULL=BLANK",,$D30,$X$4),DS30)</f>
        <v>26040.66651947</v>
      </c>
      <c r="DT30" s="1506" cm="1">
        <f t="array" aca="1" ref="DT30" ca="1">IF(SwitchPA=1,_xll.TR(DT$7,DT$6,"Sdate=#1 Period=#2 Scale=6 NULL=BLANK",,$D30,$X$4),DT30)</f>
        <v>2006.1637943999999</v>
      </c>
      <c r="DU30" s="1506" t="str" cm="1">
        <f t="array" aca="1" ref="DU30" ca="1">IF(SwitchPA=1,_xll.TR(DU$7,DU$6,"Sdate=#1 Period=#2 Scale=6 NULL=BLANK",,$D30,$X$4),DU30)</f>
        <v/>
      </c>
      <c r="DV30" s="1506" cm="1">
        <f t="array" aca="1" ref="DV30" ca="1">IF(SwitchPA=1,_xll.TR(DV$7,DV$6,"Sdate=#1 Period=#2 Scale=6 NULL=BLANK",,$D30,$X$4),DV30)</f>
        <v>6904.29449647</v>
      </c>
      <c r="DW30" s="1506" cm="1">
        <f t="array" aca="1" ref="DW30" ca="1">IF(SwitchPA=1,_xll.TR(DW$7,DW$6,"Sdate=#1 Period=#2 Scale=6 NULL=BLANK",,$D30,$X$4),DW30)</f>
        <v>62853.905706370002</v>
      </c>
      <c r="DX30" s="1506" cm="1">
        <f t="array" aca="1" ref="DX30" ca="1">IF(SwitchPA=1,_xll.TR(DX$7,DX$6,"Sdate=#1 Period=#2 Scale=6 NULL=BLANK",,$D30,$X$4),DX30)</f>
        <v>6296.162362</v>
      </c>
      <c r="DY30" s="1506" cm="1">
        <f t="array" aca="1" ref="DY30" ca="1">IF(SwitchPA=1,_xll.TR(DY$7,DY$6,"Sdate=#1 Period=#2 Scale=6 NULL=BLANK",,$D30,$X$4),DY30)</f>
        <v>8329.2071664600007</v>
      </c>
      <c r="DZ30" s="1506" cm="1">
        <f t="array" aca="1" ref="DZ30" ca="1">IF(SwitchPA=1,_xll.TR(DZ$7,DZ$6,"Sdate=#1 Period=#2 Scale=6 NULL=BLANK",,$D30,$X$4),DZ30)</f>
        <v>1322.70689855</v>
      </c>
      <c r="EA30" s="1506" t="str" cm="1">
        <f t="array" aca="1" ref="EA30" ca="1">IF(SwitchPA=1,_xll.TR(EA$7,EA$6,"Sdate=#1 Period=#2 Scale=6 NULL=BLANK",,$D30,$X$4),EA30)</f>
        <v/>
      </c>
      <c r="EB30" s="1506" cm="1">
        <f t="array" aca="1" ref="EB30" ca="1">IF(SwitchPA=1,_xll.TR(EB$7,EB$6,"Sdate=#1 Period=#2 Scale=6 NULL=BLANK",,$D30,$X$4),EB30)</f>
        <v>6981.9371149999997</v>
      </c>
      <c r="EC30" s="1506" cm="1">
        <f t="array" aca="1" ref="EC30" ca="1">IF(SwitchPA=1,_xll.TR(EC$7,EC$6,"Sdate=#1 Period=#2 Scale=6 NULL=BLANK",,$D30,$X$4),EC30)</f>
        <v>16357.741258440001</v>
      </c>
      <c r="ED30" s="1506" cm="1">
        <f t="array" aca="1" ref="ED30" ca="1">IF(SwitchPA=1,_xll.TR(ED$7,ED$6,"Sdate=#1 Period=#2 Scale=6 NULL=BLANK",,$D30,$X$4),ED30)</f>
        <v>9294.2970019870008</v>
      </c>
      <c r="EE30" s="1506" t="str" cm="1">
        <f t="array" aca="1" ref="EE30" ca="1">IF(SwitchPA=1,_xll.TR(EE$7,EE$6,"Sdate=#1 Period=#2 Scale=6 NULL=BLANK",,$D30,$X$4),EE30)</f>
        <v/>
      </c>
      <c r="EF30" s="1506" t="str" cm="1">
        <f t="array" aca="1" ref="EF30" ca="1">IF(SwitchPA=1,_xll.TR(EF$7,EF$6,"Sdate=#1 Period=#2 Scale=6 NULL=BLANK",,$D30,$X$4),EF30)</f>
        <v/>
      </c>
      <c r="EG30" s="1517"/>
      <c r="EH30" s="1506" cm="1">
        <f t="array" aca="1" ref="EH30" ca="1">IF(SwitchPA=1,_xll.TR(EH$7,EH$6,"Sdate=#1 Period=#2 Scale=6 NULL=BLANK",,$D30,$X$4),EH30)</f>
        <v>930</v>
      </c>
      <c r="EI30" s="1506" cm="1">
        <f t="array" aca="1" ref="EI30" ca="1">IF(SwitchPA=1,_xll.TR(EI$7,EI$6,"Sdate=#1 Period=#2 Scale=6 NULL=BLANK",,$D30,$X$4),EI30)</f>
        <v>742</v>
      </c>
      <c r="EJ30" s="1506" cm="1">
        <f t="array" aca="1" ref="EJ30" ca="1">IF(SwitchPA=1,_xll.TR(EJ$7,EJ$6,"Sdate=#1 Period=#2 Scale=6 NULL=BLANK",,$D30,$X$4),EJ30)</f>
        <v>7886</v>
      </c>
      <c r="EK30" s="1506" t="str" cm="1">
        <f t="array" aca="1" ref="EK30" ca="1">IF(SwitchPA=1,_xll.TR(EK$7,EK$6,"Sdate=#1 Period=#2 Scale=6 NULL=BLANK",,$D30,$X$4),EK30)</f>
        <v/>
      </c>
      <c r="EL30" s="1506" cm="1">
        <f t="array" aca="1" ref="EL30" ca="1">IF(SwitchPA=1,_xll.TR(EL$7,EL$6,"Sdate=#1 Period=#2 Scale=6 NULL=BLANK",,$D30,$X$4),EL30)</f>
        <v>4867</v>
      </c>
      <c r="EM30" s="1506" cm="1">
        <f t="array" aca="1" ref="EM30" ca="1">IF(SwitchPA=1,_xll.TR(EM$7,EM$6,"Sdate=#1 Period=#2 Scale=6 NULL=BLANK",,$D30,$X$4),EM30)</f>
        <v>231.7</v>
      </c>
      <c r="EN30" s="1506" cm="1">
        <f t="array" aca="1" ref="EN30" ca="1">IF(SwitchPA=1,_xll.TR(EN$7,EN$6,"Sdate=#1 Period=#2 Scale=6 NULL=BLANK",,$D30,$X$4),EN30)</f>
        <v>1948</v>
      </c>
      <c r="EO30" s="1506" cm="1">
        <f t="array" aca="1" ref="EO30" ca="1">IF(SwitchPA=1,_xll.TR(EO$7,EO$6,"Sdate=#1 Period=#2 Scale=6 NULL=BLANK",,$D30,$X$4),EO30)</f>
        <v>761</v>
      </c>
      <c r="EP30" s="1506" cm="1">
        <f t="array" aca="1" ref="EP30" ca="1">IF(SwitchPA=1,_xll.TR(EP$7,EP$6,"Sdate=#1 Period=#2 Scale=6 NULL=BLANK",,$D30,$X$4),EP30)</f>
        <v>6178</v>
      </c>
      <c r="EQ30" s="1506" cm="1">
        <f t="array" aca="1" ref="EQ30" ca="1">IF(SwitchPA=1,_xll.TR(EQ$7,EQ$6,"Sdate=#1 Period=#2 Scale=6 NULL=BLANK",,$D30,$X$4),EQ30)</f>
        <v>587.84</v>
      </c>
      <c r="ER30" s="1506" cm="1">
        <f t="array" aca="1" ref="ER30" ca="1">IF(SwitchPA=1,_xll.TR(ER$7,ER$6,"Sdate=#1 Period=#2 Scale=6 NULL=BLANK",,$D30,$X$4),ER30)</f>
        <v>161</v>
      </c>
      <c r="ES30" s="1506" cm="1">
        <f t="array" aca="1" ref="ES30" ca="1">IF(SwitchPA=1,_xll.TR(ES$7,ES$6,"Sdate=#1 Period=#2 Scale=6 NULL=BLANK",,$D30,$X$4),ES30)</f>
        <v>37.4</v>
      </c>
      <c r="ET30" s="1506" t="str" cm="1">
        <f t="array" aca="1" ref="ET30" ca="1">IF(SwitchPA=1,_xll.TR(ET$7,ET$6,"Sdate=#1 Period=#2 Scale=6 NULL=BLANK",,$D30,$X$4),ET30)</f>
        <v/>
      </c>
      <c r="EU30" s="1506" cm="1">
        <f t="array" aca="1" ref="EU30" ca="1">IF(SwitchPA=1,_xll.TR(EU$7,EU$6,"Sdate=#1 Period=#2 Scale=6 NULL=BLANK",,$D30,$X$4),EU30)</f>
        <v>600</v>
      </c>
      <c r="EV30" s="1506" cm="1">
        <f t="array" aca="1" ref="EV30" ca="1">IF(SwitchPA=1,_xll.TR(EV$7,EV$6,"Sdate=#1 Period=#2 Scale=6 NULL=BLANK",,$D30,$X$4),EV30)</f>
        <v>1779</v>
      </c>
      <c r="EW30" s="1506" cm="1">
        <f t="array" aca="1" ref="EW30" ca="1">IF(SwitchPA=1,_xll.TR(EW$7,EW$6,"Sdate=#1 Period=#2 Scale=6 NULL=BLANK",,$D30,$X$4),EW30)</f>
        <v>699</v>
      </c>
      <c r="EX30" s="1506" t="str" cm="1">
        <f t="array" aca="1" ref="EX30" ca="1">IF(SwitchPA=1,_xll.TR(EX$7,EX$6,"Sdate=#1 Period=#2 Scale=6 NULL=BLANK",,$D30,$X$4),EX30)</f>
        <v>Unable to resolve all requested identifiers.</v>
      </c>
      <c r="EY30" s="1506" t="str" cm="1">
        <f t="array" aca="1" ref="EY30" ca="1">IF(SwitchPA=1,_xll.TR(EY$7,EY$6,"Sdate=#1 Period=#2 Scale=6 NULL=BLANK",,$D30,$X$4),EY30)</f>
        <v>Unable to resolve all requested identifiers.</v>
      </c>
      <c r="FA30" s="1506" cm="1">
        <f t="array" aca="1" ref="FA30" ca="1">IF(SwitchPA=1,_xll.TR(FA$7,FA$6,"Sdate=#1 Period=#2 Scale=6 NULL=BLANK",,$D30,$X$4),FA30)</f>
        <v>1203</v>
      </c>
      <c r="FB30" s="1506" cm="1">
        <f t="array" aca="1" ref="FB30" ca="1">IF(SwitchPA=1,_xll.TR(FB$7,FB$6,"Sdate=#1 Period=#2 Scale=6 NULL=BLANK",,$D30,$X$4),FB30)</f>
        <v>1041</v>
      </c>
      <c r="FC30" s="1506" cm="1">
        <f t="array" aca="1" ref="FC30" ca="1">IF(SwitchPA=1,_xll.TR(FC$7,FC$6,"Sdate=#1 Period=#2 Scale=6 NULL=BLANK",,$D30,$X$4),FC30)</f>
        <v>11342</v>
      </c>
      <c r="FD30" s="1506" t="str" cm="1">
        <f t="array" aca="1" ref="FD30" ca="1">IF(SwitchPA=1,_xll.TR(FD$7,FD$6,"Sdate=#1 Period=#2 Scale=6 NULL=BLANK",,$D30,$X$4),FD30)</f>
        <v/>
      </c>
      <c r="FE30" s="1506" cm="1">
        <f t="array" aca="1" ref="FE30" ca="1">IF(SwitchPA=1,_xll.TR(FE$7,FE$6,"Sdate=#1 Period=#2 Scale=6 NULL=BLANK",,$D30,$X$4),FE30)</f>
        <v>5798</v>
      </c>
      <c r="FF30" s="1506" cm="1">
        <f t="array" aca="1" ref="FF30" ca="1">IF(SwitchPA=1,_xll.TR(FF$7,FF$6,"Sdate=#1 Period=#2 Scale=6 NULL=BLANK",,$D30,$X$4),FF30)</f>
        <v>331</v>
      </c>
      <c r="FG30" s="1506" cm="1">
        <f t="array" aca="1" ref="FG30" ca="1">IF(SwitchPA=1,_xll.TR(FG$7,FG$6,"Sdate=#1 Period=#2 Scale=6 NULL=BLANK",,$D30,$X$4),FG30)</f>
        <v>2738</v>
      </c>
      <c r="FH30" s="1506" cm="1">
        <f t="array" aca="1" ref="FH30" ca="1">IF(SwitchPA=1,_xll.TR(FH$7,FH$6,"Sdate=#1 Period=#2 Scale=6 NULL=BLANK",,$D30,$X$4),FH30)</f>
        <v>1198</v>
      </c>
      <c r="FI30" s="1506" cm="1">
        <f t="array" aca="1" ref="FI30" ca="1">IF(SwitchPA=1,_xll.TR(FI$7,FI$6,"Sdate=#1 Period=#2 Scale=6 NULL=BLANK",,$D30,$X$4),FI30)</f>
        <v>7390</v>
      </c>
      <c r="FJ30" s="1506" cm="1">
        <f t="array" aca="1" ref="FJ30" ca="1">IF(SwitchPA=1,_xll.TR(FJ$7,FJ$6,"Sdate=#1 Period=#2 Scale=6 NULL=BLANK",,$D30,$X$4),FJ30)</f>
        <v>684.59299999999996</v>
      </c>
      <c r="FK30" s="1506" cm="1">
        <f t="array" aca="1" ref="FK30" ca="1">IF(SwitchPA=1,_xll.TR(FK$7,FK$6,"Sdate=#1 Period=#2 Scale=6 NULL=BLANK",,$D30,$X$4),FK30)</f>
        <v>510</v>
      </c>
      <c r="FL30" s="1506" cm="1">
        <f t="array" aca="1" ref="FL30" ca="1">IF(SwitchPA=1,_xll.TR(FL$7,FL$6,"Sdate=#1 Period=#2 Scale=6 NULL=BLANK",,$D30,$X$4),FL30)</f>
        <v>93.5</v>
      </c>
      <c r="FM30" s="1506" t="str" cm="1">
        <f t="array" aca="1" ref="FM30" ca="1">IF(SwitchPA=1,_xll.TR(FM$7,FM$6,"Sdate=#1 Period=#2 Scale=6 NULL=BLANK",,$D30,$X$4),FM30)</f>
        <v/>
      </c>
      <c r="FN30" s="1506" cm="1">
        <f t="array" aca="1" ref="FN30" ca="1">IF(SwitchPA=1,_xll.TR(FN$7,FN$6,"Sdate=#1 Period=#2 Scale=6 NULL=BLANK",,$D30,$X$4),FN30)</f>
        <v>726.6</v>
      </c>
      <c r="FO30" s="1506" cm="1">
        <f t="array" aca="1" ref="FO30" ca="1">IF(SwitchPA=1,_xll.TR(FO$7,FO$6,"Sdate=#1 Period=#2 Scale=6 NULL=BLANK",,$D30,$X$4),FO30)</f>
        <v>2246</v>
      </c>
      <c r="FP30" s="1506" cm="1">
        <f t="array" aca="1" ref="FP30" ca="1">IF(SwitchPA=1,_xll.TR(FP$7,FP$6,"Sdate=#1 Period=#2 Scale=6 NULL=BLANK",,$D30,$X$4),FP30)</f>
        <v>1057</v>
      </c>
      <c r="FQ30" s="1506" t="str" cm="1">
        <f t="array" aca="1" ref="FQ30" ca="1">IF(SwitchPA=1,_xll.TR(FQ$7,FQ$6,"Sdate=#1 Period=#2 Scale=6 NULL=BLANK",,$D30,$X$4),FQ30)</f>
        <v>Unable to resolve all requested identifiers.</v>
      </c>
      <c r="FS30" s="1506" cm="1">
        <f t="array" aca="1" ref="FS30" ca="1">IF(SwitchPA=1,_xll.TR(FS$7,FS$6,"Sdate=#1 Period=#2 NULL=BLANK Scale=6",,$D30,$FS$4),FS30)</f>
        <v>159</v>
      </c>
      <c r="FT30" s="1506" cm="1">
        <f t="array" aca="1" ref="FT30" ca="1">IF(SwitchPA=1,_xll.TR(FT$7,FT$6,"Sdate=#1 Period=#2 NULL=BLANK Scale=6",,$D30,$FS$4),FT30)</f>
        <v>85</v>
      </c>
      <c r="FU30" s="1506" cm="1">
        <f t="array" aca="1" ref="FU30" ca="1">IF(SwitchPA=1,_xll.TR(FU$7,FU$6,"Sdate=#1 Period=#2 NULL=BLANK Scale=6",,$D30,$FS$4),FU30)</f>
        <v>3122</v>
      </c>
      <c r="FV30" s="1506" t="str" cm="1">
        <f t="array" aca="1" ref="FV30" ca="1">IF(SwitchPA=1,_xll.TR(FV$7,FV$6,"Sdate=#1 Period=#2 NULL=BLANK Scale=6",,$D30,$FS$4),FV30)</f>
        <v/>
      </c>
      <c r="FW30" s="1506" cm="1">
        <f t="array" aca="1" ref="FW30" ca="1">IF(SwitchPA=1,_xll.TR(FW$7,FW$6,"Sdate=#1 Period=#2 NULL=BLANK Scale=6",,$D30,$FS$4),FW30)</f>
        <v>1810</v>
      </c>
      <c r="FX30" s="1506" cm="1">
        <f t="array" aca="1" ref="FX30" ca="1">IF(SwitchPA=1,_xll.TR(FX$7,FX$6,"Sdate=#1 Period=#2 NULL=BLANK Scale=6",,$D30,$FS$4),FX30)</f>
        <v>15</v>
      </c>
      <c r="FY30" s="1506" cm="1">
        <f t="array" aca="1" ref="FY30" ca="1">IF(SwitchPA=1,_xll.TR(FY$7,FY$6,"Sdate=#1 Period=#2 NULL=BLANK Scale=6",,$D30,$FS$4),FY30)</f>
        <v>655</v>
      </c>
      <c r="FZ30" s="1506" cm="1">
        <f t="array" aca="1" ref="FZ30" ca="1">IF(SwitchPA=1,_xll.TR(FZ$7,FZ$6,"Sdate=#1 Period=#2 NULL=BLANK Scale=6",,$D30,$FS$4),FZ30)</f>
        <v>-4.0000000000000204</v>
      </c>
      <c r="GA30" s="1506" cm="1">
        <f t="array" aca="1" ref="GA30" ca="1">IF(SwitchPA=1,_xll.TR(GA$7,GA$6,"Sdate=#1 Period=#2 NULL=BLANK Scale=6",,$D30,$FS$4),GA30)</f>
        <v>3905</v>
      </c>
      <c r="GB30" s="1506" cm="1">
        <f t="array" aca="1" ref="GB30" ca="1">IF(SwitchPA=1,_xll.TR(GB$7,GB$6,"Sdate=#1 Period=#2 NULL=BLANK Scale=6",,$D30,$FS$4),GB30)</f>
        <v>296.78500000000003</v>
      </c>
      <c r="GC30" s="1506" cm="1">
        <f t="array" aca="1" ref="GC30" ca="1">IF(SwitchPA=1,_xll.TR(GC$7,GC$6,"Sdate=#1 Period=#2 NULL=BLANK Scale=6",,$D30,$FS$4),GC30)</f>
        <v>-124</v>
      </c>
      <c r="GD30" s="1506" cm="1">
        <f t="array" aca="1" ref="GD30" ca="1">IF(SwitchPA=1,_xll.TR(GD$7,GD$6,"Sdate=#1 Period=#2 NULL=BLANK Scale=6",,$D30,$FS$4),GD30)</f>
        <v>24.9</v>
      </c>
      <c r="GE30" s="1506" t="str" cm="1">
        <f t="array" aca="1" ref="GE30" ca="1">IF(SwitchPA=1,_xll.TR(GE$7,GE$6,"Sdate=#1 Period=#2 NULL=BLANK Scale=6",,$D30,$FS$4),GE30)</f>
        <v/>
      </c>
      <c r="GF30" s="1506" cm="1">
        <f t="array" aca="1" ref="GF30" ca="1">IF(SwitchPA=1,_xll.TR(GF$7,GF$6,"Sdate=#1 Period=#2 NULL=BLANK Scale=6",,$D30,$FS$4),GF30)</f>
        <v>191.8</v>
      </c>
      <c r="GG30" s="1506" cm="1">
        <f t="array" aca="1" ref="GG30" ca="1">IF(SwitchPA=1,_xll.TR(GG$7,GG$6,"Sdate=#1 Period=#2 NULL=BLANK Scale=6",,$D30,$FS$4),GG30)</f>
        <v>1046</v>
      </c>
      <c r="GH30" s="1506" cm="1">
        <f t="array" aca="1" ref="GH30" ca="1">IF(SwitchPA=1,_xll.TR(GH$7,GH$6,"Sdate=#1 Period=#2 NULL=BLANK Scale=6",,$D30,$FS$4),GH30)</f>
        <v>220</v>
      </c>
      <c r="GI30" s="1506" t="str" cm="1">
        <f t="array" aca="1" ref="GI30" ca="1">IF(SwitchPA=1,_xll.TR(GI$7,GI$6,"Sdate=#1 Period=#2 NULL=BLANK Scale=6",,$D30,$FS$4),GI30)</f>
        <v>Unable to resolve and collect data for all requested identifiers and fields.</v>
      </c>
      <c r="GK30" s="1506" cm="1">
        <f t="array" aca="1" ref="GK30" ca="1">IF(SwitchPA=1,_xll.TR(GK$7,GK$6,"Sdate=#1 Period=#2 NULL=BLANK Scale=6",,$D30,$FS$4),GK30)</f>
        <v>1.92094569634282</v>
      </c>
      <c r="GL30" s="1506" cm="1">
        <f t="array" aca="1" ref="GL30" ca="1">IF(SwitchPA=1,_xll.TR(GL$7,GL$6,"Sdate=#1 Period=#2 NULL=BLANK Scale=6",,$D30,$FS$4),GL30)</f>
        <v>0.47581284694686798</v>
      </c>
      <c r="GM30" s="1506" cm="1">
        <f t="array" aca="1" ref="GM30" ca="1">IF(SwitchPA=1,_xll.TR(GM$7,GM$6,"Sdate=#1 Period=#2 NULL=BLANK Scale=6",,$D30,$FS$4),GM30)</f>
        <v>3.59300996243672</v>
      </c>
      <c r="GN30" s="1506" t="str" cm="1">
        <f t="array" aca="1" ref="GN30" ca="1">IF(SwitchPA=1,_xll.TR(GN$7,GN$6,"Sdate=#1 Period=#2 NULL=BLANK Scale=6",,$D30,$FS$4),GN30)</f>
        <v/>
      </c>
      <c r="GO30" s="1506" cm="1">
        <f t="array" aca="1" ref="GO30" ca="1">IF(SwitchPA=1,_xll.TR(GO$7,GO$6,"Sdate=#1 Period=#2 NULL=BLANK Scale=6",,$D30,$FS$4),GO30)</f>
        <v>2.2416498542927599</v>
      </c>
      <c r="GP30" s="1506" cm="1">
        <f t="array" aca="1" ref="GP30" ca="1">IF(SwitchPA=1,_xll.TR(GP$7,GP$6,"Sdate=#1 Period=#2 NULL=BLANK Scale=6",,$D30,$FS$4),GP30)</f>
        <v>3.6917397323488701</v>
      </c>
      <c r="GQ30" s="1506" t="str" cm="1">
        <f t="array" aca="1" ref="GQ30" ca="1">IF(SwitchPA=1,_xll.TR(GQ$7,GQ$6,"Sdate=#1 Period=#2 NULL=BLANK Scale=6",,$D30,$FS$4),GQ30)</f>
        <v/>
      </c>
      <c r="GR30" s="1506" cm="1">
        <f t="array" aca="1" ref="GR30" ca="1">IF(SwitchPA=1,_xll.TR(GR$7,GR$6,"Sdate=#1 Period=#2 NULL=BLANK Scale=6",,$D30,$FS$4),GR30)</f>
        <v>3.02800908402725</v>
      </c>
      <c r="GS30" s="1506" cm="1">
        <f t="array" aca="1" ref="GS30" ca="1">IF(SwitchPA=1,_xll.TR(GS$7,GS$6,"Sdate=#1 Period=#2 NULL=BLANK Scale=6",,$D30,$FS$4),GS30)</f>
        <v>2.6821229685191499</v>
      </c>
      <c r="GT30" s="1506" cm="1">
        <f t="array" aca="1" ref="GT30" ca="1">IF(SwitchPA=1,_xll.TR(GT$7,GT$6,"Sdate=#1 Period=#2 NULL=BLANK Scale=6",,$D30,$FS$4),GT30)</f>
        <v>1.0727969348659001</v>
      </c>
      <c r="GU30" s="1506" cm="1">
        <f t="array" aca="1" ref="GU30" ca="1">IF(SwitchPA=1,_xll.TR(GU$7,GU$6,"Sdate=#1 Period=#2 NULL=BLANK Scale=6",,$D30,$FS$4),GU30)</f>
        <v>1.09821148415438</v>
      </c>
      <c r="GV30" s="1506" cm="1">
        <f t="array" aca="1" ref="GV30" ca="1">IF(SwitchPA=1,_xll.TR(GV$7,GV$6,"Sdate=#1 Period=#2 NULL=BLANK Scale=6",,$D30,$FS$4),GV30)</f>
        <v>1.3689253935660499</v>
      </c>
      <c r="GW30" s="1506" t="str" cm="1">
        <f t="array" aca="1" ref="GW30" ca="1">IF(SwitchPA=1,_xll.TR(GW$7,GW$6,"Sdate=#1 Period=#2 NULL=BLANK Scale=6",,$D30,$FS$4),GW30)</f>
        <v/>
      </c>
      <c r="GX30" s="1506" cm="1">
        <f t="array" aca="1" ref="GX30" ca="1">IF(SwitchPA=1,_xll.TR(GX$7,GX$6,"Sdate=#1 Period=#2 NULL=BLANK Scale=6",,$D30,$FS$4),GX30)</f>
        <v>0.64864864864864902</v>
      </c>
      <c r="GY30" s="1506" cm="1">
        <f t="array" aca="1" ref="GY30" ca="1">IF(SwitchPA=1,_xll.TR(GY$7,GY$6,"Sdate=#1 Period=#2 NULL=BLANK Scale=6",,$D30,$FS$4),GY30)</f>
        <v>2.5187803800265098</v>
      </c>
      <c r="GZ30" s="1506" cm="1">
        <f t="array" aca="1" ref="GZ30" ca="1">IF(SwitchPA=1,_xll.TR(GZ$7,GZ$6,"Sdate=#1 Period=#2 NULL=BLANK Scale=6",,$D30,$FS$4),GZ30)</f>
        <v>3.8912151588630901</v>
      </c>
      <c r="HA30" s="1506" t="str" cm="1">
        <f t="array" aca="1" ref="HA30" ca="1">IF(SwitchPA=1,_xll.TR(HA$7,HA$6,"Sdate=#1 Period=#2 NULL=BLANK Scale=6",,$D30,$FS$4),HA30)</f>
        <v/>
      </c>
      <c r="HC30">
        <v>4</v>
      </c>
      <c r="HD30">
        <v>94.88</v>
      </c>
      <c r="HE30">
        <v>111.26</v>
      </c>
      <c r="HG30" s="762">
        <f t="shared" si="52"/>
        <v>-8.4668192219679694E-2</v>
      </c>
      <c r="HH30" s="762">
        <f t="shared" si="53"/>
        <v>0.19375943633618498</v>
      </c>
      <c r="HI30" s="762">
        <f t="shared" si="54"/>
        <v>0.3975631202110288</v>
      </c>
    </row>
    <row r="31" spans="1:217" ht="11.25" customHeight="1">
      <c r="C31" s="1514">
        <f t="shared" si="51"/>
        <v>41274</v>
      </c>
      <c r="D31" s="1515">
        <f t="shared" si="49"/>
        <v>41319</v>
      </c>
      <c r="E31" s="1506" cm="1">
        <f t="array" aca="1" ref="E31" ca="1">IF(SwitchPA=1,_xll.TR(E$7,E$6,"Sdate=#1 Period=#2 NULL=BLANK",,$D31,$E$4),E31)</f>
        <v>7.7034646244575802</v>
      </c>
      <c r="F31" s="1506" cm="1">
        <f t="array" aca="1" ref="F31" ca="1">IF(SwitchPA=1,_xll.TR(F$7,F$6,"Sdate=#1 Period=#2 NULL=BLANK",,$D31,$E$4),F31)</f>
        <v>7.4533763994153697</v>
      </c>
      <c r="G31" s="1506" cm="1">
        <f t="array" aca="1" ref="G31" ca="1">IF(SwitchPA=1,_xll.TR(G$7,G$6,"Sdate=#1 Period=#2 NULL=BLANK",,$D31,$E$4),G31)</f>
        <v>5.8269092105557601</v>
      </c>
      <c r="H31" s="1506" t="str" cm="1">
        <f t="array" aca="1" ref="H31" ca="1">IF(SwitchPA=1,_xll.TR(H$7,H$6,"Sdate=#1 Period=#2 NULL=BLANK",,$D31,$E$4),H31)</f>
        <v/>
      </c>
      <c r="I31" s="1506" cm="1">
        <f t="array" aca="1" ref="I31" ca="1">IF(SwitchPA=1,_xll.TR(I$7,I$6,"Sdate=#1 Period=#2 NULL=BLANK",,$D31,$E$4),I31)</f>
        <v>5.83983575013304</v>
      </c>
      <c r="J31" s="1506" cm="1">
        <f t="array" aca="1" ref="J31" ca="1">IF(SwitchPA=1,_xll.TR(J$7,J$6,"Sdate=#1 Period=#2 NULL=BLANK",,$D31,$E$4),J31)</f>
        <v>5.7144506846884102</v>
      </c>
      <c r="K31" s="1506" t="str" cm="1">
        <f t="array" aca="1" ref="K31" ca="1">IF(SwitchPA=1,_xll.TR(K$7,K$6,"Sdate=#1 Period=#2 NULL=BLANK",,$D31,$E$4),K31)</f>
        <v/>
      </c>
      <c r="L31" s="1506" cm="1">
        <f t="array" aca="1" ref="L31" ca="1">IF(SwitchPA=1,_xll.TR(L$7,L$6,"Sdate=#1 Period=#2 NULL=BLANK",,$D31,$E$4),L31)</f>
        <v>5.8969213638205797</v>
      </c>
      <c r="M31" s="1506" cm="1">
        <f t="array" aca="1" ref="M31" ca="1">IF(SwitchPA=1,_xll.TR(M$7,M$6,"Sdate=#1 Period=#2 NULL=BLANK",,$D31,$E$4),M31)</f>
        <v>8.6484962646121293</v>
      </c>
      <c r="N31" s="1506" cm="1">
        <f t="array" aca="1" ref="N31" ca="1">IF(SwitchPA=1,_xll.TR(N$7,N$6,"Sdate=#1 Period=#2 NULL=BLANK",,$D31,$E$4),N31)</f>
        <v>8.4481329644202603</v>
      </c>
      <c r="O31" s="1506" cm="1">
        <f t="array" aca="1" ref="O31" ca="1">IF(SwitchPA=1,_xll.TR(O$7,O$6,"Sdate=#1 Period=#2 NULL=BLANK",,$D31,$E$4),O31)</f>
        <v>6.1680033546107804</v>
      </c>
      <c r="P31" s="1506" cm="1">
        <f t="array" aca="1" ref="P31" ca="1">IF(SwitchPA=1,_xll.TR(P$7,P$6,"Sdate=#1 Period=#2 NULL=BLANK",,$D31,$E$4),P31)</f>
        <v>7.0168539514658104</v>
      </c>
      <c r="Q31" s="1506" t="str" cm="1">
        <f t="array" aca="1" ref="Q31" ca="1">IF(SwitchPA=1,_xll.TR(Q$7,Q$6,"Sdate=#1 Period=#2 NULL=BLANK",,$D31,$E$4),Q31)</f>
        <v/>
      </c>
      <c r="R31" s="1506" cm="1">
        <f t="array" aca="1" ref="R31" ca="1">IF(SwitchPA=1,_xll.TR(R$7,R$6,"Sdate=#1 Period=#2 NULL=BLANK",,$D31,$E$4),R31)</f>
        <v>9.1411147185914405</v>
      </c>
      <c r="S31" s="1506" cm="1">
        <f t="array" aca="1" ref="S31" ca="1">IF(SwitchPA=1,_xll.TR(S$7,S$6,"Sdate=#1 Period=#2 NULL=BLANK",,$D31,$E$4),S31)</f>
        <v>9.6953535697206004</v>
      </c>
      <c r="T31" s="1506" cm="1">
        <f t="array" aca="1" ref="T31" ca="1">IF(SwitchPA=1,_xll.TR(T$7,T$6,"Sdate=#1 Period=#2 NULL=BLANK",,$D31,$E$4),T31)</f>
        <v>6.0223061912448097</v>
      </c>
      <c r="U31" s="1506" t="str" cm="1">
        <f t="array" aca="1" ref="U31" ca="1">IF(SwitchPA=1,_xll.TR(U$7,U$6,"Sdate=#1 Period=#2 NULL=BLANK",,$D31,$E$4),U31)</f>
        <v>No universe defined.</v>
      </c>
      <c r="V31" s="1506" t="str" cm="1">
        <f t="array" aca="1" ref="V31" ca="1">IF(SwitchPA=1,_xll.TR(V$7,V$6,"Sdate=#1 Period=#2 NULL=BLANK",,$D31,$E$4),V31)</f>
        <v>No universe defined.</v>
      </c>
      <c r="W31" s="1521">
        <f t="shared" ca="1" si="55"/>
        <v>0.32204988032117243</v>
      </c>
      <c r="X31" s="1506" cm="1">
        <f t="array" aca="1" ref="X31" ca="1">IF(SwitchPA=1,_xll.TR(X$7,X$6,"Sdate=#1 Period=#2 NULL=BLANK",,$D31,$X$4),X31)</f>
        <v>9.0446665258018193</v>
      </c>
      <c r="Y31" s="1506" cm="1">
        <f t="array" aca="1" ref="Y31" ca="1">IF(SwitchPA=1,_xll.TR(Y$7,Y$6,"Sdate=#1 Period=#2 NULL=BLANK",,$D31,$X$4),Y31)</f>
        <v>8.2393370610603505</v>
      </c>
      <c r="Z31" s="1506" cm="1">
        <f t="array" aca="1" ref="Z31" ca="1">IF(SwitchPA=1,_xll.TR(Z$7,Z$6,"Sdate=#1 Period=#2 NULL=BLANK",,$D31,$X$4),Z31)</f>
        <v>6.1951173773055599</v>
      </c>
      <c r="AA31" s="1506" t="str" cm="1">
        <f t="array" aca="1" ref="AA31" ca="1">IF(SwitchPA=1,_xll.TR(AA$7,AA$6,"Sdate=#1 Period=#2 NULL=BLANK",,$D31,$X$4),AA31)</f>
        <v/>
      </c>
      <c r="AB31" s="1506" cm="1">
        <f t="array" aca="1" ref="AB31" ca="1">IF(SwitchPA=1,_xll.TR(AB$7,AB$6,"Sdate=#1 Period=#2 NULL=BLANK",,$D31,$X$4),AB31)</f>
        <v>6.3929599224703502</v>
      </c>
      <c r="AC31" s="1506" cm="1">
        <f t="array" aca="1" ref="AC31" ca="1">IF(SwitchPA=1,_xll.TR(AC$7,AC$6,"Sdate=#1 Period=#2 NULL=BLANK",,$D31,$X$4),AC31)</f>
        <v>6.73308018745045</v>
      </c>
      <c r="AD31" s="1506" t="str" cm="1">
        <f t="array" aca="1" ref="AD31" ca="1">IF(SwitchPA=1,_xll.TR(AD$7,AD$6,"Sdate=#1 Period=#2 NULL=BLANK",,$D31,$X$4),AD31)</f>
        <v/>
      </c>
      <c r="AE31" s="1506" cm="1">
        <f t="array" aca="1" ref="AE31" ca="1">IF(SwitchPA=1,_xll.TR(AE$7,AE$6,"Sdate=#1 Period=#2 NULL=BLANK",,$D31,$X$4),AE31)</f>
        <v>5.5717112860576998</v>
      </c>
      <c r="AF31" s="1506" cm="1">
        <f t="array" aca="1" ref="AF31" ca="1">IF(SwitchPA=1,_xll.TR(AF$7,AF$6,"Sdate=#1 Period=#2 NULL=BLANK",,$D31,$X$4),AF31)</f>
        <v>9.3551445364678401</v>
      </c>
      <c r="AG31" s="1506" cm="1">
        <f t="array" aca="1" ref="AG31" ca="1">IF(SwitchPA=1,_xll.TR(AG$7,AG$6,"Sdate=#1 Period=#2 NULL=BLANK",,$D31,$X$4),AG31)</f>
        <v>9.0715520730369104</v>
      </c>
      <c r="AH31" s="1506" cm="1">
        <f t="array" aca="1" ref="AH31" ca="1">IF(SwitchPA=1,_xll.TR(AH$7,AH$6,"Sdate=#1 Period=#2 NULL=BLANK",,$D31,$X$4),AH31)</f>
        <v>6.6493522535953096</v>
      </c>
      <c r="AI31" s="1506" cm="1">
        <f t="array" aca="1" ref="AI31" ca="1">IF(SwitchPA=1,_xll.TR(AI$7,AI$6,"Sdate=#1 Period=#2 NULL=BLANK",,$D31,$X$4),AI31)</f>
        <v>8.7068285926521494</v>
      </c>
      <c r="AJ31" s="1506" t="str" cm="1">
        <f t="array" aca="1" ref="AJ31" ca="1">IF(SwitchPA=1,_xll.TR(AJ$7,AJ$6,"Sdate=#1 Period=#2 NULL=BLANK",,$D31,$X$4),AJ31)</f>
        <v/>
      </c>
      <c r="AK31" s="1506" cm="1">
        <f t="array" aca="1" ref="AK31" ca="1">IF(SwitchPA=1,_xll.TR(AK$7,AK$6,"Sdate=#1 Period=#2 NULL=BLANK",,$D31,$X$4),AK31)</f>
        <v>10.228324034812999</v>
      </c>
      <c r="AL31" s="1506" cm="1">
        <f t="array" aca="1" ref="AL31" ca="1">IF(SwitchPA=1,_xll.TR(AL$7,AL$6,"Sdate=#1 Period=#2 NULL=BLANK",,$D31,$X$4),AL31)</f>
        <v>9.2760272296510706</v>
      </c>
      <c r="AM31" s="1506" cm="1">
        <f t="array" aca="1" ref="AM31" ca="1">IF(SwitchPA=1,_xll.TR(AM$7,AM$6,"Sdate=#1 Period=#2 NULL=BLANK",,$D31,$X$4),AM31)</f>
        <v>6.2865768730473102</v>
      </c>
      <c r="AN31" s="1506" t="str" cm="1">
        <f t="array" aca="1" ref="AN31" ca="1">IF(SwitchPA=1,_xll.TR(AN$7,AN$6,"Sdate=#1 Period=#2 NULL=BLANK",,$D31,$X$4),AN31)</f>
        <v/>
      </c>
      <c r="AO31" s="1506" t="str" cm="1">
        <f t="array" aca="1" ref="AO31" ca="1">IF(SwitchPA=1,_xll.TR(AO$7,AO$6,"Sdate=#1 Period=#2 NULL=BLANK",,$D31,$X$4),AO31)</f>
        <v/>
      </c>
      <c r="AQ31" s="1506" t="str" cm="1">
        <f t="array" aca="1" ref="AQ31" ca="1">IF(SwitchPA=1,_xll.TR(AQ$7,AQ$6,"Sdate=#1 Period=#2 NULL=BLANK Scale=6",,$D31,$AQ$4),AQ31)</f>
        <v/>
      </c>
      <c r="AR31" s="1506" t="str" cm="1">
        <f t="array" aca="1" ref="AR31" ca="1">IF(SwitchPA=1,_xll.TR(AR$7,AR$6,"Sdate=#1 Period=#2 NULL=BLANK Scale=6",,$D31,$AQ$4),AR31)</f>
        <v/>
      </c>
      <c r="AS31" s="1506" t="str" cm="1">
        <f t="array" aca="1" ref="AS31" ca="1">IF(SwitchPA=1,_xll.TR(AS$7,AS$6,"Sdate=#1 Period=#2 NULL=BLANK Scale=6",,$D31,$AQ$4),AS31)</f>
        <v/>
      </c>
      <c r="AT31" s="1506" t="str" cm="1">
        <f t="array" aca="1" ref="AT31" ca="1">IF(SwitchPA=1,_xll.TR(AT$7,AT$6,"Sdate=#1 Period=#2 NULL=BLANK Scale=6",,$D31,$AQ$4),AT31)</f>
        <v/>
      </c>
      <c r="AU31" s="1506" t="str" cm="1">
        <f t="array" aca="1" ref="AU31" ca="1">IF(SwitchPA=1,_xll.TR(AU$7,AU$6,"Sdate=#1 Period=#2 NULL=BLANK Scale=6",,$D31,$AQ$4),AU31)</f>
        <v/>
      </c>
      <c r="AV31" s="1506" t="str" cm="1">
        <f t="array" aca="1" ref="AV31" ca="1">IF(SwitchPA=1,_xll.TR(AV$7,AV$6,"Sdate=#1 Period=#2 NULL=BLANK Scale=6",,$D31,$AQ$4),AV31)</f>
        <v/>
      </c>
      <c r="AW31" s="1506" t="str" cm="1">
        <f t="array" aca="1" ref="AW31" ca="1">IF(SwitchPA=1,_xll.TR(AW$7,AW$6,"Sdate=#1 Period=#2 NULL=BLANK Scale=6",,$D31,$AQ$4),AW31)</f>
        <v/>
      </c>
      <c r="AX31" s="1506" t="str" cm="1">
        <f t="array" aca="1" ref="AX31" ca="1">IF(SwitchPA=1,_xll.TR(AX$7,AX$6,"Sdate=#1 Period=#2 NULL=BLANK Scale=6",,$D31,$AQ$4),AX31)</f>
        <v/>
      </c>
      <c r="AY31" s="1506" t="str" cm="1">
        <f t="array" aca="1" ref="AY31" ca="1">IF(SwitchPA=1,_xll.TR(AY$7,AY$6,"Sdate=#1 Period=#2 NULL=BLANK Scale=6",,$D31,$AQ$4),AY31)</f>
        <v/>
      </c>
      <c r="AZ31" s="1506" t="str" cm="1">
        <f t="array" aca="1" ref="AZ31" ca="1">IF(SwitchPA=1,_xll.TR(AZ$7,AZ$6,"Sdate=#1 Period=#2 NULL=BLANK Scale=6",,$D31,$AQ$4),AZ31)</f>
        <v/>
      </c>
      <c r="BA31" s="1506" t="str" cm="1">
        <f t="array" aca="1" ref="BA31" ca="1">IF(SwitchPA=1,_xll.TR(BA$7,BA$6,"Sdate=#1 Period=#2 NULL=BLANK Scale=6",,$D31,$AQ$4),BA31)</f>
        <v/>
      </c>
      <c r="BB31" s="1506" t="str" cm="1">
        <f t="array" aca="1" ref="BB31" ca="1">IF(SwitchPA=1,_xll.TR(BB$7,BB$6,"Sdate=#1 Period=#2 NULL=BLANK Scale=6",,$D31,$AQ$4),BB31)</f>
        <v/>
      </c>
      <c r="BC31" s="1506" t="str" cm="1">
        <f t="array" aca="1" ref="BC31" ca="1">IF(SwitchPA=1,_xll.TR(BC$7,BC$6,"Sdate=#1 Period=#2 NULL=BLANK Scale=6",,$D31,$AQ$4),BC31)</f>
        <v/>
      </c>
      <c r="BD31" s="1506" t="str" cm="1">
        <f t="array" aca="1" ref="BD31" ca="1">IF(SwitchPA=1,_xll.TR(BD$7,BD$6,"Sdate=#1 Period=#2 NULL=BLANK Scale=6",,$D31,$AQ$4),BD31)</f>
        <v/>
      </c>
      <c r="BE31" s="1506" t="str" cm="1">
        <f t="array" aca="1" ref="BE31" ca="1">IF(SwitchPA=1,_xll.TR(BE$7,BE$6,"Sdate=#1 Period=#2 NULL=BLANK Scale=6",,$D31,$AQ$4),BE31)</f>
        <v/>
      </c>
      <c r="BF31" s="1506" t="str" cm="1">
        <f t="array" aca="1" ref="BF31" ca="1">IF(SwitchPA=1,_xll.TR(BF$7,BF$6,"Sdate=#1 Period=#2 NULL=BLANK Scale=6",,$D31,$AQ$4),BF31)</f>
        <v/>
      </c>
      <c r="BG31" s="1506" t="str" cm="1">
        <f t="array" aca="1" ref="BG31" ca="1">IF(SwitchPA=1,_xll.TR(BG$7,BG$6,"Sdate=#1 Period=#2 NULL=BLANK Scale=6",,$D31,$AQ$4),BG31)</f>
        <v/>
      </c>
      <c r="BH31" s="1506" t="str" cm="1">
        <f t="array" aca="1" ref="BH31" ca="1">IF(SwitchPA=1,_xll.TR(BH$7,BH$6,"Sdate=#1 Period=#2 NULL=BLANK Scale=6",,$D31,$AQ$4),BH31)</f>
        <v/>
      </c>
      <c r="BJ31" s="1506" cm="1">
        <f t="array" aca="1" ref="BJ31" ca="1">IF(SwitchPA=1,_xll.TR(BJ$7,BJ$6,"Sdate=#1 Period=#2 NULL=BLANK Scale=6",,$D31,$BJ$4),BJ31)</f>
        <v>12.344784158</v>
      </c>
      <c r="BK31" s="1506" cm="1">
        <f t="array" aca="1" ref="BK31" ca="1">IF(SwitchPA=1,_xll.TR(BK$7,BK$6,"Sdate=#1 Period=#2 NULL=BLANK Scale=6",,$D31,$BJ$4),BK31)</f>
        <v>19.574710329999998</v>
      </c>
      <c r="BL31" s="1506" cm="1">
        <f t="array" aca="1" ref="BL31" ca="1">IF(SwitchPA=1,_xll.TR(BL$7,BL$6,"Sdate=#1 Period=#2 NULL=BLANK Scale=6",,$D31,$BJ$4),BL31)</f>
        <v>8.2372756900000006</v>
      </c>
      <c r="BM31" s="1506" t="str" cm="1">
        <f t="array" aca="1" ref="BM31" ca="1">IF(SwitchPA=1,_xll.TR(BM$7,BM$6,"Sdate=#1 Period=#2 NULL=BLANK Scale=6",,$D31,$BJ$4),BM31)</f>
        <v/>
      </c>
      <c r="BN31" s="1506" cm="1">
        <f t="array" aca="1" ref="BN31" ca="1">IF(SwitchPA=1,_xll.TR(BN$7,BN$6,"Sdate=#1 Period=#2 NULL=BLANK Scale=6",,$D31,$BJ$4),BN31)</f>
        <v>6.0888822740000004</v>
      </c>
      <c r="BO31" s="1506" cm="1">
        <f t="array" aca="1" ref="BO31" ca="1">IF(SwitchPA=1,_xll.TR(BO$7,BO$6,"Sdate=#1 Period=#2 NULL=BLANK Scale=6",,$D31,$BJ$4),BO31)</f>
        <v>7.0582758419999996</v>
      </c>
      <c r="BP31" s="1506" t="str" cm="1">
        <f t="array" aca="1" ref="BP31" ca="1">IF(SwitchPA=1,_xll.TR(BP$7,BP$6,"Sdate=#1 Period=#2 NULL=BLANK Scale=6",,$D31,$BJ$4),BP31)</f>
        <v/>
      </c>
      <c r="BQ31" s="1506" cm="1">
        <f t="array" aca="1" ref="BQ31" ca="1">IF(SwitchPA=1,_xll.TR(BQ$7,BQ$6,"Sdate=#1 Period=#2 NULL=BLANK Scale=6",,$D31,$BJ$4),BQ31)</f>
        <v>5.580187724</v>
      </c>
      <c r="BR31" s="1506" cm="1">
        <f t="array" aca="1" ref="BR31" ca="1">IF(SwitchPA=1,_xll.TR(BR$7,BR$6,"Sdate=#1 Period=#2 NULL=BLANK Scale=6",,$D31,$BJ$4),BR31)</f>
        <v>9.5203086110000008</v>
      </c>
      <c r="BS31" s="1506" cm="1">
        <f t="array" aca="1" ref="BS31" ca="1">IF(SwitchPA=1,_xll.TR(BS$7,BS$6,"Sdate=#1 Period=#2 NULL=BLANK Scale=6",,$D31,$BJ$4),BS31)</f>
        <v>8.9253148180000004</v>
      </c>
      <c r="BT31" s="1506" cm="1">
        <f t="array" aca="1" ref="BT31" ca="1">IF(SwitchPA=1,_xll.TR(BT$7,BT$6,"Sdate=#1 Period=#2 NULL=BLANK Scale=6",,$D31,$BJ$4),BT31)</f>
        <v>14.357638527000001</v>
      </c>
      <c r="BU31" s="1506" cm="1">
        <f t="array" aca="1" ref="BU31" ca="1">IF(SwitchPA=1,_xll.TR(BU$7,BU$6,"Sdate=#1 Period=#2 NULL=BLANK Scale=6",,$D31,$BJ$4),BU31)</f>
        <v>14.233213081000001</v>
      </c>
      <c r="BV31" s="1506" t="str" cm="1">
        <f t="array" aca="1" ref="BV31" ca="1">IF(SwitchPA=1,_xll.TR(BV$7,BV$6,"Sdate=#1 Period=#2 NULL=BLANK Scale=6",,$D31,$BJ$4),BV31)</f>
        <v/>
      </c>
      <c r="BW31" s="1506" cm="1">
        <f t="array" aca="1" ref="BW31" ca="1">IF(SwitchPA=1,_xll.TR(BW$7,BW$6,"Sdate=#1 Period=#2 NULL=BLANK Scale=6",,$D31,$BJ$4),BW31)</f>
        <v>12.074322441</v>
      </c>
      <c r="BX31" s="1506" cm="1">
        <f t="array" aca="1" ref="BX31" ca="1">IF(SwitchPA=1,_xll.TR(BX$7,BX$6,"Sdate=#1 Period=#2 NULL=BLANK Scale=6",,$D31,$BJ$4),BX31)</f>
        <v>11.125057701999999</v>
      </c>
      <c r="BY31" s="1506" cm="1">
        <f t="array" aca="1" ref="BY31" ca="1">IF(SwitchPA=1,_xll.TR(BY$7,BY$6,"Sdate=#1 Period=#2 NULL=BLANK Scale=6",,$D31,$BJ$4),BY31)</f>
        <v>7.9269226289999999</v>
      </c>
      <c r="BZ31" s="1506" t="str" cm="1">
        <f t="array" aca="1" ref="BZ31" ca="1">IF(SwitchPA=1,_xll.TR(BZ$7,BZ$6,"Sdate=#1 Period=#2 NULL=BLANK Scale=6",,$D31,$BJ$4),BZ31)</f>
        <v/>
      </c>
      <c r="CA31" s="1506" t="str" cm="1">
        <f t="array" aca="1" ref="CA31" ca="1">IF(SwitchPA=1,_xll.TR(CA$7,CA$6,"Sdate=#1 Period=#2 NULL=BLANK Scale=6",,$D31,$BJ$4),CA31)</f>
        <v/>
      </c>
      <c r="CC31" s="1506" cm="1">
        <f t="array" aca="1" ref="CC31" ca="1">IF(SwitchPA=1,_xll.TR(CC$7,CC$6,"Sdate=#1 Period=#2 NULL=BLANK Scale=6",,$D31,$CC$4),CC31)</f>
        <v>8102</v>
      </c>
      <c r="CD31" s="1506" cm="1">
        <f t="array" aca="1" ref="CD31" ca="1">IF(SwitchPA=1,_xll.TR(CD$7,CD$6,"Sdate=#1 Period=#2 NULL=BLANK Scale=6",,$D31,$CC$4),CD31)</f>
        <v>6418</v>
      </c>
      <c r="CE31" s="1506" cm="1">
        <f t="array" aca="1" ref="CE31" ca="1">IF(SwitchPA=1,_xll.TR(CE$7,CE$6,"Sdate=#1 Period=#2 NULL=BLANK Scale=6",,$D31,$CC$4),CE31)</f>
        <v>72216</v>
      </c>
      <c r="CF31" s="1506" t="str" cm="1">
        <f t="array" aca="1" ref="CF31" ca="1">IF(SwitchPA=1,_xll.TR(CF$7,CF$6,"Sdate=#1 Period=#2 NULL=BLANK Scale=6",,$D31,$CC$4),CF31)</f>
        <v/>
      </c>
      <c r="CG31" s="1506" cm="1">
        <f t="array" aca="1" ref="CG31" ca="1">IF(SwitchPA=1,_xll.TR(CG$7,CG$6,"Sdate=#1 Period=#2 NULL=BLANK Scale=6",,$D31,$CC$4),CG31)</f>
        <v>45352</v>
      </c>
      <c r="CH31" s="1506" cm="1">
        <f t="array" aca="1" ref="CH31" ca="1">IF(SwitchPA=1,_xll.TR(CH$7,CH$6,"Sdate=#1 Period=#2 NULL=BLANK Scale=6",,$D31,$CC$4),CH31)</f>
        <v>2184.6999999999998</v>
      </c>
      <c r="CI31" s="1506" cm="1">
        <f t="array" aca="1" ref="CI31" ca="1">IF(SwitchPA=1,_xll.TR(CI$7,CI$6,"Sdate=#1 Period=#2 NULL=BLANK Scale=6",,$D31,$CC$4),CI31)</f>
        <v>13790</v>
      </c>
      <c r="CJ31" s="1506" cm="1">
        <f t="array" aca="1" ref="CJ31" ca="1">IF(SwitchPA=1,_xll.TR(CJ$7,CJ$6,"Sdate=#1 Period=#2 NULL=BLANK Scale=6",,$D31,$CC$4),CJ31)</f>
        <v>11187</v>
      </c>
      <c r="CK31" s="1506" cm="1">
        <f t="array" aca="1" ref="CK31" ca="1">IF(SwitchPA=1,_xll.TR(CK$7,CK$6,"Sdate=#1 Period=#2 NULL=BLANK Scale=6",,$D31,$CC$4),CK31)</f>
        <v>29904</v>
      </c>
      <c r="CL31" s="1506" cm="1">
        <f t="array" aca="1" ref="CL31" ca="1">IF(SwitchPA=1,_xll.TR(CL$7,CL$6,"Sdate=#1 Period=#2 NULL=BLANK Scale=6",,$D31,$CC$4),CL31)</f>
        <v>2519.154</v>
      </c>
      <c r="CM31" s="1506" cm="1">
        <f t="array" aca="1" ref="CM31" ca="1">IF(SwitchPA=1,_xll.TR(CM$7,CM$6,"Sdate=#1 Period=#2 NULL=BLANK Scale=6",,$D31,$CC$4),CM31)</f>
        <v>5991</v>
      </c>
      <c r="CN31" s="1506" cm="1">
        <f t="array" aca="1" ref="CN31" ca="1">IF(SwitchPA=1,_xll.TR(CN$7,CN$6,"Sdate=#1 Period=#2 NULL=BLANK Scale=6",,$D31,$CC$4),CN31)</f>
        <v>2860.8</v>
      </c>
      <c r="CO31" s="1506" t="str" cm="1">
        <f t="array" aca="1" ref="CO31" ca="1">IF(SwitchPA=1,_xll.TR(CO$7,CO$6,"Sdate=#1 Period=#2 NULL=BLANK Scale=6",,$D31,$CC$4),CO31)</f>
        <v/>
      </c>
      <c r="CP31" s="1506" cm="1">
        <f t="array" aca="1" ref="CP31" ca="1">IF(SwitchPA=1,_xll.TR(CP$7,CP$6,"Sdate=#1 Period=#2 NULL=BLANK Scale=6",,$D31,$CC$4),CP31)</f>
        <v>3583.3</v>
      </c>
      <c r="CQ31" s="1506" cm="1">
        <f t="array" aca="1" ref="CQ31" ca="1">IF(SwitchPA=1,_xll.TR(CQ$7,CQ$6,"Sdate=#1 Period=#2 NULL=BLANK Scale=6",,$D31,$CC$4),CQ31)</f>
        <v>13512</v>
      </c>
      <c r="CR31" s="1506" cm="1">
        <f t="array" aca="1" ref="CR31" ca="1">IF(SwitchPA=1,_xll.TR(CR$7,CR$6,"Sdate=#1 Period=#2 NULL=BLANK Scale=6",,$D31,$CC$4),CR31)</f>
        <v>10910</v>
      </c>
      <c r="CS31" s="1506" t="str" cm="1">
        <f t="array" aca="1" ref="CS31" ca="1">IF(SwitchPA=1,_xll.TR(CS$7,CS$6,"Sdate=#1 Period=#2 NULL=BLANK Scale=6",,$D31,$CC$4),CS31)</f>
        <v>Unable to resolve all requested identifiers.</v>
      </c>
      <c r="CT31" s="1506" t="str" cm="1">
        <f t="array" aca="1" ref="CT31" ca="1">IF(SwitchPA=1,_xll.TR(CT$7,CT$6,"Sdate=#1 Period=#2 NULL=BLANK Scale=6",,$D31,$CC$4),CT31)</f>
        <v>Unable to resolve all requested identifiers.</v>
      </c>
      <c r="CV31" s="1516" cm="1">
        <f t="array" aca="1" ref="CV31" ca="1">IF(SwitchPA=1,_xll.TR(CV$7,CV$6,"Sdate=#1 Period=#2 NULL=BLANK Scale=6",,$D31,$AQ$4),CV31)</f>
        <v>3641.25</v>
      </c>
      <c r="CW31" s="1516" cm="1">
        <f t="array" aca="1" ref="CW31" ca="1">IF(SwitchPA=1,_xll.TR(CW$7,CW$6,"Sdate=#1 Period=#2 NULL=BLANK Scale=6",,$D31,$AQ$4),CW31)</f>
        <v>3309.75</v>
      </c>
      <c r="CX31" s="1516" cm="1">
        <f t="array" aca="1" ref="CX31" ca="1">IF(SwitchPA=1,_xll.TR(CX$7,CX$6,"Sdate=#1 Period=#2 NULL=BLANK Scale=6",,$D31,$AQ$4),CX31)</f>
        <v>16462</v>
      </c>
      <c r="CY31" s="1516" t="str" cm="1">
        <f t="array" aca="1" ref="CY31" ca="1">IF(SwitchPA=1,_xll.TR(CY$7,CY$6,"Sdate=#1 Period=#2 NULL=BLANK Scale=6",,$D31,$AQ$4),CY31)</f>
        <v/>
      </c>
      <c r="CZ31" s="1516" cm="1">
        <f t="array" aca="1" ref="CZ31" ca="1">IF(SwitchPA=1,_xll.TR(CZ$7,CZ$6,"Sdate=#1 Period=#2 NULL=BLANK Scale=6",,$D31,$AQ$4),CZ31)</f>
        <v>7442.75</v>
      </c>
      <c r="DA31" s="1516" cm="1">
        <f t="array" aca="1" ref="DA31" ca="1">IF(SwitchPA=1,_xll.TR(DA$7,DA$6,"Sdate=#1 Period=#2 NULL=BLANK Scale=6",,$D31,$AQ$4),DA31)</f>
        <v>982.15</v>
      </c>
      <c r="DB31" s="1516" cm="1">
        <f t="array" aca="1" ref="DB31" ca="1">IF(SwitchPA=1,_xll.TR(DB$7,DB$6,"Sdate=#1 Period=#2 NULL=BLANK Scale=6",,$D31,$AQ$4),DB31)</f>
        <v>4338.25</v>
      </c>
      <c r="DC31" s="1516" cm="1">
        <f t="array" aca="1" ref="DC31" ca="1">IF(SwitchPA=1,_xll.TR(DC$7,DC$6,"Sdate=#1 Period=#2 NULL=BLANK Scale=6",,$D31,$AQ$4),DC31)</f>
        <v>3638.75</v>
      </c>
      <c r="DD31" s="1516" cm="1">
        <f t="array" aca="1" ref="DD31" ca="1">IF(SwitchPA=1,_xll.TR(DD$7,DD$6,"Sdate=#1 Period=#2 NULL=BLANK Scale=6",,$D31,$AQ$4),DD31)</f>
        <v>7944.5</v>
      </c>
      <c r="DE31" s="1516" cm="1">
        <f t="array" aca="1" ref="DE31" ca="1">IF(SwitchPA=1,_xll.TR(DE$7,DE$6,"Sdate=#1 Period=#2 NULL=BLANK Scale=6",,$D31,$AQ$4),DE31)</f>
        <v>1223.4755</v>
      </c>
      <c r="DF31" s="1516" cm="1">
        <f t="array" aca="1" ref="DF31" ca="1">IF(SwitchPA=1,_xll.TR(DF$7,DF$6,"Sdate=#1 Period=#2 NULL=BLANK Scale=6",,$D31,$AQ$4),DF31)</f>
        <v>2806.25</v>
      </c>
      <c r="DG31" s="1516" cm="1">
        <f t="array" aca="1" ref="DG31" ca="1">IF(SwitchPA=1,_xll.TR(DG$7,DG$6,"Sdate=#1 Period=#2 NULL=BLANK Scale=6",,$D31,$AQ$4),DG31)</f>
        <v>384.75</v>
      </c>
      <c r="DH31" s="1516" t="str" cm="1">
        <f t="array" aca="1" ref="DH31" ca="1">IF(SwitchPA=1,_xll.TR(DH$7,DH$6,"Sdate=#1 Period=#2 NULL=BLANK Scale=6",,$D31,$AQ$4),DH31)</f>
        <v/>
      </c>
      <c r="DI31" s="1516" cm="1">
        <f t="array" aca="1" ref="DI31" ca="1">IF(SwitchPA=1,_xll.TR(DI$7,DI$6,"Sdate=#1 Period=#2 NULL=BLANK Scale=6",,$D31,$AQ$4),DI31)</f>
        <v>1007.225</v>
      </c>
      <c r="DJ31" s="1516" cm="1">
        <f t="array" aca="1" ref="DJ31" ca="1">IF(SwitchPA=1,_xll.TR(DJ$7,DJ$6,"Sdate=#1 Period=#2 NULL=BLANK Scale=6",,$D31,$AQ$4),DJ31)</f>
        <v>2787.75</v>
      </c>
      <c r="DK31" s="1516" cm="1">
        <f t="array" aca="1" ref="DK31" ca="1">IF(SwitchPA=1,_xll.TR(DK$7,DK$6,"Sdate=#1 Period=#2 NULL=BLANK Scale=6",,$D31,$AQ$4),DK31)</f>
        <v>5533.75</v>
      </c>
      <c r="DL31" s="1516" t="str" cm="1">
        <f t="array" aca="1" ref="DL31" ca="1">IF(SwitchPA=1,_xll.TR(DL$7,DL$6,"Sdate=#1 Period=#2 NULL=BLANK Scale=6",,$D31,$AQ$4),DL31)</f>
        <v>Unable to resolve all requested identifiers.</v>
      </c>
      <c r="DM31" s="1516" t="str" cm="1">
        <f t="array" aca="1" ref="DM31" ca="1">IF(SwitchPA=1,_xll.TR(DM$7,DM$6,"Sdate=#1 Period=#2 NULL=BLANK Scale=6",,$D31,$AQ$4),DM31)</f>
        <v>Unable to resolve all requested identifiers.</v>
      </c>
      <c r="DO31" s="1506" cm="1">
        <f t="array" aca="1" ref="DO31" ca="1">IF(SwitchPA=1,_xll.TR(DO$7,DO$6,"Sdate=#1 Period=#2 Scale=6 NULL=BLANK",,$D31,$X$4),DO31)</f>
        <v>16184.01203168</v>
      </c>
      <c r="DP31" s="1506" cm="1">
        <f t="array" aca="1" ref="DP31" ca="1">IF(SwitchPA=1,_xll.TR(DP$7,DP$6,"Sdate=#1 Period=#2 Scale=6 NULL=BLANK",,$D31,$X$4),DP31)</f>
        <v>10100.5505302</v>
      </c>
      <c r="DQ31" s="1506" cm="1">
        <f t="array" aca="1" ref="DQ31" ca="1">IF(SwitchPA=1,_xll.TR(DQ$7,DQ$6,"Sdate=#1 Period=#2 Scale=6 NULL=BLANK",,$D31,$X$4),DQ31)</f>
        <v>77100.900456079995</v>
      </c>
      <c r="DR31" s="1506" t="str" cm="1">
        <f t="array" aca="1" ref="DR31" ca="1">IF(SwitchPA=1,_xll.TR(DR$7,DR$6,"Sdate=#1 Period=#2 Scale=6 NULL=BLANK",,$D31,$X$4),DR31)</f>
        <v/>
      </c>
      <c r="DS31" s="1506" cm="1">
        <f t="array" aca="1" ref="DS31" ca="1">IF(SwitchPA=1,_xll.TR(DS$7,DS$6,"Sdate=#1 Period=#2 Scale=6 NULL=BLANK",,$D31,$X$4),DS31)</f>
        <v>36880.359932610001</v>
      </c>
      <c r="DT31" s="1506" cm="1">
        <f t="array" aca="1" ref="DT31" ca="1">IF(SwitchPA=1,_xll.TR(DT$7,DT$6,"Sdate=#1 Period=#2 Scale=6 NULL=BLANK",,$D31,$X$4),DT31)</f>
        <v>2490.15971696</v>
      </c>
      <c r="DU31" s="1506" t="str" cm="1">
        <f t="array" aca="1" ref="DU31" ca="1">IF(SwitchPA=1,_xll.TR(DU$7,DU$6,"Sdate=#1 Period=#2 Scale=6 NULL=BLANK",,$D31,$X$4),DU31)</f>
        <v/>
      </c>
      <c r="DV31" s="1506" cm="1">
        <f t="array" aca="1" ref="DV31" ca="1">IF(SwitchPA=1,_xll.TR(DV$7,DV$6,"Sdate=#1 Period=#2 Scale=6 NULL=BLANK",,$D31,$X$4),DV31)</f>
        <v>7650.4373699999996</v>
      </c>
      <c r="DW31" s="1506" cm="1">
        <f t="array" aca="1" ref="DW31" ca="1">IF(SwitchPA=1,_xll.TR(DW$7,DW$6,"Sdate=#1 Period=#2 Scale=6 NULL=BLANK",,$D31,$X$4),DW31)</f>
        <v>72754.198408900003</v>
      </c>
      <c r="DX31" s="1506" cm="1">
        <f t="array" aca="1" ref="DX31" ca="1">IF(SwitchPA=1,_xll.TR(DX$7,DX$6,"Sdate=#1 Period=#2 Scale=6 NULL=BLANK",,$D31,$X$4),DX31)</f>
        <v>6214.8127366299996</v>
      </c>
      <c r="DY31" s="1506" cm="1">
        <f t="array" aca="1" ref="DY31" ca="1">IF(SwitchPA=1,_xll.TR(DY$7,DY$6,"Sdate=#1 Period=#2 Scale=6 NULL=BLANK",,$D31,$X$4),DY31)</f>
        <v>9289.3921272499992</v>
      </c>
      <c r="DZ31" s="1506" cm="1">
        <f t="array" aca="1" ref="DZ31" ca="1">IF(SwitchPA=1,_xll.TR(DZ$7,DZ$6,"Sdate=#1 Period=#2 Scale=6 NULL=BLANK",,$D31,$X$4),DZ31)</f>
        <v>2597.56138728</v>
      </c>
      <c r="EA31" s="1506" t="str" cm="1">
        <f t="array" aca="1" ref="EA31" ca="1">IF(SwitchPA=1,_xll.TR(EA$7,EA$6,"Sdate=#1 Period=#2 Scale=6 NULL=BLANK",,$D31,$X$4),EA31)</f>
        <v/>
      </c>
      <c r="EB31" s="1506" cm="1">
        <f t="array" aca="1" ref="EB31" ca="1">IF(SwitchPA=1,_xll.TR(EB$7,EB$6,"Sdate=#1 Period=#2 Scale=6 NULL=BLANK",,$D31,$X$4),EB31)</f>
        <v>8972.4290057800008</v>
      </c>
      <c r="EC31" s="1506" cm="1">
        <f t="array" aca="1" ref="EC31" ca="1">IF(SwitchPA=1,_xll.TR(EC$7,EC$6,"Sdate=#1 Period=#2 Scale=6 NULL=BLANK",,$D31,$X$4),EC31)</f>
        <v>22116.614710999998</v>
      </c>
      <c r="ED31" s="1506" cm="1">
        <f t="array" aca="1" ref="ED31" ca="1">IF(SwitchPA=1,_xll.TR(ED$7,ED$6,"Sdate=#1 Period=#2 Scale=6 NULL=BLANK",,$D31,$X$4),ED31)</f>
        <v>12936.737730950001</v>
      </c>
      <c r="EE31" s="1506" t="str" cm="1">
        <f t="array" aca="1" ref="EE31" ca="1">IF(SwitchPA=1,_xll.TR(EE$7,EE$6,"Sdate=#1 Period=#2 Scale=6 NULL=BLANK",,$D31,$X$4),EE31)</f>
        <v/>
      </c>
      <c r="EF31" s="1506" t="str" cm="1">
        <f t="array" aca="1" ref="EF31" ca="1">IF(SwitchPA=1,_xll.TR(EF$7,EF$6,"Sdate=#1 Period=#2 Scale=6 NULL=BLANK",,$D31,$X$4),EF31)</f>
        <v/>
      </c>
      <c r="EG31" s="1517"/>
      <c r="EH31" s="1506" cm="1">
        <f t="array" aca="1" ref="EH31" ca="1">IF(SwitchPA=1,_xll.TR(EH$7,EH$6,"Sdate=#1 Period=#2 Scale=6 NULL=BLANK",,$D31,$X$4),EH31)</f>
        <v>1025</v>
      </c>
      <c r="EI31" s="1506" cm="1">
        <f t="array" aca="1" ref="EI31" ca="1">IF(SwitchPA=1,_xll.TR(EI$7,EI$6,"Sdate=#1 Period=#2 Scale=6 NULL=BLANK",,$D31,$X$4),EI31)</f>
        <v>196</v>
      </c>
      <c r="EJ31" s="1506" cm="1">
        <f t="array" aca="1" ref="EJ31" ca="1">IF(SwitchPA=1,_xll.TR(EJ$7,EJ$6,"Sdate=#1 Period=#2 Scale=6 NULL=BLANK",,$D31,$X$4),EJ31)</f>
        <v>6126</v>
      </c>
      <c r="EK31" s="1506" t="str" cm="1">
        <f t="array" aca="1" ref="EK31" ca="1">IF(SwitchPA=1,_xll.TR(EK$7,EK$6,"Sdate=#1 Period=#2 Scale=6 NULL=BLANK",,$D31,$X$4),EK31)</f>
        <v/>
      </c>
      <c r="EL31" s="1506" cm="1">
        <f t="array" aca="1" ref="EL31" ca="1">IF(SwitchPA=1,_xll.TR(EL$7,EL$6,"Sdate=#1 Period=#2 Scale=6 NULL=BLANK",,$D31,$X$4),EL31)</f>
        <v>5074</v>
      </c>
      <c r="EM31" s="1506" cm="1">
        <f t="array" aca="1" ref="EM31" ca="1">IF(SwitchPA=1,_xll.TR(EM$7,EM$6,"Sdate=#1 Period=#2 Scale=6 NULL=BLANK",,$D31,$X$4),EM31)</f>
        <v>275.7</v>
      </c>
      <c r="EN31" s="1506" cm="1">
        <f t="array" aca="1" ref="EN31" ca="1">IF(SwitchPA=1,_xll.TR(EN$7,EN$6,"Sdate=#1 Period=#2 Scale=6 NULL=BLANK",,$D31,$X$4),EN31)</f>
        <v>1946</v>
      </c>
      <c r="EO31" s="1506" cm="1">
        <f t="array" aca="1" ref="EO31" ca="1">IF(SwitchPA=1,_xll.TR(EO$7,EO$6,"Sdate=#1 Period=#2 Scale=6 NULL=BLANK",,$D31,$X$4),EO31)</f>
        <v>943</v>
      </c>
      <c r="EP31" s="1506" cm="1">
        <f t="array" aca="1" ref="EP31" ca="1">IF(SwitchPA=1,_xll.TR(EP$7,EP$6,"Sdate=#1 Period=#2 Scale=6 NULL=BLANK",,$D31,$X$4),EP31)</f>
        <v>6483</v>
      </c>
      <c r="EQ31" s="1506" cm="1">
        <f t="array" aca="1" ref="EQ31" ca="1">IF(SwitchPA=1,_xll.TR(EQ$7,EQ$6,"Sdate=#1 Period=#2 Scale=6 NULL=BLANK",,$D31,$X$4),EQ31)</f>
        <v>503.36799999999999</v>
      </c>
      <c r="ER31" s="1506" cm="1">
        <f t="array" aca="1" ref="ER31" ca="1">IF(SwitchPA=1,_xll.TR(ER$7,ER$6,"Sdate=#1 Period=#2 Scale=6 NULL=BLANK",,$D31,$X$4),ER31)</f>
        <v>319</v>
      </c>
      <c r="ES31" s="1506" cm="1">
        <f t="array" aca="1" ref="ES31" ca="1">IF(SwitchPA=1,_xll.TR(ES$7,ES$6,"Sdate=#1 Period=#2 Scale=6 NULL=BLANK",,$D31,$X$4),ES31)</f>
        <v>112.7</v>
      </c>
      <c r="ET31" s="1506" t="str" cm="1">
        <f t="array" aca="1" ref="ET31" ca="1">IF(SwitchPA=1,_xll.TR(ET$7,ET$6,"Sdate=#1 Period=#2 Scale=6 NULL=BLANK",,$D31,$X$4),ET31)</f>
        <v/>
      </c>
      <c r="EU31" s="1506" cm="1">
        <f t="array" aca="1" ref="EU31" ca="1">IF(SwitchPA=1,_xll.TR(EU$7,EU$6,"Sdate=#1 Period=#2 Scale=6 NULL=BLANK",,$D31,$X$4),EU31)</f>
        <v>697.9</v>
      </c>
      <c r="EV31" s="1506" cm="1">
        <f t="array" aca="1" ref="EV31" ca="1">IF(SwitchPA=1,_xll.TR(EV$7,EV$6,"Sdate=#1 Period=#2 Scale=6 NULL=BLANK",,$D31,$X$4),EV31)</f>
        <v>1517</v>
      </c>
      <c r="EW31" s="1506" cm="1">
        <f t="array" aca="1" ref="EW31" ca="1">IF(SwitchPA=1,_xll.TR(EW$7,EW$6,"Sdate=#1 Period=#2 Scale=6 NULL=BLANK",,$D31,$X$4),EW31)</f>
        <v>912</v>
      </c>
      <c r="EX31" s="1506" t="str" cm="1">
        <f t="array" aca="1" ref="EX31" ca="1">IF(SwitchPA=1,_xll.TR(EX$7,EX$6,"Sdate=#1 Period=#2 Scale=6 NULL=BLANK",,$D31,$X$4),EX31)</f>
        <v>Unable to resolve all requested identifiers.</v>
      </c>
      <c r="EY31" s="1506" t="str" cm="1">
        <f t="array" aca="1" ref="EY31" ca="1">IF(SwitchPA=1,_xll.TR(EY$7,EY$6,"Sdate=#1 Period=#2 Scale=6 NULL=BLANK",,$D31,$X$4),EY31)</f>
        <v>Unable to resolve all requested identifiers.</v>
      </c>
      <c r="FA31" s="1506" cm="1">
        <f t="array" aca="1" ref="FA31" ca="1">IF(SwitchPA=1,_xll.TR(FA$7,FA$6,"Sdate=#1 Period=#2 Scale=6 NULL=BLANK",,$D31,$X$4),FA31)</f>
        <v>1385</v>
      </c>
      <c r="FB31" s="1506" cm="1">
        <f t="array" aca="1" ref="FB31" ca="1">IF(SwitchPA=1,_xll.TR(FB$7,FB$6,"Sdate=#1 Period=#2 Scale=6 NULL=BLANK",,$D31,$X$4),FB31)</f>
        <v>516</v>
      </c>
      <c r="FC31" s="1506" cm="1">
        <f t="array" aca="1" ref="FC31" ca="1">IF(SwitchPA=1,_xll.TR(FC$7,FC$6,"Sdate=#1 Period=#2 Scale=6 NULL=BLANK",,$D31,$X$4),FC31)</f>
        <v>9360</v>
      </c>
      <c r="FD31" s="1506" t="str" cm="1">
        <f t="array" aca="1" ref="FD31" ca="1">IF(SwitchPA=1,_xll.TR(FD$7,FD$6,"Sdate=#1 Period=#2 Scale=6 NULL=BLANK",,$D31,$X$4),FD31)</f>
        <v/>
      </c>
      <c r="FE31" s="1506" cm="1">
        <f t="array" aca="1" ref="FE31" ca="1">IF(SwitchPA=1,_xll.TR(FE$7,FE$6,"Sdate=#1 Period=#2 Scale=6 NULL=BLANK",,$D31,$X$4),FE31)</f>
        <v>6057</v>
      </c>
      <c r="FF31" s="1506" cm="1">
        <f t="array" aca="1" ref="FF31" ca="1">IF(SwitchPA=1,_xll.TR(FF$7,FF$6,"Sdate=#1 Period=#2 Scale=6 NULL=BLANK",,$D31,$X$4),FF31)</f>
        <v>386.6</v>
      </c>
      <c r="FG31" s="1506" cm="1">
        <f t="array" aca="1" ref="FG31" ca="1">IF(SwitchPA=1,_xll.TR(FG$7,FG$6,"Sdate=#1 Period=#2 Scale=6 NULL=BLANK",,$D31,$X$4),FG31)</f>
        <v>2808</v>
      </c>
      <c r="FH31" s="1506" cm="1">
        <f t="array" aca="1" ref="FH31" ca="1">IF(SwitchPA=1,_xll.TR(FH$7,FH$6,"Sdate=#1 Period=#2 Scale=6 NULL=BLANK",,$D31,$X$4),FH31)</f>
        <v>1371</v>
      </c>
      <c r="FI31" s="1506" cm="1">
        <f t="array" aca="1" ref="FI31" ca="1">IF(SwitchPA=1,_xll.TR(FI$7,FI$6,"Sdate=#1 Period=#2 Scale=6 NULL=BLANK",,$D31,$X$4),FI31)</f>
        <v>7771</v>
      </c>
      <c r="FJ31" s="1506" cm="1">
        <f t="array" aca="1" ref="FJ31" ca="1">IF(SwitchPA=1,_xll.TR(FJ$7,FJ$6,"Sdate=#1 Period=#2 Scale=6 NULL=BLANK",,$D31,$X$4),FJ31)</f>
        <v>602.38800000000003</v>
      </c>
      <c r="FK31" s="1506" cm="1">
        <f t="array" aca="1" ref="FK31" ca="1">IF(SwitchPA=1,_xll.TR(FK$7,FK$6,"Sdate=#1 Period=#2 Scale=6 NULL=BLANK",,$D31,$X$4),FK31)</f>
        <v>647</v>
      </c>
      <c r="FL31" s="1506" cm="1">
        <f t="array" aca="1" ref="FL31" ca="1">IF(SwitchPA=1,_xll.TR(FL$7,FL$6,"Sdate=#1 Period=#2 Scale=6 NULL=BLANK",,$D31,$X$4),FL31)</f>
        <v>182.5</v>
      </c>
      <c r="FM31" s="1506" t="str" cm="1">
        <f t="array" aca="1" ref="FM31" ca="1">IF(SwitchPA=1,_xll.TR(FM$7,FM$6,"Sdate=#1 Period=#2 Scale=6 NULL=BLANK",,$D31,$X$4),FM31)</f>
        <v/>
      </c>
      <c r="FN31" s="1506" cm="1">
        <f t="array" aca="1" ref="FN31" ca="1">IF(SwitchPA=1,_xll.TR(FN$7,FN$6,"Sdate=#1 Period=#2 Scale=6 NULL=BLANK",,$D31,$X$4),FN31)</f>
        <v>788.6</v>
      </c>
      <c r="FO31" s="1506" cm="1">
        <f t="array" aca="1" ref="FO31" ca="1">IF(SwitchPA=1,_xll.TR(FO$7,FO$6,"Sdate=#1 Period=#2 Scale=6 NULL=BLANK",,$D31,$X$4),FO31)</f>
        <v>1961</v>
      </c>
      <c r="FP31" s="1506" cm="1">
        <f t="array" aca="1" ref="FP31" ca="1">IF(SwitchPA=1,_xll.TR(FP$7,FP$6,"Sdate=#1 Period=#2 Scale=6 NULL=BLANK",,$D31,$X$4),FP31)</f>
        <v>1706</v>
      </c>
      <c r="FQ31" s="1506" t="str" cm="1">
        <f t="array" aca="1" ref="FQ31" ca="1">IF(SwitchPA=1,_xll.TR(FQ$7,FQ$6,"Sdate=#1 Period=#2 Scale=6 NULL=BLANK",,$D31,$X$4),FQ31)</f>
        <v>Unable to resolve all requested identifiers.</v>
      </c>
      <c r="FS31" s="1506" cm="1">
        <f t="array" aca="1" ref="FS31" ca="1">IF(SwitchPA=1,_xll.TR(FS$7,FS$6,"Sdate=#1 Period=#2 NULL=BLANK Scale=6",,$D31,$FS$4),FS31)</f>
        <v>658</v>
      </c>
      <c r="FT31" s="1506" cm="1">
        <f t="array" aca="1" ref="FT31" ca="1">IF(SwitchPA=1,_xll.TR(FT$7,FT$6,"Sdate=#1 Period=#2 NULL=BLANK Scale=6",,$D31,$FS$4),FT31)</f>
        <v>312</v>
      </c>
      <c r="FU31" s="1506" cm="1">
        <f t="array" aca="1" ref="FU31" ca="1">IF(SwitchPA=1,_xll.TR(FU$7,FU$6,"Sdate=#1 Period=#2 NULL=BLANK Scale=6",,$D31,$FS$4),FU31)</f>
        <v>3088</v>
      </c>
      <c r="FV31" s="1506" t="str" cm="1">
        <f t="array" aca="1" ref="FV31" ca="1">IF(SwitchPA=1,_xll.TR(FV$7,FV$6,"Sdate=#1 Period=#2 NULL=BLANK Scale=6",,$D31,$FS$4),FV31)</f>
        <v/>
      </c>
      <c r="FW31" s="1506" cm="1">
        <f t="array" aca="1" ref="FW31" ca="1">IF(SwitchPA=1,_xll.TR(FW$7,FW$6,"Sdate=#1 Period=#2 NULL=BLANK Scale=6",,$D31,$FS$4),FW31)</f>
        <v>3727</v>
      </c>
      <c r="FX31" s="1506" cm="1">
        <f t="array" aca="1" ref="FX31" ca="1">IF(SwitchPA=1,_xll.TR(FX$7,FX$6,"Sdate=#1 Period=#2 NULL=BLANK Scale=6",,$D31,$FS$4),FX31)</f>
        <v>23.5</v>
      </c>
      <c r="FY31" s="1506" cm="1">
        <f t="array" aca="1" ref="FY31" ca="1">IF(SwitchPA=1,_xll.TR(FY$7,FY$6,"Sdate=#1 Period=#2 NULL=BLANK Scale=6",,$D31,$FS$4),FY31)</f>
        <v>582</v>
      </c>
      <c r="FZ31" s="1506" cm="1">
        <f t="array" aca="1" ref="FZ31" ca="1">IF(SwitchPA=1,_xll.TR(FZ$7,FZ$6,"Sdate=#1 Period=#2 NULL=BLANK Scale=6",,$D31,$FS$4),FZ31)</f>
        <v>362</v>
      </c>
      <c r="GA31" s="1506" cm="1">
        <f t="array" aca="1" ref="GA31" ca="1">IF(SwitchPA=1,_xll.TR(GA$7,GA$6,"Sdate=#1 Period=#2 NULL=BLANK Scale=6",,$D31,$FS$4),GA31)</f>
        <v>3816</v>
      </c>
      <c r="GB31" s="1506" cm="1">
        <f t="array" aca="1" ref="GB31" ca="1">IF(SwitchPA=1,_xll.TR(GB$7,GB$6,"Sdate=#1 Period=#2 NULL=BLANK Scale=6",,$D31,$FS$4),GB31)</f>
        <v>207.893</v>
      </c>
      <c r="GC31" s="1506" cm="1">
        <f t="array" aca="1" ref="GC31" ca="1">IF(SwitchPA=1,_xll.TR(GC$7,GC$6,"Sdate=#1 Period=#2 NULL=BLANK Scale=6",,$D31,$FS$4),GC31)</f>
        <v>354</v>
      </c>
      <c r="GD31" s="1506" cm="1">
        <f t="array" aca="1" ref="GD31" ca="1">IF(SwitchPA=1,_xll.TR(GD$7,GD$6,"Sdate=#1 Period=#2 NULL=BLANK Scale=6",,$D31,$FS$4),GD31)</f>
        <v>49.5</v>
      </c>
      <c r="GE31" s="1506" t="str" cm="1">
        <f t="array" aca="1" ref="GE31" ca="1">IF(SwitchPA=1,_xll.TR(GE$7,GE$6,"Sdate=#1 Period=#2 NULL=BLANK Scale=6",,$D31,$FS$4),GE31)</f>
        <v/>
      </c>
      <c r="GF31" s="1506" cm="1">
        <f t="array" aca="1" ref="GF31" ca="1">IF(SwitchPA=1,_xll.TR(GF$7,GF$6,"Sdate=#1 Period=#2 NULL=BLANK Scale=6",,$D31,$FS$4),GF31)</f>
        <v>182.4</v>
      </c>
      <c r="GG31" s="1506" cm="1">
        <f t="array" aca="1" ref="GG31" ca="1">IF(SwitchPA=1,_xll.TR(GG$7,GG$6,"Sdate=#1 Period=#2 NULL=BLANK Scale=6",,$D31,$FS$4),GG31)</f>
        <v>1424</v>
      </c>
      <c r="GH31" s="1506" cm="1">
        <f t="array" aca="1" ref="GH31" ca="1">IF(SwitchPA=1,_xll.TR(GH$7,GH$6,"Sdate=#1 Period=#2 NULL=BLANK Scale=6",,$D31,$FS$4),GH31)</f>
        <v>672</v>
      </c>
      <c r="GI31" s="1506" t="str" cm="1">
        <f t="array" aca="1" ref="GI31" ca="1">IF(SwitchPA=1,_xll.TR(GI$7,GI$6,"Sdate=#1 Period=#2 NULL=BLANK Scale=6",,$D31,$FS$4),GI31)</f>
        <v>Unable to resolve and collect data for all requested identifiers and fields.</v>
      </c>
      <c r="GK31" s="1506" cm="1">
        <f t="array" aca="1" ref="GK31" ca="1">IF(SwitchPA=1,_xll.TR(GK$7,GK$6,"Sdate=#1 Period=#2 NULL=BLANK Scale=6",,$D31,$FS$4),GK31)</f>
        <v>1.6198704103671699</v>
      </c>
      <c r="GL31" s="1506" cm="1">
        <f t="array" aca="1" ref="GL31" ca="1">IF(SwitchPA=1,_xll.TR(GL$7,GL$6,"Sdate=#1 Period=#2 NULL=BLANK Scale=6",,$D31,$FS$4),GL31)</f>
        <v>0.59760956175298796</v>
      </c>
      <c r="GM31" s="1506" cm="1">
        <f t="array" aca="1" ref="GM31" ca="1">IF(SwitchPA=1,_xll.TR(GM$7,GM$6,"Sdate=#1 Period=#2 NULL=BLANK Scale=6",,$D31,$FS$4),GM31)</f>
        <v>3.5053280987100401</v>
      </c>
      <c r="GN31" s="1506" t="str" cm="1">
        <f t="array" aca="1" ref="GN31" ca="1">IF(SwitchPA=1,_xll.TR(GN$7,GN$6,"Sdate=#1 Period=#2 NULL=BLANK Scale=6",,$D31,$FS$4),GN31)</f>
        <v/>
      </c>
      <c r="GO31" s="1506" cm="1">
        <f t="array" aca="1" ref="GO31" ca="1">IF(SwitchPA=1,_xll.TR(GO$7,GO$6,"Sdate=#1 Period=#2 NULL=BLANK Scale=6",,$D31,$FS$4),GO31)</f>
        <v>2.6156612718652901</v>
      </c>
      <c r="GP31" s="1506" cm="1">
        <f t="array" aca="1" ref="GP31" ca="1">IF(SwitchPA=1,_xll.TR(GP$7,GP$6,"Sdate=#1 Period=#2 NULL=BLANK Scale=6",,$D31,$FS$4),GP31)</f>
        <v>3.43642611683849</v>
      </c>
      <c r="GQ31" s="1506" t="str" cm="1">
        <f t="array" aca="1" ref="GQ31" ca="1">IF(SwitchPA=1,_xll.TR(GQ$7,GQ$6,"Sdate=#1 Period=#2 NULL=BLANK Scale=6",,$D31,$FS$4),GQ31)</f>
        <v/>
      </c>
      <c r="GR31" s="1506" cm="1">
        <f t="array" aca="1" ref="GR31" ca="1">IF(SwitchPA=1,_xll.TR(GR$7,GR$6,"Sdate=#1 Period=#2 NULL=BLANK Scale=6",,$D31,$FS$4),GR31)</f>
        <v>2.8522532800912699</v>
      </c>
      <c r="GS31" s="1506" cm="1">
        <f t="array" aca="1" ref="GS31" ca="1">IF(SwitchPA=1,_xll.TR(GS$7,GS$6,"Sdate=#1 Period=#2 NULL=BLANK Scale=6",,$D31,$FS$4),GS31)</f>
        <v>2.4712979178828598</v>
      </c>
      <c r="GT31" s="1506" cm="1">
        <f t="array" aca="1" ref="GT31" ca="1">IF(SwitchPA=1,_xll.TR(GT$7,GT$6,"Sdate=#1 Period=#2 NULL=BLANK Scale=6",,$D31,$FS$4),GT31)</f>
        <v>1.4676654945726999</v>
      </c>
      <c r="GU31" s="1506" cm="1">
        <f t="array" aca="1" ref="GU31" ca="1">IF(SwitchPA=1,_xll.TR(GU$7,GU$6,"Sdate=#1 Period=#2 NULL=BLANK Scale=6",,$D31,$FS$4),GU31)</f>
        <v>1.1419870574800199</v>
      </c>
      <c r="GV31" s="1506" cm="1">
        <f t="array" aca="1" ref="GV31" ca="1">IF(SwitchPA=1,_xll.TR(GV$7,GV$6,"Sdate=#1 Period=#2 NULL=BLANK Scale=6",,$D31,$FS$4),GV31)</f>
        <v>0.853242320819113</v>
      </c>
      <c r="GW31" s="1506" t="str" cm="1">
        <f t="array" aca="1" ref="GW31" ca="1">IF(SwitchPA=1,_xll.TR(GW$7,GW$6,"Sdate=#1 Period=#2 NULL=BLANK Scale=6",,$D31,$FS$4),GW31)</f>
        <v/>
      </c>
      <c r="GX31" s="1506" cm="1">
        <f t="array" aca="1" ref="GX31" ca="1">IF(SwitchPA=1,_xll.TR(GX$7,GX$6,"Sdate=#1 Period=#2 NULL=BLANK Scale=6",,$D31,$FS$4),GX31)</f>
        <v>0.91509913573970503</v>
      </c>
      <c r="GY31" s="1506" cm="1">
        <f t="array" aca="1" ref="GY31" ca="1">IF(SwitchPA=1,_xll.TR(GY$7,GY$6,"Sdate=#1 Period=#2 NULL=BLANK Scale=6",,$D31,$FS$4),GY31)</f>
        <v>1.6978417266187</v>
      </c>
      <c r="GZ31" s="1506" cm="1">
        <f t="array" aca="1" ref="GZ31" ca="1">IF(SwitchPA=1,_xll.TR(GZ$7,GZ$6,"Sdate=#1 Period=#2 NULL=BLANK Scale=6",,$D31,$FS$4),GZ31)</f>
        <v>2.7315407597097701</v>
      </c>
      <c r="HA31" s="1506" t="str" cm="1">
        <f t="array" aca="1" ref="HA31" ca="1">IF(SwitchPA=1,_xll.TR(HA$7,HA$6,"Sdate=#1 Period=#2 NULL=BLANK Scale=6",,$D31,$FS$4),HA31)</f>
        <v/>
      </c>
      <c r="HC31">
        <v>2.75</v>
      </c>
      <c r="HD31">
        <v>94.05</v>
      </c>
      <c r="HE31">
        <v>111.63</v>
      </c>
      <c r="HG31" s="762">
        <f t="shared" si="52"/>
        <v>-0.3125</v>
      </c>
      <c r="HH31" s="762">
        <f t="shared" si="53"/>
        <v>-8.7478920741990152E-3</v>
      </c>
      <c r="HI31" s="762">
        <f t="shared" si="54"/>
        <v>3.3255437713464175E-3</v>
      </c>
    </row>
    <row r="32" spans="1:217" ht="11.25" customHeight="1">
      <c r="C32" s="1514">
        <f t="shared" si="51"/>
        <v>41639</v>
      </c>
      <c r="D32" s="1515">
        <f t="shared" si="49"/>
        <v>41684</v>
      </c>
      <c r="E32" s="1506" cm="1">
        <f t="array" aca="1" ref="E32" ca="1">IF(SwitchPA=1,_xll.TR(E$7,E$6,"Sdate=#1 Period=#2 NULL=BLANK",,$D32,$E$4),E32)</f>
        <v>7.9226599951817596</v>
      </c>
      <c r="F32" s="1506" cm="1">
        <f t="array" aca="1" ref="F32" ca="1">IF(SwitchPA=1,_xll.TR(F$7,F$6,"Sdate=#1 Period=#2 NULL=BLANK",,$D32,$E$4),F32)</f>
        <v>7.0030993714546099</v>
      </c>
      <c r="G32" s="1506" cm="1">
        <f t="array" aca="1" ref="G32" ca="1">IF(SwitchPA=1,_xll.TR(G$7,G$6,"Sdate=#1 Period=#2 NULL=BLANK",,$D32,$E$4),G32)</f>
        <v>8.1722696134745494</v>
      </c>
      <c r="H32" s="1506" t="str" cm="1">
        <f t="array" aca="1" ref="H32" ca="1">IF(SwitchPA=1,_xll.TR(H$7,H$6,"Sdate=#1 Period=#2 NULL=BLANK",,$D32,$E$4),H32)</f>
        <v/>
      </c>
      <c r="I32" s="1506" cm="1">
        <f t="array" aca="1" ref="I32" ca="1">IF(SwitchPA=1,_xll.TR(I$7,I$6,"Sdate=#1 Period=#2 NULL=BLANK",,$D32,$E$4),I32)</f>
        <v>6.9886856822345997</v>
      </c>
      <c r="J32" s="1506" cm="1">
        <f t="array" aca="1" ref="J32" ca="1">IF(SwitchPA=1,_xll.TR(J$7,J$6,"Sdate=#1 Period=#2 NULL=BLANK",,$D32,$E$4),J32)</f>
        <v>6.0144875998336103</v>
      </c>
      <c r="K32" s="1506" cm="1">
        <f t="array" aca="1" ref="K32" ca="1">IF(SwitchPA=1,_xll.TR(K$7,K$6,"Sdate=#1 Period=#2 NULL=BLANK",,$D32,$E$4),K32)</f>
        <v>5.9469280266133602</v>
      </c>
      <c r="L32" s="1506" cm="1">
        <f t="array" aca="1" ref="L32" ca="1">IF(SwitchPA=1,_xll.TR(L$7,L$6,"Sdate=#1 Period=#2 NULL=BLANK",,$D32,$E$4),L32)</f>
        <v>6.1643106287311804</v>
      </c>
      <c r="M32" s="1506" cm="1">
        <f t="array" aca="1" ref="M32" ca="1">IF(SwitchPA=1,_xll.TR(M$7,M$6,"Sdate=#1 Period=#2 NULL=BLANK",,$D32,$E$4),M32)</f>
        <v>10.4587504369968</v>
      </c>
      <c r="N32" s="1506" cm="1">
        <f t="array" aca="1" ref="N32" ca="1">IF(SwitchPA=1,_xll.TR(N$7,N$6,"Sdate=#1 Period=#2 NULL=BLANK",,$D32,$E$4),N32)</f>
        <v>9.62564498546595</v>
      </c>
      <c r="O32" s="1506" cm="1">
        <f t="array" aca="1" ref="O32" ca="1">IF(SwitchPA=1,_xll.TR(O$7,O$6,"Sdate=#1 Period=#2 NULL=BLANK",,$D32,$E$4),O32)</f>
        <v>8.0578542454300894</v>
      </c>
      <c r="P32" s="1506" cm="1">
        <f t="array" aca="1" ref="P32" ca="1">IF(SwitchPA=1,_xll.TR(P$7,P$6,"Sdate=#1 Period=#2 NULL=BLANK",,$D32,$E$4),P32)</f>
        <v>8.5604085834951</v>
      </c>
      <c r="Q32" s="1506" t="str" cm="1">
        <f t="array" aca="1" ref="Q32" ca="1">IF(SwitchPA=1,_xll.TR(Q$7,Q$6,"Sdate=#1 Period=#2 NULL=BLANK",,$D32,$E$4),Q32)</f>
        <v/>
      </c>
      <c r="R32" s="1506" cm="1">
        <f t="array" aca="1" ref="R32" ca="1">IF(SwitchPA=1,_xll.TR(R$7,R$6,"Sdate=#1 Period=#2 NULL=BLANK",,$D32,$E$4),R32)</f>
        <v>10.9162074624876</v>
      </c>
      <c r="S32" s="1506" cm="1">
        <f t="array" aca="1" ref="S32" ca="1">IF(SwitchPA=1,_xll.TR(S$7,S$6,"Sdate=#1 Period=#2 NULL=BLANK",,$D32,$E$4),S32)</f>
        <v>10.677489758314501</v>
      </c>
      <c r="T32" s="1506" cm="1">
        <f t="array" aca="1" ref="T32" ca="1">IF(SwitchPA=1,_xll.TR(T$7,T$6,"Sdate=#1 Period=#2 NULL=BLANK",,$D32,$E$4),T32)</f>
        <v>6.3607678130032097</v>
      </c>
      <c r="U32" s="1506" t="str" cm="1">
        <f t="array" aca="1" ref="U32" ca="1">IF(SwitchPA=1,_xll.TR(U$7,U$6,"Sdate=#1 Period=#2 NULL=BLANK",,$D32,$E$4),U32)</f>
        <v>No universe defined.</v>
      </c>
      <c r="V32" s="1506" t="str" cm="1">
        <f t="array" aca="1" ref="V32" ca="1">IF(SwitchPA=1,_xll.TR(V$7,V$6,"Sdate=#1 Period=#2 NULL=BLANK",,$D32,$E$4),V32)</f>
        <v>No universe defined.</v>
      </c>
      <c r="W32" s="1521">
        <f t="shared" ca="1" si="55"/>
        <v>-3.0543487929134194E-2</v>
      </c>
      <c r="X32" s="1506" cm="1">
        <f t="array" aca="1" ref="X32" ca="1">IF(SwitchPA=1,_xll.TR(X$7,X$6,"Sdate=#1 Period=#2 NULL=BLANK",,$D32,$X$4),X32)</f>
        <v>8.3170292649099107</v>
      </c>
      <c r="Y32" s="1506" cm="1">
        <f t="array" aca="1" ref="Y32" ca="1">IF(SwitchPA=1,_xll.TR(Y$7,Y$6,"Sdate=#1 Period=#2 NULL=BLANK",,$D32,$X$4),Y32)</f>
        <v>7.5324230999014299</v>
      </c>
      <c r="Z32" s="1506" cm="1">
        <f t="array" aca="1" ref="Z32" ca="1">IF(SwitchPA=1,_xll.TR(Z$7,Z$6,"Sdate=#1 Period=#2 NULL=BLANK",,$D32,$X$4),Z32)</f>
        <v>8.7933745820049403</v>
      </c>
      <c r="AA32" s="1506" t="str" cm="1">
        <f t="array" aca="1" ref="AA32" ca="1">IF(SwitchPA=1,_xll.TR(AA$7,AA$6,"Sdate=#1 Period=#2 NULL=BLANK",,$D32,$X$4),AA32)</f>
        <v/>
      </c>
      <c r="AB32" s="1506" cm="1">
        <f t="array" aca="1" ref="AB32" ca="1">IF(SwitchPA=1,_xll.TR(AB$7,AB$6,"Sdate=#1 Period=#2 NULL=BLANK",,$D32,$X$4),AB32)</f>
        <v>7.7088663117729901</v>
      </c>
      <c r="AC32" s="1506" cm="1">
        <f t="array" aca="1" ref="AC32" ca="1">IF(SwitchPA=1,_xll.TR(AC$7,AC$6,"Sdate=#1 Period=#2 NULL=BLANK",,$D32,$X$4),AC32)</f>
        <v>5.7914074768595603</v>
      </c>
      <c r="AD32" s="1506" cm="1">
        <f t="array" aca="1" ref="AD32" ca="1">IF(SwitchPA=1,_xll.TR(AD$7,AD$6,"Sdate=#1 Period=#2 NULL=BLANK",,$D32,$X$4),AD32)</f>
        <v>6.4524412289377304</v>
      </c>
      <c r="AE32" s="1506" cm="1">
        <f t="array" aca="1" ref="AE32" ca="1">IF(SwitchPA=1,_xll.TR(AE$7,AE$6,"Sdate=#1 Period=#2 NULL=BLANK",,$D32,$X$4),AE32)</f>
        <v>7.4149095453466796</v>
      </c>
      <c r="AF32" s="1506" cm="1">
        <f t="array" aca="1" ref="AF32" ca="1">IF(SwitchPA=1,_xll.TR(AF$7,AF$6,"Sdate=#1 Period=#2 NULL=BLANK",,$D32,$X$4),AF32)</f>
        <v>11.1758952112893</v>
      </c>
      <c r="AG32" s="1506" cm="1">
        <f t="array" aca="1" ref="AG32" ca="1">IF(SwitchPA=1,_xll.TR(AG$7,AG$6,"Sdate=#1 Period=#2 NULL=BLANK",,$D32,$X$4),AG32)</f>
        <v>10.147829066666599</v>
      </c>
      <c r="AH32" s="1506" cm="1">
        <f t="array" aca="1" ref="AH32" ca="1">IF(SwitchPA=1,_xll.TR(AH$7,AH$6,"Sdate=#1 Period=#2 NULL=BLANK",,$D32,$X$4),AH32)</f>
        <v>8.3276045888278691</v>
      </c>
      <c r="AI32" s="1506" cm="1">
        <f t="array" aca="1" ref="AI32" ca="1">IF(SwitchPA=1,_xll.TR(AI$7,AI$6,"Sdate=#1 Period=#2 NULL=BLANK",,$D32,$X$4),AI32)</f>
        <v>10.7498726056441</v>
      </c>
      <c r="AJ32" s="1506" t="str" cm="1">
        <f t="array" aca="1" ref="AJ32" ca="1">IF(SwitchPA=1,_xll.TR(AJ$7,AJ$6,"Sdate=#1 Period=#2 NULL=BLANK",,$D32,$X$4),AJ32)</f>
        <v/>
      </c>
      <c r="AK32" s="1506" cm="1">
        <f t="array" aca="1" ref="AK32" ca="1">IF(SwitchPA=1,_xll.TR(AK$7,AK$6,"Sdate=#1 Period=#2 NULL=BLANK",,$D32,$X$4),AK32)</f>
        <v>12.5505276680594</v>
      </c>
      <c r="AL32" s="1506" cm="1">
        <f t="array" aca="1" ref="AL32" ca="1">IF(SwitchPA=1,_xll.TR(AL$7,AL$6,"Sdate=#1 Period=#2 NULL=BLANK",,$D32,$X$4),AL32)</f>
        <v>11.6057183461264</v>
      </c>
      <c r="AM32" s="1506" cm="1">
        <f t="array" aca="1" ref="AM32" ca="1">IF(SwitchPA=1,_xll.TR(AM$7,AM$6,"Sdate=#1 Period=#2 NULL=BLANK",,$D32,$X$4),AM32)</f>
        <v>7.1726938773027902</v>
      </c>
      <c r="AN32" s="1506" t="str" cm="1">
        <f t="array" aca="1" ref="AN32" ca="1">IF(SwitchPA=1,_xll.TR(AN$7,AN$6,"Sdate=#1 Period=#2 NULL=BLANK",,$D32,$X$4),AN32)</f>
        <v/>
      </c>
      <c r="AO32" s="1506" t="str" cm="1">
        <f t="array" aca="1" ref="AO32" ca="1">IF(SwitchPA=1,_xll.TR(AO$7,AO$6,"Sdate=#1 Period=#2 NULL=BLANK",,$D32,$X$4),AO32)</f>
        <v/>
      </c>
      <c r="AQ32" s="1506" cm="1">
        <f t="array" aca="1" ref="AQ32" ca="1">IF(SwitchPA=1,_xll.TR(AQ$7,AQ$6,"Sdate=#1 Period=#2 NULL=BLANK Scale=6",,$D32,$AQ$4),AQ32)</f>
        <v>11.758333333333301</v>
      </c>
      <c r="AR32" s="1506" cm="1">
        <f t="array" aca="1" ref="AR32" ca="1">IF(SwitchPA=1,_xll.TR(AR$7,AR$6,"Sdate=#1 Period=#2 NULL=BLANK Scale=6",,$D32,$AQ$4),AR32)</f>
        <v>15.016666666666699</v>
      </c>
      <c r="AS32" s="1506" cm="1">
        <f t="array" aca="1" ref="AS32" ca="1">IF(SwitchPA=1,_xll.TR(AS$7,AS$6,"Sdate=#1 Period=#2 NULL=BLANK Scale=6",,$D32,$AQ$4),AS32)</f>
        <v>13.022220000000001</v>
      </c>
      <c r="AT32" s="1506" t="str" cm="1">
        <f t="array" aca="1" ref="AT32" ca="1">IF(SwitchPA=1,_xll.TR(AT$7,AT$6,"Sdate=#1 Period=#2 NULL=BLANK Scale=6",,$D32,$AQ$4),AT32)</f>
        <v/>
      </c>
      <c r="AU32" s="1506" cm="1">
        <f t="array" aca="1" ref="AU32" ca="1">IF(SwitchPA=1,_xll.TR(AU$7,AU$6,"Sdate=#1 Period=#2 NULL=BLANK Scale=6",,$D32,$AQ$4),AU32)</f>
        <v>19.6666666666667</v>
      </c>
      <c r="AV32" s="1506" cm="1">
        <f t="array" aca="1" ref="AV32" ca="1">IF(SwitchPA=1,_xll.TR(AV$7,AV$6,"Sdate=#1 Period=#2 NULL=BLANK Scale=6",,$D32,$AQ$4),AV32)</f>
        <v>11.8166666666667</v>
      </c>
      <c r="AW32" s="1506" cm="1">
        <f t="array" aca="1" ref="AW32" ca="1">IF(SwitchPA=1,_xll.TR(AW$7,AW$6,"Sdate=#1 Period=#2 NULL=BLANK Scale=6",,$D32,$AQ$4),AW32)</f>
        <v>15.1291666666667</v>
      </c>
      <c r="AX32" s="1506" t="str" cm="1">
        <f t="array" aca="1" ref="AX32" ca="1">IF(SwitchPA=1,_xll.TR(AX$7,AX$6,"Sdate=#1 Period=#2 NULL=BLANK Scale=6",,$D32,$AQ$4),AX32)</f>
        <v/>
      </c>
      <c r="AY32" s="1506" cm="1">
        <f t="array" aca="1" ref="AY32" ca="1">IF(SwitchPA=1,_xll.TR(AY$7,AY$6,"Sdate=#1 Period=#2 NULL=BLANK Scale=6",,$D32,$AQ$4),AY32)</f>
        <v>19.774999999999999</v>
      </c>
      <c r="AZ32" s="1506" cm="1">
        <f t="array" aca="1" ref="AZ32" ca="1">IF(SwitchPA=1,_xll.TR(AZ$7,AZ$6,"Sdate=#1 Period=#2 NULL=BLANK Scale=6",,$D32,$AQ$4),AZ32)</f>
        <v>15.597225</v>
      </c>
      <c r="BA32" s="1506" t="str" cm="1">
        <f t="array" aca="1" ref="BA32" ca="1">IF(SwitchPA=1,_xll.TR(BA$7,BA$6,"Sdate=#1 Period=#2 NULL=BLANK Scale=6",,$D32,$AQ$4),BA32)</f>
        <v/>
      </c>
      <c r="BB32" s="1506" t="str" cm="1">
        <f t="array" aca="1" ref="BB32" ca="1">IF(SwitchPA=1,_xll.TR(BB$7,BB$6,"Sdate=#1 Period=#2 NULL=BLANK Scale=6",,$D32,$AQ$4),BB32)</f>
        <v/>
      </c>
      <c r="BC32" s="1506" t="str" cm="1">
        <f t="array" aca="1" ref="BC32" ca="1">IF(SwitchPA=1,_xll.TR(BC$7,BC$6,"Sdate=#1 Period=#2 NULL=BLANK Scale=6",,$D32,$AQ$4),BC32)</f>
        <v/>
      </c>
      <c r="BD32" s="1506" t="str" cm="1">
        <f t="array" aca="1" ref="BD32" ca="1">IF(SwitchPA=1,_xll.TR(BD$7,BD$6,"Sdate=#1 Period=#2 NULL=BLANK Scale=6",,$D32,$AQ$4),BD32)</f>
        <v/>
      </c>
      <c r="BE32" s="1506" cm="1">
        <f t="array" aca="1" ref="BE32" ca="1">IF(SwitchPA=1,_xll.TR(BE$7,BE$6,"Sdate=#1 Period=#2 NULL=BLANK Scale=6",,$D32,$AQ$4),BE32)</f>
        <v>14.233333333333301</v>
      </c>
      <c r="BF32" s="1506" cm="1">
        <f t="array" aca="1" ref="BF32" ca="1">IF(SwitchPA=1,_xll.TR(BF$7,BF$6,"Sdate=#1 Period=#2 NULL=BLANK Scale=6",,$D32,$AQ$4),BF32)</f>
        <v>5.62083333333333</v>
      </c>
      <c r="BG32" s="1506" t="str" cm="1">
        <f t="array" aca="1" ref="BG32" ca="1">IF(SwitchPA=1,_xll.TR(BG$7,BG$6,"Sdate=#1 Period=#2 NULL=BLANK Scale=6",,$D32,$AQ$4),BG32)</f>
        <v/>
      </c>
      <c r="BH32" s="1506" t="str" cm="1">
        <f t="array" aca="1" ref="BH32" ca="1">IF(SwitchPA=1,_xll.TR(BH$7,BH$6,"Sdate=#1 Period=#2 NULL=BLANK Scale=6",,$D32,$AQ$4),BH32)</f>
        <v/>
      </c>
      <c r="BJ32" s="1506" cm="1">
        <f t="array" aca="1" ref="BJ32" ca="1">IF(SwitchPA=1,_xll.TR(BJ$7,BJ$6,"Sdate=#1 Period=#2 NULL=BLANK Scale=6",,$D32,$BJ$4),BJ32)</f>
        <v>9.3111616369999997</v>
      </c>
      <c r="BK32" s="1506" cm="1">
        <f t="array" aca="1" ref="BK32" ca="1">IF(SwitchPA=1,_xll.TR(BK$7,BK$6,"Sdate=#1 Period=#2 NULL=BLANK Scale=6",,$D32,$BJ$4),BK32)</f>
        <v>8.2584185389999991</v>
      </c>
      <c r="BL32" s="1506" cm="1">
        <f t="array" aca="1" ref="BL32" ca="1">IF(SwitchPA=1,_xll.TR(BL$7,BL$6,"Sdate=#1 Period=#2 NULL=BLANK Scale=6",,$D32,$BJ$4),BL32)</f>
        <v>8.2178991890000006</v>
      </c>
      <c r="BM32" s="1506" t="str" cm="1">
        <f t="array" aca="1" ref="BM32" ca="1">IF(SwitchPA=1,_xll.TR(BM$7,BM$6,"Sdate=#1 Period=#2 NULL=BLANK Scale=6",,$D32,$BJ$4),BM32)</f>
        <v/>
      </c>
      <c r="BN32" s="1506" cm="1">
        <f t="array" aca="1" ref="BN32" ca="1">IF(SwitchPA=1,_xll.TR(BN$7,BN$6,"Sdate=#1 Period=#2 NULL=BLANK Scale=6",,$D32,$BJ$4),BN32)</f>
        <v>7.7770603219999996</v>
      </c>
      <c r="BO32" s="1506" cm="1">
        <f t="array" aca="1" ref="BO32" ca="1">IF(SwitchPA=1,_xll.TR(BO$7,BO$6,"Sdate=#1 Period=#2 NULL=BLANK Scale=6",,$D32,$BJ$4),BO32)</f>
        <v>5.4144668630000004</v>
      </c>
      <c r="BP32" s="1506" cm="1">
        <f t="array" aca="1" ref="BP32" ca="1">IF(SwitchPA=1,_xll.TR(BP$7,BP$6,"Sdate=#1 Period=#2 NULL=BLANK Scale=6",,$D32,$BJ$4),BP32)</f>
        <v>5.6826686979999996</v>
      </c>
      <c r="BQ32" s="1506" cm="1">
        <f t="array" aca="1" ref="BQ32" ca="1">IF(SwitchPA=1,_xll.TR(BQ$7,BQ$6,"Sdate=#1 Period=#2 NULL=BLANK Scale=6",,$D32,$BJ$4),BQ32)</f>
        <v>8.2748363519999995</v>
      </c>
      <c r="BR32" s="1506" cm="1">
        <f t="array" aca="1" ref="BR32" ca="1">IF(SwitchPA=1,_xll.TR(BR$7,BR$6,"Sdate=#1 Period=#2 NULL=BLANK Scale=6",,$D32,$BJ$4),BR32)</f>
        <v>11.177885667</v>
      </c>
      <c r="BS32" s="1506" cm="1">
        <f t="array" aca="1" ref="BS32" ca="1">IF(SwitchPA=1,_xll.TR(BS$7,BS$6,"Sdate=#1 Period=#2 NULL=BLANK Scale=6",,$D32,$BJ$4),BS32)</f>
        <v>12.049049277</v>
      </c>
      <c r="BT32" s="1506" cm="1">
        <f t="array" aca="1" ref="BT32" ca="1">IF(SwitchPA=1,_xll.TR(BT$7,BT$6,"Sdate=#1 Period=#2 NULL=BLANK Scale=6",,$D32,$BJ$4),BT32)</f>
        <v>7.3387184059999999</v>
      </c>
      <c r="BU32" s="1506" cm="1">
        <f t="array" aca="1" ref="BU32" ca="1">IF(SwitchPA=1,_xll.TR(BU$7,BU$6,"Sdate=#1 Period=#2 NULL=BLANK Scale=6",,$D32,$BJ$4),BU32)</f>
        <v>12.293117928999999</v>
      </c>
      <c r="BV32" s="1506" t="str" cm="1">
        <f t="array" aca="1" ref="BV32" ca="1">IF(SwitchPA=1,_xll.TR(BV$7,BV$6,"Sdate=#1 Period=#2 NULL=BLANK Scale=6",,$D32,$BJ$4),BV32)</f>
        <v/>
      </c>
      <c r="BW32" s="1506" cm="1">
        <f t="array" aca="1" ref="BW32" ca="1">IF(SwitchPA=1,_xll.TR(BW$7,BW$6,"Sdate=#1 Period=#2 NULL=BLANK Scale=6",,$D32,$BJ$4),BW32)</f>
        <v>14.097233224</v>
      </c>
      <c r="BX32" s="1506" cm="1">
        <f t="array" aca="1" ref="BX32" ca="1">IF(SwitchPA=1,_xll.TR(BX$7,BX$6,"Sdate=#1 Period=#2 NULL=BLANK Scale=6",,$D32,$BJ$4),BX32)</f>
        <v>14.050326825999999</v>
      </c>
      <c r="BY32" s="1506" cm="1">
        <f t="array" aca="1" ref="BY32" ca="1">IF(SwitchPA=1,_xll.TR(BY$7,BY$6,"Sdate=#1 Period=#2 NULL=BLANK Scale=6",,$D32,$BJ$4),BY32)</f>
        <v>8.0577774509999998</v>
      </c>
      <c r="BZ32" s="1506" t="str" cm="1">
        <f t="array" aca="1" ref="BZ32" ca="1">IF(SwitchPA=1,_xll.TR(BZ$7,BZ$6,"Sdate=#1 Period=#2 NULL=BLANK Scale=6",,$D32,$BJ$4),BZ32)</f>
        <v/>
      </c>
      <c r="CA32" s="1506" t="str" cm="1">
        <f t="array" aca="1" ref="CA32" ca="1">IF(SwitchPA=1,_xll.TR(CA$7,CA$6,"Sdate=#1 Period=#2 NULL=BLANK Scale=6",,$D32,$BJ$4),CA32)</f>
        <v/>
      </c>
      <c r="CC32" s="1506" cm="1">
        <f t="array" aca="1" ref="CC32" ca="1">IF(SwitchPA=1,_xll.TR(CC$7,CC$6,"Sdate=#1 Period=#2 NULL=BLANK Scale=6",,$D32,$CC$4),CC32)</f>
        <v>9350</v>
      </c>
      <c r="CD32" s="1506" cm="1">
        <f t="array" aca="1" ref="CD32" ca="1">IF(SwitchPA=1,_xll.TR(CD$7,CD$6,"Sdate=#1 Period=#2 NULL=BLANK Scale=6",,$D32,$CC$4),CD32)</f>
        <v>6510</v>
      </c>
      <c r="CE32" s="1506" cm="1">
        <f t="array" aca="1" ref="CE32" ca="1">IF(SwitchPA=1,_xll.TR(CE$7,CE$6,"Sdate=#1 Period=#2 NULL=BLANK Scale=6",,$D32,$CC$4),CE32)</f>
        <v>73805</v>
      </c>
      <c r="CF32" s="1506" t="str" cm="1">
        <f t="array" aca="1" ref="CF32" ca="1">IF(SwitchPA=1,_xll.TR(CF$7,CF$6,"Sdate=#1 Period=#2 NULL=BLANK Scale=6",,$D32,$CC$4),CF32)</f>
        <v/>
      </c>
      <c r="CG32" s="1506" cm="1">
        <f t="array" aca="1" ref="CG32" ca="1">IF(SwitchPA=1,_xll.TR(CG$7,CG$6,"Sdate=#1 Period=#2 NULL=BLANK Scale=6",,$D32,$CC$4),CG32)</f>
        <v>44062</v>
      </c>
      <c r="CH32" s="1506" cm="1">
        <f t="array" aca="1" ref="CH32" ca="1">IF(SwitchPA=1,_xll.TR(CH$7,CH$6,"Sdate=#1 Period=#2 NULL=BLANK Scale=6",,$D32,$CC$4),CH32)</f>
        <v>2515</v>
      </c>
      <c r="CI32" s="1506" cm="1">
        <f t="array" aca="1" ref="CI32" ca="1">IF(SwitchPA=1,_xll.TR(CI$7,CI$6,"Sdate=#1 Period=#2 NULL=BLANK Scale=6",,$D32,$CC$4),CI32)</f>
        <v>12798</v>
      </c>
      <c r="CJ32" s="1506" cm="1">
        <f t="array" aca="1" ref="CJ32" ca="1">IF(SwitchPA=1,_xll.TR(CJ$7,CJ$6,"Sdate=#1 Period=#2 NULL=BLANK Scale=6",,$D32,$CC$4),CJ32)</f>
        <v>11079</v>
      </c>
      <c r="CK32" s="1506" cm="1">
        <f t="array" aca="1" ref="CK32" ca="1">IF(SwitchPA=1,_xll.TR(CK$7,CK$6,"Sdate=#1 Period=#2 NULL=BLANK Scale=6",,$D32,$CC$4),CK32)</f>
        <v>30871</v>
      </c>
      <c r="CL32" s="1506" cm="1">
        <f t="array" aca="1" ref="CL32" ca="1">IF(SwitchPA=1,_xll.TR(CL$7,CL$6,"Sdate=#1 Period=#2 NULL=BLANK Scale=6",,$D32,$CC$4),CL32)</f>
        <v>2394.27</v>
      </c>
      <c r="CM32" s="1506" cm="1">
        <f t="array" aca="1" ref="CM32" ca="1">IF(SwitchPA=1,_xll.TR(CM$7,CM$6,"Sdate=#1 Period=#2 NULL=BLANK Scale=6",,$D32,$CC$4),CM32)</f>
        <v>6076</v>
      </c>
      <c r="CN32" s="1506" cm="1">
        <f t="array" aca="1" ref="CN32" ca="1">IF(SwitchPA=1,_xll.TR(CN$7,CN$6,"Sdate=#1 Period=#2 NULL=BLANK Scale=6",,$D32,$CC$4),CN32)</f>
        <v>3771.2</v>
      </c>
      <c r="CO32" s="1506" t="str" cm="1">
        <f t="array" aca="1" ref="CO32" ca="1">IF(SwitchPA=1,_xll.TR(CO$7,CO$6,"Sdate=#1 Period=#2 NULL=BLANK Scale=6",,$D32,$CC$4),CO32)</f>
        <v/>
      </c>
      <c r="CP32" s="1506" cm="1">
        <f t="array" aca="1" ref="CP32" ca="1">IF(SwitchPA=1,_xll.TR(CP$7,CP$6,"Sdate=#1 Period=#2 NULL=BLANK Scale=6",,$D32,$CC$4),CP32)</f>
        <v>3874.8</v>
      </c>
      <c r="CQ32" s="1506" cm="1">
        <f t="array" aca="1" ref="CQ32" ca="1">IF(SwitchPA=1,_xll.TR(CQ$7,CQ$6,"Sdate=#1 Period=#2 NULL=BLANK Scale=6",,$D32,$CC$4),CQ32)</f>
        <v>14265</v>
      </c>
      <c r="CR32" s="1506" cm="1">
        <f t="array" aca="1" ref="CR32" ca="1">IF(SwitchPA=1,_xll.TR(CR$7,CR$6,"Sdate=#1 Period=#2 NULL=BLANK Scale=6",,$D32,$CC$4),CR32)</f>
        <v>10475</v>
      </c>
      <c r="CS32" s="1506" t="str" cm="1">
        <f t="array" aca="1" ref="CS32" ca="1">IF(SwitchPA=1,_xll.TR(CS$7,CS$6,"Sdate=#1 Period=#2 NULL=BLANK Scale=6",,$D32,$CC$4),CS32)</f>
        <v>Unable to resolve and collect data for all requested identifiers and fields.</v>
      </c>
      <c r="CT32" s="1506" t="str" cm="1">
        <f t="array" aca="1" ref="CT32" ca="1">IF(SwitchPA=1,_xll.TR(CT$7,CT$6,"Sdate=#1 Period=#2 NULL=BLANK Scale=6",,$D32,$CC$4),CT32)</f>
        <v>Unable to resolve and collect data for all requested identifiers and fields.</v>
      </c>
      <c r="CV32" s="1516" cm="1">
        <f t="array" aca="1" ref="CV32" ca="1">IF(SwitchPA=1,_xll.TR(CV$7,CV$6,"Sdate=#1 Period=#2 NULL=BLANK Scale=6",,$D32,$AQ$4),CV32)</f>
        <v>4209.5</v>
      </c>
      <c r="CW32" s="1516" cm="1">
        <f t="array" aca="1" ref="CW32" ca="1">IF(SwitchPA=1,_xll.TR(CW$7,CW$6,"Sdate=#1 Period=#2 NULL=BLANK Scale=6",,$D32,$AQ$4),CW32)</f>
        <v>3356.75</v>
      </c>
      <c r="CX32" s="1516" cm="1">
        <f t="array" aca="1" ref="CX32" ca="1">IF(SwitchPA=1,_xll.TR(CX$7,CX$6,"Sdate=#1 Period=#2 NULL=BLANK Scale=6",,$D32,$AQ$4),CX32)</f>
        <v>17442</v>
      </c>
      <c r="CY32" s="1516" t="str" cm="1">
        <f t="array" aca="1" ref="CY32" ca="1">IF(SwitchPA=1,_xll.TR(CY$7,CY$6,"Sdate=#1 Period=#2 NULL=BLANK Scale=6",,$D32,$AQ$4),CY32)</f>
        <v/>
      </c>
      <c r="CZ32" s="1516" cm="1">
        <f t="array" aca="1" ref="CZ32" ca="1">IF(SwitchPA=1,_xll.TR(CZ$7,CZ$6,"Sdate=#1 Period=#2 NULL=BLANK Scale=6",,$D32,$AQ$4),CZ32)</f>
        <v>8109.5</v>
      </c>
      <c r="DA32" s="1516" cm="1">
        <f t="array" aca="1" ref="DA32" ca="1">IF(SwitchPA=1,_xll.TR(DA$7,DA$6,"Sdate=#1 Period=#2 NULL=BLANK Scale=6",,$D32,$AQ$4),DA32)</f>
        <v>1004.6</v>
      </c>
      <c r="DB32" s="1516" cm="1">
        <f t="array" aca="1" ref="DB32" ca="1">IF(SwitchPA=1,_xll.TR(DB$7,DB$6,"Sdate=#1 Period=#2 NULL=BLANK Scale=6",,$D32,$AQ$4),DB32)</f>
        <v>4559.75</v>
      </c>
      <c r="DC32" s="1516" cm="1">
        <f t="array" aca="1" ref="DC32" ca="1">IF(SwitchPA=1,_xll.TR(DC$7,DC$6,"Sdate=#1 Period=#2 NULL=BLANK Scale=6",,$D32,$AQ$4),DC32)</f>
        <v>3706.25</v>
      </c>
      <c r="DD32" s="1516" cm="1">
        <f t="array" aca="1" ref="DD32" ca="1">IF(SwitchPA=1,_xll.TR(DD$7,DD$6,"Sdate=#1 Period=#2 NULL=BLANK Scale=6",,$D32,$AQ$4),DD32)</f>
        <v>8436.75</v>
      </c>
      <c r="DE32" s="1516" cm="1">
        <f t="array" aca="1" ref="DE32" ca="1">IF(SwitchPA=1,_xll.TR(DE$7,DE$6,"Sdate=#1 Period=#2 NULL=BLANK Scale=6",,$D32,$AQ$4),DE32)</f>
        <v>1339.3922500000001</v>
      </c>
      <c r="DF32" s="1516" cm="1">
        <f t="array" aca="1" ref="DF32" ca="1">IF(SwitchPA=1,_xll.TR(DF$7,DF$6,"Sdate=#1 Period=#2 NULL=BLANK Scale=6",,$D32,$AQ$4),DF32)</f>
        <v>2725</v>
      </c>
      <c r="DG32" s="1516" cm="1">
        <f t="array" aca="1" ref="DG32" ca="1">IF(SwitchPA=1,_xll.TR(DG$7,DG$6,"Sdate=#1 Period=#2 NULL=BLANK Scale=6",,$D32,$AQ$4),DG32)</f>
        <v>654.22500000000002</v>
      </c>
      <c r="DH32" s="1516" t="str" cm="1">
        <f t="array" aca="1" ref="DH32" ca="1">IF(SwitchPA=1,_xll.TR(DH$7,DH$6,"Sdate=#1 Period=#2 NULL=BLANK Scale=6",,$D32,$AQ$4),DH32)</f>
        <v/>
      </c>
      <c r="DI32" s="1516" cm="1">
        <f t="array" aca="1" ref="DI32" ca="1">IF(SwitchPA=1,_xll.TR(DI$7,DI$6,"Sdate=#1 Period=#2 NULL=BLANK Scale=6",,$D32,$AQ$4),DI32)</f>
        <v>1163.75</v>
      </c>
      <c r="DJ32" s="1516" cm="1">
        <f t="array" aca="1" ref="DJ32" ca="1">IF(SwitchPA=1,_xll.TR(DJ$7,DJ$6,"Sdate=#1 Period=#2 NULL=BLANK Scale=6",,$D32,$AQ$4),DJ32)</f>
        <v>2665.25</v>
      </c>
      <c r="DK32" s="1516" cm="1">
        <f t="array" aca="1" ref="DK32" ca="1">IF(SwitchPA=1,_xll.TR(DK$7,DK$6,"Sdate=#1 Period=#2 NULL=BLANK Scale=6",,$D32,$AQ$4),DK32)</f>
        <v>5194</v>
      </c>
      <c r="DL32" s="1516" t="str" cm="1">
        <f t="array" aca="1" ref="DL32" ca="1">IF(SwitchPA=1,_xll.TR(DL$7,DL$6,"Sdate=#1 Period=#2 NULL=BLANK Scale=6",,$D32,$AQ$4),DL32)</f>
        <v>Unable to resolve all requested identifiers.</v>
      </c>
      <c r="DM32" s="1516" t="str" cm="1">
        <f t="array" aca="1" ref="DM32" ca="1">IF(SwitchPA=1,_xll.TR(DM$7,DM$6,"Sdate=#1 Period=#2 NULL=BLANK Scale=6",,$D32,$AQ$4),DM32)</f>
        <v>Unable to resolve all requested identifiers.</v>
      </c>
      <c r="DO32" s="1506" cm="1">
        <f t="array" aca="1" ref="DO32" ca="1">IF(SwitchPA=1,_xll.TR(DO$7,DO$6,"Sdate=#1 Period=#2 Scale=6 NULL=BLANK",,$D32,$X$4),DO32)</f>
        <v>16918.380694160001</v>
      </c>
      <c r="DP32" s="1506" cm="1">
        <f t="array" aca="1" ref="DP32" ca="1">IF(SwitchPA=1,_xll.TR(DP$7,DP$6,"Sdate=#1 Period=#2 Scale=6 NULL=BLANK",,$D32,$X$4),DP32)</f>
        <v>10372.5736844</v>
      </c>
      <c r="DQ32" s="1506" cm="1">
        <f t="array" aca="1" ref="DQ32" ca="1">IF(SwitchPA=1,_xll.TR(DQ$7,DQ$6,"Sdate=#1 Period=#2 Scale=6 NULL=BLANK",,$D32,$X$4),DQ32)</f>
        <v>89747.677041939998</v>
      </c>
      <c r="DR32" s="1506" t="str" cm="1">
        <f t="array" aca="1" ref="DR32" ca="1">IF(SwitchPA=1,_xll.TR(DR$7,DR$6,"Sdate=#1 Period=#2 Scale=6 NULL=BLANK",,$D32,$X$4),DR32)</f>
        <v/>
      </c>
      <c r="DS32" s="1506" cm="1">
        <f t="array" aca="1" ref="DS32" ca="1">IF(SwitchPA=1,_xll.TR(DS$7,DS$6,"Sdate=#1 Period=#2 Scale=6 NULL=BLANK",,$D32,$X$4),DS32)</f>
        <v>48248.882235110003</v>
      </c>
      <c r="DT32" s="1506" cm="1">
        <f t="array" aca="1" ref="DT32" ca="1">IF(SwitchPA=1,_xll.TR(DT$7,DT$6,"Sdate=#1 Period=#2 Scale=6 NULL=BLANK",,$D32,$X$4),DT32)</f>
        <v>2468.99688952</v>
      </c>
      <c r="DU32" s="1506" cm="1">
        <f t="array" aca="1" ref="DU32" ca="1">IF(SwitchPA=1,_xll.TR(DU$7,DU$6,"Sdate=#1 Period=#2 Scale=6 NULL=BLANK",,$D32,$X$4),DU32)</f>
        <v>13053.09</v>
      </c>
      <c r="DV32" s="1506" cm="1">
        <f t="array" aca="1" ref="DV32" ca="1">IF(SwitchPA=1,_xll.TR(DV$7,DV$6,"Sdate=#1 Period=#2 Scale=6 NULL=BLANK",,$D32,$X$4),DV32)</f>
        <v>9176.7935140000009</v>
      </c>
      <c r="DW32" s="1506" cm="1">
        <f t="array" aca="1" ref="DW32" ca="1">IF(SwitchPA=1,_xll.TR(DW$7,DW$6,"Sdate=#1 Period=#2 Scale=6 NULL=BLANK",,$D32,$X$4),DW32)</f>
        <v>90730.897956080007</v>
      </c>
      <c r="DX32" s="1506" cm="1">
        <f t="array" aca="1" ref="DX32" ca="1">IF(SwitchPA=1,_xll.TR(DX$7,DX$6,"Sdate=#1 Period=#2 Scale=6 NULL=BLANK",,$D32,$X$4),DX32)</f>
        <v>5976.5453244600003</v>
      </c>
      <c r="DY32" s="1506" cm="1">
        <f t="array" aca="1" ref="DY32" ca="1">IF(SwitchPA=1,_xll.TR(DY$7,DY$6,"Sdate=#1 Period=#2 Scale=6 NULL=BLANK",,$D32,$X$4),DY32)</f>
        <v>10450.335009779999</v>
      </c>
      <c r="DZ32" s="1506" cm="1">
        <f t="array" aca="1" ref="DZ32" ca="1">IF(SwitchPA=1,_xll.TR(DZ$7,DZ$6,"Sdate=#1 Period=#2 Scale=6 NULL=BLANK",,$D32,$X$4),DZ32)</f>
        <v>4040.7478631600002</v>
      </c>
      <c r="EA32" s="1506" t="str" cm="1">
        <f t="array" aca="1" ref="EA32" ca="1">IF(SwitchPA=1,_xll.TR(EA$7,EA$6,"Sdate=#1 Period=#2 Scale=6 NULL=BLANK",,$D32,$X$4),EA32)</f>
        <v/>
      </c>
      <c r="EB32" s="1506" cm="1">
        <f t="array" aca="1" ref="EB32" ca="1">IF(SwitchPA=1,_xll.TR(EB$7,EB$6,"Sdate=#1 Period=#2 Scale=6 NULL=BLANK",,$D32,$X$4),EB32)</f>
        <v>11345.45329877</v>
      </c>
      <c r="EC32" s="1506" cm="1">
        <f t="array" aca="1" ref="EC32" ca="1">IF(SwitchPA=1,_xll.TR(EC$7,EC$6,"Sdate=#1 Period=#2 Scale=6 NULL=BLANK",,$D32,$X$4),EC32)</f>
        <v>27580.7915593</v>
      </c>
      <c r="ED32" s="1506" cm="1">
        <f t="array" aca="1" ref="ED32" ca="1">IF(SwitchPA=1,_xll.TR(ED$7,ED$6,"Sdate=#1 Period=#2 Scale=6 NULL=BLANK",,$D32,$X$4),ED32)</f>
        <v>12247.821726050001</v>
      </c>
      <c r="EE32" s="1506" t="str" cm="1">
        <f t="array" aca="1" ref="EE32" ca="1">IF(SwitchPA=1,_xll.TR(EE$7,EE$6,"Sdate=#1 Period=#2 Scale=6 NULL=BLANK",,$D32,$X$4),EE32)</f>
        <v/>
      </c>
      <c r="EF32" s="1506" t="str" cm="1">
        <f t="array" aca="1" ref="EF32" ca="1">IF(SwitchPA=1,_xll.TR(EF$7,EF$6,"Sdate=#1 Period=#2 Scale=6 NULL=BLANK",,$D32,$X$4),EF32)</f>
        <v/>
      </c>
      <c r="EG32" s="1517"/>
      <c r="EH32" s="1506" cm="1">
        <f t="array" aca="1" ref="EH32" ca="1">IF(SwitchPA=1,_xll.TR(EH$7,EH$6,"Sdate=#1 Period=#2 Scale=6 NULL=BLANK",,$D32,$X$4),EH32)</f>
        <v>1943</v>
      </c>
      <c r="EI32" s="1506" cm="1">
        <f t="array" aca="1" ref="EI32" ca="1">IF(SwitchPA=1,_xll.TR(EI$7,EI$6,"Sdate=#1 Period=#2 Scale=6 NULL=BLANK",,$D32,$X$4),EI32)</f>
        <v>937</v>
      </c>
      <c r="EJ32" s="1506" cm="1">
        <f t="array" aca="1" ref="EJ32" ca="1">IF(SwitchPA=1,_xll.TR(EJ$7,EJ$6,"Sdate=#1 Period=#2 Scale=6 NULL=BLANK",,$D32,$X$4),EJ32)</f>
        <v>7675</v>
      </c>
      <c r="EK32" s="1506" t="str" cm="1">
        <f t="array" aca="1" ref="EK32" ca="1">IF(SwitchPA=1,_xll.TR(EK$7,EK$6,"Sdate=#1 Period=#2 Scale=6 NULL=BLANK",,$D32,$X$4),EK32)</f>
        <v/>
      </c>
      <c r="EL32" s="1506" cm="1">
        <f t="array" aca="1" ref="EL32" ca="1">IF(SwitchPA=1,_xll.TR(EL$7,EL$6,"Sdate=#1 Period=#2 Scale=6 NULL=BLANK",,$D32,$X$4),EL32)</f>
        <v>5066</v>
      </c>
      <c r="EM32" s="1506" cm="1">
        <f t="array" aca="1" ref="EM32" ca="1">IF(SwitchPA=1,_xll.TR(EM$7,EM$6,"Sdate=#1 Period=#2 Scale=6 NULL=BLANK",,$D32,$X$4),EM32)</f>
        <v>291.39999999999998</v>
      </c>
      <c r="EN32" s="1506" cm="1">
        <f t="array" aca="1" ref="EN32" ca="1">IF(SwitchPA=1,_xll.TR(EN$7,EN$6,"Sdate=#1 Period=#2 Scale=6 NULL=BLANK",,$D32,$X$4),EN32)</f>
        <v>1791</v>
      </c>
      <c r="EO32" s="1506" cm="1">
        <f t="array" aca="1" ref="EO32" ca="1">IF(SwitchPA=1,_xll.TR(EO$7,EO$6,"Sdate=#1 Period=#2 Scale=6 NULL=BLANK",,$D32,$X$4),EO32)</f>
        <v>661</v>
      </c>
      <c r="EP32" s="1506" cm="1">
        <f t="array" aca="1" ref="EP32" ca="1">IF(SwitchPA=1,_xll.TR(EP$7,EP$6,"Sdate=#1 Period=#2 Scale=6 NULL=BLANK",,$D32,$X$4),EP32)</f>
        <v>6746</v>
      </c>
      <c r="EQ32" s="1506" cm="1">
        <f t="array" aca="1" ref="EQ32" ca="1">IF(SwitchPA=1,_xll.TR(EQ$7,EQ$6,"Sdate=#1 Period=#2 Scale=6 NULL=BLANK",,$D32,$X$4),EQ32)</f>
        <v>610.03599999999994</v>
      </c>
      <c r="ER32" s="1506" cm="1">
        <f t="array" aca="1" ref="ER32" ca="1">IF(SwitchPA=1,_xll.TR(ER$7,ER$6,"Sdate=#1 Period=#2 Scale=6 NULL=BLANK",,$D32,$X$4),ER32)</f>
        <v>1036</v>
      </c>
      <c r="ES32" s="1506" cm="1">
        <f t="array" aca="1" ref="ES32" ca="1">IF(SwitchPA=1,_xll.TR(ES$7,ES$6,"Sdate=#1 Period=#2 Scale=6 NULL=BLANK",,$D32,$X$4),ES32)</f>
        <v>218.9</v>
      </c>
      <c r="ET32" s="1506" t="str" cm="1">
        <f t="array" aca="1" ref="ET32" ca="1">IF(SwitchPA=1,_xll.TR(ET$7,ET$6,"Sdate=#1 Period=#2 Scale=6 NULL=BLANK",,$D32,$X$4),ET32)</f>
        <v/>
      </c>
      <c r="EU32" s="1506" cm="1">
        <f t="array" aca="1" ref="EU32" ca="1">IF(SwitchPA=1,_xll.TR(EU$7,EU$6,"Sdate=#1 Period=#2 Scale=6 NULL=BLANK",,$D32,$X$4),EU32)</f>
        <v>706.9</v>
      </c>
      <c r="EV32" s="1506" cm="1">
        <f t="array" aca="1" ref="EV32" ca="1">IF(SwitchPA=1,_xll.TR(EV$7,EV$6,"Sdate=#1 Period=#2 Scale=6 NULL=BLANK",,$D32,$X$4),EV32)</f>
        <v>1550</v>
      </c>
      <c r="EW32" s="1506" cm="1">
        <f t="array" aca="1" ref="EW32" ca="1">IF(SwitchPA=1,_xll.TR(EW$7,EW$6,"Sdate=#1 Period=#2 Scale=6 NULL=BLANK",,$D32,$X$4),EW32)</f>
        <v>713</v>
      </c>
      <c r="EX32" s="1506" t="str" cm="1">
        <f t="array" aca="1" ref="EX32" ca="1">IF(SwitchPA=1,_xll.TR(EX$7,EX$6,"Sdate=#1 Period=#2 Scale=6 NULL=BLANK",,$D32,$X$4),EX32)</f>
        <v>Unable to resolve all requested identifiers.</v>
      </c>
      <c r="EY32" s="1506" t="str" cm="1">
        <f t="array" aca="1" ref="EY32" ca="1">IF(SwitchPA=1,_xll.TR(EY$7,EY$6,"Sdate=#1 Period=#2 Scale=6 NULL=BLANK",,$D32,$X$4),EY32)</f>
        <v>Unable to resolve all requested identifiers.</v>
      </c>
      <c r="FA32" s="1506" cm="1">
        <f t="array" aca="1" ref="FA32" ca="1">IF(SwitchPA=1,_xll.TR(FA$7,FA$6,"Sdate=#1 Period=#2 Scale=6 NULL=BLANK",,$D32,$X$4),FA32)</f>
        <v>2376</v>
      </c>
      <c r="FB32" s="1506" cm="1">
        <f t="array" aca="1" ref="FB32" ca="1">IF(SwitchPA=1,_xll.TR(FB$7,FB$6,"Sdate=#1 Period=#2 Scale=6 NULL=BLANK",,$D32,$X$4),FB32)</f>
        <v>1256</v>
      </c>
      <c r="FC32" s="1506" cm="1">
        <f t="array" aca="1" ref="FC32" ca="1">IF(SwitchPA=1,_xll.TR(FC$7,FC$6,"Sdate=#1 Period=#2 Scale=6 NULL=BLANK",,$D32,$X$4),FC32)</f>
        <v>10921</v>
      </c>
      <c r="FD32" s="1506" t="str" cm="1">
        <f t="array" aca="1" ref="FD32" ca="1">IF(SwitchPA=1,_xll.TR(FD$7,FD$6,"Sdate=#1 Period=#2 Scale=6 NULL=BLANK",,$D32,$X$4),FD32)</f>
        <v/>
      </c>
      <c r="FE32" s="1506" cm="1">
        <f t="array" aca="1" ref="FE32" ca="1">IF(SwitchPA=1,_xll.TR(FE$7,FE$6,"Sdate=#1 Period=#2 Scale=6 NULL=BLANK",,$D32,$X$4),FE32)</f>
        <v>6087</v>
      </c>
      <c r="FF32" s="1506" cm="1">
        <f t="array" aca="1" ref="FF32" ca="1">IF(SwitchPA=1,_xll.TR(FF$7,FF$6,"Sdate=#1 Period=#2 Scale=6 NULL=BLANK",,$D32,$X$4),FF32)</f>
        <v>426.7</v>
      </c>
      <c r="FG32" s="1506" cm="1">
        <f t="array" aca="1" ref="FG32" ca="1">IF(SwitchPA=1,_xll.TR(FG$7,FG$6,"Sdate=#1 Period=#2 Scale=6 NULL=BLANK",,$D32,$X$4),FG32)</f>
        <v>2297</v>
      </c>
      <c r="FH32" s="1506" cm="1">
        <f t="array" aca="1" ref="FH32" ca="1">IF(SwitchPA=1,_xll.TR(FH$7,FH$6,"Sdate=#1 Period=#2 Scale=6 NULL=BLANK",,$D32,$X$4),FH32)</f>
        <v>1109</v>
      </c>
      <c r="FI32" s="1506" cm="1">
        <f t="array" aca="1" ref="FI32" ca="1">IF(SwitchPA=1,_xll.TR(FI$7,FI$6,"Sdate=#1 Period=#2 Scale=6 NULL=BLANK",,$D32,$X$4),FI32)</f>
        <v>8117</v>
      </c>
      <c r="FJ32" s="1506" cm="1">
        <f t="array" aca="1" ref="FJ32" ca="1">IF(SwitchPA=1,_xll.TR(FJ$7,FJ$6,"Sdate=#1 Period=#2 Scale=6 NULL=BLANK",,$D32,$X$4),FJ32)</f>
        <v>717.40599999999995</v>
      </c>
      <c r="FK32" s="1506" cm="1">
        <f t="array" aca="1" ref="FK32" ca="1">IF(SwitchPA=1,_xll.TR(FK$7,FK$6,"Sdate=#1 Period=#2 Scale=6 NULL=BLANK",,$D32,$X$4),FK32)</f>
        <v>1424</v>
      </c>
      <c r="FL32" s="1506" cm="1">
        <f t="array" aca="1" ref="FL32" ca="1">IF(SwitchPA=1,_xll.TR(FL$7,FL$6,"Sdate=#1 Period=#2 Scale=6 NULL=BLANK",,$D32,$X$4),FL32)</f>
        <v>328.7</v>
      </c>
      <c r="FM32" s="1506" t="str" cm="1">
        <f t="array" aca="1" ref="FM32" ca="1">IF(SwitchPA=1,_xll.TR(FM$7,FM$6,"Sdate=#1 Period=#2 Scale=6 NULL=BLANK",,$D32,$X$4),FM32)</f>
        <v/>
      </c>
      <c r="FN32" s="1506" cm="1">
        <f t="array" aca="1" ref="FN32" ca="1">IF(SwitchPA=1,_xll.TR(FN$7,FN$6,"Sdate=#1 Period=#2 Scale=6 NULL=BLANK",,$D32,$X$4),FN32)</f>
        <v>823.6</v>
      </c>
      <c r="FO32" s="1506" cm="1">
        <f t="array" aca="1" ref="FO32" ca="1">IF(SwitchPA=1,_xll.TR(FO$7,FO$6,"Sdate=#1 Period=#2 Scale=6 NULL=BLANK",,$D32,$X$4),FO32)</f>
        <v>2002</v>
      </c>
      <c r="FP32" s="1506" cm="1">
        <f t="array" aca="1" ref="FP32" ca="1">IF(SwitchPA=1,_xll.TR(FP$7,FP$6,"Sdate=#1 Period=#2 Scale=6 NULL=BLANK",,$D32,$X$4),FP32)</f>
        <v>1520</v>
      </c>
      <c r="FQ32" s="1506" t="str" cm="1">
        <f t="array" aca="1" ref="FQ32" ca="1">IF(SwitchPA=1,_xll.TR(FQ$7,FQ$6,"Sdate=#1 Period=#2 Scale=6 NULL=BLANK",,$D32,$X$4),FQ32)</f>
        <v>Unable to resolve all requested identifiers.</v>
      </c>
      <c r="FS32" s="1506" cm="1">
        <f t="array" aca="1" ref="FS32" ca="1">IF(SwitchPA=1,_xll.TR(FS$7,FS$6,"Sdate=#1 Period=#2 NULL=BLANK Scale=6",,$D32,$FS$4),FS32)</f>
        <v>809</v>
      </c>
      <c r="FT32" s="1506" cm="1">
        <f t="array" aca="1" ref="FT32" ca="1">IF(SwitchPA=1,_xll.TR(FT$7,FT$6,"Sdate=#1 Period=#2 NULL=BLANK Scale=6",,$D32,$FS$4),FT32)</f>
        <v>385</v>
      </c>
      <c r="FU32" s="1506" cm="1">
        <f t="array" aca="1" ref="FU32" ca="1">IF(SwitchPA=1,_xll.TR(FU$7,FU$6,"Sdate=#1 Period=#2 NULL=BLANK Scale=6",,$D32,$FS$4),FU32)</f>
        <v>3210</v>
      </c>
      <c r="FV32" s="1506" t="str" cm="1">
        <f t="array" aca="1" ref="FV32" ca="1">IF(SwitchPA=1,_xll.TR(FV$7,FV$6,"Sdate=#1 Period=#2 NULL=BLANK Scale=6",,$D32,$FS$4),FV32)</f>
        <v/>
      </c>
      <c r="FW32" s="1506" cm="1">
        <f t="array" aca="1" ref="FW32" ca="1">IF(SwitchPA=1,_xll.TR(FW$7,FW$6,"Sdate=#1 Period=#2 NULL=BLANK Scale=6",,$D32,$FS$4),FW32)</f>
        <v>3274</v>
      </c>
      <c r="FX32" s="1506" cm="1">
        <f t="array" aca="1" ref="FX32" ca="1">IF(SwitchPA=1,_xll.TR(FX$7,FX$6,"Sdate=#1 Period=#2 NULL=BLANK Scale=6",,$D32,$FS$4),FX32)</f>
        <v>226.2</v>
      </c>
      <c r="FY32" s="1506" cm="1">
        <f t="array" aca="1" ref="FY32" ca="1">IF(SwitchPA=1,_xll.TR(FY$7,FY$6,"Sdate=#1 Period=#2 NULL=BLANK Scale=6",,$D32,$FS$4),FY32)</f>
        <v>228</v>
      </c>
      <c r="FZ32" s="1506" cm="1">
        <f t="array" aca="1" ref="FZ32" ca="1">IF(SwitchPA=1,_xll.TR(FZ$7,FZ$6,"Sdate=#1 Period=#2 NULL=BLANK Scale=6",,$D32,$FS$4),FZ32)</f>
        <v>237</v>
      </c>
      <c r="GA32" s="1506" cm="1">
        <f t="array" aca="1" ref="GA32" ca="1">IF(SwitchPA=1,_xll.TR(GA$7,GA$6,"Sdate=#1 Period=#2 NULL=BLANK Scale=6",,$D32,$FS$4),GA32)</f>
        <v>4152</v>
      </c>
      <c r="GB32" s="1506" cm="1">
        <f t="array" aca="1" ref="GB32" ca="1">IF(SwitchPA=1,_xll.TR(GB$7,GB$6,"Sdate=#1 Period=#2 NULL=BLANK Scale=6",,$D32,$FS$4),GB32)</f>
        <v>277.51299999999998</v>
      </c>
      <c r="GC32" s="1506" cm="1">
        <f t="array" aca="1" ref="GC32" ca="1">IF(SwitchPA=1,_xll.TR(GC$7,GC$6,"Sdate=#1 Period=#2 NULL=BLANK Scale=6",,$D32,$FS$4),GC32)</f>
        <v>435</v>
      </c>
      <c r="GD32" s="1506" cm="1">
        <f t="array" aca="1" ref="GD32" ca="1">IF(SwitchPA=1,_xll.TR(GD$7,GD$6,"Sdate=#1 Period=#2 NULL=BLANK Scale=6",,$D32,$FS$4),GD32)</f>
        <v>32.6</v>
      </c>
      <c r="GE32" s="1506" t="str" cm="1">
        <f t="array" aca="1" ref="GE32" ca="1">IF(SwitchPA=1,_xll.TR(GE$7,GE$6,"Sdate=#1 Period=#2 NULL=BLANK Scale=6",,$D32,$FS$4),GE32)</f>
        <v/>
      </c>
      <c r="GF32" s="1506" cm="1">
        <f t="array" aca="1" ref="GF32" ca="1">IF(SwitchPA=1,_xll.TR(GF$7,GF$6,"Sdate=#1 Period=#2 NULL=BLANK Scale=6",,$D32,$FS$4),GF32)</f>
        <v>106.8</v>
      </c>
      <c r="GG32" s="1506" cm="1">
        <f t="array" aca="1" ref="GG32" ca="1">IF(SwitchPA=1,_xll.TR(GG$7,GG$6,"Sdate=#1 Period=#2 NULL=BLANK Scale=6",,$D32,$FS$4),GG32)</f>
        <v>1297</v>
      </c>
      <c r="GH32" s="1506" cm="1">
        <f t="array" aca="1" ref="GH32" ca="1">IF(SwitchPA=1,_xll.TR(GH$7,GH$6,"Sdate=#1 Period=#2 NULL=BLANK Scale=6",,$D32,$FS$4),GH32)</f>
        <v>483</v>
      </c>
      <c r="GI32" s="1506" t="str" cm="1">
        <f t="array" aca="1" ref="GI32" ca="1">IF(SwitchPA=1,_xll.TR(GI$7,GI$6,"Sdate=#1 Period=#2 NULL=BLANK Scale=6",,$D32,$FS$4),GI32)</f>
        <v>Unable to resolve and collect data for all requested identifiers and fields.</v>
      </c>
      <c r="GK32" s="1506" cm="1">
        <f t="array" aca="1" ref="GK32" ca="1">IF(SwitchPA=1,_xll.TR(GK$7,GK$6,"Sdate=#1 Period=#2 NULL=BLANK Scale=6",,$D32,$FS$4),GK32)</f>
        <v>1.6900048285852201</v>
      </c>
      <c r="GL32" s="1506" cm="1">
        <f t="array" aca="1" ref="GL32" ca="1">IF(SwitchPA=1,_xll.TR(GL$7,GL$6,"Sdate=#1 Period=#2 NULL=BLANK Scale=6",,$D32,$FS$4),GL32)</f>
        <v>1.35593220338983</v>
      </c>
      <c r="GM32" s="1506" cm="1">
        <f t="array" aca="1" ref="GM32" ca="1">IF(SwitchPA=1,_xll.TR(GM$7,GM$6,"Sdate=#1 Period=#2 NULL=BLANK Scale=6",,$D32,$FS$4),GM32)</f>
        <v>3.1511331959762501</v>
      </c>
      <c r="GN32" s="1506" t="str" cm="1">
        <f t="array" aca="1" ref="GN32" ca="1">IF(SwitchPA=1,_xll.TR(GN$7,GN$6,"Sdate=#1 Period=#2 NULL=BLANK Scale=6",,$D32,$FS$4),GN32)</f>
        <v/>
      </c>
      <c r="GO32" s="1506" cm="1">
        <f t="array" aca="1" ref="GO32" ca="1">IF(SwitchPA=1,_xll.TR(GO$7,GO$6,"Sdate=#1 Period=#2 NULL=BLANK Scale=6",,$D32,$FS$4),GO32)</f>
        <v>2.8412454125725102</v>
      </c>
      <c r="GP32" s="1506" cm="1">
        <f t="array" aca="1" ref="GP32" ca="1">IF(SwitchPA=1,_xll.TR(GP$7,GP$6,"Sdate=#1 Period=#2 NULL=BLANK Scale=6",,$D32,$FS$4),GP32)</f>
        <v>3.0899961375048299</v>
      </c>
      <c r="GQ32" s="1506" t="str" cm="1">
        <f t="array" aca="1" ref="GQ32" ca="1">IF(SwitchPA=1,_xll.TR(GQ$7,GQ$6,"Sdate=#1 Period=#2 NULL=BLANK Scale=6",,$D32,$FS$4),GQ32)</f>
        <v/>
      </c>
      <c r="GR32" s="1506" cm="1">
        <f t="array" aca="1" ref="GR32" ca="1">IF(SwitchPA=1,_xll.TR(GR$7,GR$6,"Sdate=#1 Period=#2 NULL=BLANK Scale=6",,$D32,$FS$4),GR32)</f>
        <v>2.1505376344085998</v>
      </c>
      <c r="GS32" s="1506" cm="1">
        <f t="array" aca="1" ref="GS32" ca="1">IF(SwitchPA=1,_xll.TR(GS$7,GS$6,"Sdate=#1 Period=#2 NULL=BLANK Scale=6",,$D32,$FS$4),GS32)</f>
        <v>2.5885558583106301</v>
      </c>
      <c r="GT32" s="1506" cm="1">
        <f t="array" aca="1" ref="GT32" ca="1">IF(SwitchPA=1,_xll.TR(GT$7,GT$6,"Sdate=#1 Period=#2 NULL=BLANK Scale=6",,$D32,$FS$4),GT32)</f>
        <v>1.4710389212381201</v>
      </c>
      <c r="GU32" s="1506" cm="1">
        <f t="array" aca="1" ref="GU32" ca="1">IF(SwitchPA=1,_xll.TR(GU$7,GU$6,"Sdate=#1 Period=#2 NULL=BLANK Scale=6",,$D32,$FS$4),GU32)</f>
        <v>1.4140153878145101</v>
      </c>
      <c r="GV32" s="1506" cm="1">
        <f t="array" aca="1" ref="GV32" ca="1">IF(SwitchPA=1,_xll.TR(GV$7,GV$6,"Sdate=#1 Period=#2 NULL=BLANK Scale=6",,$D32,$FS$4),GV32)</f>
        <v>0.88790233074361802</v>
      </c>
      <c r="GW32" s="1506" t="str" cm="1">
        <f t="array" aca="1" ref="GW32" ca="1">IF(SwitchPA=1,_xll.TR(GW$7,GW$6,"Sdate=#1 Period=#2 NULL=BLANK Scale=6",,$D32,$FS$4),GW32)</f>
        <v/>
      </c>
      <c r="GX32" s="1506" cm="1">
        <f t="array" aca="1" ref="GX32" ca="1">IF(SwitchPA=1,_xll.TR(GX$7,GX$6,"Sdate=#1 Period=#2 NULL=BLANK Scale=6",,$D32,$FS$4),GX32)</f>
        <v>0.74043603455368201</v>
      </c>
      <c r="GY32" s="1506" cm="1">
        <f t="array" aca="1" ref="GY32" ca="1">IF(SwitchPA=1,_xll.TR(GY$7,GY$6,"Sdate=#1 Period=#2 NULL=BLANK Scale=6",,$D32,$FS$4),GY32)</f>
        <v>1.29168872419269</v>
      </c>
      <c r="GZ32" s="1506" cm="1">
        <f t="array" aca="1" ref="GZ32" ca="1">IF(SwitchPA=1,_xll.TR(GZ$7,GZ$6,"Sdate=#1 Period=#2 NULL=BLANK Scale=6",,$D32,$FS$4),GZ32)</f>
        <v>2.9801817910594499</v>
      </c>
      <c r="HA32" s="1506" t="str" cm="1">
        <f t="array" aca="1" ref="HA32" ca="1">IF(SwitchPA=1,_xll.TR(HA$7,HA$6,"Sdate=#1 Period=#2 NULL=BLANK Scale=6",,$D32,$FS$4),HA32)</f>
        <v/>
      </c>
      <c r="HC32">
        <v>3.73</v>
      </c>
      <c r="HD32">
        <v>97.98</v>
      </c>
      <c r="HE32">
        <v>108.56</v>
      </c>
      <c r="HG32" s="762">
        <f t="shared" si="52"/>
        <v>0.35636363636363644</v>
      </c>
      <c r="HH32" s="762">
        <f t="shared" si="53"/>
        <v>4.1786283891547038E-2</v>
      </c>
      <c r="HI32" s="762">
        <f t="shared" si="54"/>
        <v>-2.7501567678939298E-2</v>
      </c>
    </row>
    <row r="33" spans="3:217" ht="11.25" customHeight="1">
      <c r="C33" s="1514">
        <f t="shared" si="51"/>
        <v>42004</v>
      </c>
      <c r="D33" s="1515">
        <f t="shared" si="49"/>
        <v>42049</v>
      </c>
      <c r="E33" s="1506" cm="1">
        <f t="array" aca="1" ref="E33" ca="1">IF(SwitchPA=1,_xll.TR(E$7,E$6,"Sdate=#1 Period=#2 NULL=BLANK",,$D33,$E$4),E33)</f>
        <v>6.9296338430472204</v>
      </c>
      <c r="F33" s="1506" cm="1">
        <f t="array" aca="1" ref="F33" ca="1">IF(SwitchPA=1,_xll.TR(F$7,F$6,"Sdate=#1 Period=#2 NULL=BLANK",,$D33,$E$4),F33)</f>
        <v>7.7170195086687201</v>
      </c>
      <c r="G33" s="1506" cm="1">
        <f t="array" aca="1" ref="G33" ca="1">IF(SwitchPA=1,_xll.TR(G$7,G$6,"Sdate=#1 Period=#2 NULL=BLANK",,$D33,$E$4),G33)</f>
        <v>8.5283065726027694</v>
      </c>
      <c r="H33" s="1506" t="str" cm="1">
        <f t="array" aca="1" ref="H33" ca="1">IF(SwitchPA=1,_xll.TR(H$7,H$6,"Sdate=#1 Period=#2 NULL=BLANK",,$D33,$E$4),H33)</f>
        <v/>
      </c>
      <c r="I33" s="1506" cm="1">
        <f t="array" aca="1" ref="I33" ca="1">IF(SwitchPA=1,_xll.TR(I$7,I$6,"Sdate=#1 Period=#2 NULL=BLANK",,$D33,$E$4),I33)</f>
        <v>7.2038826097064197</v>
      </c>
      <c r="J33" s="1506" cm="1">
        <f t="array" aca="1" ref="J33" ca="1">IF(SwitchPA=1,_xll.TR(J$7,J$6,"Sdate=#1 Period=#2 NULL=BLANK",,$D33,$E$4),J33)</f>
        <v>6.7655585408447303</v>
      </c>
      <c r="K33" s="1506" cm="1">
        <f t="array" aca="1" ref="K33" ca="1">IF(SwitchPA=1,_xll.TR(K$7,K$6,"Sdate=#1 Period=#2 NULL=BLANK",,$D33,$E$4),K33)</f>
        <v>6.41947061339435</v>
      </c>
      <c r="L33" s="1506" cm="1">
        <f t="array" aca="1" ref="L33" ca="1">IF(SwitchPA=1,_xll.TR(L$7,L$6,"Sdate=#1 Period=#2 NULL=BLANK",,$D33,$E$4),L33)</f>
        <v>5.9658327422441202</v>
      </c>
      <c r="M33" s="1506" cm="1">
        <f t="array" aca="1" ref="M33" ca="1">IF(SwitchPA=1,_xll.TR(M$7,M$6,"Sdate=#1 Period=#2 NULL=BLANK",,$D33,$E$4),M33)</f>
        <v>12.1663215226773</v>
      </c>
      <c r="N33" s="1506" cm="1">
        <f t="array" aca="1" ref="N33" ca="1">IF(SwitchPA=1,_xll.TR(N$7,N$6,"Sdate=#1 Period=#2 NULL=BLANK",,$D33,$E$4),N33)</f>
        <v>7.2450833952439</v>
      </c>
      <c r="O33" s="1506" cm="1">
        <f t="array" aca="1" ref="O33" ca="1">IF(SwitchPA=1,_xll.TR(O$7,O$6,"Sdate=#1 Period=#2 NULL=BLANK",,$D33,$E$4),O33)</f>
        <v>9.1939158805191497</v>
      </c>
      <c r="P33" s="1506" cm="1">
        <f t="array" aca="1" ref="P33" ca="1">IF(SwitchPA=1,_xll.TR(P$7,P$6,"Sdate=#1 Period=#2 NULL=BLANK",,$D33,$E$4),P33)</f>
        <v>8.7662034069860599</v>
      </c>
      <c r="Q33" s="1506" t="str" cm="1">
        <f t="array" aca="1" ref="Q33" ca="1">IF(SwitchPA=1,_xll.TR(Q$7,Q$6,"Sdate=#1 Period=#2 NULL=BLANK",,$D33,$E$4),Q33)</f>
        <v/>
      </c>
      <c r="R33" s="1506" cm="1">
        <f t="array" aca="1" ref="R33" ca="1">IF(SwitchPA=1,_xll.TR(R$7,R$6,"Sdate=#1 Period=#2 NULL=BLANK",,$D33,$E$4),R33)</f>
        <v>10.934597968444301</v>
      </c>
      <c r="S33" s="1506" cm="1">
        <f t="array" aca="1" ref="S33" ca="1">IF(SwitchPA=1,_xll.TR(S$7,S$6,"Sdate=#1 Period=#2 NULL=BLANK",,$D33,$E$4),S33)</f>
        <v>11.7965687315367</v>
      </c>
      <c r="T33" s="1506" cm="1">
        <f t="array" aca="1" ref="T33" ca="1">IF(SwitchPA=1,_xll.TR(T$7,T$6,"Sdate=#1 Period=#2 NULL=BLANK",,$D33,$E$4),T33)</f>
        <v>6.46518706700473</v>
      </c>
      <c r="U33" s="1506" t="str" cm="1">
        <f t="array" aca="1" ref="U33" ca="1">IF(SwitchPA=1,_xll.TR(U$7,U$6,"Sdate=#1 Period=#2 NULL=BLANK",,$D33,$E$4),U33)</f>
        <v>No universe defined.</v>
      </c>
      <c r="V33" s="1506" t="str" cm="1">
        <f t="array" aca="1" ref="V33" ca="1">IF(SwitchPA=1,_xll.TR(V$7,V$6,"Sdate=#1 Period=#2 NULL=BLANK",,$D33,$E$4),V33)</f>
        <v>No universe defined.</v>
      </c>
      <c r="W33" s="1521">
        <f t="shared" ca="1" si="55"/>
        <v>-0.18745488520444298</v>
      </c>
      <c r="X33" s="1506" cm="1">
        <f t="array" aca="1" ref="X33" ca="1">IF(SwitchPA=1,_xll.TR(X$7,X$6,"Sdate=#1 Period=#2 NULL=BLANK",,$D33,$X$4),X33)</f>
        <v>7.4447012814682196</v>
      </c>
      <c r="Y33" s="1506" cm="1">
        <f t="array" aca="1" ref="Y33" ca="1">IF(SwitchPA=1,_xll.TR(Y$7,Y$6,"Sdate=#1 Period=#2 NULL=BLANK",,$D33,$X$4),Y33)</f>
        <v>7.2301383165461504</v>
      </c>
      <c r="Z33" s="1506" cm="1">
        <f t="array" aca="1" ref="Z33" ca="1">IF(SwitchPA=1,_xll.TR(Z$7,Z$6,"Sdate=#1 Period=#2 NULL=BLANK",,$D33,$X$4),Z33)</f>
        <v>8.6812768688536703</v>
      </c>
      <c r="AA33" s="1506" t="str" cm="1">
        <f t="array" aca="1" ref="AA33" ca="1">IF(SwitchPA=1,_xll.TR(AA$7,AA$6,"Sdate=#1 Period=#2 NULL=BLANK",,$D33,$X$4),AA33)</f>
        <v/>
      </c>
      <c r="AB33" s="1506" cm="1">
        <f t="array" aca="1" ref="AB33" ca="1">IF(SwitchPA=1,_xll.TR(AB$7,AB$6,"Sdate=#1 Period=#2 NULL=BLANK",,$D33,$X$4),AB33)</f>
        <v>6.4672538179170997</v>
      </c>
      <c r="AC33" s="1506" cm="1">
        <f t="array" aca="1" ref="AC33" ca="1">IF(SwitchPA=1,_xll.TR(AC$7,AC$6,"Sdate=#1 Period=#2 NULL=BLANK",,$D33,$X$4),AC33)</f>
        <v>7.0244386561497398</v>
      </c>
      <c r="AD33" s="1506" cm="1">
        <f t="array" aca="1" ref="AD33" ca="1">IF(SwitchPA=1,_xll.TR(AD$7,AD$6,"Sdate=#1 Period=#2 NULL=BLANK",,$D33,$X$4),AD33)</f>
        <v>7.1053521865770497</v>
      </c>
      <c r="AE33" s="1506" cm="1">
        <f t="array" aca="1" ref="AE33" ca="1">IF(SwitchPA=1,_xll.TR(AE$7,AE$6,"Sdate=#1 Period=#2 NULL=BLANK",,$D33,$X$4),AE33)</f>
        <v>6.9188643657367201</v>
      </c>
      <c r="AF33" s="1506" cm="1">
        <f t="array" aca="1" ref="AF33" ca="1">IF(SwitchPA=1,_xll.TR(AF$7,AF$6,"Sdate=#1 Period=#2 NULL=BLANK",,$D33,$X$4),AF33)</f>
        <v>12.6654537363477</v>
      </c>
      <c r="AG33" s="1506" cm="1">
        <f t="array" aca="1" ref="AG33" ca="1">IF(SwitchPA=1,_xll.TR(AG$7,AG$6,"Sdate=#1 Period=#2 NULL=BLANK",,$D33,$X$4),AG33)</f>
        <v>10.6755420330362</v>
      </c>
      <c r="AH33" s="1506" cm="1">
        <f t="array" aca="1" ref="AH33" ca="1">IF(SwitchPA=1,_xll.TR(AH$7,AH$6,"Sdate=#1 Period=#2 NULL=BLANK",,$D33,$X$4),AH33)</f>
        <v>9.6167452565374703</v>
      </c>
      <c r="AI33" s="1506" cm="1">
        <f t="array" aca="1" ref="AI33" ca="1">IF(SwitchPA=1,_xll.TR(AI$7,AI$6,"Sdate=#1 Period=#2 NULL=BLANK",,$D33,$X$4),AI33)</f>
        <v>9.5039949747673802</v>
      </c>
      <c r="AJ33" s="1506" t="str" cm="1">
        <f t="array" aca="1" ref="AJ33" ca="1">IF(SwitchPA=1,_xll.TR(AJ$7,AJ$6,"Sdate=#1 Period=#2 NULL=BLANK",,$D33,$X$4),AJ33)</f>
        <v/>
      </c>
      <c r="AK33" s="1506" cm="1">
        <f t="array" aca="1" ref="AK33" ca="1">IF(SwitchPA=1,_xll.TR(AK$7,AK$6,"Sdate=#1 Period=#2 NULL=BLANK",,$D33,$X$4),AK33)</f>
        <v>11.3168735253811</v>
      </c>
      <c r="AL33" s="1506" cm="1">
        <f t="array" aca="1" ref="AL33" ca="1">IF(SwitchPA=1,_xll.TR(AL$7,AL$6,"Sdate=#1 Period=#2 NULL=BLANK",,$D33,$X$4),AL33)</f>
        <v>13.2624969463818</v>
      </c>
      <c r="AM33" s="1506" cm="1">
        <f t="array" aca="1" ref="AM33" ca="1">IF(SwitchPA=1,_xll.TR(AM$7,AM$6,"Sdate=#1 Period=#2 NULL=BLANK",,$D33,$X$4),AM33)</f>
        <v>6.9677585578544399</v>
      </c>
      <c r="AN33" s="1506" t="str" cm="1">
        <f t="array" aca="1" ref="AN33" ca="1">IF(SwitchPA=1,_xll.TR(AN$7,AN$6,"Sdate=#1 Period=#2 NULL=BLANK",,$D33,$X$4),AN33)</f>
        <v/>
      </c>
      <c r="AO33" s="1506" t="str" cm="1">
        <f t="array" aca="1" ref="AO33" ca="1">IF(SwitchPA=1,_xll.TR(AO$7,AO$6,"Sdate=#1 Period=#2 NULL=BLANK",,$D33,$X$4),AO33)</f>
        <v/>
      </c>
      <c r="AQ33" s="1506" cm="1">
        <f t="array" aca="1" ref="AQ33" ca="1">IF(SwitchPA=1,_xll.TR(AQ$7,AQ$6,"Sdate=#1 Period=#2 NULL=BLANK Scale=6",,$D33,$AQ$4),AQ33)</f>
        <v>11.699996666666699</v>
      </c>
      <c r="AR33" s="1506" cm="1">
        <f t="array" aca="1" ref="AR33" ca="1">IF(SwitchPA=1,_xll.TR(AR$7,AR$6,"Sdate=#1 Period=#2 NULL=BLANK Scale=6",,$D33,$AQ$4),AR33)</f>
        <v>15.283333333333299</v>
      </c>
      <c r="AS33" s="1506" cm="1">
        <f t="array" aca="1" ref="AS33" ca="1">IF(SwitchPA=1,_xll.TR(AS$7,AS$6,"Sdate=#1 Period=#2 NULL=BLANK Scale=6",,$D33,$AQ$4),AS33)</f>
        <v>12.630558333333299</v>
      </c>
      <c r="AT33" s="1506" t="str" cm="1">
        <f t="array" aca="1" ref="AT33" ca="1">IF(SwitchPA=1,_xll.TR(AT$7,AT$6,"Sdate=#1 Period=#2 NULL=BLANK Scale=6",,$D33,$AQ$4),AT33)</f>
        <v/>
      </c>
      <c r="AU33" s="1506" cm="1">
        <f t="array" aca="1" ref="AU33" ca="1">IF(SwitchPA=1,_xll.TR(AU$7,AU$6,"Sdate=#1 Period=#2 NULL=BLANK Scale=6",,$D33,$AQ$4),AU33)</f>
        <v>25.433333333333302</v>
      </c>
      <c r="AV33" s="1506" t="str" cm="1">
        <f t="array" aca="1" ref="AV33" ca="1">IF(SwitchPA=1,_xll.TR(AV$7,AV$6,"Sdate=#1 Period=#2 NULL=BLANK Scale=6",,$D33,$AQ$4),AV33)</f>
        <v/>
      </c>
      <c r="AW33" s="1506" cm="1">
        <f t="array" aca="1" ref="AW33" ca="1">IF(SwitchPA=1,_xll.TR(AW$7,AW$6,"Sdate=#1 Period=#2 NULL=BLANK Scale=6",,$D33,$AQ$4),AW33)</f>
        <v>11.1875</v>
      </c>
      <c r="AX33" s="1506" t="str" cm="1">
        <f t="array" aca="1" ref="AX33" ca="1">IF(SwitchPA=1,_xll.TR(AX$7,AX$6,"Sdate=#1 Period=#2 NULL=BLANK Scale=6",,$D33,$AQ$4),AX33)</f>
        <v/>
      </c>
      <c r="AY33" s="1506" cm="1">
        <f t="array" aca="1" ref="AY33" ca="1">IF(SwitchPA=1,_xll.TR(AY$7,AY$6,"Sdate=#1 Period=#2 NULL=BLANK Scale=6",,$D33,$AQ$4),AY33)</f>
        <v>21.1277783333333</v>
      </c>
      <c r="AZ33" s="1506" t="str" cm="1">
        <f t="array" aca="1" ref="AZ33" ca="1">IF(SwitchPA=1,_xll.TR(AZ$7,AZ$6,"Sdate=#1 Period=#2 NULL=BLANK Scale=6",,$D33,$AQ$4),AZ33)</f>
        <v/>
      </c>
      <c r="BA33" s="1506" t="str" cm="1">
        <f t="array" aca="1" ref="BA33" ca="1">IF(SwitchPA=1,_xll.TR(BA$7,BA$6,"Sdate=#1 Period=#2 NULL=BLANK Scale=6",,$D33,$AQ$4),BA33)</f>
        <v/>
      </c>
      <c r="BB33" s="1506" cm="1">
        <f t="array" aca="1" ref="BB33" ca="1">IF(SwitchPA=1,_xll.TR(BB$7,BB$6,"Sdate=#1 Period=#2 NULL=BLANK Scale=6",,$D33,$AQ$4),BB33)</f>
        <v>11.741666666666699</v>
      </c>
      <c r="BC33" s="1506" t="str" cm="1">
        <f t="array" aca="1" ref="BC33" ca="1">IF(SwitchPA=1,_xll.TR(BC$7,BC$6,"Sdate=#1 Period=#2 NULL=BLANK Scale=6",,$D33,$AQ$4),BC33)</f>
        <v/>
      </c>
      <c r="BD33" s="1506" t="str" cm="1">
        <f t="array" aca="1" ref="BD33" ca="1">IF(SwitchPA=1,_xll.TR(BD$7,BD$6,"Sdate=#1 Period=#2 NULL=BLANK Scale=6",,$D33,$AQ$4),BD33)</f>
        <v/>
      </c>
      <c r="BE33" s="1506" cm="1">
        <f t="array" aca="1" ref="BE33" ca="1">IF(SwitchPA=1,_xll.TR(BE$7,BE$6,"Sdate=#1 Period=#2 NULL=BLANK Scale=6",,$D33,$AQ$4),BE33)</f>
        <v>16.324999999999999</v>
      </c>
      <c r="BF33" s="1506" cm="1">
        <f t="array" aca="1" ref="BF33" ca="1">IF(SwitchPA=1,_xll.TR(BF$7,BF$6,"Sdate=#1 Period=#2 NULL=BLANK Scale=6",,$D33,$AQ$4),BF33)</f>
        <v>9.3976183333333303</v>
      </c>
      <c r="BG33" s="1506" t="str" cm="1">
        <f t="array" aca="1" ref="BG33" ca="1">IF(SwitchPA=1,_xll.TR(BG$7,BG$6,"Sdate=#1 Period=#2 NULL=BLANK Scale=6",,$D33,$AQ$4),BG33)</f>
        <v/>
      </c>
      <c r="BH33" s="1506" t="str" cm="1">
        <f t="array" aca="1" ref="BH33" ca="1">IF(SwitchPA=1,_xll.TR(BH$7,BH$6,"Sdate=#1 Period=#2 NULL=BLANK Scale=6",,$D33,$AQ$4),BH33)</f>
        <v/>
      </c>
      <c r="BJ33" s="1506" cm="1">
        <f t="array" aca="1" ref="BJ33" ca="1">IF(SwitchPA=1,_xll.TR(BJ$7,BJ$6,"Sdate=#1 Period=#2 NULL=BLANK Scale=6",,$D33,$BJ$4),BJ33)</f>
        <v>6.9490926399999999</v>
      </c>
      <c r="BK33" s="1506" cm="1">
        <f t="array" aca="1" ref="BK33" ca="1">IF(SwitchPA=1,_xll.TR(BK$7,BK$6,"Sdate=#1 Period=#2 NULL=BLANK Scale=6",,$D33,$BJ$4),BK33)</f>
        <v>10.511061353000001</v>
      </c>
      <c r="BL33" s="1506" cm="1">
        <f t="array" aca="1" ref="BL33" ca="1">IF(SwitchPA=1,_xll.TR(BL$7,BL$6,"Sdate=#1 Period=#2 NULL=BLANK Scale=6",,$D33,$BJ$4),BL33)</f>
        <v>8.6525048739999999</v>
      </c>
      <c r="BM33" s="1506" t="str" cm="1">
        <f t="array" aca="1" ref="BM33" ca="1">IF(SwitchPA=1,_xll.TR(BM$7,BM$6,"Sdate=#1 Period=#2 NULL=BLANK Scale=6",,$D33,$BJ$4),BM33)</f>
        <v/>
      </c>
      <c r="BN33" s="1506" cm="1">
        <f t="array" aca="1" ref="BN33" ca="1">IF(SwitchPA=1,_xll.TR(BN$7,BN$6,"Sdate=#1 Period=#2 NULL=BLANK Scale=6",,$D33,$BJ$4),BN33)</f>
        <v>6.8033615449999996</v>
      </c>
      <c r="BO33" s="1506" cm="1">
        <f t="array" aca="1" ref="BO33" ca="1">IF(SwitchPA=1,_xll.TR(BO$7,BO$6,"Sdate=#1 Period=#2 NULL=BLANK Scale=6",,$D33,$BJ$4),BO33)</f>
        <v>7.071405972</v>
      </c>
      <c r="BP33" s="1506" cm="1">
        <f t="array" aca="1" ref="BP33" ca="1">IF(SwitchPA=1,_xll.TR(BP$7,BP$6,"Sdate=#1 Period=#2 NULL=BLANK Scale=6",,$D33,$BJ$4),BP33)</f>
        <v>7.4672808489999998</v>
      </c>
      <c r="BQ33" s="1506" cm="1">
        <f t="array" aca="1" ref="BQ33" ca="1">IF(SwitchPA=1,_xll.TR(BQ$7,BQ$6,"Sdate=#1 Period=#2 NULL=BLANK Scale=6",,$D33,$BJ$4),BQ33)</f>
        <v>7.5165457990000002</v>
      </c>
      <c r="BR33" s="1506" cm="1">
        <f t="array" aca="1" ref="BR33" ca="1">IF(SwitchPA=1,_xll.TR(BR$7,BR$6,"Sdate=#1 Period=#2 NULL=BLANK Scale=6",,$D33,$BJ$4),BR33)</f>
        <v>12.732066668</v>
      </c>
      <c r="BS33" s="1506" cm="1">
        <f t="array" aca="1" ref="BS33" ca="1">IF(SwitchPA=1,_xll.TR(BS$7,BS$6,"Sdate=#1 Period=#2 NULL=BLANK Scale=6",,$D33,$BJ$4),BS33)</f>
        <v>9.5432861689999999</v>
      </c>
      <c r="BT33" s="1506" cm="1">
        <f t="array" aca="1" ref="BT33" ca="1">IF(SwitchPA=1,_xll.TR(BT$7,BT$6,"Sdate=#1 Period=#2 NULL=BLANK Scale=6",,$D33,$BJ$4),BT33)</f>
        <v>15.98789917</v>
      </c>
      <c r="BU33" s="1506" cm="1">
        <f t="array" aca="1" ref="BU33" ca="1">IF(SwitchPA=1,_xll.TR(BU$7,BU$6,"Sdate=#1 Period=#2 NULL=BLANK Scale=6",,$D33,$BJ$4),BU33)</f>
        <v>8.9664628210000004</v>
      </c>
      <c r="BV33" s="1506" t="str" cm="1">
        <f t="array" aca="1" ref="BV33" ca="1">IF(SwitchPA=1,_xll.TR(BV$7,BV$6,"Sdate=#1 Period=#2 NULL=BLANK Scale=6",,$D33,$BJ$4),BV33)</f>
        <v/>
      </c>
      <c r="BW33" s="1506" cm="1">
        <f t="array" aca="1" ref="BW33" ca="1">IF(SwitchPA=1,_xll.TR(BW$7,BW$6,"Sdate=#1 Period=#2 NULL=BLANK Scale=6",,$D33,$BJ$4),BW33)</f>
        <v>13.652424794</v>
      </c>
      <c r="BX33" s="1506" cm="1">
        <f t="array" aca="1" ref="BX33" ca="1">IF(SwitchPA=1,_xll.TR(BX$7,BX$6,"Sdate=#1 Period=#2 NULL=BLANK Scale=6",,$D33,$BJ$4),BX33)</f>
        <v>14.282349626</v>
      </c>
      <c r="BY33" s="1506" cm="1">
        <f t="array" aca="1" ref="BY33" ca="1">IF(SwitchPA=1,_xll.TR(BY$7,BY$6,"Sdate=#1 Period=#2 NULL=BLANK Scale=6",,$D33,$BJ$4),BY33)</f>
        <v>5.3202639270000001</v>
      </c>
      <c r="BZ33" s="1506" t="str" cm="1">
        <f t="array" aca="1" ref="BZ33" ca="1">IF(SwitchPA=1,_xll.TR(BZ$7,BZ$6,"Sdate=#1 Period=#2 NULL=BLANK Scale=6",,$D33,$BJ$4),BZ33)</f>
        <v/>
      </c>
      <c r="CA33" s="1506" t="str" cm="1">
        <f t="array" aca="1" ref="CA33" ca="1">IF(SwitchPA=1,_xll.TR(CA$7,CA$6,"Sdate=#1 Period=#2 NULL=BLANK Scale=6",,$D33,$BJ$4),CA33)</f>
        <v/>
      </c>
      <c r="CC33" s="1506" cm="1">
        <f t="array" aca="1" ref="CC33" ca="1">IF(SwitchPA=1,_xll.TR(CC$7,CC$6,"Sdate=#1 Period=#2 NULL=BLANK Scale=6",,$D33,$CC$4),CC33)</f>
        <v>9527</v>
      </c>
      <c r="CD33" s="1506" cm="1">
        <f t="array" aca="1" ref="CD33" ca="1">IF(SwitchPA=1,_xll.TR(CD$7,CD$6,"Sdate=#1 Period=#2 NULL=BLANK Scale=6",,$D33,$CC$4),CD33)</f>
        <v>6802</v>
      </c>
      <c r="CE33" s="1506" cm="1">
        <f t="array" aca="1" ref="CE33" ca="1">IF(SwitchPA=1,_xll.TR(CE$7,CE$6,"Sdate=#1 Period=#2 NULL=BLANK Scale=6",,$D33,$CC$4),CE33)</f>
        <v>74428</v>
      </c>
      <c r="CF33" s="1506" t="str" cm="1">
        <f t="array" aca="1" ref="CF33" ca="1">IF(SwitchPA=1,_xll.TR(CF$7,CF$6,"Sdate=#1 Period=#2 NULL=BLANK Scale=6",,$D33,$CC$4),CF33)</f>
        <v/>
      </c>
      <c r="CG33" s="1506" cm="1">
        <f t="array" aca="1" ref="CG33" ca="1">IF(SwitchPA=1,_xll.TR(CG$7,CG$6,"Sdate=#1 Period=#2 NULL=BLANK Scale=6",,$D33,$CC$4),CG33)</f>
        <v>45608</v>
      </c>
      <c r="CH33" s="1506" cm="1">
        <f t="array" aca="1" ref="CH33" ca="1">IF(SwitchPA=1,_xll.TR(CH$7,CH$6,"Sdate=#1 Period=#2 NULL=BLANK Scale=6",,$D33,$CC$4),CH33)</f>
        <v>2241.1999999999998</v>
      </c>
      <c r="CI33" s="1506" cm="1">
        <f t="array" aca="1" ref="CI33" ca="1">IF(SwitchPA=1,_xll.TR(CI$7,CI$6,"Sdate=#1 Period=#2 NULL=BLANK Scale=6",,$D33,$CC$4),CI33)</f>
        <v>12780</v>
      </c>
      <c r="CJ33" s="1506" cm="1">
        <f t="array" aca="1" ref="CJ33" ca="1">IF(SwitchPA=1,_xll.TR(CJ$7,CJ$6,"Sdate=#1 Period=#2 NULL=BLANK Scale=6",,$D33,$CC$4),CJ33)</f>
        <v>11332</v>
      </c>
      <c r="CK33" s="1506" cm="1">
        <f t="array" aca="1" ref="CK33" ca="1">IF(SwitchPA=1,_xll.TR(CK$7,CK$6,"Sdate=#1 Period=#2 NULL=BLANK Scale=6",,$D33,$CC$4),CK33)</f>
        <v>31821</v>
      </c>
      <c r="CL33" s="1506" cm="1">
        <f t="array" aca="1" ref="CL33" ca="1">IF(SwitchPA=1,_xll.TR(CL$7,CL$6,"Sdate=#1 Period=#2 NULL=BLANK Scale=6",,$D33,$CC$4),CL33)</f>
        <v>2445.5479999999998</v>
      </c>
      <c r="CM33" s="1506" cm="1">
        <f t="array" aca="1" ref="CM33" ca="1">IF(SwitchPA=1,_xll.TR(CM$7,CM$6,"Sdate=#1 Period=#2 NULL=BLANK Scale=6",,$D33,$CC$4),CM33)</f>
        <v>6079</v>
      </c>
      <c r="CN33" s="1506" cm="1">
        <f t="array" aca="1" ref="CN33" ca="1">IF(SwitchPA=1,_xll.TR(CN$7,CN$6,"Sdate=#1 Period=#2 NULL=BLANK Scale=6",,$D33,$CC$4),CN33)</f>
        <v>3835.5</v>
      </c>
      <c r="CO33" s="1506" t="str" cm="1">
        <f t="array" aca="1" ref="CO33" ca="1">IF(SwitchPA=1,_xll.TR(CO$7,CO$6,"Sdate=#1 Period=#2 NULL=BLANK Scale=6",,$D33,$CC$4),CO33)</f>
        <v/>
      </c>
      <c r="CP33" s="1506" cm="1">
        <f t="array" aca="1" ref="CP33" ca="1">IF(SwitchPA=1,_xll.TR(CP$7,CP$6,"Sdate=#1 Period=#2 NULL=BLANK Scale=6",,$D33,$CC$4),CP33)</f>
        <v>3258.7</v>
      </c>
      <c r="CQ33" s="1506" cm="1">
        <f t="array" aca="1" ref="CQ33" ca="1">IF(SwitchPA=1,_xll.TR(CQ$7,CQ$6,"Sdate=#1 Period=#2 NULL=BLANK Scale=6",,$D33,$CC$4),CQ33)</f>
        <v>14791</v>
      </c>
      <c r="CR33" s="1506" cm="1">
        <f t="array" aca="1" ref="CR33" ca="1">IF(SwitchPA=1,_xll.TR(CR$7,CR$6,"Sdate=#1 Period=#2 NULL=BLANK Scale=6",,$D33,$CC$4),CR33)</f>
        <v>10500</v>
      </c>
      <c r="CS33" s="1506" t="str" cm="1">
        <f t="array" aca="1" ref="CS33" ca="1">IF(SwitchPA=1,_xll.TR(CS$7,CS$6,"Sdate=#1 Period=#2 NULL=BLANK Scale=6",,$D33,$CC$4),CS33)</f>
        <v>Unable to resolve all requested identifiers.</v>
      </c>
      <c r="CT33" s="1506" t="str" cm="1">
        <f t="array" aca="1" ref="CT33" ca="1">IF(SwitchPA=1,_xll.TR(CT$7,CT$6,"Sdate=#1 Period=#2 NULL=BLANK Scale=6",,$D33,$CC$4),CT33)</f>
        <v>Unable to resolve and collect data for all requested identifiers and fields.</v>
      </c>
      <c r="CV33" s="1516" cm="1">
        <f t="array" aca="1" ref="CV33" ca="1">IF(SwitchPA=1,_xll.TR(CV$7,CV$6,"Sdate=#1 Period=#2 NULL=BLANK Scale=6",,$D33,$AQ$4),CV33)</f>
        <v>4520.75</v>
      </c>
      <c r="CW33" s="1516" cm="1">
        <f t="array" aca="1" ref="CW33" ca="1">IF(SwitchPA=1,_xll.TR(CW$7,CW$6,"Sdate=#1 Period=#2 NULL=BLANK Scale=6",,$D33,$AQ$4),CW33)</f>
        <v>3611.75</v>
      </c>
      <c r="CX33" s="1516" cm="1">
        <f t="array" aca="1" ref="CX33" ca="1">IF(SwitchPA=1,_xll.TR(CX$7,CX$6,"Sdate=#1 Period=#2 NULL=BLANK Scale=6",,$D33,$AQ$4),CX33)</f>
        <v>20002.75</v>
      </c>
      <c r="CY33" s="1516" t="str" cm="1">
        <f t="array" aca="1" ref="CY33" ca="1">IF(SwitchPA=1,_xll.TR(CY$7,CY$6,"Sdate=#1 Period=#2 NULL=BLANK Scale=6",,$D33,$AQ$4),CY33)</f>
        <v/>
      </c>
      <c r="CZ33" s="1516" cm="1">
        <f t="array" aca="1" ref="CZ33" ca="1">IF(SwitchPA=1,_xll.TR(CZ$7,CZ$6,"Sdate=#1 Period=#2 NULL=BLANK Scale=6",,$D33,$AQ$4),CZ33)</f>
        <v>8663.5</v>
      </c>
      <c r="DA33" s="1516" cm="1">
        <f t="array" aca="1" ref="DA33" ca="1">IF(SwitchPA=1,_xll.TR(DA$7,DA$6,"Sdate=#1 Period=#2 NULL=BLANK Scale=6",,$D33,$AQ$4),DA33)</f>
        <v>946.82500000000005</v>
      </c>
      <c r="DB33" s="1516" cm="1">
        <f t="array" aca="1" ref="DB33" ca="1">IF(SwitchPA=1,_xll.TR(DB$7,DB$6,"Sdate=#1 Period=#2 NULL=BLANK Scale=6",,$D33,$AQ$4),DB33)</f>
        <v>5006.75</v>
      </c>
      <c r="DC33" s="1516" cm="1">
        <f t="array" aca="1" ref="DC33" ca="1">IF(SwitchPA=1,_xll.TR(DC$7,DC$6,"Sdate=#1 Period=#2 NULL=BLANK Scale=6",,$D33,$AQ$4),DC33)</f>
        <v>3774.25</v>
      </c>
      <c r="DD33" s="1516" cm="1">
        <f t="array" aca="1" ref="DD33" ca="1">IF(SwitchPA=1,_xll.TR(DD$7,DD$6,"Sdate=#1 Period=#2 NULL=BLANK Scale=6",,$D33,$AQ$4),DD33)</f>
        <v>8575.75</v>
      </c>
      <c r="DE33" s="1516" cm="1">
        <f t="array" aca="1" ref="DE33" ca="1">IF(SwitchPA=1,_xll.TR(DE$7,DE$6,"Sdate=#1 Period=#2 NULL=BLANK Scale=6",,$D33,$AQ$4),DE33)</f>
        <v>1260.5165</v>
      </c>
      <c r="DF33" s="1516" cm="1">
        <f t="array" aca="1" ref="DF33" ca="1">IF(SwitchPA=1,_xll.TR(DF$7,DF$6,"Sdate=#1 Period=#2 NULL=BLANK Scale=6",,$D33,$AQ$4),DF33)</f>
        <v>2392.75</v>
      </c>
      <c r="DG33" s="1516" cm="1">
        <f t="array" aca="1" ref="DG33" ca="1">IF(SwitchPA=1,_xll.TR(DG$7,DG$6,"Sdate=#1 Period=#2 NULL=BLANK Scale=6",,$D33,$AQ$4),DG33)</f>
        <v>608.95000000000005</v>
      </c>
      <c r="DH33" s="1516" t="str" cm="1">
        <f t="array" aca="1" ref="DH33" ca="1">IF(SwitchPA=1,_xll.TR(DH$7,DH$6,"Sdate=#1 Period=#2 NULL=BLANK Scale=6",,$D33,$AQ$4),DH33)</f>
        <v/>
      </c>
      <c r="DI33" s="1516" cm="1">
        <f t="array" aca="1" ref="DI33" ca="1">IF(SwitchPA=1,_xll.TR(DI$7,DI$6,"Sdate=#1 Period=#2 NULL=BLANK Scale=6",,$D33,$AQ$4),DI33)</f>
        <v>1191.7249999999999</v>
      </c>
      <c r="DJ33" s="1516" cm="1">
        <f t="array" aca="1" ref="DJ33" ca="1">IF(SwitchPA=1,_xll.TR(DJ$7,DJ$6,"Sdate=#1 Period=#2 NULL=BLANK Scale=6",,$D33,$AQ$4),DJ33)</f>
        <v>2828.25</v>
      </c>
      <c r="DK33" s="1516" cm="1">
        <f t="array" aca="1" ref="DK33" ca="1">IF(SwitchPA=1,_xll.TR(DK$7,DK$6,"Sdate=#1 Period=#2 NULL=BLANK Scale=6",,$D33,$AQ$4),DK33)</f>
        <v>5051.25</v>
      </c>
      <c r="DL33" s="1516" t="str" cm="1">
        <f t="array" aca="1" ref="DL33" ca="1">IF(SwitchPA=1,_xll.TR(DL$7,DL$6,"Sdate=#1 Period=#2 NULL=BLANK Scale=6",,$D33,$AQ$4),DL33)</f>
        <v>Unable to resolve all requested identifiers.</v>
      </c>
      <c r="DM33" s="1516" t="str" cm="1">
        <f t="array" aca="1" ref="DM33" ca="1">IF(SwitchPA=1,_xll.TR(DM$7,DM$6,"Sdate=#1 Period=#2 NULL=BLANK Scale=6",,$D33,$AQ$4),DM33)</f>
        <v>Unable to resolve all requested identifiers.</v>
      </c>
      <c r="DO33" s="1506" cm="1">
        <f t="array" aca="1" ref="DO33" ca="1">IF(SwitchPA=1,_xll.TR(DO$7,DO$6,"Sdate=#1 Period=#2 Scale=6 NULL=BLANK",,$D33,$X$4),DO33)</f>
        <v>15677.15299552</v>
      </c>
      <c r="DP33" s="1506" cm="1">
        <f t="array" aca="1" ref="DP33" ca="1">IF(SwitchPA=1,_xll.TR(DP$7,DP$6,"Sdate=#1 Period=#2 Scale=6 NULL=BLANK",,$D33,$X$4),DP33)</f>
        <v>11036.61442104</v>
      </c>
      <c r="DQ33" s="1506" cm="1">
        <f t="array" aca="1" ref="DQ33" ca="1">IF(SwitchPA=1,_xll.TR(DQ$7,DQ$6,"Sdate=#1 Period=#2 Scale=6 NULL=BLANK",,$D33,$X$4),DQ33)</f>
        <v>91024.351275499997</v>
      </c>
      <c r="DR33" s="1506" t="str" cm="1">
        <f t="array" aca="1" ref="DR33" ca="1">IF(SwitchPA=1,_xll.TR(DR$7,DR$6,"Sdate=#1 Period=#2 Scale=6 NULL=BLANK",,$D33,$X$4),DR33)</f>
        <v/>
      </c>
      <c r="DS33" s="1506" cm="1">
        <f t="array" aca="1" ref="DS33" ca="1">IF(SwitchPA=1,_xll.TR(DS$7,DS$6,"Sdate=#1 Period=#2 Scale=6 NULL=BLANK",,$D33,$X$4),DS33)</f>
        <v>47052.048445569999</v>
      </c>
      <c r="DT33" s="1506" cm="1">
        <f t="array" aca="1" ref="DT33" ca="1">IF(SwitchPA=1,_xll.TR(DT$7,DT$6,"Sdate=#1 Period=#2 Scale=6 NULL=BLANK",,$D33,$X$4),DT33)</f>
        <v>2533.6847596500002</v>
      </c>
      <c r="DU33" s="1506" cm="1">
        <f t="array" aca="1" ref="DU33" ca="1">IF(SwitchPA=1,_xll.TR(DU$7,DU$6,"Sdate=#1 Period=#2 Scale=6 NULL=BLANK",,$D33,$X$4),DU33)</f>
        <v>13373.9</v>
      </c>
      <c r="DV33" s="1506" cm="1">
        <f t="array" aca="1" ref="DV33" ca="1">IF(SwitchPA=1,_xll.TR(DV$7,DV$6,"Sdate=#1 Period=#2 Scale=6 NULL=BLANK",,$D33,$X$4),DV33)</f>
        <v>9606.1455311999998</v>
      </c>
      <c r="DW33" s="1506" cm="1">
        <f t="array" aca="1" ref="DW33" ca="1">IF(SwitchPA=1,_xll.TR(DW$7,DW$6,"Sdate=#1 Period=#2 Scale=6 NULL=BLANK",,$D33,$X$4),DW33)</f>
        <v>108897.36621363999</v>
      </c>
      <c r="DX33" s="1506" cm="1">
        <f t="array" aca="1" ref="DX33" ca="1">IF(SwitchPA=1,_xll.TR(DX$7,DX$6,"Sdate=#1 Period=#2 Scale=6 NULL=BLANK",,$D33,$X$4),DX33)</f>
        <v>6652.3671195500001</v>
      </c>
      <c r="DY33" s="1506" cm="1">
        <f t="array" aca="1" ref="DY33" ca="1">IF(SwitchPA=1,_xll.TR(DY$7,DY$6,"Sdate=#1 Period=#2 Scale=6 NULL=BLANK",,$D33,$X$4),DY33)</f>
        <v>10855.783536680001</v>
      </c>
      <c r="DZ33" s="1506" cm="1">
        <f t="array" aca="1" ref="DZ33" ca="1">IF(SwitchPA=1,_xll.TR(DZ$7,DZ$6,"Sdate=#1 Period=#2 Scale=6 NULL=BLANK",,$D33,$X$4),DZ33)</f>
        <v>4285.0725819500003</v>
      </c>
      <c r="EA33" s="1506" t="str" cm="1">
        <f t="array" aca="1" ref="EA33" ca="1">IF(SwitchPA=1,_xll.TR(EA$7,EA$6,"Sdate=#1 Period=#2 Scale=6 NULL=BLANK",,$D33,$X$4),EA33)</f>
        <v/>
      </c>
      <c r="EB33" s="1506" cm="1">
        <f t="array" aca="1" ref="EB33" ca="1">IF(SwitchPA=1,_xll.TR(EB$7,EB$6,"Sdate=#1 Period=#2 Scale=6 NULL=BLANK",,$D33,$X$4),EB33)</f>
        <v>10158.769289280001</v>
      </c>
      <c r="EC33" s="1506" cm="1">
        <f t="array" aca="1" ref="EC33" ca="1">IF(SwitchPA=1,_xll.TR(EC$7,EC$6,"Sdate=#1 Period=#2 Scale=6 NULL=BLANK",,$D33,$X$4),EC33)</f>
        <v>32606.604196609998</v>
      </c>
      <c r="ED33" s="1506" cm="1">
        <f t="array" aca="1" ref="ED33" ca="1">IF(SwitchPA=1,_xll.TR(ED$7,ED$6,"Sdate=#1 Period=#2 Scale=6 NULL=BLANK",,$D33,$X$4),ED33)</f>
        <v>12507.940492</v>
      </c>
      <c r="EE33" s="1506" t="str" cm="1">
        <f t="array" aca="1" ref="EE33" ca="1">IF(SwitchPA=1,_xll.TR(EE$7,EE$6,"Sdate=#1 Period=#2 Scale=6 NULL=BLANK",,$D33,$X$4),EE33)</f>
        <v/>
      </c>
      <c r="EF33" s="1506" t="str" cm="1">
        <f t="array" aca="1" ref="EF33" ca="1">IF(SwitchPA=1,_xll.TR(EF$7,EF$6,"Sdate=#1 Period=#2 Scale=6 NULL=BLANK",,$D33,$X$4),EF33)</f>
        <v/>
      </c>
      <c r="EG33" s="1517"/>
      <c r="EH33" s="1506" cm="1">
        <f t="array" aca="1" ref="EH33" ca="1">IF(SwitchPA=1,_xll.TR(EH$7,EH$6,"Sdate=#1 Period=#2 Scale=6 NULL=BLANK",,$D33,$X$4),EH33)</f>
        <v>1582</v>
      </c>
      <c r="EI33" s="1506" cm="1">
        <f t="array" aca="1" ref="EI33" ca="1">IF(SwitchPA=1,_xll.TR(EI$7,EI$6,"Sdate=#1 Period=#2 Scale=6 NULL=BLANK",,$D33,$X$4),EI33)</f>
        <v>752</v>
      </c>
      <c r="EJ33" s="1506" cm="1">
        <f t="array" aca="1" ref="EJ33" ca="1">IF(SwitchPA=1,_xll.TR(EJ$7,EJ$6,"Sdate=#1 Period=#2 Scale=6 NULL=BLANK",,$D33,$X$4),EJ33)</f>
        <v>7166</v>
      </c>
      <c r="EK33" s="1506" t="str" cm="1">
        <f t="array" aca="1" ref="EK33" ca="1">IF(SwitchPA=1,_xll.TR(EK$7,EK$6,"Sdate=#1 Period=#2 Scale=6 NULL=BLANK",,$D33,$X$4),EK33)</f>
        <v/>
      </c>
      <c r="EL33" s="1506" cm="1">
        <f t="array" aca="1" ref="EL33" ca="1">IF(SwitchPA=1,_xll.TR(EL$7,EL$6,"Sdate=#1 Period=#2 Scale=6 NULL=BLANK",,$D33,$X$4),EL33)</f>
        <v>5740</v>
      </c>
      <c r="EM33" s="1506" cm="1">
        <f t="array" aca="1" ref="EM33" ca="1">IF(SwitchPA=1,_xll.TR(EM$7,EM$6,"Sdate=#1 Period=#2 Scale=6 NULL=BLANK",,$D33,$X$4),EM33)</f>
        <v>222.6</v>
      </c>
      <c r="EN33" s="1506" cm="1">
        <f t="array" aca="1" ref="EN33" ca="1">IF(SwitchPA=1,_xll.TR(EN$7,EN$6,"Sdate=#1 Period=#2 Scale=6 NULL=BLANK",,$D33,$X$4),EN33)</f>
        <v>1152</v>
      </c>
      <c r="EO33" s="1506" cm="1">
        <f t="array" aca="1" ref="EO33" ca="1">IF(SwitchPA=1,_xll.TR(EO$7,EO$6,"Sdate=#1 Period=#2 Scale=6 NULL=BLANK",,$D33,$X$4),EO33)</f>
        <v>821</v>
      </c>
      <c r="EP33" s="1506" cm="1">
        <f t="array" aca="1" ref="EP33" ca="1">IF(SwitchPA=1,_xll.TR(EP$7,EP$6,"Sdate=#1 Period=#2 Scale=6 NULL=BLANK",,$D33,$X$4),EP33)</f>
        <v>7145</v>
      </c>
      <c r="EQ33" s="1506" cm="1">
        <f t="array" aca="1" ref="EQ33" ca="1">IF(SwitchPA=1,_xll.TR(EQ$7,EQ$6,"Sdate=#1 Period=#2 Scale=6 NULL=BLANK",,$D33,$X$4),EQ33)</f>
        <v>327.40300000000002</v>
      </c>
      <c r="ER33" s="1506" cm="1">
        <f t="array" aca="1" ref="ER33" ca="1">IF(SwitchPA=1,_xll.TR(ER$7,ER$6,"Sdate=#1 Period=#2 Scale=6 NULL=BLANK",,$D33,$X$4),ER33)</f>
        <v>306</v>
      </c>
      <c r="ES33" s="1506" cm="1">
        <f t="array" aca="1" ref="ES33" ca="1">IF(SwitchPA=1,_xll.TR(ES$7,ES$6,"Sdate=#1 Period=#2 Scale=6 NULL=BLANK",,$D33,$X$4),ES33)</f>
        <v>311.3</v>
      </c>
      <c r="ET33" s="1506" t="str" cm="1">
        <f t="array" aca="1" ref="ET33" ca="1">IF(SwitchPA=1,_xll.TR(ET$7,ET$6,"Sdate=#1 Period=#2 Scale=6 NULL=BLANK",,$D33,$X$4),ET33)</f>
        <v/>
      </c>
      <c r="EU33" s="1506" cm="1">
        <f t="array" aca="1" ref="EU33" ca="1">IF(SwitchPA=1,_xll.TR(EU$7,EU$6,"Sdate=#1 Period=#2 Scale=6 NULL=BLANK",,$D33,$X$4),EU33)</f>
        <v>552.1</v>
      </c>
      <c r="EV33" s="1506" cm="1">
        <f t="array" aca="1" ref="EV33" ca="1">IF(SwitchPA=1,_xll.TR(EV$7,EV$6,"Sdate=#1 Period=#2 Scale=6 NULL=BLANK",,$D33,$X$4),EV33)</f>
        <v>1497</v>
      </c>
      <c r="EW33" s="1506" cm="1">
        <f t="array" aca="1" ref="EW33" ca="1">IF(SwitchPA=1,_xll.TR(EW$7,EW$6,"Sdate=#1 Period=#2 Scale=6 NULL=BLANK",,$D33,$X$4),EW33)</f>
        <v>962</v>
      </c>
      <c r="EX33" s="1506" t="str" cm="1">
        <f t="array" aca="1" ref="EX33" ca="1">IF(SwitchPA=1,_xll.TR(EX$7,EX$6,"Sdate=#1 Period=#2 Scale=6 NULL=BLANK",,$D33,$X$4),EX33)</f>
        <v>Unable to resolve all requested identifiers.</v>
      </c>
      <c r="EY33" s="1506" t="str" cm="1">
        <f t="array" aca="1" ref="EY33" ca="1">IF(SwitchPA=1,_xll.TR(EY$7,EY$6,"Sdate=#1 Period=#2 Scale=6 NULL=BLANK",,$D33,$X$4),EY33)</f>
        <v>Unable to resolve all requested identifiers.</v>
      </c>
      <c r="FA33" s="1506" cm="1">
        <f t="array" aca="1" ref="FA33" ca="1">IF(SwitchPA=1,_xll.TR(FA$7,FA$6,"Sdate=#1 Period=#2 Scale=6 NULL=BLANK",,$D33,$X$4),FA33)</f>
        <v>2032</v>
      </c>
      <c r="FB33" s="1506" cm="1">
        <f t="array" aca="1" ref="FB33" ca="1">IF(SwitchPA=1,_xll.TR(FB$7,FB$6,"Sdate=#1 Period=#2 Scale=6 NULL=BLANK",,$D33,$X$4),FB33)</f>
        <v>1050</v>
      </c>
      <c r="FC33" s="1506" cm="1">
        <f t="array" aca="1" ref="FC33" ca="1">IF(SwitchPA=1,_xll.TR(FC$7,FC$6,"Sdate=#1 Period=#2 Scale=6 NULL=BLANK",,$D33,$X$4),FC33)</f>
        <v>10520</v>
      </c>
      <c r="FD33" s="1506" t="str" cm="1">
        <f t="array" aca="1" ref="FD33" ca="1">IF(SwitchPA=1,_xll.TR(FD$7,FD$6,"Sdate=#1 Period=#2 Scale=6 NULL=BLANK",,$D33,$X$4),FD33)</f>
        <v/>
      </c>
      <c r="FE33" s="1506" cm="1">
        <f t="array" aca="1" ref="FE33" ca="1">IF(SwitchPA=1,_xll.TR(FE$7,FE$6,"Sdate=#1 Period=#2 Scale=6 NULL=BLANK",,$D33,$X$4),FE33)</f>
        <v>6759</v>
      </c>
      <c r="FF33" s="1506" cm="1">
        <f t="array" aca="1" ref="FF33" ca="1">IF(SwitchPA=1,_xll.TR(FF$7,FF$6,"Sdate=#1 Period=#2 Scale=6 NULL=BLANK",,$D33,$X$4),FF33)</f>
        <v>361.7</v>
      </c>
      <c r="FG33" s="1506" cm="1">
        <f t="array" aca="1" ref="FG33" ca="1">IF(SwitchPA=1,_xll.TR(FG$7,FG$6,"Sdate=#1 Period=#2 Scale=6 NULL=BLANK",,$D33,$X$4),FG33)</f>
        <v>1791</v>
      </c>
      <c r="FH33" s="1506" cm="1">
        <f t="array" aca="1" ref="FH33" ca="1">IF(SwitchPA=1,_xll.TR(FH$7,FH$6,"Sdate=#1 Period=#2 Scale=6 NULL=BLANK",,$D33,$X$4),FH33)</f>
        <v>1278</v>
      </c>
      <c r="FI33" s="1506" cm="1">
        <f t="array" aca="1" ref="FI33" ca="1">IF(SwitchPA=1,_xll.TR(FI$7,FI$6,"Sdate=#1 Period=#2 Scale=6 NULL=BLANK",,$D33,$X$4),FI33)</f>
        <v>8553</v>
      </c>
      <c r="FJ33" s="1506" cm="1">
        <f t="array" aca="1" ref="FJ33" ca="1">IF(SwitchPA=1,_xll.TR(FJ$7,FJ$6,"Sdate=#1 Period=#2 Scale=6 NULL=BLANK",,$D33,$X$4),FJ33)</f>
        <v>431.00299999999999</v>
      </c>
      <c r="FK33" s="1506" cm="1">
        <f t="array" aca="1" ref="FK33" ca="1">IF(SwitchPA=1,_xll.TR(FK$7,FK$6,"Sdate=#1 Period=#2 Scale=6 NULL=BLANK",,$D33,$X$4),FK33)</f>
        <v>679</v>
      </c>
      <c r="FL33" s="1506" cm="1">
        <f t="array" aca="1" ref="FL33" ca="1">IF(SwitchPA=1,_xll.TR(FL$7,FL$6,"Sdate=#1 Period=#2 Scale=6 NULL=BLANK",,$D33,$X$4),FL33)</f>
        <v>435.2</v>
      </c>
      <c r="FM33" s="1506" t="str" cm="1">
        <f t="array" aca="1" ref="FM33" ca="1">IF(SwitchPA=1,_xll.TR(FM$7,FM$6,"Sdate=#1 Period=#2 Scale=6 NULL=BLANK",,$D33,$X$4),FM33)</f>
        <v/>
      </c>
      <c r="FN33" s="1506" cm="1">
        <f t="array" aca="1" ref="FN33" ca="1">IF(SwitchPA=1,_xll.TR(FN$7,FN$6,"Sdate=#1 Period=#2 Scale=6 NULL=BLANK",,$D33,$X$4),FN33)</f>
        <v>681.9</v>
      </c>
      <c r="FO33" s="1506" cm="1">
        <f t="array" aca="1" ref="FO33" ca="1">IF(SwitchPA=1,_xll.TR(FO$7,FO$6,"Sdate=#1 Period=#2 Scale=6 NULL=BLANK",,$D33,$X$4),FO33)</f>
        <v>1973</v>
      </c>
      <c r="FP33" s="1506" cm="1">
        <f t="array" aca="1" ref="FP33" ca="1">IF(SwitchPA=1,_xll.TR(FP$7,FP$6,"Sdate=#1 Period=#2 Scale=6 NULL=BLANK",,$D33,$X$4),FP33)</f>
        <v>2351</v>
      </c>
      <c r="FQ33" s="1506" t="str" cm="1">
        <f t="array" aca="1" ref="FQ33" ca="1">IF(SwitchPA=1,_xll.TR(FQ$7,FQ$6,"Sdate=#1 Period=#2 Scale=6 NULL=BLANK",,$D33,$X$4),FQ33)</f>
        <v>Unable to resolve all requested identifiers.</v>
      </c>
      <c r="FS33" s="1506" cm="1">
        <f t="array" aca="1" ref="FS33" ca="1">IF(SwitchPA=1,_xll.TR(FS$7,FS$6,"Sdate=#1 Period=#2 NULL=BLANK Scale=6",,$D33,$FS$4),FS33)</f>
        <v>840</v>
      </c>
      <c r="FT33" s="1506" cm="1">
        <f t="array" aca="1" ref="FT33" ca="1">IF(SwitchPA=1,_xll.TR(FT$7,FT$6,"Sdate=#1 Period=#2 NULL=BLANK Scale=6",,$D33,$FS$4),FT33)</f>
        <v>284</v>
      </c>
      <c r="FU33" s="1506" cm="1">
        <f t="array" aca="1" ref="FU33" ca="1">IF(SwitchPA=1,_xll.TR(FU$7,FU$6,"Sdate=#1 Period=#2 NULL=BLANK Scale=6",,$D33,$FS$4),FU33)</f>
        <v>1629</v>
      </c>
      <c r="FV33" s="1506" t="str" cm="1">
        <f t="array" aca="1" ref="FV33" ca="1">IF(SwitchPA=1,_xll.TR(FV$7,FV$6,"Sdate=#1 Period=#2 NULL=BLANK Scale=6",,$D33,$FS$4),FV33)</f>
        <v/>
      </c>
      <c r="FW33" s="1506" cm="1">
        <f t="array" aca="1" ref="FW33" ca="1">IF(SwitchPA=1,_xll.TR(FW$7,FW$6,"Sdate=#1 Period=#2 NULL=BLANK Scale=6",,$D33,$FS$4),FW33)</f>
        <v>4549</v>
      </c>
      <c r="FX33" s="1506" cm="1">
        <f t="array" aca="1" ref="FX33" ca="1">IF(SwitchPA=1,_xll.TR(FX$7,FX$6,"Sdate=#1 Period=#2 NULL=BLANK Scale=6",,$D33,$FS$4),FX33)</f>
        <v>87.4</v>
      </c>
      <c r="FY33" s="1506" cm="1">
        <f t="array" aca="1" ref="FY33" ca="1">IF(SwitchPA=1,_xll.TR(FY$7,FY$6,"Sdate=#1 Period=#2 NULL=BLANK Scale=6",,$D33,$FS$4),FY33)</f>
        <v>-282</v>
      </c>
      <c r="FZ33" s="1506" cm="1">
        <f t="array" aca="1" ref="FZ33" ca="1">IF(SwitchPA=1,_xll.TR(FZ$7,FZ$6,"Sdate=#1 Period=#2 NULL=BLANK Scale=6",,$D33,$FS$4),FZ33)</f>
        <v>137</v>
      </c>
      <c r="GA33" s="1506" cm="1">
        <f t="array" aca="1" ref="GA33" ca="1">IF(SwitchPA=1,_xll.TR(GA$7,GA$6,"Sdate=#1 Period=#2 NULL=BLANK Scale=6",,$D33,$FS$4),GA33)</f>
        <v>5133</v>
      </c>
      <c r="GB33" s="1506" cm="1">
        <f t="array" aca="1" ref="GB33" ca="1">IF(SwitchPA=1,_xll.TR(GB$7,GB$6,"Sdate=#1 Period=#2 NULL=BLANK Scale=6",,$D33,$FS$4),GB33)</f>
        <v>382.03300000000002</v>
      </c>
      <c r="GC33" s="1506" cm="1">
        <f t="array" aca="1" ref="GC33" ca="1">IF(SwitchPA=1,_xll.TR(GC$7,GC$6,"Sdate=#1 Period=#2 NULL=BLANK Scale=6",,$D33,$FS$4),GC33)</f>
        <v>338</v>
      </c>
      <c r="GD33" s="1506" cm="1">
        <f t="array" aca="1" ref="GD33" ca="1">IF(SwitchPA=1,_xll.TR(GD$7,GD$6,"Sdate=#1 Period=#2 NULL=BLANK Scale=6",,$D33,$FS$4),GD33)</f>
        <v>115.6</v>
      </c>
      <c r="GE33" s="1506" t="str" cm="1">
        <f t="array" aca="1" ref="GE33" ca="1">IF(SwitchPA=1,_xll.TR(GE$7,GE$6,"Sdate=#1 Period=#2 NULL=BLANK Scale=6",,$D33,$FS$4),GE33)</f>
        <v/>
      </c>
      <c r="GF33" s="1506" cm="1">
        <f t="array" aca="1" ref="GF33" ca="1">IF(SwitchPA=1,_xll.TR(GF$7,GF$6,"Sdate=#1 Period=#2 NULL=BLANK Scale=6",,$D33,$FS$4),GF33)</f>
        <v>149</v>
      </c>
      <c r="GG33" s="1506" cm="1">
        <f t="array" aca="1" ref="GG33" ca="1">IF(SwitchPA=1,_xll.TR(GG$7,GG$6,"Sdate=#1 Period=#2 NULL=BLANK Scale=6",,$D33,$FS$4),GG33)</f>
        <v>941</v>
      </c>
      <c r="GH33" s="1506" cm="1">
        <f t="array" aca="1" ref="GH33" ca="1">IF(SwitchPA=1,_xll.TR(GH$7,GH$6,"Sdate=#1 Period=#2 NULL=BLANK Scale=6",,$D33,$FS$4),GH33)</f>
        <v>292</v>
      </c>
      <c r="GI33" s="1506" t="str" cm="1">
        <f t="array" aca="1" ref="GI33" ca="1">IF(SwitchPA=1,_xll.TR(GI$7,GI$6,"Sdate=#1 Period=#2 NULL=BLANK Scale=6",,$D33,$FS$4),GI33)</f>
        <v>Unable to resolve and collect data for all requested identifiers and fields.</v>
      </c>
      <c r="GK33" s="1506" t="str" cm="1">
        <f t="array" aca="1" ref="GK33" ca="1">IF(SwitchPA=1,_xll.TR(GK$7,GK$6,"Sdate=#1 Period=#2 NULL=BLANK Scale=6",,$D33,$FS$4),GK33)</f>
        <v/>
      </c>
      <c r="GL33" s="1506" t="str" cm="1">
        <f t="array" aca="1" ref="GL33" ca="1">IF(SwitchPA=1,_xll.TR(GL$7,GL$6,"Sdate=#1 Period=#2 NULL=BLANK Scale=6",,$D33,$FS$4),GL33)</f>
        <v/>
      </c>
      <c r="GM33" s="1506" t="str" cm="1">
        <f t="array" aca="1" ref="GM33" ca="1">IF(SwitchPA=1,_xll.TR(GM$7,GM$6,"Sdate=#1 Period=#2 NULL=BLANK Scale=6",,$D33,$FS$4),GM33)</f>
        <v/>
      </c>
      <c r="GN33" s="1506" t="str" cm="1">
        <f t="array" aca="1" ref="GN33" ca="1">IF(SwitchPA=1,_xll.TR(GN$7,GN$6,"Sdate=#1 Period=#2 NULL=BLANK Scale=6",,$D33,$FS$4),GN33)</f>
        <v/>
      </c>
      <c r="GO33" s="1506" t="str" cm="1">
        <f t="array" aca="1" ref="GO33" ca="1">IF(SwitchPA=1,_xll.TR(GO$7,GO$6,"Sdate=#1 Period=#2 NULL=BLANK Scale=6",,$D33,$FS$4),GO33)</f>
        <v/>
      </c>
      <c r="GP33" s="1506" t="str" cm="1">
        <f t="array" aca="1" ref="GP33" ca="1">IF(SwitchPA=1,_xll.TR(GP$7,GP$6,"Sdate=#1 Period=#2 NULL=BLANK Scale=6",,$D33,$FS$4),GP33)</f>
        <v/>
      </c>
      <c r="GQ33" s="1506" t="str" cm="1">
        <f t="array" aca="1" ref="GQ33" ca="1">IF(SwitchPA=1,_xll.TR(GQ$7,GQ$6,"Sdate=#1 Period=#2 NULL=BLANK Scale=6",,$D33,$FS$4),GQ33)</f>
        <v/>
      </c>
      <c r="GR33" s="1506" t="str" cm="1">
        <f t="array" aca="1" ref="GR33" ca="1">IF(SwitchPA=1,_xll.TR(GR$7,GR$6,"Sdate=#1 Period=#2 NULL=BLANK Scale=6",,$D33,$FS$4),GR33)</f>
        <v/>
      </c>
      <c r="GS33" s="1506" t="str" cm="1">
        <f t="array" aca="1" ref="GS33" ca="1">IF(SwitchPA=1,_xll.TR(GS$7,GS$6,"Sdate=#1 Period=#2 NULL=BLANK Scale=6",,$D33,$FS$4),GS33)</f>
        <v/>
      </c>
      <c r="GT33" s="1506" t="str" cm="1">
        <f t="array" aca="1" ref="GT33" ca="1">IF(SwitchPA=1,_xll.TR(GT$7,GT$6,"Sdate=#1 Period=#2 NULL=BLANK Scale=6",,$D33,$FS$4),GT33)</f>
        <v/>
      </c>
      <c r="GU33" s="1506" t="str" cm="1">
        <f t="array" aca="1" ref="GU33" ca="1">IF(SwitchPA=1,_xll.TR(GU$7,GU$6,"Sdate=#1 Period=#2 NULL=BLANK Scale=6",,$D33,$FS$4),GU33)</f>
        <v/>
      </c>
      <c r="GV33" s="1506" t="str" cm="1">
        <f t="array" aca="1" ref="GV33" ca="1">IF(SwitchPA=1,_xll.TR(GV$7,GV$6,"Sdate=#1 Period=#2 NULL=BLANK Scale=6",,$D33,$FS$4),GV33)</f>
        <v/>
      </c>
      <c r="GW33" s="1506" t="str" cm="1">
        <f t="array" aca="1" ref="GW33" ca="1">IF(SwitchPA=1,_xll.TR(GW$7,GW$6,"Sdate=#1 Period=#2 NULL=BLANK Scale=6",,$D33,$FS$4),GW33)</f>
        <v/>
      </c>
      <c r="GX33" s="1506" t="str" cm="1">
        <f t="array" aca="1" ref="GX33" ca="1">IF(SwitchPA=1,_xll.TR(GX$7,GX$6,"Sdate=#1 Period=#2 NULL=BLANK Scale=6",,$D33,$FS$4),GX33)</f>
        <v/>
      </c>
      <c r="GY33" s="1506" t="str" cm="1">
        <f t="array" aca="1" ref="GY33" ca="1">IF(SwitchPA=1,_xll.TR(GY$7,GY$6,"Sdate=#1 Period=#2 NULL=BLANK Scale=6",,$D33,$FS$4),GY33)</f>
        <v/>
      </c>
      <c r="GZ33" s="1506" t="str" cm="1">
        <f t="array" aca="1" ref="GZ33" ca="1">IF(SwitchPA=1,_xll.TR(GZ$7,GZ$6,"Sdate=#1 Period=#2 NULL=BLANK Scale=6",,$D33,$FS$4),GZ33)</f>
        <v/>
      </c>
      <c r="HA33" s="1506" t="str" cm="1">
        <f t="array" aca="1" ref="HA33" ca="1">IF(SwitchPA=1,_xll.TR(HA$7,HA$6,"Sdate=#1 Period=#2 NULL=BLANK Scale=6",,$D33,$FS$4),HA33)</f>
        <v/>
      </c>
      <c r="HC33">
        <v>4.37</v>
      </c>
      <c r="HD33">
        <v>93.17</v>
      </c>
      <c r="HE33">
        <v>98.97</v>
      </c>
      <c r="HG33" s="762">
        <f t="shared" si="52"/>
        <v>0.17158176943699743</v>
      </c>
      <c r="HH33" s="762">
        <f t="shared" si="53"/>
        <v>-4.9091651357419885E-2</v>
      </c>
      <c r="HI33" s="762">
        <f t="shared" si="54"/>
        <v>-8.8338246131171694E-2</v>
      </c>
    </row>
    <row r="34" spans="3:217" ht="11.25" customHeight="1">
      <c r="C34" s="1514">
        <f t="shared" si="51"/>
        <v>42369</v>
      </c>
      <c r="D34" s="1515">
        <f t="shared" si="49"/>
        <v>42414</v>
      </c>
      <c r="E34" s="1506" cm="1">
        <f t="array" aca="1" ref="E34" ca="1">IF(SwitchPA=1,_xll.TR(E$7,E$6,"Sdate=#1 Period=#2 NULL=BLANK",,$D34,$E$4),E34)</f>
        <v>7.1603280818444901</v>
      </c>
      <c r="F34" s="1506" cm="1">
        <f t="array" aca="1" ref="F34" ca="1">IF(SwitchPA=1,_xll.TR(F$7,F$6,"Sdate=#1 Period=#2 NULL=BLANK",,$D34,$E$4),F34)</f>
        <v>7.0129921563583997</v>
      </c>
      <c r="G34" s="1506" cm="1">
        <f t="array" aca="1" ref="G34" ca="1">IF(SwitchPA=1,_xll.TR(G$7,G$6,"Sdate=#1 Period=#2 NULL=BLANK",,$D34,$E$4),G34)</f>
        <v>6.4782044515291197</v>
      </c>
      <c r="H34" s="1506" t="str" cm="1">
        <f t="array" aca="1" ref="H34" ca="1">IF(SwitchPA=1,_xll.TR(H$7,H$6,"Sdate=#1 Period=#2 NULL=BLANK",,$D34,$E$4),H34)</f>
        <v/>
      </c>
      <c r="I34" s="1506" cm="1">
        <f t="array" aca="1" ref="I34" ca="1">IF(SwitchPA=1,_xll.TR(I$7,I$6,"Sdate=#1 Period=#2 NULL=BLANK",,$D34,$E$4),I34)</f>
        <v>5.6172360568669797</v>
      </c>
      <c r="J34" s="1506" cm="1">
        <f t="array" aca="1" ref="J34" ca="1">IF(SwitchPA=1,_xll.TR(J$7,J$6,"Sdate=#1 Period=#2 NULL=BLANK",,$D34,$E$4),J34)</f>
        <v>2.5894022172678999</v>
      </c>
      <c r="K34" s="1506" cm="1">
        <f t="array" aca="1" ref="K34" ca="1">IF(SwitchPA=1,_xll.TR(K$7,K$6,"Sdate=#1 Period=#2 NULL=BLANK",,$D34,$E$4),K34)</f>
        <v>4.59431495478107</v>
      </c>
      <c r="L34" s="1506" cm="1">
        <f t="array" aca="1" ref="L34" ca="1">IF(SwitchPA=1,_xll.TR(L$7,L$6,"Sdate=#1 Period=#2 NULL=BLANK",,$D34,$E$4),L34)</f>
        <v>5.4312746393979303</v>
      </c>
      <c r="M34" s="1506" cm="1">
        <f t="array" aca="1" ref="M34" ca="1">IF(SwitchPA=1,_xll.TR(M$7,M$6,"Sdate=#1 Period=#2 NULL=BLANK",,$D34,$E$4),M34)</f>
        <v>11.5003979220114</v>
      </c>
      <c r="N34" s="1506" cm="1">
        <f t="array" aca="1" ref="N34" ca="1">IF(SwitchPA=1,_xll.TR(N$7,N$6,"Sdate=#1 Period=#2 NULL=BLANK",,$D34,$E$4),N34)</f>
        <v>9.7938740692853603</v>
      </c>
      <c r="O34" s="1506" cm="1">
        <f t="array" aca="1" ref="O34" ca="1">IF(SwitchPA=1,_xll.TR(O$7,O$6,"Sdate=#1 Period=#2 NULL=BLANK",,$D34,$E$4),O34)</f>
        <v>7.8397966047338299</v>
      </c>
      <c r="P34" s="1506" cm="1">
        <f t="array" aca="1" ref="P34" ca="1">IF(SwitchPA=1,_xll.TR(P$7,P$6,"Sdate=#1 Period=#2 NULL=BLANK",,$D34,$E$4),P34)</f>
        <v>6.8175579805070798</v>
      </c>
      <c r="Q34" s="1506" t="str" cm="1">
        <f t="array" aca="1" ref="Q34" ca="1">IF(SwitchPA=1,_xll.TR(Q$7,Q$6,"Sdate=#1 Period=#2 NULL=BLANK",,$D34,$E$4),Q34)</f>
        <v/>
      </c>
      <c r="R34" s="1506" cm="1">
        <f t="array" aca="1" ref="R34" ca="1">IF(SwitchPA=1,_xll.TR(R$7,R$6,"Sdate=#1 Period=#2 NULL=BLANK",,$D34,$E$4),R34)</f>
        <v>9.2712639671836392</v>
      </c>
      <c r="S34" s="1506" cm="1">
        <f t="array" aca="1" ref="S34" ca="1">IF(SwitchPA=1,_xll.TR(S$7,S$6,"Sdate=#1 Period=#2 NULL=BLANK",,$D34,$E$4),S34)</f>
        <v>9.6202688618295191</v>
      </c>
      <c r="T34" s="1506" cm="1">
        <f t="array" aca="1" ref="T34" ca="1">IF(SwitchPA=1,_xll.TR(T$7,T$6,"Sdate=#1 Period=#2 NULL=BLANK",,$D34,$E$4),T34)</f>
        <v>4.2105512875408202</v>
      </c>
      <c r="U34" s="1506" t="str" cm="1">
        <f t="array" aca="1" ref="U34" ca="1">IF(SwitchPA=1,_xll.TR(U$7,U$6,"Sdate=#1 Period=#2 NULL=BLANK",,$D34,$E$4),U34)</f>
        <v>No universe defined.</v>
      </c>
      <c r="V34" s="1506" t="str" cm="1">
        <f t="array" aca="1" ref="V34" ca="1">IF(SwitchPA=1,_xll.TR(V$7,V$6,"Sdate=#1 Period=#2 NULL=BLANK",,$D34,$E$4),V34)</f>
        <v>No universe defined.</v>
      </c>
      <c r="W34" s="1521">
        <f t="shared" ca="1" si="55"/>
        <v>0.10529516865654975</v>
      </c>
      <c r="X34" s="1506" cm="1">
        <f t="array" aca="1" ref="X34" ca="1">IF(SwitchPA=1,_xll.TR(X$7,X$6,"Sdate=#1 Period=#2 NULL=BLANK",,$D34,$X$4),X34)</f>
        <v>6.9462050048602801</v>
      </c>
      <c r="Y34" s="1506" cm="1">
        <f t="array" aca="1" ref="Y34" ca="1">IF(SwitchPA=1,_xll.TR(Y$7,Y$6,"Sdate=#1 Period=#2 NULL=BLANK",,$D34,$X$4),Y34)</f>
        <v>7.11954088846218</v>
      </c>
      <c r="Z34" s="1506" cm="1">
        <f t="array" aca="1" ref="Z34" ca="1">IF(SwitchPA=1,_xll.TR(Z$7,Z$6,"Sdate=#1 Period=#2 NULL=BLANK",,$D34,$X$4),Z34)</f>
        <v>6.3779393814316796</v>
      </c>
      <c r="AA34" s="1506" t="str" cm="1">
        <f t="array" aca="1" ref="AA34" ca="1">IF(SwitchPA=1,_xll.TR(AA$7,AA$6,"Sdate=#1 Period=#2 NULL=BLANK",,$D34,$X$4),AA34)</f>
        <v/>
      </c>
      <c r="AB34" s="1506" cm="1">
        <f t="array" aca="1" ref="AB34" ca="1">IF(SwitchPA=1,_xll.TR(AB$7,AB$6,"Sdate=#1 Period=#2 NULL=BLANK",,$D34,$X$4),AB34)</f>
        <v>4.9060463925158802</v>
      </c>
      <c r="AC34" s="1506" cm="1">
        <f t="array" aca="1" ref="AC34" ca="1">IF(SwitchPA=1,_xll.TR(AC$7,AC$6,"Sdate=#1 Period=#2 NULL=BLANK",,$D34,$X$4),AC34)</f>
        <v>4.9553375955814296</v>
      </c>
      <c r="AD34" s="1506" cm="1">
        <f t="array" aca="1" ref="AD34" ca="1">IF(SwitchPA=1,_xll.TR(AD$7,AD$6,"Sdate=#1 Period=#2 NULL=BLANK",,$D34,$X$4),AD34)</f>
        <v>4.5771259440559504</v>
      </c>
      <c r="AE34" s="1506" cm="1">
        <f t="array" aca="1" ref="AE34" ca="1">IF(SwitchPA=1,_xll.TR(AE$7,AE$6,"Sdate=#1 Period=#2 NULL=BLANK",,$D34,$X$4),AE34)</f>
        <v>5.5330751384280799</v>
      </c>
      <c r="AF34" s="1506" cm="1">
        <f t="array" aca="1" ref="AF34" ca="1">IF(SwitchPA=1,_xll.TR(AF$7,AF$6,"Sdate=#1 Period=#2 NULL=BLANK",,$D34,$X$4),AF34)</f>
        <v>12.0966069802066</v>
      </c>
      <c r="AG34" s="1506" cm="1">
        <f t="array" aca="1" ref="AG34" ca="1">IF(SwitchPA=1,_xll.TR(AG$7,AG$6,"Sdate=#1 Period=#2 NULL=BLANK",,$D34,$X$4),AG34)</f>
        <v>10.0283686386322</v>
      </c>
      <c r="AH34" s="1506" cm="1">
        <f t="array" aca="1" ref="AH34" ca="1">IF(SwitchPA=1,_xll.TR(AH$7,AH$6,"Sdate=#1 Period=#2 NULL=BLANK",,$D34,$X$4),AH34)</f>
        <v>7.9474908992926201</v>
      </c>
      <c r="AI34" s="1506" cm="1">
        <f t="array" aca="1" ref="AI34" ca="1">IF(SwitchPA=1,_xll.TR(AI$7,AI$6,"Sdate=#1 Period=#2 NULL=BLANK",,$D34,$X$4),AI34)</f>
        <v>7.0696358216200901</v>
      </c>
      <c r="AJ34" s="1506" t="str" cm="1">
        <f t="array" aca="1" ref="AJ34" ca="1">IF(SwitchPA=1,_xll.TR(AJ$7,AJ$6,"Sdate=#1 Period=#2 NULL=BLANK",,$D34,$X$4),AJ34)</f>
        <v/>
      </c>
      <c r="AK34" s="1506" cm="1">
        <f t="array" aca="1" ref="AK34" ca="1">IF(SwitchPA=1,_xll.TR(AK$7,AK$6,"Sdate=#1 Period=#2 NULL=BLANK",,$D34,$X$4),AK34)</f>
        <v>10.2339483486862</v>
      </c>
      <c r="AL34" s="1506" cm="1">
        <f t="array" aca="1" ref="AL34" ca="1">IF(SwitchPA=1,_xll.TR(AL$7,AL$6,"Sdate=#1 Period=#2 NULL=BLANK",,$D34,$X$4),AL34)</f>
        <v>10.2686130435181</v>
      </c>
      <c r="AM34" s="1506" cm="1">
        <f t="array" aca="1" ref="AM34" ca="1">IF(SwitchPA=1,_xll.TR(AM$7,AM$6,"Sdate=#1 Period=#2 NULL=BLANK",,$D34,$X$4),AM34)</f>
        <v>4.8690015026431297</v>
      </c>
      <c r="AN34" s="1506" t="str" cm="1">
        <f t="array" aca="1" ref="AN34" ca="1">IF(SwitchPA=1,_xll.TR(AN$7,AN$6,"Sdate=#1 Period=#2 NULL=BLANK",,$D34,$X$4),AN34)</f>
        <v/>
      </c>
      <c r="AO34" s="1506" t="str" cm="1">
        <f t="array" aca="1" ref="AO34" ca="1">IF(SwitchPA=1,_xll.TR(AO$7,AO$6,"Sdate=#1 Period=#2 NULL=BLANK",,$D34,$X$4),AO34)</f>
        <v/>
      </c>
      <c r="AQ34" s="1506" cm="1">
        <f t="array" aca="1" ref="AQ34" ca="1">IF(SwitchPA=1,_xll.TR(AQ$7,AQ$6,"Sdate=#1 Period=#2 NULL=BLANK Scale=6",,$D34,$AQ$4),AQ34)</f>
        <v>10.6666666666667</v>
      </c>
      <c r="AR34" s="1506" cm="1">
        <f t="array" aca="1" ref="AR34" ca="1">IF(SwitchPA=1,_xll.TR(AR$7,AR$6,"Sdate=#1 Period=#2 NULL=BLANK Scale=6",,$D34,$AQ$4),AR34)</f>
        <v>15.908333333333299</v>
      </c>
      <c r="AS34" s="1506" cm="1">
        <f t="array" aca="1" ref="AS34" ca="1">IF(SwitchPA=1,_xll.TR(AS$7,AS$6,"Sdate=#1 Period=#2 NULL=BLANK Scale=6",,$D34,$AQ$4),AS34)</f>
        <v>10.81667</v>
      </c>
      <c r="AT34" s="1506" t="str" cm="1">
        <f t="array" aca="1" ref="AT34" ca="1">IF(SwitchPA=1,_xll.TR(AT$7,AT$6,"Sdate=#1 Period=#2 NULL=BLANK Scale=6",,$D34,$AQ$4),AT34)</f>
        <v/>
      </c>
      <c r="AU34" s="1506" cm="1">
        <f t="array" aca="1" ref="AU34" ca="1">IF(SwitchPA=1,_xll.TR(AU$7,AU$6,"Sdate=#1 Period=#2 NULL=BLANK Scale=6",,$D34,$AQ$4),AU34)</f>
        <v>29.216670000000001</v>
      </c>
      <c r="AV34" s="1506" t="str" cm="1">
        <f t="array" aca="1" ref="AV34" ca="1">IF(SwitchPA=1,_xll.TR(AV$7,AV$6,"Sdate=#1 Period=#2 NULL=BLANK Scale=6",,$D34,$AQ$4),AV34)</f>
        <v/>
      </c>
      <c r="AW34" s="1506" cm="1">
        <f t="array" aca="1" ref="AW34" ca="1">IF(SwitchPA=1,_xll.TR(AW$7,AW$6,"Sdate=#1 Period=#2 NULL=BLANK Scale=6",,$D34,$AQ$4),AW34)</f>
        <v>11.779166666666701</v>
      </c>
      <c r="AX34" s="1506" cm="1">
        <f t="array" aca="1" ref="AX34" ca="1">IF(SwitchPA=1,_xll.TR(AX$7,AX$6,"Sdate=#1 Period=#2 NULL=BLANK Scale=6",,$D34,$AQ$4),AX34)</f>
        <v>9.6333333333333293</v>
      </c>
      <c r="AY34" s="1506" cm="1">
        <f t="array" aca="1" ref="AY34" ca="1">IF(SwitchPA=1,_xll.TR(AY$7,AY$6,"Sdate=#1 Period=#2 NULL=BLANK Scale=6",,$D34,$AQ$4),AY34)</f>
        <v>21.504166666666698</v>
      </c>
      <c r="AZ34" s="1506" cm="1">
        <f t="array" aca="1" ref="AZ34" ca="1">IF(SwitchPA=1,_xll.TR(AZ$7,AZ$6,"Sdate=#1 Period=#2 NULL=BLANK Scale=6",,$D34,$AQ$4),AZ34)</f>
        <v>9.56666666666667</v>
      </c>
      <c r="BA34" s="1506" t="str" cm="1">
        <f t="array" aca="1" ref="BA34" ca="1">IF(SwitchPA=1,_xll.TR(BA$7,BA$6,"Sdate=#1 Period=#2 NULL=BLANK Scale=6",,$D34,$AQ$4),BA34)</f>
        <v/>
      </c>
      <c r="BB34" s="1506" t="str" cm="1">
        <f t="array" aca="1" ref="BB34" ca="1">IF(SwitchPA=1,_xll.TR(BB$7,BB$6,"Sdate=#1 Period=#2 NULL=BLANK Scale=6",,$D34,$AQ$4),BB34)</f>
        <v/>
      </c>
      <c r="BC34" s="1506" t="str" cm="1">
        <f t="array" aca="1" ref="BC34" ca="1">IF(SwitchPA=1,_xll.TR(BC$7,BC$6,"Sdate=#1 Period=#2 NULL=BLANK Scale=6",,$D34,$AQ$4),BC34)</f>
        <v/>
      </c>
      <c r="BD34" s="1506" cm="1">
        <f t="array" aca="1" ref="BD34" ca="1">IF(SwitchPA=1,_xll.TR(BD$7,BD$6,"Sdate=#1 Period=#2 NULL=BLANK Scale=6",,$D34,$AQ$4),BD34)</f>
        <v>7.5333333333333297</v>
      </c>
      <c r="BE34" s="1506" cm="1">
        <f t="array" aca="1" ref="BE34" ca="1">IF(SwitchPA=1,_xll.TR(BE$7,BE$6,"Sdate=#1 Period=#2 NULL=BLANK Scale=6",,$D34,$AQ$4),BE34)</f>
        <v>15.891666666666699</v>
      </c>
      <c r="BF34" s="1506" cm="1">
        <f t="array" aca="1" ref="BF34" ca="1">IF(SwitchPA=1,_xll.TR(BF$7,BF$6,"Sdate=#1 Period=#2 NULL=BLANK Scale=6",,$D34,$AQ$4),BF34)</f>
        <v>5.8968333333333298</v>
      </c>
      <c r="BG34" s="1506" t="str" cm="1">
        <f t="array" aca="1" ref="BG34" ca="1">IF(SwitchPA=1,_xll.TR(BG$7,BG$6,"Sdate=#1 Period=#2 NULL=BLANK Scale=6",,$D34,$AQ$4),BG34)</f>
        <v/>
      </c>
      <c r="BH34" s="1506" t="str" cm="1">
        <f t="array" aca="1" ref="BH34" ca="1">IF(SwitchPA=1,_xll.TR(BH$7,BH$6,"Sdate=#1 Period=#2 NULL=BLANK Scale=6",,$D34,$AQ$4),BH34)</f>
        <v/>
      </c>
      <c r="BJ34" s="1506" cm="1">
        <f t="array" aca="1" ref="BJ34" ca="1">IF(SwitchPA=1,_xll.TR(BJ$7,BJ$6,"Sdate=#1 Period=#2 NULL=BLANK Scale=6",,$D34,$BJ$4),BJ34)</f>
        <v>6.9636190349999998</v>
      </c>
      <c r="BK34" s="1506" cm="1">
        <f t="array" aca="1" ref="BK34" ca="1">IF(SwitchPA=1,_xll.TR(BK$7,BK$6,"Sdate=#1 Period=#2 NULL=BLANK Scale=6",,$D34,$BJ$4),BK34)</f>
        <v>10.396527631</v>
      </c>
      <c r="BL34" s="1506" cm="1">
        <f t="array" aca="1" ref="BL34" ca="1">IF(SwitchPA=1,_xll.TR(BL$7,BL$6,"Sdate=#1 Period=#2 NULL=BLANK Scale=6",,$D34,$BJ$4),BL34)</f>
        <v>6.3006528900000003</v>
      </c>
      <c r="BM34" s="1506" t="str" cm="1">
        <f t="array" aca="1" ref="BM34" ca="1">IF(SwitchPA=1,_xll.TR(BM$7,BM$6,"Sdate=#1 Period=#2 NULL=BLANK Scale=6",,$D34,$BJ$4),BM34)</f>
        <v/>
      </c>
      <c r="BN34" s="1506" cm="1">
        <f t="array" aca="1" ref="BN34" ca="1">IF(SwitchPA=1,_xll.TR(BN$7,BN$6,"Sdate=#1 Period=#2 NULL=BLANK Scale=6",,$D34,$BJ$4),BN34)</f>
        <v>5.3100558109999998</v>
      </c>
      <c r="BO34" s="1506" cm="1">
        <f t="array" aca="1" ref="BO34" ca="1">IF(SwitchPA=1,_xll.TR(BO$7,BO$6,"Sdate=#1 Period=#2 NULL=BLANK Scale=6",,$D34,$BJ$4),BO34)</f>
        <v>7.3587188489999997</v>
      </c>
      <c r="BP34" s="1506" cm="1">
        <f t="array" aca="1" ref="BP34" ca="1">IF(SwitchPA=1,_xll.TR(BP$7,BP$6,"Sdate=#1 Period=#2 NULL=BLANK Scale=6",,$D34,$BJ$4),BP34)</f>
        <v>4.7463551800000001</v>
      </c>
      <c r="BQ34" s="1506" cm="1">
        <f t="array" aca="1" ref="BQ34" ca="1">IF(SwitchPA=1,_xll.TR(BQ$7,BQ$6,"Sdate=#1 Period=#2 NULL=BLANK Scale=6",,$D34,$BJ$4),BQ34)</f>
        <v>5.8537427070000003</v>
      </c>
      <c r="BR34" s="1506" cm="1">
        <f t="array" aca="1" ref="BR34" ca="1">IF(SwitchPA=1,_xll.TR(BR$7,BR$6,"Sdate=#1 Period=#2 NULL=BLANK Scale=6",,$D34,$BJ$4),BR34)</f>
        <v>12.018086279</v>
      </c>
      <c r="BS34" s="1506" cm="1">
        <f t="array" aca="1" ref="BS34" ca="1">IF(SwitchPA=1,_xll.TR(BS$7,BS$6,"Sdate=#1 Period=#2 NULL=BLANK Scale=6",,$D34,$BJ$4),BS34)</f>
        <v>18.098118661000001</v>
      </c>
      <c r="BT34" s="1506" cm="1">
        <f t="array" aca="1" ref="BT34" ca="1">IF(SwitchPA=1,_xll.TR(BT$7,BT$6,"Sdate=#1 Period=#2 NULL=BLANK Scale=6",,$D34,$BJ$4),BT34)</f>
        <v>9.6816221759999994</v>
      </c>
      <c r="BU34" s="1506" cm="1">
        <f t="array" aca="1" ref="BU34" ca="1">IF(SwitchPA=1,_xll.TR(BU$7,BU$6,"Sdate=#1 Period=#2 NULL=BLANK Scale=6",,$D34,$BJ$4),BU34)</f>
        <v>8.9616053410000003</v>
      </c>
      <c r="BV34" s="1506" t="str" cm="1">
        <f t="array" aca="1" ref="BV34" ca="1">IF(SwitchPA=1,_xll.TR(BV$7,BV$6,"Sdate=#1 Period=#2 NULL=BLANK Scale=6",,$D34,$BJ$4),BV34)</f>
        <v/>
      </c>
      <c r="BW34" s="1506" cm="1">
        <f t="array" aca="1" ref="BW34" ca="1">IF(SwitchPA=1,_xll.TR(BW$7,BW$6,"Sdate=#1 Period=#2 NULL=BLANK Scale=6",,$D34,$BJ$4),BW34)</f>
        <v>13.642302936</v>
      </c>
      <c r="BX34" s="1506" cm="1">
        <f t="array" aca="1" ref="BX34" ca="1">IF(SwitchPA=1,_xll.TR(BX$7,BX$6,"Sdate=#1 Period=#2 NULL=BLANK Scale=6",,$D34,$BJ$4),BX34)</f>
        <v>13.301368076999999</v>
      </c>
      <c r="BY34" s="1506" cm="1">
        <f t="array" aca="1" ref="BY34" ca="1">IF(SwitchPA=1,_xll.TR(BY$7,BY$6,"Sdate=#1 Period=#2 NULL=BLANK Scale=6",,$D34,$BJ$4),BY34)</f>
        <v>4.6533235959999999</v>
      </c>
      <c r="BZ34" s="1506" t="str" cm="1">
        <f t="array" aca="1" ref="BZ34" ca="1">IF(SwitchPA=1,_xll.TR(BZ$7,BZ$6,"Sdate=#1 Period=#2 NULL=BLANK Scale=6",,$D34,$BJ$4),BZ34)</f>
        <v/>
      </c>
      <c r="CA34" s="1506" t="str" cm="1">
        <f t="array" aca="1" ref="CA34" ca="1">IF(SwitchPA=1,_xll.TR(CA$7,CA$6,"Sdate=#1 Period=#2 NULL=BLANK Scale=6",,$D34,$BJ$4),CA34)</f>
        <v/>
      </c>
      <c r="CC34" s="1506" cm="1">
        <f t="array" aca="1" ref="CC34" ca="1">IF(SwitchPA=1,_xll.TR(CC$7,CC$6,"Sdate=#1 Period=#2 NULL=BLANK Scale=6",,$D34,$CC$4),CC34)</f>
        <v>9648</v>
      </c>
      <c r="CD34" s="1506" cm="1">
        <f t="array" aca="1" ref="CD34" ca="1">IF(SwitchPA=1,_xll.TR(CD$7,CD$6,"Sdate=#1 Period=#2 NULL=BLANK Scale=6",,$D34,$CC$4),CD34)</f>
        <v>5674</v>
      </c>
      <c r="CE34" s="1506" cm="1">
        <f t="array" aca="1" ref="CE34" ca="1">IF(SwitchPA=1,_xll.TR(CE$7,CE$6,"Sdate=#1 Period=#2 NULL=BLANK Scale=6",,$D34,$CC$4),CE34)</f>
        <v>70449</v>
      </c>
      <c r="CF34" s="1506" t="str" cm="1">
        <f t="array" aca="1" ref="CF34" ca="1">IF(SwitchPA=1,_xll.TR(CF$7,CF$6,"Sdate=#1 Period=#2 NULL=BLANK Scale=6",,$D34,$CC$4),CF34)</f>
        <v/>
      </c>
      <c r="CG34" s="1506" cm="1">
        <f t="array" aca="1" ref="CG34" ca="1">IF(SwitchPA=1,_xll.TR(CG$7,CG$6,"Sdate=#1 Period=#2 NULL=BLANK Scale=6",,$D34,$CC$4),CG34)</f>
        <v>32735</v>
      </c>
      <c r="CH34" s="1506" cm="1">
        <f t="array" aca="1" ref="CH34" ca="1">IF(SwitchPA=1,_xll.TR(CH$7,CH$6,"Sdate=#1 Period=#2 NULL=BLANK Scale=6",,$D34,$CC$4),CH34)</f>
        <v>2854.4</v>
      </c>
      <c r="CI34" s="1506" cm="1">
        <f t="array" aca="1" ref="CI34" ca="1">IF(SwitchPA=1,_xll.TR(CI$7,CI$6,"Sdate=#1 Period=#2 NULL=BLANK Scale=6",,$D34,$CC$4),CI34)</f>
        <v>13535</v>
      </c>
      <c r="CJ34" s="1506" cm="1">
        <f t="array" aca="1" ref="CJ34" ca="1">IF(SwitchPA=1,_xll.TR(CJ$7,CJ$6,"Sdate=#1 Period=#2 NULL=BLANK Scale=6",,$D34,$CC$4),CJ34)</f>
        <v>10299</v>
      </c>
      <c r="CK34" s="1506" cm="1">
        <f t="array" aca="1" ref="CK34" ca="1">IF(SwitchPA=1,_xll.TR(CK$7,CK$6,"Sdate=#1 Period=#2 NULL=BLANK Scale=6",,$D34,$CC$4),CK34)</f>
        <v>30274</v>
      </c>
      <c r="CL34" s="1506" cm="1">
        <f t="array" aca="1" ref="CL34" ca="1">IF(SwitchPA=1,_xll.TR(CL$7,CL$6,"Sdate=#1 Period=#2 NULL=BLANK Scale=6",,$D34,$CC$4),CL34)</f>
        <v>2702.3850000000002</v>
      </c>
      <c r="CM34" s="1506" cm="1">
        <f t="array" aca="1" ref="CM34" ca="1">IF(SwitchPA=1,_xll.TR(CM$7,CM$6,"Sdate=#1 Period=#2 NULL=BLANK Scale=6",,$D34,$CC$4),CM34)</f>
        <v>5160</v>
      </c>
      <c r="CN34" s="1506" cm="1">
        <f t="array" aca="1" ref="CN34" ca="1">IF(SwitchPA=1,_xll.TR(CN$7,CN$6,"Sdate=#1 Period=#2 NULL=BLANK Scale=6",,$D34,$CC$4),CN34)</f>
        <v>3377.6</v>
      </c>
      <c r="CO34" s="1506" t="str" cm="1">
        <f t="array" aca="1" ref="CO34" ca="1">IF(SwitchPA=1,_xll.TR(CO$7,CO$6,"Sdate=#1 Period=#2 NULL=BLANK Scale=6",,$D34,$CC$4),CO34)</f>
        <v/>
      </c>
      <c r="CP34" s="1506" cm="1">
        <f t="array" aca="1" ref="CP34" ca="1">IF(SwitchPA=1,_xll.TR(CP$7,CP$6,"Sdate=#1 Period=#2 NULL=BLANK Scale=6",,$D34,$CC$4),CP34)</f>
        <v>3276.5</v>
      </c>
      <c r="CQ34" s="1506" cm="1">
        <f t="array" aca="1" ref="CQ34" ca="1">IF(SwitchPA=1,_xll.TR(CQ$7,CQ$6,"Sdate=#1 Period=#2 NULL=BLANK Scale=6",,$D34,$CC$4),CQ34)</f>
        <v>14514</v>
      </c>
      <c r="CR34" s="1506" cm="1">
        <f t="array" aca="1" ref="CR34" ca="1">IF(SwitchPA=1,_xll.TR(CR$7,CR$6,"Sdate=#1 Period=#2 NULL=BLANK Scale=6",,$D34,$CC$4),CR34)</f>
        <v>11068</v>
      </c>
      <c r="CS34" s="1506" t="str" cm="1">
        <f t="array" aca="1" ref="CS34" ca="1">IF(SwitchPA=1,_xll.TR(CS$7,CS$6,"Sdate=#1 Period=#2 NULL=BLANK Scale=6",,$D34,$CC$4),CS34)</f>
        <v>Unable to resolve all requested identifiers.</v>
      </c>
      <c r="CT34" s="1506" t="str" cm="1">
        <f t="array" aca="1" ref="CT34" ca="1">IF(SwitchPA=1,_xll.TR(CT$7,CT$6,"Sdate=#1 Period=#2 NULL=BLANK Scale=6",,$D34,$CC$4),CT34)</f>
        <v>Unable to resolve all requested identifiers.</v>
      </c>
      <c r="CV34" s="1516" cm="1">
        <f t="array" aca="1" ref="CV34" ca="1">IF(SwitchPA=1,_xll.TR(CV$7,CV$6,"Sdate=#1 Period=#2 NULL=BLANK Scale=6",,$D34,$AQ$4),CV34)</f>
        <v>5035.75</v>
      </c>
      <c r="CW34" s="1516" cm="1">
        <f t="array" aca="1" ref="CW34" ca="1">IF(SwitchPA=1,_xll.TR(CW$7,CW$6,"Sdate=#1 Period=#2 NULL=BLANK Scale=6",,$D34,$AQ$4),CW34)</f>
        <v>3710.75</v>
      </c>
      <c r="CX34" s="1516" cm="1">
        <f t="array" aca="1" ref="CX34" ca="1">IF(SwitchPA=1,_xll.TR(CX$7,CX$6,"Sdate=#1 Period=#2 NULL=BLANK Scale=6",,$D34,$AQ$4),CX34)</f>
        <v>24843.25</v>
      </c>
      <c r="CY34" s="1516" t="str" cm="1">
        <f t="array" aca="1" ref="CY34" ca="1">IF(SwitchPA=1,_xll.TR(CY$7,CY$6,"Sdate=#1 Period=#2 NULL=BLANK Scale=6",,$D34,$AQ$4),CY34)</f>
        <v/>
      </c>
      <c r="CZ34" s="1516" cm="1">
        <f t="array" aca="1" ref="CZ34" ca="1">IF(SwitchPA=1,_xll.TR(CZ$7,CZ$6,"Sdate=#1 Period=#2 NULL=BLANK Scale=6",,$D34,$AQ$4),CZ34)</f>
        <v>8712.5</v>
      </c>
      <c r="DA34" s="1516" cm="1">
        <f t="array" aca="1" ref="DA34" ca="1">IF(SwitchPA=1,_xll.TR(DA$7,DA$6,"Sdate=#1 Period=#2 NULL=BLANK Scale=6",,$D34,$AQ$4),DA34)</f>
        <v>1676.15</v>
      </c>
      <c r="DB34" s="1516" cm="1">
        <f t="array" aca="1" ref="DB34" ca="1">IF(SwitchPA=1,_xll.TR(DB$7,DB$6,"Sdate=#1 Period=#2 NULL=BLANK Scale=6",,$D34,$AQ$4),DB34)</f>
        <v>5658.25</v>
      </c>
      <c r="DC34" s="1516" cm="1">
        <f t="array" aca="1" ref="DC34" ca="1">IF(SwitchPA=1,_xll.TR(DC$7,DC$6,"Sdate=#1 Period=#2 NULL=BLANK Scale=6",,$D34,$AQ$4),DC34)</f>
        <v>4351</v>
      </c>
      <c r="DD34" s="1516" cm="1">
        <f t="array" aca="1" ref="DD34" ca="1">IF(SwitchPA=1,_xll.TR(DD$7,DD$6,"Sdate=#1 Period=#2 NULL=BLANK Scale=6",,$D34,$AQ$4),DD34)</f>
        <v>8415</v>
      </c>
      <c r="DE34" s="1516" cm="1">
        <f t="array" aca="1" ref="DE34" ca="1">IF(SwitchPA=1,_xll.TR(DE$7,DE$6,"Sdate=#1 Period=#2 NULL=BLANK Scale=6",,$D34,$AQ$4),DE34)</f>
        <v>2267.0709999999999</v>
      </c>
      <c r="DF34" s="1516" cm="1">
        <f t="array" aca="1" ref="DF34" ca="1">IF(SwitchPA=1,_xll.TR(DF$7,DF$6,"Sdate=#1 Period=#2 NULL=BLANK Scale=6",,$D34,$AQ$4),DF34)</f>
        <v>2167</v>
      </c>
      <c r="DG34" s="1516" cm="1">
        <f t="array" aca="1" ref="DG34" ca="1">IF(SwitchPA=1,_xll.TR(DG$7,DG$6,"Sdate=#1 Period=#2 NULL=BLANK Scale=6",,$D34,$AQ$4),DG34)</f>
        <v>579.47500000000002</v>
      </c>
      <c r="DH34" s="1516" t="str" cm="1">
        <f t="array" aca="1" ref="DH34" ca="1">IF(SwitchPA=1,_xll.TR(DH$7,DH$6,"Sdate=#1 Period=#2 NULL=BLANK Scale=6",,$D34,$AQ$4),DH34)</f>
        <v/>
      </c>
      <c r="DI34" s="1516" cm="1">
        <f t="array" aca="1" ref="DI34" ca="1">IF(SwitchPA=1,_xll.TR(DI$7,DI$6,"Sdate=#1 Period=#2 NULL=BLANK Scale=6",,$D34,$AQ$4),DI34)</f>
        <v>1028.6500000000001</v>
      </c>
      <c r="DJ34" s="1516" cm="1">
        <f t="array" aca="1" ref="DJ34" ca="1">IF(SwitchPA=1,_xll.TR(DJ$7,DJ$6,"Sdate=#1 Period=#2 NULL=BLANK Scale=6",,$D34,$AQ$4),DJ34)</f>
        <v>2905.75</v>
      </c>
      <c r="DK34" s="1516" cm="1">
        <f t="array" aca="1" ref="DK34" ca="1">IF(SwitchPA=1,_xll.TR(DK$7,DK$6,"Sdate=#1 Period=#2 NULL=BLANK Scale=6",,$D34,$AQ$4),DK34)</f>
        <v>5605.25</v>
      </c>
      <c r="DL34" s="1516" t="str" cm="1">
        <f t="array" aca="1" ref="DL34" ca="1">IF(SwitchPA=1,_xll.TR(DL$7,DL$6,"Sdate=#1 Period=#2 NULL=BLANK Scale=6",,$D34,$AQ$4),DL34)</f>
        <v>Unable to resolve all requested identifiers.</v>
      </c>
      <c r="DM34" s="1516" t="str" cm="1">
        <f t="array" aca="1" ref="DM34" ca="1">IF(SwitchPA=1,_xll.TR(DM$7,DM$6,"Sdate=#1 Period=#2 NULL=BLANK Scale=6",,$D34,$AQ$4),DM34)</f>
        <v>Unable to resolve all requested identifiers.</v>
      </c>
      <c r="DO34" s="1506" cm="1">
        <f t="array" aca="1" ref="DO34" ca="1">IF(SwitchPA=1,_xll.TR(DO$7,DO$6,"Sdate=#1 Period=#2 Scale=6 NULL=BLANK",,$D34,$X$4),DO34)</f>
        <v>16016.32378074</v>
      </c>
      <c r="DP34" s="1506" cm="1">
        <f t="array" aca="1" ref="DP34" ca="1">IF(SwitchPA=1,_xll.TR(DP$7,DP$6,"Sdate=#1 Period=#2 Scale=6 NULL=BLANK",,$D34,$X$4),DP34)</f>
        <v>10864.37137449</v>
      </c>
      <c r="DQ34" s="1506" cm="1">
        <f t="array" aca="1" ref="DQ34" ca="1">IF(SwitchPA=1,_xll.TR(DQ$7,DQ$6,"Sdate=#1 Period=#2 Scale=6 NULL=BLANK",,$D34,$X$4),DQ34)</f>
        <v>67479.992447900004</v>
      </c>
      <c r="DR34" s="1506" t="str" cm="1">
        <f t="array" aca="1" ref="DR34" ca="1">IF(SwitchPA=1,_xll.TR(DR$7,DR$6,"Sdate=#1 Period=#2 Scale=6 NULL=BLANK",,$D34,$X$4),DR34)</f>
        <v/>
      </c>
      <c r="DS34" s="1506" cm="1">
        <f t="array" aca="1" ref="DS34" ca="1">IF(SwitchPA=1,_xll.TR(DS$7,DS$6,"Sdate=#1 Period=#2 Scale=6 NULL=BLANK",,$D34,$X$4),DS34)</f>
        <v>38312.052676719999</v>
      </c>
      <c r="DT34" s="1506" cm="1">
        <f t="array" aca="1" ref="DT34" ca="1">IF(SwitchPA=1,_xll.TR(DT$7,DT$6,"Sdate=#1 Period=#2 Scale=6 NULL=BLANK",,$D34,$X$4),DT34)</f>
        <v>2555.6830561199999</v>
      </c>
      <c r="DU34" s="1506" cm="1">
        <f t="array" aca="1" ref="DU34" ca="1">IF(SwitchPA=1,_xll.TR(DU$7,DU$6,"Sdate=#1 Period=#2 Scale=6 NULL=BLANK",,$D34,$X$4),DU34)</f>
        <v>11225.13</v>
      </c>
      <c r="DV34" s="1506" cm="1">
        <f t="array" aca="1" ref="DV34" ca="1">IF(SwitchPA=1,_xll.TR(DV$7,DV$6,"Sdate=#1 Period=#2 Scale=6 NULL=BLANK",,$D34,$X$4),DV34)</f>
        <v>6743.5115984000004</v>
      </c>
      <c r="DW34" s="1506" cm="1">
        <f t="array" aca="1" ref="DW34" ca="1">IF(SwitchPA=1,_xll.TR(DW$7,DW$6,"Sdate=#1 Period=#2 Scale=6 NULL=BLANK",,$D34,$X$4),DW34)</f>
        <v>102117.67911656</v>
      </c>
      <c r="DX34" s="1506" cm="1">
        <f t="array" aca="1" ref="DX34" ca="1">IF(SwitchPA=1,_xll.TR(DX$7,DX$6,"Sdate=#1 Period=#2 Scale=6 NULL=BLANK",,$D34,$X$4),DX34)</f>
        <v>9503.8650525199992</v>
      </c>
      <c r="DY34" s="1506" cm="1">
        <f t="array" aca="1" ref="DY34" ca="1">IF(SwitchPA=1,_xll.TR(DY$7,DY$6,"Sdate=#1 Period=#2 Scale=6 NULL=BLANK",,$D34,$X$4),DY34)</f>
        <v>8810.2761805299997</v>
      </c>
      <c r="DZ34" s="1506" cm="1">
        <f t="array" aca="1" ref="DZ34" ca="1">IF(SwitchPA=1,_xll.TR(DZ$7,DZ$6,"Sdate=#1 Period=#2 Scale=6 NULL=BLANK",,$D34,$X$4),DZ34)</f>
        <v>3072.93447156</v>
      </c>
      <c r="EA34" s="1506" t="str" cm="1">
        <f t="array" aca="1" ref="EA34" ca="1">IF(SwitchPA=1,_xll.TR(EA$7,EA$6,"Sdate=#1 Period=#2 Scale=6 NULL=BLANK",,$D34,$X$4),EA34)</f>
        <v/>
      </c>
      <c r="EB34" s="1506" cm="1">
        <f t="array" aca="1" ref="EB34" ca="1">IF(SwitchPA=1,_xll.TR(EB$7,EB$6,"Sdate=#1 Period=#2 Scale=6 NULL=BLANK",,$D34,$X$4),EB34)</f>
        <v>6720.19842608</v>
      </c>
      <c r="EC34" s="1506" cm="1">
        <f t="array" aca="1" ref="EC34" ca="1">IF(SwitchPA=1,_xll.TR(EC$7,EC$6,"Sdate=#1 Period=#2 Scale=6 NULL=BLANK",,$D34,$X$4),EC34)</f>
        <v>27706.749704959999</v>
      </c>
      <c r="ED34" s="1506" cm="1">
        <f t="array" aca="1" ref="ED34" ca="1">IF(SwitchPA=1,_xll.TR(ED$7,ED$6,"Sdate=#1 Period=#2 Scale=6 NULL=BLANK",,$D34,$X$4),ED34)</f>
        <v>9720.7929920000006</v>
      </c>
      <c r="EE34" s="1506" t="str" cm="1">
        <f t="array" aca="1" ref="EE34" ca="1">IF(SwitchPA=1,_xll.TR(EE$7,EE$6,"Sdate=#1 Period=#2 Scale=6 NULL=BLANK",,$D34,$X$4),EE34)</f>
        <v/>
      </c>
      <c r="EF34" s="1506" t="str" cm="1">
        <f t="array" aca="1" ref="EF34" ca="1">IF(SwitchPA=1,_xll.TR(EF$7,EF$6,"Sdate=#1 Period=#2 Scale=6 NULL=BLANK",,$D34,$X$4),EF34)</f>
        <v/>
      </c>
      <c r="EG34" s="1517"/>
      <c r="EH34" s="1506" cm="1">
        <f t="array" aca="1" ref="EH34" ca="1">IF(SwitchPA=1,_xll.TR(EH$7,EH$6,"Sdate=#1 Period=#2 Scale=6 NULL=BLANK",,$D34,$X$4),EH34)</f>
        <v>1717</v>
      </c>
      <c r="EI34" s="1506" cm="1">
        <f t="array" aca="1" ref="EI34" ca="1">IF(SwitchPA=1,_xll.TR(EI$7,EI$6,"Sdate=#1 Period=#2 Scale=6 NULL=BLANK",,$D34,$X$4),EI34)</f>
        <v>682</v>
      </c>
      <c r="EJ34" s="1506" cm="1">
        <f t="array" aca="1" ref="EJ34" ca="1">IF(SwitchPA=1,_xll.TR(EJ$7,EJ$6,"Sdate=#1 Period=#2 Scale=6 NULL=BLANK",,$D34,$X$4),EJ34)</f>
        <v>7113</v>
      </c>
      <c r="EK34" s="1506" t="str" cm="1">
        <f t="array" aca="1" ref="EK34" ca="1">IF(SwitchPA=1,_xll.TR(EK$7,EK$6,"Sdate=#1 Period=#2 Scale=6 NULL=BLANK",,$D34,$X$4),EK34)</f>
        <v/>
      </c>
      <c r="EL34" s="1506" cm="1">
        <f t="array" aca="1" ref="EL34" ca="1">IF(SwitchPA=1,_xll.TR(EL$7,EL$6,"Sdate=#1 Period=#2 Scale=6 NULL=BLANK",,$D34,$X$4),EL34)</f>
        <v>6172</v>
      </c>
      <c r="EM34" s="1506" cm="1">
        <f t="array" aca="1" ref="EM34" ca="1">IF(SwitchPA=1,_xll.TR(EM$7,EM$6,"Sdate=#1 Period=#2 Scale=6 NULL=BLANK",,$D34,$X$4),EM34)</f>
        <v>229</v>
      </c>
      <c r="EN34" s="1506" cm="1">
        <f t="array" aca="1" ref="EN34" ca="1">IF(SwitchPA=1,_xll.TR(EN$7,EN$6,"Sdate=#1 Period=#2 Scale=6 NULL=BLANK",,$D34,$X$4),EN34)</f>
        <v>1637</v>
      </c>
      <c r="EO34" s="1506" cm="1">
        <f t="array" aca="1" ref="EO34" ca="1">IF(SwitchPA=1,_xll.TR(EO$7,EO$6,"Sdate=#1 Period=#2 Scale=6 NULL=BLANK",,$D34,$X$4),EO34)</f>
        <v>707</v>
      </c>
      <c r="EP34" s="1506" cm="1">
        <f t="array" aca="1" ref="EP34" ca="1">IF(SwitchPA=1,_xll.TR(EP$7,EP$6,"Sdate=#1 Period=#2 Scale=6 NULL=BLANK",,$D34,$X$4),EP34)</f>
        <v>7062</v>
      </c>
      <c r="EQ34" s="1506" cm="1">
        <f t="array" aca="1" ref="EQ34" ca="1">IF(SwitchPA=1,_xll.TR(EQ$7,EQ$6,"Sdate=#1 Period=#2 Scale=6 NULL=BLANK",,$D34,$X$4),EQ34)</f>
        <v>299.50200000000001</v>
      </c>
      <c r="ER34" s="1506" cm="1">
        <f t="array" aca="1" ref="ER34" ca="1">IF(SwitchPA=1,_xll.TR(ER$7,ER$6,"Sdate=#1 Period=#2 Scale=6 NULL=BLANK",,$D34,$X$4),ER34)</f>
        <v>550</v>
      </c>
      <c r="ES34" s="1506" cm="1">
        <f t="array" aca="1" ref="ES34" ca="1">IF(SwitchPA=1,_xll.TR(ES$7,ES$6,"Sdate=#1 Period=#2 Scale=6 NULL=BLANK",,$D34,$X$4),ES34)</f>
        <v>334.7</v>
      </c>
      <c r="ET34" s="1506" t="str" cm="1">
        <f t="array" aca="1" ref="ET34" ca="1">IF(SwitchPA=1,_xll.TR(ET$7,ET$6,"Sdate=#1 Period=#2 Scale=6 NULL=BLANK",,$D34,$X$4),ET34)</f>
        <v/>
      </c>
      <c r="EU34" s="1506" cm="1">
        <f t="array" aca="1" ref="EU34" ca="1">IF(SwitchPA=1,_xll.TR(EU$7,EU$6,"Sdate=#1 Period=#2 Scale=6 NULL=BLANK",,$D34,$X$4),EU34)</f>
        <v>344.2</v>
      </c>
      <c r="EV34" s="1506" cm="1">
        <f t="array" aca="1" ref="EV34" ca="1">IF(SwitchPA=1,_xll.TR(EV$7,EV$6,"Sdate=#1 Period=#2 Scale=6 NULL=BLANK",,$D34,$X$4),EV34)</f>
        <v>2090</v>
      </c>
      <c r="EW34" s="1506" cm="1">
        <f t="array" aca="1" ref="EW34" ca="1">IF(SwitchPA=1,_xll.TR(EW$7,EW$6,"Sdate=#1 Period=#2 Scale=6 NULL=BLANK",,$D34,$X$4),EW34)</f>
        <v>1075</v>
      </c>
      <c r="EX34" s="1506" t="str" cm="1">
        <f t="array" aca="1" ref="EX34" ca="1">IF(SwitchPA=1,_xll.TR(EX$7,EX$6,"Sdate=#1 Period=#2 Scale=6 NULL=BLANK",,$D34,$X$4),EX34)</f>
        <v>Unable to resolve all requested identifiers.</v>
      </c>
      <c r="EY34" s="1506" t="str" cm="1">
        <f t="array" aca="1" ref="EY34" ca="1">IF(SwitchPA=1,_xll.TR(EY$7,EY$6,"Sdate=#1 Period=#2 Scale=6 NULL=BLANK",,$D34,$X$4),EY34)</f>
        <v>Unable to resolve all requested identifiers.</v>
      </c>
      <c r="FA34" s="1506" cm="1">
        <f t="array" aca="1" ref="FA34" ca="1">IF(SwitchPA=1,_xll.TR(FA$7,FA$6,"Sdate=#1 Period=#2 Scale=6 NULL=BLANK",,$D34,$X$4),FA34)</f>
        <v>2288</v>
      </c>
      <c r="FB34" s="1506" cm="1">
        <f t="array" aca="1" ref="FB34" ca="1">IF(SwitchPA=1,_xll.TR(FB$7,FB$6,"Sdate=#1 Period=#2 Scale=6 NULL=BLANK",,$D34,$X$4),FB34)</f>
        <v>1045</v>
      </c>
      <c r="FC34" s="1506" cm="1">
        <f t="array" aca="1" ref="FC34" ca="1">IF(SwitchPA=1,_xll.TR(FC$7,FC$6,"Sdate=#1 Period=#2 Scale=6 NULL=BLANK",,$D34,$X$4),FC34)</f>
        <v>11514</v>
      </c>
      <c r="FD34" s="1506" t="str" cm="1">
        <f t="array" aca="1" ref="FD34" ca="1">IF(SwitchPA=1,_xll.TR(FD$7,FD$6,"Sdate=#1 Period=#2 Scale=6 NULL=BLANK",,$D34,$X$4),FD34)</f>
        <v/>
      </c>
      <c r="FE34" s="1506" cm="1">
        <f t="array" aca="1" ref="FE34" ca="1">IF(SwitchPA=1,_xll.TR(FE$7,FE$6,"Sdate=#1 Period=#2 Scale=6 NULL=BLANK",,$D34,$X$4),FE34)</f>
        <v>7219</v>
      </c>
      <c r="FF34" s="1506" cm="1">
        <f t="array" aca="1" ref="FF34" ca="1">IF(SwitchPA=1,_xll.TR(FF$7,FF$6,"Sdate=#1 Period=#2 Scale=6 NULL=BLANK",,$D34,$X$4),FF34)</f>
        <v>457.9</v>
      </c>
      <c r="FG34" s="1506" cm="1">
        <f t="array" aca="1" ref="FG34" ca="1">IF(SwitchPA=1,_xll.TR(FG$7,FG$6,"Sdate=#1 Period=#2 Scale=6 NULL=BLANK",,$D34,$X$4),FG34)</f>
        <v>2365</v>
      </c>
      <c r="FH34" s="1506" cm="1">
        <f t="array" aca="1" ref="FH34" ca="1">IF(SwitchPA=1,_xll.TR(FH$7,FH$6,"Sdate=#1 Period=#2 Scale=6 NULL=BLANK",,$D34,$X$4),FH34)</f>
        <v>1106</v>
      </c>
      <c r="FI34" s="1506" cm="1">
        <f t="array" aca="1" ref="FI34" ca="1">IF(SwitchPA=1,_xll.TR(FI$7,FI$6,"Sdate=#1 Period=#2 Scale=6 NULL=BLANK",,$D34,$X$4),FI34)</f>
        <v>8497</v>
      </c>
      <c r="FJ34" s="1506" cm="1">
        <f t="array" aca="1" ref="FJ34" ca="1">IF(SwitchPA=1,_xll.TR(FJ$7,FJ$6,"Sdate=#1 Period=#2 Scale=6 NULL=BLANK",,$D34,$X$4),FJ34)</f>
        <v>525.13</v>
      </c>
      <c r="FK34" s="1506" cm="1">
        <f t="array" aca="1" ref="FK34" ca="1">IF(SwitchPA=1,_xll.TR(FK$7,FK$6,"Sdate=#1 Period=#2 Scale=6 NULL=BLANK",,$D34,$X$4),FK34)</f>
        <v>910</v>
      </c>
      <c r="FL34" s="1506" cm="1">
        <f t="array" aca="1" ref="FL34" ca="1">IF(SwitchPA=1,_xll.TR(FL$7,FL$6,"Sdate=#1 Period=#2 Scale=6 NULL=BLANK",,$D34,$X$4),FL34)</f>
        <v>432.8</v>
      </c>
      <c r="FM34" s="1506" t="str" cm="1">
        <f t="array" aca="1" ref="FM34" ca="1">IF(SwitchPA=1,_xll.TR(FM$7,FM$6,"Sdate=#1 Period=#2 Scale=6 NULL=BLANK",,$D34,$X$4),FM34)</f>
        <v/>
      </c>
      <c r="FN34" s="1506" cm="1">
        <f t="array" aca="1" ref="FN34" ca="1">IF(SwitchPA=1,_xll.TR(FN$7,FN$6,"Sdate=#1 Period=#2 Scale=6 NULL=BLANK",,$D34,$X$4),FN34)</f>
        <v>459.9</v>
      </c>
      <c r="FO34" s="1506" cm="1">
        <f t="array" aca="1" ref="FO34" ca="1">IF(SwitchPA=1,_xll.TR(FO$7,FO$6,"Sdate=#1 Period=#2 Scale=6 NULL=BLANK",,$D34,$X$4),FO34)</f>
        <v>2509</v>
      </c>
      <c r="FP34" s="1506" cm="1">
        <f t="array" aca="1" ref="FP34" ca="1">IF(SwitchPA=1,_xll.TR(FP$7,FP$6,"Sdate=#1 Period=#2 Scale=6 NULL=BLANK",,$D34,$X$4),FP34)</f>
        <v>2089</v>
      </c>
      <c r="FQ34" s="1506" t="str" cm="1">
        <f t="array" aca="1" ref="FQ34" ca="1">IF(SwitchPA=1,_xll.TR(FQ$7,FQ$6,"Sdate=#1 Period=#2 Scale=6 NULL=BLANK",,$D34,$X$4),FQ34)</f>
        <v>Unable to resolve all requested identifiers.</v>
      </c>
      <c r="FS34" s="1506" cm="1">
        <f t="array" aca="1" ref="FS34" ca="1">IF(SwitchPA=1,_xll.TR(FS$7,FS$6,"Sdate=#1 Period=#2 NULL=BLANK Scale=6",,$D34,$FS$4),FS34)</f>
        <v>972</v>
      </c>
      <c r="FT34" s="1506" cm="1">
        <f t="array" aca="1" ref="FT34" ca="1">IF(SwitchPA=1,_xll.TR(FT$7,FT$6,"Sdate=#1 Period=#2 NULL=BLANK Scale=6",,$D34,$FS$4),FT34)</f>
        <v>342</v>
      </c>
      <c r="FU34" s="1506" cm="1">
        <f t="array" aca="1" ref="FU34" ca="1">IF(SwitchPA=1,_xll.TR(FU$7,FU$6,"Sdate=#1 Period=#2 NULL=BLANK Scale=6",,$D34,$FS$4),FU34)</f>
        <v>3638</v>
      </c>
      <c r="FV34" s="1506" t="str" cm="1">
        <f t="array" aca="1" ref="FV34" ca="1">IF(SwitchPA=1,_xll.TR(FV$7,FV$6,"Sdate=#1 Period=#2 NULL=BLANK Scale=6",,$D34,$FS$4),FV34)</f>
        <v/>
      </c>
      <c r="FW34" s="1506" cm="1">
        <f t="array" aca="1" ref="FW34" ca="1">IF(SwitchPA=1,_xll.TR(FW$7,FW$6,"Sdate=#1 Period=#2 NULL=BLANK Scale=6",,$D34,$FS$4),FW34)</f>
        <v>4402</v>
      </c>
      <c r="FX34" s="1506" cm="1">
        <f t="array" aca="1" ref="FX34" ca="1">IF(SwitchPA=1,_xll.TR(FX$7,FX$6,"Sdate=#1 Period=#2 NULL=BLANK Scale=6",,$D34,$FS$4),FX34)</f>
        <v>86.2</v>
      </c>
      <c r="FY34" s="1506" cm="1">
        <f t="array" aca="1" ref="FY34" ca="1">IF(SwitchPA=1,_xll.TR(FY$7,FY$6,"Sdate=#1 Period=#2 NULL=BLANK Scale=6",,$D34,$FS$4),FY34)</f>
        <v>789</v>
      </c>
      <c r="FZ34" s="1506" cm="1">
        <f t="array" aca="1" ref="FZ34" ca="1">IF(SwitchPA=1,_xll.TR(FZ$7,FZ$6,"Sdate=#1 Period=#2 NULL=BLANK Scale=6",,$D34,$FS$4),FZ34)</f>
        <v>-88</v>
      </c>
      <c r="GA34" s="1506" cm="1">
        <f t="array" aca="1" ref="GA34" ca="1">IF(SwitchPA=1,_xll.TR(GA$7,GA$6,"Sdate=#1 Period=#2 NULL=BLANK Scale=6",,$D34,$FS$4),GA34)</f>
        <v>4959</v>
      </c>
      <c r="GB34" s="1506" cm="1">
        <f t="array" aca="1" ref="GB34" ca="1">IF(SwitchPA=1,_xll.TR(GB$7,GB$6,"Sdate=#1 Period=#2 NULL=BLANK Scale=6",,$D34,$FS$4),GB34)</f>
        <v>180.50800000000001</v>
      </c>
      <c r="GC34" s="1506" cm="1">
        <f t="array" aca="1" ref="GC34" ca="1">IF(SwitchPA=1,_xll.TR(GC$7,GC$6,"Sdate=#1 Period=#2 NULL=BLANK Scale=6",,$D34,$FS$4),GC34)</f>
        <v>193</v>
      </c>
      <c r="GD34" s="1506" cm="1">
        <f t="array" aca="1" ref="GD34" ca="1">IF(SwitchPA=1,_xll.TR(GD$7,GD$6,"Sdate=#1 Period=#2 NULL=BLANK Scale=6",,$D34,$FS$4),GD34)</f>
        <v>136</v>
      </c>
      <c r="GE34" s="1506" t="str" cm="1">
        <f t="array" aca="1" ref="GE34" ca="1">IF(SwitchPA=1,_xll.TR(GE$7,GE$6,"Sdate=#1 Period=#2 NULL=BLANK Scale=6",,$D34,$FS$4),GE34)</f>
        <v/>
      </c>
      <c r="GF34" s="1506" cm="1">
        <f t="array" aca="1" ref="GF34" ca="1">IF(SwitchPA=1,_xll.TR(GF$7,GF$6,"Sdate=#1 Period=#2 NULL=BLANK Scale=6",,$D34,$FS$4),GF34)</f>
        <v>-466.2</v>
      </c>
      <c r="GG34" s="1506" cm="1">
        <f t="array" aca="1" ref="GG34" ca="1">IF(SwitchPA=1,_xll.TR(GG$7,GG$6,"Sdate=#1 Period=#2 NULL=BLANK Scale=6",,$D34,$FS$4),GG34)</f>
        <v>1465</v>
      </c>
      <c r="GH34" s="1506" cm="1">
        <f t="array" aca="1" ref="GH34" ca="1">IF(SwitchPA=1,_xll.TR(GH$7,GH$6,"Sdate=#1 Period=#2 NULL=BLANK Scale=6",,$D34,$FS$4),GH34)</f>
        <v>504</v>
      </c>
      <c r="GI34" s="1506" t="str" cm="1">
        <f t="array" aca="1" ref="GI34" ca="1">IF(SwitchPA=1,_xll.TR(GI$7,GI$6,"Sdate=#1 Period=#2 NULL=BLANK Scale=6",,$D34,$FS$4),GI34)</f>
        <v>Unable to resolve all requested identifiers.</v>
      </c>
      <c r="GK34" s="1506" t="str" cm="1">
        <f t="array" aca="1" ref="GK34" ca="1">IF(SwitchPA=1,_xll.TR(GK$7,GK$6,"Sdate=#1 Period=#2 NULL=BLANK Scale=6",,$D34,$FS$4),GK34)</f>
        <v/>
      </c>
      <c r="GL34" s="1506" t="str" cm="1">
        <f t="array" aca="1" ref="GL34" ca="1">IF(SwitchPA=1,_xll.TR(GL$7,GL$6,"Sdate=#1 Period=#2 NULL=BLANK Scale=6",,$D34,$FS$4),GL34)</f>
        <v/>
      </c>
      <c r="GM34" s="1506" t="str" cm="1">
        <f t="array" aca="1" ref="GM34" ca="1">IF(SwitchPA=1,_xll.TR(GM$7,GM$6,"Sdate=#1 Period=#2 NULL=BLANK Scale=6",,$D34,$FS$4),GM34)</f>
        <v/>
      </c>
      <c r="GN34" s="1506" t="str" cm="1">
        <f t="array" aca="1" ref="GN34" ca="1">IF(SwitchPA=1,_xll.TR(GN$7,GN$6,"Sdate=#1 Period=#2 NULL=BLANK Scale=6",,$D34,$FS$4),GN34)</f>
        <v/>
      </c>
      <c r="GO34" s="1506" t="str" cm="1">
        <f t="array" aca="1" ref="GO34" ca="1">IF(SwitchPA=1,_xll.TR(GO$7,GO$6,"Sdate=#1 Period=#2 NULL=BLANK Scale=6",,$D34,$FS$4),GO34)</f>
        <v/>
      </c>
      <c r="GP34" s="1506" t="str" cm="1">
        <f t="array" aca="1" ref="GP34" ca="1">IF(SwitchPA=1,_xll.TR(GP$7,GP$6,"Sdate=#1 Period=#2 NULL=BLANK Scale=6",,$D34,$FS$4),GP34)</f>
        <v/>
      </c>
      <c r="GQ34" s="1506" t="str" cm="1">
        <f t="array" aca="1" ref="GQ34" ca="1">IF(SwitchPA=1,_xll.TR(GQ$7,GQ$6,"Sdate=#1 Period=#2 NULL=BLANK Scale=6",,$D34,$FS$4),GQ34)</f>
        <v/>
      </c>
      <c r="GR34" s="1506" t="str" cm="1">
        <f t="array" aca="1" ref="GR34" ca="1">IF(SwitchPA=1,_xll.TR(GR$7,GR$6,"Sdate=#1 Period=#2 NULL=BLANK Scale=6",,$D34,$FS$4),GR34)</f>
        <v/>
      </c>
      <c r="GS34" s="1506" t="str" cm="1">
        <f t="array" aca="1" ref="GS34" ca="1">IF(SwitchPA=1,_xll.TR(GS$7,GS$6,"Sdate=#1 Period=#2 NULL=BLANK Scale=6",,$D34,$FS$4),GS34)</f>
        <v/>
      </c>
      <c r="GT34" s="1506" t="str" cm="1">
        <f t="array" aca="1" ref="GT34" ca="1">IF(SwitchPA=1,_xll.TR(GT$7,GT$6,"Sdate=#1 Period=#2 NULL=BLANK Scale=6",,$D34,$FS$4),GT34)</f>
        <v/>
      </c>
      <c r="GU34" s="1506" t="str" cm="1">
        <f t="array" aca="1" ref="GU34" ca="1">IF(SwitchPA=1,_xll.TR(GU$7,GU$6,"Sdate=#1 Period=#2 NULL=BLANK Scale=6",,$D34,$FS$4),GU34)</f>
        <v/>
      </c>
      <c r="GV34" s="1506" t="str" cm="1">
        <f t="array" aca="1" ref="GV34" ca="1">IF(SwitchPA=1,_xll.TR(GV$7,GV$6,"Sdate=#1 Period=#2 NULL=BLANK Scale=6",,$D34,$FS$4),GV34)</f>
        <v/>
      </c>
      <c r="GW34" s="1506" t="str" cm="1">
        <f t="array" aca="1" ref="GW34" ca="1">IF(SwitchPA=1,_xll.TR(GW$7,GW$6,"Sdate=#1 Period=#2 NULL=BLANK Scale=6",,$D34,$FS$4),GW34)</f>
        <v/>
      </c>
      <c r="GX34" s="1506" t="str" cm="1">
        <f t="array" aca="1" ref="GX34" ca="1">IF(SwitchPA=1,_xll.TR(GX$7,GX$6,"Sdate=#1 Period=#2 NULL=BLANK Scale=6",,$D34,$FS$4),GX34)</f>
        <v/>
      </c>
      <c r="GY34" s="1506" t="str" cm="1">
        <f t="array" aca="1" ref="GY34" ca="1">IF(SwitchPA=1,_xll.TR(GY$7,GY$6,"Sdate=#1 Period=#2 NULL=BLANK Scale=6",,$D34,$FS$4),GY34)</f>
        <v/>
      </c>
      <c r="GZ34" s="1506" t="str" cm="1">
        <f t="array" aca="1" ref="GZ34" ca="1">IF(SwitchPA=1,_xll.TR(GZ$7,GZ$6,"Sdate=#1 Period=#2 NULL=BLANK Scale=6",,$D34,$FS$4),GZ34)</f>
        <v/>
      </c>
      <c r="HA34" s="1506" t="str" cm="1">
        <f t="array" aca="1" ref="HA34" ca="1">IF(SwitchPA=1,_xll.TR(HA$7,HA$6,"Sdate=#1 Period=#2 NULL=BLANK Scale=6",,$D34,$FS$4),HA34)</f>
        <v/>
      </c>
      <c r="HC34">
        <v>2.62</v>
      </c>
      <c r="HD34">
        <v>48.66</v>
      </c>
      <c r="HE34">
        <v>52.32</v>
      </c>
      <c r="HG34" s="762">
        <f t="shared" si="52"/>
        <v>-0.4004576659038902</v>
      </c>
      <c r="HH34" s="762">
        <f t="shared" si="53"/>
        <v>-0.47772888268756042</v>
      </c>
      <c r="HI34" s="762">
        <f t="shared" si="54"/>
        <v>-0.47135495604728705</v>
      </c>
    </row>
    <row r="35" spans="3:217" ht="11.25" customHeight="1">
      <c r="C35" s="1514">
        <f t="shared" si="51"/>
        <v>42735</v>
      </c>
      <c r="D35" s="1515">
        <f t="shared" si="49"/>
        <v>42780</v>
      </c>
      <c r="E35" s="1506" cm="1">
        <f t="array" aca="1" ref="E35" ca="1">IF(SwitchPA=1,_xll.TR(E$7,E$6,"Sdate=#1 Period=#2 NULL=BLANK",,$D35,$E$4),E35)</f>
        <v>8.2584597768041892</v>
      </c>
      <c r="F35" s="1506" cm="1">
        <f t="array" aca="1" ref="F35" ca="1">IF(SwitchPA=1,_xll.TR(F$7,F$6,"Sdate=#1 Period=#2 NULL=BLANK",,$D35,$E$4),F35)</f>
        <v>9.2638216886287701</v>
      </c>
      <c r="G35" s="1506" cm="1">
        <f t="array" aca="1" ref="G35" ca="1">IF(SwitchPA=1,_xll.TR(G$7,G$6,"Sdate=#1 Period=#2 NULL=BLANK",,$D35,$E$4),G35)</f>
        <v>8.4628597091161097</v>
      </c>
      <c r="H35" s="1506" t="str" cm="1">
        <f t="array" aca="1" ref="H35" ca="1">IF(SwitchPA=1,_xll.TR(H$7,H$6,"Sdate=#1 Period=#2 NULL=BLANK",,$D35,$E$4),H35)</f>
        <v/>
      </c>
      <c r="I35" s="1506" cm="1">
        <f t="array" aca="1" ref="I35" ca="1">IF(SwitchPA=1,_xll.TR(I$7,I$6,"Sdate=#1 Period=#2 NULL=BLANK",,$D35,$E$4),I35)</f>
        <v>6.7903620348907197</v>
      </c>
      <c r="J35" s="1506" cm="1">
        <f t="array" aca="1" ref="J35" ca="1">IF(SwitchPA=1,_xll.TR(J$7,J$6,"Sdate=#1 Period=#2 NULL=BLANK",,$D35,$E$4),J35)</f>
        <v>8.2606685155951691</v>
      </c>
      <c r="K35" s="1506" cm="1">
        <f t="array" aca="1" ref="K35" ca="1">IF(SwitchPA=1,_xll.TR(K$7,K$6,"Sdate=#1 Period=#2 NULL=BLANK",,$D35,$E$4),K35)</f>
        <v>5.7688848593983701</v>
      </c>
      <c r="L35" s="1506" cm="1">
        <f t="array" aca="1" ref="L35" ca="1">IF(SwitchPA=1,_xll.TR(L$7,L$6,"Sdate=#1 Period=#2 NULL=BLANK",,$D35,$E$4),L35)</f>
        <v>7.4537429084077802</v>
      </c>
      <c r="M35" s="1506" cm="1">
        <f t="array" aca="1" ref="M35" ca="1">IF(SwitchPA=1,_xll.TR(M$7,M$6,"Sdate=#1 Period=#2 NULL=BLANK",,$D35,$E$4),M35)</f>
        <v>12.949942770294401</v>
      </c>
      <c r="N35" s="1506" cm="1">
        <f t="array" aca="1" ref="N35" ca="1">IF(SwitchPA=1,_xll.TR(N$7,N$6,"Sdate=#1 Period=#2 NULL=BLANK",,$D35,$E$4),N35)</f>
        <v>16.761408923557099</v>
      </c>
      <c r="O35" s="1506" cm="1">
        <f t="array" aca="1" ref="O35" ca="1">IF(SwitchPA=1,_xll.TR(O$7,O$6,"Sdate=#1 Period=#2 NULL=BLANK",,$D35,$E$4),O35)</f>
        <v>13.1295855675331</v>
      </c>
      <c r="P35" s="1506" cm="1">
        <f t="array" aca="1" ref="P35" ca="1">IF(SwitchPA=1,_xll.TR(P$7,P$6,"Sdate=#1 Period=#2 NULL=BLANK",,$D35,$E$4),P35)</f>
        <v>8.3971765178003004</v>
      </c>
      <c r="Q35" s="1506" t="str" cm="1">
        <f t="array" aca="1" ref="Q35" ca="1">IF(SwitchPA=1,_xll.TR(Q$7,Q$6,"Sdate=#1 Period=#2 NULL=BLANK",,$D35,$E$4),Q35)</f>
        <v/>
      </c>
      <c r="R35" s="1506" cm="1">
        <f t="array" aca="1" ref="R35" ca="1">IF(SwitchPA=1,_xll.TR(R$7,R$6,"Sdate=#1 Period=#2 NULL=BLANK",,$D35,$E$4),R35)</f>
        <v>12.236894168649799</v>
      </c>
      <c r="S35" s="1506" cm="1">
        <f t="array" aca="1" ref="S35" ca="1">IF(SwitchPA=1,_xll.TR(S$7,S$6,"Sdate=#1 Period=#2 NULL=BLANK",,$D35,$E$4),S35)</f>
        <v>10.812006971228</v>
      </c>
      <c r="T35" s="1506" cm="1">
        <f t="array" aca="1" ref="T35" ca="1">IF(SwitchPA=1,_xll.TR(T$7,T$6,"Sdate=#1 Period=#2 NULL=BLANK",,$D35,$E$4),T35)</f>
        <v>6.5684517590041196</v>
      </c>
      <c r="U35" s="1506" t="str" cm="1">
        <f t="array" aca="1" ref="U35" ca="1">IF(SwitchPA=1,_xll.TR(U$7,U$6,"Sdate=#1 Period=#2 NULL=BLANK",,$D35,$E$4),U35)</f>
        <v>No universe defined.</v>
      </c>
      <c r="V35" s="1506" t="str" cm="1">
        <f t="array" aca="1" ref="V35" ca="1">IF(SwitchPA=1,_xll.TR(V$7,V$6,"Sdate=#1 Period=#2 NULL=BLANK",,$D35,$E$4),V35)</f>
        <v>No universe defined.</v>
      </c>
      <c r="W35" s="1521">
        <f t="shared" ca="1" si="55"/>
        <v>-2.415258427263578E-2</v>
      </c>
      <c r="X35" s="1506" cm="1">
        <f t="array" aca="1" ref="X35" ca="1">IF(SwitchPA=1,_xll.TR(X$7,X$6,"Sdate=#1 Period=#2 NULL=BLANK",,$D35,$X$4),X35)</f>
        <v>8.5469539336658809</v>
      </c>
      <c r="Y35" s="1506" cm="1">
        <f t="array" aca="1" ref="Y35" ca="1">IF(SwitchPA=1,_xll.TR(Y$7,Y$6,"Sdate=#1 Period=#2 NULL=BLANK",,$D35,$X$4),Y35)</f>
        <v>9.6059792302720997</v>
      </c>
      <c r="Z35" s="1506" cm="1">
        <f t="array" aca="1" ref="Z35" ca="1">IF(SwitchPA=1,_xll.TR(Z$7,Z$6,"Sdate=#1 Period=#2 NULL=BLANK",,$D35,$X$4),Z35)</f>
        <v>9.1982896626509696</v>
      </c>
      <c r="AA35" s="1506" t="str" cm="1">
        <f t="array" aca="1" ref="AA35" ca="1">IF(SwitchPA=1,_xll.TR(AA$7,AA$6,"Sdate=#1 Period=#2 NULL=BLANK",,$D35,$X$4),AA35)</f>
        <v/>
      </c>
      <c r="AB35" s="1506" cm="1">
        <f t="array" aca="1" ref="AB35" ca="1">IF(SwitchPA=1,_xll.TR(AB$7,AB$6,"Sdate=#1 Period=#2 NULL=BLANK",,$D35,$X$4),AB35)</f>
        <v>6.6790980505181397</v>
      </c>
      <c r="AC35" s="1506" cm="1">
        <f t="array" aca="1" ref="AC35" ca="1">IF(SwitchPA=1,_xll.TR(AC$7,AC$6,"Sdate=#1 Period=#2 NULL=BLANK",,$D35,$X$4),AC35)</f>
        <v>9.9857756096735102</v>
      </c>
      <c r="AD35" s="1506" cm="1">
        <f t="array" aca="1" ref="AD35" ca="1">IF(SwitchPA=1,_xll.TR(AD$7,AD$6,"Sdate=#1 Period=#2 NULL=BLANK",,$D35,$X$4),AD35)</f>
        <v>6.1131577590852899</v>
      </c>
      <c r="AE35" s="1506" cm="1">
        <f t="array" aca="1" ref="AE35" ca="1">IF(SwitchPA=1,_xll.TR(AE$7,AE$6,"Sdate=#1 Period=#2 NULL=BLANK",,$D35,$X$4),AE35)</f>
        <v>8.2189604624504096</v>
      </c>
      <c r="AF35" s="1506" cm="1">
        <f t="array" aca="1" ref="AF35" ca="1">IF(SwitchPA=1,_xll.TR(AF$7,AF$6,"Sdate=#1 Period=#2 NULL=BLANK",,$D35,$X$4),AF35)</f>
        <v>13.3649451024214</v>
      </c>
      <c r="AG35" s="1506" cm="1">
        <f t="array" aca="1" ref="AG35" ca="1">IF(SwitchPA=1,_xll.TR(AG$7,AG$6,"Sdate=#1 Period=#2 NULL=BLANK",,$D35,$X$4),AG35)</f>
        <v>17.6258148808861</v>
      </c>
      <c r="AH35" s="1506" cm="1">
        <f t="array" aca="1" ref="AH35" ca="1">IF(SwitchPA=1,_xll.TR(AH$7,AH$6,"Sdate=#1 Period=#2 NULL=BLANK",,$D35,$X$4),AH35)</f>
        <v>9.8233106572179807</v>
      </c>
      <c r="AI35" s="1506" cm="1">
        <f t="array" aca="1" ref="AI35" ca="1">IF(SwitchPA=1,_xll.TR(AI$7,AI$6,"Sdate=#1 Period=#2 NULL=BLANK",,$D35,$X$4),AI35)</f>
        <v>8.7708690158708205</v>
      </c>
      <c r="AJ35" s="1506" t="str" cm="1">
        <f t="array" aca="1" ref="AJ35" ca="1">IF(SwitchPA=1,_xll.TR(AJ$7,AJ$6,"Sdate=#1 Period=#2 NULL=BLANK",,$D35,$X$4),AJ35)</f>
        <v/>
      </c>
      <c r="AK35" s="1506" cm="1">
        <f t="array" aca="1" ref="AK35" ca="1">IF(SwitchPA=1,_xll.TR(AK$7,AK$6,"Sdate=#1 Period=#2 NULL=BLANK",,$D35,$X$4),AK35)</f>
        <v>13.2088611657295</v>
      </c>
      <c r="AL35" s="1506" cm="1">
        <f t="array" aca="1" ref="AL35" ca="1">IF(SwitchPA=1,_xll.TR(AL$7,AL$6,"Sdate=#1 Period=#2 NULL=BLANK",,$D35,$X$4),AL35)</f>
        <v>11.199336260773</v>
      </c>
      <c r="AM35" s="1506" cm="1">
        <f t="array" aca="1" ref="AM35" ca="1">IF(SwitchPA=1,_xll.TR(AM$7,AM$6,"Sdate=#1 Period=#2 NULL=BLANK",,$D35,$X$4),AM35)</f>
        <v>6.8730271118302397</v>
      </c>
      <c r="AN35" s="1506" t="str" cm="1">
        <f t="array" aca="1" ref="AN35" ca="1">IF(SwitchPA=1,_xll.TR(AN$7,AN$6,"Sdate=#1 Period=#2 NULL=BLANK",,$D35,$X$4),AN35)</f>
        <v/>
      </c>
      <c r="AO35" s="1506" t="str" cm="1">
        <f t="array" aca="1" ref="AO35" ca="1">IF(SwitchPA=1,_xll.TR(AO$7,AO$6,"Sdate=#1 Period=#2 NULL=BLANK",,$D35,$X$4),AO35)</f>
        <v/>
      </c>
      <c r="AQ35" s="1506" cm="1">
        <f t="array" aca="1" ref="AQ35" ca="1">IF(SwitchPA=1,_xll.TR(AQ$7,AQ$6,"Sdate=#1 Period=#2 NULL=BLANK Scale=6",,$D35,$AQ$4),AQ35)</f>
        <v>10.07222</v>
      </c>
      <c r="AR35" s="1506" cm="1">
        <f t="array" aca="1" ref="AR35" ca="1">IF(SwitchPA=1,_xll.TR(AR$7,AR$6,"Sdate=#1 Period=#2 NULL=BLANK Scale=6",,$D35,$AQ$4),AR35)</f>
        <v>18.620833333333302</v>
      </c>
      <c r="AS35" s="1506" cm="1">
        <f t="array" aca="1" ref="AS35" ca="1">IF(SwitchPA=1,_xll.TR(AS$7,AS$6,"Sdate=#1 Period=#2 NULL=BLANK Scale=6",,$D35,$AQ$4),AS35)</f>
        <v>10.7361083333333</v>
      </c>
      <c r="AT35" s="1506" t="str" cm="1">
        <f t="array" aca="1" ref="AT35" ca="1">IF(SwitchPA=1,_xll.TR(AT$7,AT$6,"Sdate=#1 Period=#2 NULL=BLANK Scale=6",,$D35,$AQ$4),AT35)</f>
        <v/>
      </c>
      <c r="AU35" s="1506" cm="1">
        <f t="array" aca="1" ref="AU35" ca="1">IF(SwitchPA=1,_xll.TR(AU$7,AU$6,"Sdate=#1 Period=#2 NULL=BLANK Scale=6",,$D35,$AQ$4),AU35)</f>
        <v>24.286108333333299</v>
      </c>
      <c r="AV35" s="1506" cm="1">
        <f t="array" aca="1" ref="AV35" ca="1">IF(SwitchPA=1,_xll.TR(AV$7,AV$6,"Sdate=#1 Period=#2 NULL=BLANK Scale=6",,$D35,$AQ$4),AV35)</f>
        <v>4.9833333333333298</v>
      </c>
      <c r="AW35" s="1506" cm="1">
        <f t="array" aca="1" ref="AW35" ca="1">IF(SwitchPA=1,_xll.TR(AW$7,AW$6,"Sdate=#1 Period=#2 NULL=BLANK Scale=6",,$D35,$AQ$4),AW35)</f>
        <v>10.897225000000001</v>
      </c>
      <c r="AX35" s="1506" cm="1">
        <f t="array" aca="1" ref="AX35" ca="1">IF(SwitchPA=1,_xll.TR(AX$7,AX$6,"Sdate=#1 Period=#2 NULL=BLANK Scale=6",,$D35,$AQ$4),AX35)</f>
        <v>9.19166666666667</v>
      </c>
      <c r="AY35" s="1506" cm="1">
        <f t="array" aca="1" ref="AY35" ca="1">IF(SwitchPA=1,_xll.TR(AY$7,AY$6,"Sdate=#1 Period=#2 NULL=BLANK Scale=6",,$D35,$AQ$4),AY35)</f>
        <v>19.838333333333299</v>
      </c>
      <c r="AZ35" s="1506" cm="1">
        <f t="array" aca="1" ref="AZ35" ca="1">IF(SwitchPA=1,_xll.TR(AZ$7,AZ$6,"Sdate=#1 Period=#2 NULL=BLANK Scale=6",,$D35,$AQ$4),AZ35)</f>
        <v>18.716666666666701</v>
      </c>
      <c r="BA35" s="1506" t="str" cm="1">
        <f t="array" aca="1" ref="BA35" ca="1">IF(SwitchPA=1,_xll.TR(BA$7,BA$6,"Sdate=#1 Period=#2 NULL=BLANK Scale=6",,$D35,$AQ$4),BA35)</f>
        <v/>
      </c>
      <c r="BB35" s="1506" t="str" cm="1">
        <f t="array" aca="1" ref="BB35" ca="1">IF(SwitchPA=1,_xll.TR(BB$7,BB$6,"Sdate=#1 Period=#2 NULL=BLANK Scale=6",,$D35,$AQ$4),BB35)</f>
        <v/>
      </c>
      <c r="BC35" s="1506" t="str" cm="1">
        <f t="array" aca="1" ref="BC35" ca="1">IF(SwitchPA=1,_xll.TR(BC$7,BC$6,"Sdate=#1 Period=#2 NULL=BLANK Scale=6",,$D35,$AQ$4),BC35)</f>
        <v/>
      </c>
      <c r="BD35" s="1506" cm="1">
        <f t="array" aca="1" ref="BD35" ca="1">IF(SwitchPA=1,_xll.TR(BD$7,BD$6,"Sdate=#1 Period=#2 NULL=BLANK Scale=6",,$D35,$AQ$4),BD35)</f>
        <v>16.100000000000001</v>
      </c>
      <c r="BE35" s="1506" cm="1">
        <f t="array" aca="1" ref="BE35" ca="1">IF(SwitchPA=1,_xll.TR(BE$7,BE$6,"Sdate=#1 Period=#2 NULL=BLANK Scale=6",,$D35,$AQ$4),BE35)</f>
        <v>18.994441666666699</v>
      </c>
      <c r="BF35" s="1506" cm="1">
        <f t="array" aca="1" ref="BF35" ca="1">IF(SwitchPA=1,_xll.TR(BF$7,BF$6,"Sdate=#1 Period=#2 NULL=BLANK Scale=6",,$D35,$AQ$4),BF35)</f>
        <v>8.5625</v>
      </c>
      <c r="BG35" s="1506" t="str" cm="1">
        <f t="array" aca="1" ref="BG35" ca="1">IF(SwitchPA=1,_xll.TR(BG$7,BG$6,"Sdate=#1 Period=#2 NULL=BLANK Scale=6",,$D35,$AQ$4),BG35)</f>
        <v/>
      </c>
      <c r="BH35" s="1506" t="str" cm="1">
        <f t="array" aca="1" ref="BH35" ca="1">IF(SwitchPA=1,_xll.TR(BH$7,BH$6,"Sdate=#1 Period=#2 NULL=BLANK Scale=6",,$D35,$AQ$4),BH35)</f>
        <v/>
      </c>
      <c r="BJ35" s="1506" cm="1">
        <f t="array" aca="1" ref="BJ35" ca="1">IF(SwitchPA=1,_xll.TR(BJ$7,BJ$6,"Sdate=#1 Period=#2 NULL=BLANK Scale=6",,$D35,$BJ$4),BJ35)</f>
        <v>8.6267472850000004</v>
      </c>
      <c r="BK35" s="1506" cm="1">
        <f t="array" aca="1" ref="BK35" ca="1">IF(SwitchPA=1,_xll.TR(BK$7,BK$6,"Sdate=#1 Period=#2 NULL=BLANK Scale=6",,$D35,$BJ$4),BK35)</f>
        <v>12.330437884</v>
      </c>
      <c r="BL35" s="1506" cm="1">
        <f t="array" aca="1" ref="BL35" ca="1">IF(SwitchPA=1,_xll.TR(BL$7,BL$6,"Sdate=#1 Period=#2 NULL=BLANK Scale=6",,$D35,$BJ$4),BL35)</f>
        <v>8.6556107630000003</v>
      </c>
      <c r="BM35" s="1506" t="str" cm="1">
        <f t="array" aca="1" ref="BM35" ca="1">IF(SwitchPA=1,_xll.TR(BM$7,BM$6,"Sdate=#1 Period=#2 NULL=BLANK Scale=6",,$D35,$BJ$4),BM35)</f>
        <v/>
      </c>
      <c r="BN35" s="1506" cm="1">
        <f t="array" aca="1" ref="BN35" ca="1">IF(SwitchPA=1,_xll.TR(BN$7,BN$6,"Sdate=#1 Period=#2 NULL=BLANK Scale=6",,$D35,$BJ$4),BN35)</f>
        <v>7.2375616379999999</v>
      </c>
      <c r="BO35" s="1506" cm="1">
        <f t="array" aca="1" ref="BO35" ca="1">IF(SwitchPA=1,_xll.TR(BO$7,BO$6,"Sdate=#1 Period=#2 NULL=BLANK Scale=6",,$D35,$BJ$4),BO35)</f>
        <v>10.347005333</v>
      </c>
      <c r="BP35" s="1506" cm="1">
        <f t="array" aca="1" ref="BP35" ca="1">IF(SwitchPA=1,_xll.TR(BP$7,BP$6,"Sdate=#1 Period=#2 NULL=BLANK Scale=6",,$D35,$BJ$4),BP35)</f>
        <v>5.6809660800000001</v>
      </c>
      <c r="BQ35" s="1506" cm="1">
        <f t="array" aca="1" ref="BQ35" ca="1">IF(SwitchPA=1,_xll.TR(BQ$7,BQ$6,"Sdate=#1 Period=#2 NULL=BLANK Scale=6",,$D35,$BJ$4),BQ35)</f>
        <v>10.001806331999999</v>
      </c>
      <c r="BR35" s="1506" cm="1">
        <f t="array" aca="1" ref="BR35" ca="1">IF(SwitchPA=1,_xll.TR(BR$7,BR$6,"Sdate=#1 Period=#2 NULL=BLANK Scale=6",,$D35,$BJ$4),BR35)</f>
        <v>13.983067572</v>
      </c>
      <c r="BS35" s="1506" cm="1">
        <f t="array" aca="1" ref="BS35" ca="1">IF(SwitchPA=1,_xll.TR(BS$7,BS$6,"Sdate=#1 Period=#2 NULL=BLANK Scale=6",,$D35,$BJ$4),BS35)</f>
        <v>17.017417163000001</v>
      </c>
      <c r="BT35" s="1506" cm="1">
        <f t="array" aca="1" ref="BT35" ca="1">IF(SwitchPA=1,_xll.TR(BT$7,BT$6,"Sdate=#1 Period=#2 NULL=BLANK Scale=6",,$D35,$BJ$4),BT35)</f>
        <v>24.999705900999999</v>
      </c>
      <c r="BU35" s="1506" cm="1">
        <f t="array" aca="1" ref="BU35" ca="1">IF(SwitchPA=1,_xll.TR(BU$7,BU$6,"Sdate=#1 Period=#2 NULL=BLANK Scale=6",,$D35,$BJ$4),BU35)</f>
        <v>9.4086967520000009</v>
      </c>
      <c r="BV35" s="1506" t="str" cm="1">
        <f t="array" aca="1" ref="BV35" ca="1">IF(SwitchPA=1,_xll.TR(BV$7,BV$6,"Sdate=#1 Period=#2 NULL=BLANK Scale=6",,$D35,$BJ$4),BV35)</f>
        <v/>
      </c>
      <c r="BW35" s="1506" cm="1">
        <f t="array" aca="1" ref="BW35" ca="1">IF(SwitchPA=1,_xll.TR(BW$7,BW$6,"Sdate=#1 Period=#2 NULL=BLANK Scale=6",,$D35,$BJ$4),BW35)</f>
        <v>22.897073966000001</v>
      </c>
      <c r="BX35" s="1506" cm="1">
        <f t="array" aca="1" ref="BX35" ca="1">IF(SwitchPA=1,_xll.TR(BX$7,BX$6,"Sdate=#1 Period=#2 NULL=BLANK Scale=6",,$D35,$BJ$4),BX35)</f>
        <v>11.361997071999999</v>
      </c>
      <c r="BY35" s="1506" cm="1">
        <f t="array" aca="1" ref="BY35" ca="1">IF(SwitchPA=1,_xll.TR(BY$7,BY$6,"Sdate=#1 Period=#2 NULL=BLANK Scale=6",,$D35,$BJ$4),BY35)</f>
        <v>8.6332591579999995</v>
      </c>
      <c r="BZ35" s="1506" t="str" cm="1">
        <f t="array" aca="1" ref="BZ35" ca="1">IF(SwitchPA=1,_xll.TR(BZ$7,BZ$6,"Sdate=#1 Period=#2 NULL=BLANK Scale=6",,$D35,$BJ$4),BZ35)</f>
        <v/>
      </c>
      <c r="CA35" s="1506" t="str" cm="1">
        <f t="array" aca="1" ref="CA35" ca="1">IF(SwitchPA=1,_xll.TR(CA$7,CA$6,"Sdate=#1 Period=#2 NULL=BLANK Scale=6",,$D35,$BJ$4),CA35)</f>
        <v/>
      </c>
      <c r="CC35" s="1506" cm="1">
        <f t="array" aca="1" ref="CC35" ca="1">IF(SwitchPA=1,_xll.TR(CC$7,CC$6,"Sdate=#1 Period=#2 NULL=BLANK Scale=6",,$D35,$CC$4),CC35)</f>
        <v>9008</v>
      </c>
      <c r="CD35" s="1506" cm="1">
        <f t="array" aca="1" ref="CD35" ca="1">IF(SwitchPA=1,_xll.TR(CD$7,CD$6,"Sdate=#1 Period=#2 NULL=BLANK Scale=6",,$D35,$CC$4),CD35)</f>
        <v>5389</v>
      </c>
      <c r="CE35" s="1506" cm="1">
        <f t="array" aca="1" ref="CE35" ca="1">IF(SwitchPA=1,_xll.TR(CE$7,CE$6,"Sdate=#1 Period=#2 NULL=BLANK Scale=6",,$D35,$CC$4),CE35)</f>
        <v>56584</v>
      </c>
      <c r="CF35" s="1506" t="str" cm="1">
        <f t="array" aca="1" ref="CF35" ca="1">IF(SwitchPA=1,_xll.TR(CF$7,CF$6,"Sdate=#1 Period=#2 NULL=BLANK Scale=6",,$D35,$CC$4),CF35)</f>
        <v/>
      </c>
      <c r="CG35" s="1506" cm="1">
        <f t="array" aca="1" ref="CG35" ca="1">IF(SwitchPA=1,_xll.TR(CG$7,CG$6,"Sdate=#1 Period=#2 NULL=BLANK Scale=6",,$D35,$CC$4),CG35)</f>
        <v>29183</v>
      </c>
      <c r="CH35" s="1506" cm="1">
        <f t="array" aca="1" ref="CH35" ca="1">IF(SwitchPA=1,_xll.TR(CH$7,CH$6,"Sdate=#1 Period=#2 NULL=BLANK Scale=6",,$D35,$CC$4),CH35)</f>
        <v>5550.6</v>
      </c>
      <c r="CI35" s="1506" cm="1">
        <f t="array" aca="1" ref="CI35" ca="1">IF(SwitchPA=1,_xll.TR(CI$7,CI$6,"Sdate=#1 Period=#2 NULL=BLANK Scale=6",,$D35,$CC$4),CI35)</f>
        <v>12726</v>
      </c>
      <c r="CJ35" s="1506" t="str" cm="1">
        <f t="array" aca="1" ref="CJ35" ca="1">IF(SwitchPA=1,_xll.TR(CJ$7,CJ$6,"Sdate=#1 Period=#2 NULL=BLANK Scale=6",,$D35,$CC$4),CJ35)</f>
        <v/>
      </c>
      <c r="CK35" s="1506" cm="1">
        <f t="array" aca="1" ref="CK35" ca="1">IF(SwitchPA=1,_xll.TR(CK$7,CK$6,"Sdate=#1 Period=#2 NULL=BLANK Scale=6",,$D35,$CC$4),CK35)</f>
        <v>30109</v>
      </c>
      <c r="CL35" s="1506" cm="1">
        <f t="array" aca="1" ref="CL35" ca="1">IF(SwitchPA=1,_xll.TR(CL$7,CL$6,"Sdate=#1 Period=#2 NULL=BLANK Scale=6",,$D35,$CC$4),CL35)</f>
        <v>2703.1579999999999</v>
      </c>
      <c r="CM35" s="1506" cm="1">
        <f t="array" aca="1" ref="CM35" ca="1">IF(SwitchPA=1,_xll.TR(CM$7,CM$6,"Sdate=#1 Period=#2 NULL=BLANK Scale=6",,$D35,$CC$4),CM35)</f>
        <v>3495</v>
      </c>
      <c r="CN35" s="1506" cm="1">
        <f t="array" aca="1" ref="CN35" ca="1">IF(SwitchPA=1,_xll.TR(CN$7,CN$6,"Sdate=#1 Period=#2 NULL=BLANK Scale=6",,$D35,$CC$4),CN35)</f>
        <v>2938.6</v>
      </c>
      <c r="CO35" s="1506" cm="1">
        <f t="array" aca="1" ref="CO35" ca="1">IF(SwitchPA=1,_xll.TR(CO$7,CO$6,"Sdate=#1 Period=#2 NULL=BLANK Scale=6",,$D35,$CC$4),CO35)</f>
        <v>48158</v>
      </c>
      <c r="CP35" s="1506" cm="1">
        <f t="array" aca="1" ref="CP35" ca="1">IF(SwitchPA=1,_xll.TR(CP$7,CP$6,"Sdate=#1 Period=#2 NULL=BLANK Scale=6",,$D35,$CC$4),CP35)</f>
        <v>2538.9</v>
      </c>
      <c r="CQ35" s="1506" cm="1">
        <f t="array" aca="1" ref="CQ35" ca="1">IF(SwitchPA=1,_xll.TR(CQ$7,CQ$6,"Sdate=#1 Period=#2 NULL=BLANK Scale=6",,$D35,$CC$4),CQ35)</f>
        <v>14270</v>
      </c>
      <c r="CR35" s="1506" cm="1">
        <f t="array" aca="1" ref="CR35" ca="1">IF(SwitchPA=1,_xll.TR(CR$7,CR$6,"Sdate=#1 Period=#2 NULL=BLANK Scale=6",,$D35,$CC$4),CR35)</f>
        <v>9839</v>
      </c>
      <c r="CS35" s="1506" t="str" cm="1">
        <f t="array" aca="1" ref="CS35" ca="1">IF(SwitchPA=1,_xll.TR(CS$7,CS$6,"Sdate=#1 Period=#2 NULL=BLANK Scale=6",,$D35,$CC$4),CS35)</f>
        <v>Unable to resolve and collect data for all requested identifiers and fields.</v>
      </c>
      <c r="CT35" s="1506" t="str" cm="1">
        <f t="array" aca="1" ref="CT35" ca="1">IF(SwitchPA=1,_xll.TR(CT$7,CT$6,"Sdate=#1 Period=#2 NULL=BLANK Scale=6",,$D35,$CC$4),CT35)</f>
        <v>Unable to resolve and collect data for all requested identifiers and fields.</v>
      </c>
      <c r="CV35" s="1516" cm="1">
        <f t="array" aca="1" ref="CV35" ca="1">IF(SwitchPA=1,_xll.TR(CV$7,CV$6,"Sdate=#1 Period=#2 NULL=BLANK Scale=6",,$D35,$AQ$4),CV35)</f>
        <v>5205</v>
      </c>
      <c r="CW35" s="1516" cm="1">
        <f t="array" aca="1" ref="CW35" ca="1">IF(SwitchPA=1,_xll.TR(CW$7,CW$6,"Sdate=#1 Period=#2 NULL=BLANK Scale=6",,$D35,$AQ$4),CW35)</f>
        <v>3595.75</v>
      </c>
      <c r="CX35" s="1516" cm="1">
        <f t="array" aca="1" ref="CX35" ca="1">IF(SwitchPA=1,_xll.TR(CX$7,CX$6,"Sdate=#1 Period=#2 NULL=BLANK Scale=6",,$D35,$AQ$4),CX35)</f>
        <v>25183.25</v>
      </c>
      <c r="CY35" s="1516" t="str" cm="1">
        <f t="array" aca="1" ref="CY35" ca="1">IF(SwitchPA=1,_xll.TR(CY$7,CY$6,"Sdate=#1 Period=#2 NULL=BLANK Scale=6",,$D35,$AQ$4),CY35)</f>
        <v/>
      </c>
      <c r="CZ35" s="1516" cm="1">
        <f t="array" aca="1" ref="CZ35" ca="1">IF(SwitchPA=1,_xll.TR(CZ$7,CZ$6,"Sdate=#1 Period=#2 NULL=BLANK Scale=6",,$D35,$AQ$4),CZ35)</f>
        <v>9812</v>
      </c>
      <c r="DA35" s="1516" cm="1">
        <f t="array" aca="1" ref="DA35" ca="1">IF(SwitchPA=1,_xll.TR(DA$7,DA$6,"Sdate=#1 Period=#2 NULL=BLANK Scale=6",,$D35,$AQ$4),DA35)</f>
        <v>3767.7750000000001</v>
      </c>
      <c r="DB35" s="1516" cm="1">
        <f t="array" aca="1" ref="DB35" ca="1">IF(SwitchPA=1,_xll.TR(DB$7,DB$6,"Sdate=#1 Period=#2 NULL=BLANK Scale=6",,$D35,$AQ$4),DB35)</f>
        <v>5804</v>
      </c>
      <c r="DC35" s="1516" t="str" cm="1">
        <f t="array" aca="1" ref="DC35" ca="1">IF(SwitchPA=1,_xll.TR(DC$7,DC$6,"Sdate=#1 Period=#2 NULL=BLANK Scale=6",,$D35,$AQ$4),DC35)</f>
        <v/>
      </c>
      <c r="DD35" s="1516" cm="1">
        <f t="array" aca="1" ref="DD35" ca="1">IF(SwitchPA=1,_xll.TR(DD$7,DD$6,"Sdate=#1 Period=#2 NULL=BLANK Scale=6",,$D35,$AQ$4),DD35)</f>
        <v>8601.25</v>
      </c>
      <c r="DE35" s="1516" cm="1">
        <f t="array" aca="1" ref="DE35" ca="1">IF(SwitchPA=1,_xll.TR(DE$7,DE$6,"Sdate=#1 Period=#2 NULL=BLANK Scale=6",,$D35,$AQ$4),DE35)</f>
        <v>2375.4335000000001</v>
      </c>
      <c r="DF35" s="1516" cm="1">
        <f t="array" aca="1" ref="DF35" ca="1">IF(SwitchPA=1,_xll.TR(DF$7,DF$6,"Sdate=#1 Period=#2 NULL=BLANK Scale=6",,$D35,$AQ$4),DF35)</f>
        <v>2105.5</v>
      </c>
      <c r="DG35" s="1516" cm="1">
        <f t="array" aca="1" ref="DG35" ca="1">IF(SwitchPA=1,_xll.TR(DG$7,DG$6,"Sdate=#1 Period=#2 NULL=BLANK Scale=6",,$D35,$AQ$4),DG35)</f>
        <v>548.22500000000002</v>
      </c>
      <c r="DH35" s="1516" t="str" cm="1">
        <f t="array" aca="1" ref="DH35" ca="1">IF(SwitchPA=1,_xll.TR(DH$7,DH$6,"Sdate=#1 Period=#2 NULL=BLANK Scale=6",,$D35,$AQ$4),DH35)</f>
        <v/>
      </c>
      <c r="DI35" s="1516" cm="1">
        <f t="array" aca="1" ref="DI35" ca="1">IF(SwitchPA=1,_xll.TR(DI$7,DI$6,"Sdate=#1 Period=#2 NULL=BLANK Scale=6",,$D35,$AQ$4),DI35)</f>
        <v>905.7</v>
      </c>
      <c r="DJ35" s="1516" cm="1">
        <f t="array" aca="1" ref="DJ35" ca="1">IF(SwitchPA=1,_xll.TR(DJ$7,DJ$6,"Sdate=#1 Period=#2 NULL=BLANK Scale=6",,$D35,$AQ$4),DJ35)</f>
        <v>2864.75</v>
      </c>
      <c r="DK35" s="1516" cm="1">
        <f t="array" aca="1" ref="DK35" ca="1">IF(SwitchPA=1,_xll.TR(DK$7,DK$6,"Sdate=#1 Period=#2 NULL=BLANK Scale=6",,$D35,$AQ$4),DK35)</f>
        <v>6787.75</v>
      </c>
      <c r="DL35" s="1516" t="str" cm="1">
        <f t="array" aca="1" ref="DL35" ca="1">IF(SwitchPA=1,_xll.TR(DL$7,DL$6,"Sdate=#1 Period=#2 NULL=BLANK Scale=6",,$D35,$AQ$4),DL35)</f>
        <v>Unable to resolve all requested identifiers.</v>
      </c>
      <c r="DM35" s="1516" t="str" cm="1">
        <f t="array" aca="1" ref="DM35" ca="1">IF(SwitchPA=1,_xll.TR(DM$7,DM$6,"Sdate=#1 Period=#2 NULL=BLANK Scale=6",,$D35,$AQ$4),DM35)</f>
        <v>Unable to resolve all requested identifiers.</v>
      </c>
      <c r="DO35" s="1506" cm="1">
        <f t="array" aca="1" ref="DO35" ca="1">IF(SwitchPA=1,_xll.TR(DO$7,DO$6,"Sdate=#1 Period=#2 Scale=6 NULL=BLANK",,$D35,$X$4),DO35)</f>
        <v>18280.077495919999</v>
      </c>
      <c r="DP35" s="1506" cm="1">
        <f t="array" aca="1" ref="DP35" ca="1">IF(SwitchPA=1,_xll.TR(DP$7,DP$6,"Sdate=#1 Period=#2 Scale=6 NULL=BLANK",,$D35,$X$4),DP35)</f>
        <v>15228.09078688</v>
      </c>
      <c r="DQ35" s="1506" cm="1">
        <f t="array" aca="1" ref="DQ35" ca="1">IF(SwitchPA=1,_xll.TR(DQ$7,DQ$6,"Sdate=#1 Period=#2 Scale=6 NULL=BLANK",,$D35,$X$4),DQ35)</f>
        <v>95471.386721200004</v>
      </c>
      <c r="DR35" s="1506" t="str" cm="1">
        <f t="array" aca="1" ref="DR35" ca="1">IF(SwitchPA=1,_xll.TR(DR$7,DR$6,"Sdate=#1 Period=#2 Scale=6 NULL=BLANK",,$D35,$X$4),DR35)</f>
        <v/>
      </c>
      <c r="DS35" s="1506" cm="1">
        <f t="array" aca="1" ref="DS35" ca="1">IF(SwitchPA=1,_xll.TR(DS$7,DS$6,"Sdate=#1 Period=#2 Scale=6 NULL=BLANK",,$D35,$X$4),DS35)</f>
        <v>44778.793855249998</v>
      </c>
      <c r="DT35" s="1506" cm="1">
        <f t="array" aca="1" ref="DT35" ca="1">IF(SwitchPA=1,_xll.TR(DT$7,DT$6,"Sdate=#1 Period=#2 Scale=6 NULL=BLANK",,$D35,$X$4),DT35)</f>
        <v>8505.2383835000001</v>
      </c>
      <c r="DU35" s="1506" cm="1">
        <f t="array" aca="1" ref="DU35" ca="1">IF(SwitchPA=1,_xll.TR(DU$7,DU$6,"Sdate=#1 Period=#2 Scale=6 NULL=BLANK",,$D35,$X$4),DU35)</f>
        <v>13230.97</v>
      </c>
      <c r="DV35" s="1506" cm="1">
        <f t="array" aca="1" ref="DV35" ca="1">IF(SwitchPA=1,_xll.TR(DV$7,DV$6,"Sdate=#1 Period=#2 Scale=6 NULL=BLANK",,$D35,$X$4),DV35)</f>
        <v>9511.7178221600007</v>
      </c>
      <c r="DW35" s="1506" cm="1">
        <f t="array" aca="1" ref="DW35" ca="1">IF(SwitchPA=1,_xll.TR(DW$7,DW$6,"Sdate=#1 Period=#2 Scale=6 NULL=BLANK",,$D35,$X$4),DW35)</f>
        <v>117331.92</v>
      </c>
      <c r="DX35" s="1506" cm="1">
        <f t="array" aca="1" ref="DX35" ca="1">IF(SwitchPA=1,_xll.TR(DX$7,DX$6,"Sdate=#1 Period=#2 Scale=6 NULL=BLANK",,$D35,$X$4),DX35)</f>
        <v>13624.824877409999</v>
      </c>
      <c r="DY35" s="1506" cm="1">
        <f t="array" aca="1" ref="DY35" ca="1">IF(SwitchPA=1,_xll.TR(DY$7,DY$6,"Sdate=#1 Period=#2 Scale=6 NULL=BLANK",,$D35,$X$4),DY35)</f>
        <v>9549.8876542399994</v>
      </c>
      <c r="DZ35" s="1506" cm="1">
        <f t="array" aca="1" ref="DZ35" ca="1">IF(SwitchPA=1,_xll.TR(DZ$7,DZ$6,"Sdate=#1 Period=#2 Scale=6 NULL=BLANK",,$D35,$X$4),DZ35)</f>
        <v>3824.63522956</v>
      </c>
      <c r="EA35" s="1506" t="str" cm="1">
        <f t="array" aca="1" ref="EA35" ca="1">IF(SwitchPA=1,_xll.TR(EA$7,EA$6,"Sdate=#1 Period=#2 Scale=6 NULL=BLANK",,$D35,$X$4),EA35)</f>
        <v/>
      </c>
      <c r="EB35" s="1506" cm="1">
        <f t="array" aca="1" ref="EB35" ca="1">IF(SwitchPA=1,_xll.TR(EB$7,EB$6,"Sdate=#1 Period=#2 Scale=6 NULL=BLANK",,$D35,$X$4),EB35)</f>
        <v>9644.2475543599994</v>
      </c>
      <c r="EC35" s="1506" cm="1">
        <f t="array" aca="1" ref="EC35" ca="1">IF(SwitchPA=1,_xll.TR(EC$7,EC$6,"Sdate=#1 Period=#2 Scale=6 NULL=BLANK",,$D35,$X$4),EC35)</f>
        <v>29632.088365</v>
      </c>
      <c r="ED35" s="1506" cm="1">
        <f t="array" aca="1" ref="ED35" ca="1">IF(SwitchPA=1,_xll.TR(ED$7,ED$6,"Sdate=#1 Period=#2 Scale=6 NULL=BLANK",,$D35,$X$4),ED35)</f>
        <v>16610.390620800001</v>
      </c>
      <c r="EE35" s="1506" t="str" cm="1">
        <f t="array" aca="1" ref="EE35" ca="1">IF(SwitchPA=1,_xll.TR(EE$7,EE$6,"Sdate=#1 Period=#2 Scale=6 NULL=BLANK",,$D35,$X$4),EE35)</f>
        <v/>
      </c>
      <c r="EF35" s="1506" t="str" cm="1">
        <f t="array" aca="1" ref="EF35" ca="1">IF(SwitchPA=1,_xll.TR(EF$7,EF$6,"Sdate=#1 Period=#2 Scale=6 NULL=BLANK",,$D35,$X$4),EF35)</f>
        <v/>
      </c>
      <c r="EG35" s="1517"/>
      <c r="EH35" s="1506" cm="1">
        <f t="array" aca="1" ref="EH35" ca="1">IF(SwitchPA=1,_xll.TR(EH$7,EH$6,"Sdate=#1 Period=#2 Scale=6 NULL=BLANK",,$D35,$X$4),EH35)</f>
        <v>1534</v>
      </c>
      <c r="EI35" s="1506" cm="1">
        <f t="array" aca="1" ref="EI35" ca="1">IF(SwitchPA=1,_xll.TR(EI$7,EI$6,"Sdate=#1 Period=#2 Scale=6 NULL=BLANK",,$D35,$X$4),EI35)</f>
        <v>902</v>
      </c>
      <c r="EJ35" s="1506" cm="1">
        <f t="array" aca="1" ref="EJ35" ca="1">IF(SwitchPA=1,_xll.TR(EJ$7,EJ$6,"Sdate=#1 Period=#2 Scale=6 NULL=BLANK",,$D35,$X$4),EJ35)</f>
        <v>6424</v>
      </c>
      <c r="EK35" s="1506" t="str" cm="1">
        <f t="array" aca="1" ref="EK35" ca="1">IF(SwitchPA=1,_xll.TR(EK$7,EK$6,"Sdate=#1 Period=#2 Scale=6 NULL=BLANK",,$D35,$X$4),EK35)</f>
        <v/>
      </c>
      <c r="EL35" s="1506" cm="1">
        <f t="array" aca="1" ref="EL35" ca="1">IF(SwitchPA=1,_xll.TR(EL$7,EL$6,"Sdate=#1 Period=#2 Scale=6 NULL=BLANK",,$D35,$X$4),EL35)</f>
        <v>5082</v>
      </c>
      <c r="EM35" s="1506" cm="1">
        <f t="array" aca="1" ref="EM35" ca="1">IF(SwitchPA=1,_xll.TR(EM$7,EM$6,"Sdate=#1 Period=#2 Scale=6 NULL=BLANK",,$D35,$X$4),EM35)</f>
        <v>325.8</v>
      </c>
      <c r="EN35" s="1506" cm="1">
        <f t="array" aca="1" ref="EN35" ca="1">IF(SwitchPA=1,_xll.TR(EN$7,EN$6,"Sdate=#1 Period=#2 Scale=6 NULL=BLANK",,$D35,$X$4),EN35)</f>
        <v>1584</v>
      </c>
      <c r="EO35" s="1506" t="str" cm="1">
        <f t="array" aca="1" ref="EO35" ca="1">IF(SwitchPA=1,_xll.TR(EO$7,EO$6,"Sdate=#1 Period=#2 Scale=6 NULL=BLANK",,$D35,$X$4),EO35)</f>
        <v/>
      </c>
      <c r="EP35" s="1506" cm="1">
        <f t="array" aca="1" ref="EP35" ca="1">IF(SwitchPA=1,_xll.TR(EP$7,EP$6,"Sdate=#1 Period=#2 Scale=6 NULL=BLANK",,$D35,$X$4),EP35)</f>
        <v>6917</v>
      </c>
      <c r="EQ35" s="1506" cm="1">
        <f t="array" aca="1" ref="EQ35" ca="1">IF(SwitchPA=1,_xll.TR(EQ$7,EQ$6,"Sdate=#1 Period=#2 Scale=6 NULL=BLANK",,$D35,$X$4),EQ35)</f>
        <v>581.38</v>
      </c>
      <c r="ER35" s="1506" cm="1">
        <f t="array" aca="1" ref="ER35" ca="1">IF(SwitchPA=1,_xll.TR(ER$7,ER$6,"Sdate=#1 Period=#2 Scale=6 NULL=BLANK",,$D35,$X$4),ER35)</f>
        <v>282</v>
      </c>
      <c r="ES35" s="1506" cm="1">
        <f t="array" aca="1" ref="ES35" ca="1">IF(SwitchPA=1,_xll.TR(ES$7,ES$6,"Sdate=#1 Period=#2 Scale=6 NULL=BLANK",,$D35,$X$4),ES35)</f>
        <v>292.39999999999998</v>
      </c>
      <c r="ET35" s="1506" cm="1">
        <f t="array" aca="1" ref="ET35" ca="1">IF(SwitchPA=1,_xll.TR(ET$7,ET$6,"Sdate=#1 Period=#2 Scale=6 NULL=BLANK",,$D35,$X$4),ET35)</f>
        <v>6886</v>
      </c>
      <c r="EU35" s="1506" cm="1">
        <f t="array" aca="1" ref="EU35" ca="1">IF(SwitchPA=1,_xll.TR(EU$7,EU$6,"Sdate=#1 Period=#2 Scale=6 NULL=BLANK",,$D35,$X$4),EU35)</f>
        <v>320.5</v>
      </c>
      <c r="EV35" s="1506" cm="1">
        <f t="array" aca="1" ref="EV35" ca="1">IF(SwitchPA=1,_xll.TR(EV$7,EV$6,"Sdate=#1 Period=#2 Scale=6 NULL=BLANK",,$D35,$X$4),EV35)</f>
        <v>2224</v>
      </c>
      <c r="EW35" s="1506" cm="1">
        <f t="array" aca="1" ref="EW35" ca="1">IF(SwitchPA=1,_xll.TR(EW$7,EW$6,"Sdate=#1 Period=#2 Scale=6 NULL=BLANK",,$D35,$X$4),EW35)</f>
        <v>873</v>
      </c>
      <c r="EX35" s="1506" t="str" cm="1">
        <f t="array" aca="1" ref="EX35" ca="1">IF(SwitchPA=1,_xll.TR(EX$7,EX$6,"Sdate=#1 Period=#2 Scale=6 NULL=BLANK",,$D35,$X$4),EX35)</f>
        <v>Unable to resolve all requested identifiers.</v>
      </c>
      <c r="EY35" s="1506" t="str" cm="1">
        <f t="array" aca="1" ref="EY35" ca="1">IF(SwitchPA=1,_xll.TR(EY$7,EY$6,"Sdate=#1 Period=#2 Scale=6 NULL=BLANK",,$D35,$X$4),EY35)</f>
        <v>Unable to resolve all requested identifiers.</v>
      </c>
      <c r="FA35" s="1506" cm="1">
        <f t="array" aca="1" ref="FA35" ca="1">IF(SwitchPA=1,_xll.TR(FA$7,FA$6,"Sdate=#1 Period=#2 Scale=6 NULL=BLANK",,$D35,$X$4),FA35)</f>
        <v>2114</v>
      </c>
      <c r="FB35" s="1506" cm="1">
        <f t="array" aca="1" ref="FB35" ca="1">IF(SwitchPA=1,_xll.TR(FB$7,FB$6,"Sdate=#1 Period=#2 Scale=6 NULL=BLANK",,$D35,$X$4),FB35)</f>
        <v>1235</v>
      </c>
      <c r="FC35" s="1506" cm="1">
        <f t="array" aca="1" ref="FC35" ca="1">IF(SwitchPA=1,_xll.TR(FC$7,FC$6,"Sdate=#1 Period=#2 Scale=6 NULL=BLANK",,$D35,$X$4),FC35)</f>
        <v>11030</v>
      </c>
      <c r="FD35" s="1506" t="str" cm="1">
        <f t="array" aca="1" ref="FD35" ca="1">IF(SwitchPA=1,_xll.TR(FD$7,FD$6,"Sdate=#1 Period=#2 Scale=6 NULL=BLANK",,$D35,$X$4),FD35)</f>
        <v/>
      </c>
      <c r="FE35" s="1506" cm="1">
        <f t="array" aca="1" ref="FE35" ca="1">IF(SwitchPA=1,_xll.TR(FE$7,FE$6,"Sdate=#1 Period=#2 Scale=6 NULL=BLANK",,$D35,$X$4),FE35)</f>
        <v>6146</v>
      </c>
      <c r="FF35" s="1506" cm="1">
        <f t="array" aca="1" ref="FF35" ca="1">IF(SwitchPA=1,_xll.TR(FF$7,FF$6,"Sdate=#1 Period=#2 Scale=6 NULL=BLANK",,$D35,$X$4),FF35)</f>
        <v>859.3</v>
      </c>
      <c r="FG35" s="1506" cm="1">
        <f t="array" aca="1" ref="FG35" ca="1">IF(SwitchPA=1,_xll.TR(FG$7,FG$6,"Sdate=#1 Period=#2 Scale=6 NULL=BLANK",,$D35,$X$4),FG35)</f>
        <v>2329</v>
      </c>
      <c r="FH35" s="1506" t="str" cm="1">
        <f t="array" aca="1" ref="FH35" ca="1">IF(SwitchPA=1,_xll.TR(FH$7,FH$6,"Sdate=#1 Period=#2 Scale=6 NULL=BLANK",,$D35,$X$4),FH35)</f>
        <v/>
      </c>
      <c r="FI35" s="1506" cm="1">
        <f t="array" aca="1" ref="FI35" ca="1">IF(SwitchPA=1,_xll.TR(FI$7,FI$6,"Sdate=#1 Period=#2 Scale=6 NULL=BLANK",,$D35,$X$4),FI35)</f>
        <v>8391</v>
      </c>
      <c r="FJ35" s="1506" cm="1">
        <f t="array" aca="1" ref="FJ35" ca="1">IF(SwitchPA=1,_xll.TR(FJ$7,FJ$6,"Sdate=#1 Period=#2 Scale=6 NULL=BLANK",,$D35,$X$4),FJ35)</f>
        <v>800.64</v>
      </c>
      <c r="FK35" s="1506" cm="1">
        <f t="array" aca="1" ref="FK35" ca="1">IF(SwitchPA=1,_xll.TR(FK$7,FK$6,"Sdate=#1 Period=#2 Scale=6 NULL=BLANK",,$D35,$X$4),FK35)</f>
        <v>382</v>
      </c>
      <c r="FL35" s="1506" cm="1">
        <f t="array" aca="1" ref="FL35" ca="1">IF(SwitchPA=1,_xll.TR(FL$7,FL$6,"Sdate=#1 Period=#2 Scale=6 NULL=BLANK",,$D35,$X$4),FL35)</f>
        <v>392.9</v>
      </c>
      <c r="FM35" s="1506" cm="1">
        <f t="array" aca="1" ref="FM35" ca="1">IF(SwitchPA=1,_xll.TR(FM$7,FM$6,"Sdate=#1 Period=#2 Scale=6 NULL=BLANK",,$D35,$X$4),FM35)</f>
        <v>8246</v>
      </c>
      <c r="FN35" s="1506" cm="1">
        <f t="array" aca="1" ref="FN35" ca="1">IF(SwitchPA=1,_xll.TR(FN$7,FN$6,"Sdate=#1 Period=#2 Scale=6 NULL=BLANK",,$D35,$X$4),FN35)</f>
        <v>403.5</v>
      </c>
      <c r="FO35" s="1506" cm="1">
        <f t="array" aca="1" ref="FO35" ca="1">IF(SwitchPA=1,_xll.TR(FO$7,FO$6,"Sdate=#1 Period=#2 Scale=6 NULL=BLANK",,$D35,$X$4),FO35)</f>
        <v>2670</v>
      </c>
      <c r="FP35" s="1506" cm="1">
        <f t="array" aca="1" ref="FP35" ca="1">IF(SwitchPA=1,_xll.TR(FP$7,FP$6,"Sdate=#1 Period=#2 Scale=6 NULL=BLANK",,$D35,$X$4),FP35)</f>
        <v>1924</v>
      </c>
      <c r="FQ35" s="1506" t="str" cm="1">
        <f t="array" aca="1" ref="FQ35" ca="1">IF(SwitchPA=1,_xll.TR(FQ$7,FQ$6,"Sdate=#1 Period=#2 Scale=6 NULL=BLANK",,$D35,$X$4),FQ35)</f>
        <v>Unable to resolve all requested identifiers.</v>
      </c>
      <c r="FS35" s="1506" cm="1">
        <f t="array" aca="1" ref="FS35" ca="1">IF(SwitchPA=1,_xll.TR(FS$7,FS$6,"Sdate=#1 Period=#2 NULL=BLANK Scale=6",,$D35,$FS$4),FS35)</f>
        <v>759</v>
      </c>
      <c r="FT35" s="1506" cm="1">
        <f t="array" aca="1" ref="FT35" ca="1">IF(SwitchPA=1,_xll.TR(FT$7,FT$6,"Sdate=#1 Period=#2 NULL=BLANK Scale=6",,$D35,$FS$4),FT35)</f>
        <v>647</v>
      </c>
      <c r="FU35" s="1506" cm="1">
        <f t="array" aca="1" ref="FU35" ca="1">IF(SwitchPA=1,_xll.TR(FU$7,FU$6,"Sdate=#1 Period=#2 NULL=BLANK Scale=6",,$D35,$FS$4),FU35)</f>
        <v>2456</v>
      </c>
      <c r="FV35" s="1506" t="str" cm="1">
        <f t="array" aca="1" ref="FV35" ca="1">IF(SwitchPA=1,_xll.TR(FV$7,FV$6,"Sdate=#1 Period=#2 NULL=BLANK Scale=6",,$D35,$FS$4),FV35)</f>
        <v/>
      </c>
      <c r="FW35" s="1506" cm="1">
        <f t="array" aca="1" ref="FW35" ca="1">IF(SwitchPA=1,_xll.TR(FW$7,FW$6,"Sdate=#1 Period=#2 NULL=BLANK Scale=6",,$D35,$FS$4),FW35)</f>
        <v>3363</v>
      </c>
      <c r="FX35" s="1506" cm="1">
        <f t="array" aca="1" ref="FX35" ca="1">IF(SwitchPA=1,_xll.TR(FX$7,FX$6,"Sdate=#1 Period=#2 NULL=BLANK Scale=6",,$D35,$FS$4),FX35)</f>
        <v>325.2</v>
      </c>
      <c r="FY35" s="1506" cm="1">
        <f t="array" aca="1" ref="FY35" ca="1">IF(SwitchPA=1,_xll.TR(FY$7,FY$6,"Sdate=#1 Period=#2 NULL=BLANK Scale=6",,$D35,$FS$4),FY35)</f>
        <v>867</v>
      </c>
      <c r="FZ35" s="1506" t="str" cm="1">
        <f t="array" aca="1" ref="FZ35" ca="1">IF(SwitchPA=1,_xll.TR(FZ$7,FZ$6,"Sdate=#1 Period=#2 NULL=BLANK Scale=6",,$D35,$FS$4),FZ35)</f>
        <v/>
      </c>
      <c r="GA35" s="1506" cm="1">
        <f t="array" aca="1" ref="GA35" ca="1">IF(SwitchPA=1,_xll.TR(GA$7,GA$6,"Sdate=#1 Period=#2 NULL=BLANK Scale=6",,$D35,$FS$4),GA35)</f>
        <v>5242</v>
      </c>
      <c r="GB35" s="1506" cm="1">
        <f t="array" aca="1" ref="GB35" ca="1">IF(SwitchPA=1,_xll.TR(GB$7,GB$6,"Sdate=#1 Period=#2 NULL=BLANK Scale=6",,$D35,$FS$4),GB35)</f>
        <v>293.51799999999997</v>
      </c>
      <c r="GC35" s="1506" cm="1">
        <f t="array" aca="1" ref="GC35" ca="1">IF(SwitchPA=1,_xll.TR(GC$7,GC$6,"Sdate=#1 Period=#2 NULL=BLANK Scale=6",,$D35,$FS$4),GC35)</f>
        <v>421</v>
      </c>
      <c r="GD35" s="1506" cm="1">
        <f t="array" aca="1" ref="GD35" ca="1">IF(SwitchPA=1,_xll.TR(GD$7,GD$6,"Sdate=#1 Period=#2 NULL=BLANK Scale=6",,$D35,$FS$4),GD35)</f>
        <v>143.4</v>
      </c>
      <c r="GE35" s="1506" t="str" cm="1">
        <f t="array" aca="1" ref="GE35" ca="1">IF(SwitchPA=1,_xll.TR(GE$7,GE$6,"Sdate=#1 Period=#2 NULL=BLANK Scale=6",,$D35,$FS$4),GE35)</f>
        <v/>
      </c>
      <c r="GF35" s="1506" cm="1">
        <f t="array" aca="1" ref="GF35" ca="1">IF(SwitchPA=1,_xll.TR(GF$7,GF$6,"Sdate=#1 Period=#2 NULL=BLANK Scale=6",,$D35,$FS$4),GF35)</f>
        <v>406.6</v>
      </c>
      <c r="GG35" s="1506" cm="1">
        <f t="array" aca="1" ref="GG35" ca="1">IF(SwitchPA=1,_xll.TR(GG$7,GG$6,"Sdate=#1 Period=#2 NULL=BLANK Scale=6",,$D35,$FS$4),GG35)</f>
        <v>971</v>
      </c>
      <c r="GH35" s="1506" cm="1">
        <f t="array" aca="1" ref="GH35" ca="1">IF(SwitchPA=1,_xll.TR(GH$7,GH$6,"Sdate=#1 Period=#2 NULL=BLANK Scale=6",,$D35,$FS$4),GH35)</f>
        <v>711</v>
      </c>
      <c r="GI35" s="1506" t="str" cm="1">
        <f t="array" aca="1" ref="GI35" ca="1">IF(SwitchPA=1,_xll.TR(GI$7,GI$6,"Sdate=#1 Period=#2 NULL=BLANK Scale=6",,$D35,$FS$4),GI35)</f>
        <v>Unable to resolve all requested identifiers.</v>
      </c>
      <c r="GK35" s="1506" cm="1">
        <f t="array" aca="1" ref="GK35" ca="1">IF(SwitchPA=1,_xll.TR(GK$7,GK$6,"Sdate=#1 Period=#2 NULL=BLANK Scale=6",,$D35,$FS$4),GK35)</f>
        <v>2.5316455696202498</v>
      </c>
      <c r="GL35" s="1506" cm="1">
        <f t="array" aca="1" ref="GL35" ca="1">IF(SwitchPA=1,_xll.TR(GL$7,GL$6,"Sdate=#1 Period=#2 NULL=BLANK Scale=6",,$D35,$FS$4),GL35)</f>
        <v>1.62932790224033</v>
      </c>
      <c r="GM35" s="1506" cm="1">
        <f t="array" aca="1" ref="GM35" ca="1">IF(SwitchPA=1,_xll.TR(GM$7,GM$6,"Sdate=#1 Period=#2 NULL=BLANK Scale=6",,$D35,$FS$4),GM35)</f>
        <v>3.2293986636971099</v>
      </c>
      <c r="GN35" s="1506" t="str" cm="1">
        <f t="array" aca="1" ref="GN35" ca="1">IF(SwitchPA=1,_xll.TR(GN$7,GN$6,"Sdate=#1 Period=#2 NULL=BLANK Scale=6",,$D35,$FS$4),GN35)</f>
        <v/>
      </c>
      <c r="GO35" s="1506" cm="1">
        <f t="array" aca="1" ref="GO35" ca="1">IF(SwitchPA=1,_xll.TR(GO$7,GO$6,"Sdate=#1 Period=#2 NULL=BLANK Scale=6",,$D35,$FS$4),GO35)</f>
        <v>3.65002683843263</v>
      </c>
      <c r="GP35" s="1506" cm="1">
        <f t="array" aca="1" ref="GP35" ca="1">IF(SwitchPA=1,_xll.TR(GP$7,GP$6,"Sdate=#1 Period=#2 NULL=BLANK Scale=6",,$D35,$FS$4),GP35)</f>
        <v>2.6711185308848102</v>
      </c>
      <c r="GQ35" s="1506" cm="1">
        <f t="array" aca="1" ref="GQ35" ca="1">IF(SwitchPA=1,_xll.TR(GQ$7,GQ$6,"Sdate=#1 Period=#2 NULL=BLANK Scale=6",,$D35,$FS$4),GQ35)</f>
        <v>3.8275919454152101</v>
      </c>
      <c r="GR35" s="1506" cm="1">
        <f t="array" aca="1" ref="GR35" ca="1">IF(SwitchPA=1,_xll.TR(GR$7,GR$6,"Sdate=#1 Period=#2 NULL=BLANK Scale=6",,$D35,$FS$4),GR35)</f>
        <v>2.30096640589047</v>
      </c>
      <c r="GS35" s="1506" cm="1">
        <f t="array" aca="1" ref="GS35" ca="1">IF(SwitchPA=1,_xll.TR(GS$7,GS$6,"Sdate=#1 Period=#2 NULL=BLANK Scale=6",,$D35,$FS$4),GS35)</f>
        <v>2.58810572687225</v>
      </c>
      <c r="GT35" s="1506" cm="1">
        <f t="array" aca="1" ref="GT35" ca="1">IF(SwitchPA=1,_xll.TR(GT$7,GT$6,"Sdate=#1 Period=#2 NULL=BLANK Scale=6",,$D35,$FS$4),GT35)</f>
        <v>1.3378659940783</v>
      </c>
      <c r="GU35" s="1506" cm="1">
        <f t="array" aca="1" ref="GU35" ca="1">IF(SwitchPA=1,_xll.TR(GU$7,GU$6,"Sdate=#1 Period=#2 NULL=BLANK Scale=6",,$D35,$FS$4),GU35)</f>
        <v>1.2948207171314701</v>
      </c>
      <c r="GV35" s="1506" cm="1">
        <f t="array" aca="1" ref="GV35" ca="1">IF(SwitchPA=1,_xll.TR(GV$7,GV$6,"Sdate=#1 Period=#2 NULL=BLANK Scale=6",,$D35,$FS$4),GV35)</f>
        <v>1.5981059485054701</v>
      </c>
      <c r="GW35" s="1506" t="str" cm="1">
        <f t="array" aca="1" ref="GW35" ca="1">IF(SwitchPA=1,_xll.TR(GW$7,GW$6,"Sdate=#1 Period=#2 NULL=BLANK Scale=6",,$D35,$FS$4),GW35)</f>
        <v/>
      </c>
      <c r="GX35" s="1506" cm="1">
        <f t="array" aca="1" ref="GX35" ca="1">IF(SwitchPA=1,_xll.TR(GX$7,GX$6,"Sdate=#1 Period=#2 NULL=BLANK Scale=6",,$D35,$FS$4),GX35)</f>
        <v>1.1367550809507401</v>
      </c>
      <c r="GY35" s="1506" cm="1">
        <f t="array" aca="1" ref="GY35" ca="1">IF(SwitchPA=1,_xll.TR(GY$7,GY$6,"Sdate=#1 Period=#2 NULL=BLANK Scale=6",,$D35,$FS$4),GY35)</f>
        <v>1.5752682878802799</v>
      </c>
      <c r="GZ35" s="1506" cm="1">
        <f t="array" aca="1" ref="GZ35" ca="1">IF(SwitchPA=1,_xll.TR(GZ$7,GZ$6,"Sdate=#1 Period=#2 NULL=BLANK Scale=6",,$D35,$FS$4),GZ35)</f>
        <v>2.89649044868947</v>
      </c>
      <c r="HA35" s="1506" t="str" cm="1">
        <f t="array" aca="1" ref="HA35" ca="1">IF(SwitchPA=1,_xll.TR(HA$7,HA$6,"Sdate=#1 Period=#2 NULL=BLANK Scale=6",,$D35,$FS$4),HA35)</f>
        <v/>
      </c>
      <c r="HC35">
        <v>2.52</v>
      </c>
      <c r="HD35">
        <v>43.29</v>
      </c>
      <c r="HE35">
        <v>43.64</v>
      </c>
      <c r="HG35" s="762">
        <f t="shared" si="52"/>
        <v>-3.8167938931297773E-2</v>
      </c>
      <c r="HH35" s="762">
        <f t="shared" si="53"/>
        <v>-0.11035758323057954</v>
      </c>
      <c r="HI35" s="762">
        <f t="shared" si="54"/>
        <v>-0.16590214067278286</v>
      </c>
    </row>
    <row r="36" spans="3:217" ht="11.25" customHeight="1">
      <c r="C36" s="1514">
        <f t="shared" si="51"/>
        <v>43100</v>
      </c>
      <c r="D36" s="1515">
        <f t="shared" si="49"/>
        <v>43145</v>
      </c>
      <c r="E36" s="1506" cm="1">
        <f t="array" aca="1" ref="E36" ca="1">IF(SwitchPA=1,_xll.TR(E$7,E$6,"Sdate=#1 Period=#2 NULL=BLANK",,$D36,$E$4),E36)</f>
        <v>8.9477286757746892</v>
      </c>
      <c r="F36" s="1506" cm="1">
        <f t="array" aca="1" ref="F36" ca="1">IF(SwitchPA=1,_xll.TR(F$7,F$6,"Sdate=#1 Period=#2 NULL=BLANK",,$D36,$E$4),F36)</f>
        <v>9.6484871426549201</v>
      </c>
      <c r="G36" s="1506" cm="1">
        <f t="array" aca="1" ref="G36" ca="1">IF(SwitchPA=1,_xll.TR(G$7,G$6,"Sdate=#1 Period=#2 NULL=BLANK",,$D36,$E$4),G36)</f>
        <v>7.2281137736824004</v>
      </c>
      <c r="H36" s="1506" t="str" cm="1">
        <f t="array" aca="1" ref="H36" ca="1">IF(SwitchPA=1,_xll.TR(H$7,H$6,"Sdate=#1 Period=#2 NULL=BLANK",,$D36,$E$4),H36)</f>
        <v/>
      </c>
      <c r="I36" s="1506" cm="1">
        <f t="array" aca="1" ref="I36" ca="1">IF(SwitchPA=1,_xll.TR(I$7,I$6,"Sdate=#1 Period=#2 NULL=BLANK",,$D36,$E$4),I36)</f>
        <v>7.5602199875713803</v>
      </c>
      <c r="J36" s="1506" cm="1">
        <f t="array" aca="1" ref="J36" ca="1">IF(SwitchPA=1,_xll.TR(J$7,J$6,"Sdate=#1 Period=#2 NULL=BLANK",,$D36,$E$4),J36)</f>
        <v>6.96450213272339</v>
      </c>
      <c r="K36" s="1506" cm="1">
        <f t="array" aca="1" ref="K36" ca="1">IF(SwitchPA=1,_xll.TR(K$7,K$6,"Sdate=#1 Period=#2 NULL=BLANK",,$D36,$E$4),K36)</f>
        <v>6.8069095824116497</v>
      </c>
      <c r="L36" s="1506" cm="1">
        <f t="array" aca="1" ref="L36" ca="1">IF(SwitchPA=1,_xll.TR(L$7,L$6,"Sdate=#1 Period=#2 NULL=BLANK",,$D36,$E$4),L36)</f>
        <v>8.0771278329659992</v>
      </c>
      <c r="M36" s="1506" cm="1">
        <f t="array" aca="1" ref="M36" ca="1">IF(SwitchPA=1,_xll.TR(M$7,M$6,"Sdate=#1 Period=#2 NULL=BLANK",,$D36,$E$4),M36)</f>
        <v>14.910785211393399</v>
      </c>
      <c r="N36" s="1506" cm="1">
        <f t="array" aca="1" ref="N36" ca="1">IF(SwitchPA=1,_xll.TR(N$7,N$6,"Sdate=#1 Period=#2 NULL=BLANK",,$D36,$E$4),N36)</f>
        <v>13.2882066350509</v>
      </c>
      <c r="O36" s="1506" cm="1">
        <f t="array" aca="1" ref="O36" ca="1">IF(SwitchPA=1,_xll.TR(O$7,O$6,"Sdate=#1 Period=#2 NULL=BLANK",,$D36,$E$4),O36)</f>
        <v>9.9168957331733196</v>
      </c>
      <c r="P36" s="1506" cm="1">
        <f t="array" aca="1" ref="P36" ca="1">IF(SwitchPA=1,_xll.TR(P$7,P$6,"Sdate=#1 Period=#2 NULL=BLANK",,$D36,$E$4),P36)</f>
        <v>10.3863722263353</v>
      </c>
      <c r="Q36" s="1506" cm="1">
        <f t="array" aca="1" ref="Q36" ca="1">IF(SwitchPA=1,_xll.TR(Q$7,Q$6,"Sdate=#1 Period=#2 NULL=BLANK",,$D36,$E$4),Q36)</f>
        <v>10.000948360331799</v>
      </c>
      <c r="R36" s="1506" cm="1">
        <f t="array" aca="1" ref="R36" ca="1">IF(SwitchPA=1,_xll.TR(R$7,R$6,"Sdate=#1 Period=#2 NULL=BLANK",,$D36,$E$4),R36)</f>
        <v>10.6715750778847</v>
      </c>
      <c r="S36" s="1506" cm="1">
        <f t="array" aca="1" ref="S36" ca="1">IF(SwitchPA=1,_xll.TR(S$7,S$6,"Sdate=#1 Period=#2 NULL=BLANK",,$D36,$E$4),S36)</f>
        <v>11.467025357163701</v>
      </c>
      <c r="T36" s="1506" cm="1">
        <f t="array" aca="1" ref="T36" ca="1">IF(SwitchPA=1,_xll.TR(T$7,T$6,"Sdate=#1 Period=#2 NULL=BLANK",,$D36,$E$4),T36)</f>
        <v>6.8130576744040798</v>
      </c>
      <c r="U36" s="1506" t="str" cm="1">
        <f t="array" aca="1" ref="U36" ca="1">IF(SwitchPA=1,_xll.TR(U$7,U$6,"Sdate=#1 Period=#2 NULL=BLANK",,$D36,$E$4),U36)</f>
        <v>No universe defined.</v>
      </c>
      <c r="V36" s="1506" t="str" cm="1">
        <f t="array" aca="1" ref="V36" ca="1">IF(SwitchPA=1,_xll.TR(V$7,V$6,"Sdate=#1 Period=#2 NULL=BLANK",,$D36,$E$4),V36)</f>
        <v>No universe defined.</v>
      </c>
      <c r="W36" s="1521">
        <f t="shared" ca="1" si="55"/>
        <v>0.23790645193679927</v>
      </c>
      <c r="X36" s="1506" cm="1">
        <f t="array" aca="1" ref="X36" ca="1">IF(SwitchPA=1,_xll.TR(X$7,X$6,"Sdate=#1 Period=#2 NULL=BLANK",,$D36,$X$4),X36)</f>
        <v>9.7000537050945592</v>
      </c>
      <c r="Y36" s="1506" cm="1">
        <f t="array" aca="1" ref="Y36" ca="1">IF(SwitchPA=1,_xll.TR(Y$7,Y$6,"Sdate=#1 Period=#2 NULL=BLANK",,$D36,$X$4),Y36)</f>
        <v>10.4927199315417</v>
      </c>
      <c r="Z36" s="1506" cm="1">
        <f t="array" aca="1" ref="Z36" ca="1">IF(SwitchPA=1,_xll.TR(Z$7,Z$6,"Sdate=#1 Period=#2 NULL=BLANK",,$D36,$X$4),Z36)</f>
        <v>7.4100212094666604</v>
      </c>
      <c r="AA36" s="1506" t="str" cm="1">
        <f t="array" aca="1" ref="AA36" ca="1">IF(SwitchPA=1,_xll.TR(AA$7,AA$6,"Sdate=#1 Period=#2 NULL=BLANK",,$D36,$X$4),AA36)</f>
        <v/>
      </c>
      <c r="AB36" s="1506" cm="1">
        <f t="array" aca="1" ref="AB36" ca="1">IF(SwitchPA=1,_xll.TR(AB$7,AB$6,"Sdate=#1 Period=#2 NULL=BLANK",,$D36,$X$4),AB36)</f>
        <v>7.2409113390524</v>
      </c>
      <c r="AC36" s="1506" cm="1">
        <f t="array" aca="1" ref="AC36" ca="1">IF(SwitchPA=1,_xll.TR(AC$7,AC$6,"Sdate=#1 Period=#2 NULL=BLANK",,$D36,$X$4),AC36)</f>
        <v>8.9077917013337</v>
      </c>
      <c r="AD36" s="1506" cm="1">
        <f t="array" aca="1" ref="AD36" ca="1">IF(SwitchPA=1,_xll.TR(AD$7,AD$6,"Sdate=#1 Period=#2 NULL=BLANK",,$D36,$X$4),AD36)</f>
        <v>7.2073829530639903</v>
      </c>
      <c r="AE36" s="1506" cm="1">
        <f t="array" aca="1" ref="AE36" ca="1">IF(SwitchPA=1,_xll.TR(AE$7,AE$6,"Sdate=#1 Period=#2 NULL=BLANK",,$D36,$X$4),AE36)</f>
        <v>7.9324115262953701</v>
      </c>
      <c r="AF36" s="1506" cm="1">
        <f t="array" aca="1" ref="AF36" ca="1">IF(SwitchPA=1,_xll.TR(AF$7,AF$6,"Sdate=#1 Period=#2 NULL=BLANK",,$D36,$X$4),AF36)</f>
        <v>15.7138209073055</v>
      </c>
      <c r="AG36" s="1506" cm="1">
        <f t="array" aca="1" ref="AG36" ca="1">IF(SwitchPA=1,_xll.TR(AG$7,AG$6,"Sdate=#1 Period=#2 NULL=BLANK",,$D36,$X$4),AG36)</f>
        <v>14.9251392228604</v>
      </c>
      <c r="AH36" s="1506" cm="1">
        <f t="array" aca="1" ref="AH36" ca="1">IF(SwitchPA=1,_xll.TR(AH$7,AH$6,"Sdate=#1 Period=#2 NULL=BLANK",,$D36,$X$4),AH36)</f>
        <v>8.9027072332549899</v>
      </c>
      <c r="AI36" s="1506" cm="1">
        <f t="array" aca="1" ref="AI36" ca="1">IF(SwitchPA=1,_xll.TR(AI$7,AI$6,"Sdate=#1 Period=#2 NULL=BLANK",,$D36,$X$4),AI36)</f>
        <v>11.034462914404401</v>
      </c>
      <c r="AJ36" s="1506" cm="1">
        <f t="array" aca="1" ref="AJ36" ca="1">IF(SwitchPA=1,_xll.TR(AJ$7,AJ$6,"Sdate=#1 Period=#2 NULL=BLANK",,$D36,$X$4),AJ36)</f>
        <v>11.623508786057601</v>
      </c>
      <c r="AK36" s="1506" cm="1">
        <f t="array" aca="1" ref="AK36" ca="1">IF(SwitchPA=1,_xll.TR(AK$7,AK$6,"Sdate=#1 Period=#2 NULL=BLANK",,$D36,$X$4),AK36)</f>
        <v>18.378789126007302</v>
      </c>
      <c r="AL36" s="1506" cm="1">
        <f t="array" aca="1" ref="AL36" ca="1">IF(SwitchPA=1,_xll.TR(AL$7,AL$6,"Sdate=#1 Period=#2 NULL=BLANK",,$D36,$X$4),AL36)</f>
        <v>12.202596978081001</v>
      </c>
      <c r="AM36" s="1506" cm="1">
        <f t="array" aca="1" ref="AM36" ca="1">IF(SwitchPA=1,_xll.TR(AM$7,AM$6,"Sdate=#1 Period=#2 NULL=BLANK",,$D36,$X$4),AM36)</f>
        <v>7.0290591097033603</v>
      </c>
      <c r="AN36" s="1506" t="str" cm="1">
        <f t="array" aca="1" ref="AN36" ca="1">IF(SwitchPA=1,_xll.TR(AN$7,AN$6,"Sdate=#1 Period=#2 NULL=BLANK",,$D36,$X$4),AN36)</f>
        <v/>
      </c>
      <c r="AO36" s="1506" t="str" cm="1">
        <f t="array" aca="1" ref="AO36" ca="1">IF(SwitchPA=1,_xll.TR(AO$7,AO$6,"Sdate=#1 Period=#2 NULL=BLANK",,$D36,$X$4),AO36)</f>
        <v/>
      </c>
      <c r="AQ36" s="1506" cm="1">
        <f t="array" aca="1" ref="AQ36" ca="1">IF(SwitchPA=1,_xll.TR(AQ$7,AQ$6,"Sdate=#1 Period=#2 NULL=BLANK Scale=6",,$D36,$AQ$4),AQ36)</f>
        <v>11.944445</v>
      </c>
      <c r="AR36" s="1506" cm="1">
        <f t="array" aca="1" ref="AR36" ca="1">IF(SwitchPA=1,_xll.TR(AR$7,AR$6,"Sdate=#1 Period=#2 NULL=BLANK Scale=6",,$D36,$AQ$4),AR36)</f>
        <v>16.983333333333299</v>
      </c>
      <c r="AS36" s="1506" cm="1">
        <f t="array" aca="1" ref="AS36" ca="1">IF(SwitchPA=1,_xll.TR(AS$7,AS$6,"Sdate=#1 Period=#2 NULL=BLANK Scale=6",,$D36,$AQ$4),AS36)</f>
        <v>11.264284999999999</v>
      </c>
      <c r="AT36" s="1506" t="str" cm="1">
        <f t="array" aca="1" ref="AT36" ca="1">IF(SwitchPA=1,_xll.TR(AT$7,AT$6,"Sdate=#1 Period=#2 NULL=BLANK Scale=6",,$D36,$AQ$4),AT36)</f>
        <v/>
      </c>
      <c r="AU36" s="1506" cm="1">
        <f t="array" aca="1" ref="AU36" ca="1">IF(SwitchPA=1,_xll.TR(AU$7,AU$6,"Sdate=#1 Period=#2 NULL=BLANK Scale=6",,$D36,$AQ$4),AU36)</f>
        <v>22.874166666666699</v>
      </c>
      <c r="AV36" s="1506" t="str" cm="1">
        <f t="array" aca="1" ref="AV36" ca="1">IF(SwitchPA=1,_xll.TR(AV$7,AV$6,"Sdate=#1 Period=#2 NULL=BLANK Scale=6",,$D36,$AQ$4),AV36)</f>
        <v/>
      </c>
      <c r="AW36" s="1506" cm="1">
        <f t="array" aca="1" ref="AW36" ca="1">IF(SwitchPA=1,_xll.TR(AW$7,AW$6,"Sdate=#1 Period=#2 NULL=BLANK Scale=6",,$D36,$AQ$4),AW36)</f>
        <v>8.1614299999999993</v>
      </c>
      <c r="AX36" s="1506" t="str" cm="1">
        <f t="array" aca="1" ref="AX36" ca="1">IF(SwitchPA=1,_xll.TR(AX$7,AX$6,"Sdate=#1 Period=#2 NULL=BLANK Scale=6",,$D36,$AQ$4),AX36)</f>
        <v/>
      </c>
      <c r="AY36" s="1506" cm="1">
        <f t="array" aca="1" ref="AY36" ca="1">IF(SwitchPA=1,_xll.TR(AY$7,AY$6,"Sdate=#1 Period=#2 NULL=BLANK Scale=6",,$D36,$AQ$4),AY36)</f>
        <v>29.016666666666701</v>
      </c>
      <c r="AZ36" s="1506" cm="1">
        <f t="array" aca="1" ref="AZ36" ca="1">IF(SwitchPA=1,_xll.TR(AZ$7,AZ$6,"Sdate=#1 Period=#2 NULL=BLANK Scale=6",,$D36,$AQ$4),AZ36)</f>
        <v>10.341666666666701</v>
      </c>
      <c r="BA36" s="1506" t="str" cm="1">
        <f t="array" aca="1" ref="BA36" ca="1">IF(SwitchPA=1,_xll.TR(BA$7,BA$6,"Sdate=#1 Period=#2 NULL=BLANK Scale=6",,$D36,$AQ$4),BA36)</f>
        <v/>
      </c>
      <c r="BB36" s="1506" cm="1">
        <f t="array" aca="1" ref="BB36" ca="1">IF(SwitchPA=1,_xll.TR(BB$7,BB$6,"Sdate=#1 Period=#2 NULL=BLANK Scale=6",,$D36,$AQ$4),BB36)</f>
        <v>10.0833333333333</v>
      </c>
      <c r="BC36" s="1506" cm="1">
        <f t="array" aca="1" ref="BC36" ca="1">IF(SwitchPA=1,_xll.TR(BC$7,BC$6,"Sdate=#1 Period=#2 NULL=BLANK Scale=6",,$D36,$AQ$4),BC36)</f>
        <v>14.4299966666667</v>
      </c>
      <c r="BD36" s="1506" cm="1">
        <f t="array" aca="1" ref="BD36" ca="1">IF(SwitchPA=1,_xll.TR(BD$7,BD$6,"Sdate=#1 Period=#2 NULL=BLANK Scale=6",,$D36,$AQ$4),BD36)</f>
        <v>10.6666666666667</v>
      </c>
      <c r="BE36" s="1506" cm="1">
        <f t="array" aca="1" ref="BE36" ca="1">IF(SwitchPA=1,_xll.TR(BE$7,BE$6,"Sdate=#1 Period=#2 NULL=BLANK Scale=6",,$D36,$AQ$4),BE36)</f>
        <v>15.766666666666699</v>
      </c>
      <c r="BF36" s="1506" cm="1">
        <f t="array" aca="1" ref="BF36" ca="1">IF(SwitchPA=1,_xll.TR(BF$7,BF$6,"Sdate=#1 Period=#2 NULL=BLANK Scale=6",,$D36,$AQ$4),BF36)</f>
        <v>5.5616666666666701</v>
      </c>
      <c r="BG36" s="1506" t="str" cm="1">
        <f t="array" aca="1" ref="BG36" ca="1">IF(SwitchPA=1,_xll.TR(BG$7,BG$6,"Sdate=#1 Period=#2 NULL=BLANK Scale=6",,$D36,$AQ$4),BG36)</f>
        <v/>
      </c>
      <c r="BH36" s="1506" t="str" cm="1">
        <f t="array" aca="1" ref="BH36" ca="1">IF(SwitchPA=1,_xll.TR(BH$7,BH$6,"Sdate=#1 Period=#2 NULL=BLANK Scale=6",,$D36,$AQ$4),BH36)</f>
        <v/>
      </c>
      <c r="BJ36" s="1506" cm="1">
        <f t="array" aca="1" ref="BJ36" ca="1">IF(SwitchPA=1,_xll.TR(BJ$7,BJ$6,"Sdate=#1 Period=#2 NULL=BLANK Scale=6",,$D36,$BJ$4),BJ36)</f>
        <v>9.4891926630000007</v>
      </c>
      <c r="BK36" s="1506" cm="1">
        <f t="array" aca="1" ref="BK36" ca="1">IF(SwitchPA=1,_xll.TR(BK$7,BK$6,"Sdate=#1 Period=#2 NULL=BLANK Scale=6",,$D36,$BJ$4),BK36)</f>
        <v>14.126896447</v>
      </c>
      <c r="BL36" s="1506" cm="1">
        <f t="array" aca="1" ref="BL36" ca="1">IF(SwitchPA=1,_xll.TR(BL$7,BL$6,"Sdate=#1 Period=#2 NULL=BLANK Scale=6",,$D36,$BJ$4),BL36)</f>
        <v>8.1345815029999997</v>
      </c>
      <c r="BM36" s="1506" t="str" cm="1">
        <f t="array" aca="1" ref="BM36" ca="1">IF(SwitchPA=1,_xll.TR(BM$7,BM$6,"Sdate=#1 Period=#2 NULL=BLANK Scale=6",,$D36,$BJ$4),BM36)</f>
        <v/>
      </c>
      <c r="BN36" s="1506" cm="1">
        <f t="array" aca="1" ref="BN36" ca="1">IF(SwitchPA=1,_xll.TR(BN$7,BN$6,"Sdate=#1 Period=#2 NULL=BLANK Scale=6",,$D36,$BJ$4),BN36)</f>
        <v>8.0007197320000003</v>
      </c>
      <c r="BO36" s="1506" cm="1">
        <f t="array" aca="1" ref="BO36" ca="1">IF(SwitchPA=1,_xll.TR(BO$7,BO$6,"Sdate=#1 Period=#2 NULL=BLANK Scale=6",,$D36,$BJ$4),BO36)</f>
        <v>10.434384908</v>
      </c>
      <c r="BP36" s="1506" cm="1">
        <f t="array" aca="1" ref="BP36" ca="1">IF(SwitchPA=1,_xll.TR(BP$7,BP$6,"Sdate=#1 Period=#2 NULL=BLANK Scale=6",,$D36,$BJ$4),BP36)</f>
        <v>7.575825933</v>
      </c>
      <c r="BQ36" s="1506" cm="1">
        <f t="array" aca="1" ref="BQ36" ca="1">IF(SwitchPA=1,_xll.TR(BQ$7,BQ$6,"Sdate=#1 Period=#2 NULL=BLANK Scale=6",,$D36,$BJ$4),BQ36)</f>
        <v>9.1959721689999991</v>
      </c>
      <c r="BR36" s="1506" cm="1">
        <f t="array" aca="1" ref="BR36" ca="1">IF(SwitchPA=1,_xll.TR(BR$7,BR$6,"Sdate=#1 Period=#2 NULL=BLANK Scale=6",,$D36,$BJ$4),BR36)</f>
        <v>16.940631434</v>
      </c>
      <c r="BS36" s="1506" cm="1">
        <f t="array" aca="1" ref="BS36" ca="1">IF(SwitchPA=1,_xll.TR(BS$7,BS$6,"Sdate=#1 Period=#2 NULL=BLANK Scale=6",,$D36,$BJ$4),BS36)</f>
        <v>18.810500732000001</v>
      </c>
      <c r="BT36" s="1506" cm="1">
        <f t="array" aca="1" ref="BT36" ca="1">IF(SwitchPA=1,_xll.TR(BT$7,BT$6,"Sdate=#1 Period=#2 NULL=BLANK Scale=6",,$D36,$BJ$4),BT36)</f>
        <v>14.325861316999999</v>
      </c>
      <c r="BU36" s="1506" cm="1">
        <f t="array" aca="1" ref="BU36" ca="1">IF(SwitchPA=1,_xll.TR(BU$7,BU$6,"Sdate=#1 Period=#2 NULL=BLANK Scale=6",,$D36,$BJ$4),BU36)</f>
        <v>11.229957182</v>
      </c>
      <c r="BV36" s="1506" cm="1">
        <f t="array" aca="1" ref="BV36" ca="1">IF(SwitchPA=1,_xll.TR(BV$7,BV$6,"Sdate=#1 Period=#2 NULL=BLANK Scale=6",,$D36,$BJ$4),BV36)</f>
        <v>20.918182735999999</v>
      </c>
      <c r="BW36" s="1506" cm="1">
        <f t="array" aca="1" ref="BW36" ca="1">IF(SwitchPA=1,_xll.TR(BW$7,BW$6,"Sdate=#1 Period=#2 NULL=BLANK Scale=6",,$D36,$BJ$4),BW36)</f>
        <v>27.796904387000001</v>
      </c>
      <c r="BX36" s="1506" cm="1">
        <f t="array" aca="1" ref="BX36" ca="1">IF(SwitchPA=1,_xll.TR(BX$7,BX$6,"Sdate=#1 Period=#2 NULL=BLANK Scale=6",,$D36,$BJ$4),BX36)</f>
        <v>12.028636258000001</v>
      </c>
      <c r="BY36" s="1506" cm="1">
        <f t="array" aca="1" ref="BY36" ca="1">IF(SwitchPA=1,_xll.TR(BY$7,BY$6,"Sdate=#1 Period=#2 NULL=BLANK Scale=6",,$D36,$BJ$4),BY36)</f>
        <v>6.684883685</v>
      </c>
      <c r="BZ36" s="1506" t="str" cm="1">
        <f t="array" aca="1" ref="BZ36" ca="1">IF(SwitchPA=1,_xll.TR(BZ$7,BZ$6,"Sdate=#1 Period=#2 NULL=BLANK Scale=6",,$D36,$BJ$4),BZ36)</f>
        <v/>
      </c>
      <c r="CA36" s="1506" t="str" cm="1">
        <f t="array" aca="1" ref="CA36" ca="1">IF(SwitchPA=1,_xll.TR(CA$7,CA$6,"Sdate=#1 Period=#2 NULL=BLANK Scale=6",,$D36,$BJ$4),CA36)</f>
        <v/>
      </c>
      <c r="CC36" s="1506" cm="1">
        <f t="array" aca="1" ref="CC36" ca="1">IF(SwitchPA=1,_xll.TR(CC$7,CC$6,"Sdate=#1 Period=#2 NULL=BLANK Scale=6",,$D36,$CC$4),CC36)</f>
        <v>9549</v>
      </c>
      <c r="CD36" s="1506" cm="1">
        <f t="array" aca="1" ref="CD36" ca="1">IF(SwitchPA=1,_xll.TR(CD$7,CD$6,"Sdate=#1 Period=#2 NULL=BLANK Scale=6",,$D36,$CC$4),CD36)</f>
        <v>6140</v>
      </c>
      <c r="CE36" s="1506" cm="1">
        <f t="array" aca="1" ref="CE36" ca="1">IF(SwitchPA=1,_xll.TR(CE$7,CE$6,"Sdate=#1 Period=#2 NULL=BLANK Scale=6",,$D36,$CC$4),CE36)</f>
        <v>60838</v>
      </c>
      <c r="CF36" s="1506" cm="1">
        <f t="array" aca="1" ref="CF36" ca="1">IF(SwitchPA=1,_xll.TR(CF$7,CF$6,"Sdate=#1 Period=#2 NULL=BLANK Scale=6",,$D36,$CC$4),CF36)</f>
        <v>43730</v>
      </c>
      <c r="CG36" s="1506" cm="1">
        <f t="array" aca="1" ref="CG36" ca="1">IF(SwitchPA=1,_xll.TR(CG$7,CG$6,"Sdate=#1 Period=#2 NULL=BLANK Scale=6",,$D36,$CC$4),CG36)</f>
        <v>34484</v>
      </c>
      <c r="CH36" s="1506" cm="1">
        <f t="array" aca="1" ref="CH36" ca="1">IF(SwitchPA=1,_xll.TR(CH$7,CH$6,"Sdate=#1 Period=#2 NULL=BLANK Scale=6",,$D36,$CC$4),CH36)</f>
        <v>6268.4</v>
      </c>
      <c r="CI36" s="1506" cm="1">
        <f t="array" aca="1" ref="CI36" ca="1">IF(SwitchPA=1,_xll.TR(CI$7,CI$6,"Sdate=#1 Period=#2 NULL=BLANK Scale=6",,$D36,$CC$4),CI36)</f>
        <v>14015</v>
      </c>
      <c r="CJ36" s="1506" cm="1">
        <f t="array" aca="1" ref="CJ36" ca="1">IF(SwitchPA=1,_xll.TR(CJ$7,CJ$6,"Sdate=#1 Period=#2 NULL=BLANK Scale=6",,$D36,$CC$4),CJ36)</f>
        <v>8059</v>
      </c>
      <c r="CK36" s="1506" cm="1">
        <f t="array" aca="1" ref="CK36" ca="1">IF(SwitchPA=1,_xll.TR(CK$7,CK$6,"Sdate=#1 Period=#2 NULL=BLANK Scale=6",,$D36,$CC$4),CK36)</f>
        <v>31657</v>
      </c>
      <c r="CL36" s="1506" cm="1">
        <f t="array" aca="1" ref="CL36" ca="1">IF(SwitchPA=1,_xll.TR(CL$7,CL$6,"Sdate=#1 Period=#2 NULL=BLANK Scale=6",,$D36,$CC$4),CL36)</f>
        <v>2910.8420000000001</v>
      </c>
      <c r="CM36" s="1506" cm="1">
        <f t="array" aca="1" ref="CM36" ca="1">IF(SwitchPA=1,_xll.TR(CM$7,CM$6,"Sdate=#1 Period=#2 NULL=BLANK Scale=6",,$D36,$CC$4),CM36)</f>
        <v>3137</v>
      </c>
      <c r="CN36" s="1506" cm="1">
        <f t="array" aca="1" ref="CN36" ca="1">IF(SwitchPA=1,_xll.TR(CN$7,CN$6,"Sdate=#1 Period=#2 NULL=BLANK Scale=6",,$D36,$CC$4),CN36)</f>
        <v>2590.3000000000002</v>
      </c>
      <c r="CO36" s="1506" cm="1">
        <f t="array" aca="1" ref="CO36" ca="1">IF(SwitchPA=1,_xll.TR(CO$7,CO$6,"Sdate=#1 Period=#2 NULL=BLANK Scale=6",,$D36,$CC$4),CO36)</f>
        <v>62484</v>
      </c>
      <c r="CP36" s="1506" cm="1">
        <f t="array" aca="1" ref="CP36" ca="1">IF(SwitchPA=1,_xll.TR(CP$7,CP$6,"Sdate=#1 Period=#2 NULL=BLANK Scale=6",,$D36,$CC$4),CP36)</f>
        <v>2878.6</v>
      </c>
      <c r="CQ36" s="1506" cm="1">
        <f t="array" aca="1" ref="CQ36" ca="1">IF(SwitchPA=1,_xll.TR(CQ$7,CQ$6,"Sdate=#1 Period=#2 NULL=BLANK Scale=6",,$D36,$CC$4),CQ36)</f>
        <v>14748</v>
      </c>
      <c r="CR36" s="1506" cm="1">
        <f t="array" aca="1" ref="CR36" ca="1">IF(SwitchPA=1,_xll.TR(CR$7,CR$6,"Sdate=#1 Period=#2 NULL=BLANK Scale=6",,$D36,$CC$4),CR36)</f>
        <v>10852</v>
      </c>
      <c r="CS36" s="1506" t="str" cm="1">
        <f t="array" aca="1" ref="CS36" ca="1">IF(SwitchPA=1,_xll.TR(CS$7,CS$6,"Sdate=#1 Period=#2 NULL=BLANK Scale=6",,$D36,$CC$4),CS36)</f>
        <v>Unable to resolve and collect data for all requested identifiers and fields.</v>
      </c>
      <c r="CT36" s="1506" t="str" cm="1">
        <f t="array" aca="1" ref="CT36" ca="1">IF(SwitchPA=1,_xll.TR(CT$7,CT$6,"Sdate=#1 Period=#2 NULL=BLANK Scale=6",,$D36,$CC$4),CT36)</f>
        <v>Unable to resolve and collect data for all requested identifiers and fields.</v>
      </c>
      <c r="CV36" s="1516" cm="1">
        <f t="array" aca="1" ref="CV36" ca="1">IF(SwitchPA=1,_xll.TR(CV$7,CV$6,"Sdate=#1 Period=#2 NULL=BLANK Scale=6",,$D36,$AQ$4),CV36)</f>
        <v>5454</v>
      </c>
      <c r="CW36" s="1516" cm="1">
        <f t="array" aca="1" ref="CW36" ca="1">IF(SwitchPA=1,_xll.TR(CW$7,CW$6,"Sdate=#1 Period=#2 NULL=BLANK Scale=6",,$D36,$AQ$4),CW36)</f>
        <v>3675.5</v>
      </c>
      <c r="CX36" s="1516" cm="1">
        <f t="array" aca="1" ref="CX36" ca="1">IF(SwitchPA=1,_xll.TR(CX$7,CX$6,"Sdate=#1 Period=#2 NULL=BLANK Scale=6",,$D36,$AQ$4),CX36)</f>
        <v>25513.75</v>
      </c>
      <c r="CY36" s="1516" t="str" cm="1">
        <f t="array" aca="1" ref="CY36" ca="1">IF(SwitchPA=1,_xll.TR(CY$7,CY$6,"Sdate=#1 Period=#2 NULL=BLANK Scale=6",,$D36,$AQ$4),CY36)</f>
        <v/>
      </c>
      <c r="CZ36" s="1516" cm="1">
        <f t="array" aca="1" ref="CZ36" ca="1">IF(SwitchPA=1,_xll.TR(CZ$7,CZ$6,"Sdate=#1 Period=#2 NULL=BLANK Scale=6",,$D36,$AQ$4),CZ36)</f>
        <v>10661.5</v>
      </c>
      <c r="DA36" s="1516" cm="1">
        <f t="array" aca="1" ref="DA36" ca="1">IF(SwitchPA=1,_xll.TR(DA$7,DA$6,"Sdate=#1 Period=#2 NULL=BLANK Scale=6",,$D36,$AQ$4),DA36)</f>
        <v>3610.4</v>
      </c>
      <c r="DB36" s="1516" cm="1">
        <f t="array" aca="1" ref="DB36" ca="1">IF(SwitchPA=1,_xll.TR(DB$7,DB$6,"Sdate=#1 Period=#2 NULL=BLANK Scale=6",,$D36,$AQ$4),DB36)</f>
        <v>6251</v>
      </c>
      <c r="DC36" s="1516" cm="1">
        <f t="array" aca="1" ref="DC36" ca="1">IF(SwitchPA=1,_xll.TR(DC$7,DC$6,"Sdate=#1 Period=#2 NULL=BLANK Scale=6",,$D36,$AQ$4),DC36)</f>
        <v>3620.75</v>
      </c>
      <c r="DD36" s="1516" cm="1">
        <f t="array" aca="1" ref="DD36" ca="1">IF(SwitchPA=1,_xll.TR(DD$7,DD$6,"Sdate=#1 Period=#2 NULL=BLANK Scale=6",,$D36,$AQ$4),DD36)</f>
        <v>8660.25</v>
      </c>
      <c r="DE36" s="1516" cm="1">
        <f t="array" aca="1" ref="DE36" ca="1">IF(SwitchPA=1,_xll.TR(DE$7,DE$6,"Sdate=#1 Period=#2 NULL=BLANK Scale=6",,$D36,$AQ$4),DE36)</f>
        <v>2410.6585</v>
      </c>
      <c r="DF36" s="1516" cm="1">
        <f t="array" aca="1" ref="DF36" ca="1">IF(SwitchPA=1,_xll.TR(DF$7,DF$6,"Sdate=#1 Period=#2 NULL=BLANK Scale=6",,$D36,$AQ$4),DF36)</f>
        <v>2014.25</v>
      </c>
      <c r="DG36" s="1516" cm="1">
        <f t="array" aca="1" ref="DG36" ca="1">IF(SwitchPA=1,_xll.TR(DG$7,DG$6,"Sdate=#1 Period=#2 NULL=BLANK Scale=6",,$D36,$AQ$4),DG36)</f>
        <v>487.65</v>
      </c>
      <c r="DH36" s="1516" t="str" cm="1">
        <f t="array" aca="1" ref="DH36" ca="1">IF(SwitchPA=1,_xll.TR(DH$7,DH$6,"Sdate=#1 Period=#2 NULL=BLANK Scale=6",,$D36,$AQ$4),DH36)</f>
        <v/>
      </c>
      <c r="DI36" s="1516" cm="1">
        <f t="array" aca="1" ref="DI36" ca="1">IF(SwitchPA=1,_xll.TR(DI$7,DI$6,"Sdate=#1 Period=#2 NULL=BLANK Scale=6",,$D36,$AQ$4),DI36)</f>
        <v>661.4</v>
      </c>
      <c r="DJ36" s="1516" cm="1">
        <f t="array" aca="1" ref="DJ36" ca="1">IF(SwitchPA=1,_xll.TR(DJ$7,DJ$6,"Sdate=#1 Period=#2 NULL=BLANK Scale=6",,$D36,$AQ$4),DJ36)</f>
        <v>2767.5</v>
      </c>
      <c r="DK36" s="1516" cm="1">
        <f t="array" aca="1" ref="DK36" ca="1">IF(SwitchPA=1,_xll.TR(DK$7,DK$6,"Sdate=#1 Period=#2 NULL=BLANK Scale=6",,$D36,$AQ$4),DK36)</f>
        <v>6103</v>
      </c>
      <c r="DL36" s="1516" t="str" cm="1">
        <f t="array" aca="1" ref="DL36" ca="1">IF(SwitchPA=1,_xll.TR(DL$7,DL$6,"Sdate=#1 Period=#2 NULL=BLANK Scale=6",,$D36,$AQ$4),DL36)</f>
        <v>Unable to resolve all requested identifiers.</v>
      </c>
      <c r="DM36" s="1516" t="str" cm="1">
        <f t="array" aca="1" ref="DM36" ca="1">IF(SwitchPA=1,_xll.TR(DM$7,DM$6,"Sdate=#1 Period=#2 NULL=BLANK Scale=6",,$D36,$AQ$4),DM36)</f>
        <v>Unable to resolve all requested identifiers.</v>
      </c>
      <c r="DO36" s="1506" cm="1">
        <f t="array" aca="1" ref="DO36" ca="1">IF(SwitchPA=1,_xll.TR(DO$7,DO$6,"Sdate=#1 Period=#2 Scale=6 NULL=BLANK",,$D36,$X$4),DO36)</f>
        <v>20828.777896299998</v>
      </c>
      <c r="DP36" s="1506" cm="1">
        <f t="array" aca="1" ref="DP36" ca="1">IF(SwitchPA=1,_xll.TR(DP$7,DP$6,"Sdate=#1 Period=#2 Scale=6 NULL=BLANK",,$D36,$X$4),DP36)</f>
        <v>17404.336422519998</v>
      </c>
      <c r="DQ36" s="1506" cm="1">
        <f t="array" aca="1" ref="DQ36" ca="1">IF(SwitchPA=1,_xll.TR(DQ$7,DQ$6,"Sdate=#1 Period=#2 Scale=6 NULL=BLANK",,$D36,$X$4),DQ36)</f>
        <v>92400.711292199994</v>
      </c>
      <c r="DR36" s="1506" t="str" cm="1">
        <f t="array" aca="1" ref="DR36" ca="1">IF(SwitchPA=1,_xll.TR(DR$7,DR$6,"Sdate=#1 Period=#2 Scale=6 NULL=BLANK",,$D36,$X$4),DR36)</f>
        <v/>
      </c>
      <c r="DS36" s="1506" cm="1">
        <f t="array" aca="1" ref="DS36" ca="1">IF(SwitchPA=1,_xll.TR(DS$7,DS$6,"Sdate=#1 Period=#2 Scale=6 NULL=BLANK",,$D36,$X$4),DS36)</f>
        <v>50596.551584000001</v>
      </c>
      <c r="DT36" s="1506" cm="1">
        <f t="array" aca="1" ref="DT36" ca="1">IF(SwitchPA=1,_xll.TR(DT$7,DT$6,"Sdate=#1 Period=#2 Scale=6 NULL=BLANK",,$D36,$X$4),DT36)</f>
        <v>8958.9628819200007</v>
      </c>
      <c r="DU36" s="1506" cm="1">
        <f t="array" aca="1" ref="DU36" ca="1">IF(SwitchPA=1,_xll.TR(DU$7,DU$6,"Sdate=#1 Period=#2 Scale=6 NULL=BLANK",,$D36,$X$4),DU36)</f>
        <v>17060.759999999998</v>
      </c>
      <c r="DV36" s="1506" cm="1">
        <f t="array" aca="1" ref="DV36" ca="1">IF(SwitchPA=1,_xll.TR(DV$7,DV$6,"Sdate=#1 Period=#2 Scale=6 NULL=BLANK",,$D36,$X$4),DV36)</f>
        <v>10943.20688068</v>
      </c>
      <c r="DW36" s="1506" cm="1">
        <f t="array" aca="1" ref="DW36" ca="1">IF(SwitchPA=1,_xll.TR(DW$7,DW$6,"Sdate=#1 Period=#2 Scale=6 NULL=BLANK",,$D36,$X$4),DW36)</f>
        <v>148095</v>
      </c>
      <c r="DX36" s="1506" cm="1">
        <f t="array" aca="1" ref="DX36" ca="1">IF(SwitchPA=1,_xll.TR(DX$7,DX$6,"Sdate=#1 Period=#2 Scale=6 NULL=BLANK",,$D36,$X$4),DX36)</f>
        <v>13245.47052228</v>
      </c>
      <c r="DY36" s="1506" cm="1">
        <f t="array" aca="1" ref="DY36" ca="1">IF(SwitchPA=1,_xll.TR(DY$7,DY$6,"Sdate=#1 Period=#2 Scale=6 NULL=BLANK",,$D36,$X$4),DY36)</f>
        <v>6804.78412536</v>
      </c>
      <c r="DZ36" s="1506" cm="1">
        <f t="array" aca="1" ref="DZ36" ca="1">IF(SwitchPA=1,_xll.TR(DZ$7,DZ$6,"Sdate=#1 Period=#2 Scale=6 NULL=BLANK",,$D36,$X$4),DZ36)</f>
        <v>4507.7048129499999</v>
      </c>
      <c r="EA36" s="1506" cm="1">
        <f t="array" aca="1" ref="EA36" ca="1">IF(SwitchPA=1,_xll.TR(EA$7,EA$6,"Sdate=#1 Period=#2 Scale=6 NULL=BLANK",,$D36,$X$4),EA36)</f>
        <v>189644.24468574001</v>
      </c>
      <c r="EB36" s="1506" cm="1">
        <f t="array" aca="1" ref="EB36" ca="1">IF(SwitchPA=1,_xll.TR(EB$7,EB$6,"Sdate=#1 Period=#2 Scale=6 NULL=BLANK",,$D36,$X$4),EB36)</f>
        <v>13081.223204559999</v>
      </c>
      <c r="EC36" s="1506" cm="1">
        <f t="array" aca="1" ref="EC36" ca="1">IF(SwitchPA=1,_xll.TR(EC$7,EC$6,"Sdate=#1 Period=#2 Scale=6 NULL=BLANK",,$D36,$X$4),EC36)</f>
        <v>31551.11290416</v>
      </c>
      <c r="ED36" s="1506" cm="1">
        <f t="array" aca="1" ref="ED36" ca="1">IF(SwitchPA=1,_xll.TR(ED$7,ED$6,"Sdate=#1 Period=#2 Scale=6 NULL=BLANK",,$D36,$X$4),ED36)</f>
        <v>15696.1068928</v>
      </c>
      <c r="EE36" s="1506" t="str" cm="1">
        <f t="array" aca="1" ref="EE36" ca="1">IF(SwitchPA=1,_xll.TR(EE$7,EE$6,"Sdate=#1 Period=#2 Scale=6 NULL=BLANK",,$D36,$X$4),EE36)</f>
        <v/>
      </c>
      <c r="EF36" s="1506" t="str" cm="1">
        <f t="array" aca="1" ref="EF36" ca="1">IF(SwitchPA=1,_xll.TR(EF$7,EF$6,"Sdate=#1 Period=#2 Scale=6 NULL=BLANK",,$D36,$X$4),EF36)</f>
        <v/>
      </c>
      <c r="EG36" s="1517"/>
      <c r="EH36" s="1506" cm="1">
        <f t="array" aca="1" ref="EH36" ca="1">IF(SwitchPA=1,_xll.TR(EH$7,EH$6,"Sdate=#1 Period=#2 Scale=6 NULL=BLANK",,$D36,$X$4),EH36)</f>
        <v>1516</v>
      </c>
      <c r="EI36" s="1506" cm="1">
        <f t="array" aca="1" ref="EI36" ca="1">IF(SwitchPA=1,_xll.TR(EI$7,EI$6,"Sdate=#1 Period=#2 Scale=6 NULL=BLANK",,$D36,$X$4),EI36)</f>
        <v>922</v>
      </c>
      <c r="EJ36" s="1506" cm="1">
        <f t="array" aca="1" ref="EJ36" ca="1">IF(SwitchPA=1,_xll.TR(EJ$7,EJ$6,"Sdate=#1 Period=#2 Scale=6 NULL=BLANK",,$D36,$X$4),EJ36)</f>
        <v>6994</v>
      </c>
      <c r="EK36" s="1506" cm="1">
        <f t="array" aca="1" ref="EK36" ca="1">IF(SwitchPA=1,_xll.TR(EK$7,EK$6,"Sdate=#1 Period=#2 Scale=6 NULL=BLANK",,$D36,$X$4),EK36)</f>
        <v>4382</v>
      </c>
      <c r="EL36" s="1506" cm="1">
        <f t="array" aca="1" ref="EL36" ca="1">IF(SwitchPA=1,_xll.TR(EL$7,EL$6,"Sdate=#1 Period=#2 Scale=6 NULL=BLANK",,$D36,$X$4),EL36)</f>
        <v>5485</v>
      </c>
      <c r="EM36" s="1506" cm="1">
        <f t="array" aca="1" ref="EM36" ca="1">IF(SwitchPA=1,_xll.TR(EM$7,EM$6,"Sdate=#1 Period=#2 Scale=6 NULL=BLANK",,$D36,$X$4),EM36)</f>
        <v>345.3</v>
      </c>
      <c r="EN36" s="1506" cm="1">
        <f t="array" aca="1" ref="EN36" ca="1">IF(SwitchPA=1,_xll.TR(EN$7,EN$6,"Sdate=#1 Period=#2 Scale=6 NULL=BLANK",,$D36,$X$4),EN36)</f>
        <v>1456</v>
      </c>
      <c r="EO36" s="1506" cm="1">
        <f t="array" aca="1" ref="EO36" ca="1">IF(SwitchPA=1,_xll.TR(EO$7,EO$6,"Sdate=#1 Period=#2 Scale=6 NULL=BLANK",,$D36,$X$4),EO36)</f>
        <v>934</v>
      </c>
      <c r="EP36" s="1506" cm="1">
        <f t="array" aca="1" ref="EP36" ca="1">IF(SwitchPA=1,_xll.TR(EP$7,EP$6,"Sdate=#1 Period=#2 Scale=6 NULL=BLANK",,$D36,$X$4),EP36)</f>
        <v>7198</v>
      </c>
      <c r="EQ36" s="1506" cm="1">
        <f t="array" aca="1" ref="EQ36" ca="1">IF(SwitchPA=1,_xll.TR(EQ$7,EQ$6,"Sdate=#1 Period=#2 Scale=6 NULL=BLANK",,$D36,$X$4),EQ36)</f>
        <v>503.565</v>
      </c>
      <c r="ER36" s="1506" cm="1">
        <f t="array" aca="1" ref="ER36" ca="1">IF(SwitchPA=1,_xll.TR(ER$7,ER$6,"Sdate=#1 Period=#2 Scale=6 NULL=BLANK",,$D36,$X$4),ER36)</f>
        <v>282</v>
      </c>
      <c r="ES36" s="1506" cm="1">
        <f t="array" aca="1" ref="ES36" ca="1">IF(SwitchPA=1,_xll.TR(ES$7,ES$6,"Sdate=#1 Period=#2 Scale=6 NULL=BLANK",,$D36,$X$4),ES36)</f>
        <v>188</v>
      </c>
      <c r="ET36" s="1506" cm="1">
        <f t="array" aca="1" ref="ET36" ca="1">IF(SwitchPA=1,_xll.TR(ET$7,ET$6,"Sdate=#1 Period=#2 Scale=6 NULL=BLANK",,$D36,$X$4),ET36)</f>
        <v>5892</v>
      </c>
      <c r="EU36" s="1506" cm="1">
        <f t="array" aca="1" ref="EU36" ca="1">IF(SwitchPA=1,_xll.TR(EU$7,EU$6,"Sdate=#1 Period=#2 Scale=6 NULL=BLANK",,$D36,$X$4),EU36)</f>
        <v>472.6</v>
      </c>
      <c r="EV36" s="1506" cm="1">
        <f t="array" aca="1" ref="EV36" ca="1">IF(SwitchPA=1,_xll.TR(EV$7,EV$6,"Sdate=#1 Period=#2 Scale=6 NULL=BLANK",,$D36,$X$4),EV36)</f>
        <v>2083</v>
      </c>
      <c r="EW36" s="1506" cm="1">
        <f t="array" aca="1" ref="EW36" ca="1">IF(SwitchPA=1,_xll.TR(EW$7,EW$6,"Sdate=#1 Period=#2 Scale=6 NULL=BLANK",,$D36,$X$4),EW36)</f>
        <v>1187</v>
      </c>
      <c r="EX36" s="1506" t="str" cm="1">
        <f t="array" aca="1" ref="EX36" ca="1">IF(SwitchPA=1,_xll.TR(EX$7,EX$6,"Sdate=#1 Period=#2 Scale=6 NULL=BLANK",,$D36,$X$4),EX36)</f>
        <v>Unable to resolve all requested identifiers.</v>
      </c>
      <c r="EY36" s="1506" t="str" cm="1">
        <f t="array" aca="1" ref="EY36" ca="1">IF(SwitchPA=1,_xll.TR(EY$7,EY$6,"Sdate=#1 Period=#2 Scale=6 NULL=BLANK",,$D36,$X$4),EY36)</f>
        <v>Unable to resolve and collect data for all requested identifiers and fields.</v>
      </c>
      <c r="FA36" s="1506" cm="1">
        <f t="array" aca="1" ref="FA36" ca="1">IF(SwitchPA=1,_xll.TR(FA$7,FA$6,"Sdate=#1 Period=#2 Scale=6 NULL=BLANK",,$D36,$X$4),FA36)</f>
        <v>2103</v>
      </c>
      <c r="FB36" s="1506" cm="1">
        <f t="array" aca="1" ref="FB36" ca="1">IF(SwitchPA=1,_xll.TR(FB$7,FB$6,"Sdate=#1 Period=#2 Scale=6 NULL=BLANK",,$D36,$X$4),FB36)</f>
        <v>1232</v>
      </c>
      <c r="FC36" s="1506" cm="1">
        <f t="array" aca="1" ref="FC36" ca="1">IF(SwitchPA=1,_xll.TR(FC$7,FC$6,"Sdate=#1 Period=#2 Scale=6 NULL=BLANK",,$D36,$X$4),FC36)</f>
        <v>11359</v>
      </c>
      <c r="FD36" s="1506" cm="1">
        <f t="array" aca="1" ref="FD36" ca="1">IF(SwitchPA=1,_xll.TR(FD$7,FD$6,"Sdate=#1 Period=#2 Scale=6 NULL=BLANK",,$D36,$X$4),FD36)</f>
        <v>5763</v>
      </c>
      <c r="FE36" s="1506" cm="1">
        <f t="array" aca="1" ref="FE36" ca="1">IF(SwitchPA=1,_xll.TR(FE$7,FE$6,"Sdate=#1 Period=#2 Scale=6 NULL=BLANK",,$D36,$X$4),FE36)</f>
        <v>6659</v>
      </c>
      <c r="FF36" s="1506" cm="1">
        <f t="array" aca="1" ref="FF36" ca="1">IF(SwitchPA=1,_xll.TR(FF$7,FF$6,"Sdate=#1 Period=#2 Scale=6 NULL=BLANK",,$D36,$X$4),FF36)</f>
        <v>904.2</v>
      </c>
      <c r="FG36" s="1506" cm="1">
        <f t="array" aca="1" ref="FG36" ca="1">IF(SwitchPA=1,_xll.TR(FG$7,FG$6,"Sdate=#1 Period=#2 Scale=6 NULL=BLANK",,$D36,$X$4),FG36)</f>
        <v>2252</v>
      </c>
      <c r="FH36" s="1506" cm="1">
        <f t="array" aca="1" ref="FH36" ca="1">IF(SwitchPA=1,_xll.TR(FH$7,FH$6,"Sdate=#1 Period=#2 Scale=6 NULL=BLANK",,$D36,$X$4),FH36)</f>
        <v>1190</v>
      </c>
      <c r="FI36" s="1506" cm="1">
        <f t="array" aca="1" ref="FI36" ca="1">IF(SwitchPA=1,_xll.TR(FI$7,FI$6,"Sdate=#1 Period=#2 Scale=6 NULL=BLANK",,$D36,$X$4),FI36)</f>
        <v>8742</v>
      </c>
      <c r="FJ36" s="1506" cm="1">
        <f t="array" aca="1" ref="FJ36" ca="1">IF(SwitchPA=1,_xll.TR(FJ$7,FJ$6,"Sdate=#1 Period=#2 Scale=6 NULL=BLANK",,$D36,$X$4),FJ36)</f>
        <v>704.15300000000002</v>
      </c>
      <c r="FK36" s="1506" cm="1">
        <f t="array" aca="1" ref="FK36" ca="1">IF(SwitchPA=1,_xll.TR(FK$7,FK$6,"Sdate=#1 Period=#2 Scale=6 NULL=BLANK",,$D36,$X$4),FK36)</f>
        <v>475</v>
      </c>
      <c r="FL36" s="1506" cm="1">
        <f t="array" aca="1" ref="FL36" ca="1">IF(SwitchPA=1,_xll.TR(FL$7,FL$6,"Sdate=#1 Period=#2 Scale=6 NULL=BLANK",,$D36,$X$4),FL36)</f>
        <v>285.39999999999998</v>
      </c>
      <c r="FM36" s="1506" cm="1">
        <f t="array" aca="1" ref="FM36" ca="1">IF(SwitchPA=1,_xll.TR(FM$7,FM$6,"Sdate=#1 Period=#2 Scale=6 NULL=BLANK",,$D36,$X$4),FM36)</f>
        <v>3372</v>
      </c>
      <c r="FN36" s="1506" cm="1">
        <f t="array" aca="1" ref="FN36" ca="1">IF(SwitchPA=1,_xll.TR(FN$7,FN$6,"Sdate=#1 Period=#2 Scale=6 NULL=BLANK",,$D36,$X$4),FN36)</f>
        <v>585.6</v>
      </c>
      <c r="FO36" s="1506" cm="1">
        <f t="array" aca="1" ref="FO36" ca="1">IF(SwitchPA=1,_xll.TR(FO$7,FO$6,"Sdate=#1 Period=#2 Scale=6 NULL=BLANK",,$D36,$X$4),FO36)</f>
        <v>2543</v>
      </c>
      <c r="FP36" s="1506" cm="1">
        <f t="array" aca="1" ref="FP36" ca="1">IF(SwitchPA=1,_xll.TR(FP$7,FP$6,"Sdate=#1 Period=#2 Scale=6 NULL=BLANK",,$D36,$X$4),FP36)</f>
        <v>2348</v>
      </c>
      <c r="FQ36" s="1506" t="str" cm="1">
        <f t="array" aca="1" ref="FQ36" ca="1">IF(SwitchPA=1,_xll.TR(FQ$7,FQ$6,"Sdate=#1 Period=#2 Scale=6 NULL=BLANK",,$D36,$X$4),FQ36)</f>
        <v>Unable to resolve all requested identifiers.</v>
      </c>
      <c r="FS36" s="1506" cm="1">
        <f t="array" aca="1" ref="FS36" ca="1">IF(SwitchPA=1,_xll.TR(FS$7,FS$6,"Sdate=#1 Period=#2 NULL=BLANK Scale=6",,$D36,$FS$4),FS36)</f>
        <v>1008</v>
      </c>
      <c r="FT36" s="1506" cm="1">
        <f t="array" aca="1" ref="FT36" ca="1">IF(SwitchPA=1,_xll.TR(FT$7,FT$6,"Sdate=#1 Period=#2 NULL=BLANK Scale=6",,$D36,$FS$4),FT36)</f>
        <v>536</v>
      </c>
      <c r="FU36" s="1506" t="str" cm="1">
        <f t="array" aca="1" ref="FU36" ca="1">IF(SwitchPA=1,_xll.TR(FU$7,FU$6,"Sdate=#1 Period=#2 NULL=BLANK Scale=6",,$D36,$FS$4),FU36)</f>
        <v/>
      </c>
      <c r="FV36" s="1506" t="str" cm="1">
        <f t="array" aca="1" ref="FV36" ca="1">IF(SwitchPA=1,_xll.TR(FV$7,FV$6,"Sdate=#1 Period=#2 NULL=BLANK Scale=6",,$D36,$FS$4),FV36)</f>
        <v/>
      </c>
      <c r="FW36" s="1506" cm="1">
        <f t="array" aca="1" ref="FW36" ca="1">IF(SwitchPA=1,_xll.TR(FW$7,FW$6,"Sdate=#1 Period=#2 NULL=BLANK Scale=6",,$D36,$FS$4),FW36)</f>
        <v>3659</v>
      </c>
      <c r="FX36" s="1506" cm="1">
        <f t="array" aca="1" ref="FX36" ca="1">IF(SwitchPA=1,_xll.TR(FX$7,FX$6,"Sdate=#1 Period=#2 NULL=BLANK Scale=6",,$D36,$FS$4),FX36)</f>
        <v>354.5</v>
      </c>
      <c r="FY36" s="1506" cm="1">
        <f t="array" aca="1" ref="FY36" ca="1">IF(SwitchPA=1,_xll.TR(FY$7,FY$6,"Sdate=#1 Period=#2 NULL=BLANK Scale=6",,$D36,$FS$4),FY36)</f>
        <v>672</v>
      </c>
      <c r="FZ36" s="1506" cm="1">
        <f t="array" aca="1" ref="FZ36" ca="1">IF(SwitchPA=1,_xll.TR(FZ$7,FZ$6,"Sdate=#1 Period=#2 NULL=BLANK Scale=6",,$D36,$FS$4),FZ36)</f>
        <v>720</v>
      </c>
      <c r="GA36" s="1506" cm="1">
        <f t="array" aca="1" ref="GA36" ca="1">IF(SwitchPA=1,_xll.TR(GA$7,GA$6,"Sdate=#1 Period=#2 NULL=BLANK Scale=6",,$D36,$FS$4),GA36)</f>
        <v>4867</v>
      </c>
      <c r="GB36" s="1506" cm="1">
        <f t="array" aca="1" ref="GB36" ca="1">IF(SwitchPA=1,_xll.TR(GB$7,GB$6,"Sdate=#1 Period=#2 NULL=BLANK Scale=6",,$D36,$FS$4),GB36)</f>
        <v>113.38200000000001</v>
      </c>
      <c r="GC36" s="1506" cm="1">
        <f t="array" aca="1" ref="GC36" ca="1">IF(SwitchPA=1,_xll.TR(GC$7,GC$6,"Sdate=#1 Period=#2 NULL=BLANK Scale=6",,$D36,$FS$4),GC36)</f>
        <v>177</v>
      </c>
      <c r="GD36" s="1506" cm="1">
        <f t="array" aca="1" ref="GD36" ca="1">IF(SwitchPA=1,_xll.TR(GD$7,GD$6,"Sdate=#1 Period=#2 NULL=BLANK Scale=6",,$D36,$FS$4),GD36)</f>
        <v>122.8</v>
      </c>
      <c r="GE36" s="1506" cm="1">
        <f t="array" aca="1" ref="GE36" ca="1">IF(SwitchPA=1,_xll.TR(GE$7,GE$6,"Sdate=#1 Period=#2 NULL=BLANK Scale=6",,$D36,$FS$4),GE36)</f>
        <v>-4434</v>
      </c>
      <c r="GF36" s="1506" cm="1">
        <f t="array" aca="1" ref="GF36" ca="1">IF(SwitchPA=1,_xll.TR(GF$7,GF$6,"Sdate=#1 Period=#2 NULL=BLANK Scale=6",,$D36,$FS$4),GF36)</f>
        <v>249.8</v>
      </c>
      <c r="GG36" s="1506" cm="1">
        <f t="array" aca="1" ref="GG36" ca="1">IF(SwitchPA=1,_xll.TR(GG$7,GG$6,"Sdate=#1 Period=#2 NULL=BLANK Scale=6",,$D36,$FS$4),GG36)</f>
        <v>1208</v>
      </c>
      <c r="GH36" s="1506" cm="1">
        <f t="array" aca="1" ref="GH36" ca="1">IF(SwitchPA=1,_xll.TR(GH$7,GH$6,"Sdate=#1 Period=#2 NULL=BLANK Scale=6",,$D36,$FS$4),GH36)</f>
        <v>778</v>
      </c>
      <c r="GI36" s="1506" t="str" cm="1">
        <f t="array" aca="1" ref="GI36" ca="1">IF(SwitchPA=1,_xll.TR(GI$7,GI$6,"Sdate=#1 Period=#2 NULL=BLANK Scale=6",,$D36,$FS$4),GI36)</f>
        <v>Unable to resolve all requested identifiers.</v>
      </c>
      <c r="GK36" s="1506" cm="1">
        <f t="array" aca="1" ref="GK36" ca="1">IF(SwitchPA=1,_xll.TR(GK$7,GK$6,"Sdate=#1 Period=#2 NULL=BLANK Scale=6",,$D36,$FS$4),GK36)</f>
        <v>2.24674022066199</v>
      </c>
      <c r="GL36" s="1506" cm="1">
        <f t="array" aca="1" ref="GL36" ca="1">IF(SwitchPA=1,_xll.TR(GL$7,GL$6,"Sdate=#1 Period=#2 NULL=BLANK Scale=6",,$D36,$FS$4),GL36)</f>
        <v>1.7902315625608101</v>
      </c>
      <c r="GM36" s="1506" cm="1">
        <f t="array" aca="1" ref="GM36" ca="1">IF(SwitchPA=1,_xll.TR(GM$7,GM$6,"Sdate=#1 Period=#2 NULL=BLANK Scale=6",,$D36,$FS$4),GM36)</f>
        <v>3.4762456546929301</v>
      </c>
      <c r="GN36" s="1506" t="str" cm="1">
        <f t="array" aca="1" ref="GN36" ca="1">IF(SwitchPA=1,_xll.TR(GN$7,GN$6,"Sdate=#1 Period=#2 NULL=BLANK Scale=6",,$D36,$FS$4),GN36)</f>
        <v/>
      </c>
      <c r="GO36" s="1506" cm="1">
        <f t="array" aca="1" ref="GO36" ca="1">IF(SwitchPA=1,_xll.TR(GO$7,GO$6,"Sdate=#1 Period=#2 NULL=BLANK Scale=6",,$D36,$FS$4),GO36)</f>
        <v>3.21428571428571</v>
      </c>
      <c r="GP36" s="1506" cm="1">
        <f t="array" aca="1" ref="GP36" ca="1">IF(SwitchPA=1,_xll.TR(GP$7,GP$6,"Sdate=#1 Period=#2 NULL=BLANK Scale=6",,$D36,$FS$4),GP36)</f>
        <v>2.44498777506112</v>
      </c>
      <c r="GQ36" s="1506" cm="1">
        <f t="array" aca="1" ref="GQ36" ca="1">IF(SwitchPA=1,_xll.TR(GQ$7,GQ$6,"Sdate=#1 Period=#2 NULL=BLANK Scale=6",,$D36,$FS$4),GQ36)</f>
        <v>3.85130609511052</v>
      </c>
      <c r="GR36" s="1506" cm="1">
        <f t="array" aca="1" ref="GR36" ca="1">IF(SwitchPA=1,_xll.TR(GR$7,GR$6,"Sdate=#1 Period=#2 NULL=BLANK Scale=6",,$D36,$FS$4),GR36)</f>
        <v>1.5234613040828799</v>
      </c>
      <c r="GS36" s="1506" cm="1">
        <f t="array" aca="1" ref="GS36" ca="1">IF(SwitchPA=1,_xll.TR(GS$7,GS$6,"Sdate=#1 Period=#2 NULL=BLANK Scale=6",,$D36,$FS$4),GS36)</f>
        <v>2.3448275862068999</v>
      </c>
      <c r="GT36" s="1506" cm="1">
        <f t="array" aca="1" ref="GT36" ca="1">IF(SwitchPA=1,_xll.TR(GT$7,GT$6,"Sdate=#1 Period=#2 NULL=BLANK Scale=6",,$D36,$FS$4),GT36)</f>
        <v>1.1457214464733301</v>
      </c>
      <c r="GU36" s="1506" cm="1">
        <f t="array" aca="1" ref="GU36" ca="1">IF(SwitchPA=1,_xll.TR(GU$7,GU$6,"Sdate=#1 Period=#2 NULL=BLANK Scale=6",,$D36,$FS$4),GU36)</f>
        <v>1.2538311507383699</v>
      </c>
      <c r="GV36" s="1506" cm="1">
        <f t="array" aca="1" ref="GV36" ca="1">IF(SwitchPA=1,_xll.TR(GV$7,GV$6,"Sdate=#1 Period=#2 NULL=BLANK Scale=6",,$D36,$FS$4),GV36)</f>
        <v>1.6710432084029601</v>
      </c>
      <c r="GW36" s="1506" cm="1">
        <f t="array" aca="1" ref="GW36" ca="1">IF(SwitchPA=1,_xll.TR(GW$7,GW$6,"Sdate=#1 Period=#2 NULL=BLANK Scale=6",,$D36,$FS$4),GW36)</f>
        <v>2.13094069816347</v>
      </c>
      <c r="GX36" s="1506" cm="1">
        <f t="array" aca="1" ref="GX36" ca="1">IF(SwitchPA=1,_xll.TR(GX$7,GX$6,"Sdate=#1 Period=#2 NULL=BLANK Scale=6",,$D36,$FS$4),GX36)</f>
        <v>0.77410274454609396</v>
      </c>
      <c r="GY36" s="1506" cm="1">
        <f t="array" aca="1" ref="GY36" ca="1">IF(SwitchPA=1,_xll.TR(GY$7,GY$6,"Sdate=#1 Period=#2 NULL=BLANK Scale=6",,$D36,$FS$4),GY36)</f>
        <v>1.5474552957359</v>
      </c>
      <c r="GZ36" s="1506" cm="1">
        <f t="array" aca="1" ref="GZ36" ca="1">IF(SwitchPA=1,_xll.TR(GZ$7,GZ$6,"Sdate=#1 Period=#2 NULL=BLANK Scale=6",,$D36,$FS$4),GZ36)</f>
        <v>3.1678700361010801</v>
      </c>
      <c r="HA36" s="1506" t="str" cm="1">
        <f t="array" aca="1" ref="HA36" ca="1">IF(SwitchPA=1,_xll.TR(HA$7,HA$6,"Sdate=#1 Period=#2 NULL=BLANK Scale=6",,$D36,$FS$4),HA36)</f>
        <v/>
      </c>
      <c r="HC36">
        <v>2.99</v>
      </c>
      <c r="HD36">
        <v>50.8</v>
      </c>
      <c r="HE36">
        <v>54.13</v>
      </c>
      <c r="HG36" s="762">
        <f t="shared" si="52"/>
        <v>0.18650793650793651</v>
      </c>
      <c r="HH36" s="762">
        <f t="shared" si="53"/>
        <v>0.17348117348117342</v>
      </c>
      <c r="HI36" s="762">
        <f t="shared" si="54"/>
        <v>0.24037580201649877</v>
      </c>
    </row>
    <row r="37" spans="3:217" ht="11.25" customHeight="1">
      <c r="C37" s="1514">
        <f t="shared" si="51"/>
        <v>43465</v>
      </c>
      <c r="D37" s="1515">
        <f t="shared" si="49"/>
        <v>43510</v>
      </c>
      <c r="E37" s="1506" cm="1">
        <f t="array" aca="1" ref="E37" ca="1">IF(SwitchPA=1,_xll.TR(E$7,E$6,"Sdate=#1 Period=#2 NULL=BLANK",,$D37,$E$4),E37)</f>
        <v>7.7196499070828004</v>
      </c>
      <c r="F37" s="1506" cm="1">
        <f t="array" aca="1" ref="F37" ca="1">IF(SwitchPA=1,_xll.TR(F$7,F$6,"Sdate=#1 Period=#2 NULL=BLANK",,$D37,$E$4),F37)</f>
        <v>7.7935245040986301</v>
      </c>
      <c r="G37" s="1506" cm="1">
        <f t="array" aca="1" ref="G37" ca="1">IF(SwitchPA=1,_xll.TR(G$7,G$6,"Sdate=#1 Period=#2 NULL=BLANK",,$D37,$E$4),G37)</f>
        <v>7.9925036961179803</v>
      </c>
      <c r="H37" s="1506" t="str" cm="1">
        <f t="array" aca="1" ref="H37" ca="1">IF(SwitchPA=1,_xll.TR(H$7,H$6,"Sdate=#1 Period=#2 NULL=BLANK",,$D37,$E$4),H37)</f>
        <v/>
      </c>
      <c r="I37" s="1506" cm="1">
        <f t="array" aca="1" ref="I37" ca="1">IF(SwitchPA=1,_xll.TR(I$7,I$6,"Sdate=#1 Period=#2 NULL=BLANK",,$D37,$E$4),I37)</f>
        <v>6.0324088610704401</v>
      </c>
      <c r="J37" s="1506" cm="1">
        <f t="array" aca="1" ref="J37" ca="1">IF(SwitchPA=1,_xll.TR(J$7,J$6,"Sdate=#1 Period=#2 NULL=BLANK",,$D37,$E$4),J37)</f>
        <v>5.7915904105040399</v>
      </c>
      <c r="K37" s="1506" cm="1">
        <f t="array" aca="1" ref="K37" ca="1">IF(SwitchPA=1,_xll.TR(K$7,K$6,"Sdate=#1 Period=#2 NULL=BLANK",,$D37,$E$4),K37)</f>
        <v>5.9207036713806396</v>
      </c>
      <c r="L37" s="1506" cm="1">
        <f t="array" aca="1" ref="L37" ca="1">IF(SwitchPA=1,_xll.TR(L$7,L$6,"Sdate=#1 Period=#2 NULL=BLANK",,$D37,$E$4),L37)</f>
        <v>5.4819116319725296</v>
      </c>
      <c r="M37" s="1506" cm="1">
        <f t="array" aca="1" ref="M37" ca="1">IF(SwitchPA=1,_xll.TR(M$7,M$6,"Sdate=#1 Period=#2 NULL=BLANK",,$D37,$E$4),M37)</f>
        <v>13.2702384716635</v>
      </c>
      <c r="N37" s="1506" cm="1">
        <f t="array" aca="1" ref="N37" ca="1">IF(SwitchPA=1,_xll.TR(N$7,N$6,"Sdate=#1 Period=#2 NULL=BLANK",,$D37,$E$4),N37)</f>
        <v>8.5500730661281494</v>
      </c>
      <c r="O37" s="1506" cm="1">
        <f t="array" aca="1" ref="O37" ca="1">IF(SwitchPA=1,_xll.TR(O$7,O$6,"Sdate=#1 Period=#2 NULL=BLANK",,$D37,$E$4),O37)</f>
        <v>11.9402118751548</v>
      </c>
      <c r="P37" s="1506" cm="1">
        <f t="array" aca="1" ref="P37" ca="1">IF(SwitchPA=1,_xll.TR(P$7,P$6,"Sdate=#1 Period=#2 NULL=BLANK",,$D37,$E$4),P37)</f>
        <v>8.4498532407750808</v>
      </c>
      <c r="Q37" s="1506" cm="1">
        <f t="array" aca="1" ref="Q37" ca="1">IF(SwitchPA=1,_xll.TR(Q$7,Q$6,"Sdate=#1 Period=#2 NULL=BLANK",,$D37,$E$4),Q37)</f>
        <v>6.8167994185015903</v>
      </c>
      <c r="R37" s="1506" cm="1">
        <f t="array" aca="1" ref="R37" ca="1">IF(SwitchPA=1,_xll.TR(R$7,R$6,"Sdate=#1 Period=#2 NULL=BLANK",,$D37,$E$4),R37)</f>
        <v>11.2589981297007</v>
      </c>
      <c r="S37" s="1506" cm="1">
        <f t="array" aca="1" ref="S37" ca="1">IF(SwitchPA=1,_xll.TR(S$7,S$6,"Sdate=#1 Period=#2 NULL=BLANK",,$D37,$E$4),S37)</f>
        <v>11.2929116951781</v>
      </c>
      <c r="T37" s="1506" cm="1">
        <f t="array" aca="1" ref="T37" ca="1">IF(SwitchPA=1,_xll.TR(T$7,T$6,"Sdate=#1 Period=#2 NULL=BLANK",,$D37,$E$4),T37)</f>
        <v>5.9414654646435103</v>
      </c>
      <c r="U37" s="1506" t="str" cm="1">
        <f t="array" aca="1" ref="U37" ca="1">IF(SwitchPA=1,_xll.TR(U$7,U$6,"Sdate=#1 Period=#2 NULL=BLANK",,$D37,$E$4),U37)</f>
        <v>No universe defined.</v>
      </c>
      <c r="V37" s="1506" t="str" cm="1">
        <f t="array" aca="1" ref="V37" ca="1">IF(SwitchPA=1,_xll.TR(V$7,V$6,"Sdate=#1 Period=#2 NULL=BLANK",,$D37,$E$4),V37)</f>
        <v>No universe defined.</v>
      </c>
      <c r="W37" s="1521">
        <f t="shared" ca="1" si="55"/>
        <v>-3.4138712900152579E-2</v>
      </c>
      <c r="X37" s="1506" cm="1">
        <f t="array" aca="1" ref="X37" ca="1">IF(SwitchPA=1,_xll.TR(X$7,X$6,"Sdate=#1 Period=#2 NULL=BLANK",,$D37,$X$4),X37)</f>
        <v>7.7953610635405299</v>
      </c>
      <c r="Y37" s="1506" cm="1">
        <f t="array" aca="1" ref="Y37" ca="1">IF(SwitchPA=1,_xll.TR(Y$7,Y$6,"Sdate=#1 Period=#2 NULL=BLANK",,$D37,$X$4),Y37)</f>
        <v>7.4782278667772903</v>
      </c>
      <c r="Z37" s="1506" cm="1">
        <f t="array" aca="1" ref="Z37" ca="1">IF(SwitchPA=1,_xll.TR(Z$7,Z$6,"Sdate=#1 Period=#2 NULL=BLANK",,$D37,$X$4),Z37)</f>
        <v>8.2138216286452792</v>
      </c>
      <c r="AA37" s="1506" t="str" cm="1">
        <f t="array" aca="1" ref="AA37" ca="1">IF(SwitchPA=1,_xll.TR(AA$7,AA$6,"Sdate=#1 Period=#2 NULL=BLANK",,$D37,$X$4),AA37)</f>
        <v/>
      </c>
      <c r="AB37" s="1506" cm="1">
        <f t="array" aca="1" ref="AB37" ca="1">IF(SwitchPA=1,_xll.TR(AB$7,AB$6,"Sdate=#1 Period=#2 NULL=BLANK",,$D37,$X$4),AB37)</f>
        <v>5.7242303526177896</v>
      </c>
      <c r="AC37" s="1506" cm="1">
        <f t="array" aca="1" ref="AC37" ca="1">IF(SwitchPA=1,_xll.TR(AC$7,AC$6,"Sdate=#1 Period=#2 NULL=BLANK",,$D37,$X$4),AC37)</f>
        <v>5.8888546297498596</v>
      </c>
      <c r="AD37" s="1506" cm="1">
        <f t="array" aca="1" ref="AD37" ca="1">IF(SwitchPA=1,_xll.TR(AD$7,AD$6,"Sdate=#1 Period=#2 NULL=BLANK",,$D37,$X$4),AD37)</f>
        <v>5.7409306165147296</v>
      </c>
      <c r="AE37" s="1506" cm="1">
        <f t="array" aca="1" ref="AE37" ca="1">IF(SwitchPA=1,_xll.TR(AE$7,AE$6,"Sdate=#1 Period=#2 NULL=BLANK",,$D37,$X$4),AE37)</f>
        <v>5.2187831314446997</v>
      </c>
      <c r="AF37" s="1506" cm="1">
        <f t="array" aca="1" ref="AF37" ca="1">IF(SwitchPA=1,_xll.TR(AF$7,AF$6,"Sdate=#1 Period=#2 NULL=BLANK",,$D37,$X$4),AF37)</f>
        <v>13.992326517911501</v>
      </c>
      <c r="AG37" s="1506" cm="1">
        <f t="array" aca="1" ref="AG37" ca="1">IF(SwitchPA=1,_xll.TR(AG$7,AG$6,"Sdate=#1 Period=#2 NULL=BLANK",,$D37,$X$4),AG37)</f>
        <v>9.4423555976533908</v>
      </c>
      <c r="AH37" s="1506" cm="1">
        <f t="array" aca="1" ref="AH37" ca="1">IF(SwitchPA=1,_xll.TR(AH$7,AH$6,"Sdate=#1 Period=#2 NULL=BLANK",,$D37,$X$4),AH37)</f>
        <v>11.294988124247601</v>
      </c>
      <c r="AI37" s="1506" cm="1">
        <f t="array" aca="1" ref="AI37" ca="1">IF(SwitchPA=1,_xll.TR(AI$7,AI$6,"Sdate=#1 Period=#2 NULL=BLANK",,$D37,$X$4),AI37)</f>
        <v>8.96587672828168</v>
      </c>
      <c r="AJ37" s="1506" cm="1">
        <f t="array" aca="1" ref="AJ37" ca="1">IF(SwitchPA=1,_xll.TR(AJ$7,AJ$6,"Sdate=#1 Period=#2 NULL=BLANK",,$D37,$X$4),AJ37)</f>
        <v>6.7621653216007296</v>
      </c>
      <c r="AK37" s="1506" cm="1">
        <f t="array" aca="1" ref="AK37" ca="1">IF(SwitchPA=1,_xll.TR(AK$7,AK$6,"Sdate=#1 Period=#2 NULL=BLANK",,$D37,$X$4),AK37)</f>
        <v>10.702262565164901</v>
      </c>
      <c r="AL37" s="1506" cm="1">
        <f t="array" aca="1" ref="AL37" ca="1">IF(SwitchPA=1,_xll.TR(AL$7,AL$6,"Sdate=#1 Period=#2 NULL=BLANK",,$D37,$X$4),AL37)</f>
        <v>11.847927943623599</v>
      </c>
      <c r="AM37" s="1506" cm="1">
        <f t="array" aca="1" ref="AM37" ca="1">IF(SwitchPA=1,_xll.TR(AM$7,AM$6,"Sdate=#1 Period=#2 NULL=BLANK",,$D37,$X$4),AM37)</f>
        <v>6.1944962690353904</v>
      </c>
      <c r="AN37" s="1506" t="str" cm="1">
        <f t="array" aca="1" ref="AN37" ca="1">IF(SwitchPA=1,_xll.TR(AN$7,AN$6,"Sdate=#1 Period=#2 NULL=BLANK",,$D37,$X$4),AN37)</f>
        <v/>
      </c>
      <c r="AO37" s="1506" t="str" cm="1">
        <f t="array" aca="1" ref="AO37" ca="1">IF(SwitchPA=1,_xll.TR(AO$7,AO$6,"Sdate=#1 Period=#2 NULL=BLANK",,$D37,$X$4),AO37)</f>
        <v/>
      </c>
      <c r="AQ37" s="1506" cm="1">
        <f t="array" aca="1" ref="AQ37" ca="1">IF(SwitchPA=1,_xll.TR(AQ$7,AQ$6,"Sdate=#1 Period=#2 NULL=BLANK Scale=6",,$D37,$AQ$4),AQ37)</f>
        <v>11.991666666666699</v>
      </c>
      <c r="AR37" s="1506" cm="1">
        <f t="array" aca="1" ref="AR37" ca="1">IF(SwitchPA=1,_xll.TR(AR$7,AR$6,"Sdate=#1 Period=#2 NULL=BLANK Scale=6",,$D37,$AQ$4),AR37)</f>
        <v>20.7499966666667</v>
      </c>
      <c r="AS37" s="1506" cm="1">
        <f t="array" aca="1" ref="AS37" ca="1">IF(SwitchPA=1,_xll.TR(AS$7,AS$6,"Sdate=#1 Period=#2 NULL=BLANK Scale=6",,$D37,$AQ$4),AS37)</f>
        <v>9.7888883333333307</v>
      </c>
      <c r="AT37" s="1506" t="str" cm="1">
        <f t="array" aca="1" ref="AT37" ca="1">IF(SwitchPA=1,_xll.TR(AT$7,AT$6,"Sdate=#1 Period=#2 NULL=BLANK Scale=6",,$D37,$AQ$4),AT37)</f>
        <v/>
      </c>
      <c r="AU37" s="1506" cm="1">
        <f t="array" aca="1" ref="AU37" ca="1">IF(SwitchPA=1,_xll.TR(AU$7,AU$6,"Sdate=#1 Period=#2 NULL=BLANK Scale=6",,$D37,$AQ$4),AU37)</f>
        <v>23.033333333333299</v>
      </c>
      <c r="AV37" s="1506" cm="1">
        <f t="array" aca="1" ref="AV37" ca="1">IF(SwitchPA=1,_xll.TR(AV$7,AV$6,"Sdate=#1 Period=#2 NULL=BLANK Scale=6",,$D37,$AQ$4),AV37)</f>
        <v>3.5833333333333299</v>
      </c>
      <c r="AW37" s="1506" cm="1">
        <f t="array" aca="1" ref="AW37" ca="1">IF(SwitchPA=1,_xll.TR(AW$7,AW$6,"Sdate=#1 Period=#2 NULL=BLANK Scale=6",,$D37,$AQ$4),AW37)</f>
        <v>10.330555</v>
      </c>
      <c r="AX37" s="1506" cm="1">
        <f t="array" aca="1" ref="AX37" ca="1">IF(SwitchPA=1,_xll.TR(AX$7,AX$6,"Sdate=#1 Period=#2 NULL=BLANK Scale=6",,$D37,$AQ$4),AX37)</f>
        <v>10.8083333333333</v>
      </c>
      <c r="AY37" s="1506" cm="1">
        <f t="array" aca="1" ref="AY37" ca="1">IF(SwitchPA=1,_xll.TR(AY$7,AY$6,"Sdate=#1 Period=#2 NULL=BLANK Scale=6",,$D37,$AQ$4),AY37)</f>
        <v>19.438888333333299</v>
      </c>
      <c r="AZ37" s="1506" cm="1">
        <f t="array" aca="1" ref="AZ37" ca="1">IF(SwitchPA=1,_xll.TR(AZ$7,AZ$6,"Sdate=#1 Period=#2 NULL=BLANK Scale=6",,$D37,$AQ$4),AZ37)</f>
        <v>11.824999999999999</v>
      </c>
      <c r="BA37" s="1506" t="str" cm="1">
        <f t="array" aca="1" ref="BA37" ca="1">IF(SwitchPA=1,_xll.TR(BA$7,BA$6,"Sdate=#1 Period=#2 NULL=BLANK Scale=6",,$D37,$AQ$4),BA37)</f>
        <v/>
      </c>
      <c r="BB37" s="1506" cm="1">
        <f t="array" aca="1" ref="BB37" ca="1">IF(SwitchPA=1,_xll.TR(BB$7,BB$6,"Sdate=#1 Period=#2 NULL=BLANK Scale=6",,$D37,$AQ$4),BB37)</f>
        <v>10.866666666666699</v>
      </c>
      <c r="BC37" s="1506" cm="1">
        <f t="array" aca="1" ref="BC37" ca="1">IF(SwitchPA=1,_xll.TR(BC$7,BC$6,"Sdate=#1 Period=#2 NULL=BLANK Scale=6",,$D37,$AQ$4),BC37)</f>
        <v>15.019441666666699</v>
      </c>
      <c r="BD37" s="1506" cm="1">
        <f t="array" aca="1" ref="BD37" ca="1">IF(SwitchPA=1,_xll.TR(BD$7,BD$6,"Sdate=#1 Period=#2 NULL=BLANK Scale=6",,$D37,$AQ$4),BD37)</f>
        <v>16.05</v>
      </c>
      <c r="BE37" s="1506" cm="1">
        <f t="array" aca="1" ref="BE37" ca="1">IF(SwitchPA=1,_xll.TR(BE$7,BE$6,"Sdate=#1 Period=#2 NULL=BLANK Scale=6",,$D37,$AQ$4),BE37)</f>
        <v>16.491666666666699</v>
      </c>
      <c r="BF37" s="1506" cm="1">
        <f t="array" aca="1" ref="BF37" ca="1">IF(SwitchPA=1,_xll.TR(BF$7,BF$6,"Sdate=#1 Period=#2 NULL=BLANK Scale=6",,$D37,$AQ$4),BF37)</f>
        <v>8.02</v>
      </c>
      <c r="BG37" s="1506" t="str" cm="1">
        <f t="array" aca="1" ref="BG37" ca="1">IF(SwitchPA=1,_xll.TR(BG$7,BG$6,"Sdate=#1 Period=#2 NULL=BLANK Scale=6",,$D37,$AQ$4),BG37)</f>
        <v/>
      </c>
      <c r="BH37" s="1506" t="str" cm="1">
        <f t="array" aca="1" ref="BH37" ca="1">IF(SwitchPA=1,_xll.TR(BH$7,BH$6,"Sdate=#1 Period=#2 NULL=BLANK Scale=6",,$D37,$AQ$4),BH37)</f>
        <v/>
      </c>
      <c r="BJ37" s="1506" cm="1">
        <f t="array" aca="1" ref="BJ37" ca="1">IF(SwitchPA=1,_xll.TR(BJ$7,BJ$6,"Sdate=#1 Period=#2 NULL=BLANK Scale=6",,$D37,$BJ$4),BJ37)</f>
        <v>8.0976048150000004</v>
      </c>
      <c r="BK37" s="1506" cm="1">
        <f t="array" aca="1" ref="BK37" ca="1">IF(SwitchPA=1,_xll.TR(BK$7,BK$6,"Sdate=#1 Period=#2 NULL=BLANK Scale=6",,$D37,$BJ$4),BK37)</f>
        <v>9.6528205160000002</v>
      </c>
      <c r="BL37" s="1506" cm="1">
        <f t="array" aca="1" ref="BL37" ca="1">IF(SwitchPA=1,_xll.TR(BL$7,BL$6,"Sdate=#1 Period=#2 NULL=BLANK Scale=6",,$D37,$BJ$4),BL37)</f>
        <v>7.1773294200000004</v>
      </c>
      <c r="BM37" s="1506" t="str" cm="1">
        <f t="array" aca="1" ref="BM37" ca="1">IF(SwitchPA=1,_xll.TR(BM$7,BM$6,"Sdate=#1 Period=#2 NULL=BLANK Scale=6",,$D37,$BJ$4),BM37)</f>
        <v/>
      </c>
      <c r="BN37" s="1506" cm="1">
        <f t="array" aca="1" ref="BN37" ca="1">IF(SwitchPA=1,_xll.TR(BN$7,BN$6,"Sdate=#1 Period=#2 NULL=BLANK Scale=6",,$D37,$BJ$4),BN37)</f>
        <v>5.8145591669999996</v>
      </c>
      <c r="BO37" s="1506" cm="1">
        <f t="array" aca="1" ref="BO37" ca="1">IF(SwitchPA=1,_xll.TR(BO$7,BO$6,"Sdate=#1 Period=#2 NULL=BLANK Scale=6",,$D37,$BJ$4),BO37)</f>
        <v>6.2902364970000004</v>
      </c>
      <c r="BP37" s="1506" cm="1">
        <f t="array" aca="1" ref="BP37" ca="1">IF(SwitchPA=1,_xll.TR(BP$7,BP$6,"Sdate=#1 Period=#2 NULL=BLANK Scale=6",,$D37,$BJ$4),BP37)</f>
        <v>5.8584271460000004</v>
      </c>
      <c r="BQ37" s="1506" cm="1">
        <f t="array" aca="1" ref="BQ37" ca="1">IF(SwitchPA=1,_xll.TR(BQ$7,BQ$6,"Sdate=#1 Period=#2 NULL=BLANK Scale=6",,$D37,$BJ$4),BQ37)</f>
        <v>7.0141915839999998</v>
      </c>
      <c r="BR37" s="1506" cm="1">
        <f t="array" aca="1" ref="BR37" ca="1">IF(SwitchPA=1,_xll.TR(BR$7,BR$6,"Sdate=#1 Period=#2 NULL=BLANK Scale=6",,$D37,$BJ$4),BR37)</f>
        <v>15.636205964</v>
      </c>
      <c r="BS37" s="1506" cm="1">
        <f t="array" aca="1" ref="BS37" ca="1">IF(SwitchPA=1,_xll.TR(BS$7,BS$6,"Sdate=#1 Period=#2 NULL=BLANK Scale=6",,$D37,$BJ$4),BS37)</f>
        <v>10.351005352</v>
      </c>
      <c r="BT37" s="1506" cm="1">
        <f t="array" aca="1" ref="BT37" ca="1">IF(SwitchPA=1,_xll.TR(BT$7,BT$6,"Sdate=#1 Period=#2 NULL=BLANK Scale=6",,$D37,$BJ$4),BT37)</f>
        <v>10.9534129</v>
      </c>
      <c r="BU37" s="1506" cm="1">
        <f t="array" aca="1" ref="BU37" ca="1">IF(SwitchPA=1,_xll.TR(BU$7,BU$6,"Sdate=#1 Period=#2 NULL=BLANK Scale=6",,$D37,$BJ$4),BU37)</f>
        <v>18.892839793</v>
      </c>
      <c r="BV37" s="1506" cm="1">
        <f t="array" aca="1" ref="BV37" ca="1">IF(SwitchPA=1,_xll.TR(BV$7,BV$6,"Sdate=#1 Period=#2 NULL=BLANK Scale=6",,$D37,$BJ$4),BV37)</f>
        <v>28.254774011999999</v>
      </c>
      <c r="BW37" s="1506" cm="1">
        <f t="array" aca="1" ref="BW37" ca="1">IF(SwitchPA=1,_xll.TR(BW$7,BW$6,"Sdate=#1 Period=#2 NULL=BLANK Scale=6",,$D37,$BJ$4),BW37)</f>
        <v>12.114006653000001</v>
      </c>
      <c r="BX37" s="1506" cm="1">
        <f t="array" aca="1" ref="BX37" ca="1">IF(SwitchPA=1,_xll.TR(BX$7,BX$6,"Sdate=#1 Period=#2 NULL=BLANK Scale=6",,$D37,$BJ$4),BX37)</f>
        <v>12.093565522</v>
      </c>
      <c r="BY37" s="1506" cm="1">
        <f t="array" aca="1" ref="BY37" ca="1">IF(SwitchPA=1,_xll.TR(BY$7,BY$6,"Sdate=#1 Period=#2 NULL=BLANK Scale=6",,$D37,$BJ$4),BY37)</f>
        <v>6.3115329100000004</v>
      </c>
      <c r="BZ37" s="1506" t="str" cm="1">
        <f t="array" aca="1" ref="BZ37" ca="1">IF(SwitchPA=1,_xll.TR(BZ$7,BZ$6,"Sdate=#1 Period=#2 NULL=BLANK Scale=6",,$D37,$BJ$4),BZ37)</f>
        <v/>
      </c>
      <c r="CA37" s="1506" t="str" cm="1">
        <f t="array" aca="1" ref="CA37" ca="1">IF(SwitchPA=1,_xll.TR(CA$7,CA$6,"Sdate=#1 Period=#2 NULL=BLANK Scale=6",,$D37,$BJ$4),CA37)</f>
        <v/>
      </c>
      <c r="CC37" s="1506" cm="1">
        <f t="array" aca="1" ref="CC37" ca="1">IF(SwitchPA=1,_xll.TR(CC$7,CC$6,"Sdate=#1 Period=#2 NULL=BLANK Scale=6",,$D37,$CC$4),CC37)</f>
        <v>10151</v>
      </c>
      <c r="CD37" s="1506" cm="1">
        <f t="array" aca="1" ref="CD37" ca="1">IF(SwitchPA=1,_xll.TR(CD$7,CD$6,"Sdate=#1 Period=#2 NULL=BLANK Scale=6",,$D37,$CC$4),CD37)</f>
        <v>7155</v>
      </c>
      <c r="CE37" s="1506" cm="1">
        <f t="array" aca="1" ref="CE37" ca="1">IF(SwitchPA=1,_xll.TR(CE$7,CE$6,"Sdate=#1 Period=#2 NULL=BLANK Scale=6",,$D37,$CC$4),CE37)</f>
        <v>62320</v>
      </c>
      <c r="CF37" s="1506" cm="1">
        <f t="array" aca="1" ref="CF37" ca="1">IF(SwitchPA=1,_xll.TR(CF$7,CF$6,"Sdate=#1 Period=#2 NULL=BLANK Scale=6",,$D37,$CC$4),CF37)</f>
        <v>40693</v>
      </c>
      <c r="CG37" s="1506" cm="1">
        <f t="array" aca="1" ref="CG37" ca="1">IF(SwitchPA=1,_xll.TR(CG$7,CG$6,"Sdate=#1 Period=#2 NULL=BLANK Scale=6",,$D37,$CC$4),CG37)</f>
        <v>39004</v>
      </c>
      <c r="CH37" s="1506" cm="1">
        <f t="array" aca="1" ref="CH37" ca="1">IF(SwitchPA=1,_xll.TR(CH$7,CH$6,"Sdate=#1 Period=#2 NULL=BLANK Scale=6",,$D37,$CC$4),CH37)</f>
        <v>6946.1</v>
      </c>
      <c r="CI37" s="1506" t="str" cm="1">
        <f t="array" aca="1" ref="CI37" ca="1">IF(SwitchPA=1,_xll.TR(CI$7,CI$6,"Sdate=#1 Period=#2 NULL=BLANK Scale=6",,$D37,$CC$4),CI37)</f>
        <v/>
      </c>
      <c r="CJ37" s="1506" cm="1">
        <f t="array" aca="1" ref="CJ37" ca="1">IF(SwitchPA=1,_xll.TR(CJ$7,CJ$6,"Sdate=#1 Period=#2 NULL=BLANK Scale=6",,$D37,$CC$4),CJ37)</f>
        <v>8488</v>
      </c>
      <c r="CK37" s="1506" cm="1">
        <f t="array" aca="1" ref="CK37" ca="1">IF(SwitchPA=1,_xll.TR(CK$7,CK$6,"Sdate=#1 Period=#2 NULL=BLANK Scale=6",,$D37,$CC$4),CK37)</f>
        <v>32765</v>
      </c>
      <c r="CL37" s="1506" cm="1">
        <f t="array" aca="1" ref="CL37" ca="1">IF(SwitchPA=1,_xll.TR(CL$7,CL$6,"Sdate=#1 Period=#2 NULL=BLANK Scale=6",,$D37,$CC$4),CL37)</f>
        <v>3311.04</v>
      </c>
      <c r="CM37" s="1506" cm="1">
        <f t="array" aca="1" ref="CM37" ca="1">IF(SwitchPA=1,_xll.TR(CM$7,CM$6,"Sdate=#1 Period=#2 NULL=BLANK Scale=6",,$D37,$CC$4),CM37)</f>
        <v>2583</v>
      </c>
      <c r="CN37" s="1506" cm="1">
        <f t="array" aca="1" ref="CN37" ca="1">IF(SwitchPA=1,_xll.TR(CN$7,CN$6,"Sdate=#1 Period=#2 NULL=BLANK Scale=6",,$D37,$CC$4),CN37)</f>
        <v>3222.5</v>
      </c>
      <c r="CO37" s="1506" cm="1">
        <f t="array" aca="1" ref="CO37" ca="1">IF(SwitchPA=1,_xll.TR(CO$7,CO$6,"Sdate=#1 Period=#2 NULL=BLANK Scale=6",,$D37,$CC$4),CO37)</f>
        <v>22594</v>
      </c>
      <c r="CP37" s="1506" cm="1">
        <f t="array" aca="1" ref="CP37" ca="1">IF(SwitchPA=1,_xll.TR(CP$7,CP$6,"Sdate=#1 Period=#2 NULL=BLANK Scale=6",,$D37,$CC$4),CP37)</f>
        <v>4285.3</v>
      </c>
      <c r="CQ37" s="1506" cm="1">
        <f t="array" aca="1" ref="CQ37" ca="1">IF(SwitchPA=1,_xll.TR(CQ$7,CQ$6,"Sdate=#1 Period=#2 NULL=BLANK Scale=6",,$D37,$CC$4),CQ37)</f>
        <v>15374</v>
      </c>
      <c r="CR37" s="1506" cm="1">
        <f t="array" aca="1" ref="CR37" ca="1">IF(SwitchPA=1,_xll.TR(CR$7,CR$6,"Sdate=#1 Period=#2 NULL=BLANK Scale=6",,$D37,$CC$4),CR37)</f>
        <v>11187</v>
      </c>
      <c r="CS37" s="1506" t="str" cm="1">
        <f t="array" aca="1" ref="CS37" ca="1">IF(SwitchPA=1,_xll.TR(CS$7,CS$6,"Sdate=#1 Period=#2 NULL=BLANK Scale=6",,$D37,$CC$4),CS37)</f>
        <v>Unable to resolve all requested identifiers.</v>
      </c>
      <c r="CT37" s="1506" t="str" cm="1">
        <f t="array" aca="1" ref="CT37" ca="1">IF(SwitchPA=1,_xll.TR(CT$7,CT$6,"Sdate=#1 Period=#2 NULL=BLANK Scale=6",,$D37,$CC$4),CT37)</f>
        <v>Unable to resolve all requested identifiers.</v>
      </c>
      <c r="CV37" s="1516" cm="1">
        <f t="array" aca="1" ref="CV37" ca="1">IF(SwitchPA=1,_xll.TR(CV$7,CV$6,"Sdate=#1 Period=#2 NULL=BLANK Scale=6",,$D37,$AQ$4),CV37)</f>
        <v>5593</v>
      </c>
      <c r="CW37" s="1516" cm="1">
        <f t="array" aca="1" ref="CW37" ca="1">IF(SwitchPA=1,_xll.TR(CW$7,CW$6,"Sdate=#1 Period=#2 NULL=BLANK Scale=6",,$D37,$AQ$4),CW37)</f>
        <v>3735.75</v>
      </c>
      <c r="CX37" s="1516" cm="1">
        <f t="array" aca="1" ref="CX37" ca="1">IF(SwitchPA=1,_xll.TR(CX$7,CX$6,"Sdate=#1 Period=#2 NULL=BLANK Scale=6",,$D37,$AQ$4),CX37)</f>
        <v>23777.5</v>
      </c>
      <c r="CY37" s="1516" t="str" cm="1">
        <f t="array" aca="1" ref="CY37" ca="1">IF(SwitchPA=1,_xll.TR(CY$7,CY$6,"Sdate=#1 Period=#2 NULL=BLANK Scale=6",,$D37,$AQ$4),CY37)</f>
        <v/>
      </c>
      <c r="CZ37" s="1516" cm="1">
        <f t="array" aca="1" ref="CZ37" ca="1">IF(SwitchPA=1,_xll.TR(CZ$7,CZ$6,"Sdate=#1 Period=#2 NULL=BLANK Scale=6",,$D37,$AQ$4),CZ37)</f>
        <v>11764.5</v>
      </c>
      <c r="DA37" s="1516" cm="1">
        <f t="array" aca="1" ref="DA37" ca="1">IF(SwitchPA=1,_xll.TR(DA$7,DA$6,"Sdate=#1 Period=#2 NULL=BLANK Scale=6",,$D37,$AQ$4),DA37)</f>
        <v>3494.9</v>
      </c>
      <c r="DB37" s="1516" t="str" cm="1">
        <f t="array" aca="1" ref="DB37" ca="1">IF(SwitchPA=1,_xll.TR(DB$7,DB$6,"Sdate=#1 Period=#2 NULL=BLANK Scale=6",,$D37,$AQ$4),DB37)</f>
        <v/>
      </c>
      <c r="DC37" s="1516" cm="1">
        <f t="array" aca="1" ref="DC37" ca="1">IF(SwitchPA=1,_xll.TR(DC$7,DC$6,"Sdate=#1 Period=#2 NULL=BLANK Scale=6",,$D37,$AQ$4),DC37)</f>
        <v>2872</v>
      </c>
      <c r="DD37" s="1516" cm="1">
        <f t="array" aca="1" ref="DD37" ca="1">IF(SwitchPA=1,_xll.TR(DD$7,DD$6,"Sdate=#1 Period=#2 NULL=BLANK Scale=6",,$D37,$AQ$4),DD37)</f>
        <v>8719.25</v>
      </c>
      <c r="DE37" s="1516" cm="1">
        <f t="array" aca="1" ref="DE37" ca="1">IF(SwitchPA=1,_xll.TR(DE$7,DE$6,"Sdate=#1 Period=#2 NULL=BLANK Scale=6",,$D37,$AQ$4),DE37)</f>
        <v>2639.3852499999998</v>
      </c>
      <c r="DF37" s="1516" cm="1">
        <f t="array" aca="1" ref="DF37" ca="1">IF(SwitchPA=1,_xll.TR(DF$7,DF$6,"Sdate=#1 Period=#2 NULL=BLANK Scale=6",,$D37,$AQ$4),DF37)</f>
        <v>1777.25</v>
      </c>
      <c r="DG37" s="1516" cm="1">
        <f t="array" aca="1" ref="DG37" ca="1">IF(SwitchPA=1,_xll.TR(DG$7,DG$6,"Sdate=#1 Period=#2 NULL=BLANK Scale=6",,$D37,$AQ$4),DG37)</f>
        <v>461.25</v>
      </c>
      <c r="DH37" s="1516" cm="1">
        <f t="array" aca="1" ref="DH37" ca="1">IF(SwitchPA=1,_xll.TR(DH$7,DH$6,"Sdate=#1 Period=#2 NULL=BLANK Scale=6",,$D37,$AQ$4),DH37)</f>
        <v>29111.25</v>
      </c>
      <c r="DI37" s="1516" cm="1">
        <f t="array" aca="1" ref="DI37" ca="1">IF(SwitchPA=1,_xll.TR(DI$7,DI$6,"Sdate=#1 Period=#2 NULL=BLANK Scale=6",,$D37,$AQ$4),DI37)</f>
        <v>951.07500000000005</v>
      </c>
      <c r="DJ37" s="1516" cm="1">
        <f t="array" aca="1" ref="DJ37" ca="1">IF(SwitchPA=1,_xll.TR(DJ$7,DJ$6,"Sdate=#1 Period=#2 NULL=BLANK Scale=6",,$D37,$AQ$4),DJ37)</f>
        <v>2785.75</v>
      </c>
      <c r="DK37" s="1516" cm="1">
        <f t="array" aca="1" ref="DK37" ca="1">IF(SwitchPA=1,_xll.TR(DK$7,DK$6,"Sdate=#1 Period=#2 NULL=BLANK Scale=6",,$D37,$AQ$4),DK37)</f>
        <v>5372.5</v>
      </c>
      <c r="DL37" s="1516" t="str" cm="1">
        <f t="array" aca="1" ref="DL37" ca="1">IF(SwitchPA=1,_xll.TR(DL$7,DL$6,"Sdate=#1 Period=#2 NULL=BLANK Scale=6",,$D37,$AQ$4),DL37)</f>
        <v>Unable to resolve all requested identifiers.</v>
      </c>
      <c r="DM37" s="1516" t="str" cm="1">
        <f t="array" aca="1" ref="DM37" ca="1">IF(SwitchPA=1,_xll.TR(DM$7,DM$6,"Sdate=#1 Period=#2 NULL=BLANK Scale=6",,$D37,$AQ$4),DM37)</f>
        <v>Unable to resolve all requested identifiers.</v>
      </c>
      <c r="DO37" s="1506" cm="1">
        <f t="array" aca="1" ref="DO37" ca="1">IF(SwitchPA=1,_xll.TR(DO$7,DO$6,"Sdate=#1 Period=#2 Scale=6 NULL=BLANK",,$D37,$X$4),DO37)</f>
        <v>17936.194664319999</v>
      </c>
      <c r="DP37" s="1506" cm="1">
        <f t="array" aca="1" ref="DP37" ca="1">IF(SwitchPA=1,_xll.TR(DP$7,DP$6,"Sdate=#1 Period=#2 Scale=6 NULL=BLANK",,$D37,$X$4),DP37)</f>
        <v>16207.085646179999</v>
      </c>
      <c r="DQ37" s="1506" cm="1">
        <f t="array" aca="1" ref="DQ37" ca="1">IF(SwitchPA=1,_xll.TR(DQ$7,DQ$6,"Sdate=#1 Period=#2 Scale=6 NULL=BLANK",,$D37,$X$4),DQ37)</f>
        <v>78247.245336880005</v>
      </c>
      <c r="DR37" s="1506" t="str" cm="1">
        <f t="array" aca="1" ref="DR37" ca="1">IF(SwitchPA=1,_xll.TR(DR$7,DR$6,"Sdate=#1 Period=#2 Scale=6 NULL=BLANK",,$D37,$X$4),DR37)</f>
        <v/>
      </c>
      <c r="DS37" s="1506" cm="1">
        <f t="array" aca="1" ref="DS37" ca="1">IF(SwitchPA=1,_xll.TR(DS$7,DS$6,"Sdate=#1 Period=#2 Scale=6 NULL=BLANK",,$D37,$X$4),DS37)</f>
        <v>40469.331800799999</v>
      </c>
      <c r="DT37" s="1506" cm="1">
        <f t="array" aca="1" ref="DT37" ca="1">IF(SwitchPA=1,_xll.TR(DT$7,DT$6,"Sdate=#1 Period=#2 Scale=6 NULL=BLANK",,$D37,$X$4),DT37)</f>
        <v>7386.6247188799998</v>
      </c>
      <c r="DU37" s="1506" cm="1">
        <f t="array" aca="1" ref="DU37" ca="1">IF(SwitchPA=1,_xll.TR(DU$7,DU$6,"Sdate=#1 Period=#2 Scale=6 NULL=BLANK",,$D37,$X$4),DU37)</f>
        <v>14675.36</v>
      </c>
      <c r="DV37" s="1506" cm="1">
        <f t="array" aca="1" ref="DV37" ca="1">IF(SwitchPA=1,_xll.TR(DV$7,DV$6,"Sdate=#1 Period=#2 Scale=6 NULL=BLANK",,$D37,$X$4),DV37)</f>
        <v>7603.3836768000001</v>
      </c>
      <c r="DW37" s="1506" cm="1">
        <f t="array" aca="1" ref="DW37" ca="1">IF(SwitchPA=1,_xll.TR(DW$7,DW$6,"Sdate=#1 Period=#2 Scale=6 NULL=BLANK",,$D37,$X$4),DW37)</f>
        <v>129514.694</v>
      </c>
      <c r="DX37" s="1506" cm="1">
        <f t="array" aca="1" ref="DX37" ca="1">IF(SwitchPA=1,_xll.TR(DX$7,DX$6,"Sdate=#1 Period=#2 Scale=6 NULL=BLANK",,$D37,$X$4),DX37)</f>
        <v>9755.0772717</v>
      </c>
      <c r="DY37" s="1506" cm="1">
        <f t="array" aca="1" ref="DY37" ca="1">IF(SwitchPA=1,_xll.TR(DY$7,DY$6,"Sdate=#1 Period=#2 Scale=6 NULL=BLANK",,$D37,$X$4),DY37)</f>
        <v>7294.9729916599999</v>
      </c>
      <c r="DZ37" s="1506" cm="1">
        <f t="array" aca="1" ref="DZ37" ca="1">IF(SwitchPA=1,_xll.TR(DZ$7,DZ$6,"Sdate=#1 Period=#2 Scale=6 NULL=BLANK",,$D37,$X$4),DZ37)</f>
        <v>3642.5395120200001</v>
      </c>
      <c r="EA37" s="1506" cm="1">
        <f t="array" aca="1" ref="EA37" ca="1">IF(SwitchPA=1,_xll.TR(EA$7,EA$6,"Sdate=#1 Period=#2 Scale=6 NULL=BLANK",,$D37,$X$4),EA37)</f>
        <v>124405.76997428</v>
      </c>
      <c r="EB37" s="1506" cm="1">
        <f t="array" aca="1" ref="EB37" ca="1">IF(SwitchPA=1,_xll.TR(EB$7,EB$6,"Sdate=#1 Period=#2 Scale=6 NULL=BLANK",,$D37,$X$4),EB37)</f>
        <v>13705.787127580001</v>
      </c>
      <c r="EC37" s="1506" cm="1">
        <f t="array" aca="1" ref="EC37" ca="1">IF(SwitchPA=1,_xll.TR(EC$7,EC$6,"Sdate=#1 Period=#2 Scale=6 NULL=BLANK",,$D37,$X$4),EC37)</f>
        <v>29278.522127820001</v>
      </c>
      <c r="ED37" s="1506" cm="1">
        <f t="array" aca="1" ref="ED37" ca="1">IF(SwitchPA=1,_xll.TR(ED$7,ED$6,"Sdate=#1 Period=#2 Scale=6 NULL=BLANK",,$D37,$X$4),ED37)</f>
        <v>13841.191672319999</v>
      </c>
      <c r="EE37" s="1506" t="str" cm="1">
        <f t="array" aca="1" ref="EE37" ca="1">IF(SwitchPA=1,_xll.TR(EE$7,EE$6,"Sdate=#1 Period=#2 Scale=6 NULL=BLANK",,$D37,$X$4),EE37)</f>
        <v/>
      </c>
      <c r="EF37" s="1506" t="str" cm="1">
        <f t="array" aca="1" ref="EF37" ca="1">IF(SwitchPA=1,_xll.TR(EF$7,EF$6,"Sdate=#1 Period=#2 Scale=6 NULL=BLANK",,$D37,$X$4),EF37)</f>
        <v/>
      </c>
      <c r="EG37" s="1517"/>
      <c r="EH37" s="1506" cm="1">
        <f t="array" aca="1" ref="EH37" ca="1">IF(SwitchPA=1,_xll.TR(EH$7,EH$6,"Sdate=#1 Period=#2 Scale=6 NULL=BLANK",,$D37,$X$4),EH37)</f>
        <v>1646</v>
      </c>
      <c r="EI37" s="1506" cm="1">
        <f t="array" aca="1" ref="EI37" ca="1">IF(SwitchPA=1,_xll.TR(EI$7,EI$6,"Sdate=#1 Period=#2 Scale=6 NULL=BLANK",,$D37,$X$4),EI37)</f>
        <v>1330</v>
      </c>
      <c r="EJ37" s="1506" cm="1">
        <f t="array" aca="1" ref="EJ37" ca="1">IF(SwitchPA=1,_xll.TR(EJ$7,EJ$6,"Sdate=#1 Period=#2 Scale=6 NULL=BLANK",,$D37,$X$4),EJ37)</f>
        <v>6958</v>
      </c>
      <c r="EK37" s="1506" cm="1">
        <f t="array" aca="1" ref="EK37" ca="1">IF(SwitchPA=1,_xll.TR(EK$7,EK$6,"Sdate=#1 Period=#2 Scale=6 NULL=BLANK",,$D37,$X$4),EK37)</f>
        <v>3541</v>
      </c>
      <c r="EL37" s="1506" cm="1">
        <f t="array" aca="1" ref="EL37" ca="1">IF(SwitchPA=1,_xll.TR(EL$7,EL$6,"Sdate=#1 Period=#2 Scale=6 NULL=BLANK",,$D37,$X$4),EL37)</f>
        <v>5230</v>
      </c>
      <c r="EM37" s="1506" cm="1">
        <f t="array" aca="1" ref="EM37" ca="1">IF(SwitchPA=1,_xll.TR(EM$7,EM$6,"Sdate=#1 Period=#2 Scale=6 NULL=BLANK",,$D37,$X$4),EM37)</f>
        <v>594.20000000000005</v>
      </c>
      <c r="EN37" s="1506" t="str" cm="1">
        <f t="array" aca="1" ref="EN37" ca="1">IF(SwitchPA=1,_xll.TR(EN$7,EN$6,"Sdate=#1 Period=#2 Scale=6 NULL=BLANK",,$D37,$X$4),EN37)</f>
        <v/>
      </c>
      <c r="EO37" s="1506" cm="1">
        <f t="array" aca="1" ref="EO37" ca="1">IF(SwitchPA=1,_xll.TR(EO$7,EO$6,"Sdate=#1 Period=#2 Scale=6 NULL=BLANK",,$D37,$X$4),EO37)</f>
        <v>984</v>
      </c>
      <c r="EP37" s="1506" cm="1">
        <f t="array" aca="1" ref="EP37" ca="1">IF(SwitchPA=1,_xll.TR(EP$7,EP$6,"Sdate=#1 Period=#2 Scale=6 NULL=BLANK",,$D37,$X$4),EP37)</f>
        <v>6795</v>
      </c>
      <c r="EQ37" s="1506" cm="1">
        <f t="array" aca="1" ref="EQ37" ca="1">IF(SwitchPA=1,_xll.TR(EQ$7,EQ$6,"Sdate=#1 Period=#2 Scale=6 NULL=BLANK",,$D37,$X$4),EQ37)</f>
        <v>739.07600000000002</v>
      </c>
      <c r="ER37" s="1506" cm="1">
        <f t="array" aca="1" ref="ER37" ca="1">IF(SwitchPA=1,_xll.TR(ER$7,ER$6,"Sdate=#1 Period=#2 Scale=6 NULL=BLANK",,$D37,$X$4),ER37)</f>
        <v>378</v>
      </c>
      <c r="ES37" s="1506" cm="1">
        <f t="array" aca="1" ref="ES37" ca="1">IF(SwitchPA=1,_xll.TR(ES$7,ES$6,"Sdate=#1 Period=#2 Scale=6 NULL=BLANK",,$D37,$X$4),ES37)</f>
        <v>258.2</v>
      </c>
      <c r="ET37" s="1506" cm="1">
        <f t="array" aca="1" ref="ET37" ca="1">IF(SwitchPA=1,_xll.TR(ET$7,ET$6,"Sdate=#1 Period=#2 Scale=6 NULL=BLANK",,$D37,$X$4),ET37)</f>
        <v>2233</v>
      </c>
      <c r="EU37" s="1506" cm="1">
        <f t="array" aca="1" ref="EU37" ca="1">IF(SwitchPA=1,_xll.TR(EU$7,EU$6,"Sdate=#1 Period=#2 Scale=6 NULL=BLANK",,$D37,$X$4),EU37)</f>
        <v>1021.5</v>
      </c>
      <c r="EV37" s="1506" cm="1">
        <f t="array" aca="1" ref="EV37" ca="1">IF(SwitchPA=1,_xll.TR(EV$7,EV$6,"Sdate=#1 Period=#2 Scale=6 NULL=BLANK",,$D37,$X$4),EV37)</f>
        <v>1833</v>
      </c>
      <c r="EW37" s="1506" cm="1">
        <f t="array" aca="1" ref="EW37" ca="1">IF(SwitchPA=1,_xll.TR(EW$7,EW$6,"Sdate=#1 Period=#2 Scale=6 NULL=BLANK",,$D37,$X$4),EW37)</f>
        <v>1223</v>
      </c>
      <c r="EX37" s="1506" t="str" cm="1">
        <f t="array" aca="1" ref="EX37" ca="1">IF(SwitchPA=1,_xll.TR(EX$7,EX$6,"Sdate=#1 Period=#2 Scale=6 NULL=BLANK",,$D37,$X$4),EX37)</f>
        <v>Unable to resolve all requested identifiers.</v>
      </c>
      <c r="EY37" s="1506" t="str" cm="1">
        <f t="array" aca="1" ref="EY37" ca="1">IF(SwitchPA=1,_xll.TR(EY$7,EY$6,"Sdate=#1 Period=#2 Scale=6 NULL=BLANK",,$D37,$X$4),EY37)</f>
        <v>Unable to resolve all requested identifiers.</v>
      </c>
      <c r="FA37" s="1506" cm="1">
        <f t="array" aca="1" ref="FA37" ca="1">IF(SwitchPA=1,_xll.TR(FA$7,FA$6,"Sdate=#1 Period=#2 Scale=6 NULL=BLANK",,$D37,$X$4),FA37)</f>
        <v>2250</v>
      </c>
      <c r="FB37" s="1506" cm="1">
        <f t="array" aca="1" ref="FB37" ca="1">IF(SwitchPA=1,_xll.TR(FB$7,FB$6,"Sdate=#1 Period=#2 Scale=6 NULL=BLANK",,$D37,$X$4),FB37)</f>
        <v>1679</v>
      </c>
      <c r="FC37" s="1506" cm="1">
        <f t="array" aca="1" ref="FC37" ca="1">IF(SwitchPA=1,_xll.TR(FC$7,FC$6,"Sdate=#1 Period=#2 Scale=6 NULL=BLANK",,$D37,$X$4),FC37)</f>
        <v>10902</v>
      </c>
      <c r="FD37" s="1506" cm="1">
        <f t="array" aca="1" ref="FD37" ca="1">IF(SwitchPA=1,_xll.TR(FD$7,FD$6,"Sdate=#1 Period=#2 Scale=6 NULL=BLANK",,$D37,$X$4),FD37)</f>
        <v>5952</v>
      </c>
      <c r="FE37" s="1506" cm="1">
        <f t="array" aca="1" ref="FE37" ca="1">IF(SwitchPA=1,_xll.TR(FE$7,FE$6,"Sdate=#1 Period=#2 Scale=6 NULL=BLANK",,$D37,$X$4),FE37)</f>
        <v>6471</v>
      </c>
      <c r="FF37" s="1506" cm="1">
        <f t="array" aca="1" ref="FF37" ca="1">IF(SwitchPA=1,_xll.TR(FF$7,FF$6,"Sdate=#1 Period=#2 Scale=6 NULL=BLANK",,$D37,$X$4),FF37)</f>
        <v>1195.5999999999999</v>
      </c>
      <c r="FG37" s="1506" t="str" cm="1">
        <f t="array" aca="1" ref="FG37" ca="1">IF(SwitchPA=1,_xll.TR(FG$7,FG$6,"Sdate=#1 Period=#2 Scale=6 NULL=BLANK",,$D37,$X$4),FG37)</f>
        <v/>
      </c>
      <c r="FH37" s="1506" cm="1">
        <f t="array" aca="1" ref="FH37" ca="1">IF(SwitchPA=1,_xll.TR(FH$7,FH$6,"Sdate=#1 Period=#2 Scale=6 NULL=BLANK",,$D37,$X$4),FH37)</f>
        <v>1084</v>
      </c>
      <c r="FI37" s="1506" cm="1">
        <f t="array" aca="1" ref="FI37" ca="1">IF(SwitchPA=1,_xll.TR(FI$7,FI$6,"Sdate=#1 Period=#2 Scale=6 NULL=BLANK",,$D37,$X$4),FI37)</f>
        <v>8283</v>
      </c>
      <c r="FJ37" s="1506" cm="1">
        <f t="array" aca="1" ref="FJ37" ca="1">IF(SwitchPA=1,_xll.TR(FJ$7,FJ$6,"Sdate=#1 Period=#2 Scale=6 NULL=BLANK",,$D37,$X$4),FJ37)</f>
        <v>942.428</v>
      </c>
      <c r="FK37" s="1506" cm="1">
        <f t="array" aca="1" ref="FK37" ca="1">IF(SwitchPA=1,_xll.TR(FK$7,FK$6,"Sdate=#1 Period=#2 Scale=6 NULL=BLANK",,$D37,$X$4),FK37)</f>
        <v>666</v>
      </c>
      <c r="FL37" s="1506" cm="1">
        <f t="array" aca="1" ref="FL37" ca="1">IF(SwitchPA=1,_xll.TR(FL$7,FL$6,"Sdate=#1 Period=#2 Scale=6 NULL=BLANK",,$D37,$X$4),FL37)</f>
        <v>290.2</v>
      </c>
      <c r="FM37" s="1506" cm="1">
        <f t="array" aca="1" ref="FM37" ca="1">IF(SwitchPA=1,_xll.TR(FM$7,FM$6,"Sdate=#1 Period=#2 Scale=6 NULL=BLANK",,$D37,$X$4),FM37)</f>
        <v>4403</v>
      </c>
      <c r="FN37" s="1506" cm="1">
        <f t="array" aca="1" ref="FN37" ca="1">IF(SwitchPA=1,_xll.TR(FN$7,FN$6,"Sdate=#1 Period=#2 Scale=6 NULL=BLANK",,$D37,$X$4),FN37)</f>
        <v>1176.4000000000001</v>
      </c>
      <c r="FO37" s="1506" cm="1">
        <f t="array" aca="1" ref="FO37" ca="1">IF(SwitchPA=1,_xll.TR(FO$7,FO$6,"Sdate=#1 Period=#2 Scale=6 NULL=BLANK",,$D37,$X$4),FO37)</f>
        <v>2330</v>
      </c>
      <c r="FP37" s="1506" cm="1">
        <f t="array" aca="1" ref="FP37" ca="1">IF(SwitchPA=1,_xll.TR(FP$7,FP$6,"Sdate=#1 Period=#2 Scale=6 NULL=BLANK",,$D37,$X$4),FP37)</f>
        <v>2193</v>
      </c>
      <c r="FQ37" s="1506" t="str" cm="1">
        <f t="array" aca="1" ref="FQ37" ca="1">IF(SwitchPA=1,_xll.TR(FQ$7,FQ$6,"Sdate=#1 Period=#2 Scale=6 NULL=BLANK",,$D37,$X$4),FQ37)</f>
        <v>Unable to resolve and collect data for all requested identifiers and fields.</v>
      </c>
      <c r="FS37" s="1506" cm="1">
        <f t="array" aca="1" ref="FS37" ca="1">IF(SwitchPA=1,_xll.TR(FS$7,FS$6,"Sdate=#1 Period=#2 NULL=BLANK Scale=6",,$D37,$FS$4),FS37)</f>
        <v>1015</v>
      </c>
      <c r="FT37" s="1506" cm="1">
        <f t="array" aca="1" ref="FT37" ca="1">IF(SwitchPA=1,_xll.TR(FT$7,FT$6,"Sdate=#1 Period=#2 NULL=BLANK Scale=6",,$D37,$FS$4),FT37)</f>
        <v>1221</v>
      </c>
      <c r="FU37" s="1506" cm="1">
        <f t="array" aca="1" ref="FU37" ca="1">IF(SwitchPA=1,_xll.TR(FU$7,FU$6,"Sdate=#1 Period=#2 NULL=BLANK Scale=6",,$D37,$FS$4),FU37)</f>
        <v>3764</v>
      </c>
      <c r="FV37" s="1506" cm="1">
        <f t="array" aca="1" ref="FV37" ca="1">IF(SwitchPA=1,_xll.TR(FV$7,FV$6,"Sdate=#1 Period=#2 NULL=BLANK Scale=6",,$D37,$FS$4),FV37)</f>
        <v>-2421</v>
      </c>
      <c r="FW37" s="1506" cm="1">
        <f t="array" aca="1" ref="FW37" ca="1">IF(SwitchPA=1,_xll.TR(FW$7,FW$6,"Sdate=#1 Period=#2 NULL=BLANK Scale=6",,$D37,$FS$4),FW37)</f>
        <v>3366</v>
      </c>
      <c r="FX37" s="1506" cm="1">
        <f t="array" aca="1" ref="FX37" ca="1">IF(SwitchPA=1,_xll.TR(FX$7,FX$6,"Sdate=#1 Period=#2 NULL=BLANK Scale=6",,$D37,$FS$4),FX37)</f>
        <v>522.6</v>
      </c>
      <c r="FY37" s="1506" t="str" cm="1">
        <f t="array" aca="1" ref="FY37" ca="1">IF(SwitchPA=1,_xll.TR(FY$7,FY$6,"Sdate=#1 Period=#2 NULL=BLANK Scale=6",,$D37,$FS$4),FY37)</f>
        <v/>
      </c>
      <c r="FZ37" s="1506" cm="1">
        <f t="array" aca="1" ref="FZ37" ca="1">IF(SwitchPA=1,_xll.TR(FZ$7,FZ$6,"Sdate=#1 Period=#2 NULL=BLANK Scale=6",,$D37,$FS$4),FZ37)</f>
        <v>740</v>
      </c>
      <c r="GA37" s="1506" cm="1">
        <f t="array" aca="1" ref="GA37" ca="1">IF(SwitchPA=1,_xll.TR(GA$7,GA$6,"Sdate=#1 Period=#2 NULL=BLANK Scale=6",,$D37,$FS$4),GA37)</f>
        <v>4862</v>
      </c>
      <c r="GB37" s="1506" cm="1">
        <f t="array" aca="1" ref="GB37" ca="1">IF(SwitchPA=1,_xll.TR(GB$7,GB$6,"Sdate=#1 Period=#2 NULL=BLANK Scale=6",,$D37,$FS$4),GB37)</f>
        <v>4.2169999999999996</v>
      </c>
      <c r="GC37" s="1506" cm="1">
        <f t="array" aca="1" ref="GC37" ca="1">IF(SwitchPA=1,_xll.TR(GC$7,GC$6,"Sdate=#1 Period=#2 NULL=BLANK Scale=6",,$D37,$FS$4),GC37)</f>
        <v>101</v>
      </c>
      <c r="GD37" s="1506" cm="1">
        <f t="array" aca="1" ref="GD37" ca="1">IF(SwitchPA=1,_xll.TR(GD$7,GD$6,"Sdate=#1 Period=#2 NULL=BLANK Scale=6",,$D37,$FS$4),GD37)</f>
        <v>177.7</v>
      </c>
      <c r="GE37" s="1506" cm="1">
        <f t="array" aca="1" ref="GE37" ca="1">IF(SwitchPA=1,_xll.TR(GE$7,GE$6,"Sdate=#1 Period=#2 NULL=BLANK Scale=6",,$D37,$FS$4),GE37)</f>
        <v>868</v>
      </c>
      <c r="GF37" s="1506" cm="1">
        <f t="array" aca="1" ref="GF37" ca="1">IF(SwitchPA=1,_xll.TR(GF$7,GF$6,"Sdate=#1 Period=#2 NULL=BLANK Scale=6",,$D37,$FS$4),GF37)</f>
        <v>163.30000000000001</v>
      </c>
      <c r="GG37" s="1506" cm="1">
        <f t="array" aca="1" ref="GG37" ca="1">IF(SwitchPA=1,_xll.TR(GG$7,GG$6,"Sdate=#1 Period=#2 NULL=BLANK Scale=6",,$D37,$FS$4),GG37)</f>
        <v>1056</v>
      </c>
      <c r="GH37" s="1506" cm="1">
        <f t="array" aca="1" ref="GH37" ca="1">IF(SwitchPA=1,_xll.TR(GH$7,GH$6,"Sdate=#1 Period=#2 NULL=BLANK Scale=6",,$D37,$FS$4),GH37)</f>
        <v>724</v>
      </c>
      <c r="GI37" s="1506" t="str" cm="1">
        <f t="array" aca="1" ref="GI37" ca="1">IF(SwitchPA=1,_xll.TR(GI$7,GI$6,"Sdate=#1 Period=#2 NULL=BLANK Scale=6",,$D37,$FS$4),GI37)</f>
        <v>Unable to resolve and collect data for all requested identifiers and fields.</v>
      </c>
      <c r="GK37" s="1506" cm="1">
        <f t="array" aca="1" ref="GK37" ca="1">IF(SwitchPA=1,_xll.TR(GK$7,GK$6,"Sdate=#1 Period=#2 NULL=BLANK Scale=6",,$D37,$FS$4),GK37)</f>
        <v>3.0332681017612502</v>
      </c>
      <c r="GL37" s="1506" cm="1">
        <f t="array" aca="1" ref="GL37" ca="1">IF(SwitchPA=1,_xll.TR(GL$7,GL$6,"Sdate=#1 Period=#2 NULL=BLANK Scale=6",,$D37,$FS$4),GL37)</f>
        <v>2.1699819168173602</v>
      </c>
      <c r="GM37" s="1506" cm="1">
        <f t="array" aca="1" ref="GM37" ca="1">IF(SwitchPA=1,_xll.TR(GM$7,GM$6,"Sdate=#1 Period=#2 NULL=BLANK Scale=6",,$D37,$FS$4),GM37)</f>
        <v>4.8047117172969598</v>
      </c>
      <c r="GN37" s="1506" t="str" cm="1">
        <f t="array" aca="1" ref="GN37" ca="1">IF(SwitchPA=1,_xll.TR(GN$7,GN$6,"Sdate=#1 Period=#2 NULL=BLANK Scale=6",,$D37,$FS$4),GN37)</f>
        <v/>
      </c>
      <c r="GO37" s="1506" cm="1">
        <f t="array" aca="1" ref="GO37" ca="1">IF(SwitchPA=1,_xll.TR(GO$7,GO$6,"Sdate=#1 Period=#2 NULL=BLANK Scale=6",,$D37,$FS$4),GO37)</f>
        <v>4.6339202965709001</v>
      </c>
      <c r="GP37" s="1506" cm="1">
        <f t="array" aca="1" ref="GP37" ca="1">IF(SwitchPA=1,_xll.TR(GP$7,GP$6,"Sdate=#1 Period=#2 NULL=BLANK Scale=6",,$D37,$FS$4),GP37)</f>
        <v>3.1360250882007099</v>
      </c>
      <c r="GQ37" s="1506" cm="1">
        <f t="array" aca="1" ref="GQ37" ca="1">IF(SwitchPA=1,_xll.TR(GQ$7,GQ$6,"Sdate=#1 Period=#2 NULL=BLANK Scale=6",,$D37,$FS$4),GQ37)</f>
        <v>4.70155355682747</v>
      </c>
      <c r="GR37" s="1506" cm="1">
        <f t="array" aca="1" ref="GR37" ca="1">IF(SwitchPA=1,_xll.TR(GR$7,GR$6,"Sdate=#1 Period=#2 NULL=BLANK Scale=6",,$D37,$FS$4),GR37)</f>
        <v>2.83101045296167</v>
      </c>
      <c r="GS37" s="1506" cm="1">
        <f t="array" aca="1" ref="GS37" ca="1">IF(SwitchPA=1,_xll.TR(GS$7,GS$6,"Sdate=#1 Period=#2 NULL=BLANK Scale=6",,$D37,$FS$4),GS37)</f>
        <v>2.81071585419412</v>
      </c>
      <c r="GT37" s="1506" cm="1">
        <f t="array" aca="1" ref="GT37" ca="1">IF(SwitchPA=1,_xll.TR(GT$7,GT$6,"Sdate=#1 Period=#2 NULL=BLANK Scale=6",,$D37,$FS$4),GT37)</f>
        <v>1.6662521760755999</v>
      </c>
      <c r="GU37" s="1506" cm="1">
        <f t="array" aca="1" ref="GU37" ca="1">IF(SwitchPA=1,_xll.TR(GU$7,GU$6,"Sdate=#1 Period=#2 NULL=BLANK Scale=6",,$D37,$FS$4),GU37)</f>
        <v>1.2675877804538001</v>
      </c>
      <c r="GV37" s="1506" cm="1">
        <f t="array" aca="1" ref="GV37" ca="1">IF(SwitchPA=1,_xll.TR(GV$7,GV$6,"Sdate=#1 Period=#2 NULL=BLANK Scale=6",,$D37,$FS$4),GV37)</f>
        <v>2.43826195686152</v>
      </c>
      <c r="GW37" s="1506" cm="1">
        <f t="array" aca="1" ref="GW37" ca="1">IF(SwitchPA=1,_xll.TR(GW$7,GW$6,"Sdate=#1 Period=#2 NULL=BLANK Scale=6",,$D37,$FS$4),GW37)</f>
        <v>2.8864413216862901</v>
      </c>
      <c r="GX37" s="1506" cm="1">
        <f t="array" aca="1" ref="GX37" ca="1">IF(SwitchPA=1,_xll.TR(GX$7,GX$6,"Sdate=#1 Period=#2 NULL=BLANK Scale=6",,$D37,$FS$4),GX37)</f>
        <v>1.90544241991187</v>
      </c>
      <c r="GY37" s="1506" cm="1">
        <f t="array" aca="1" ref="GY37" ca="1">IF(SwitchPA=1,_xll.TR(GY$7,GY$6,"Sdate=#1 Period=#2 NULL=BLANK Scale=6",,$D37,$FS$4),GY37)</f>
        <v>1.79004288644415</v>
      </c>
      <c r="GZ37" s="1506" cm="1">
        <f t="array" aca="1" ref="GZ37" ca="1">IF(SwitchPA=1,_xll.TR(GZ$7,GZ$6,"Sdate=#1 Period=#2 NULL=BLANK Scale=6",,$D37,$FS$4),GZ37)</f>
        <v>3.7919602154993801</v>
      </c>
      <c r="HA37" s="1506" t="str" cm="1">
        <f t="array" aca="1" ref="HA37" ca="1">IF(SwitchPA=1,_xll.TR(HA$7,HA$6,"Sdate=#1 Period=#2 NULL=BLANK Scale=6",,$D37,$FS$4),HA37)</f>
        <v/>
      </c>
      <c r="HC37">
        <v>3.15</v>
      </c>
      <c r="HD37">
        <v>65.23</v>
      </c>
      <c r="HE37">
        <v>71.34</v>
      </c>
      <c r="HG37" s="762">
        <f t="shared" si="52"/>
        <v>5.3511705685618693E-2</v>
      </c>
      <c r="HH37" s="762">
        <f t="shared" si="53"/>
        <v>0.28405511811023643</v>
      </c>
      <c r="HI37" s="762">
        <f t="shared" si="54"/>
        <v>0.31793829669314611</v>
      </c>
    </row>
    <row r="38" spans="3:217" ht="11.25" customHeight="1">
      <c r="C38" s="1514">
        <f t="shared" si="51"/>
        <v>43830</v>
      </c>
      <c r="D38" s="1515">
        <f t="shared" si="49"/>
        <v>43875</v>
      </c>
      <c r="E38" s="1506" cm="1">
        <f t="array" aca="1" ref="E38" ca="1">IF(SwitchPA=1,_xll.TR(E$7,E$6,"Sdate=#1 Period=#2 NULL=BLANK",,$D38,$E$4),E38)</f>
        <v>8.1025042109024508</v>
      </c>
      <c r="F38" s="1506" cm="1">
        <f t="array" aca="1" ref="F38" ca="1">IF(SwitchPA=1,_xll.TR(F$7,F$6,"Sdate=#1 Period=#2 NULL=BLANK",,$D38,$E$4),F38)</f>
        <v>8.8249935636539192</v>
      </c>
      <c r="G38" s="1506" cm="1">
        <f t="array" aca="1" ref="G38" ca="1">IF(SwitchPA=1,_xll.TR(G$7,G$6,"Sdate=#1 Period=#2 NULL=BLANK",,$D38,$E$4),G38)</f>
        <v>8.4287509151522393</v>
      </c>
      <c r="H38" s="1506" cm="1">
        <f t="array" aca="1" ref="H38" ca="1">IF(SwitchPA=1,_xll.TR(H$7,H$6,"Sdate=#1 Period=#2 NULL=BLANK",,$D38,$E$4),H38)</f>
        <v>6.8679294504435999</v>
      </c>
      <c r="I38" s="1506" cm="1">
        <f t="array" aca="1" ref="I38" ca="1">IF(SwitchPA=1,_xll.TR(I$7,I$6,"Sdate=#1 Period=#2 NULL=BLANK",,$D38,$E$4),I38)</f>
        <v>6.6161280821414898</v>
      </c>
      <c r="J38" s="1506" cm="1">
        <f t="array" aca="1" ref="J38" ca="1">IF(SwitchPA=1,_xll.TR(J$7,J$6,"Sdate=#1 Period=#2 NULL=BLANK",,$D38,$E$4),J38)</f>
        <v>7.0327308178475203</v>
      </c>
      <c r="K38" s="1506" cm="1">
        <f t="array" aca="1" ref="K38" ca="1">IF(SwitchPA=1,_xll.TR(K$7,K$6,"Sdate=#1 Period=#2 NULL=BLANK",,$D38,$E$4),K38)</f>
        <v>6.5315534085448697</v>
      </c>
      <c r="L38" s="1506" cm="1">
        <f t="array" aca="1" ref="L38" ca="1">IF(SwitchPA=1,_xll.TR(L$7,L$6,"Sdate=#1 Period=#2 NULL=BLANK",,$D38,$E$4),L38)</f>
        <v>7.8634431969832299</v>
      </c>
      <c r="M38" s="1506" cm="1">
        <f t="array" aca="1" ref="M38" ca="1">IF(SwitchPA=1,_xll.TR(M$7,M$6,"Sdate=#1 Period=#2 NULL=BLANK",,$D38,$E$4),M38)</f>
        <v>12.124780360549501</v>
      </c>
      <c r="N38" s="1506" cm="1">
        <f t="array" aca="1" ref="N38" ca="1">IF(SwitchPA=1,_xll.TR(N$7,N$6,"Sdate=#1 Period=#2 NULL=BLANK",,$D38,$E$4),N38)</f>
        <v>11.904154685016501</v>
      </c>
      <c r="O38" s="1506" cm="1">
        <f t="array" aca="1" ref="O38" ca="1">IF(SwitchPA=1,_xll.TR(O$7,O$6,"Sdate=#1 Period=#2 NULL=BLANK",,$D38,$E$4),O38)</f>
        <v>11.7205681423389</v>
      </c>
      <c r="P38" s="1506" cm="1">
        <f t="array" aca="1" ref="P38" ca="1">IF(SwitchPA=1,_xll.TR(P$7,P$6,"Sdate=#1 Period=#2 NULL=BLANK",,$D38,$E$4),P38)</f>
        <v>13.1195324277727</v>
      </c>
      <c r="Q38" s="1506" cm="1">
        <f t="array" aca="1" ref="Q38" ca="1">IF(SwitchPA=1,_xll.TR(Q$7,Q$6,"Sdate=#1 Period=#2 NULL=BLANK",,$D38,$E$4),Q38)</f>
        <v>9.9936024426812509</v>
      </c>
      <c r="R38" s="1506" cm="1">
        <f t="array" aca="1" ref="R38" ca="1">IF(SwitchPA=1,_xll.TR(R$7,R$6,"Sdate=#1 Period=#2 NULL=BLANK",,$D38,$E$4),R38)</f>
        <v>12.551032228457499</v>
      </c>
      <c r="S38" s="1506" cm="1">
        <f t="array" aca="1" ref="S38" ca="1">IF(SwitchPA=1,_xll.TR(S$7,S$6,"Sdate=#1 Period=#2 NULL=BLANK",,$D38,$E$4),S38)</f>
        <v>11.8636648984339</v>
      </c>
      <c r="T38" s="1506" cm="1">
        <f t="array" aca="1" ref="T38" ca="1">IF(SwitchPA=1,_xll.TR(T$7,T$6,"Sdate=#1 Period=#2 NULL=BLANK",,$D38,$E$4),T38)</f>
        <v>6.20280088419445</v>
      </c>
      <c r="U38" s="1506" t="str" cm="1">
        <f t="array" aca="1" ref="U38" ca="1">IF(SwitchPA=1,_xll.TR(U$7,U$6,"Sdate=#1 Period=#2 NULL=BLANK",,$D38,$E$4),U38)</f>
        <v>No universe defined.</v>
      </c>
      <c r="V38" s="1506" t="str" cm="1">
        <f t="array" aca="1" ref="V38" ca="1">IF(SwitchPA=1,_xll.TR(V$7,V$6,"Sdate=#1 Period=#2 NULL=BLANK",,$D38,$E$4),V38)</f>
        <v>No universe defined.</v>
      </c>
      <c r="W38" s="1521">
        <f t="shared" ca="1" si="55"/>
        <v>-3.8706411843693167E-2</v>
      </c>
      <c r="X38" s="1506" cm="1">
        <f t="array" aca="1" ref="X38" ca="1">IF(SwitchPA=1,_xll.TR(X$7,X$6,"Sdate=#1 Period=#2 NULL=BLANK",,$D38,$X$4),X38)</f>
        <v>8.1341742650570499</v>
      </c>
      <c r="Y38" s="1506" cm="1">
        <f t="array" aca="1" ref="Y38" ca="1">IF(SwitchPA=1,_xll.TR(Y$7,Y$6,"Sdate=#1 Period=#2 NULL=BLANK",,$D38,$X$4),Y38)</f>
        <v>9.1907793697729296</v>
      </c>
      <c r="Z38" s="1506" cm="1">
        <f t="array" aca="1" ref="Z38" ca="1">IF(SwitchPA=1,_xll.TR(Z$7,Z$6,"Sdate=#1 Period=#2 NULL=BLANK",,$D38,$X$4),Z38)</f>
        <v>9.0724960013899807</v>
      </c>
      <c r="AA38" s="1506" cm="1">
        <f t="array" aca="1" ref="AA38" ca="1">IF(SwitchPA=1,_xll.TR(AA$7,AA$6,"Sdate=#1 Period=#2 NULL=BLANK",,$D38,$X$4),AA38)</f>
        <v>7.0432372648933104</v>
      </c>
      <c r="AB38" s="1506" cm="1">
        <f t="array" aca="1" ref="AB38" ca="1">IF(SwitchPA=1,_xll.TR(AB$7,AB$6,"Sdate=#1 Period=#2 NULL=BLANK",,$D38,$X$4),AB38)</f>
        <v>6.6716695020986503</v>
      </c>
      <c r="AC38" s="1506" cm="1">
        <f t="array" aca="1" ref="AC38" ca="1">IF(SwitchPA=1,_xll.TR(AC$7,AC$6,"Sdate=#1 Period=#2 NULL=BLANK",,$D38,$X$4),AC38)</f>
        <v>6.3374179842877396</v>
      </c>
      <c r="AD38" s="1506" cm="1">
        <f t="array" aca="1" ref="AD38" ca="1">IF(SwitchPA=1,_xll.TR(AD$7,AD$6,"Sdate=#1 Period=#2 NULL=BLANK",,$D38,$X$4),AD38)</f>
        <v>6.73343010020879</v>
      </c>
      <c r="AE38" s="1506" cm="1">
        <f t="array" aca="1" ref="AE38" ca="1">IF(SwitchPA=1,_xll.TR(AE$7,AE$6,"Sdate=#1 Period=#2 NULL=BLANK",,$D38,$X$4),AE38)</f>
        <v>7.4427195923617004</v>
      </c>
      <c r="AF38" s="1506" cm="1">
        <f t="array" aca="1" ref="AF38" ca="1">IF(SwitchPA=1,_xll.TR(AF$7,AF$6,"Sdate=#1 Period=#2 NULL=BLANK",,$D38,$X$4),AF38)</f>
        <v>12.8656623162776</v>
      </c>
      <c r="AG38" s="1506" cm="1">
        <f t="array" aca="1" ref="AG38" ca="1">IF(SwitchPA=1,_xll.TR(AG$7,AG$6,"Sdate=#1 Period=#2 NULL=BLANK",,$D38,$X$4),AG38)</f>
        <v>11.124784974435601</v>
      </c>
      <c r="AH38" s="1506" cm="1">
        <f t="array" aca="1" ref="AH38" ca="1">IF(SwitchPA=1,_xll.TR(AH$7,AH$6,"Sdate=#1 Period=#2 NULL=BLANK",,$D38,$X$4),AH38)</f>
        <v>12.0933784388159</v>
      </c>
      <c r="AI38" s="1506" cm="1">
        <f t="array" aca="1" ref="AI38" ca="1">IF(SwitchPA=1,_xll.TR(AI$7,AI$6,"Sdate=#1 Period=#2 NULL=BLANK",,$D38,$X$4),AI38)</f>
        <v>13.459931203848299</v>
      </c>
      <c r="AJ38" s="1506" cm="1">
        <f t="array" aca="1" ref="AJ38" ca="1">IF(SwitchPA=1,_xll.TR(AJ$7,AJ$6,"Sdate=#1 Period=#2 NULL=BLANK",,$D38,$X$4),AJ38)</f>
        <v>9.8677416422295696</v>
      </c>
      <c r="AK38" s="1506" cm="1">
        <f t="array" aca="1" ref="AK38" ca="1">IF(SwitchPA=1,_xll.TR(AK$7,AK$6,"Sdate=#1 Period=#2 NULL=BLANK",,$D38,$X$4),AK38)</f>
        <v>13.6479001665549</v>
      </c>
      <c r="AL38" s="1506" cm="1">
        <f t="array" aca="1" ref="AL38" ca="1">IF(SwitchPA=1,_xll.TR(AL$7,AL$6,"Sdate=#1 Period=#2 NULL=BLANK",,$D38,$X$4),AL38)</f>
        <v>12.5490039249907</v>
      </c>
      <c r="AM38" s="1506" cm="1">
        <f t="array" aca="1" ref="AM38" ca="1">IF(SwitchPA=1,_xll.TR(AM$7,AM$6,"Sdate=#1 Period=#2 NULL=BLANK",,$D38,$X$4),AM38)</f>
        <v>6.2564898617004499</v>
      </c>
      <c r="AN38" s="1506" t="str" cm="1">
        <f t="array" aca="1" ref="AN38" ca="1">IF(SwitchPA=1,_xll.TR(AN$7,AN$6,"Sdate=#1 Period=#2 NULL=BLANK",,$D38,$X$4),AN38)</f>
        <v/>
      </c>
      <c r="AO38" s="1506" t="str" cm="1">
        <f t="array" aca="1" ref="AO38" ca="1">IF(SwitchPA=1,_xll.TR(AO$7,AO$6,"Sdate=#1 Period=#2 NULL=BLANK",,$D38,$X$4),AO38)</f>
        <v/>
      </c>
      <c r="AQ38" s="1506" cm="1">
        <f t="array" aca="1" ref="AQ38" ca="1">IF(SwitchPA=1,_xll.TR(AQ$7,AQ$6,"Sdate=#1 Period=#2 NULL=BLANK Scale=6",,$D38,$AQ$4),AQ38)</f>
        <v>10.091666666666701</v>
      </c>
      <c r="AR38" s="1506" cm="1">
        <f t="array" aca="1" ref="AR38" ca="1">IF(SwitchPA=1,_xll.TR(AR$7,AR$6,"Sdate=#1 Period=#2 NULL=BLANK Scale=6",,$D38,$AQ$4),AR38)</f>
        <v>19.044446666666701</v>
      </c>
      <c r="AS38" s="1506" cm="1">
        <f t="array" aca="1" ref="AS38" ca="1">IF(SwitchPA=1,_xll.TR(AS$7,AS$6,"Sdate=#1 Period=#2 NULL=BLANK Scale=6",,$D38,$AQ$4),AS38)</f>
        <v>6.8446666666666696</v>
      </c>
      <c r="AT38" s="1506" cm="1">
        <f t="array" aca="1" ref="AT38" ca="1">IF(SwitchPA=1,_xll.TR(AT$7,AT$6,"Sdate=#1 Period=#2 NULL=BLANK Scale=6",,$D38,$AQ$4),AT38)</f>
        <v>7.2791666666666703</v>
      </c>
      <c r="AU38" s="1506" cm="1">
        <f t="array" aca="1" ref="AU38" ca="1">IF(SwitchPA=1,_xll.TR(AU$7,AU$6,"Sdate=#1 Period=#2 NULL=BLANK Scale=6",,$D38,$AQ$4),AU38)</f>
        <v>19.45</v>
      </c>
      <c r="AV38" s="1506" cm="1">
        <f t="array" aca="1" ref="AV38" ca="1">IF(SwitchPA=1,_xll.TR(AV$7,AV$6,"Sdate=#1 Period=#2 NULL=BLANK Scale=6",,$D38,$AQ$4),AV38)</f>
        <v>0.1</v>
      </c>
      <c r="AW38" s="1506" cm="1">
        <f t="array" aca="1" ref="AW38" ca="1">IF(SwitchPA=1,_xll.TR(AW$7,AW$6,"Sdate=#1 Period=#2 NULL=BLANK Scale=6",,$D38,$AQ$4),AW38)</f>
        <v>7.73</v>
      </c>
      <c r="AX38" s="1506" cm="1">
        <f t="array" aca="1" ref="AX38" ca="1">IF(SwitchPA=1,_xll.TR(AX$7,AX$6,"Sdate=#1 Period=#2 NULL=BLANK Scale=6",,$D38,$AQ$4),AX38)</f>
        <v>6.5166666666666702</v>
      </c>
      <c r="AY38" s="1506" cm="1">
        <f t="array" aca="1" ref="AY38" ca="1">IF(SwitchPA=1,_xll.TR(AY$7,AY$6,"Sdate=#1 Period=#2 NULL=BLANK Scale=6",,$D38,$AQ$4),AY38)</f>
        <v>17.255558333333301</v>
      </c>
      <c r="AZ38" s="1506" cm="1">
        <f t="array" aca="1" ref="AZ38" ca="1">IF(SwitchPA=1,_xll.TR(AZ$7,AZ$6,"Sdate=#1 Period=#2 NULL=BLANK Scale=6",,$D38,$AQ$4),AZ38)</f>
        <v>13.3166666666667</v>
      </c>
      <c r="BA38" s="1506" t="str" cm="1">
        <f t="array" aca="1" ref="BA38" ca="1">IF(SwitchPA=1,_xll.TR(BA$7,BA$6,"Sdate=#1 Period=#2 NULL=BLANK Scale=6",,$D38,$AQ$4),BA38)</f>
        <v/>
      </c>
      <c r="BB38" s="1506" cm="1">
        <f t="array" aca="1" ref="BB38" ca="1">IF(SwitchPA=1,_xll.TR(BB$7,BB$6,"Sdate=#1 Period=#2 NULL=BLANK Scale=6",,$D38,$AQ$4),BB38)</f>
        <v>7.55</v>
      </c>
      <c r="BC38" s="1506" cm="1">
        <f t="array" aca="1" ref="BC38" ca="1">IF(SwitchPA=1,_xll.TR(BC$7,BC$6,"Sdate=#1 Period=#2 NULL=BLANK Scale=6",,$D38,$AQ$4),BC38)</f>
        <v>13.1116666666667</v>
      </c>
      <c r="BD38" s="1506" cm="1">
        <f t="array" aca="1" ref="BD38" ca="1">IF(SwitchPA=1,_xll.TR(BD$7,BD$6,"Sdate=#1 Period=#2 NULL=BLANK Scale=6",,$D38,$AQ$4),BD38)</f>
        <v>21.8</v>
      </c>
      <c r="BE38" s="1506" cm="1">
        <f t="array" aca="1" ref="BE38" ca="1">IF(SwitchPA=1,_xll.TR(BE$7,BE$6,"Sdate=#1 Period=#2 NULL=BLANK Scale=6",,$D38,$AQ$4),BE38)</f>
        <v>13.9944466666667</v>
      </c>
      <c r="BF38" s="1506" cm="1">
        <f t="array" aca="1" ref="BF38" ca="1">IF(SwitchPA=1,_xll.TR(BF$7,BF$6,"Sdate=#1 Period=#2 NULL=BLANK Scale=6",,$D38,$AQ$4),BF38)</f>
        <v>10</v>
      </c>
      <c r="BG38" s="1506" t="str" cm="1">
        <f t="array" aca="1" ref="BG38" ca="1">IF(SwitchPA=1,_xll.TR(BG$7,BG$6,"Sdate=#1 Period=#2 NULL=BLANK Scale=6",,$D38,$AQ$4),BG38)</f>
        <v/>
      </c>
      <c r="BH38" s="1506" t="str" cm="1">
        <f t="array" aca="1" ref="BH38" ca="1">IF(SwitchPA=1,_xll.TR(BH$7,BH$6,"Sdate=#1 Period=#2 NULL=BLANK Scale=6",,$D38,$AQ$4),BH38)</f>
        <v/>
      </c>
      <c r="BJ38" s="1506" cm="1">
        <f t="array" aca="1" ref="BJ38" ca="1">IF(SwitchPA=1,_xll.TR(BJ$7,BJ$6,"Sdate=#1 Period=#2 NULL=BLANK Scale=6",,$D38,$BJ$4),BJ38)</f>
        <v>8.1494030750000004</v>
      </c>
      <c r="BK38" s="1506" cm="1">
        <f t="array" aca="1" ref="BK38" ca="1">IF(SwitchPA=1,_xll.TR(BK$7,BK$6,"Sdate=#1 Period=#2 NULL=BLANK Scale=6",,$D38,$BJ$4),BK38)</f>
        <v>12.209325071</v>
      </c>
      <c r="BL38" s="1506" cm="1">
        <f t="array" aca="1" ref="BL38" ca="1">IF(SwitchPA=1,_xll.TR(BL$7,BL$6,"Sdate=#1 Period=#2 NULL=BLANK Scale=6",,$D38,$BJ$4),BL38)</f>
        <v>8.8990999960000003</v>
      </c>
      <c r="BM38" s="1506" cm="1">
        <f t="array" aca="1" ref="BM38" ca="1">IF(SwitchPA=1,_xll.TR(BM$7,BM$6,"Sdate=#1 Period=#2 NULL=BLANK Scale=6",,$D38,$BJ$4),BM38)</f>
        <v>8.048522878</v>
      </c>
      <c r="BN38" s="1506" cm="1">
        <f t="array" aca="1" ref="BN38" ca="1">IF(SwitchPA=1,_xll.TR(BN$7,BN$6,"Sdate=#1 Period=#2 NULL=BLANK Scale=6",,$D38,$BJ$4),BN38)</f>
        <v>7.1887688470000004</v>
      </c>
      <c r="BO38" s="1506" cm="1">
        <f t="array" aca="1" ref="BO38" ca="1">IF(SwitchPA=1,_xll.TR(BO$7,BO$6,"Sdate=#1 Period=#2 NULL=BLANK Scale=6",,$D38,$BJ$4),BO38)</f>
        <v>6.0141269959999999</v>
      </c>
      <c r="BP38" s="1506" cm="1">
        <f t="array" aca="1" ref="BP38" ca="1">IF(SwitchPA=1,_xll.TR(BP$7,BP$6,"Sdate=#1 Period=#2 NULL=BLANK Scale=6",,$D38,$BJ$4),BP38)</f>
        <v>6.7839142590000003</v>
      </c>
      <c r="BQ38" s="1506" cm="1">
        <f t="array" aca="1" ref="BQ38" ca="1">IF(SwitchPA=1,_xll.TR(BQ$7,BQ$6,"Sdate=#1 Period=#2 NULL=BLANK Scale=6",,$D38,$BJ$4),BQ38)</f>
        <v>9.1207068039999992</v>
      </c>
      <c r="BR38" s="1506" cm="1">
        <f t="array" aca="1" ref="BR38" ca="1">IF(SwitchPA=1,_xll.TR(BR$7,BR$6,"Sdate=#1 Period=#2 NULL=BLANK Scale=6",,$D38,$BJ$4),BR38)</f>
        <v>12.760601318999999</v>
      </c>
      <c r="BS38" s="1506" cm="1">
        <f t="array" aca="1" ref="BS38" ca="1">IF(SwitchPA=1,_xll.TR(BS$7,BS$6,"Sdate=#1 Period=#2 NULL=BLANK Scale=6",,$D38,$BJ$4),BS38)</f>
        <v>11.974871397999999</v>
      </c>
      <c r="BT38" s="1506" cm="1">
        <f t="array" aca="1" ref="BT38" ca="1">IF(SwitchPA=1,_xll.TR(BT$7,BT$6,"Sdate=#1 Period=#2 NULL=BLANK Scale=6",,$D38,$BJ$4),BT38)</f>
        <v>12.528600159</v>
      </c>
      <c r="BU38" s="1506" cm="1">
        <f t="array" aca="1" ref="BU38" ca="1">IF(SwitchPA=1,_xll.TR(BU$7,BU$6,"Sdate=#1 Period=#2 NULL=BLANK Scale=6",,$D38,$BJ$4),BU38)</f>
        <v>13.964374081000001</v>
      </c>
      <c r="BV38" s="1506" cm="1">
        <f t="array" aca="1" ref="BV38" ca="1">IF(SwitchPA=1,_xll.TR(BV$7,BV$6,"Sdate=#1 Period=#2 NULL=BLANK Scale=6",,$D38,$BJ$4),BV38)</f>
        <v>9.4759299749999997</v>
      </c>
      <c r="BW38" s="1506" cm="1">
        <f t="array" aca="1" ref="BW38" ca="1">IF(SwitchPA=1,_xll.TR(BW$7,BW$6,"Sdate=#1 Period=#2 NULL=BLANK Scale=6",,$D38,$BJ$4),BW38)</f>
        <v>14.606618562</v>
      </c>
      <c r="BX38" s="1506" cm="1">
        <f t="array" aca="1" ref="BX38" ca="1">IF(SwitchPA=1,_xll.TR(BX$7,BX$6,"Sdate=#1 Period=#2 NULL=BLANK Scale=6",,$D38,$BJ$4),BX38)</f>
        <v>14.019030548</v>
      </c>
      <c r="BY38" s="1506" cm="1">
        <f t="array" aca="1" ref="BY38" ca="1">IF(SwitchPA=1,_xll.TR(BY$7,BY$6,"Sdate=#1 Period=#2 NULL=BLANK Scale=6",,$D38,$BJ$4),BY38)</f>
        <v>4.7563055849999998</v>
      </c>
      <c r="BZ38" s="1506" t="str" cm="1">
        <f t="array" aca="1" ref="BZ38" ca="1">IF(SwitchPA=1,_xll.TR(BZ$7,BZ$6,"Sdate=#1 Period=#2 NULL=BLANK Scale=6",,$D38,$BJ$4),BZ38)</f>
        <v/>
      </c>
      <c r="CA38" s="1506" t="str" cm="1">
        <f t="array" aca="1" ref="CA38" ca="1">IF(SwitchPA=1,_xll.TR(CA$7,CA$6,"Sdate=#1 Period=#2 NULL=BLANK Scale=6",,$D38,$BJ$4),CA38)</f>
        <v/>
      </c>
      <c r="CC38" s="1506" cm="1">
        <f t="array" aca="1" ref="CC38" ca="1">IF(SwitchPA=1,_xll.TR(CC$7,CC$6,"Sdate=#1 Period=#2 NULL=BLANK Scale=6",,$D38,$CC$4),CC38)</f>
        <v>9273</v>
      </c>
      <c r="CD38" s="1506" cm="1">
        <f t="array" aca="1" ref="CD38" ca="1">IF(SwitchPA=1,_xll.TR(CD$7,CD$6,"Sdate=#1 Period=#2 NULL=BLANK Scale=6",,$D38,$CC$4),CD38)</f>
        <v>6297</v>
      </c>
      <c r="CE38" s="1506" cm="1">
        <f t="array" aca="1" ref="CE38" ca="1">IF(SwitchPA=1,_xll.TR(CE$7,CE$6,"Sdate=#1 Period=#2 NULL=BLANK Scale=6",,$D38,$CC$4),CE38)</f>
        <v>57761</v>
      </c>
      <c r="CF38" s="1506" cm="1">
        <f t="array" aca="1" ref="CF38" ca="1">IF(SwitchPA=1,_xll.TR(CF$7,CF$6,"Sdate=#1 Period=#2 NULL=BLANK Scale=6",,$D38,$CC$4),CF38)</f>
        <v>42951</v>
      </c>
      <c r="CG38" s="1506" cm="1">
        <f t="array" aca="1" ref="CG38" ca="1">IF(SwitchPA=1,_xll.TR(CG$7,CG$6,"Sdate=#1 Period=#2 NULL=BLANK Scale=6",,$D38,$CC$4),CG38)</f>
        <v>34727</v>
      </c>
      <c r="CH38" s="1506" cm="1">
        <f t="array" aca="1" ref="CH38" ca="1">IF(SwitchPA=1,_xll.TR(CH$7,CH$6,"Sdate=#1 Period=#2 NULL=BLANK Scale=6",,$D38,$CC$4),CH38)</f>
        <v>6110</v>
      </c>
      <c r="CI38" s="1506" t="str" cm="1">
        <f t="array" aca="1" ref="CI38" ca="1">IF(SwitchPA=1,_xll.TR(CI$7,CI$6,"Sdate=#1 Period=#2 NULL=BLANK Scale=6",,$D38,$CC$4),CI38)</f>
        <v/>
      </c>
      <c r="CJ38" s="1506" cm="1">
        <f t="array" aca="1" ref="CJ38" ca="1">IF(SwitchPA=1,_xll.TR(CJ$7,CJ$6,"Sdate=#1 Period=#2 NULL=BLANK Scale=6",,$D38,$CC$4),CJ38)</f>
        <v>7207</v>
      </c>
      <c r="CK38" s="1506" cm="1">
        <f t="array" aca="1" ref="CK38" ca="1">IF(SwitchPA=1,_xll.TR(CK$7,CK$6,"Sdate=#1 Period=#2 NULL=BLANK Scale=6",,$D38,$CC$4),CK38)</f>
        <v>32136</v>
      </c>
      <c r="CL38" s="1506" cm="1">
        <f t="array" aca="1" ref="CL38" ca="1">IF(SwitchPA=1,_xll.TR(CL$7,CL$6,"Sdate=#1 Period=#2 NULL=BLANK Scale=6",,$D38,$CC$4),CL38)</f>
        <v>3518.5619999999999</v>
      </c>
      <c r="CM38" s="1506" cm="1">
        <f t="array" aca="1" ref="CM38" ca="1">IF(SwitchPA=1,_xll.TR(CM$7,CM$6,"Sdate=#1 Period=#2 NULL=BLANK Scale=6",,$D38,$CC$4),CM38)</f>
        <v>2450</v>
      </c>
      <c r="CN38" s="1506" cm="1">
        <f t="array" aca="1" ref="CN38" ca="1">IF(SwitchPA=1,_xll.TR(CN$7,CN$6,"Sdate=#1 Period=#2 NULL=BLANK Scale=6",,$D38,$CC$4),CN38)</f>
        <v>2862.7</v>
      </c>
      <c r="CO38" s="1506" cm="1">
        <f t="array" aca="1" ref="CO38" ca="1">IF(SwitchPA=1,_xll.TR(CO$7,CO$6,"Sdate=#1 Period=#2 NULL=BLANK Scale=6",,$D38,$CC$4),CO38)</f>
        <v>21512</v>
      </c>
      <c r="CP38" s="1506" cm="1">
        <f t="array" aca="1" ref="CP38" ca="1">IF(SwitchPA=1,_xll.TR(CP$7,CP$6,"Sdate=#1 Period=#2 NULL=BLANK Scale=6",,$D38,$CC$4),CP38)</f>
        <v>4609.8</v>
      </c>
      <c r="CQ38" s="1506" cm="1">
        <f t="array" aca="1" ref="CQ38" ca="1">IF(SwitchPA=1,_xll.TR(CQ$7,CQ$6,"Sdate=#1 Period=#2 NULL=BLANK Scale=6",,$D38,$CC$4),CQ38)</f>
        <v>15146</v>
      </c>
      <c r="CR38" s="1506" cm="1">
        <f t="array" aca="1" ref="CR38" ca="1">IF(SwitchPA=1,_xll.TR(CR$7,CR$6,"Sdate=#1 Period=#2 NULL=BLANK Scale=6",,$D38,$CC$4),CR38)</f>
        <v>11346</v>
      </c>
      <c r="CS38" s="1506" t="str" cm="1">
        <f t="array" aca="1" ref="CS38" ca="1">IF(SwitchPA=1,_xll.TR(CS$7,CS$6,"Sdate=#1 Period=#2 NULL=BLANK Scale=6",,$D38,$CC$4),CS38)</f>
        <v>Unable to resolve all requested identifiers.</v>
      </c>
      <c r="CT38" s="1506" t="str" cm="1">
        <f t="array" aca="1" ref="CT38" ca="1">IF(SwitchPA=1,_xll.TR(CT$7,CT$6,"Sdate=#1 Period=#2 NULL=BLANK Scale=6",,$D38,$CC$4),CT38)</f>
        <v>Unable to resolve all requested identifiers.</v>
      </c>
      <c r="CU38" s="1002"/>
      <c r="CV38" s="1516" cm="1">
        <f t="array" aca="1" ref="CV38" ca="1">IF(SwitchPA=1,_xll.TR(CV$7,CV$6,"Sdate=#1 Period=#2 NULL=BLANK Scale=6",,$D38,$AQ$4),CV38)</f>
        <v>5765.75</v>
      </c>
      <c r="CW38" s="1516" cm="1">
        <f t="array" aca="1" ref="CW38" ca="1">IF(SwitchPA=1,_xll.TR(CW$7,CW$6,"Sdate=#1 Period=#2 NULL=BLANK Scale=6",,$D38,$AQ$4),CW38)</f>
        <v>3872.25</v>
      </c>
      <c r="CX38" s="1516" cm="1">
        <f t="array" aca="1" ref="CX38" ca="1">IF(SwitchPA=1,_xll.TR(CX$7,CX$6,"Sdate=#1 Period=#2 NULL=BLANK Scale=6",,$D38,$AQ$4),CX38)</f>
        <v>21807</v>
      </c>
      <c r="CY38" s="1516" cm="1">
        <f t="array" aca="1" ref="CY38" ca="1">IF(SwitchPA=1,_xll.TR(CY$7,CY$6,"Sdate=#1 Period=#2 NULL=BLANK Scale=6",,$D38,$AQ$4),CY38)</f>
        <v>23927.5</v>
      </c>
      <c r="CZ38" s="1516" cm="1">
        <f t="array" aca="1" ref="CZ38" ca="1">IF(SwitchPA=1,_xll.TR(CZ$7,CZ$6,"Sdate=#1 Period=#2 NULL=BLANK Scale=6",,$D38,$AQ$4),CZ38)</f>
        <v>14988.25</v>
      </c>
      <c r="DA38" s="1516" cm="1">
        <f t="array" aca="1" ref="DA38" ca="1">IF(SwitchPA=1,_xll.TR(DA$7,DA$6,"Sdate=#1 Period=#2 NULL=BLANK Scale=6",,$D38,$AQ$4),DA38)</f>
        <v>3699.5250000000001</v>
      </c>
      <c r="DB38" s="1516" t="str" cm="1">
        <f t="array" aca="1" ref="DB38" ca="1">IF(SwitchPA=1,_xll.TR(DB$7,DB$6,"Sdate=#1 Period=#2 NULL=BLANK Scale=6",,$D38,$AQ$4),DB38)</f>
        <v/>
      </c>
      <c r="DC38" s="1516" cm="1">
        <f t="array" aca="1" ref="DC38" ca="1">IF(SwitchPA=1,_xll.TR(DC$7,DC$6,"Sdate=#1 Period=#2 NULL=BLANK Scale=6",,$D38,$AQ$4),DC38)</f>
        <v>3114.75</v>
      </c>
      <c r="DD38" s="1516" cm="1">
        <f t="array" aca="1" ref="DD38" ca="1">IF(SwitchPA=1,_xll.TR(DD$7,DD$6,"Sdate=#1 Period=#2 NULL=BLANK Scale=6",,$D38,$AQ$4),DD38)</f>
        <v>9854.75</v>
      </c>
      <c r="DE38" s="1516" cm="1">
        <f t="array" aca="1" ref="DE38" ca="1">IF(SwitchPA=1,_xll.TR(DE$7,DE$6,"Sdate=#1 Period=#2 NULL=BLANK Scale=6",,$D38,$AQ$4),DE38)</f>
        <v>3374.9144999999999</v>
      </c>
      <c r="DF38" s="1516" cm="1">
        <f t="array" aca="1" ref="DF38" ca="1">IF(SwitchPA=1,_xll.TR(DF$7,DF$6,"Sdate=#1 Period=#2 NULL=BLANK Scale=6",,$D38,$AQ$4),DF38)</f>
        <v>1619</v>
      </c>
      <c r="DG38" s="1516" cm="1">
        <f t="array" aca="1" ref="DG38" ca="1">IF(SwitchPA=1,_xll.TR(DG$7,DG$6,"Sdate=#1 Period=#2 NULL=BLANK Scale=6",,$D38,$AQ$4),DG38)</f>
        <v>517.02499999999998</v>
      </c>
      <c r="DH38" s="1516" cm="1">
        <f t="array" aca="1" ref="DH38" ca="1">IF(SwitchPA=1,_xll.TR(DH$7,DH$6,"Sdate=#1 Period=#2 NULL=BLANK Scale=6",,$D38,$AQ$4),DH38)</f>
        <v>17552.25</v>
      </c>
      <c r="DI38" s="1516" cm="1">
        <f t="array" aca="1" ref="DI38" ca="1">IF(SwitchPA=1,_xll.TR(DI$7,DI$6,"Sdate=#1 Period=#2 NULL=BLANK Scale=6",,$D38,$AQ$4),DI38)</f>
        <v>905.85</v>
      </c>
      <c r="DJ38" s="1516" cm="1">
        <f t="array" aca="1" ref="DJ38" ca="1">IF(SwitchPA=1,_xll.TR(DJ$7,DJ$6,"Sdate=#1 Period=#2 NULL=BLANK Scale=6",,$D38,$AQ$4),DJ38)</f>
        <v>3655.25</v>
      </c>
      <c r="DK38" s="1516" cm="1">
        <f t="array" aca="1" ref="DK38" ca="1">IF(SwitchPA=1,_xll.TR(DK$7,DK$6,"Sdate=#1 Period=#2 NULL=BLANK Scale=6",,$D38,$AQ$4),DK38)</f>
        <v>5815.75</v>
      </c>
      <c r="DL38" s="1516" t="str" cm="1">
        <f t="array" aca="1" ref="DL38" ca="1">IF(SwitchPA=1,_xll.TR(DL$7,DL$6,"Sdate=#1 Period=#2 NULL=BLANK Scale=6",,$D38,$AQ$4),DL38)</f>
        <v>Unable to resolve all requested identifiers.</v>
      </c>
      <c r="DM38" s="1516" t="str" cm="1">
        <f t="array" aca="1" ref="DM38" ca="1">IF(SwitchPA=1,_xll.TR(DM$7,DM$6,"Sdate=#1 Period=#2 NULL=BLANK Scale=6",,$D38,$AQ$4),DM38)</f>
        <v>Unable to resolve all requested identifiers.</v>
      </c>
      <c r="DO38" s="1506" cm="1">
        <f t="array" aca="1" ref="DO38" ca="1">IF(SwitchPA=1,_xll.TR(DO$7,DO$6,"Sdate=#1 Period=#2 Scale=6 NULL=BLANK",,$D38,$X$4),DO38)</f>
        <v>16241.760327579999</v>
      </c>
      <c r="DP38" s="1506" cm="1">
        <f t="array" aca="1" ref="DP38" ca="1">IF(SwitchPA=1,_xll.TR(DP$7,DP$6,"Sdate=#1 Period=#2 Scale=6 NULL=BLANK",,$D38,$X$4),DP38)</f>
        <v>16946.543198560001</v>
      </c>
      <c r="DQ38" s="1506" cm="1">
        <f t="array" aca="1" ref="DQ38" ca="1">IF(SwitchPA=1,_xll.TR(DQ$7,DQ$6,"Sdate=#1 Period=#2 Scale=6 NULL=BLANK",,$D38,$X$4),DQ38)</f>
        <v>76105.103161940002</v>
      </c>
      <c r="DR38" s="1506" cm="1">
        <f t="array" aca="1" ref="DR38" ca="1">IF(SwitchPA=1,_xll.TR(DR$7,DR$6,"Sdate=#1 Period=#2 Scale=6 NULL=BLANK",,$D38,$X$4),DR38)</f>
        <v>51228.848116579997</v>
      </c>
      <c r="DS38" s="1506" cm="1">
        <f t="array" aca="1" ref="DS38" ca="1">IF(SwitchPA=1,_xll.TR(DS$7,DS$6,"Sdate=#1 Period=#2 Scale=6 NULL=BLANK",,$D38,$X$4),DS38)</f>
        <v>39214.734062399999</v>
      </c>
      <c r="DT38" s="1506" cm="1">
        <f t="array" aca="1" ref="DT38" ca="1">IF(SwitchPA=1,_xll.TR(DT$7,DT$6,"Sdate=#1 Period=#2 Scale=6 NULL=BLANK",,$D38,$X$4),DT38)</f>
        <v>5978.0422338999997</v>
      </c>
      <c r="DU38" s="1506" cm="1">
        <f t="array" aca="1" ref="DU38" ca="1">IF(SwitchPA=1,_xll.TR(DU$7,DU$6,"Sdate=#1 Period=#2 Scale=6 NULL=BLANK",,$D38,$X$4),DU38)</f>
        <v>14558.28</v>
      </c>
      <c r="DV38" s="1506" cm="1">
        <f t="array" aca="1" ref="DV38" ca="1">IF(SwitchPA=1,_xll.TR(DV$7,DV$6,"Sdate=#1 Period=#2 Scale=6 NULL=BLANK",,$D38,$X$4),DV38)</f>
        <v>6767.5644486199999</v>
      </c>
      <c r="DW38" s="1506" cm="1">
        <f t="array" aca="1" ref="DW38" ca="1">IF(SwitchPA=1,_xll.TR(DW$7,DW$6,"Sdate=#1 Period=#2 Scale=6 NULL=BLANK",,$D38,$X$4),DW38)</f>
        <v>110264.356</v>
      </c>
      <c r="DX38" s="1506" cm="1">
        <f t="array" aca="1" ref="DX38" ca="1">IF(SwitchPA=1,_xll.TR(DX$7,DX$6,"Sdate=#1 Period=#2 Scale=6 NULL=BLANK",,$D38,$X$4),DX38)</f>
        <v>11280.70007812</v>
      </c>
      <c r="DY38" s="1506" cm="1">
        <f t="array" aca="1" ref="DY38" ca="1">IF(SwitchPA=1,_xll.TR(DY$7,DY$6,"Sdate=#1 Period=#2 Scale=6 NULL=BLANK",,$D38,$X$4),DY38)</f>
        <v>6389.5860810000004</v>
      </c>
      <c r="DZ38" s="1506" cm="1">
        <f t="array" aca="1" ref="DZ38" ca="1">IF(SwitchPA=1,_xll.TR(DZ$7,DZ$6,"Sdate=#1 Period=#2 Scale=6 NULL=BLANK",,$D38,$X$4),DZ38)</f>
        <v>4132.0582906</v>
      </c>
      <c r="EA38" s="1506" cm="1">
        <f t="array" aca="1" ref="EA38" ca="1">IF(SwitchPA=1,_xll.TR(EA$7,EA$6,"Sdate=#1 Period=#2 Scale=6 NULL=BLANK",,$D38,$X$4),EA38)</f>
        <v>55301.527332199999</v>
      </c>
      <c r="EB38" s="1506" cm="1">
        <f t="array" aca="1" ref="EB38" ca="1">IF(SwitchPA=1,_xll.TR(EB$7,EB$6,"Sdate=#1 Period=#2 Scale=6 NULL=BLANK",,$D38,$X$4),EB38)</f>
        <v>16815.139288179998</v>
      </c>
      <c r="EC38" s="1506" cm="1">
        <f t="array" aca="1" ref="EC38" ca="1">IF(SwitchPA=1,_xll.TR(EC$7,EC$6,"Sdate=#1 Period=#2 Scale=6 NULL=BLANK",,$D38,$X$4),EC38)</f>
        <v>32468.074749200001</v>
      </c>
      <c r="ED38" s="1506" cm="1">
        <f t="array" aca="1" ref="ED38" ca="1">IF(SwitchPA=1,_xll.TR(ED$7,ED$6,"Sdate=#1 Period=#2 Scale=6 NULL=BLANK",,$D38,$X$4),ED38)</f>
        <v>14383.06808832</v>
      </c>
      <c r="EE38" s="1506" t="str" cm="1">
        <f t="array" aca="1" ref="EE38" ca="1">IF(SwitchPA=1,_xll.TR(EE$7,EE$6,"Sdate=#1 Period=#2 Scale=6 NULL=BLANK",,$D38,$X$4),EE38)</f>
        <v/>
      </c>
      <c r="EF38" s="1506" t="str" cm="1">
        <f t="array" aca="1" ref="EF38" ca="1">IF(SwitchPA=1,_xll.TR(EF$7,EF$6,"Sdate=#1 Period=#2 Scale=6 NULL=BLANK",,$D38,$X$4),EF38)</f>
        <v/>
      </c>
      <c r="EG38" s="1517"/>
      <c r="EH38" s="1506" cm="1">
        <f t="array" aca="1" ref="EH38" ca="1">IF(SwitchPA=1,_xll.TR(EH$7,EH$6,"Sdate=#1 Period=#2 Scale=6 NULL=BLANK",,$D38,$X$4),EH38)</f>
        <v>1388</v>
      </c>
      <c r="EI38" s="1506" cm="1">
        <f t="array" aca="1" ref="EI38" ca="1">IF(SwitchPA=1,_xll.TR(EI$7,EI$6,"Sdate=#1 Period=#2 Scale=6 NULL=BLANK",,$D38,$X$4),EI38)</f>
        <v>1032</v>
      </c>
      <c r="EJ38" s="1506" cm="1">
        <f t="array" aca="1" ref="EJ38" ca="1">IF(SwitchPA=1,_xll.TR(EJ$7,EJ$6,"Sdate=#1 Period=#2 Scale=6 NULL=BLANK",,$D38,$X$4),EJ38)</f>
        <v>4115</v>
      </c>
      <c r="EK38" s="1506" cm="1">
        <f t="array" aca="1" ref="EK38" ca="1">IF(SwitchPA=1,_xll.TR(EK$7,EK$6,"Sdate=#1 Period=#2 Scale=6 NULL=BLANK",,$D38,$X$4),EK38)</f>
        <v>3524</v>
      </c>
      <c r="EL38" s="1506" cm="1">
        <f t="array" aca="1" ref="EL38" ca="1">IF(SwitchPA=1,_xll.TR(EL$7,EL$6,"Sdate=#1 Period=#2 Scale=6 NULL=BLANK",,$D38,$X$4),EL38)</f>
        <v>4150</v>
      </c>
      <c r="EM38" s="1506" cm="1">
        <f t="array" aca="1" ref="EM38" ca="1">IF(SwitchPA=1,_xll.TR(EM$7,EM$6,"Sdate=#1 Period=#2 Scale=6 NULL=BLANK",,$D38,$X$4),EM38)</f>
        <v>258.3</v>
      </c>
      <c r="EN38" s="1506" t="str" cm="1">
        <f t="array" aca="1" ref="EN38" ca="1">IF(SwitchPA=1,_xll.TR(EN$7,EN$6,"Sdate=#1 Period=#2 Scale=6 NULL=BLANK",,$D38,$X$4),EN38)</f>
        <v/>
      </c>
      <c r="EO38" s="1506" cm="1">
        <f t="array" aca="1" ref="EO38" ca="1">IF(SwitchPA=1,_xll.TR(EO$7,EO$6,"Sdate=#1 Period=#2 Scale=6 NULL=BLANK",,$D38,$X$4),EO38)</f>
        <v>523</v>
      </c>
      <c r="EP38" s="1506" cm="1">
        <f t="array" aca="1" ref="EP38" ca="1">IF(SwitchPA=1,_xll.TR(EP$7,EP$6,"Sdate=#1 Period=#2 Scale=6 NULL=BLANK",,$D38,$X$4),EP38)</f>
        <v>7048</v>
      </c>
      <c r="EQ38" s="1506" cm="1">
        <f t="array" aca="1" ref="EQ38" ca="1">IF(SwitchPA=1,_xll.TR(EQ$7,EQ$6,"Sdate=#1 Period=#2 Scale=6 NULL=BLANK",,$D38,$X$4),EQ38)</f>
        <v>735.12599999999998</v>
      </c>
      <c r="ER38" s="1506" cm="1">
        <f t="array" aca="1" ref="ER38" ca="1">IF(SwitchPA=1,_xll.TR(ER$7,ER$6,"Sdate=#1 Period=#2 Scale=6 NULL=BLANK",,$D38,$X$4),ER38)</f>
        <v>241</v>
      </c>
      <c r="ES38" s="1506" cm="1">
        <f t="array" aca="1" ref="ES38" ca="1">IF(SwitchPA=1,_xll.TR(ES$7,ES$6,"Sdate=#1 Period=#2 Scale=6 NULL=BLANK",,$D38,$X$4),ES38)</f>
        <v>207.3</v>
      </c>
      <c r="ET38" s="1506" cm="1">
        <f t="array" aca="1" ref="ET38" ca="1">IF(SwitchPA=1,_xll.TR(ET$7,ET$6,"Sdate=#1 Period=#2 Scale=6 NULL=BLANK",,$D38,$X$4),ET38)</f>
        <v>2765</v>
      </c>
      <c r="EU38" s="1506" cm="1">
        <f t="array" aca="1" ref="EU38" ca="1">IF(SwitchPA=1,_xll.TR(EU$7,EU$6,"Sdate=#1 Period=#2 Scale=6 NULL=BLANK",,$D38,$X$4),EU38)</f>
        <v>961.6</v>
      </c>
      <c r="EV38" s="1506" cm="1">
        <f t="array" aca="1" ref="EV38" ca="1">IF(SwitchPA=1,_xll.TR(EV$7,EV$6,"Sdate=#1 Period=#2 Scale=6 NULL=BLANK",,$D38,$X$4),EV38)</f>
        <v>1899</v>
      </c>
      <c r="EW38" s="1506" cm="1">
        <f t="array" aca="1" ref="EW38" ca="1">IF(SwitchPA=1,_xll.TR(EW$7,EW$6,"Sdate=#1 Period=#2 Scale=6 NULL=BLANK",,$D38,$X$4),EW38)</f>
        <v>1205</v>
      </c>
      <c r="EX38" s="1506" t="str" cm="1">
        <f t="array" aca="1" ref="EX38" ca="1">IF(SwitchPA=1,_xll.TR(EX$7,EX$6,"Sdate=#1 Period=#2 Scale=6 NULL=BLANK",,$D38,$X$4),EX38)</f>
        <v>Unable to resolve all requested identifiers.</v>
      </c>
      <c r="EY38" s="1506" t="str" cm="1">
        <f t="array" aca="1" ref="EY38" ca="1">IF(SwitchPA=1,_xll.TR(EY$7,EY$6,"Sdate=#1 Period=#2 Scale=6 NULL=BLANK",,$D38,$X$4),EY38)</f>
        <v>Unable to resolve and collect data for all requested identifiers and fields.</v>
      </c>
      <c r="FA38" s="1506" cm="1">
        <f t="array" aca="1" ref="FA38" ca="1">IF(SwitchPA=1,_xll.TR(FA$7,FA$6,"Sdate=#1 Period=#2 Scale=6 NULL=BLANK",,$D38,$X$4),FA38)</f>
        <v>1999</v>
      </c>
      <c r="FB38" s="1506" cm="1">
        <f t="array" aca="1" ref="FB38" ca="1">IF(SwitchPA=1,_xll.TR(FB$7,FB$6,"Sdate=#1 Period=#2 Scale=6 NULL=BLANK",,$D38,$X$4),FB38)</f>
        <v>1388</v>
      </c>
      <c r="FC38" s="1506" cm="1">
        <f t="array" aca="1" ref="FC38" ca="1">IF(SwitchPA=1,_xll.TR(FC$7,FC$6,"Sdate=#1 Period=#2 Scale=6 NULL=BLANK",,$D38,$X$4),FC38)</f>
        <v>8552</v>
      </c>
      <c r="FD38" s="1506" cm="1">
        <f t="array" aca="1" ref="FD38" ca="1">IF(SwitchPA=1,_xll.TR(FD$7,FD$6,"Sdate=#1 Period=#2 Scale=6 NULL=BLANK",,$D38,$X$4),FD38)</f>
        <v>6365</v>
      </c>
      <c r="FE38" s="1506" cm="1">
        <f t="array" aca="1" ref="FE38" ca="1">IF(SwitchPA=1,_xll.TR(FE$7,FE$6,"Sdate=#1 Period=#2 Scale=6 NULL=BLANK",,$D38,$X$4),FE38)</f>
        <v>5462</v>
      </c>
      <c r="FF38" s="1506" cm="1">
        <f t="array" aca="1" ref="FF38" ca="1">IF(SwitchPA=1,_xll.TR(FF$7,FF$6,"Sdate=#1 Period=#2 Scale=6 NULL=BLANK",,$D38,$X$4),FF38)</f>
        <v>855.7</v>
      </c>
      <c r="FG38" s="1506" t="str" cm="1">
        <f t="array" aca="1" ref="FG38" ca="1">IF(SwitchPA=1,_xll.TR(FG$7,FG$6,"Sdate=#1 Period=#2 Scale=6 NULL=BLANK",,$D38,$X$4),FG38)</f>
        <v/>
      </c>
      <c r="FH38" s="1506" cm="1">
        <f t="array" aca="1" ref="FH38" ca="1">IF(SwitchPA=1,_xll.TR(FH$7,FH$6,"Sdate=#1 Period=#2 Scale=6 NULL=BLANK",,$D38,$X$4),FH38)</f>
        <v>742</v>
      </c>
      <c r="FI38" s="1506" cm="1">
        <f t="array" aca="1" ref="FI38" ca="1">IF(SwitchPA=1,_xll.TR(FI$7,FI$6,"Sdate=#1 Period=#2 Scale=6 NULL=BLANK",,$D38,$X$4),FI38)</f>
        <v>8641</v>
      </c>
      <c r="FJ38" s="1506" cm="1">
        <f t="array" aca="1" ref="FJ38" ca="1">IF(SwitchPA=1,_xll.TR(FJ$7,FJ$6,"Sdate=#1 Period=#2 Scale=6 NULL=BLANK",,$D38,$X$4),FJ38)</f>
        <v>942.03099999999995</v>
      </c>
      <c r="FK38" s="1506" cm="1">
        <f t="array" aca="1" ref="FK38" ca="1">IF(SwitchPA=1,_xll.TR(FK$7,FK$6,"Sdate=#1 Period=#2 Scale=6 NULL=BLANK",,$D38,$X$4),FK38)</f>
        <v>510</v>
      </c>
      <c r="FL38" s="1506" cm="1">
        <f t="array" aca="1" ref="FL38" ca="1">IF(SwitchPA=1,_xll.TR(FL$7,FL$6,"Sdate=#1 Period=#2 Scale=6 NULL=BLANK",,$D38,$X$4),FL38)</f>
        <v>291</v>
      </c>
      <c r="FM38" s="1506" cm="1">
        <f t="array" aca="1" ref="FM38" ca="1">IF(SwitchPA=1,_xll.TR(FM$7,FM$6,"Sdate=#1 Period=#2 Scale=6 NULL=BLANK",,$D38,$X$4),FM38)</f>
        <v>3341</v>
      </c>
      <c r="FN38" s="1506" cm="1">
        <f t="array" aca="1" ref="FN38" ca="1">IF(SwitchPA=1,_xll.TR(FN$7,FN$6,"Sdate=#1 Period=#2 Scale=6 NULL=BLANK",,$D38,$X$4),FN38)</f>
        <v>1111.7</v>
      </c>
      <c r="FO38" s="1506" cm="1">
        <f t="array" aca="1" ref="FO38" ca="1">IF(SwitchPA=1,_xll.TR(FO$7,FO$6,"Sdate=#1 Period=#2 Scale=6 NULL=BLANK",,$D38,$X$4),FO38)</f>
        <v>2410</v>
      </c>
      <c r="FP38" s="1506" cm="1">
        <f t="array" aca="1" ref="FP38" ca="1">IF(SwitchPA=1,_xll.TR(FP$7,FP$6,"Sdate=#1 Period=#2 Scale=6 NULL=BLANK",,$D38,$X$4),FP38)</f>
        <v>3024</v>
      </c>
      <c r="FQ38" s="1506" t="str" cm="1">
        <f t="array" aca="1" ref="FQ38" ca="1">IF(SwitchPA=1,_xll.TR(FQ$7,FQ$6,"Sdate=#1 Period=#2 Scale=6 NULL=BLANK",,$D38,$X$4),FQ38)</f>
        <v>Unable to resolve and collect data for all requested identifiers and fields.</v>
      </c>
      <c r="FS38" s="1506" cm="1">
        <f t="array" aca="1" ref="FS38" ca="1">IF(SwitchPA=1,_xll.TR(FS$7,FS$6,"Sdate=#1 Period=#2 NULL=BLANK Scale=6",,$D38,$FS$4),FS38)</f>
        <v>1079</v>
      </c>
      <c r="FT38" s="1506" cm="1">
        <f t="array" aca="1" ref="FT38" ca="1">IF(SwitchPA=1,_xll.TR(FT$7,FT$6,"Sdate=#1 Period=#2 NULL=BLANK Scale=6",,$D38,$FS$4),FT38)</f>
        <v>1084</v>
      </c>
      <c r="FU38" s="1506" cm="1">
        <f t="array" aca="1" ref="FU38" ca="1">IF(SwitchPA=1,_xll.TR(FU$7,FU$6,"Sdate=#1 Period=#2 NULL=BLANK Scale=6",,$D38,$FS$4),FU38)</f>
        <v>1757</v>
      </c>
      <c r="FV38" s="1506" cm="1">
        <f t="array" aca="1" ref="FV38" ca="1">IF(SwitchPA=1,_xll.TR(FV$7,FV$6,"Sdate=#1 Period=#2 NULL=BLANK Scale=6",,$D38,$FS$4),FV38)</f>
        <v>3960</v>
      </c>
      <c r="FW38" s="1506" cm="1">
        <f t="array" aca="1" ref="FW38" ca="1">IF(SwitchPA=1,_xll.TR(FW$7,FW$6,"Sdate=#1 Period=#2 NULL=BLANK Scale=6",,$D38,$FS$4),FW38)</f>
        <v>2267</v>
      </c>
      <c r="FX38" s="1506" cm="1">
        <f t="array" aca="1" ref="FX38" ca="1">IF(SwitchPA=1,_xll.TR(FX$7,FX$6,"Sdate=#1 Period=#2 NULL=BLANK Scale=6",,$D38,$FS$4),FX38)</f>
        <v>231.7</v>
      </c>
      <c r="FY38" s="1506" t="str" cm="1">
        <f t="array" aca="1" ref="FY38" ca="1">IF(SwitchPA=1,_xll.TR(FY$7,FY$6,"Sdate=#1 Period=#2 NULL=BLANK Scale=6",,$D38,$FS$4),FY38)</f>
        <v/>
      </c>
      <c r="FZ38" s="1506" cm="1">
        <f t="array" aca="1" ref="FZ38" ca="1">IF(SwitchPA=1,_xll.TR(FZ$7,FZ$6,"Sdate=#1 Period=#2 NULL=BLANK Scale=6",,$D38,$FS$4),FZ38)</f>
        <v>623</v>
      </c>
      <c r="GA38" s="1506" cm="1">
        <f t="array" aca="1" ref="GA38" ca="1">IF(SwitchPA=1,_xll.TR(GA$7,GA$6,"Sdate=#1 Period=#2 NULL=BLANK Scale=6",,$D38,$FS$4),GA38)</f>
        <v>5371</v>
      </c>
      <c r="GB38" s="1506" cm="1">
        <f t="array" aca="1" ref="GB38" ca="1">IF(SwitchPA=1,_xll.TR(GB$7,GB$6,"Sdate=#1 Period=#2 NULL=BLANK Scale=6",,$D38,$FS$4),GB38)</f>
        <v>-321.91000000000003</v>
      </c>
      <c r="GC38" s="1506" cm="1">
        <f t="array" aca="1" ref="GC38" ca="1">IF(SwitchPA=1,_xll.TR(GC$7,GC$6,"Sdate=#1 Period=#2 NULL=BLANK Scale=6",,$D38,$FS$4),GC38)</f>
        <v>107</v>
      </c>
      <c r="GD38" s="1506" cm="1">
        <f t="array" aca="1" ref="GD38" ca="1">IF(SwitchPA=1,_xll.TR(GD$7,GD$6,"Sdate=#1 Period=#2 NULL=BLANK Scale=6",,$D38,$FS$4),GD38)</f>
        <v>219.1</v>
      </c>
      <c r="GE38" s="1506" cm="1">
        <f t="array" aca="1" ref="GE38" ca="1">IF(SwitchPA=1,_xll.TR(GE$7,GE$6,"Sdate=#1 Period=#2 NULL=BLANK Scale=6",,$D38,$FS$4),GE38)</f>
        <v>-1063</v>
      </c>
      <c r="GF38" s="1506" cm="1">
        <f t="array" aca="1" ref="GF38" ca="1">IF(SwitchPA=1,_xll.TR(GF$7,GF$6,"Sdate=#1 Period=#2 NULL=BLANK Scale=6",,$D38,$FS$4),GF38)</f>
        <v>346.6</v>
      </c>
      <c r="GG38" s="1506" cm="1">
        <f t="array" aca="1" ref="GG38" ca="1">IF(SwitchPA=1,_xll.TR(GG$7,GG$6,"Sdate=#1 Period=#2 NULL=BLANK Scale=6",,$D38,$FS$4),GG38)</f>
        <v>1667</v>
      </c>
      <c r="GH38" s="1506" cm="1">
        <f t="array" aca="1" ref="GH38" ca="1">IF(SwitchPA=1,_xll.TR(GH$7,GH$6,"Sdate=#1 Period=#2 NULL=BLANK Scale=6",,$D38,$FS$4),GH38)</f>
        <v>1223</v>
      </c>
      <c r="GI38" s="1506" t="str" cm="1">
        <f t="array" aca="1" ref="GI38" ca="1">IF(SwitchPA=1,_xll.TR(GI$7,GI$6,"Sdate=#1 Period=#2 NULL=BLANK Scale=6",,$D38,$FS$4),GI38)</f>
        <v>Unable to resolve all requested identifiers.</v>
      </c>
      <c r="GK38" s="1506" cm="1">
        <f t="array" aca="1" ref="GK38" ca="1">IF(SwitchPA=1,_xll.TR(GK$7,GK$6,"Sdate=#1 Period=#2 NULL=BLANK Scale=6",,$D38,$FS$4),GK38)</f>
        <v>3.5327177840224802</v>
      </c>
      <c r="GL38" s="1506" cm="1">
        <f t="array" aca="1" ref="GL38" ca="1">IF(SwitchPA=1,_xll.TR(GL$7,GL$6,"Sdate=#1 Period=#2 NULL=BLANK Scale=6",,$D38,$FS$4),GL38)</f>
        <v>2.25413561170696</v>
      </c>
      <c r="GM38" s="1506" cm="1">
        <f t="array" aca="1" ref="GM38" ca="1">IF(SwitchPA=1,_xll.TR(GM$7,GM$6,"Sdate=#1 Period=#2 NULL=BLANK Scale=6",,$D38,$FS$4),GM38)</f>
        <v>5.1191809310510301</v>
      </c>
      <c r="GN38" s="1506" cm="1">
        <f t="array" aca="1" ref="GN38" ca="1">IF(SwitchPA=1,_xll.TR(GN$7,GN$6,"Sdate=#1 Period=#2 NULL=BLANK Scale=6",,$D38,$FS$4),GN38)</f>
        <v>5.7577626979230896</v>
      </c>
      <c r="GO38" s="1506" cm="1">
        <f t="array" aca="1" ref="GO38" ca="1">IF(SwitchPA=1,_xll.TR(GO$7,GO$6,"Sdate=#1 Period=#2 NULL=BLANK Scale=6",,$D38,$FS$4),GO38)</f>
        <v>5.0847457627118704</v>
      </c>
      <c r="GP38" s="1506" cm="1">
        <f t="array" aca="1" ref="GP38" ca="1">IF(SwitchPA=1,_xll.TR(GP$7,GP$6,"Sdate=#1 Period=#2 NULL=BLANK Scale=6",,$D38,$FS$4),GP38)</f>
        <v>4.4817927170868304</v>
      </c>
      <c r="GQ38" s="1506" cm="1">
        <f t="array" aca="1" ref="GQ38" ca="1">IF(SwitchPA=1,_xll.TR(GQ$7,GQ$6,"Sdate=#1 Period=#2 NULL=BLANK Scale=6",,$D38,$FS$4),GQ38)</f>
        <v>4.2466765140325</v>
      </c>
      <c r="GR38" s="1506" cm="1">
        <f t="array" aca="1" ref="GR38" ca="1">IF(SwitchPA=1,_xll.TR(GR$7,GR$6,"Sdate=#1 Period=#2 NULL=BLANK Scale=6",,$D38,$FS$4),GR38)</f>
        <v>3.0864197530864201</v>
      </c>
      <c r="GS38" s="1506" cm="1">
        <f t="array" aca="1" ref="GS38" ca="1">IF(SwitchPA=1,_xll.TR(GS$7,GS$6,"Sdate=#1 Period=#2 NULL=BLANK Scale=6",,$D38,$FS$4),GS38)</f>
        <v>3.65194708403205</v>
      </c>
      <c r="GT38" s="1506" cm="1">
        <f t="array" aca="1" ref="GT38" ca="1">IF(SwitchPA=1,_xll.TR(GT$7,GT$6,"Sdate=#1 Period=#2 NULL=BLANK Scale=6",,$D38,$FS$4),GT38)</f>
        <v>1.6398929049531501</v>
      </c>
      <c r="GU38" s="1506" cm="1">
        <f t="array" aca="1" ref="GU38" ca="1">IF(SwitchPA=1,_xll.TR(GU$7,GU$6,"Sdate=#1 Period=#2 NULL=BLANK Scale=6",,$D38,$FS$4),GU38)</f>
        <v>1.3620604259534399</v>
      </c>
      <c r="GV38" s="1506" cm="1">
        <f t="array" aca="1" ref="GV38" ca="1">IF(SwitchPA=1,_xll.TR(GV$7,GV$6,"Sdate=#1 Period=#2 NULL=BLANK Scale=6",,$D38,$FS$4),GV38)</f>
        <v>2.5722451571927598</v>
      </c>
      <c r="GW38" s="1506" cm="1">
        <f t="array" aca="1" ref="GW38" ca="1">IF(SwitchPA=1,_xll.TR(GW$7,GW$6,"Sdate=#1 Period=#2 NULL=BLANK Scale=6",,$D38,$FS$4),GW38)</f>
        <v>2.2598870056497198</v>
      </c>
      <c r="GX38" s="1506" cm="1">
        <f t="array" aca="1" ref="GX38" ca="1">IF(SwitchPA=1,_xll.TR(GX$7,GX$6,"Sdate=#1 Period=#2 NULL=BLANK Scale=6",,$D38,$FS$4),GX38)</f>
        <v>1.6687209633071001</v>
      </c>
      <c r="GY38" s="1506" cm="1">
        <f t="array" aca="1" ref="GY38" ca="1">IF(SwitchPA=1,_xll.TR(GY$7,GY$6,"Sdate=#1 Period=#2 NULL=BLANK Scale=6",,$D38,$FS$4),GY38)</f>
        <v>1.69787765293383</v>
      </c>
      <c r="GZ38" s="1506" cm="1">
        <f t="array" aca="1" ref="GZ38" ca="1">IF(SwitchPA=1,_xll.TR(GZ$7,GZ$6,"Sdate=#1 Period=#2 NULL=BLANK Scale=6",,$D38,$FS$4),GZ38)</f>
        <v>3.9068908941755498</v>
      </c>
      <c r="HA38" s="1506" t="str" cm="1">
        <f t="array" aca="1" ref="HA38" ca="1">IF(SwitchPA=1,_xll.TR(HA$7,HA$6,"Sdate=#1 Period=#2 NULL=BLANK Scale=6",,$D38,$FS$4),HA38)</f>
        <v/>
      </c>
      <c r="HC38">
        <v>2.56</v>
      </c>
      <c r="HD38">
        <v>56.99</v>
      </c>
      <c r="HE38">
        <v>64.3</v>
      </c>
      <c r="HG38" s="762">
        <f t="shared" si="52"/>
        <v>-0.1873015873015873</v>
      </c>
      <c r="HH38" s="762">
        <f t="shared" si="53"/>
        <v>-0.1263222443660893</v>
      </c>
      <c r="HI38" s="762">
        <f t="shared" si="54"/>
        <v>-9.8682366134006272E-2</v>
      </c>
    </row>
    <row r="39" spans="3:217" ht="11.25" customHeight="1">
      <c r="C39" s="1514">
        <f t="shared" si="51"/>
        <v>44196</v>
      </c>
      <c r="D39" s="1515">
        <f t="shared" si="49"/>
        <v>44241</v>
      </c>
      <c r="E39" s="1506" cm="1">
        <f t="array" aca="1" ref="E39" ca="1">IF(SwitchPA=1,_xll.TR(E$7,E$6,"Sdate=#1 Period=#2 NULL=BLANK",,$D39,$E$4),E39)</f>
        <v>9.8442805486113105</v>
      </c>
      <c r="F39" s="1506" cm="1">
        <f t="array" aca="1" ref="F39" ca="1">IF(SwitchPA=1,_xll.TR(F$7,F$6,"Sdate=#1 Period=#2 NULL=BLANK",,$D39,$E$4),F39)</f>
        <v>10.024387493356899</v>
      </c>
      <c r="G39" s="1506" cm="1">
        <f t="array" aca="1" ref="G39" ca="1">IF(SwitchPA=1,_xll.TR(G$7,G$6,"Sdate=#1 Period=#2 NULL=BLANK",,$D39,$E$4),G39)</f>
        <v>8.8725018858468694</v>
      </c>
      <c r="H39" s="1506" cm="1">
        <f t="array" aca="1" ref="H39" ca="1">IF(SwitchPA=1,_xll.TR(H$7,H$6,"Sdate=#1 Period=#2 NULL=BLANK",,$D39,$E$4),H39)</f>
        <v>7.63776557868092</v>
      </c>
      <c r="I39" s="1506" cm="1">
        <f t="array" aca="1" ref="I39" ca="1">IF(SwitchPA=1,_xll.TR(I$7,I$6,"Sdate=#1 Period=#2 NULL=BLANK",,$D39,$E$4),I39)</f>
        <v>7.7058426015905397</v>
      </c>
      <c r="J39" s="1506" cm="1">
        <f t="array" aca="1" ref="J39" ca="1">IF(SwitchPA=1,_xll.TR(J$7,J$6,"Sdate=#1 Period=#2 NULL=BLANK",,$D39,$E$4),J39)</f>
        <v>7.7008780468462996</v>
      </c>
      <c r="K39" s="1506" cm="1">
        <f t="array" aca="1" ref="K39" ca="1">IF(SwitchPA=1,_xll.TR(K$7,K$6,"Sdate=#1 Period=#2 NULL=BLANK",,$D39,$E$4),K39)</f>
        <v>7.2276842212730799</v>
      </c>
      <c r="L39" s="1506" cm="1">
        <f t="array" aca="1" ref="L39" ca="1">IF(SwitchPA=1,_xll.TR(L$7,L$6,"Sdate=#1 Period=#2 NULL=BLANK",,$D39,$E$4),L39)</f>
        <v>7.8854594778868004</v>
      </c>
      <c r="M39" s="1506" cm="1">
        <f t="array" aca="1" ref="M39" ca="1">IF(SwitchPA=1,_xll.TR(M$7,M$6,"Sdate=#1 Period=#2 NULL=BLANK",,$D39,$E$4),M39)</f>
        <v>12.3292021893394</v>
      </c>
      <c r="N39" s="1506" cm="1">
        <f t="array" aca="1" ref="N39" ca="1">IF(SwitchPA=1,_xll.TR(N$7,N$6,"Sdate=#1 Period=#2 NULL=BLANK",,$D39,$E$4),N39)</f>
        <v>25.3564235770361</v>
      </c>
      <c r="O39" s="1506" cm="1">
        <f t="array" aca="1" ref="O39" ca="1">IF(SwitchPA=1,_xll.TR(O$7,O$6,"Sdate=#1 Period=#2 NULL=BLANK",,$D39,$E$4),O39)</f>
        <v>10.554325660159501</v>
      </c>
      <c r="P39" s="1506" cm="1">
        <f t="array" aca="1" ref="P39" ca="1">IF(SwitchPA=1,_xll.TR(P$7,P$6,"Sdate=#1 Period=#2 NULL=BLANK",,$D39,$E$4),P39)</f>
        <v>10.3904782137223</v>
      </c>
      <c r="Q39" s="1506" cm="1">
        <f t="array" aca="1" ref="Q39" ca="1">IF(SwitchPA=1,_xll.TR(Q$7,Q$6,"Sdate=#1 Period=#2 NULL=BLANK",,$D39,$E$4),Q39)</f>
        <v>15.051721126721599</v>
      </c>
      <c r="R39" s="1506" cm="1">
        <f t="array" aca="1" ref="R39" ca="1">IF(SwitchPA=1,_xll.TR(R$7,R$6,"Sdate=#1 Period=#2 NULL=BLANK",,$D39,$E$4),R39)</f>
        <v>12.1292066819732</v>
      </c>
      <c r="S39" s="1506" cm="1">
        <f t="array" aca="1" ref="S39" ca="1">IF(SwitchPA=1,_xll.TR(S$7,S$6,"Sdate=#1 Period=#2 NULL=BLANK",,$D39,$E$4),S39)</f>
        <v>12.5454715328768</v>
      </c>
      <c r="T39" s="1506" cm="1">
        <f t="array" aca="1" ref="T39" ca="1">IF(SwitchPA=1,_xll.TR(T$7,T$6,"Sdate=#1 Period=#2 NULL=BLANK",,$D39,$E$4),T39)</f>
        <v>6.2284241590031302</v>
      </c>
      <c r="U39" s="1506" t="str" cm="1">
        <f t="array" aca="1" ref="U39" ca="1">IF(SwitchPA=1,_xll.TR(U$7,U$6,"Sdate=#1 Period=#2 NULL=BLANK",,$D39,$E$4),U39)</f>
        <v>No universe defined.</v>
      </c>
      <c r="V39" s="1506" t="str" cm="1">
        <f t="array" aca="1" ref="V39" ca="1">IF(SwitchPA=1,_xll.TR(V$7,V$6,"Sdate=#1 Period=#2 NULL=BLANK",,$D39,$E$4),V39)</f>
        <v>No universe defined.</v>
      </c>
      <c r="W39" s="1521">
        <f t="shared" ca="1" si="55"/>
        <v>0.10952701676114507</v>
      </c>
      <c r="X39" s="1506" cm="1">
        <f t="array" aca="1" ref="X39" ca="1">IF(SwitchPA=1,_xll.TR(X$7,X$6,"Sdate=#1 Period=#2 NULL=BLANK",,$D39,$X$4),X39)</f>
        <v>11.3151378360826</v>
      </c>
      <c r="Y39" s="1506" cm="1">
        <f t="array" aca="1" ref="Y39" ca="1">IF(SwitchPA=1,_xll.TR(Y$7,Y$6,"Sdate=#1 Period=#2 NULL=BLANK",,$D39,$X$4),Y39)</f>
        <v>12.0034688806413</v>
      </c>
      <c r="Z39" s="1506" cm="1">
        <f t="array" aca="1" ref="Z39" ca="1">IF(SwitchPA=1,_xll.TR(Z$7,Z$6,"Sdate=#1 Period=#2 NULL=BLANK",,$D39,$X$4),Z39)</f>
        <v>10.301103077049699</v>
      </c>
      <c r="AA39" s="1506" cm="1">
        <f t="array" aca="1" ref="AA39" ca="1">IF(SwitchPA=1,_xll.TR(AA$7,AA$6,"Sdate=#1 Period=#2 NULL=BLANK",,$D39,$X$4),AA39)</f>
        <v>9.7256863180150894</v>
      </c>
      <c r="AB39" s="1506" cm="1">
        <f t="array" aca="1" ref="AB39" ca="1">IF(SwitchPA=1,_xll.TR(AB$7,AB$6,"Sdate=#1 Period=#2 NULL=BLANK",,$D39,$X$4),AB39)</f>
        <v>11.105565238986699</v>
      </c>
      <c r="AC39" s="1506" cm="1">
        <f t="array" aca="1" ref="AC39" ca="1">IF(SwitchPA=1,_xll.TR(AC$7,AC$6,"Sdate=#1 Period=#2 NULL=BLANK",,$D39,$X$4),AC39)</f>
        <v>12.473474030062199</v>
      </c>
      <c r="AD39" s="1506" cm="1">
        <f t="array" aca="1" ref="AD39" ca="1">IF(SwitchPA=1,_xll.TR(AD$7,AD$6,"Sdate=#1 Period=#2 NULL=BLANK",,$D39,$X$4),AD39)</f>
        <v>8.1261256988602</v>
      </c>
      <c r="AE39" s="1506" cm="1">
        <f t="array" aca="1" ref="AE39" ca="1">IF(SwitchPA=1,_xll.TR(AE$7,AE$6,"Sdate=#1 Period=#2 NULL=BLANK",,$D39,$X$4),AE39)</f>
        <v>11.0055805126474</v>
      </c>
      <c r="AF39" s="1506" cm="1">
        <f t="array" aca="1" ref="AF39" ca="1">IF(SwitchPA=1,_xll.TR(AF$7,AF$6,"Sdate=#1 Period=#2 NULL=BLANK",,$D39,$X$4),AF39)</f>
        <v>13.6109857583214</v>
      </c>
      <c r="AG39" s="1506" cm="1">
        <f t="array" aca="1" ref="AG39" ca="1">IF(SwitchPA=1,_xll.TR(AG$7,AG$6,"Sdate=#1 Period=#2 NULL=BLANK",,$D39,$X$4),AG39)</f>
        <v>27.141463423622099</v>
      </c>
      <c r="AH39" s="1506" cm="1">
        <f t="array" aca="1" ref="AH39" ca="1">IF(SwitchPA=1,_xll.TR(AH$7,AH$6,"Sdate=#1 Period=#2 NULL=BLANK",,$D39,$X$4),AH39)</f>
        <v>12.1046274441295</v>
      </c>
      <c r="AI39" s="1506" cm="1">
        <f t="array" aca="1" ref="AI39" ca="1">IF(SwitchPA=1,_xll.TR(AI$7,AI$6,"Sdate=#1 Period=#2 NULL=BLANK",,$D39,$X$4),AI39)</f>
        <v>13.515567058225599</v>
      </c>
      <c r="AJ39" s="1506" cm="1">
        <f t="array" aca="1" ref="AJ39" ca="1">IF(SwitchPA=1,_xll.TR(AJ$7,AJ$6,"Sdate=#1 Period=#2 NULL=BLANK",,$D39,$X$4),AJ39)</f>
        <v>12.223033875614201</v>
      </c>
      <c r="AK39" s="1506" cm="1">
        <f t="array" aca="1" ref="AK39" ca="1">IF(SwitchPA=1,_xll.TR(AK$7,AK$6,"Sdate=#1 Period=#2 NULL=BLANK",,$D39,$X$4),AK39)</f>
        <v>13.278216534127401</v>
      </c>
      <c r="AL39" s="1506" cm="1">
        <f t="array" aca="1" ref="AL39" ca="1">IF(SwitchPA=1,_xll.TR(AL$7,AL$6,"Sdate=#1 Period=#2 NULL=BLANK",,$D39,$X$4),AL39)</f>
        <v>14.788311645600199</v>
      </c>
      <c r="AM39" s="1506" cm="1">
        <f t="array" aca="1" ref="AM39" ca="1">IF(SwitchPA=1,_xll.TR(AM$7,AM$6,"Sdate=#1 Period=#2 NULL=BLANK",,$D39,$X$4),AM39)</f>
        <v>6.6279294596004998</v>
      </c>
      <c r="AN39" s="1506" t="str" cm="1">
        <f t="array" aca="1" ref="AN39" ca="1">IF(SwitchPA=1,_xll.TR(AN$7,AN$6,"Sdate=#1 Period=#2 NULL=BLANK",,$D39,$X$4),AN39)</f>
        <v/>
      </c>
      <c r="AO39" s="1506" t="str" cm="1">
        <f t="array" aca="1" ref="AO39" ca="1">IF(SwitchPA=1,_xll.TR(AO$7,AO$6,"Sdate=#1 Period=#2 NULL=BLANK",,$D39,$X$4),AO39)</f>
        <v/>
      </c>
      <c r="AQ39" s="1506" cm="1">
        <f t="array" aca="1" ref="AQ39" ca="1">IF(SwitchPA=1,_xll.TR(AQ$7,AQ$6,"Sdate=#1 Period=#2 NULL=BLANK Scale=6",,$D39,$AQ$4),AQ39)</f>
        <v>7.8388866666666699</v>
      </c>
      <c r="AR39" s="1506" cm="1">
        <f t="array" aca="1" ref="AR39" ca="1">IF(SwitchPA=1,_xll.TR(AR$7,AR$6,"Sdate=#1 Period=#2 NULL=BLANK Scale=6",,$D39,$AQ$4),AR39)</f>
        <v>13.827780000000001</v>
      </c>
      <c r="AS39" s="1506" cm="1">
        <f t="array" aca="1" ref="AS39" ca="1">IF(SwitchPA=1,_xll.TR(AS$7,AS$6,"Sdate=#1 Period=#2 NULL=BLANK Scale=6",,$D39,$AQ$4),AS39)</f>
        <v>5.3808333333333298</v>
      </c>
      <c r="AT39" s="1506" cm="1">
        <f t="array" aca="1" ref="AT39" ca="1">IF(SwitchPA=1,_xll.TR(AT$7,AT$6,"Sdate=#1 Period=#2 NULL=BLANK Scale=6",,$D39,$AQ$4),AT39)</f>
        <v>4.26444166666667</v>
      </c>
      <c r="AU39" s="1506" cm="1">
        <f t="array" aca="1" ref="AU39" ca="1">IF(SwitchPA=1,_xll.TR(AU$7,AU$6,"Sdate=#1 Period=#2 NULL=BLANK Scale=6",,$D39,$AQ$4),AU39)</f>
        <v>9.0388916666666699</v>
      </c>
      <c r="AV39" s="1506" cm="1">
        <f t="array" aca="1" ref="AV39" ca="1">IF(SwitchPA=1,_xll.TR(AV$7,AV$6,"Sdate=#1 Period=#2 NULL=BLANK Scale=6",,$D39,$AQ$4),AV39)</f>
        <v>-9.65</v>
      </c>
      <c r="AW39" s="1506" cm="1">
        <f t="array" aca="1" ref="AW39" ca="1">IF(SwitchPA=1,_xll.TR(AW$7,AW$6,"Sdate=#1 Period=#2 NULL=BLANK Scale=6",,$D39,$AQ$4),AW39)</f>
        <v>5.3655583333333299</v>
      </c>
      <c r="AX39" s="1506" cm="1">
        <f t="array" aca="1" ref="AX39" ca="1">IF(SwitchPA=1,_xll.TR(AX$7,AX$6,"Sdate=#1 Period=#2 NULL=BLANK Scale=6",,$D39,$AQ$4),AX39)</f>
        <v>9.4499999999999993</v>
      </c>
      <c r="AY39" s="1506" cm="1">
        <f t="array" aca="1" ref="AY39" ca="1">IF(SwitchPA=1,_xll.TR(AY$7,AY$6,"Sdate=#1 Period=#2 NULL=BLANK Scale=6",,$D39,$AQ$4),AY39)</f>
        <v>14.55</v>
      </c>
      <c r="AZ39" s="1506" cm="1">
        <f t="array" aca="1" ref="AZ39" ca="1">IF(SwitchPA=1,_xll.TR(AZ$7,AZ$6,"Sdate=#1 Period=#2 NULL=BLANK Scale=6",,$D39,$AQ$4),AZ39)</f>
        <v>6.2611083333333299</v>
      </c>
      <c r="BA39" s="1506" t="str" cm="1">
        <f t="array" aca="1" ref="BA39" ca="1">IF(SwitchPA=1,_xll.TR(BA$7,BA$6,"Sdate=#1 Period=#2 NULL=BLANK Scale=6",,$D39,$AQ$4),BA39)</f>
        <v/>
      </c>
      <c r="BB39" s="1506" cm="1">
        <f t="array" aca="1" ref="BB39" ca="1">IF(SwitchPA=1,_xll.TR(BB$7,BB$6,"Sdate=#1 Period=#2 NULL=BLANK Scale=6",,$D39,$AQ$4),BB39)</f>
        <v>5.5166666666666702</v>
      </c>
      <c r="BC39" s="1506" cm="1">
        <f t="array" aca="1" ref="BC39" ca="1">IF(SwitchPA=1,_xll.TR(BC$7,BC$6,"Sdate=#1 Period=#2 NULL=BLANK Scale=6",,$D39,$AQ$4),BC39)</f>
        <v>16.570833333333301</v>
      </c>
      <c r="BD39" s="1506" cm="1">
        <f t="array" aca="1" ref="BD39" ca="1">IF(SwitchPA=1,_xll.TR(BD$7,BD$6,"Sdate=#1 Period=#2 NULL=BLANK Scale=6",,$D39,$AQ$4),BD39)</f>
        <v>20.716666666666701</v>
      </c>
      <c r="BE39" s="1506" cm="1">
        <f t="array" aca="1" ref="BE39" ca="1">IF(SwitchPA=1,_xll.TR(BE$7,BE$6,"Sdate=#1 Period=#2 NULL=BLANK Scale=6",,$D39,$AQ$4),BE39)</f>
        <v>11.577775000000001</v>
      </c>
      <c r="BF39" s="1506" cm="1">
        <f t="array" aca="1" ref="BF39" ca="1">IF(SwitchPA=1,_xll.TR(BF$7,BF$6,"Sdate=#1 Period=#2 NULL=BLANK Scale=6",,$D39,$AQ$4),BF39)</f>
        <v>8.7333333333333307</v>
      </c>
      <c r="BG39" s="1506" t="str" cm="1">
        <f t="array" aca="1" ref="BG39" ca="1">IF(SwitchPA=1,_xll.TR(BG$7,BG$6,"Sdate=#1 Period=#2 NULL=BLANK Scale=6",,$D39,$AQ$4),BG39)</f>
        <v/>
      </c>
      <c r="BH39" s="1506" t="str" cm="1">
        <f t="array" aca="1" ref="BH39" ca="1">IF(SwitchPA=1,_xll.TR(BH$7,BH$6,"Sdate=#1 Period=#2 NULL=BLANK Scale=6",,$D39,$AQ$4),BH39)</f>
        <v/>
      </c>
      <c r="BJ39" s="1506" cm="1">
        <f t="array" aca="1" ref="BJ39" ca="1">IF(SwitchPA=1,_xll.TR(BJ$7,BJ$6,"Sdate=#1 Period=#2 NULL=BLANK Scale=6",,$D39,$BJ$4),BJ39)</f>
        <v>11.585840226</v>
      </c>
      <c r="BK39" s="1506" cm="1">
        <f t="array" aca="1" ref="BK39" ca="1">IF(SwitchPA=1,_xll.TR(BK$7,BK$6,"Sdate=#1 Period=#2 NULL=BLANK Scale=6",,$D39,$BJ$4),BK39)</f>
        <v>16.565510155999998</v>
      </c>
      <c r="BL39" s="1506" cm="1">
        <f t="array" aca="1" ref="BL39" ca="1">IF(SwitchPA=1,_xll.TR(BL$7,BL$6,"Sdate=#1 Period=#2 NULL=BLANK Scale=6",,$D39,$BJ$4),BL39)</f>
        <v>7.723410758</v>
      </c>
      <c r="BM39" s="1506" cm="1">
        <f t="array" aca="1" ref="BM39" ca="1">IF(SwitchPA=1,_xll.TR(BM$7,BM$6,"Sdate=#1 Period=#2 NULL=BLANK Scale=6",,$D39,$BJ$4),BM39)</f>
        <v>9.3192508200000006</v>
      </c>
      <c r="BN39" s="1506" cm="1">
        <f t="array" aca="1" ref="BN39" ca="1">IF(SwitchPA=1,_xll.TR(BN$7,BN$6,"Sdate=#1 Period=#2 NULL=BLANK Scale=6",,$D39,$BJ$4),BN39)</f>
        <v>11.978385916000001</v>
      </c>
      <c r="BO39" s="1506" cm="1">
        <f t="array" aca="1" ref="BO39" ca="1">IF(SwitchPA=1,_xll.TR(BO$7,BO$6,"Sdate=#1 Period=#2 NULL=BLANK Scale=6",,$D39,$BJ$4),BO39)</f>
        <v>18.388118630000001</v>
      </c>
      <c r="BP39" s="1506" cm="1">
        <f t="array" aca="1" ref="BP39" ca="1">IF(SwitchPA=1,_xll.TR(BP$7,BP$6,"Sdate=#1 Period=#2 NULL=BLANK Scale=6",,$D39,$BJ$4),BP39)</f>
        <v>8.7380011040000003</v>
      </c>
      <c r="BQ39" s="1506" cm="1">
        <f t="array" aca="1" ref="BQ39" ca="1">IF(SwitchPA=1,_xll.TR(BQ$7,BQ$6,"Sdate=#1 Period=#2 NULL=BLANK Scale=6",,$D39,$BJ$4),BQ39)</f>
        <v>15.823261713000001</v>
      </c>
      <c r="BR39" s="1506" cm="1">
        <f t="array" aca="1" ref="BR39" ca="1">IF(SwitchPA=1,_xll.TR(BR$7,BR$6,"Sdate=#1 Period=#2 NULL=BLANK Scale=6",,$D39,$BJ$4),BR39)</f>
        <v>13.132890056999999</v>
      </c>
      <c r="BS39" s="1506" cm="1">
        <f t="array" aca="1" ref="BS39" ca="1">IF(SwitchPA=1,_xll.TR(BS$7,BS$6,"Sdate=#1 Period=#2 NULL=BLANK Scale=6",,$D39,$BJ$4),BS39)</f>
        <v>28.770860880000001</v>
      </c>
      <c r="BT39" s="1506" cm="1">
        <f t="array" aca="1" ref="BT39" ca="1">IF(SwitchPA=1,_xll.TR(BT$7,BT$6,"Sdate=#1 Period=#2 NULL=BLANK Scale=6",,$D39,$BJ$4),BT39)</f>
        <v>15.704306981</v>
      </c>
      <c r="BU39" s="1506" cm="1">
        <f t="array" aca="1" ref="BU39" ca="1">IF(SwitchPA=1,_xll.TR(BU$7,BU$6,"Sdate=#1 Period=#2 NULL=BLANK Scale=6",,$D39,$BJ$4),BU39)</f>
        <v>18.907038031999999</v>
      </c>
      <c r="BV39" s="1506" cm="1">
        <f t="array" aca="1" ref="BV39" ca="1">IF(SwitchPA=1,_xll.TR(BV$7,BV$6,"Sdate=#1 Period=#2 NULL=BLANK Scale=6",,$D39,$BJ$4),BV39)</f>
        <v>61.799814019000003</v>
      </c>
      <c r="BW39" s="1506" cm="1">
        <f t="array" aca="1" ref="BW39" ca="1">IF(SwitchPA=1,_xll.TR(BW$7,BW$6,"Sdate=#1 Period=#2 NULL=BLANK Scale=6",,$D39,$BJ$4),BW39)</f>
        <v>14.429335570999999</v>
      </c>
      <c r="BX39" s="1506" cm="1">
        <f t="array" aca="1" ref="BX39" ca="1">IF(SwitchPA=1,_xll.TR(BX$7,BX$6,"Sdate=#1 Period=#2 NULL=BLANK Scale=6",,$D39,$BJ$4),BX39)</f>
        <v>16.364457595000001</v>
      </c>
      <c r="BY39" s="1506" cm="1">
        <f t="array" aca="1" ref="BY39" ca="1">IF(SwitchPA=1,_xll.TR(BY$7,BY$6,"Sdate=#1 Period=#2 NULL=BLANK Scale=6",,$D39,$BJ$4),BY39)</f>
        <v>3.8077576099999999</v>
      </c>
      <c r="BZ39" s="1506" t="str" cm="1">
        <f t="array" aca="1" ref="BZ39" ca="1">IF(SwitchPA=1,_xll.TR(BZ$7,BZ$6,"Sdate=#1 Period=#2 NULL=BLANK Scale=6",,$D39,$BJ$4),BZ39)</f>
        <v/>
      </c>
      <c r="CA39" s="1506" t="str" cm="1">
        <f t="array" aca="1" ref="CA39" ca="1">IF(SwitchPA=1,_xll.TR(CA$7,CA$6,"Sdate=#1 Period=#2 NULL=BLANK Scale=6",,$D39,$BJ$4),CA39)</f>
        <v/>
      </c>
      <c r="CC39" s="1506" cm="1">
        <f t="array" aca="1" ref="CC39" ca="1">IF(SwitchPA=1,_xll.TR(CC$7,CC$6,"Sdate=#1 Period=#2 NULL=BLANK Scale=6",,$D39,$CC$4),CC39)</f>
        <v>8473</v>
      </c>
      <c r="CD39" s="1506" cm="1">
        <f t="array" aca="1" ref="CD39" ca="1">IF(SwitchPA=1,_xll.TR(CD$7,CD$6,"Sdate=#1 Period=#2 NULL=BLANK Scale=6",,$D39,$CC$4),CD39)</f>
        <v>5655</v>
      </c>
      <c r="CE39" s="1506" cm="1">
        <f t="array" aca="1" ref="CE39" ca="1">IF(SwitchPA=1,_xll.TR(CE$7,CE$6,"Sdate=#1 Period=#2 NULL=BLANK Scale=6",,$D39,$CC$4),CE39)</f>
        <v>59149</v>
      </c>
      <c r="CF39" s="1506" cm="1">
        <f t="array" aca="1" ref="CF39" ca="1">IF(SwitchPA=1,_xll.TR(CF$7,CF$6,"Sdate=#1 Period=#2 NULL=BLANK Scale=6",,$D39,$CC$4),CF39)</f>
        <v>38542</v>
      </c>
      <c r="CG39" s="1506" cm="1">
        <f t="array" aca="1" ref="CG39" ca="1">IF(SwitchPA=1,_xll.TR(CG$7,CG$6,"Sdate=#1 Period=#2 NULL=BLANK Scale=6",,$D39,$CC$4),CG39)</f>
        <v>27753</v>
      </c>
      <c r="CH39" s="1506" cm="1">
        <f t="array" aca="1" ref="CH39" ca="1">IF(SwitchPA=1,_xll.TR(CH$7,CH$6,"Sdate=#1 Period=#2 NULL=BLANK Scale=6",,$D39,$CC$4),CH39)</f>
        <v>5758</v>
      </c>
      <c r="CI39" s="1506" t="str" cm="1">
        <f t="array" aca="1" ref="CI39" ca="1">IF(SwitchPA=1,_xll.TR(CI$7,CI$6,"Sdate=#1 Period=#2 NULL=BLANK Scale=6",,$D39,$CC$4),CI39)</f>
        <v/>
      </c>
      <c r="CJ39" s="1506" cm="1">
        <f t="array" aca="1" ref="CJ39" ca="1">IF(SwitchPA=1,_xll.TR(CJ$7,CJ$6,"Sdate=#1 Period=#2 NULL=BLANK Scale=6",,$D39,$CC$4),CJ39)</f>
        <v>6018</v>
      </c>
      <c r="CK39" s="1506" cm="1">
        <f t="array" aca="1" ref="CK39" ca="1">IF(SwitchPA=1,_xll.TR(CK$7,CK$6,"Sdate=#1 Period=#2 NULL=BLANK Scale=6",,$D39,$CC$4),CK39)</f>
        <v>32184</v>
      </c>
      <c r="CL39" s="1506" cm="1">
        <f t="array" aca="1" ref="CL39" ca="1">IF(SwitchPA=1,_xll.TR(CL$7,CL$6,"Sdate=#1 Period=#2 NULL=BLANK Scale=6",,$D39,$CC$4),CL39)</f>
        <v>3242.326</v>
      </c>
      <c r="CM39" s="1506" cm="1">
        <f t="array" aca="1" ref="CM39" ca="1">IF(SwitchPA=1,_xll.TR(CM$7,CM$6,"Sdate=#1 Period=#2 NULL=BLANK Scale=6",,$D39,$CC$4),CM39)</f>
        <v>1951</v>
      </c>
      <c r="CN39" s="1506" cm="1">
        <f t="array" aca="1" ref="CN39" ca="1">IF(SwitchPA=1,_xll.TR(CN$7,CN$6,"Sdate=#1 Period=#2 NULL=BLANK Scale=6",,$D39,$CC$4),CN39)</f>
        <v>3242.1</v>
      </c>
      <c r="CO39" s="1506" cm="1">
        <f t="array" aca="1" ref="CO39" ca="1">IF(SwitchPA=1,_xll.TR(CO$7,CO$6,"Sdate=#1 Period=#2 NULL=BLANK Scale=6",,$D39,$CC$4),CO39)</f>
        <v>11128</v>
      </c>
      <c r="CP39" s="1506" cm="1">
        <f t="array" aca="1" ref="CP39" ca="1">IF(SwitchPA=1,_xll.TR(CP$7,CP$6,"Sdate=#1 Period=#2 NULL=BLANK Scale=6",,$D39,$CC$4),CP39)</f>
        <v>4642.1000000000004</v>
      </c>
      <c r="CQ39" s="1506" cm="1">
        <f t="array" aca="1" ref="CQ39" ca="1">IF(SwitchPA=1,_xll.TR(CQ$7,CQ$6,"Sdate=#1 Period=#2 NULL=BLANK Scale=6",,$D39,$CC$4),CQ39)</f>
        <v>13834</v>
      </c>
      <c r="CR39" s="1506" cm="1">
        <f t="array" aca="1" ref="CR39" ca="1">IF(SwitchPA=1,_xll.TR(CR$7,CR$6,"Sdate=#1 Period=#2 NULL=BLANK Scale=6",,$D39,$CC$4),CR39)</f>
        <v>10006</v>
      </c>
      <c r="CS39" s="1506" t="str" cm="1">
        <f t="array" aca="1" ref="CS39" ca="1">IF(SwitchPA=1,_xll.TR(CS$7,CS$6,"Sdate=#1 Period=#2 NULL=BLANK Scale=6",,$D39,$CC$4),CS39)</f>
        <v>Unable to resolve all requested identifiers.</v>
      </c>
      <c r="CT39" s="1506" t="str" cm="1">
        <f t="array" aca="1" ref="CT39" ca="1">IF(SwitchPA=1,_xll.TR(CT$7,CT$6,"Sdate=#1 Period=#2 NULL=BLANK Scale=6",,$D39,$CC$4),CT39)</f>
        <v>Unable to resolve all requested identifiers.</v>
      </c>
      <c r="CU39" s="1002"/>
      <c r="CV39" s="1516" cm="1">
        <f t="array" aca="1" ref="CV39" ca="1">IF(SwitchPA=1,_xll.TR(CV$7,CV$6,"Sdate=#1 Period=#2 NULL=BLANK Scale=6",,$D39,$AQ$4),CV39)</f>
        <v>5682.75</v>
      </c>
      <c r="CW39" s="1516" cm="1">
        <f t="array" aca="1" ref="CW39" ca="1">IF(SwitchPA=1,_xll.TR(CW$7,CW$6,"Sdate=#1 Period=#2 NULL=BLANK Scale=6",,$D39,$AQ$4),CW39)</f>
        <v>4009.25</v>
      </c>
      <c r="CX39" s="1516" cm="1">
        <f t="array" aca="1" ref="CX39" ca="1">IF(SwitchPA=1,_xll.TR(CX$7,CX$6,"Sdate=#1 Period=#2 NULL=BLANK Scale=6",,$D39,$AQ$4),CX39)</f>
        <v>20807.25</v>
      </c>
      <c r="CY39" s="1516" cm="1">
        <f t="array" aca="1" ref="CY39" ca="1">IF(SwitchPA=1,_xll.TR(CY$7,CY$6,"Sdate=#1 Period=#2 NULL=BLANK Scale=6",,$D39,$AQ$4),CY39)</f>
        <v>22391</v>
      </c>
      <c r="CZ39" s="1516" cm="1">
        <f t="array" aca="1" ref="CZ39" ca="1">IF(SwitchPA=1,_xll.TR(CZ$7,CZ$6,"Sdate=#1 Period=#2 NULL=BLANK Scale=6",,$D39,$AQ$4),CZ39)</f>
        <v>15797</v>
      </c>
      <c r="DA39" s="1516" cm="1">
        <f t="array" aca="1" ref="DA39" ca="1">IF(SwitchPA=1,_xll.TR(DA$7,DA$6,"Sdate=#1 Period=#2 NULL=BLANK Scale=6",,$D39,$AQ$4),DA39)</f>
        <v>3585.85</v>
      </c>
      <c r="DB39" s="1516" t="str" cm="1">
        <f t="array" aca="1" ref="DB39" ca="1">IF(SwitchPA=1,_xll.TR(DB$7,DB$6,"Sdate=#1 Period=#2 NULL=BLANK Scale=6",,$D39,$AQ$4),DB39)</f>
        <v/>
      </c>
      <c r="DC39" s="1516" cm="1">
        <f t="array" aca="1" ref="DC39" ca="1">IF(SwitchPA=1,_xll.TR(DC$7,DC$6,"Sdate=#1 Period=#2 NULL=BLANK Scale=6",,$D39,$AQ$4),DC39)</f>
        <v>2867.5</v>
      </c>
      <c r="DD39" s="1516" cm="1">
        <f t="array" aca="1" ref="DD39" ca="1">IF(SwitchPA=1,_xll.TR(DD$7,DD$6,"Sdate=#1 Period=#2 NULL=BLANK Scale=6",,$D39,$AQ$4),DD39)</f>
        <v>10072</v>
      </c>
      <c r="DE39" s="1516" cm="1">
        <f t="array" aca="1" ref="DE39" ca="1">IF(SwitchPA=1,_xll.TR(DE$7,DE$6,"Sdate=#1 Period=#2 NULL=BLANK Scale=6",,$D39,$AQ$4),DE39)</f>
        <v>5214.8002500000002</v>
      </c>
      <c r="DF39" s="1516" cm="1">
        <f t="array" aca="1" ref="DF39" ca="1">IF(SwitchPA=1,_xll.TR(DF$7,DF$6,"Sdate=#1 Period=#2 NULL=BLANK Scale=6",,$D39,$AQ$4),DF39)</f>
        <v>1700.75</v>
      </c>
      <c r="DG39" s="1516" cm="1">
        <f t="array" aca="1" ref="DG39" ca="1">IF(SwitchPA=1,_xll.TR(DG$7,DG$6,"Sdate=#1 Period=#2 NULL=BLANK Scale=6",,$D39,$AQ$4),DG39)</f>
        <v>614.32500000000005</v>
      </c>
      <c r="DH39" s="1516" cm="1">
        <f t="array" aca="1" ref="DH39" ca="1">IF(SwitchPA=1,_xll.TR(DH$7,DH$6,"Sdate=#1 Period=#2 NULL=BLANK Scale=6",,$D39,$AQ$4),DH39)</f>
        <v>9645.75</v>
      </c>
      <c r="DI39" s="1516" cm="1">
        <f t="array" aca="1" ref="DI39" ca="1">IF(SwitchPA=1,_xll.TR(DI$7,DI$6,"Sdate=#1 Period=#2 NULL=BLANK Scale=6",,$D39,$AQ$4),DI39)</f>
        <v>896.1</v>
      </c>
      <c r="DJ39" s="1516" cm="1">
        <f t="array" aca="1" ref="DJ39" ca="1">IF(SwitchPA=1,_xll.TR(DJ$7,DJ$6,"Sdate=#1 Period=#2 NULL=BLANK Scale=6",,$D39,$AQ$4),DJ39)</f>
        <v>3759.5</v>
      </c>
      <c r="DK39" s="1516" cm="1">
        <f t="array" aca="1" ref="DK39" ca="1">IF(SwitchPA=1,_xll.TR(DK$7,DK$6,"Sdate=#1 Period=#2 NULL=BLANK Scale=6",,$D39,$AQ$4),DK39)</f>
        <v>5618.5</v>
      </c>
      <c r="DL39" s="1516" t="str" cm="1">
        <f t="array" aca="1" ref="DL39" ca="1">IF(SwitchPA=1,_xll.TR(DL$7,DL$6,"Sdate=#1 Period=#2 NULL=BLANK Scale=6",,$D39,$AQ$4),DL39)</f>
        <v>Unable to resolve all requested identifiers.</v>
      </c>
      <c r="DM39" s="1516" t="str" cm="1">
        <f t="array" aca="1" ref="DM39" ca="1">IF(SwitchPA=1,_xll.TR(DM$7,DM$6,"Sdate=#1 Period=#2 NULL=BLANK Scale=6",,$D39,$AQ$4),DM39)</f>
        <v>Unable to resolve all requested identifiers.</v>
      </c>
      <c r="DO39" s="1506" cm="1">
        <f t="array" aca="1" ref="DO39" ca="1">IF(SwitchPA=1,_xll.TR(DO$7,DO$6,"Sdate=#1 Period=#2 Scale=6 NULL=BLANK",,$D39,$X$4),DO39)</f>
        <v>20136.19031242</v>
      </c>
      <c r="DP39" s="1506" cm="1">
        <f t="array" aca="1" ref="DP39" ca="1">IF(SwitchPA=1,_xll.TR(DP$7,DP$6,"Sdate=#1 Period=#2 Scale=6 NULL=BLANK",,$D39,$X$4),DP39)</f>
        <v>17758.226887280001</v>
      </c>
      <c r="DQ39" s="1506" cm="1">
        <f t="array" aca="1" ref="DQ39" ca="1">IF(SwitchPA=1,_xll.TR(DQ$7,DQ$6,"Sdate=#1 Period=#2 Scale=6 NULL=BLANK",,$D39,$X$4),DQ39)</f>
        <v>77774.746333079995</v>
      </c>
      <c r="DR39" s="1506" cm="1">
        <f t="array" aca="1" ref="DR39" ca="1">IF(SwitchPA=1,_xll.TR(DR$7,DR$6,"Sdate=#1 Period=#2 Scale=6 NULL=BLANK",,$D39,$X$4),DR39)</f>
        <v>55831.631664</v>
      </c>
      <c r="DS39" s="1506" cm="1">
        <f t="array" aca="1" ref="DS39" ca="1">IF(SwitchPA=1,_xll.TR(DS$7,DS$6,"Sdate=#1 Period=#2 Scale=6 NULL=BLANK",,$D39,$X$4),DS39)</f>
        <v>43792.978909099998</v>
      </c>
      <c r="DT39" s="1506" cm="1">
        <f t="array" aca="1" ref="DT39" ca="1">IF(SwitchPA=1,_xll.TR(DT$7,DT$6,"Sdate=#1 Period=#2 Scale=6 NULL=BLANK",,$D39,$X$4),DT39)</f>
        <v>8223.1666511999993</v>
      </c>
      <c r="DU39" s="1506" cm="1">
        <f t="array" aca="1" ref="DU39" ca="1">IF(SwitchPA=1,_xll.TR(DU$7,DU$6,"Sdate=#1 Period=#2 Scale=6 NULL=BLANK",,$D39,$X$4),DU39)</f>
        <v>15824.52</v>
      </c>
      <c r="DV39" s="1506" cm="1">
        <f t="array" aca="1" ref="DV39" ca="1">IF(SwitchPA=1,_xll.TR(DV$7,DV$6,"Sdate=#1 Period=#2 Scale=6 NULL=BLANK",,$D39,$X$4),DV39)</f>
        <v>7436.9330051200004</v>
      </c>
      <c r="DW39" s="1506" cm="1">
        <f t="array" aca="1" ref="DW39" ca="1">IF(SwitchPA=1,_xll.TR(DW$7,DW$6,"Sdate=#1 Period=#2 Scale=6 NULL=BLANK",,$D39,$X$4),DW39)</f>
        <v>117421.17</v>
      </c>
      <c r="DX39" s="1506" cm="1">
        <f t="array" aca="1" ref="DX39" ca="1">IF(SwitchPA=1,_xll.TR(DX$7,DX$6,"Sdate=#1 Period=#2 Scale=6 NULL=BLANK",,$D39,$X$4),DX39)</f>
        <v>22245.111756959999</v>
      </c>
      <c r="DY39" s="1506" cm="1">
        <f t="array" aca="1" ref="DY39" ca="1">IF(SwitchPA=1,_xll.TR(DY$7,DY$6,"Sdate=#1 Period=#2 Scale=6 NULL=BLANK",,$D39,$X$4),DY39)</f>
        <v>6595.80893216</v>
      </c>
      <c r="DZ39" s="1506" cm="1">
        <f t="array" aca="1" ref="DZ39" ca="1">IF(SwitchPA=1,_xll.TR(DZ$7,DZ$6,"Sdate=#1 Period=#2 Scale=6 NULL=BLANK",,$D39,$X$4),DZ39)</f>
        <v>5343.12894796</v>
      </c>
      <c r="EA39" s="1506" cm="1">
        <f t="array" aca="1" ref="EA39" ca="1">IF(SwitchPA=1,_xll.TR(EA$7,EA$6,"Sdate=#1 Period=#2 Scale=6 NULL=BLANK",,$D39,$X$4),EA39)</f>
        <v>59204.221830579998</v>
      </c>
      <c r="EB39" s="1506" cm="1">
        <f t="array" aca="1" ref="EB39" ca="1">IF(SwitchPA=1,_xll.TR(EB$7,EB$6,"Sdate=#1 Period=#2 Scale=6 NULL=BLANK",,$D39,$X$4),EB39)</f>
        <v>16877.993817440001</v>
      </c>
      <c r="EC39" s="1506" cm="1">
        <f t="array" aca="1" ref="EC39" ca="1">IF(SwitchPA=1,_xll.TR(EC$7,EC$6,"Sdate=#1 Period=#2 Scale=6 NULL=BLANK",,$D39,$X$4),EC39)</f>
        <v>36329.095860250003</v>
      </c>
      <c r="ED39" s="1506" cm="1">
        <f t="array" aca="1" ref="ED39" ca="1">IF(SwitchPA=1,_xll.TR(ED$7,ED$6,"Sdate=#1 Period=#2 Scale=6 NULL=BLANK",,$D39,$X$4),ED39)</f>
        <v>12904.49053952</v>
      </c>
      <c r="EE39" s="1506" t="str" cm="1">
        <f t="array" aca="1" ref="EE39" ca="1">IF(SwitchPA=1,_xll.TR(EE$7,EE$6,"Sdate=#1 Period=#2 Scale=6 NULL=BLANK",,$D39,$X$4),EE39)</f>
        <v/>
      </c>
      <c r="EF39" s="1506" t="str" cm="1">
        <f t="array" aca="1" ref="EF39" ca="1">IF(SwitchPA=1,_xll.TR(EF$7,EF$6,"Sdate=#1 Period=#2 Scale=6 NULL=BLANK",,$D39,$X$4),EF39)</f>
        <v/>
      </c>
      <c r="EG39" s="1517"/>
      <c r="EH39" s="1506" cm="1">
        <f t="array" aca="1" ref="EH39" ca="1">IF(SwitchPA=1,_xll.TR(EH$7,EH$6,"Sdate=#1 Period=#2 Scale=6 NULL=BLANK",,$D39,$X$4),EH39)</f>
        <v>964</v>
      </c>
      <c r="EI39" s="1506" cm="1">
        <f t="array" aca="1" ref="EI39" ca="1">IF(SwitchPA=1,_xll.TR(EI$7,EI$6,"Sdate=#1 Period=#2 Scale=6 NULL=BLANK",,$D39,$X$4),EI39)</f>
        <v>716</v>
      </c>
      <c r="EJ39" s="1506" cm="1">
        <f t="array" aca="1" ref="EJ39" ca="1">IF(SwitchPA=1,_xll.TR(EJ$7,EJ$6,"Sdate=#1 Period=#2 Scale=6 NULL=BLANK",,$D39,$X$4),EJ39)</f>
        <v>3340</v>
      </c>
      <c r="EK39" s="1506" cm="1">
        <f t="array" aca="1" ref="EK39" ca="1">IF(SwitchPA=1,_xll.TR(EK$7,EK$6,"Sdate=#1 Period=#2 Scale=6 NULL=BLANK",,$D39,$X$4),EK39)</f>
        <v>3117</v>
      </c>
      <c r="EL39" s="1506" cm="1">
        <f t="array" aca="1" ref="EL39" ca="1">IF(SwitchPA=1,_xll.TR(EL$7,EL$6,"Sdate=#1 Period=#2 Scale=6 NULL=BLANK",,$D39,$X$4),EL39)</f>
        <v>2197</v>
      </c>
      <c r="EM39" s="1506" cm="1">
        <f t="array" aca="1" ref="EM39" ca="1">IF(SwitchPA=1,_xll.TR(EM$7,EM$6,"Sdate=#1 Period=#2 Scale=6 NULL=BLANK",,$D39,$X$4),EM39)</f>
        <v>-44.4</v>
      </c>
      <c r="EN39" s="1506" t="str" cm="1">
        <f t="array" aca="1" ref="EN39" ca="1">IF(SwitchPA=1,_xll.TR(EN$7,EN$6,"Sdate=#1 Period=#2 Scale=6 NULL=BLANK",,$D39,$X$4),EN39)</f>
        <v/>
      </c>
      <c r="EO39" s="1506" cm="1">
        <f t="array" aca="1" ref="EO39" ca="1">IF(SwitchPA=1,_xll.TR(EO$7,EO$6,"Sdate=#1 Period=#2 Scale=6 NULL=BLANK",,$D39,$X$4),EO39)</f>
        <v>238</v>
      </c>
      <c r="EP39" s="1506" cm="1">
        <f t="array" aca="1" ref="EP39" ca="1">IF(SwitchPA=1,_xll.TR(EP$7,EP$6,"Sdate=#1 Period=#2 Scale=6 NULL=BLANK",,$D39,$X$4),EP39)</f>
        <v>7030</v>
      </c>
      <c r="EQ39" s="1506" cm="1">
        <f t="array" aca="1" ref="EQ39" ca="1">IF(SwitchPA=1,_xll.TR(EQ$7,EQ$6,"Sdate=#1 Period=#2 Scale=6 NULL=BLANK",,$D39,$X$4),EQ39)</f>
        <v>546.202</v>
      </c>
      <c r="ER39" s="1506" cm="1">
        <f t="array" aca="1" ref="ER39" ca="1">IF(SwitchPA=1,_xll.TR(ER$7,ER$6,"Sdate=#1 Period=#2 Scale=6 NULL=BLANK",,$D39,$X$4),ER39)</f>
        <v>183</v>
      </c>
      <c r="ES39" s="1506" cm="1">
        <f t="array" aca="1" ref="ES39" ca="1">IF(SwitchPA=1,_xll.TR(ES$7,ES$6,"Sdate=#1 Period=#2 Scale=6 NULL=BLANK",,$D39,$X$4),ES39)</f>
        <v>240.7</v>
      </c>
      <c r="ET39" s="1506" cm="1">
        <f t="array" aca="1" ref="ET39" ca="1">IF(SwitchPA=1,_xll.TR(ET$7,ET$6,"Sdate=#1 Period=#2 Scale=6 NULL=BLANK",,$D39,$X$4),ET39)</f>
        <v>1490</v>
      </c>
      <c r="EU39" s="1506" cm="1">
        <f t="array" aca="1" ref="EU39" ca="1">IF(SwitchPA=1,_xll.TR(EU$7,EU$6,"Sdate=#1 Period=#2 Scale=6 NULL=BLANK",,$D39,$X$4),EU39)</f>
        <v>1063.7</v>
      </c>
      <c r="EV39" s="1506" cm="1">
        <f t="array" aca="1" ref="EV39" ca="1">IF(SwitchPA=1,_xll.TR(EV$7,EV$6,"Sdate=#1 Period=#2 Scale=6 NULL=BLANK",,$D39,$X$4),EV39)</f>
        <v>1776</v>
      </c>
      <c r="EW39" s="1506" cm="1">
        <f t="array" aca="1" ref="EW39" ca="1">IF(SwitchPA=1,_xll.TR(EW$7,EW$6,"Sdate=#1 Period=#2 Scale=6 NULL=BLANK",,$D39,$X$4),EW39)</f>
        <v>890</v>
      </c>
      <c r="EX39" s="1506" t="str" cm="1">
        <f t="array" aca="1" ref="EX39" ca="1">IF(SwitchPA=1,_xll.TR(EX$7,EX$6,"Sdate=#1 Period=#2 Scale=6 NULL=BLANK",,$D39,$X$4),EX39)</f>
        <v>Unable to resolve all requested identifiers.</v>
      </c>
      <c r="EY39" s="1506" t="str" cm="1">
        <f t="array" aca="1" ref="EY39" ca="1">IF(SwitchPA=1,_xll.TR(EY$7,EY$6,"Sdate=#1 Period=#2 Scale=6 NULL=BLANK",,$D39,$X$4),EY39)</f>
        <v>Unable to resolve all requested identifiers.</v>
      </c>
      <c r="FA39" s="1506" cm="1">
        <f t="array" aca="1" ref="FA39" ca="1">IF(SwitchPA=1,_xll.TR(FA$7,FA$6,"Sdate=#1 Period=#2 Scale=6 NULL=BLANK",,$D39,$X$4),FA39)</f>
        <v>1538</v>
      </c>
      <c r="FB39" s="1506" cm="1">
        <f t="array" aca="1" ref="FB39" ca="1">IF(SwitchPA=1,_xll.TR(FB$7,FB$6,"Sdate=#1 Period=#2 Scale=6 NULL=BLANK",,$D39,$X$4),FB39)</f>
        <v>1072</v>
      </c>
      <c r="FC39" s="1506" cm="1">
        <f t="array" aca="1" ref="FC39" ca="1">IF(SwitchPA=1,_xll.TR(FC$7,FC$6,"Sdate=#1 Period=#2 Scale=6 NULL=BLANK",,$D39,$X$4),FC39)</f>
        <v>10091</v>
      </c>
      <c r="FD39" s="1506" cm="1">
        <f t="array" aca="1" ref="FD39" ca="1">IF(SwitchPA=1,_xll.TR(FD$7,FD$6,"Sdate=#1 Period=#2 Scale=6 NULL=BLANK",,$D39,$X$4),FD39)</f>
        <v>5991</v>
      </c>
      <c r="FE39" s="1506" cm="1">
        <f t="array" aca="1" ref="FE39" ca="1">IF(SwitchPA=1,_xll.TR(FE$7,FE$6,"Sdate=#1 Period=#2 Scale=6 NULL=BLANK",,$D39,$X$4),FE39)</f>
        <v>3582</v>
      </c>
      <c r="FF39" s="1506" cm="1">
        <f t="array" aca="1" ref="FF39" ca="1">IF(SwitchPA=1,_xll.TR(FF$7,FF$6,"Sdate=#1 Period=#2 Scale=6 NULL=BLANK",,$D39,$X$4),FF39)</f>
        <v>524</v>
      </c>
      <c r="FG39" s="1506" t="str" cm="1">
        <f t="array" aca="1" ref="FG39" ca="1">IF(SwitchPA=1,_xll.TR(FG$7,FG$6,"Sdate=#1 Period=#2 Scale=6 NULL=BLANK",,$D39,$X$4),FG39)</f>
        <v/>
      </c>
      <c r="FH39" s="1506" cm="1">
        <f t="array" aca="1" ref="FH39" ca="1">IF(SwitchPA=1,_xll.TR(FH$7,FH$6,"Sdate=#1 Period=#2 Scale=6 NULL=BLANK",,$D39,$X$4),FH39)</f>
        <v>521</v>
      </c>
      <c r="FI39" s="1506" cm="1">
        <f t="array" aca="1" ref="FI39" ca="1">IF(SwitchPA=1,_xll.TR(FI$7,FI$6,"Sdate=#1 Period=#2 Scale=6 NULL=BLANK",,$D39,$X$4),FI39)</f>
        <v>8941</v>
      </c>
      <c r="FJ39" s="1506" cm="1">
        <f t="array" aca="1" ref="FJ39" ca="1">IF(SwitchPA=1,_xll.TR(FJ$7,FJ$6,"Sdate=#1 Period=#2 Scale=6 NULL=BLANK",,$D39,$X$4),FJ39)</f>
        <v>773.18200000000002</v>
      </c>
      <c r="FK39" s="1506" cm="1">
        <f t="array" aca="1" ref="FK39" ca="1">IF(SwitchPA=1,_xll.TR(FK$7,FK$6,"Sdate=#1 Period=#2 Scale=6 NULL=BLANK",,$D39,$X$4),FK39)</f>
        <v>420</v>
      </c>
      <c r="FL39" s="1506" cm="1">
        <f t="array" aca="1" ref="FL39" ca="1">IF(SwitchPA=1,_xll.TR(FL$7,FL$6,"Sdate=#1 Period=#2 Scale=6 NULL=BLANK",,$D39,$X$4),FL39)</f>
        <v>272.10000000000002</v>
      </c>
      <c r="FM39" s="1506" cm="1">
        <f t="array" aca="1" ref="FM39" ca="1">IF(SwitchPA=1,_xll.TR(FM$7,FM$6,"Sdate=#1 Period=#2 Scale=6 NULL=BLANK",,$D39,$X$4),FM39)</f>
        <v>2576</v>
      </c>
      <c r="FN39" s="1506" cm="1">
        <f t="array" aca="1" ref="FN39" ca="1">IF(SwitchPA=1,_xll.TR(FN$7,FN$6,"Sdate=#1 Period=#2 Scale=6 NULL=BLANK",,$D39,$X$4),FN39)</f>
        <v>1226.4000000000001</v>
      </c>
      <c r="FO39" s="1506" cm="1">
        <f t="array" aca="1" ref="FO39" ca="1">IF(SwitchPA=1,_xll.TR(FO$7,FO$6,"Sdate=#1 Period=#2 Scale=6 NULL=BLANK",,$D39,$X$4),FO39)</f>
        <v>2285</v>
      </c>
      <c r="FP39" s="1506" cm="1">
        <f t="array" aca="1" ref="FP39" ca="1">IF(SwitchPA=1,_xll.TR(FP$7,FP$6,"Sdate=#1 Period=#2 Scale=6 NULL=BLANK",,$D39,$X$4),FP39)</f>
        <v>3389</v>
      </c>
      <c r="FQ39" s="1506" t="str" cm="1">
        <f t="array" aca="1" ref="FQ39" ca="1">IF(SwitchPA=1,_xll.TR(FQ$7,FQ$6,"Sdate=#1 Period=#2 Scale=6 NULL=BLANK",,$D39,$X$4),FQ39)</f>
        <v>Unable to resolve all requested identifiers.</v>
      </c>
      <c r="FS39" s="1506" cm="1">
        <f t="array" aca="1" ref="FS39" ca="1">IF(SwitchPA=1,_xll.TR(FS$7,FS$6,"Sdate=#1 Period=#2 NULL=BLANK Scale=6",,$D39,$FS$4),FS39)</f>
        <v>1072</v>
      </c>
      <c r="FT39" s="1506" cm="1">
        <f t="array" aca="1" ref="FT39" ca="1">IF(SwitchPA=1,_xll.TR(FT$7,FT$6,"Sdate=#1 Period=#2 NULL=BLANK Scale=6",,$D39,$FS$4),FT39)</f>
        <v>979</v>
      </c>
      <c r="FU39" s="1506" cm="1">
        <f t="array" aca="1" ref="FU39" ca="1">IF(SwitchPA=1,_xll.TR(FU$7,FU$6,"Sdate=#1 Period=#2 NULL=BLANK Scale=6",,$D39,$FS$4),FU39)</f>
        <v>2292</v>
      </c>
      <c r="FV39" s="1506" cm="1">
        <f t="array" aca="1" ref="FV39" ca="1">IF(SwitchPA=1,_xll.TR(FV$7,FV$6,"Sdate=#1 Period=#2 NULL=BLANK Scale=6",,$D39,$FS$4),FV39)</f>
        <v>4969</v>
      </c>
      <c r="FW39" s="1506" cm="1">
        <f t="array" aca="1" ref="FW39" ca="1">IF(SwitchPA=1,_xll.TR(FW$7,FW$6,"Sdate=#1 Period=#2 NULL=BLANK Scale=6",,$D39,$FS$4),FW39)</f>
        <v>1457</v>
      </c>
      <c r="FX39" s="1506" cm="1">
        <f t="array" aca="1" ref="FX39" ca="1">IF(SwitchPA=1,_xll.TR(FX$7,FX$6,"Sdate=#1 Period=#2 NULL=BLANK Scale=6",,$D39,$FS$4),FX39)</f>
        <v>134.1</v>
      </c>
      <c r="FY39" s="1506" t="str" cm="1">
        <f t="array" aca="1" ref="FY39" ca="1">IF(SwitchPA=1,_xll.TR(FY$7,FY$6,"Sdate=#1 Period=#2 NULL=BLANK Scale=6",,$D39,$FS$4),FY39)</f>
        <v/>
      </c>
      <c r="FZ39" s="1506" cm="1">
        <f t="array" aca="1" ref="FZ39" ca="1">IF(SwitchPA=1,_xll.TR(FZ$7,FZ$6,"Sdate=#1 Period=#2 NULL=BLANK Scale=6",,$D39,$FS$4),FZ39)</f>
        <v>4</v>
      </c>
      <c r="GA39" s="1506" cm="1">
        <f t="array" aca="1" ref="GA39" ca="1">IF(SwitchPA=1,_xll.TR(GA$7,GA$6,"Sdate=#1 Period=#2 NULL=BLANK Scale=6",,$D39,$FS$4),GA39)</f>
        <v>6612</v>
      </c>
      <c r="GB39" s="1506" cm="1">
        <f t="array" aca="1" ref="GB39" ca="1">IF(SwitchPA=1,_xll.TR(GB$7,GB$6,"Sdate=#1 Period=#2 NULL=BLANK Scale=6",,$D39,$FS$4),GB39)</f>
        <v>-29.260999999999999</v>
      </c>
      <c r="GC39" s="1506" cm="1">
        <f t="array" aca="1" ref="GC39" ca="1">IF(SwitchPA=1,_xll.TR(GC$7,GC$6,"Sdate=#1 Period=#2 NULL=BLANK Scale=6",,$D39,$FS$4),GC39)</f>
        <v>212</v>
      </c>
      <c r="GD39" s="1506" cm="1">
        <f t="array" aca="1" ref="GD39" ca="1">IF(SwitchPA=1,_xll.TR(GD$7,GD$6,"Sdate=#1 Period=#2 NULL=BLANK Scale=6",,$D39,$FS$4),GD39)</f>
        <v>157.9</v>
      </c>
      <c r="GE39" s="1506" cm="1">
        <f t="array" aca="1" ref="GE39" ca="1">IF(SwitchPA=1,_xll.TR(GE$7,GE$6,"Sdate=#1 Period=#2 NULL=BLANK Scale=6",,$D39,$FS$4),GE39)</f>
        <v>2901</v>
      </c>
      <c r="GF39" s="1506" cm="1">
        <f t="array" aca="1" ref="GF39" ca="1">IF(SwitchPA=1,_xll.TR(GF$7,GF$6,"Sdate=#1 Period=#2 NULL=BLANK Scale=6",,$D39,$FS$4),GF39)</f>
        <v>467.8</v>
      </c>
      <c r="GG39" s="1506" cm="1">
        <f t="array" aca="1" ref="GG39" ca="1">IF(SwitchPA=1,_xll.TR(GG$7,GG$6,"Sdate=#1 Period=#2 NULL=BLANK Scale=6",,$D39,$FS$4),GG39)</f>
        <v>1806</v>
      </c>
      <c r="GH39" s="1506" cm="1">
        <f t="array" aca="1" ref="GH39" ca="1">IF(SwitchPA=1,_xll.TR(GH$7,GH$6,"Sdate=#1 Period=#2 NULL=BLANK Scale=6",,$D39,$FS$4),GH39)</f>
        <v>770</v>
      </c>
      <c r="GI39" s="1506" t="str" cm="1">
        <f t="array" aca="1" ref="GI39" ca="1">IF(SwitchPA=1,_xll.TR(GI$7,GI$6,"Sdate=#1 Period=#2 NULL=BLANK Scale=6",,$D39,$FS$4),GI39)</f>
        <v>Unable to resolve all requested identifiers.</v>
      </c>
      <c r="GK39" s="1506" t="str" cm="1">
        <f t="array" aca="1" ref="GK39" ca="1">IF(SwitchPA=1,_xll.TR(GK$7,GK$6,"Sdate=#1 Period=#2 NULL=BLANK Scale=6",,$D39,$FS$4),GK39)</f>
        <v/>
      </c>
      <c r="GL39" s="1506" t="str" cm="1">
        <f t="array" aca="1" ref="GL39" ca="1">IF(SwitchPA=1,_xll.TR(GL$7,GL$6,"Sdate=#1 Period=#2 NULL=BLANK Scale=6",,$D39,$FS$4),GL39)</f>
        <v/>
      </c>
      <c r="GM39" s="1506" t="str" cm="1">
        <f t="array" aca="1" ref="GM39" ca="1">IF(SwitchPA=1,_xll.TR(GM$7,GM$6,"Sdate=#1 Period=#2 NULL=BLANK Scale=6",,$D39,$FS$4),GM39)</f>
        <v/>
      </c>
      <c r="GN39" s="1506" t="str" cm="1">
        <f t="array" aca="1" ref="GN39" ca="1">IF(SwitchPA=1,_xll.TR(GN$7,GN$6,"Sdate=#1 Period=#2 NULL=BLANK Scale=6",,$D39,$FS$4),GN39)</f>
        <v/>
      </c>
      <c r="GO39" s="1506" t="str" cm="1">
        <f t="array" aca="1" ref="GO39" ca="1">IF(SwitchPA=1,_xll.TR(GO$7,GO$6,"Sdate=#1 Period=#2 NULL=BLANK Scale=6",,$D39,$FS$4),GO39)</f>
        <v/>
      </c>
      <c r="GP39" s="1506" t="str" cm="1">
        <f t="array" aca="1" ref="GP39" ca="1">IF(SwitchPA=1,_xll.TR(GP$7,GP$6,"Sdate=#1 Period=#2 NULL=BLANK Scale=6",,$D39,$FS$4),GP39)</f>
        <v/>
      </c>
      <c r="GQ39" s="1506" t="str" cm="1">
        <f t="array" aca="1" ref="GQ39" ca="1">IF(SwitchPA=1,_xll.TR(GQ$7,GQ$6,"Sdate=#1 Period=#2 NULL=BLANK Scale=6",,$D39,$FS$4),GQ39)</f>
        <v/>
      </c>
      <c r="GR39" s="1506" t="str" cm="1">
        <f t="array" aca="1" ref="GR39" ca="1">IF(SwitchPA=1,_xll.TR(GR$7,GR$6,"Sdate=#1 Period=#2 NULL=BLANK Scale=6",,$D39,$FS$4),GR39)</f>
        <v/>
      </c>
      <c r="GS39" s="1506" t="str" cm="1">
        <f t="array" aca="1" ref="GS39" ca="1">IF(SwitchPA=1,_xll.TR(GS$7,GS$6,"Sdate=#1 Period=#2 NULL=BLANK Scale=6",,$D39,$FS$4),GS39)</f>
        <v/>
      </c>
      <c r="GT39" s="1506" t="str" cm="1">
        <f t="array" aca="1" ref="GT39" ca="1">IF(SwitchPA=1,_xll.TR(GT$7,GT$6,"Sdate=#1 Period=#2 NULL=BLANK Scale=6",,$D39,$FS$4),GT39)</f>
        <v/>
      </c>
      <c r="GU39" s="1506" t="str" cm="1">
        <f t="array" aca="1" ref="GU39" ca="1">IF(SwitchPA=1,_xll.TR(GU$7,GU$6,"Sdate=#1 Period=#2 NULL=BLANK Scale=6",,$D39,$FS$4),GU39)</f>
        <v/>
      </c>
      <c r="GV39" s="1506" t="str" cm="1">
        <f t="array" aca="1" ref="GV39" ca="1">IF(SwitchPA=1,_xll.TR(GV$7,GV$6,"Sdate=#1 Period=#2 NULL=BLANK Scale=6",,$D39,$FS$4),GV39)</f>
        <v/>
      </c>
      <c r="GW39" s="1506" t="str" cm="1">
        <f t="array" aca="1" ref="GW39" ca="1">IF(SwitchPA=1,_xll.TR(GW$7,GW$6,"Sdate=#1 Period=#2 NULL=BLANK Scale=6",,$D39,$FS$4),GW39)</f>
        <v/>
      </c>
      <c r="GX39" s="1506" t="str" cm="1">
        <f t="array" aca="1" ref="GX39" ca="1">IF(SwitchPA=1,_xll.TR(GX$7,GX$6,"Sdate=#1 Period=#2 NULL=BLANK Scale=6",,$D39,$FS$4),GX39)</f>
        <v/>
      </c>
      <c r="GY39" s="1506" t="str" cm="1">
        <f t="array" aca="1" ref="GY39" ca="1">IF(SwitchPA=1,_xll.TR(GY$7,GY$6,"Sdate=#1 Period=#2 NULL=BLANK Scale=6",,$D39,$FS$4),GY39)</f>
        <v/>
      </c>
      <c r="GZ39" s="1506" t="str" cm="1">
        <f t="array" aca="1" ref="GZ39" ca="1">IF(SwitchPA=1,_xll.TR(GZ$7,GZ$6,"Sdate=#1 Period=#2 NULL=BLANK Scale=6",,$D39,$FS$4),GZ39)</f>
        <v/>
      </c>
      <c r="HA39" s="1506" t="str" cm="1">
        <f t="array" aca="1" ref="HA39" ca="1">IF(SwitchPA=1,_xll.TR(HA$7,HA$6,"Sdate=#1 Period=#2 NULL=BLANK Scale=6",,$D39,$FS$4),HA39)</f>
        <v/>
      </c>
      <c r="HC39">
        <v>2.0299999999999998</v>
      </c>
      <c r="HD39">
        <v>39.159999999999997</v>
      </c>
      <c r="HE39">
        <v>41.96</v>
      </c>
      <c r="HG39" s="762">
        <f t="shared" si="52"/>
        <v>-0.20703125000000011</v>
      </c>
      <c r="HH39" s="762">
        <f t="shared" si="53"/>
        <v>-0.31286190559747329</v>
      </c>
      <c r="HI39" s="762">
        <f t="shared" si="54"/>
        <v>-0.34743390357698289</v>
      </c>
    </row>
    <row r="40" spans="3:217" ht="11.25" customHeight="1">
      <c r="C40" s="1514">
        <f t="shared" si="51"/>
        <v>44561</v>
      </c>
      <c r="D40" s="1515">
        <f t="shared" si="49"/>
        <v>44606</v>
      </c>
      <c r="E40" s="1506" cm="1">
        <f t="array" aca="1" ref="E40" ca="1">IF(SwitchPA=1,_xll.TR(E$7,E$6,"Sdate=#1 Period=#2 NULL=BLANK",,$D40,$E$4),E40)</f>
        <v>9.3087136255806993</v>
      </c>
      <c r="F40" s="1506" cm="1">
        <f t="array" aca="1" ref="F40" ca="1">IF(SwitchPA=1,_xll.TR(F$7,F$6,"Sdate=#1 Period=#2 NULL=BLANK",,$D40,$E$4),F40)</f>
        <v>8.3329857326987202</v>
      </c>
      <c r="G40" s="1506" cm="1">
        <f t="array" aca="1" ref="G40" ca="1">IF(SwitchPA=1,_xll.TR(G$7,G$6,"Sdate=#1 Period=#2 NULL=BLANK",,$D40,$E$4),G40)</f>
        <v>7.2495152440428203</v>
      </c>
      <c r="H40" s="1506" cm="1">
        <f t="array" aca="1" ref="H40" ca="1">IF(SwitchPA=1,_xll.TR(H$7,H$6,"Sdate=#1 Period=#2 NULL=BLANK",,$D40,$E$4),H40)</f>
        <v>5.7086142801296704</v>
      </c>
      <c r="I40" s="1506" cm="1">
        <f t="array" aca="1" ref="I40" ca="1">IF(SwitchPA=1,_xll.TR(I$7,I$6,"Sdate=#1 Period=#2 NULL=BLANK",,$D40,$E$4),I40)</f>
        <v>5.7337046233334101</v>
      </c>
      <c r="J40" s="1506" cm="1">
        <f t="array" aca="1" ref="J40" ca="1">IF(SwitchPA=1,_xll.TR(J$7,J$6,"Sdate=#1 Period=#2 NULL=BLANK",,$D40,$E$4),J40)</f>
        <v>4.0247122253718803</v>
      </c>
      <c r="K40" s="1506" cm="1">
        <f t="array" aca="1" ref="K40" ca="1">IF(SwitchPA=1,_xll.TR(K$7,K$6,"Sdate=#1 Period=#2 NULL=BLANK",,$D40,$E$4),K40)</f>
        <v>6.3441279692102599</v>
      </c>
      <c r="L40" s="1506" cm="1">
        <f t="array" aca="1" ref="L40" ca="1">IF(SwitchPA=1,_xll.TR(L$7,L$6,"Sdate=#1 Period=#2 NULL=BLANK",,$D40,$E$4),L40)</f>
        <v>6.4527309413302696</v>
      </c>
      <c r="M40" s="1506" cm="1">
        <f t="array" aca="1" ref="M40" ca="1">IF(SwitchPA=1,_xll.TR(M$7,M$6,"Sdate=#1 Period=#2 NULL=BLANK",,$D40,$E$4),M40)</f>
        <v>10.6299038685351</v>
      </c>
      <c r="N40" s="1506" cm="1">
        <f t="array" aca="1" ref="N40" ca="1">IF(SwitchPA=1,_xll.TR(N$7,N$6,"Sdate=#1 Period=#2 NULL=BLANK",,$D40,$E$4),N40)</f>
        <v>22.380236582450401</v>
      </c>
      <c r="O40" s="1506" cm="1">
        <f t="array" aca="1" ref="O40" ca="1">IF(SwitchPA=1,_xll.TR(O$7,O$6,"Sdate=#1 Period=#2 NULL=BLANK",,$D40,$E$4),O40)</f>
        <v>12.5426124880846</v>
      </c>
      <c r="P40" s="1506" cm="1">
        <f t="array" aca="1" ref="P40" ca="1">IF(SwitchPA=1,_xll.TR(P$7,P$6,"Sdate=#1 Period=#2 NULL=BLANK",,$D40,$E$4),P40)</f>
        <v>9.5114507653931106</v>
      </c>
      <c r="Q40" s="1506" cm="1">
        <f t="array" aca="1" ref="Q40" ca="1">IF(SwitchPA=1,_xll.TR(Q$7,Q$6,"Sdate=#1 Period=#2 NULL=BLANK",,$D40,$E$4),Q40)</f>
        <v>11.2248851386253</v>
      </c>
      <c r="R40" s="1506" cm="1">
        <f t="array" aca="1" ref="R40" ca="1">IF(SwitchPA=1,_xll.TR(R$7,R$6,"Sdate=#1 Period=#2 NULL=BLANK",,$D40,$E$4),R40)</f>
        <v>12.198223537436</v>
      </c>
      <c r="S40" s="1506" cm="1">
        <f t="array" aca="1" ref="S40" ca="1">IF(SwitchPA=1,_xll.TR(S$7,S$6,"Sdate=#1 Period=#2 NULL=BLANK",,$D40,$E$4),S40)</f>
        <v>13.8516709715772</v>
      </c>
      <c r="T40" s="1506" cm="1">
        <f t="array" aca="1" ref="T40" ca="1">IF(SwitchPA=1,_xll.TR(T$7,T$6,"Sdate=#1 Period=#2 NULL=BLANK",,$D40,$E$4),T40)</f>
        <v>5.8649269173169696</v>
      </c>
      <c r="U40" s="1506" t="str" cm="1">
        <f t="array" aca="1" ref="U40" ca="1">IF(SwitchPA=1,_xll.TR(U$7,U$6,"Sdate=#1 Period=#2 NULL=BLANK",,$D40,$E$4),U40)</f>
        <v>No universe defined.</v>
      </c>
      <c r="V40" s="1506" t="str" cm="1">
        <f t="array" aca="1" ref="V40" ca="1">IF(SwitchPA=1,_xll.TR(V$7,V$6,"Sdate=#1 Period=#2 NULL=BLANK",,$D40,$E$4),V40)</f>
        <v>No universe defined.</v>
      </c>
      <c r="W40" s="1521">
        <f t="shared" ca="1" si="55"/>
        <v>0.2840463551311232</v>
      </c>
      <c r="X40" s="1506" cm="1">
        <f t="array" aca="1" ref="X40" ca="1">IF(SwitchPA=1,_xll.TR(X$7,X$6,"Sdate=#1 Period=#2 NULL=BLANK",,$D40,$X$4),X40)</f>
        <v>9.3420166972764704</v>
      </c>
      <c r="Y40" s="1506" cm="1">
        <f t="array" aca="1" ref="Y40" ca="1">IF(SwitchPA=1,_xll.TR(Y$7,Y$6,"Sdate=#1 Period=#2 NULL=BLANK",,$D40,$X$4),Y40)</f>
        <v>7.3270185007058899</v>
      </c>
      <c r="Z40" s="1506" cm="1">
        <f t="array" aca="1" ref="Z40" ca="1">IF(SwitchPA=1,_xll.TR(Z$7,Z$6,"Sdate=#1 Period=#2 NULL=BLANK",,$D40,$X$4),Z40)</f>
        <v>6.9564486712150604</v>
      </c>
      <c r="AA40" s="1506" cm="1">
        <f t="array" aca="1" ref="AA40" ca="1">IF(SwitchPA=1,_xll.TR(AA$7,AA$6,"Sdate=#1 Period=#2 NULL=BLANK",,$D40,$X$4),AA40)</f>
        <v>4.78894665017671</v>
      </c>
      <c r="AB40" s="1506" cm="1">
        <f t="array" aca="1" ref="AB40" ca="1">IF(SwitchPA=1,_xll.TR(AB$7,AB$6,"Sdate=#1 Period=#2 NULL=BLANK",,$D40,$X$4),AB40)</f>
        <v>4.9386411832963004</v>
      </c>
      <c r="AC40" s="1506" cm="1">
        <f t="array" aca="1" ref="AC40" ca="1">IF(SwitchPA=1,_xll.TR(AC$7,AC$6,"Sdate=#1 Period=#2 NULL=BLANK",,$D40,$X$4),AC40)</f>
        <v>4.1599744250219004</v>
      </c>
      <c r="AD40" s="1506" cm="1">
        <f t="array" aca="1" ref="AD40" ca="1">IF(SwitchPA=1,_xll.TR(AD$7,AD$6,"Sdate=#1 Period=#2 NULL=BLANK",,$D40,$X$4),AD40)</f>
        <v>6.7293358270170396</v>
      </c>
      <c r="AE40" s="1506" cm="1">
        <f t="array" aca="1" ref="AE40" ca="1">IF(SwitchPA=1,_xll.TR(AE$7,AE$6,"Sdate=#1 Period=#2 NULL=BLANK",,$D40,$X$4),AE40)</f>
        <v>6.8282134115216397</v>
      </c>
      <c r="AF40" s="1506" cm="1">
        <f t="array" aca="1" ref="AF40" ca="1">IF(SwitchPA=1,_xll.TR(AF$7,AF$6,"Sdate=#1 Period=#2 NULL=BLANK",,$D40,$X$4),AF40)</f>
        <v>11.056555764466999</v>
      </c>
      <c r="AG40" s="1506" cm="1">
        <f t="array" aca="1" ref="AG40" ca="1">IF(SwitchPA=1,_xll.TR(AG$7,AG$6,"Sdate=#1 Period=#2 NULL=BLANK",,$D40,$X$4),AG40)</f>
        <v>30.964556036563799</v>
      </c>
      <c r="AH40" s="1506" cm="1">
        <f t="array" aca="1" ref="AH40" ca="1">IF(SwitchPA=1,_xll.TR(AH$7,AH$6,"Sdate=#1 Period=#2 NULL=BLANK",,$D40,$X$4),AH40)</f>
        <v>13.349717036019101</v>
      </c>
      <c r="AI40" s="1506" cm="1">
        <f t="array" aca="1" ref="AI40" ca="1">IF(SwitchPA=1,_xll.TR(AI$7,AI$6,"Sdate=#1 Period=#2 NULL=BLANK",,$D40,$X$4),AI40)</f>
        <v>10.5092829676838</v>
      </c>
      <c r="AJ40" s="1506" cm="1">
        <f t="array" aca="1" ref="AJ40" ca="1">IF(SwitchPA=1,_xll.TR(AJ$7,AJ$6,"Sdate=#1 Period=#2 NULL=BLANK",,$D40,$X$4),AJ40)</f>
        <v>11.922946108634999</v>
      </c>
      <c r="AK40" s="1506" cm="1">
        <f t="array" aca="1" ref="AK40" ca="1">IF(SwitchPA=1,_xll.TR(AK$7,AK$6,"Sdate=#1 Period=#2 NULL=BLANK",,$D40,$X$4),AK40)</f>
        <v>13.1744545239722</v>
      </c>
      <c r="AL40" s="1506" cm="1">
        <f t="array" aca="1" ref="AL40" ca="1">IF(SwitchPA=1,_xll.TR(AL$7,AL$6,"Sdate=#1 Period=#2 NULL=BLANK",,$D40,$X$4),AL40)</f>
        <v>15.4664850944647</v>
      </c>
      <c r="AM40" s="1506" cm="1">
        <f t="array" aca="1" ref="AM40" ca="1">IF(SwitchPA=1,_xll.TR(AM$7,AM$6,"Sdate=#1 Period=#2 NULL=BLANK",,$D40,$X$4),AM40)</f>
        <v>6.0479646932667404</v>
      </c>
      <c r="AN40" s="1506" t="str" cm="1">
        <f t="array" aca="1" ref="AN40" ca="1">IF(SwitchPA=1,_xll.TR(AN$7,AN$6,"Sdate=#1 Period=#2 NULL=BLANK",,$D40,$X$4),AN40)</f>
        <v/>
      </c>
      <c r="AO40" s="1506" t="str" cm="1">
        <f t="array" aca="1" ref="AO40" ca="1">IF(SwitchPA=1,_xll.TR(AO$7,AO$6,"Sdate=#1 Period=#2 NULL=BLANK",,$D40,$X$4),AO40)</f>
        <v/>
      </c>
      <c r="AQ40" s="1506" cm="1">
        <f t="array" aca="1" ref="AQ40" ca="1">IF(SwitchPA=1,_xll.TR(AQ$7,AQ$6,"Sdate=#1 Period=#2 NULL=BLANK Scale=6",,$D40,$AQ$4),AQ40)</f>
        <v>10.17778</v>
      </c>
      <c r="AR40" s="1506" cm="1">
        <f t="array" aca="1" ref="AR40" ca="1">IF(SwitchPA=1,_xll.TR(AR$7,AR$6,"Sdate=#1 Period=#2 NULL=BLANK Scale=6",,$D40,$AQ$4),AR40)</f>
        <v>24.591666666666701</v>
      </c>
      <c r="AS40" s="1506" cm="1">
        <f t="array" aca="1" ref="AS40" ca="1">IF(SwitchPA=1,_xll.TR(AS$7,AS$6,"Sdate=#1 Period=#2 NULL=BLANK Scale=6",,$D40,$AQ$4),AS40)</f>
        <v>11.694000000000001</v>
      </c>
      <c r="AT40" s="1506" cm="1">
        <f t="array" aca="1" ref="AT40" ca="1">IF(SwitchPA=1,_xll.TR(AT$7,AT$6,"Sdate=#1 Period=#2 NULL=BLANK Scale=6",,$D40,$AQ$4),AT40)</f>
        <v>20.783333333333299</v>
      </c>
      <c r="AU40" s="1506" cm="1">
        <f t="array" aca="1" ref="AU40" ca="1">IF(SwitchPA=1,_xll.TR(AU$7,AU$6,"Sdate=#1 Period=#2 NULL=BLANK Scale=6",,$D40,$AQ$4),AU40)</f>
        <v>25.45</v>
      </c>
      <c r="AV40" s="1506" cm="1">
        <f t="array" aca="1" ref="AV40" ca="1">IF(SwitchPA=1,_xll.TR(AV$7,AV$6,"Sdate=#1 Period=#2 NULL=BLANK Scale=6",,$D40,$AQ$4),AV40)</f>
        <v>15.9166666666667</v>
      </c>
      <c r="AW40" s="1506" cm="1">
        <f t="array" aca="1" ref="AW40" ca="1">IF(SwitchPA=1,_xll.TR(AW$7,AW$6,"Sdate=#1 Period=#2 NULL=BLANK Scale=6",,$D40,$AQ$4),AW40)</f>
        <v>7.3733333333333304</v>
      </c>
      <c r="AX40" s="1506" cm="1">
        <f t="array" aca="1" ref="AX40" ca="1">IF(SwitchPA=1,_xll.TR(AX$7,AX$6,"Sdate=#1 Period=#2 NULL=BLANK Scale=6",,$D40,$AQ$4),AX40)</f>
        <v>10.8888866666667</v>
      </c>
      <c r="AY40" s="1506" cm="1">
        <f t="array" aca="1" ref="AY40" ca="1">IF(SwitchPA=1,_xll.TR(AY$7,AY$6,"Sdate=#1 Period=#2 NULL=BLANK Scale=6",,$D40,$AQ$4),AY40)</f>
        <v>15.516666666666699</v>
      </c>
      <c r="AZ40" s="1506" cm="1">
        <f t="array" aca="1" ref="AZ40" ca="1">IF(SwitchPA=1,_xll.TR(AZ$7,AZ$6,"Sdate=#1 Period=#2 NULL=BLANK Scale=6",,$D40,$AQ$4),AZ40)</f>
        <v>6.05</v>
      </c>
      <c r="BA40" s="1506" t="str" cm="1">
        <f t="array" aca="1" ref="BA40" ca="1">IF(SwitchPA=1,_xll.TR(BA$7,BA$6,"Sdate=#1 Period=#2 NULL=BLANK Scale=6",,$D40,$AQ$4),BA40)</f>
        <v/>
      </c>
      <c r="BB40" s="1506" cm="1">
        <f t="array" aca="1" ref="BB40" ca="1">IF(SwitchPA=1,_xll.TR(BB$7,BB$6,"Sdate=#1 Period=#2 NULL=BLANK Scale=6",,$D40,$AQ$4),BB40)</f>
        <v>9.5833333333333304</v>
      </c>
      <c r="BC40" s="1506" cm="1">
        <f t="array" aca="1" ref="BC40" ca="1">IF(SwitchPA=1,_xll.TR(BC$7,BC$6,"Sdate=#1 Period=#2 NULL=BLANK Scale=6",,$D40,$AQ$4),BC40)</f>
        <v>7.8250000000000002</v>
      </c>
      <c r="BD40" s="1506" cm="1">
        <f t="array" aca="1" ref="BD40" ca="1">IF(SwitchPA=1,_xll.TR(BD$7,BD$6,"Sdate=#1 Period=#2 NULL=BLANK Scale=6",,$D40,$AQ$4),BD40)</f>
        <v>20.116666666666699</v>
      </c>
      <c r="BE40" s="1506" cm="1">
        <f t="array" aca="1" ref="BE40" ca="1">IF(SwitchPA=1,_xll.TR(BE$7,BE$6,"Sdate=#1 Period=#2 NULL=BLANK Scale=6",,$D40,$AQ$4),BE40)</f>
        <v>10.994441666666701</v>
      </c>
      <c r="BF40" s="1506" cm="1">
        <f t="array" aca="1" ref="BF40" ca="1">IF(SwitchPA=1,_xll.TR(BF$7,BF$6,"Sdate=#1 Period=#2 NULL=BLANK Scale=6",,$D40,$AQ$4),BF40)</f>
        <v>10.75</v>
      </c>
      <c r="BG40" s="1506" t="str" cm="1">
        <f t="array" aca="1" ref="BG40" ca="1">IF(SwitchPA=1,_xll.TR(BG$7,BG$6,"Sdate=#1 Period=#2 NULL=BLANK Scale=6",,$D40,$AQ$4),BG40)</f>
        <v/>
      </c>
      <c r="BH40" s="1506" t="str" cm="1">
        <f t="array" aca="1" ref="BH40" ca="1">IF(SwitchPA=1,_xll.TR(BH$7,BH$6,"Sdate=#1 Period=#2 NULL=BLANK Scale=6",,$D40,$AQ$4),BH40)</f>
        <v/>
      </c>
      <c r="BJ40" s="1506" cm="1">
        <f t="array" aca="1" ref="BJ40" ca="1">IF(SwitchPA=1,_xll.TR(BJ$7,BJ$6,"Sdate=#1 Period=#2 NULL=BLANK Scale=6",,$D40,$BJ$4),BJ40)</f>
        <v>10.598408508</v>
      </c>
      <c r="BK40" s="1506" cm="1">
        <f t="array" aca="1" ref="BK40" ca="1">IF(SwitchPA=1,_xll.TR(BK$7,BK$6,"Sdate=#1 Period=#2 NULL=BLANK Scale=6",,$D40,$BJ$4),BK40)</f>
        <v>8.8185905659999992</v>
      </c>
      <c r="BL40" s="1506" cm="1">
        <f t="array" aca="1" ref="BL40" ca="1">IF(SwitchPA=1,_xll.TR(BL$7,BL$6,"Sdate=#1 Period=#2 NULL=BLANK Scale=6",,$D40,$BJ$4),BL40)</f>
        <v>7.346882838</v>
      </c>
      <c r="BM40" s="1506" cm="1">
        <f t="array" aca="1" ref="BM40" ca="1">IF(SwitchPA=1,_xll.TR(BM$7,BM$6,"Sdate=#1 Period=#2 NULL=BLANK Scale=6",,$D40,$BJ$4),BM40)</f>
        <v>5.1986415380000004</v>
      </c>
      <c r="BN40" s="1506" cm="1">
        <f t="array" aca="1" ref="BN40" ca="1">IF(SwitchPA=1,_xll.TR(BN$7,BN$6,"Sdate=#1 Period=#2 NULL=BLANK Scale=6",,$D40,$BJ$4),BN40)</f>
        <v>5.6639396440000001</v>
      </c>
      <c r="BO40" s="1506" cm="1">
        <f t="array" aca="1" ref="BO40" ca="1">IF(SwitchPA=1,_xll.TR(BO$7,BO$6,"Sdate=#1 Period=#2 NULL=BLANK Scale=6",,$D40,$BJ$4),BO40)</f>
        <v>5.2678523779999997</v>
      </c>
      <c r="BP40" s="1506" cm="1">
        <f t="array" aca="1" ref="BP40" ca="1">IF(SwitchPA=1,_xll.TR(BP$7,BP$6,"Sdate=#1 Period=#2 NULL=BLANK Scale=6",,$D40,$BJ$4),BP40)</f>
        <v>7.167194748</v>
      </c>
      <c r="BQ40" s="1506" cm="1">
        <f t="array" aca="1" ref="BQ40" ca="1">IF(SwitchPA=1,_xll.TR(BQ$7,BQ$6,"Sdate=#1 Period=#2 NULL=BLANK Scale=6",,$D40,$BJ$4),BQ40)</f>
        <v>9.1835925429999996</v>
      </c>
      <c r="BR40" s="1506" cm="1">
        <f t="array" aca="1" ref="BR40" ca="1">IF(SwitchPA=1,_xll.TR(BR$7,BR$6,"Sdate=#1 Period=#2 NULL=BLANK Scale=6",,$D40,$BJ$4),BR40)</f>
        <v>10.949033907</v>
      </c>
      <c r="BS40" s="1506" cm="1">
        <f t="array" aca="1" ref="BS40" ca="1">IF(SwitchPA=1,_xll.TR(BS$7,BS$6,"Sdate=#1 Period=#2 NULL=BLANK Scale=6",,$D40,$BJ$4),BS40)</f>
        <v>33.628920098999998</v>
      </c>
      <c r="BT40" s="1506" cm="1">
        <f t="array" aca="1" ref="BT40" ca="1">IF(SwitchPA=1,_xll.TR(BT$7,BT$6,"Sdate=#1 Period=#2 NULL=BLANK Scale=6",,$D40,$BJ$4),BT40)</f>
        <v>16.317981082999999</v>
      </c>
      <c r="BU40" s="1506" cm="1">
        <f t="array" aca="1" ref="BU40" ca="1">IF(SwitchPA=1,_xll.TR(BU$7,BU$6,"Sdate=#1 Period=#2 NULL=BLANK Scale=6",,$D40,$BJ$4),BU40)</f>
        <v>14.887932786</v>
      </c>
      <c r="BV40" s="1506" cm="1">
        <f t="array" aca="1" ref="BV40" ca="1">IF(SwitchPA=1,_xll.TR(BV$7,BV$6,"Sdate=#1 Period=#2 NULL=BLANK Scale=6",,$D40,$BJ$4),BV40)</f>
        <v>16.889390506000002</v>
      </c>
      <c r="BW40" s="1506" cm="1">
        <f t="array" aca="1" ref="BW40" ca="1">IF(SwitchPA=1,_xll.TR(BW$7,BW$6,"Sdate=#1 Period=#2 NULL=BLANK Scale=6",,$D40,$BJ$4),BW40)</f>
        <v>14.758887051</v>
      </c>
      <c r="BX40" s="1506" cm="1">
        <f t="array" aca="1" ref="BX40" ca="1">IF(SwitchPA=1,_xll.TR(BX$7,BX$6,"Sdate=#1 Period=#2 NULL=BLANK Scale=6",,$D40,$BJ$4),BX40)</f>
        <v>15.691579104000001</v>
      </c>
      <c r="BY40" s="1506" cm="1">
        <f t="array" aca="1" ref="BY40" ca="1">IF(SwitchPA=1,_xll.TR(BY$7,BY$6,"Sdate=#1 Period=#2 NULL=BLANK Scale=6",,$D40,$BJ$4),BY40)</f>
        <v>6.6080376650000003</v>
      </c>
      <c r="BZ40" s="1506" t="str" cm="1">
        <f t="array" aca="1" ref="BZ40" ca="1">IF(SwitchPA=1,_xll.TR(BZ$7,BZ$6,"Sdate=#1 Period=#2 NULL=BLANK Scale=6",,$D40,$BJ$4),BZ40)</f>
        <v/>
      </c>
      <c r="CA40" s="1506" t="str" cm="1">
        <f t="array" aca="1" ref="CA40" ca="1">IF(SwitchPA=1,_xll.TR(CA$7,CA$6,"Sdate=#1 Period=#2 NULL=BLANK Scale=6",,$D40,$BJ$4),CA40)</f>
        <v/>
      </c>
      <c r="CC40" s="1506" cm="1">
        <f t="array" aca="1" ref="CC40" ca="1">IF(SwitchPA=1,_xll.TR(CC$7,CC$6,"Sdate=#1 Period=#2 NULL=BLANK Scale=6",,$D40,$CC$4),CC40)</f>
        <v>10476</v>
      </c>
      <c r="CD40" s="1506" cm="1">
        <f t="array" aca="1" ref="CD40" ca="1">IF(SwitchPA=1,_xll.TR(CD$7,CD$6,"Sdate=#1 Period=#2 NULL=BLANK Scale=6",,$D40,$CC$4),CD40)</f>
        <v>8537</v>
      </c>
      <c r="CE40" s="1506" cm="1">
        <f t="array" aca="1" ref="CE40" ca="1">IF(SwitchPA=1,_xll.TR(CE$7,CE$6,"Sdate=#1 Period=#2 NULL=BLANK Scale=6",,$D40,$CC$4),CE40)</f>
        <v>74727</v>
      </c>
      <c r="CF40" s="1506" cm="1">
        <f t="array" aca="1" ref="CF40" ca="1">IF(SwitchPA=1,_xll.TR(CF$7,CF$6,"Sdate=#1 Period=#2 NULL=BLANK Scale=6",,$D40,$CC$4),CF40)</f>
        <v>54968</v>
      </c>
      <c r="CG40" s="1506" cm="1">
        <f t="array" aca="1" ref="CG40" ca="1">IF(SwitchPA=1,_xll.TR(CG$7,CG$6,"Sdate=#1 Period=#2 NULL=BLANK Scale=6",,$D40,$CC$4),CG40)</f>
        <v>46173</v>
      </c>
      <c r="CH40" s="1506" cm="1">
        <f t="array" aca="1" ref="CH40" ca="1">IF(SwitchPA=1,_xll.TR(CH$7,CH$6,"Sdate=#1 Period=#2 NULL=BLANK Scale=6",,$D40,$CC$4),CH40)</f>
        <v>8910.6</v>
      </c>
      <c r="CI40" s="1506" cm="1">
        <f t="array" aca="1" ref="CI40" ca="1">IF(SwitchPA=1,_xll.TR(CI$7,CI$6,"Sdate=#1 Period=#2 NULL=BLANK Scale=6",,$D40,$CC$4),CI40)</f>
        <v>14078</v>
      </c>
      <c r="CJ40" s="1506" t="str" cm="1">
        <f t="array" aca="1" ref="CJ40" ca="1">IF(SwitchPA=1,_xll.TR(CJ$7,CJ$6,"Sdate=#1 Period=#2 NULL=BLANK Scale=6",,$D40,$CC$4),CJ40)</f>
        <v/>
      </c>
      <c r="CK40" s="1506" cm="1">
        <f t="array" aca="1" ref="CK40" ca="1">IF(SwitchPA=1,_xll.TR(CK$7,CK$6,"Sdate=#1 Period=#2 NULL=BLANK Scale=6",,$D40,$CC$4),CK40)</f>
        <v>35355</v>
      </c>
      <c r="CL40" s="1506" cm="1">
        <f t="array" aca="1" ref="CL40" ca="1">IF(SwitchPA=1,_xll.TR(CL$7,CL$6,"Sdate=#1 Period=#2 NULL=BLANK Scale=6",,$D40,$CC$4),CL40)</f>
        <v>3312.9</v>
      </c>
      <c r="CM40" s="1506" cm="1">
        <f t="array" aca="1" ref="CM40" ca="1">IF(SwitchPA=1,_xll.TR(CM$7,CM$6,"Sdate=#1 Period=#2 NULL=BLANK Scale=6",,$D40,$CC$4),CM40)</f>
        <v>1889</v>
      </c>
      <c r="CN40" s="1506" cm="1">
        <f t="array" aca="1" ref="CN40" ca="1">IF(SwitchPA=1,_xll.TR(CN$7,CN$6,"Sdate=#1 Period=#2 NULL=BLANK Scale=6",,$D40,$CC$4),CN40)</f>
        <v>4022.5</v>
      </c>
      <c r="CO40" s="1506" cm="1">
        <f t="array" aca="1" ref="CO40" ca="1">IF(SwitchPA=1,_xll.TR(CO$7,CO$6,"Sdate=#1 Period=#2 NULL=BLANK Scale=6",,$D40,$CC$4),CO40)</f>
        <v>12566</v>
      </c>
      <c r="CP40" s="1506" cm="1">
        <f t="array" aca="1" ref="CP40" ca="1">IF(SwitchPA=1,_xll.TR(CP$7,CP$6,"Sdate=#1 Period=#2 NULL=BLANK Scale=6",,$D40,$CC$4),CP40)</f>
        <v>5045.2</v>
      </c>
      <c r="CQ40" s="1506" cm="1">
        <f t="array" aca="1" ref="CQ40" ca="1">IF(SwitchPA=1,_xll.TR(CQ$7,CQ$6,"Sdate=#1 Period=#2 NULL=BLANK Scale=6",,$D40,$CC$4),CQ40)</f>
        <v>16802</v>
      </c>
      <c r="CR40" s="1506" cm="1">
        <f t="array" aca="1" ref="CR40" ca="1">IF(SwitchPA=1,_xll.TR(CR$7,CR$6,"Sdate=#1 Period=#2 NULL=BLANK Scale=6",,$D40,$CC$4),CR40)</f>
        <v>10576</v>
      </c>
      <c r="CS40" s="1506" t="str" cm="1">
        <f t="array" aca="1" ref="CS40" ca="1">IF(SwitchPA=1,_xll.TR(CS$7,CS$6,"Sdate=#1 Period=#2 NULL=BLANK Scale=6",,$D40,$CC$4),CS40)</f>
        <v>Unable to resolve all requested identifiers.</v>
      </c>
      <c r="CT40" s="1506" t="str" cm="1">
        <f t="array" aca="1" ref="CT40" ca="1">IF(SwitchPA=1,_xll.TR(CT$7,CT$6,"Sdate=#1 Period=#2 NULL=BLANK Scale=6",,$D40,$CC$4),CT40)</f>
        <v>Unable to resolve all requested identifiers.</v>
      </c>
      <c r="CU40" s="1002"/>
      <c r="CV40" s="1516" cm="1">
        <f t="array" aca="1" ref="CV40" ca="1">IF(SwitchPA=1,_xll.TR(CV$7,CV$6,"Sdate=#1 Period=#2 NULL=BLANK Scale=6",,$D40,$AQ$4),CV40)</f>
        <v>5387.75</v>
      </c>
      <c r="CW40" s="1516" cm="1">
        <f t="array" aca="1" ref="CW40" ca="1">IF(SwitchPA=1,_xll.TR(CW$7,CW$6,"Sdate=#1 Period=#2 NULL=BLANK Scale=6",,$D40,$AQ$4),CW40)</f>
        <v>4204.5</v>
      </c>
      <c r="CX40" s="1516" cm="1">
        <f t="array" aca="1" ref="CX40" ca="1">IF(SwitchPA=1,_xll.TR(CX$7,CX$6,"Sdate=#1 Period=#2 NULL=BLANK Scale=6",,$D40,$AQ$4),CX40)</f>
        <v>19958.75</v>
      </c>
      <c r="CY40" s="1516" cm="1">
        <f t="array" aca="1" ref="CY40" ca="1">IF(SwitchPA=1,_xll.TR(CY$7,CY$6,"Sdate=#1 Period=#2 NULL=BLANK Scale=6",,$D40,$AQ$4),CY40)</f>
        <v>21664.5</v>
      </c>
      <c r="CZ40" s="1516" cm="1">
        <f t="array" aca="1" ref="CZ40" ca="1">IF(SwitchPA=1,_xll.TR(CZ$7,CZ$6,"Sdate=#1 Period=#2 NULL=BLANK Scale=6",,$D40,$AQ$4),CZ40)</f>
        <v>16315.5</v>
      </c>
      <c r="DA40" s="1516" cm="1">
        <f t="array" aca="1" ref="DA40" ca="1">IF(SwitchPA=1,_xll.TR(DA$7,DA$6,"Sdate=#1 Period=#2 NULL=BLANK Scale=6",,$D40,$AQ$4),DA40)</f>
        <v>3360.15</v>
      </c>
      <c r="DB40" s="1516" cm="1">
        <f t="array" aca="1" ref="DB40" ca="1">IF(SwitchPA=1,_xll.TR(DB$7,DB$6,"Sdate=#1 Period=#2 NULL=BLANK Scale=6",,$D40,$AQ$4),DB40)</f>
        <v>7291.25</v>
      </c>
      <c r="DC40" s="1516" t="str" cm="1">
        <f t="array" aca="1" ref="DC40" ca="1">IF(SwitchPA=1,_xll.TR(DC$7,DC$6,"Sdate=#1 Period=#2 NULL=BLANK Scale=6",,$D40,$AQ$4),DC40)</f>
        <v/>
      </c>
      <c r="DD40" s="1516" cm="1">
        <f t="array" aca="1" ref="DD40" ca="1">IF(SwitchPA=1,_xll.TR(DD$7,DD$6,"Sdate=#1 Period=#2 NULL=BLANK Scale=6",,$D40,$AQ$4),DD40)</f>
        <v>10197.75</v>
      </c>
      <c r="DE40" s="1516" cm="1">
        <f t="array" aca="1" ref="DE40" ca="1">IF(SwitchPA=1,_xll.TR(DE$7,DE$6,"Sdate=#1 Period=#2 NULL=BLANK Scale=6",,$D40,$AQ$4),DE40)</f>
        <v>5628.3902500000004</v>
      </c>
      <c r="DF40" s="1516" cm="1">
        <f t="array" aca="1" ref="DF40" ca="1">IF(SwitchPA=1,_xll.TR(DF$7,DF$6,"Sdate=#1 Period=#2 NULL=BLANK Scale=6",,$D40,$AQ$4),DF40)</f>
        <v>1597.75</v>
      </c>
      <c r="DG40" s="1516" cm="1">
        <f t="array" aca="1" ref="DG40" ca="1">IF(SwitchPA=1,_xll.TR(DG$7,DG$6,"Sdate=#1 Period=#2 NULL=BLANK Scale=6",,$D40,$AQ$4),DG40)</f>
        <v>756.3</v>
      </c>
      <c r="DH40" s="1516" cm="1">
        <f t="array" aca="1" ref="DH40" ca="1">IF(SwitchPA=1,_xll.TR(DH$7,DH$6,"Sdate=#1 Period=#2 NULL=BLANK Scale=6",,$D40,$AQ$4),DH40)</f>
        <v>6987</v>
      </c>
      <c r="DI40" s="1516" cm="1">
        <f t="array" aca="1" ref="DI40" ca="1">IF(SwitchPA=1,_xll.TR(DI$7,DI$6,"Sdate=#1 Period=#2 NULL=BLANK Scale=6",,$D40,$AQ$4),DI40)</f>
        <v>926.375</v>
      </c>
      <c r="DJ40" s="1516" cm="1">
        <f t="array" aca="1" ref="DJ40" ca="1">IF(SwitchPA=1,_xll.TR(DJ$7,DJ$6,"Sdate=#1 Period=#2 NULL=BLANK Scale=6",,$D40,$AQ$4),DJ40)</f>
        <v>4212.5</v>
      </c>
      <c r="DK40" s="1516" cm="1">
        <f t="array" aca="1" ref="DK40" ca="1">IF(SwitchPA=1,_xll.TR(DK$7,DK$6,"Sdate=#1 Period=#2 NULL=BLANK Scale=6",,$D40,$AQ$4),DK40)</f>
        <v>5164</v>
      </c>
      <c r="DL40" s="1516" t="str" cm="1">
        <f t="array" aca="1" ref="DL40" ca="1">IF(SwitchPA=1,_xll.TR(DL$7,DL$6,"Sdate=#1 Period=#2 NULL=BLANK Scale=6",,$D40,$AQ$4),DL40)</f>
        <v>Unable to resolve all requested identifiers.</v>
      </c>
      <c r="DM40" s="1516" t="str" cm="1">
        <f t="array" aca="1" ref="DM40" ca="1">IF(SwitchPA=1,_xll.TR(DM$7,DM$6,"Sdate=#1 Period=#2 NULL=BLANK Scale=6",,$D40,$AQ$4),DM40)</f>
        <v>Unable to resolve all requested identifiers.</v>
      </c>
      <c r="DO40" s="1506" cm="1">
        <f t="array" aca="1" ref="DO40" ca="1">IF(SwitchPA=1,_xll.TR(DO$7,DO$6,"Sdate=#1 Period=#2 Scale=6 NULL=BLANK",,$D40,$X$4),DO40)</f>
        <v>20423.133195819999</v>
      </c>
      <c r="DP40" s="1506" cm="1">
        <f t="array" aca="1" ref="DP40" ca="1">IF(SwitchPA=1,_xll.TR(DP$7,DP$6,"Sdate=#1 Period=#2 Scale=6 NULL=BLANK",,$D40,$X$4),DP40)</f>
        <v>20423.85575137</v>
      </c>
      <c r="DQ40" s="1506" cm="1">
        <f t="array" aca="1" ref="DQ40" ca="1">IF(SwitchPA=1,_xll.TR(DQ$7,DQ$6,"Sdate=#1 Period=#2 Scale=6 NULL=BLANK",,$D40,$X$4),DQ40)</f>
        <v>78934.909216300002</v>
      </c>
      <c r="DR40" s="1506" cm="1">
        <f t="array" aca="1" ref="DR40" ca="1">IF(SwitchPA=1,_xll.TR(DR$7,DR$6,"Sdate=#1 Period=#2 Scale=6 NULL=BLANK",,$D40,$X$4),DR40)</f>
        <v>57013.50175019</v>
      </c>
      <c r="DS40" s="1506" cm="1">
        <f t="array" aca="1" ref="DS40" ca="1">IF(SwitchPA=1,_xll.TR(DS$7,DS$6,"Sdate=#1 Period=#2 Scale=6 NULL=BLANK",,$D40,$X$4),DS40)</f>
        <v>45045.3119916</v>
      </c>
      <c r="DT40" s="1506" cm="1">
        <f t="array" aca="1" ref="DT40" ca="1">IF(SwitchPA=1,_xll.TR(DT$7,DT$6,"Sdate=#1 Period=#2 Scale=6 NULL=BLANK",,$D40,$X$4),DT40)</f>
        <v>10577.320790150001</v>
      </c>
      <c r="DU40" s="1506" cm="1">
        <f t="array" aca="1" ref="DU40" ca="1">IF(SwitchPA=1,_xll.TR(DU$7,DU$6,"Sdate=#1 Period=#2 Scale=6 NULL=BLANK",,$D40,$X$4),DU40)</f>
        <v>16377.04</v>
      </c>
      <c r="DV40" s="1506" cm="1">
        <f t="array" aca="1" ref="DV40" ca="1">IF(SwitchPA=1,_xll.TR(DV$7,DV$6,"Sdate=#1 Period=#2 Scale=6 NULL=BLANK",,$D40,$X$4),DV40)</f>
        <v>9137.6745805600003</v>
      </c>
      <c r="DW40" s="1506" cm="1">
        <f t="array" aca="1" ref="DW40" ca="1">IF(SwitchPA=1,_xll.TR(DW$7,DW$6,"Sdate=#1 Period=#2 Scale=6 NULL=BLANK",,$D40,$X$4),DW40)</f>
        <v>103008.511</v>
      </c>
      <c r="DX40" s="1506" cm="1">
        <f t="array" aca="1" ref="DX40" ca="1">IF(SwitchPA=1,_xll.TR(DX$7,DX$6,"Sdate=#1 Period=#2 Scale=6 NULL=BLANK",,$D40,$X$4),DX40)</f>
        <v>28275.061503199999</v>
      </c>
      <c r="DY40" s="1506" cm="1">
        <f t="array" aca="1" ref="DY40" ca="1">IF(SwitchPA=1,_xll.TR(DY$7,DY$6,"Sdate=#1 Period=#2 Scale=6 NULL=BLANK",,$D40,$X$4),DY40)</f>
        <v>7179.9116766500001</v>
      </c>
      <c r="DZ40" s="1506" cm="1">
        <f t="array" aca="1" ref="DZ40" ca="1">IF(SwitchPA=1,_xll.TR(DZ$7,DZ$6,"Sdate=#1 Period=#2 Scale=6 NULL=BLANK",,$D40,$X$4),DZ40)</f>
        <v>6153.1826203199998</v>
      </c>
      <c r="EA40" s="1506" cm="1">
        <f t="array" aca="1" ref="EA40" ca="1">IF(SwitchPA=1,_xll.TR(EA$7,EA$6,"Sdate=#1 Period=#2 Scale=6 NULL=BLANK",,$D40,$X$4),EA40)</f>
        <v>50110.821630879997</v>
      </c>
      <c r="EB40" s="1506" cm="1">
        <f t="array" aca="1" ref="EB40" ca="1">IF(SwitchPA=1,_xll.TR(EB$7,EB$6,"Sdate=#1 Period=#2 Scale=6 NULL=BLANK",,$D40,$X$4),EB40)</f>
        <v>17628.01469425</v>
      </c>
      <c r="EC40" s="1506" cm="1">
        <f t="array" aca="1" ref="EC40" ca="1">IF(SwitchPA=1,_xll.TR(EC$7,EC$6,"Sdate=#1 Period=#2 Scale=6 NULL=BLANK",,$D40,$X$4),EC40)</f>
        <v>40876.56356504</v>
      </c>
      <c r="ED40" s="1506" cm="1">
        <f t="array" aca="1" ref="ED40" ca="1">IF(SwitchPA=1,_xll.TR(ED$7,ED$6,"Sdate=#1 Period=#2 Scale=6 NULL=BLANK",,$D40,$X$4),ED40)</f>
        <v>13863.663020800001</v>
      </c>
      <c r="EE40" s="1506" t="str" cm="1">
        <f t="array" aca="1" ref="EE40" ca="1">IF(SwitchPA=1,_xll.TR(EE$7,EE$6,"Sdate=#1 Period=#2 Scale=6 NULL=BLANK",,$D40,$X$4),EE40)</f>
        <v/>
      </c>
      <c r="EF40" s="1506" t="str" cm="1">
        <f t="array" aca="1" ref="EF40" ca="1">IF(SwitchPA=1,_xll.TR(EF$7,EF$6,"Sdate=#1 Period=#2 Scale=6 NULL=BLANK",,$D40,$X$4),EF40)</f>
        <v/>
      </c>
      <c r="EG40" s="1517"/>
      <c r="EH40" s="1506" cm="1">
        <f t="array" aca="1" ref="EH40" ca="1">IF(SwitchPA=1,_xll.TR(EH$7,EH$6,"Sdate=#1 Period=#2 Scale=6 NULL=BLANK",,$D40,$X$4),EH40)</f>
        <v>1874</v>
      </c>
      <c r="EI40" s="1506" cm="1">
        <f t="array" aca="1" ref="EI40" ca="1">IF(SwitchPA=1,_xll.TR(EI$7,EI$6,"Sdate=#1 Period=#2 Scale=6 NULL=BLANK",,$D40,$X$4),EI40)</f>
        <v>1938</v>
      </c>
      <c r="EJ40" s="1506" cm="1">
        <f t="array" aca="1" ref="EJ40" ca="1">IF(SwitchPA=1,_xll.TR(EJ$7,EJ$6,"Sdate=#1 Period=#2 Scale=6 NULL=BLANK",,$D40,$X$4),EJ40)</f>
        <v>7003</v>
      </c>
      <c r="EK40" s="1506" cm="1">
        <f t="array" aca="1" ref="EK40" ca="1">IF(SwitchPA=1,_xll.TR(EK$7,EK$6,"Sdate=#1 Period=#2 Scale=6 NULL=BLANK",,$D40,$X$4),EK40)</f>
        <v>8125</v>
      </c>
      <c r="EL40" s="1506" cm="1">
        <f t="array" aca="1" ref="EL40" ca="1">IF(SwitchPA=1,_xll.TR(EL$7,EL$6,"Sdate=#1 Period=#2 Scale=6 NULL=BLANK",,$D40,$X$4),EL40)</f>
        <v>7397</v>
      </c>
      <c r="EM40" s="1506" cm="1">
        <f t="array" aca="1" ref="EM40" ca="1">IF(SwitchPA=1,_xll.TR(EM$7,EM$6,"Sdate=#1 Period=#2 Scale=6 NULL=BLANK",,$D40,$X$4),EM40)</f>
        <v>1876.5</v>
      </c>
      <c r="EN40" s="1506" cm="1">
        <f t="array" aca="1" ref="EN40" ca="1">IF(SwitchPA=1,_xll.TR(EN$7,EN$6,"Sdate=#1 Period=#2 Scale=6 NULL=BLANK",,$D40,$X$4),EN40)</f>
        <v>1256</v>
      </c>
      <c r="EO40" s="1506" t="str" cm="1">
        <f t="array" aca="1" ref="EO40" ca="1">IF(SwitchPA=1,_xll.TR(EO$7,EO$6,"Sdate=#1 Period=#2 Scale=6 NULL=BLANK",,$D40,$X$4),EO40)</f>
        <v/>
      </c>
      <c r="EP40" s="1506" cm="1">
        <f t="array" aca="1" ref="EP40" ca="1">IF(SwitchPA=1,_xll.TR(EP$7,EP$6,"Sdate=#1 Period=#2 Scale=6 NULL=BLANK",,$D40,$X$4),EP40)</f>
        <v>7493</v>
      </c>
      <c r="EQ40" s="1506" cm="1">
        <f t="array" aca="1" ref="EQ40" ca="1">IF(SwitchPA=1,_xll.TR(EQ$7,EQ$6,"Sdate=#1 Period=#2 Scale=6 NULL=BLANK",,$D40,$X$4),EQ40)</f>
        <v>593.26099999999997</v>
      </c>
      <c r="ER40" s="1506" cm="1">
        <f t="array" aca="1" ref="ER40" ca="1">IF(SwitchPA=1,_xll.TR(ER$7,ER$6,"Sdate=#1 Period=#2 Scale=6 NULL=BLANK",,$D40,$X$4),ER40)</f>
        <v>203</v>
      </c>
      <c r="ES40" s="1506" cm="1">
        <f t="array" aca="1" ref="ES40" ca="1">IF(SwitchPA=1,_xll.TR(ES$7,ES$6,"Sdate=#1 Period=#2 Scale=6 NULL=BLANK",,$D40,$X$4),ES40)</f>
        <v>364.6</v>
      </c>
      <c r="ET40" s="1506" cm="1">
        <f t="array" aca="1" ref="ET40" ca="1">IF(SwitchPA=1,_xll.TR(ET$7,ET$6,"Sdate=#1 Period=#2 Scale=6 NULL=BLANK",,$D40,$X$4),ET40)</f>
        <v>1855</v>
      </c>
      <c r="EU40" s="1506" cm="1">
        <f t="array" aca="1" ref="EU40" ca="1">IF(SwitchPA=1,_xll.TR(EU$7,EU$6,"Sdate=#1 Period=#2 Scale=6 NULL=BLANK",,$D40,$X$4),EU40)</f>
        <v>1086.4000000000001</v>
      </c>
      <c r="EV40" s="1506" cm="1">
        <f t="array" aca="1" ref="EV40" ca="1">IF(SwitchPA=1,_xll.TR(EV$7,EV$6,"Sdate=#1 Period=#2 Scale=6 NULL=BLANK",,$D40,$X$4),EV40)</f>
        <v>1809</v>
      </c>
      <c r="EW40" s="1506" cm="1">
        <f t="array" aca="1" ref="EW40" ca="1">IF(SwitchPA=1,_xll.TR(EW$7,EW$6,"Sdate=#1 Period=#2 Scale=6 NULL=BLANK",,$D40,$X$4),EW40)</f>
        <v>1194</v>
      </c>
      <c r="EX40" s="1506" t="str" cm="1">
        <f t="array" aca="1" ref="EX40" ca="1">IF(SwitchPA=1,_xll.TR(EX$7,EX$6,"Sdate=#1 Period=#2 Scale=6 NULL=BLANK",,$D40,$X$4),EX40)</f>
        <v>Unable to resolve all requested identifiers.</v>
      </c>
      <c r="EY40" s="1506" t="str" cm="1">
        <f t="array" aca="1" ref="EY40" ca="1">IF(SwitchPA=1,_xll.TR(EY$7,EY$6,"Sdate=#1 Period=#2 Scale=6 NULL=BLANK",,$D40,$X$4),EY40)</f>
        <v>Unable to resolve all requested identifiers.</v>
      </c>
      <c r="FA40" s="1506" cm="1">
        <f t="array" aca="1" ref="FA40" ca="1">IF(SwitchPA=1,_xll.TR(FA$7,FA$6,"Sdate=#1 Period=#2 Scale=6 NULL=BLANK",,$D40,$X$4),FA40)</f>
        <v>2412</v>
      </c>
      <c r="FB40" s="1506" cm="1">
        <f t="array" aca="1" ref="FB40" ca="1">IF(SwitchPA=1,_xll.TR(FB$7,FB$6,"Sdate=#1 Period=#2 Scale=6 NULL=BLANK",,$D40,$X$4),FB40)</f>
        <v>2316</v>
      </c>
      <c r="FC40" s="1506" cm="1">
        <f t="array" aca="1" ref="FC40" ca="1">IF(SwitchPA=1,_xll.TR(FC$7,FC$6,"Sdate=#1 Period=#2 Scale=6 NULL=BLANK",,$D40,$X$4),FC40)</f>
        <v>10744</v>
      </c>
      <c r="FD40" s="1506" cm="1">
        <f t="array" aca="1" ref="FD40" ca="1">IF(SwitchPA=1,_xll.TR(FD$7,FD$6,"Sdate=#1 Period=#2 Scale=6 NULL=BLANK",,$D40,$X$4),FD40)</f>
        <v>10967</v>
      </c>
      <c r="FE40" s="1506" cm="1">
        <f t="array" aca="1" ref="FE40" ca="1">IF(SwitchPA=1,_xll.TR(FE$7,FE$6,"Sdate=#1 Period=#2 Scale=6 NULL=BLANK",,$D40,$X$4),FE40)</f>
        <v>8790</v>
      </c>
      <c r="FF40" s="1506" cm="1">
        <f t="array" aca="1" ref="FF40" ca="1">IF(SwitchPA=1,_xll.TR(FF$7,FF$6,"Sdate=#1 Period=#2 Scale=6 NULL=BLANK",,$D40,$X$4),FF40)</f>
        <v>2459</v>
      </c>
      <c r="FG40" s="1506" cm="1">
        <f t="array" aca="1" ref="FG40" ca="1">IF(SwitchPA=1,_xll.TR(FG$7,FG$6,"Sdate=#1 Period=#2 Scale=6 NULL=BLANK",,$D40,$X$4),FG40)</f>
        <v>2285</v>
      </c>
      <c r="FH40" s="1506" t="str" cm="1">
        <f t="array" aca="1" ref="FH40" ca="1">IF(SwitchPA=1,_xll.TR(FH$7,FH$6,"Sdate=#1 Period=#2 Scale=6 NULL=BLANK",,$D40,$X$4),FH40)</f>
        <v/>
      </c>
      <c r="FI40" s="1506" cm="1">
        <f t="array" aca="1" ref="FI40" ca="1">IF(SwitchPA=1,_xll.TR(FI$7,FI$6,"Sdate=#1 Period=#2 Scale=6 NULL=BLANK",,$D40,$X$4),FI40)</f>
        <v>9408</v>
      </c>
      <c r="FJ40" s="1506" cm="1">
        <f t="array" aca="1" ref="FJ40" ca="1">IF(SwitchPA=1,_xll.TR(FJ$7,FJ$6,"Sdate=#1 Period=#2 Scale=6 NULL=BLANK",,$D40,$X$4),FJ40)</f>
        <v>840.79600000000005</v>
      </c>
      <c r="FK40" s="1506" cm="1">
        <f t="array" aca="1" ref="FK40" ca="1">IF(SwitchPA=1,_xll.TR(FK$7,FK$6,"Sdate=#1 Period=#2 Scale=6 NULL=BLANK",,$D40,$X$4),FK40)</f>
        <v>440</v>
      </c>
      <c r="FL40" s="1506" cm="1">
        <f t="array" aca="1" ref="FL40" ca="1">IF(SwitchPA=1,_xll.TR(FL$7,FL$6,"Sdate=#1 Period=#2 Scale=6 NULL=BLANK",,$D40,$X$4),FL40)</f>
        <v>457.1</v>
      </c>
      <c r="FM40" s="1506" cm="1">
        <f t="array" aca="1" ref="FM40" ca="1">IF(SwitchPA=1,_xll.TR(FM$7,FM$6,"Sdate=#1 Period=#2 Scale=6 NULL=BLANK",,$D40,$X$4),FM40)</f>
        <v>2967</v>
      </c>
      <c r="FN40" s="1506" cm="1">
        <f t="array" aca="1" ref="FN40" ca="1">IF(SwitchPA=1,_xll.TR(FN$7,FN$6,"Sdate=#1 Period=#2 Scale=6 NULL=BLANK",,$D40,$X$4),FN40)</f>
        <v>1257.3</v>
      </c>
      <c r="FO40" s="1506" cm="1">
        <f t="array" aca="1" ref="FO40" ca="1">IF(SwitchPA=1,_xll.TR(FO$7,FO$6,"Sdate=#1 Period=#2 Scale=6 NULL=BLANK",,$D40,$X$4),FO40)</f>
        <v>2370</v>
      </c>
      <c r="FP40" s="1506" cm="1">
        <f t="array" aca="1" ref="FP40" ca="1">IF(SwitchPA=1,_xll.TR(FP$7,FP$6,"Sdate=#1 Period=#2 Scale=6 NULL=BLANK",,$D40,$X$4),FP40)</f>
        <v>2098</v>
      </c>
      <c r="FQ40" s="1506" t="str" cm="1">
        <f t="array" aca="1" ref="FQ40" ca="1">IF(SwitchPA=1,_xll.TR(FQ$7,FQ$6,"Sdate=#1 Period=#2 Scale=6 NULL=BLANK",,$D40,$X$4),FQ40)</f>
        <v>Unable to resolve all requested identifiers.</v>
      </c>
      <c r="FS40" s="1506" cm="1">
        <f t="array" aca="1" ref="FS40" ca="1">IF(SwitchPA=1,_xll.TR(FS$7,FS$6,"Sdate=#1 Period=#2 NULL=BLANK Scale=6",,$D40,$FS$4),FS40)</f>
        <v>1064</v>
      </c>
      <c r="FT40" s="1506" cm="1">
        <f t="array" aca="1" ref="FT40" ca="1">IF(SwitchPA=1,_xll.TR(FT$7,FT$6,"Sdate=#1 Period=#2 NULL=BLANK Scale=6",,$D40,$FS$4),FT40)</f>
        <v>1290</v>
      </c>
      <c r="FU40" s="1506" cm="1">
        <f t="array" aca="1" ref="FU40" ca="1">IF(SwitchPA=1,_xll.TR(FU$7,FU$6,"Sdate=#1 Period=#2 NULL=BLANK Scale=6",,$D40,$FS$4),FU40)</f>
        <v>2877</v>
      </c>
      <c r="FV40" s="1506" cm="1">
        <f t="array" aca="1" ref="FV40" ca="1">IF(SwitchPA=1,_xll.TR(FV$7,FV$6,"Sdate=#1 Period=#2 NULL=BLANK Scale=6",,$D40,$FS$4),FV40)</f>
        <v>4814</v>
      </c>
      <c r="FW40" s="1506" cm="1">
        <f t="array" aca="1" ref="FW40" ca="1">IF(SwitchPA=1,_xll.TR(FW$7,FW$6,"Sdate=#1 Period=#2 NULL=BLANK Scale=6",,$D40,$FS$4),FW40)</f>
        <v>5736</v>
      </c>
      <c r="FX40" s="1506" cm="1">
        <f t="array" aca="1" ref="FX40" ca="1">IF(SwitchPA=1,_xll.TR(FX$7,FX$6,"Sdate=#1 Period=#2 NULL=BLANK Scale=6",,$D40,$FS$4),FX40)</f>
        <v>1540.4</v>
      </c>
      <c r="FY40" s="1506" cm="1">
        <f t="array" aca="1" ref="FY40" ca="1">IF(SwitchPA=1,_xll.TR(FY$7,FY$6,"Sdate=#1 Period=#2 NULL=BLANK Scale=6",,$D40,$FS$4),FY40)</f>
        <v>1196</v>
      </c>
      <c r="FZ40" s="1506" t="str" cm="1">
        <f t="array" aca="1" ref="FZ40" ca="1">IF(SwitchPA=1,_xll.TR(FZ$7,FZ$6,"Sdate=#1 Period=#2 NULL=BLANK Scale=6",,$D40,$FS$4),FZ40)</f>
        <v/>
      </c>
      <c r="GA40" s="1506" cm="1">
        <f t="array" aca="1" ref="GA40" ca="1">IF(SwitchPA=1,_xll.TR(GA$7,GA$6,"Sdate=#1 Period=#2 NULL=BLANK Scale=6",,$D40,$FS$4),GA40)</f>
        <v>5851</v>
      </c>
      <c r="GB40" s="1506" cm="1">
        <f t="array" aca="1" ref="GB40" ca="1">IF(SwitchPA=1,_xll.TR(GB$7,GB$6,"Sdate=#1 Period=#2 NULL=BLANK Scale=6",,$D40,$FS$4),GB40)</f>
        <v>-54.058999999999997</v>
      </c>
      <c r="GC40" s="1506" cm="1">
        <f t="array" aca="1" ref="GC40" ca="1">IF(SwitchPA=1,_xll.TR(GC$7,GC$6,"Sdate=#1 Period=#2 NULL=BLANK Scale=6",,$D40,$FS$4),GC40)</f>
        <v>384</v>
      </c>
      <c r="GD40" s="1506" cm="1">
        <f t="array" aca="1" ref="GD40" ca="1">IF(SwitchPA=1,_xll.TR(GD$7,GD$6,"Sdate=#1 Period=#2 NULL=BLANK Scale=6",,$D40,$FS$4),GD40)</f>
        <v>131.19999999999999</v>
      </c>
      <c r="GE40" s="1506" cm="1">
        <f t="array" aca="1" ref="GE40" ca="1">IF(SwitchPA=1,_xll.TR(GE$7,GE$6,"Sdate=#1 Period=#2 NULL=BLANK Scale=6",,$D40,$FS$4),GE40)</f>
        <v>1390</v>
      </c>
      <c r="GF40" s="1506" cm="1">
        <f t="array" aca="1" ref="GF40" ca="1">IF(SwitchPA=1,_xll.TR(GF$7,GF$6,"Sdate=#1 Period=#2 NULL=BLANK Scale=6",,$D40,$FS$4),GF40)</f>
        <v>707.3</v>
      </c>
      <c r="GG40" s="1506" cm="1">
        <f t="array" aca="1" ref="GG40" ca="1">IF(SwitchPA=1,_xll.TR(GG$7,GG$6,"Sdate=#1 Period=#2 NULL=BLANK Scale=6",,$D40,$FS$4),GG40)</f>
        <v>1191</v>
      </c>
      <c r="GH40" s="1506" cm="1">
        <f t="array" aca="1" ref="GH40" ca="1">IF(SwitchPA=1,_xll.TR(GH$7,GH$6,"Sdate=#1 Period=#2 NULL=BLANK Scale=6",,$D40,$FS$4),GH40)</f>
        <v>928</v>
      </c>
      <c r="GI40" s="1506" t="str" cm="1">
        <f t="array" aca="1" ref="GI40" ca="1">IF(SwitchPA=1,_xll.TR(GI$7,GI$6,"Sdate=#1 Period=#2 NULL=BLANK Scale=6",,$D40,$FS$4),GI40)</f>
        <v>Unable to resolve all requested identifiers.</v>
      </c>
      <c r="GK40" s="1506" cm="1">
        <f t="array" aca="1" ref="GK40" ca="1">IF(SwitchPA=1,_xll.TR(GK$7,GK$6,"Sdate=#1 Period=#2 NULL=BLANK Scale=6",,$D40,$FS$4),GK40)</f>
        <v>2.5188499461430101</v>
      </c>
      <c r="GL40" s="1506" cm="1">
        <f t="array" aca="1" ref="GL40" ca="1">IF(SwitchPA=1,_xll.TR(GL$7,GL$6,"Sdate=#1 Period=#2 NULL=BLANK Scale=6",,$D40,$FS$4),GL40)</f>
        <v>1.76428617759616</v>
      </c>
      <c r="GM40" s="1506" cm="1">
        <f t="array" aca="1" ref="GM40" ca="1">IF(SwitchPA=1,_xll.TR(GM$7,GM$6,"Sdate=#1 Period=#2 NULL=BLANK Scale=6",,$D40,$FS$4),GM40)</f>
        <v>4.9661399548532703</v>
      </c>
      <c r="GN40" s="1506" cm="1">
        <f t="array" aca="1" ref="GN40" ca="1">IF(SwitchPA=1,_xll.TR(GN$7,GN$6,"Sdate=#1 Period=#2 NULL=BLANK Scale=6",,$D40,$FS$4),GN40)</f>
        <v>4.6029919447641001</v>
      </c>
      <c r="GO40" s="1506" cm="1">
        <f t="array" aca="1" ref="GO40" ca="1">IF(SwitchPA=1,_xll.TR(GO$7,GO$6,"Sdate=#1 Period=#2 NULL=BLANK Scale=6",,$D40,$FS$4),GO40)</f>
        <v>4.5132301547678502</v>
      </c>
      <c r="GP40" s="1506" cm="1">
        <f t="array" aca="1" ref="GP40" ca="1">IF(SwitchPA=1,_xll.TR(GP$7,GP$6,"Sdate=#1 Period=#2 NULL=BLANK Scale=6",,$D40,$FS$4),GP40)</f>
        <v>1.5888778550149001</v>
      </c>
      <c r="GQ40" s="1506" cm="1">
        <f t="array" aca="1" ref="GQ40" ca="1">IF(SwitchPA=1,_xll.TR(GQ$7,GQ$6,"Sdate=#1 Period=#2 NULL=BLANK Scale=6",,$D40,$FS$4),GQ40)</f>
        <v>3.9737387698686901</v>
      </c>
      <c r="GR40" s="1506" cm="1">
        <f t="array" aca="1" ref="GR40" ca="1">IF(SwitchPA=1,_xll.TR(GR$7,GR$6,"Sdate=#1 Period=#2 NULL=BLANK Scale=6",,$D40,$FS$4),GR40)</f>
        <v>2.3179710935369502</v>
      </c>
      <c r="GS40" s="1506" cm="1">
        <f t="array" aca="1" ref="GS40" ca="1">IF(SwitchPA=1,_xll.TR(GS$7,GS$6,"Sdate=#1 Period=#2 NULL=BLANK Scale=6",,$D40,$FS$4),GS40)</f>
        <v>3.7719131700525299</v>
      </c>
      <c r="GT40" s="1506" cm="1">
        <f t="array" aca="1" ref="GT40" ca="1">IF(SwitchPA=1,_xll.TR(GT$7,GT$6,"Sdate=#1 Period=#2 NULL=BLANK Scale=6",,$D40,$FS$4),GT40)</f>
        <v>0.685172171468728</v>
      </c>
      <c r="GU40" s="1506" cm="1">
        <f t="array" aca="1" ref="GU40" ca="1">IF(SwitchPA=1,_xll.TR(GU$7,GU$6,"Sdate=#1 Period=#2 NULL=BLANK Scale=6",,$D40,$FS$4),GU40)</f>
        <v>1.2638230647709301</v>
      </c>
      <c r="GV40" s="1506" cm="1">
        <f t="array" aca="1" ref="GV40" ca="1">IF(SwitchPA=1,_xll.TR(GV$7,GV$6,"Sdate=#1 Period=#2 NULL=BLANK Scale=6",,$D40,$FS$4),GV40)</f>
        <v>1.8047112462006101</v>
      </c>
      <c r="GW40" s="1506" cm="1">
        <f t="array" aca="1" ref="GW40" ca="1">IF(SwitchPA=1,_xll.TR(GW$7,GW$6,"Sdate=#1 Period=#2 NULL=BLANK Scale=6",,$D40,$FS$4),GW40)</f>
        <v>1.66414523449319</v>
      </c>
      <c r="GX40" s="1506" cm="1">
        <f t="array" aca="1" ref="GX40" ca="1">IF(SwitchPA=1,_xll.TR(GX$7,GX$6,"Sdate=#1 Period=#2 NULL=BLANK Scale=6",,$D40,$FS$4),GX40)</f>
        <v>1.8315334773218099</v>
      </c>
      <c r="GY40" s="1506" cm="1">
        <f t="array" aca="1" ref="GY40" ca="1">IF(SwitchPA=1,_xll.TR(GY$7,GY$6,"Sdate=#1 Period=#2 NULL=BLANK Scale=6",,$D40,$FS$4),GY40)</f>
        <v>1.5810276679841899</v>
      </c>
      <c r="GZ40" s="1506" cm="1">
        <f t="array" aca="1" ref="GZ40" ca="1">IF(SwitchPA=1,_xll.TR(GZ$7,GZ$6,"Sdate=#1 Period=#2 NULL=BLANK Scale=6",,$D40,$FS$4),GZ40)</f>
        <v>3.5277516462840999</v>
      </c>
      <c r="HA40" s="1506" t="str" cm="1">
        <f t="array" aca="1" ref="HA40" ca="1">IF(SwitchPA=1,_xll.TR(HA$7,HA$6,"Sdate=#1 Period=#2 NULL=BLANK Scale=6",,$D40,$FS$4),HA40)</f>
        <v/>
      </c>
      <c r="HC40">
        <v>3.89</v>
      </c>
      <c r="HD40">
        <v>68.13</v>
      </c>
      <c r="HE40">
        <v>70.86</v>
      </c>
      <c r="HG40" s="762">
        <f t="shared" si="52"/>
        <v>0.91625615763546819</v>
      </c>
      <c r="HH40" s="762">
        <f t="shared" si="53"/>
        <v>0.73978549540347305</v>
      </c>
      <c r="HI40" s="762">
        <f t="shared" si="54"/>
        <v>0.68875119161105802</v>
      </c>
    </row>
    <row r="41" spans="3:217" ht="11.25" customHeight="1">
      <c r="C41" s="1514">
        <f t="shared" si="51"/>
        <v>44926</v>
      </c>
      <c r="D41" s="1515">
        <f t="shared" si="49"/>
        <v>44971</v>
      </c>
      <c r="E41" s="1506" cm="1">
        <f t="array" aca="1" ref="E41" ca="1">IF(SwitchPA=1,_xll.TR(E$7,E$6,"Sdate=#1 Period=#2 NULL=BLANK",,$D41,$E$4),E41)</f>
        <v>8.2746410890455397</v>
      </c>
      <c r="F41" s="1506" cm="1">
        <f t="array" aca="1" ref="F41" ca="1">IF(SwitchPA=1,_xll.TR(F$7,F$6,"Sdate=#1 Period=#2 NULL=BLANK",,$D41,$E$4),F41)</f>
        <v>5.2515122000512404</v>
      </c>
      <c r="G41" s="1506" cm="1">
        <f t="array" aca="1" ref="G41" ca="1">IF(SwitchPA=1,_xll.TR(G$7,G$6,"Sdate=#1 Period=#2 NULL=BLANK",,$D41,$E$4),G41)</f>
        <v>7.0614903688472204</v>
      </c>
      <c r="H41" s="1506" cm="1">
        <f t="array" aca="1" ref="H41" ca="1">IF(SwitchPA=1,_xll.TR(H$7,H$6,"Sdate=#1 Period=#2 NULL=BLANK",,$D41,$E$4),H41)</f>
        <v>8.0676748768117807</v>
      </c>
      <c r="I41" s="1506" cm="1">
        <f t="array" aca="1" ref="I41" ca="1">IF(SwitchPA=1,_xll.TR(I$7,I$6,"Sdate=#1 Period=#2 NULL=BLANK",,$D41,$E$4),I41)</f>
        <v>7.6727749262231901</v>
      </c>
      <c r="J41" s="1506" cm="1">
        <f t="array" aca="1" ref="J41" ca="1">IF(SwitchPA=1,_xll.TR(J$7,J$6,"Sdate=#1 Period=#2 NULL=BLANK",,$D41,$E$4),J41)</f>
        <v>5.9598474202916503</v>
      </c>
      <c r="K41" s="1506" cm="1">
        <f t="array" aca="1" ref="K41" ca="1">IF(SwitchPA=1,_xll.TR(K$7,K$6,"Sdate=#1 Period=#2 NULL=BLANK",,$D41,$E$4),K41)</f>
        <v>5.8430581240901303</v>
      </c>
      <c r="L41" s="1506" cm="1">
        <f t="array" aca="1" ref="L41" ca="1">IF(SwitchPA=1,_xll.TR(L$7,L$6,"Sdate=#1 Period=#2 NULL=BLANK",,$D41,$E$4),L41)</f>
        <v>6.96533103944705</v>
      </c>
      <c r="M41" s="1506" cm="1">
        <f t="array" aca="1" ref="M41" ca="1">IF(SwitchPA=1,_xll.TR(M$7,M$6,"Sdate=#1 Period=#2 NULL=BLANK",,$D41,$E$4),M41)</f>
        <v>9.3824747436453197</v>
      </c>
      <c r="N41" s="1506" cm="1">
        <f t="array" aca="1" ref="N41" ca="1">IF(SwitchPA=1,_xll.TR(N$7,N$6,"Sdate=#1 Period=#2 NULL=BLANK",,$D41,$E$4),N41)</f>
        <v>7.4342207704400103</v>
      </c>
      <c r="O41" s="1506" cm="1">
        <f t="array" aca="1" ref="O41" ca="1">IF(SwitchPA=1,_xll.TR(O$7,O$6,"Sdate=#1 Period=#2 NULL=BLANK",,$D41,$E$4),O41)</f>
        <v>10.238885349555501</v>
      </c>
      <c r="P41" s="1506" cm="1">
        <f t="array" aca="1" ref="P41" ca="1">IF(SwitchPA=1,_xll.TR(P$7,P$6,"Sdate=#1 Period=#2 NULL=BLANK",,$D41,$E$4),P41)</f>
        <v>11.125886694019201</v>
      </c>
      <c r="Q41" s="1506" cm="1">
        <f t="array" aca="1" ref="Q41" ca="1">IF(SwitchPA=1,_xll.TR(Q$7,Q$6,"Sdate=#1 Period=#2 NULL=BLANK",,$D41,$E$4),Q41)</f>
        <v>14.2358017273475</v>
      </c>
      <c r="R41" s="1506" cm="1">
        <f t="array" aca="1" ref="R41" ca="1">IF(SwitchPA=1,_xll.TR(R$7,R$6,"Sdate=#1 Period=#2 NULL=BLANK",,$D41,$E$4),R41)</f>
        <v>12.3611416812776</v>
      </c>
      <c r="S41" s="1506" cm="1">
        <f t="array" aca="1" ref="S41" ca="1">IF(SwitchPA=1,_xll.TR(S$7,S$6,"Sdate=#1 Period=#2 NULL=BLANK",,$D41,$E$4),S41)</f>
        <v>13.6526920212353</v>
      </c>
      <c r="T41" s="1506" cm="1">
        <f t="array" aca="1" ref="T41" ca="1">IF(SwitchPA=1,_xll.TR(T$7,T$6,"Sdate=#1 Period=#2 NULL=BLANK",,$D41,$E$4),T41)</f>
        <v>5.1378639450667896</v>
      </c>
      <c r="U41" s="1506" t="str" cm="1">
        <f t="array" aca="1" ref="U41" ca="1">IF(SwitchPA=1,_xll.TR(U$7,U$6,"Sdate=#1 Period=#2 NULL=BLANK",,$D41,$E$4),U41)</f>
        <v>No universe defined.</v>
      </c>
      <c r="V41" s="1506" t="str" cm="1">
        <f t="array" aca="1" ref="V41" ca="1">IF(SwitchPA=1,_xll.TR(V$7,V$6,"Sdate=#1 Period=#2 NULL=BLANK",,$D41,$E$4),V41)</f>
        <v>No universe defined.</v>
      </c>
      <c r="W41" s="1521">
        <f t="shared" ca="1" si="55"/>
        <v>0.17179811298055547</v>
      </c>
      <c r="X41" s="1506" cm="1">
        <f t="array" aca="1" ref="X41" ca="1">IF(SwitchPA=1,_xll.TR(X$7,X$6,"Sdate=#1 Period=#2 NULL=BLANK",,$D41,$X$4),X41)</f>
        <v>8.11601580391957</v>
      </c>
      <c r="Y41" s="1506" cm="1">
        <f t="array" aca="1" ref="Y41" ca="1">IF(SwitchPA=1,_xll.TR(Y$7,Y$6,"Sdate=#1 Period=#2 NULL=BLANK",,$D41,$X$4),Y41)</f>
        <v>5.9617693217803396</v>
      </c>
      <c r="Z41" s="1506" cm="1">
        <f t="array" aca="1" ref="Z41" ca="1">IF(SwitchPA=1,_xll.TR(Z$7,Z$6,"Sdate=#1 Period=#2 NULL=BLANK",,$D41,$X$4),Z41)</f>
        <v>6.2828359699323197</v>
      </c>
      <c r="AA41" s="1506" cm="1">
        <f t="array" aca="1" ref="AA41" ca="1">IF(SwitchPA=1,_xll.TR(AA$7,AA$6,"Sdate=#1 Period=#2 NULL=BLANK",,$D41,$X$4),AA41)</f>
        <v>6.0204318814089497</v>
      </c>
      <c r="AB41" s="1506" cm="1">
        <f t="array" aca="1" ref="AB41" ca="1">IF(SwitchPA=1,_xll.TR(AB$7,AB$6,"Sdate=#1 Period=#2 NULL=BLANK",,$D41,$X$4),AB41)</f>
        <v>6.6177957698462802</v>
      </c>
      <c r="AC41" s="1506" cm="1">
        <f t="array" aca="1" ref="AC41" ca="1">IF(SwitchPA=1,_xll.TR(AC$7,AC$6,"Sdate=#1 Period=#2 NULL=BLANK",,$D41,$X$4),AC41)</f>
        <v>4.5654111702008597</v>
      </c>
      <c r="AD41" s="1506" cm="1">
        <f t="array" aca="1" ref="AD41" ca="1">IF(SwitchPA=1,_xll.TR(AD$7,AD$6,"Sdate=#1 Period=#2 NULL=BLANK",,$D41,$X$4),AD41)</f>
        <v>5.4151828725464997</v>
      </c>
      <c r="AE41" s="1506" cm="1">
        <f t="array" aca="1" ref="AE41" ca="1">IF(SwitchPA=1,_xll.TR(AE$7,AE$6,"Sdate=#1 Period=#2 NULL=BLANK",,$D41,$X$4),AE41)</f>
        <v>5.8307756912475002</v>
      </c>
      <c r="AF41" s="1506" cm="1">
        <f t="array" aca="1" ref="AF41" ca="1">IF(SwitchPA=1,_xll.TR(AF$7,AF$6,"Sdate=#1 Period=#2 NULL=BLANK",,$D41,$X$4),AF41)</f>
        <v>8.4814886949855506</v>
      </c>
      <c r="AG41" s="1506" cm="1">
        <f t="array" aca="1" ref="AG41" ca="1">IF(SwitchPA=1,_xll.TR(AG$7,AG$6,"Sdate=#1 Period=#2 NULL=BLANK",,$D41,$X$4),AG41)</f>
        <v>9.3725812785740406</v>
      </c>
      <c r="AH41" s="1506" cm="1">
        <f t="array" aca="1" ref="AH41" ca="1">IF(SwitchPA=1,_xll.TR(AH$7,AH$6,"Sdate=#1 Period=#2 NULL=BLANK",,$D41,$X$4),AH41)</f>
        <v>10.791078928179401</v>
      </c>
      <c r="AI41" s="1506" cm="1">
        <f t="array" aca="1" ref="AI41" ca="1">IF(SwitchPA=1,_xll.TR(AI$7,AI$6,"Sdate=#1 Period=#2 NULL=BLANK",,$D41,$X$4),AI41)</f>
        <v>11.123768403599801</v>
      </c>
      <c r="AJ41" s="1506" cm="1">
        <f t="array" aca="1" ref="AJ41" ca="1">IF(SwitchPA=1,_xll.TR(AJ$7,AJ$6,"Sdate=#1 Period=#2 NULL=BLANK",,$D41,$X$4),AJ41)</f>
        <v>14.132569500201701</v>
      </c>
      <c r="AK41" s="1506" cm="1">
        <f t="array" aca="1" ref="AK41" ca="1">IF(SwitchPA=1,_xll.TR(AK$7,AK$6,"Sdate=#1 Period=#2 NULL=BLANK",,$D41,$X$4),AK41)</f>
        <v>13.528826164704601</v>
      </c>
      <c r="AL41" s="1506" cm="1">
        <f t="array" aca="1" ref="AL41" ca="1">IF(SwitchPA=1,_xll.TR(AL$7,AL$6,"Sdate=#1 Period=#2 NULL=BLANK",,$D41,$X$4),AL41)</f>
        <v>14.9766058223048</v>
      </c>
      <c r="AM41" s="1506" cm="1">
        <f t="array" aca="1" ref="AM41" ca="1">IF(SwitchPA=1,_xll.TR(AM$7,AM$6,"Sdate=#1 Period=#2 NULL=BLANK",,$D41,$X$4),AM41)</f>
        <v>4.5153695633969004</v>
      </c>
      <c r="AN41" s="1506" t="str" cm="1">
        <f t="array" aca="1" ref="AN41" ca="1">IF(SwitchPA=1,_xll.TR(AN$7,AN$6,"Sdate=#1 Period=#2 NULL=BLANK",,$D41,$X$4),AN41)</f>
        <v/>
      </c>
      <c r="AO41" s="1506" t="str" cm="1">
        <f t="array" aca="1" ref="AO41" ca="1">IF(SwitchPA=1,_xll.TR(AO$7,AO$6,"Sdate=#1 Period=#2 NULL=BLANK",,$D41,$X$4),AO41)</f>
        <v/>
      </c>
      <c r="AQ41" s="1506" cm="1">
        <f t="array" aca="1" ref="AQ41" ca="1">IF(SwitchPA=1,_xll.TR(AQ$7,AQ$6,"Sdate=#1 Period=#2 NULL=BLANK Scale=6",,$D41,$AQ$4),AQ41)</f>
        <v>14.1833333333333</v>
      </c>
      <c r="AR41" s="1506" cm="1">
        <f t="array" aca="1" ref="AR41" ca="1">IF(SwitchPA=1,_xll.TR(AR$7,AR$6,"Sdate=#1 Period=#2 NULL=BLANK Scale=6",,$D41,$AQ$4),AR41)</f>
        <v>17.1666666666667</v>
      </c>
      <c r="AS41" s="1506" cm="1">
        <f t="array" aca="1" ref="AS41" ca="1">IF(SwitchPA=1,_xll.TR(AS$7,AS$6,"Sdate=#1 Period=#2 NULL=BLANK Scale=6",,$D41,$AQ$4),AS41)</f>
        <v>9.2133333333333294</v>
      </c>
      <c r="AT41" s="1506" cm="1">
        <f t="array" aca="1" ref="AT41" ca="1">IF(SwitchPA=1,_xll.TR(AT$7,AT$6,"Sdate=#1 Period=#2 NULL=BLANK Scale=6",,$D41,$AQ$4),AT41)</f>
        <v>17.266666666666701</v>
      </c>
      <c r="AU41" s="1506" cm="1">
        <f t="array" aca="1" ref="AU41" ca="1">IF(SwitchPA=1,_xll.TR(AU$7,AU$6,"Sdate=#1 Period=#2 NULL=BLANK Scale=6",,$D41,$AQ$4),AU41)</f>
        <v>19.25</v>
      </c>
      <c r="AV41" s="1506" t="str" cm="1">
        <f t="array" aca="1" ref="AV41" ca="1">IF(SwitchPA=1,_xll.TR(AV$7,AV$6,"Sdate=#1 Period=#2 NULL=BLANK Scale=6",,$D41,$AQ$4),AV41)</f>
        <v/>
      </c>
      <c r="AW41" s="1506" cm="1">
        <f t="array" aca="1" ref="AW41" ca="1">IF(SwitchPA=1,_xll.TR(AW$7,AW$6,"Sdate=#1 Period=#2 NULL=BLANK Scale=6",,$D41,$AQ$4),AW41)</f>
        <v>7.8722200000000004</v>
      </c>
      <c r="AX41" s="1506" cm="1">
        <f t="array" aca="1" ref="AX41" ca="1">IF(SwitchPA=1,_xll.TR(AX$7,AX$6,"Sdate=#1 Period=#2 NULL=BLANK Scale=6",,$D41,$AQ$4),AX41)</f>
        <v>11.45</v>
      </c>
      <c r="AY41" s="1506" cm="1">
        <f t="array" aca="1" ref="AY41" ca="1">IF(SwitchPA=1,_xll.TR(AY$7,AY$6,"Sdate=#1 Period=#2 NULL=BLANK Scale=6",,$D41,$AQ$4),AY41)</f>
        <v>19.216666666666701</v>
      </c>
      <c r="AZ41" s="1506" cm="1">
        <f t="array" aca="1" ref="AZ41" ca="1">IF(SwitchPA=1,_xll.TR(AZ$7,AZ$6,"Sdate=#1 Period=#2 NULL=BLANK Scale=6",,$D41,$AQ$4),AZ41)</f>
        <v>-4.6666666666666696</v>
      </c>
      <c r="BA41" s="1506" t="str" cm="1">
        <f t="array" aca="1" ref="BA41" ca="1">IF(SwitchPA=1,_xll.TR(BA$7,BA$6,"Sdate=#1 Period=#2 NULL=BLANK Scale=6",,$D41,$AQ$4),BA41)</f>
        <v/>
      </c>
      <c r="BB41" s="1506" cm="1">
        <f t="array" aca="1" ref="BB41" ca="1">IF(SwitchPA=1,_xll.TR(BB$7,BB$6,"Sdate=#1 Period=#2 NULL=BLANK Scale=6",,$D41,$AQ$4),BB41)</f>
        <v>7.1666666666666696</v>
      </c>
      <c r="BC41" s="1506" cm="1">
        <f t="array" aca="1" ref="BC41" ca="1">IF(SwitchPA=1,_xll.TR(BC$7,BC$6,"Sdate=#1 Period=#2 NULL=BLANK Scale=6",,$D41,$AQ$4),BC41)</f>
        <v>9.2833333333333297</v>
      </c>
      <c r="BD41" s="1506" cm="1">
        <f t="array" aca="1" ref="BD41" ca="1">IF(SwitchPA=1,_xll.TR(BD$7,BD$6,"Sdate=#1 Period=#2 NULL=BLANK Scale=6",,$D41,$AQ$4),BD41)</f>
        <v>21.75</v>
      </c>
      <c r="BE41" s="1506" cm="1">
        <f t="array" aca="1" ref="BE41" ca="1">IF(SwitchPA=1,_xll.TR(BE$7,BE$6,"Sdate=#1 Period=#2 NULL=BLANK Scale=6",,$D41,$AQ$4),BE41)</f>
        <v>9.0333333333333297</v>
      </c>
      <c r="BF41" s="1506" cm="1">
        <f t="array" aca="1" ref="BF41" ca="1">IF(SwitchPA=1,_xll.TR(BF$7,BF$6,"Sdate=#1 Period=#2 NULL=BLANK Scale=6",,$D41,$AQ$4),BF41)</f>
        <v>14.8888883333333</v>
      </c>
      <c r="BG41" s="1506" t="str" cm="1">
        <f t="array" aca="1" ref="BG41" ca="1">IF(SwitchPA=1,_xll.TR(BG$7,BG$6,"Sdate=#1 Period=#2 NULL=BLANK Scale=6",,$D41,$AQ$4),BG41)</f>
        <v/>
      </c>
      <c r="BH41" s="1506" t="str" cm="1">
        <f t="array" aca="1" ref="BH41" ca="1">IF(SwitchPA=1,_xll.TR(BH$7,BH$6,"Sdate=#1 Period=#2 NULL=BLANK Scale=6",,$D41,$AQ$4),BH41)</f>
        <v/>
      </c>
      <c r="BJ41" s="1506" cm="1">
        <f t="array" aca="1" ref="BJ41" ca="1">IF(SwitchPA=1,_xll.TR(BJ$7,BJ$6,"Sdate=#1 Period=#2 NULL=BLANK Scale=6",,$D41,$BJ$4),BJ41)</f>
        <v>6.8150319430000001</v>
      </c>
      <c r="BK41" s="1506" cm="1">
        <f t="array" aca="1" ref="BK41" ca="1">IF(SwitchPA=1,_xll.TR(BK$7,BK$6,"Sdate=#1 Period=#2 NULL=BLANK Scale=6",,$D41,$BJ$4),BK41)</f>
        <v>7.1533985680000001</v>
      </c>
      <c r="BL41" s="1506" cm="1">
        <f t="array" aca="1" ref="BL41" ca="1">IF(SwitchPA=1,_xll.TR(BL$7,BL$6,"Sdate=#1 Period=#2 NULL=BLANK Scale=6",,$D41,$BJ$4),BL41)</f>
        <v>5.1429197287313304</v>
      </c>
      <c r="BM41" s="1506" cm="1">
        <f t="array" aca="1" ref="BM41" ca="1">IF(SwitchPA=1,_xll.TR(BM$7,BM$6,"Sdate=#1 Period=#2 NULL=BLANK Scale=6",,$D41,$BJ$4),BM41)</f>
        <v>6.1243924070000002</v>
      </c>
      <c r="BN41" s="1506" cm="1">
        <f t="array" aca="1" ref="BN41" ca="1">IF(SwitchPA=1,_xll.TR(BN$7,BN$6,"Sdate=#1 Period=#2 NULL=BLANK Scale=6",,$D41,$BJ$4),BN41)</f>
        <v>5.6547256209999999</v>
      </c>
      <c r="BO41" s="1506" cm="1">
        <f t="array" aca="1" ref="BO41" ca="1">IF(SwitchPA=1,_xll.TR(BO$7,BO$6,"Sdate=#1 Period=#2 NULL=BLANK Scale=6",,$D41,$BJ$4),BO41)</f>
        <v>3.9641435039999999</v>
      </c>
      <c r="BP41" s="1506" cm="1">
        <f t="array" aca="1" ref="BP41" ca="1">IF(SwitchPA=1,_xll.TR(BP$7,BP$6,"Sdate=#1 Period=#2 NULL=BLANK Scale=6",,$D41,$BJ$4),BP41)</f>
        <v>5.4025620500000002</v>
      </c>
      <c r="BQ41" s="1506" cm="1">
        <f t="array" aca="1" ref="BQ41" ca="1">IF(SwitchPA=1,_xll.TR(BQ$7,BQ$6,"Sdate=#1 Period=#2 NULL=BLANK Scale=6",,$D41,$BJ$4),BQ41)</f>
        <v>5.3135133359999998</v>
      </c>
      <c r="BR41" s="1506" cm="1">
        <f t="array" aca="1" ref="BR41" ca="1">IF(SwitchPA=1,_xll.TR(BR$7,BR$6,"Sdate=#1 Period=#2 NULL=BLANK Scale=6",,$D41,$BJ$4),BR41)</f>
        <v>8.1260940880000003</v>
      </c>
      <c r="BS41" s="1506" cm="1">
        <f t="array" aca="1" ref="BS41" ca="1">IF(SwitchPA=1,_xll.TR(BS$7,BS$6,"Sdate=#1 Period=#2 NULL=BLANK Scale=6",,$D41,$BJ$4),BS41)</f>
        <v>17.164567847000001</v>
      </c>
      <c r="BT41" s="1506" cm="1">
        <f t="array" aca="1" ref="BT41" ca="1">IF(SwitchPA=1,_xll.TR(BT$7,BT$6,"Sdate=#1 Period=#2 NULL=BLANK Scale=6",,$D41,$BJ$4),BT41)</f>
        <v>11.717546213</v>
      </c>
      <c r="BU41" s="1506" cm="1">
        <f t="array" aca="1" ref="BU41" ca="1">IF(SwitchPA=1,_xll.TR(BU$7,BU$6,"Sdate=#1 Period=#2 NULL=BLANK Scale=6",,$D41,$BJ$4),BU41)</f>
        <v>12.920341282000001</v>
      </c>
      <c r="BV41" s="1506" cm="1">
        <f t="array" aca="1" ref="BV41" ca="1">IF(SwitchPA=1,_xll.TR(BV$7,BV$6,"Sdate=#1 Period=#2 NULL=BLANK Scale=6",,$D41,$BJ$4),BV41)</f>
        <v>14.463458056</v>
      </c>
      <c r="BW41" s="1506" cm="1">
        <f t="array" aca="1" ref="BW41" ca="1">IF(SwitchPA=1,_xll.TR(BW$7,BW$6,"Sdate=#1 Period=#2 NULL=BLANK Scale=6",,$D41,$BJ$4),BW41)</f>
        <v>14.710549285000001</v>
      </c>
      <c r="BX41" s="1506" cm="1">
        <f t="array" aca="1" ref="BX41" ca="1">IF(SwitchPA=1,_xll.TR(BX$7,BX$6,"Sdate=#1 Period=#2 NULL=BLANK Scale=6",,$D41,$BJ$4),BX41)</f>
        <v>16.659632963</v>
      </c>
      <c r="BY41" s="1506" cm="1">
        <f t="array" aca="1" ref="BY41" ca="1">IF(SwitchPA=1,_xll.TR(BY$7,BY$6,"Sdate=#1 Period=#2 NULL=BLANK Scale=6",,$D41,$BJ$4),BY41)</f>
        <v>4.4030450876971603</v>
      </c>
      <c r="BZ41" s="1506" t="str" cm="1">
        <f t="array" aca="1" ref="BZ41" ca="1">IF(SwitchPA=1,_xll.TR(BZ$7,BZ$6,"Sdate=#1 Period=#2 NULL=BLANK Scale=6",,$D41,$BJ$4),BZ41)</f>
        <v/>
      </c>
      <c r="CA41" s="1506" t="str" cm="1">
        <f t="array" aca="1" ref="CA41" ca="1">IF(SwitchPA=1,_xll.TR(CA$7,CA$6,"Sdate=#1 Period=#2 NULL=BLANK Scale=6",,$D41,$BJ$4),CA41)</f>
        <v/>
      </c>
      <c r="CC41" s="1506" cm="1">
        <f t="array" aca="1" ref="CC41" ca="1">IF(SwitchPA=1,_xll.TR(CC$7,CC$6,"Sdate=#1 Period=#2 NULL=BLANK Scale=6",,$D41,$CC$4),CC41)</f>
        <v>10580</v>
      </c>
      <c r="CD41" s="1506" cm="1">
        <f t="array" aca="1" ref="CD41" ca="1">IF(SwitchPA=1,_xll.TR(CD$7,CD$6,"Sdate=#1 Period=#2 NULL=BLANK Scale=6",,$D41,$CC$4),CD41)</f>
        <v>9600</v>
      </c>
      <c r="CE41" s="1506" cm="1">
        <f t="array" aca="1" ref="CE41" ca="1">IF(SwitchPA=1,_xll.TR(CE$7,CE$6,"Sdate=#1 Period=#2 NULL=BLANK Scale=6",,$D41,$CC$4),CE41)</f>
        <v>87328</v>
      </c>
      <c r="CF41" s="1506" cm="1">
        <f t="array" aca="1" ref="CF41" ca="1">IF(SwitchPA=1,_xll.TR(CF$7,CF$6,"Sdate=#1 Period=#2 NULL=BLANK Scale=6",,$D41,$CC$4),CF41)</f>
        <v>56902</v>
      </c>
      <c r="CG41" s="1506" cm="1">
        <f t="array" aca="1" ref="CG41" ca="1">IF(SwitchPA=1,_xll.TR(CG$7,CG$6,"Sdate=#1 Period=#2 NULL=BLANK Scale=6",,$D41,$CC$4),CG41)</f>
        <v>50451</v>
      </c>
      <c r="CH41" s="1506" cm="1">
        <f t="array" aca="1" ref="CH41" ca="1">IF(SwitchPA=1,_xll.TR(CH$7,CH$6,"Sdate=#1 Period=#2 NULL=BLANK Scale=6",,$D41,$CC$4),CH41)</f>
        <v>9376.2000000000007</v>
      </c>
      <c r="CI41" s="1506" cm="1">
        <f t="array" aca="1" ref="CI41" ca="1">IF(SwitchPA=1,_xll.TR(CI$7,CI$6,"Sdate=#1 Period=#2 NULL=BLANK Scale=6",,$D41,$CC$4),CI41)</f>
        <v>18238</v>
      </c>
      <c r="CJ41" s="1506" cm="1">
        <f t="array" aca="1" ref="CJ41" ca="1">IF(SwitchPA=1,_xll.TR(CJ$7,CJ$6,"Sdate=#1 Period=#2 NULL=BLANK Scale=6",,$D41,$CC$4),CJ41)</f>
        <v>8874</v>
      </c>
      <c r="CK41" s="1506" cm="1">
        <f t="array" aca="1" ref="CK41" ca="1">IF(SwitchPA=1,_xll.TR(CK$7,CK$6,"Sdate=#1 Period=#2 NULL=BLANK Scale=6",,$D41,$CC$4),CK41)</f>
        <v>34229</v>
      </c>
      <c r="CL41" s="1506" t="str" cm="1">
        <f t="array" aca="1" ref="CL41" ca="1">IF(SwitchPA=1,_xll.TR(CL$7,CL$6,"Sdate=#1 Period=#2 NULL=BLANK Scale=6",,$D41,$CC$4),CL41)</f>
        <v/>
      </c>
      <c r="CM41" s="1506" cm="1">
        <f t="array" aca="1" ref="CM41" ca="1">IF(SwitchPA=1,_xll.TR(CM$7,CM$6,"Sdate=#1 Period=#2 NULL=BLANK Scale=6",,$D41,$CC$4),CM41)</f>
        <v>2405</v>
      </c>
      <c r="CN41" s="1506" t="str" cm="1">
        <f t="array" aca="1" ref="CN41" ca="1">IF(SwitchPA=1,_xll.TR(CN$7,CN$6,"Sdate=#1 Period=#2 NULL=BLANK Scale=6",,$D41,$CC$4),CN41)</f>
        <v/>
      </c>
      <c r="CO41" s="1506" cm="1">
        <f t="array" aca="1" ref="CO41" ca="1">IF(SwitchPA=1,_xll.TR(CO$7,CO$6,"Sdate=#1 Period=#2 NULL=BLANK Scale=6",,$D41,$CC$4),CO41)</f>
        <v>13017</v>
      </c>
      <c r="CP41" s="1506" cm="1">
        <f t="array" aca="1" ref="CP41" ca="1">IF(SwitchPA=1,_xll.TR(CP$7,CP$6,"Sdate=#1 Period=#2 NULL=BLANK Scale=6",,$D41,$CC$4),CP41)</f>
        <v>5802.3</v>
      </c>
      <c r="CQ41" s="1506" cm="1">
        <f t="array" aca="1" ref="CQ41" ca="1">IF(SwitchPA=1,_xll.TR(CQ$7,CQ$6,"Sdate=#1 Period=#2 NULL=BLANK Scale=6",,$D41,$CC$4),CQ41)</f>
        <v>17652</v>
      </c>
      <c r="CR41" s="1506" cm="1">
        <f t="array" aca="1" ref="CR41" ca="1">IF(SwitchPA=1,_xll.TR(CR$7,CR$6,"Sdate=#1 Period=#2 NULL=BLANK Scale=6",,$D41,$CC$4),CR41)</f>
        <v>15442</v>
      </c>
      <c r="CS41" s="1506" t="str" cm="1">
        <f t="array" aca="1" ref="CS41" ca="1">IF(SwitchPA=1,_xll.TR(CS$7,CS$6,"Sdate=#1 Period=#2 NULL=BLANK Scale=6",,$D41,$CC$4),CS41)</f>
        <v>Unable to resolve all requested identifiers.</v>
      </c>
      <c r="CT41" s="1506" t="str" cm="1">
        <f t="array" aca="1" ref="CT41" ca="1">IF(SwitchPA=1,_xll.TR(CT$7,CT$6,"Sdate=#1 Period=#2 NULL=BLANK Scale=6",,$D41,$CC$4),CT41)</f>
        <v>Unable to resolve all requested identifiers.</v>
      </c>
      <c r="CU41" s="1002"/>
      <c r="CV41" s="1516" cm="1">
        <f t="array" aca="1" ref="CV41" ca="1">IF(SwitchPA=1,_xll.TR(CV$7,CV$6,"Sdate=#1 Period=#2 NULL=BLANK Scale=6",,$D41,$AQ$4),CV41)</f>
        <v>5232</v>
      </c>
      <c r="CW41" s="1516" cm="1">
        <f t="array" aca="1" ref="CW41" ca="1">IF(SwitchPA=1,_xll.TR(CW$7,CW$6,"Sdate=#1 Period=#2 NULL=BLANK Scale=6",,$D41,$AQ$4),CW41)</f>
        <v>4410.25</v>
      </c>
      <c r="CX41" s="1516" cm="1">
        <f t="array" aca="1" ref="CX41" ca="1">IF(SwitchPA=1,_xll.TR(CX$7,CX$6,"Sdate=#1 Period=#2 NULL=BLANK Scale=6",,$D41,$AQ$4),CX41)</f>
        <v>22492.25</v>
      </c>
      <c r="CY41" s="1516" cm="1">
        <f t="array" aca="1" ref="CY41" ca="1">IF(SwitchPA=1,_xll.TR(CY$7,CY$6,"Sdate=#1 Period=#2 NULL=BLANK Scale=6",,$D41,$AQ$4),CY41)</f>
        <v>21512.5</v>
      </c>
      <c r="CZ41" s="1516" cm="1">
        <f t="array" aca="1" ref="CZ41" ca="1">IF(SwitchPA=1,_xll.TR(CZ$7,CZ$6,"Sdate=#1 Period=#2 NULL=BLANK Scale=6",,$D41,$AQ$4),CZ41)</f>
        <v>16735.5</v>
      </c>
      <c r="DA41" s="1516" cm="1">
        <f t="array" aca="1" ref="DA41" ca="1">IF(SwitchPA=1,_xll.TR(DA$7,DA$6,"Sdate=#1 Period=#2 NULL=BLANK Scale=6",,$D41,$AQ$4),DA41)</f>
        <v>3099.2249999999999</v>
      </c>
      <c r="DB41" s="1516" cm="1">
        <f t="array" aca="1" ref="DB41" ca="1">IF(SwitchPA=1,_xll.TR(DB$7,DB$6,"Sdate=#1 Period=#2 NULL=BLANK Scale=6",,$D41,$AQ$4),DB41)</f>
        <v>7778.75</v>
      </c>
      <c r="DC41" s="1516" cm="1">
        <f t="array" aca="1" ref="DC41" ca="1">IF(SwitchPA=1,_xll.TR(DC$7,DC$6,"Sdate=#1 Period=#2 NULL=BLANK Scale=6",,$D41,$AQ$4),DC41)</f>
        <v>2865</v>
      </c>
      <c r="DD41" s="1516" cm="1">
        <f t="array" aca="1" ref="DD41" ca="1">IF(SwitchPA=1,_xll.TR(DD$7,DD$6,"Sdate=#1 Period=#2 NULL=BLANK Scale=6",,$D41,$AQ$4),DD41)</f>
        <v>10103</v>
      </c>
      <c r="DE41" s="1516" t="str" cm="1">
        <f t="array" aca="1" ref="DE41" ca="1">IF(SwitchPA=1,_xll.TR(DE$7,DE$6,"Sdate=#1 Period=#2 NULL=BLANK Scale=6",,$D41,$AQ$4),DE41)</f>
        <v/>
      </c>
      <c r="DF41" s="1516" cm="1">
        <f t="array" aca="1" ref="DF41" ca="1">IF(SwitchPA=1,_xll.TR(DF$7,DF$6,"Sdate=#1 Period=#2 NULL=BLANK Scale=6",,$D41,$AQ$4),DF41)</f>
        <v>1464.25</v>
      </c>
      <c r="DG41" s="1516" t="str" cm="1">
        <f t="array" aca="1" ref="DG41" ca="1">IF(SwitchPA=1,_xll.TR(DG$7,DG$6,"Sdate=#1 Period=#2 NULL=BLANK Scale=6",,$D41,$AQ$4),DG41)</f>
        <v/>
      </c>
      <c r="DH41" s="1516" cm="1">
        <f t="array" aca="1" ref="DH41" ca="1">IF(SwitchPA=1,_xll.TR(DH$7,DH$6,"Sdate=#1 Period=#2 NULL=BLANK Scale=6",,$D41,$AQ$4),DH41)</f>
        <v>6025.25</v>
      </c>
      <c r="DI41" s="1516" cm="1">
        <f t="array" aca="1" ref="DI41" ca="1">IF(SwitchPA=1,_xll.TR(DI$7,DI$6,"Sdate=#1 Period=#2 NULL=BLANK Scale=6",,$D41,$AQ$4),DI41)</f>
        <v>937.82500000000005</v>
      </c>
      <c r="DJ41" s="1516" cm="1">
        <f t="array" aca="1" ref="DJ41" ca="1">IF(SwitchPA=1,_xll.TR(DJ$7,DJ$6,"Sdate=#1 Period=#2 NULL=BLANK Scale=6",,$D41,$AQ$4),DJ41)</f>
        <v>4090</v>
      </c>
      <c r="DK41" s="1516" cm="1">
        <f t="array" aca="1" ref="DK41" ca="1">IF(SwitchPA=1,_xll.TR(DK$7,DK$6,"Sdate=#1 Period=#2 NULL=BLANK Scale=6",,$D41,$AQ$4),DK41)</f>
        <v>5566.75</v>
      </c>
      <c r="DL41" s="1516" t="str" cm="1">
        <f t="array" aca="1" ref="DL41" ca="1">IF(SwitchPA=1,_xll.TR(DL$7,DL$6,"Sdate=#1 Period=#2 NULL=BLANK Scale=6",,$D41,$AQ$4),DL41)</f>
        <v>Unable to resolve all requested identifiers.</v>
      </c>
      <c r="DM41" s="1516" t="str" cm="1">
        <f t="array" aca="1" ref="DM41" ca="1">IF(SwitchPA=1,_xll.TR(DM$7,DM$6,"Sdate=#1 Period=#2 NULL=BLANK Scale=6",,$D41,$AQ$4),DM41)</f>
        <v>Unable to resolve all requested identifiers.</v>
      </c>
      <c r="DO41" s="1506" cm="1">
        <f t="array" aca="1" ref="DO41" ca="1">IF(SwitchPA=1,_xll.TR(DO$7,DO$6,"Sdate=#1 Period=#2 Scale=6 NULL=BLANK",,$D41,$X$4),DO41)</f>
        <v>15183.891168120001</v>
      </c>
      <c r="DP41" s="1506" cm="1">
        <f t="array" aca="1" ref="DP41" ca="1">IF(SwitchPA=1,_xll.TR(DP$7,DP$6,"Sdate=#1 Period=#2 Scale=6 NULL=BLANK",,$D41,$X$4),DP41)</f>
        <v>16252.521546239999</v>
      </c>
      <c r="DQ41" s="1506" cm="1">
        <f t="array" aca="1" ref="DQ41" ca="1">IF(SwitchPA=1,_xll.TR(DQ$7,DQ$6,"Sdate=#1 Period=#2 Scale=6 NULL=BLANK",,$D41,$X$4),DQ41)</f>
        <v>66076.232674739993</v>
      </c>
      <c r="DR41" s="1506" cm="1">
        <f t="array" aca="1" ref="DR41" ca="1">IF(SwitchPA=1,_xll.TR(DR$7,DR$6,"Sdate=#1 Period=#2 Scale=6 NULL=BLANK",,$D41,$X$4),DR41)</f>
        <v>54188.624019199997</v>
      </c>
      <c r="DS41" s="1506" cm="1">
        <f t="array" aca="1" ref="DS41" ca="1">IF(SwitchPA=1,_xll.TR(DS$7,DS$6,"Sdate=#1 Period=#2 Scale=6 NULL=BLANK",,$D41,$X$4),DS41)</f>
        <v>42568.774476289997</v>
      </c>
      <c r="DT41" s="1506" cm="1">
        <f t="array" aca="1" ref="DT41" ca="1">IF(SwitchPA=1,_xll.TR(DT$7,DT$6,"Sdate=#1 Period=#2 Scale=6 NULL=BLANK",,$D41,$X$4),DT41)</f>
        <v>10572.76713832</v>
      </c>
      <c r="DU41" s="1506" cm="1">
        <f t="array" aca="1" ref="DU41" ca="1">IF(SwitchPA=1,_xll.TR(DU$7,DU$6,"Sdate=#1 Period=#2 Scale=6 NULL=BLANK",,$D41,$X$4),DU41)</f>
        <v>13495.6</v>
      </c>
      <c r="DV41" s="1506" cm="1">
        <f t="array" aca="1" ref="DV41" ca="1">IF(SwitchPA=1,_xll.TR(DV$7,DV$6,"Sdate=#1 Period=#2 Scale=6 NULL=BLANK",,$D41,$X$4),DV41)</f>
        <v>6891.6267969999999</v>
      </c>
      <c r="DW41" s="1506" cm="1">
        <f t="array" aca="1" ref="DW41" ca="1">IF(SwitchPA=1,_xll.TR(DW$7,DW$6,"Sdate=#1 Period=#2 Scale=6 NULL=BLANK",,$D41,$X$4),DW41)</f>
        <v>75052.604999999996</v>
      </c>
      <c r="DX41" s="1506" cm="1">
        <f t="array" aca="1" ref="DX41" ca="1">IF(SwitchPA=1,_xll.TR(DX$7,DX$6,"Sdate=#1 Period=#2 Scale=6 NULL=BLANK",,$D41,$X$4),DX41)</f>
        <v>33944.6493739</v>
      </c>
      <c r="DY41" s="1506" cm="1">
        <f t="array" aca="1" ref="DY41" ca="1">IF(SwitchPA=1,_xll.TR(DY$7,DY$6,"Sdate=#1 Period=#2 Scale=6 NULL=BLANK",,$D41,$X$4),DY41)</f>
        <v>6479.8030556499998</v>
      </c>
      <c r="DZ41" s="1506" cm="1">
        <f t="array" aca="1" ref="DZ41" ca="1">IF(SwitchPA=1,_xll.TR(DZ$7,DZ$6,"Sdate=#1 Period=#2 Scale=6 NULL=BLANK",,$D41,$X$4),DZ41)</f>
        <v>6104.8612559599997</v>
      </c>
      <c r="EA41" s="1506" cm="1">
        <f t="array" aca="1" ref="EA41" ca="1">IF(SwitchPA=1,_xll.TR(EA$7,EA$6,"Sdate=#1 Period=#2 Scale=6 NULL=BLANK",,$D41,$X$4),EA41)</f>
        <v>45704.527455919997</v>
      </c>
      <c r="EB41" s="1506" cm="1">
        <f t="array" aca="1" ref="EB41" ca="1">IF(SwitchPA=1,_xll.TR(EB$7,EB$6,"Sdate=#1 Period=#2 Scale=6 NULL=BLANK",,$D41,$X$4),EB41)</f>
        <v>19304.653826559999</v>
      </c>
      <c r="EC41" s="1506" cm="1">
        <f t="array" aca="1" ref="EC41" ca="1">IF(SwitchPA=1,_xll.TR(EC$7,EC$6,"Sdate=#1 Period=#2 Scale=6 NULL=BLANK",,$D41,$X$4),EC41)</f>
        <v>36334.659491539998</v>
      </c>
      <c r="ED41" s="1506" cm="1">
        <f t="array" aca="1" ref="ED41" ca="1">IF(SwitchPA=1,_xll.TR(ED$7,ED$6,"Sdate=#1 Period=#2 Scale=6 NULL=BLANK",,$D41,$X$4),ED41)</f>
        <v>13957.652928</v>
      </c>
      <c r="EE41" s="1506" t="str" cm="1">
        <f t="array" aca="1" ref="EE41" ca="1">IF(SwitchPA=1,_xll.TR(EE$7,EE$6,"Sdate=#1 Period=#2 Scale=6 NULL=BLANK",,$D41,$X$4),EE41)</f>
        <v/>
      </c>
      <c r="EF41" s="1506" t="str" cm="1">
        <f t="array" aca="1" ref="EF41" ca="1">IF(SwitchPA=1,_xll.TR(EF$7,EF$6,"Sdate=#1 Period=#2 Scale=6 NULL=BLANK",,$D41,$X$4),EF41)</f>
        <v/>
      </c>
      <c r="EG41" s="1517"/>
      <c r="EH41" s="1506" cm="1">
        <f t="array" aca="1" ref="EH41" ca="1">IF(SwitchPA=1,_xll.TR(EH$7,EH$6,"Sdate=#1 Period=#2 Scale=6 NULL=BLANK",,$D41,$X$4),EH41)</f>
        <v>1311</v>
      </c>
      <c r="EI41" s="1506" cm="1">
        <f t="array" aca="1" ref="EI41" ca="1">IF(SwitchPA=1,_xll.TR(EI$7,EI$6,"Sdate=#1 Period=#2 Scale=6 NULL=BLANK",,$D41,$X$4),EI41)</f>
        <v>1854</v>
      </c>
      <c r="EJ41" s="1506" cm="1">
        <f t="array" aca="1" ref="EJ41" ca="1">IF(SwitchPA=1,_xll.TR(EJ$7,EJ$6,"Sdate=#1 Period=#2 Scale=6 NULL=BLANK",,$D41,$X$4),EJ41)</f>
        <v>7593</v>
      </c>
      <c r="EK41" s="1506" cm="1">
        <f t="array" aca="1" ref="EK41" ca="1">IF(SwitchPA=1,_xll.TR(EK$7,EK$6,"Sdate=#1 Period=#2 Scale=6 NULL=BLANK",,$D41,$X$4),EK41)</f>
        <v>6090</v>
      </c>
      <c r="EL41" s="1506" cm="1">
        <f t="array" aca="1" ref="EL41" ca="1">IF(SwitchPA=1,_xll.TR(EL$7,EL$6,"Sdate=#1 Period=#2 Scale=6 NULL=BLANK",,$D41,$X$4),EL41)</f>
        <v>5170</v>
      </c>
      <c r="EM41" s="1506" cm="1">
        <f t="array" aca="1" ref="EM41" ca="1">IF(SwitchPA=1,_xll.TR(EM$7,EM$6,"Sdate=#1 Period=#2 Scale=6 NULL=BLANK",,$D41,$X$4),EM41)</f>
        <v>1803.3</v>
      </c>
      <c r="EN41" s="1506" cm="1">
        <f t="array" aca="1" ref="EN41" ca="1">IF(SwitchPA=1,_xll.TR(EN$7,EN$6,"Sdate=#1 Period=#2 Scale=6 NULL=BLANK",,$D41,$X$4),EN41)</f>
        <v>1423</v>
      </c>
      <c r="EO41" s="1506" cm="1">
        <f t="array" aca="1" ref="EO41" ca="1">IF(SwitchPA=1,_xll.TR(EO$7,EO$6,"Sdate=#1 Period=#2 Scale=6 NULL=BLANK",,$D41,$X$4),EO41)</f>
        <v>1059</v>
      </c>
      <c r="EP41" s="1506" cm="1">
        <f t="array" aca="1" ref="EP41" ca="1">IF(SwitchPA=1,_xll.TR(EP$7,EP$6,"Sdate=#1 Period=#2 Scale=6 NULL=BLANK",,$D41,$X$4),EP41)</f>
        <v>7405</v>
      </c>
      <c r="EQ41" s="1506" t="str" cm="1">
        <f t="array" aca="1" ref="EQ41" ca="1">IF(SwitchPA=1,_xll.TR(EQ$7,EQ$6,"Sdate=#1 Period=#2 Scale=6 NULL=BLANK",,$D41,$X$4),EQ41)</f>
        <v/>
      </c>
      <c r="ER41" s="1506" cm="1">
        <f t="array" aca="1" ref="ER41" ca="1">IF(SwitchPA=1,_xll.TR(ER$7,ER$6,"Sdate=#1 Period=#2 Scale=6 NULL=BLANK",,$D41,$X$4),ER41)</f>
        <v>313</v>
      </c>
      <c r="ES41" s="1506" t="str" cm="1">
        <f t="array" aca="1" ref="ES41" ca="1">IF(SwitchPA=1,_xll.TR(ES$7,ES$6,"Sdate=#1 Period=#2 Scale=6 NULL=BLANK",,$D41,$X$4),ES41)</f>
        <v/>
      </c>
      <c r="ET41" s="1506" cm="1">
        <f t="array" aca="1" ref="ET41" ca="1">IF(SwitchPA=1,_xll.TR(ET$7,ET$6,"Sdate=#1 Period=#2 Scale=6 NULL=BLANK",,$D41,$X$4),ET41)</f>
        <v>2042</v>
      </c>
      <c r="EU41" s="1506" cm="1">
        <f t="array" aca="1" ref="EU41" ca="1">IF(SwitchPA=1,_xll.TR(EU$7,EU$6,"Sdate=#1 Period=#2 Scale=6 NULL=BLANK",,$D41,$X$4),EU41)</f>
        <v>1195</v>
      </c>
      <c r="EV41" s="1506" cm="1">
        <f t="array" aca="1" ref="EV41" ca="1">IF(SwitchPA=1,_xll.TR(EV$7,EV$6,"Sdate=#1 Period=#2 Scale=6 NULL=BLANK",,$D41,$X$4),EV41)</f>
        <v>1784</v>
      </c>
      <c r="EW41" s="1506" cm="1">
        <f t="array" aca="1" ref="EW41" ca="1">IF(SwitchPA=1,_xll.TR(EW$7,EW$6,"Sdate=#1 Period=#2 Scale=6 NULL=BLANK",,$D41,$X$4),EW41)</f>
        <v>2298</v>
      </c>
      <c r="EX41" s="1506" t="str" cm="1">
        <f t="array" aca="1" ref="EX41" ca="1">IF(SwitchPA=1,_xll.TR(EX$7,EX$6,"Sdate=#1 Period=#2 Scale=6 NULL=BLANK",,$D41,$X$4),EX41)</f>
        <v>Unable to resolve all requested identifiers.</v>
      </c>
      <c r="EY41" s="1506" t="str" cm="1">
        <f t="array" aca="1" ref="EY41" ca="1">IF(SwitchPA=1,_xll.TR(EY$7,EY$6,"Sdate=#1 Period=#2 Scale=6 NULL=BLANK",,$D41,$X$4),EY41)</f>
        <v>Unable to resolve all requested identifiers.</v>
      </c>
      <c r="FA41" s="1506" cm="1">
        <f t="array" aca="1" ref="FA41" ca="1">IF(SwitchPA=1,_xll.TR(FA$7,FA$6,"Sdate=#1 Period=#2 Scale=6 NULL=BLANK",,$D41,$X$4),FA41)</f>
        <v>1788</v>
      </c>
      <c r="FB41" s="1506" cm="1">
        <f t="array" aca="1" ref="FB41" ca="1">IF(SwitchPA=1,_xll.TR(FB$7,FB$6,"Sdate=#1 Period=#2 Scale=6 NULL=BLANK",,$D41,$X$4),FB41)</f>
        <v>2272</v>
      </c>
      <c r="FC41" s="1506" cm="1">
        <f t="array" aca="1" ref="FC41" ca="1">IF(SwitchPA=1,_xll.TR(FC$7,FC$6,"Sdate=#1 Period=#2 Scale=6 NULL=BLANK",,$D41,$X$4),FC41)</f>
        <v>11794</v>
      </c>
      <c r="FD41" s="1506" cm="1">
        <f t="array" aca="1" ref="FD41" ca="1">IF(SwitchPA=1,_xll.TR(FD$7,FD$6,"Sdate=#1 Period=#2 Scale=6 NULL=BLANK",,$D41,$X$4),FD41)</f>
        <v>8848</v>
      </c>
      <c r="FE41" s="1506" cm="1">
        <f t="array" aca="1" ref="FE41" ca="1">IF(SwitchPA=1,_xll.TR(FE$7,FE$6,"Sdate=#1 Period=#2 Scale=6 NULL=BLANK",,$D41,$X$4),FE41)</f>
        <v>6437</v>
      </c>
      <c r="FF41" s="1506" cm="1">
        <f t="array" aca="1" ref="FF41" ca="1">IF(SwitchPA=1,_xll.TR(FF$7,FF$6,"Sdate=#1 Period=#2 Scale=6 NULL=BLANK",,$D41,$X$4),FF41)</f>
        <v>2402.1</v>
      </c>
      <c r="FG41" s="1506" cm="1">
        <f t="array" aca="1" ref="FG41" ca="1">IF(SwitchPA=1,_xll.TR(FG$7,FG$6,"Sdate=#1 Period=#2 Scale=6 NULL=BLANK",,$D41,$X$4),FG41)</f>
        <v>2498</v>
      </c>
      <c r="FH41" s="1506" cm="1">
        <f t="array" aca="1" ref="FH41" ca="1">IF(SwitchPA=1,_xll.TR(FH$7,FH$6,"Sdate=#1 Period=#2 Scale=6 NULL=BLANK",,$D41,$X$4),FH41)</f>
        <v>1297</v>
      </c>
      <c r="FI41" s="1506" cm="1">
        <f t="array" aca="1" ref="FI41" ca="1">IF(SwitchPA=1,_xll.TR(FI$7,FI$6,"Sdate=#1 Period=#2 Scale=6 NULL=BLANK",,$D41,$X$4),FI41)</f>
        <v>9236</v>
      </c>
      <c r="FJ41" s="1506" t="str" cm="1">
        <f t="array" aca="1" ref="FJ41" ca="1">IF(SwitchPA=1,_xll.TR(FJ$7,FJ$6,"Sdate=#1 Period=#2 Scale=6 NULL=BLANK",,$D41,$X$4),FJ41)</f>
        <v/>
      </c>
      <c r="FK41" s="1506" cm="1">
        <f t="array" aca="1" ref="FK41" ca="1">IF(SwitchPA=1,_xll.TR(FK$7,FK$6,"Sdate=#1 Period=#2 Scale=6 NULL=BLANK",,$D41,$X$4),FK41)</f>
        <v>553</v>
      </c>
      <c r="FL41" s="1506" t="str" cm="1">
        <f t="array" aca="1" ref="FL41" ca="1">IF(SwitchPA=1,_xll.TR(FL$7,FL$6,"Sdate=#1 Period=#2 Scale=6 NULL=BLANK",,$D41,$X$4),FL41)</f>
        <v/>
      </c>
      <c r="FM41" s="1506" cm="1">
        <f t="array" aca="1" ref="FM41" ca="1">IF(SwitchPA=1,_xll.TR(FM$7,FM$6,"Sdate=#1 Period=#2 Scale=6 NULL=BLANK",,$D41,$X$4),FM41)</f>
        <v>3177</v>
      </c>
      <c r="FN41" s="1506" cm="1">
        <f t="array" aca="1" ref="FN41" ca="1">IF(SwitchPA=1,_xll.TR(FN$7,FN$6,"Sdate=#1 Period=#2 Scale=6 NULL=BLANK",,$D41,$X$4),FN41)</f>
        <v>1364.4</v>
      </c>
      <c r="FO41" s="1506" cm="1">
        <f t="array" aca="1" ref="FO41" ca="1">IF(SwitchPA=1,_xll.TR(FO$7,FO$6,"Sdate=#1 Period=#2 Scale=6 NULL=BLANK",,$D41,$X$4),FO41)</f>
        <v>2338</v>
      </c>
      <c r="FP41" s="1506" cm="1">
        <f t="array" aca="1" ref="FP41" ca="1">IF(SwitchPA=1,_xll.TR(FP$7,FP$6,"Sdate=#1 Period=#2 Scale=6 NULL=BLANK",,$D41,$X$4),FP41)</f>
        <v>3170</v>
      </c>
      <c r="FQ41" s="1506" t="str" cm="1">
        <f t="array" aca="1" ref="FQ41" ca="1">IF(SwitchPA=1,_xll.TR(FQ$7,FQ$6,"Sdate=#1 Period=#2 Scale=6 NULL=BLANK",,$D41,$X$4),FQ41)</f>
        <v>Unable to resolve all requested identifiers.</v>
      </c>
      <c r="FS41" s="1506" cm="1">
        <f t="array" aca="1" ref="FS41" ca="1">IF(SwitchPA=1,_xll.TR(FS$7,FS$6,"Sdate=#1 Period=#2 NULL=BLANK Scale=6",,$D41,$FS$4),FS41)</f>
        <v>351</v>
      </c>
      <c r="FT41" s="1506" cm="1">
        <f t="array" aca="1" ref="FT41" ca="1">IF(SwitchPA=1,_xll.TR(FT$7,FT$6,"Sdate=#1 Period=#2 NULL=BLANK Scale=6",,$D41,$FS$4),FT41)</f>
        <v>1299</v>
      </c>
      <c r="FU41" s="1506" cm="1">
        <f t="array" aca="1" ref="FU41" ca="1">IF(SwitchPA=1,_xll.TR(FU$7,FU$6,"Sdate=#1 Period=#2 NULL=BLANK Scale=6",,$D41,$FS$4),FU41)</f>
        <v>3328</v>
      </c>
      <c r="FV41" s="1506" cm="1">
        <f t="array" aca="1" ref="FV41" ca="1">IF(SwitchPA=1,_xll.TR(FV$7,FV$6,"Sdate=#1 Period=#2 NULL=BLANK Scale=6",,$D41,$FS$4),FV41)</f>
        <v>5645</v>
      </c>
      <c r="FW41" s="1506" cm="1">
        <f t="array" aca="1" ref="FW41" ca="1">IF(SwitchPA=1,_xll.TR(FW$7,FW$6,"Sdate=#1 Period=#2 NULL=BLANK Scale=6",,$D41,$FS$4),FW41)</f>
        <v>4229</v>
      </c>
      <c r="FX41" s="1506" cm="1">
        <f t="array" aca="1" ref="FX41" ca="1">IF(SwitchPA=1,_xll.TR(FX$7,FX$6,"Sdate=#1 Period=#2 NULL=BLANK Scale=6",,$D41,$FS$4),FX41)</f>
        <v>1685</v>
      </c>
      <c r="FY41" s="1506" cm="1">
        <f t="array" aca="1" ref="FY41" ca="1">IF(SwitchPA=1,_xll.TR(FY$7,FY$6,"Sdate=#1 Period=#2 NULL=BLANK Scale=6",,$D41,$FS$4),FY41)</f>
        <v>196</v>
      </c>
      <c r="FZ41" s="1506" cm="1">
        <f t="array" aca="1" ref="FZ41" ca="1">IF(SwitchPA=1,_xll.TR(FZ$7,FZ$6,"Sdate=#1 Period=#2 NULL=BLANK Scale=6",,$D41,$FS$4),FZ41)</f>
        <v>1116</v>
      </c>
      <c r="GA41" s="1506" cm="1">
        <f t="array" aca="1" ref="GA41" ca="1">IF(SwitchPA=1,_xll.TR(GA$7,GA$6,"Sdate=#1 Period=#2 NULL=BLANK Scale=6",,$D41,$FS$4),GA41)</f>
        <v>3842</v>
      </c>
      <c r="GB41" s="1506" t="str" cm="1">
        <f t="array" aca="1" ref="GB41" ca="1">IF(SwitchPA=1,_xll.TR(GB$7,GB$6,"Sdate=#1 Period=#2 NULL=BLANK Scale=6",,$D41,$FS$4),GB41)</f>
        <v/>
      </c>
      <c r="GC41" s="1506" cm="1">
        <f t="array" aca="1" ref="GC41" ca="1">IF(SwitchPA=1,_xll.TR(GC$7,GC$6,"Sdate=#1 Period=#2 NULL=BLANK Scale=6",,$D41,$FS$4),GC41)</f>
        <v>-403</v>
      </c>
      <c r="GD41" s="1506" t="str" cm="1">
        <f t="array" aca="1" ref="GD41" ca="1">IF(SwitchPA=1,_xll.TR(GD$7,GD$6,"Sdate=#1 Period=#2 NULL=BLANK Scale=6",,$D41,$FS$4),GD41)</f>
        <v/>
      </c>
      <c r="GE41" s="1506" cm="1">
        <f t="array" aca="1" ref="GE41" ca="1">IF(SwitchPA=1,_xll.TR(GE$7,GE$6,"Sdate=#1 Period=#2 NULL=BLANK Scale=6",,$D41,$FS$4),GE41)</f>
        <v>-155</v>
      </c>
      <c r="GF41" s="1506" cm="1">
        <f t="array" aca="1" ref="GF41" ca="1">IF(SwitchPA=1,_xll.TR(GF$7,GF$6,"Sdate=#1 Period=#2 NULL=BLANK Scale=6",,$D41,$FS$4),GF41)</f>
        <v>440.1</v>
      </c>
      <c r="GG41" s="1506" cm="1">
        <f t="array" aca="1" ref="GG41" ca="1">IF(SwitchPA=1,_xll.TR(GG$7,GG$6,"Sdate=#1 Period=#2 NULL=BLANK Scale=6",,$D41,$FS$4),GG41)</f>
        <v>445</v>
      </c>
      <c r="GH41" s="1506" cm="1">
        <f t="array" aca="1" ref="GH41" ca="1">IF(SwitchPA=1,_xll.TR(GH$7,GH$6,"Sdate=#1 Period=#2 NULL=BLANK Scale=6",,$D41,$FS$4),GH41)</f>
        <v>998</v>
      </c>
      <c r="GI41" s="1506" t="str" cm="1">
        <f t="array" aca="1" ref="GI41" ca="1">IF(SwitchPA=1,_xll.TR(GI$7,GI$6,"Sdate=#1 Period=#2 NULL=BLANK Scale=6",,$D41,$FS$4),GI41)</f>
        <v>Unable to resolve all requested identifiers.</v>
      </c>
      <c r="GK41" s="1506" cm="1">
        <f t="array" aca="1" ref="GK41" ca="1">IF(SwitchPA=1,_xll.TR(GK$7,GK$6,"Sdate=#1 Period=#2 NULL=BLANK Scale=6",,$D41,$FS$4),GK41)</f>
        <v>3.57627885921231</v>
      </c>
      <c r="GL41" s="1506" cm="1">
        <f t="array" aca="1" ref="GL41" ca="1">IF(SwitchPA=1,_xll.TR(GL$7,GL$6,"Sdate=#1 Period=#2 NULL=BLANK Scale=6",,$D41,$FS$4),GL41)</f>
        <v>2.2935779816513802</v>
      </c>
      <c r="GM41" s="1506" cm="1">
        <f t="array" aca="1" ref="GM41" ca="1">IF(SwitchPA=1,_xll.TR(GM$7,GM$6,"Sdate=#1 Period=#2 NULL=BLANK Scale=6",,$D41,$FS$4),GM41)</f>
        <v>6.6588327457892698</v>
      </c>
      <c r="GN41" s="1506" cm="1">
        <f t="array" aca="1" ref="GN41" ca="1">IF(SwitchPA=1,_xll.TR(GN$7,GN$6,"Sdate=#1 Period=#2 NULL=BLANK Scale=6",,$D41,$FS$4),GN41)</f>
        <v>4.6854082998661299</v>
      </c>
      <c r="GO41" s="1506" cm="1">
        <f t="array" aca="1" ref="GO41" ca="1">IF(SwitchPA=1,_xll.TR(GO$7,GO$6,"Sdate=#1 Period=#2 NULL=BLANK Scale=6",,$D41,$FS$4),GO41)</f>
        <v>4.7538200339558596</v>
      </c>
      <c r="GP41" s="1506" cm="1">
        <f t="array" aca="1" ref="GP41" ca="1">IF(SwitchPA=1,_xll.TR(GP$7,GP$6,"Sdate=#1 Period=#2 NULL=BLANK Scale=6",,$D41,$FS$4),GP41)</f>
        <v>1.2911555842478999</v>
      </c>
      <c r="GQ41" s="1506" cm="1">
        <f t="array" aca="1" ref="GQ41" ca="1">IF(SwitchPA=1,_xll.TR(GQ$7,GQ$6,"Sdate=#1 Period=#2 NULL=BLANK Scale=6",,$D41,$FS$4),GQ41)</f>
        <v>5.8208955223880601</v>
      </c>
      <c r="GR41" s="1506" cm="1">
        <f t="array" aca="1" ref="GR41" ca="1">IF(SwitchPA=1,_xll.TR(GR$7,GR$6,"Sdate=#1 Period=#2 NULL=BLANK Scale=6",,$D41,$FS$4),GR41)</f>
        <v>2.75080906148867</v>
      </c>
      <c r="GS41" s="1506" cm="1">
        <f t="array" aca="1" ref="GS41" ca="1">IF(SwitchPA=1,_xll.TR(GS$7,GS$6,"Sdate=#1 Period=#2 NULL=BLANK Scale=6",,$D41,$FS$4),GS41)</f>
        <v>5.2534804307853999</v>
      </c>
      <c r="GT41" s="1506" cm="1">
        <f t="array" aca="1" ref="GT41" ca="1">IF(SwitchPA=1,_xll.TR(GT$7,GT$6,"Sdate=#1 Period=#2 NULL=BLANK Scale=6",,$D41,$FS$4),GT41)</f>
        <v>0.58367196158108603</v>
      </c>
      <c r="GU41" s="1506" cm="1">
        <f t="array" aca="1" ref="GU41" ca="1">IF(SwitchPA=1,_xll.TR(GU$7,GU$6,"Sdate=#1 Period=#2 NULL=BLANK Scale=6",,$D41,$FS$4),GU41)</f>
        <v>1.2767984754645101</v>
      </c>
      <c r="GV41" s="1506" cm="1">
        <f t="array" aca="1" ref="GV41" ca="1">IF(SwitchPA=1,_xll.TR(GV$7,GV$6,"Sdate=#1 Period=#2 NULL=BLANK Scale=6",,$D41,$FS$4),GV41)</f>
        <v>2.5607863424728401</v>
      </c>
      <c r="GW41" s="1506" cm="1">
        <f t="array" aca="1" ref="GW41" ca="1">IF(SwitchPA=1,_xll.TR(GW$7,GW$6,"Sdate=#1 Period=#2 NULL=BLANK Scale=6",,$D41,$FS$4),GW41)</f>
        <v>1.8833376929113299</v>
      </c>
      <c r="GX41" s="1506" cm="1">
        <f t="array" aca="1" ref="GX41" ca="1">IF(SwitchPA=1,_xll.TR(GX$7,GX$6,"Sdate=#1 Period=#2 NULL=BLANK Scale=6",,$D41,$FS$4),GX41)</f>
        <v>1.80348258706468</v>
      </c>
      <c r="GY41" s="1506" cm="1">
        <f t="array" aca="1" ref="GY41" ca="1">IF(SwitchPA=1,_xll.TR(GY$7,GY$6,"Sdate=#1 Period=#2 NULL=BLANK Scale=6",,$D41,$FS$4),GY41)</f>
        <v>1.9109261827708399</v>
      </c>
      <c r="GZ41" s="1506" cm="1">
        <f t="array" aca="1" ref="GZ41" ca="1">IF(SwitchPA=1,_xll.TR(GZ$7,GZ$6,"Sdate=#1 Period=#2 NULL=BLANK Scale=6",,$D41,$FS$4),GZ41)</f>
        <v>3.6018518518518499</v>
      </c>
      <c r="HA41" s="1506" t="str" cm="1">
        <f t="array" aca="1" ref="HA41" ca="1">IF(SwitchPA=1,_xll.TR(HA$7,HA$6,"Sdate=#1 Period=#2 NULL=BLANK Scale=6",,$D41,$FS$4),HA41)</f>
        <v/>
      </c>
      <c r="HC41">
        <v>6.45</v>
      </c>
      <c r="HD41">
        <v>94.9</v>
      </c>
      <c r="HE41">
        <v>100.93</v>
      </c>
      <c r="HG41" s="762">
        <f t="shared" si="52"/>
        <v>0.6580976863753214</v>
      </c>
      <c r="HH41" s="762">
        <f t="shared" si="53"/>
        <v>0.39292528988698106</v>
      </c>
      <c r="HI41" s="762">
        <f t="shared" si="54"/>
        <v>0.42435788879480674</v>
      </c>
    </row>
    <row r="42" spans="3:217">
      <c r="E42" s="1528" t="s">
        <v>637</v>
      </c>
      <c r="F42" s="1528" t="s">
        <v>1577</v>
      </c>
      <c r="G42" s="1528" t="s">
        <v>1431</v>
      </c>
      <c r="H42" s="1528" t="s">
        <v>1818</v>
      </c>
      <c r="J42" s="1521" t="str">
        <f ca="1">EL11</f>
        <v>LyondellBasell Industries NV</v>
      </c>
      <c r="K42" s="1521" t="str">
        <f ca="1">EM11</f>
        <v>Olin Corp</v>
      </c>
      <c r="L42" s="1521" t="str">
        <f ca="1">EP11</f>
        <v>3M Co</v>
      </c>
      <c r="M42" s="1521" t="str">
        <f ca="1">ES11</f>
        <v>Avient Corp</v>
      </c>
      <c r="N42" s="1521" t="str">
        <f ca="1">EU11</f>
        <v>FMC Corp</v>
      </c>
      <c r="O42" s="1521" t="str">
        <f ca="1">EV11</f>
        <v>PPG Industries Inc</v>
      </c>
      <c r="P42" s="1521" t="str">
        <f ca="1">EW11</f>
        <v>Solvay SA</v>
      </c>
    </row>
    <row r="43" spans="3:217">
      <c r="E43" s="1510" t="s">
        <v>1532</v>
      </c>
      <c r="F43" s="1510"/>
      <c r="G43" s="1510"/>
      <c r="H43" s="1510"/>
      <c r="J43" s="1521"/>
      <c r="K43" s="1521"/>
      <c r="L43" s="1521"/>
      <c r="M43" s="1521"/>
      <c r="N43" s="1521"/>
      <c r="O43" s="1521"/>
      <c r="P43" s="1521"/>
    </row>
    <row r="44" spans="3:217">
      <c r="C44" s="1514" t="s">
        <v>1815</v>
      </c>
      <c r="E44" s="1506">
        <f ca="1">AVERAGE(E22:E31)</f>
        <v>6.2958194990394016</v>
      </c>
      <c r="F44" s="1506">
        <f ca="1">AVERAGE(F24:F31)</f>
        <v>6.5116596487342058</v>
      </c>
      <c r="G44" s="1506">
        <f t="shared" ref="G44" ca="1" si="56">AVERAGE(G22:G31)</f>
        <v>5.2066321432268525</v>
      </c>
      <c r="H44" s="1506">
        <f ca="1">AVERAGE(J44:P44)</f>
        <v>6.7186042176732768</v>
      </c>
      <c r="J44" s="1506">
        <f ca="1">AVERAGE(I29:I31)</f>
        <v>5.6431039721028107</v>
      </c>
      <c r="K44" s="1506">
        <f ca="1">AVERAGE(J22:J31)</f>
        <v>5.5395358641924819</v>
      </c>
      <c r="L44" s="1506">
        <f ca="1">AVERAGE(M22:M31)</f>
        <v>8.8508551736181698</v>
      </c>
      <c r="M44" s="1506">
        <f ca="1">AVERAGE(P22:P31)</f>
        <v>6.4424414071840461</v>
      </c>
      <c r="N44" s="1506">
        <f ca="1">AVERAGE(R22:R31)</f>
        <v>7.2264642733745079</v>
      </c>
      <c r="O44" s="1506">
        <f ca="1">AVERAGE(S22:S31)</f>
        <v>7.1404028522926044</v>
      </c>
      <c r="P44" s="1506">
        <f ca="1">AVERAGE(T22:T31)</f>
        <v>6.1874259809483201</v>
      </c>
      <c r="U44" s="1518"/>
      <c r="V44" s="1518"/>
      <c r="DO44" s="1518"/>
      <c r="EH44" s="1518">
        <f t="shared" ref="EH44:EH64" ca="1" si="57">EH20/CC20</f>
        <v>6.0482374768089056E-2</v>
      </c>
      <c r="EI44" s="1518" t="e">
        <f t="shared" ref="EI44:EI64" ca="1" si="58">EI20/CD20</f>
        <v>#VALUE!</v>
      </c>
      <c r="EJ44" s="1518">
        <f t="shared" ref="EJ44:EJ64" ca="1" si="59">EJ20/CE20</f>
        <v>6.3056727613689634E-2</v>
      </c>
      <c r="EK44" s="1518" t="e">
        <f t="shared" ref="EK44:EK64" ca="1" si="60">EK20/CF20</f>
        <v>#VALUE!</v>
      </c>
      <c r="EL44" s="1518" t="e">
        <f t="shared" ref="EL44:EL64" ca="1" si="61">EL20/CG20</f>
        <v>#VALUE!</v>
      </c>
      <c r="EM44" s="1518">
        <f t="shared" ref="EM44:EM64" ca="1" si="62">EM20/CH20</f>
        <v>2.2816679779701022E-2</v>
      </c>
      <c r="EN44" s="1518" t="e">
        <f t="shared" ref="EN44:EN64" ca="1" si="63">EN20/CI20</f>
        <v>#VALUE!</v>
      </c>
      <c r="EO44" s="1518" t="e">
        <f t="shared" ref="EO44:EO64" ca="1" si="64">EO20/CJ20</f>
        <v>#VALUE!</v>
      </c>
      <c r="EP44" s="1518">
        <f t="shared" ref="EP44:EP64" ca="1" si="65">EP20/CK20</f>
        <v>0.1415846518001744</v>
      </c>
      <c r="EQ44" s="1518">
        <f t="shared" ref="EQ44:EQ64" ca="1" si="66">EQ20/CL20</f>
        <v>0.1096096734754864</v>
      </c>
      <c r="ER44" s="1518">
        <f t="shared" ref="ER44:ER64" ca="1" si="67">ER20/CM20</f>
        <v>0.105187508166732</v>
      </c>
      <c r="ES44" s="1518">
        <f t="shared" ref="ES44:ES64" ca="1" si="68">ES20/CN20</f>
        <v>1.359903563625405E-2</v>
      </c>
      <c r="ET44" s="1518" t="e">
        <f t="shared" ref="ET44:ET64" ca="1" si="69">ET20/CO20</f>
        <v>#VALUE!</v>
      </c>
      <c r="EU44" s="1518">
        <f t="shared" ref="EU44:EU64" ca="1" si="70">EU20/CP20</f>
        <v>9.3978383942357177E-2</v>
      </c>
      <c r="EV44" s="1518">
        <f t="shared" ref="EV44:EV64" ca="1" si="71">EV20/CQ20</f>
        <v>0.11482433590402742</v>
      </c>
      <c r="EW44" s="1518">
        <f ca="1">EW45</f>
        <v>0.11529233489076904</v>
      </c>
      <c r="EX44" s="1518" t="e">
        <f t="shared" ref="EX44:EX65" ca="1" si="72">EX20/CS20</f>
        <v>#VALUE!</v>
      </c>
      <c r="EY44" s="1518" t="e">
        <f t="shared" ref="EY44:EY65" ca="1" si="73">EY20/CT20</f>
        <v>#VALUE!</v>
      </c>
      <c r="FS44" s="1518">
        <f ca="1">FS20/CC20</f>
        <v>2.5046382189239332E-2</v>
      </c>
      <c r="FT44" s="1518" t="e">
        <f t="shared" ref="FT44:GI44" ca="1" si="74">FT20/CD20</f>
        <v>#VALUE!</v>
      </c>
      <c r="FU44" s="1518">
        <f t="shared" ca="1" si="74"/>
        <v>6.7393342709798408E-4</v>
      </c>
      <c r="FV44" s="1518" t="e">
        <f t="shared" ca="1" si="74"/>
        <v>#VALUE!</v>
      </c>
      <c r="FW44" s="1518" t="e">
        <f t="shared" ca="1" si="74"/>
        <v>#VALUE!</v>
      </c>
      <c r="FX44" s="1518">
        <f t="shared" ca="1" si="74"/>
        <v>8.6546026750590095E-3</v>
      </c>
      <c r="FY44" s="1518" t="e">
        <f t="shared" ca="1" si="74"/>
        <v>#VALUE!</v>
      </c>
      <c r="FZ44" s="1518" t="e">
        <f t="shared" ca="1" si="74"/>
        <v>#VALUE!</v>
      </c>
      <c r="GA44" s="1518">
        <f t="shared" ca="1" si="74"/>
        <v>0.13068394169677339</v>
      </c>
      <c r="GB44" s="1518">
        <f t="shared" ca="1" si="74"/>
        <v>0.10247693584571474</v>
      </c>
      <c r="GC44" s="1518">
        <f t="shared" ca="1" si="74"/>
        <v>8.2973997125310339E-2</v>
      </c>
      <c r="GD44" s="1518">
        <f t="shared" ca="1" si="74"/>
        <v>8.4833873276576502E-2</v>
      </c>
      <c r="GE44" s="1518" t="e">
        <f t="shared" ca="1" si="74"/>
        <v>#VALUE!</v>
      </c>
      <c r="GF44" s="1518">
        <f t="shared" ca="1" si="74"/>
        <v>-0.15975295934122491</v>
      </c>
      <c r="GG44" s="1518">
        <f t="shared" ca="1" si="74"/>
        <v>9.4136369200636547E-2</v>
      </c>
      <c r="GH44" s="1518" t="e">
        <f t="shared" ca="1" si="74"/>
        <v>#VALUE!</v>
      </c>
      <c r="GI44" s="1518" t="e">
        <f t="shared" ca="1" si="74"/>
        <v>#VALUE!</v>
      </c>
      <c r="GJ44" s="1518"/>
      <c r="GK44" s="1518"/>
      <c r="GL44" s="1518"/>
      <c r="GM44" s="1518"/>
      <c r="GN44" s="1518"/>
      <c r="GO44" s="1518"/>
      <c r="GP44" s="1518"/>
      <c r="GQ44" s="1518"/>
      <c r="GR44" s="1518"/>
      <c r="GS44" s="1518"/>
      <c r="GT44" s="1518"/>
      <c r="GU44" s="1518"/>
      <c r="GV44" s="1518"/>
      <c r="GW44" s="1518"/>
      <c r="GX44" s="1518"/>
      <c r="GY44" s="1518"/>
      <c r="GZ44" s="1518"/>
      <c r="HA44" s="1518"/>
    </row>
    <row r="45" spans="3:217">
      <c r="C45" s="1514" t="s">
        <v>1816</v>
      </c>
      <c r="E45" s="1506">
        <f ca="1">AVERAGE(E32:E41)</f>
        <v>8.2468599753875154</v>
      </c>
      <c r="F45" s="1506">
        <f t="shared" ref="F45:G45" ca="1" si="75">AVERAGE(F32:F41)</f>
        <v>8.0872823361624828</v>
      </c>
      <c r="G45" s="1506">
        <f t="shared" ca="1" si="75"/>
        <v>7.8474516230412075</v>
      </c>
      <c r="H45" s="1506">
        <f ca="1">AVERAGE(J45:P45)</f>
        <v>9.088224994581692</v>
      </c>
      <c r="J45" s="1506">
        <f ca="1">AVERAGE(I32:I41)</f>
        <v>6.792124546562917</v>
      </c>
      <c r="K45" s="1506">
        <f ca="1">AVERAGE(J32:J41)</f>
        <v>6.1104377927126192</v>
      </c>
      <c r="L45" s="1506">
        <f ca="1">AVERAGE(M32:M41)</f>
        <v>11.972279749710612</v>
      </c>
      <c r="M45" s="1506">
        <f ca="1">AVERAGE(P32:P41)</f>
        <v>9.5524920056806231</v>
      </c>
      <c r="N45" s="1506">
        <f ca="1">AVERAGE(R32:R41)</f>
        <v>11.452914090349505</v>
      </c>
      <c r="O45" s="1506">
        <f ca="1">AVERAGE(S32:S41)</f>
        <v>11.757977079937373</v>
      </c>
      <c r="P45" s="1506">
        <f ca="1">AVERAGE(T32:T41)</f>
        <v>5.979349697118181</v>
      </c>
      <c r="EH45" s="1518">
        <f t="shared" ca="1" si="57"/>
        <v>4.0037593984962407E-2</v>
      </c>
      <c r="EI45" s="1518" t="e">
        <f t="shared" ca="1" si="58"/>
        <v>#VALUE!</v>
      </c>
      <c r="EJ45" s="1518">
        <f t="shared" ca="1" si="59"/>
        <v>5.9877046609372056E-2</v>
      </c>
      <c r="EK45" s="1518" t="e">
        <f t="shared" ca="1" si="60"/>
        <v>#VALUE!</v>
      </c>
      <c r="EL45" s="1518" t="e">
        <f t="shared" ca="1" si="61"/>
        <v>#VALUE!</v>
      </c>
      <c r="EM45" s="1518">
        <f t="shared" ca="1" si="62"/>
        <v>-7.6863950807071484E-4</v>
      </c>
      <c r="EN45" s="1518" t="e">
        <f t="shared" ca="1" si="63"/>
        <v>#VALUE!</v>
      </c>
      <c r="EO45" s="1518" t="e">
        <f t="shared" ca="1" si="64"/>
        <v>#VALUE!</v>
      </c>
      <c r="EP45" s="1518">
        <f t="shared" ca="1" si="65"/>
        <v>0.19887337741856478</v>
      </c>
      <c r="EQ45" s="1518">
        <f t="shared" ca="1" si="66"/>
        <v>0.10354909824013461</v>
      </c>
      <c r="ER45" s="1518">
        <f t="shared" ca="1" si="67"/>
        <v>3.5161553081726853E-2</v>
      </c>
      <c r="ES45" s="1518">
        <f t="shared" ca="1" si="68"/>
        <v>8.8428178548762421E-3</v>
      </c>
      <c r="ET45" s="1518" t="e">
        <f t="shared" ca="1" si="69"/>
        <v>#VALUE!</v>
      </c>
      <c r="EU45" s="1518">
        <f t="shared" ca="1" si="70"/>
        <v>0.10086890819795995</v>
      </c>
      <c r="EV45" s="1518">
        <f t="shared" ca="1" si="71"/>
        <v>0.11553241601586711</v>
      </c>
      <c r="EW45" s="1518">
        <f ca="1">EW21/CR21</f>
        <v>0.11529233489076904</v>
      </c>
      <c r="EX45" s="1518" t="e">
        <f t="shared" ca="1" si="72"/>
        <v>#VALUE!</v>
      </c>
      <c r="EY45" s="1518" t="e">
        <f t="shared" ca="1" si="73"/>
        <v>#VALUE!</v>
      </c>
      <c r="FS45" s="1518">
        <f ca="1">FS21/CC21</f>
        <v>6.6917293233082709E-2</v>
      </c>
      <c r="FT45" s="1518" t="e">
        <f t="shared" ref="FT45:GI46" ca="1" si="76">FT21/CD21</f>
        <v>#VALUE!</v>
      </c>
      <c r="FU45" s="1518">
        <f t="shared" ca="1" si="76"/>
        <v>5.4262593312841105E-3</v>
      </c>
      <c r="FV45" s="1518" t="e">
        <f t="shared" ca="1" si="76"/>
        <v>#VALUE!</v>
      </c>
      <c r="FW45" s="1518" t="e">
        <f t="shared" ca="1" si="76"/>
        <v>#VALUE!</v>
      </c>
      <c r="FX45" s="1518">
        <f t="shared" ca="1" si="76"/>
        <v>-7.6863950807071479E-3</v>
      </c>
      <c r="FY45" s="1518" t="e">
        <f t="shared" ca="1" si="76"/>
        <v>#VALUE!</v>
      </c>
      <c r="FZ45" s="1518" t="e">
        <f t="shared" ca="1" si="76"/>
        <v>#VALUE!</v>
      </c>
      <c r="GA45" s="1518">
        <f t="shared" ca="1" si="76"/>
        <v>0.13648052902277738</v>
      </c>
      <c r="GB45" s="1518">
        <f t="shared" ca="1" si="76"/>
        <v>0.1055532295285926</v>
      </c>
      <c r="GC45" s="1518">
        <f t="shared" ca="1" si="76"/>
        <v>-2.0363833831115938E-3</v>
      </c>
      <c r="GD45" s="1518">
        <f t="shared" ca="1" si="76"/>
        <v>-4.2944785276073622E-2</v>
      </c>
      <c r="GE45" s="1518" t="e">
        <f t="shared" ca="1" si="76"/>
        <v>#VALUE!</v>
      </c>
      <c r="GF45" s="1518">
        <f t="shared" ca="1" si="76"/>
        <v>-5.078525554536132E-2</v>
      </c>
      <c r="GG45" s="1518">
        <f t="shared" ca="1" si="76"/>
        <v>7.8591793727531917E-2</v>
      </c>
      <c r="GH45" s="1518">
        <f t="shared" ca="1" si="76"/>
        <v>5.9603485288546532E-2</v>
      </c>
      <c r="GI45" s="1518" t="e">
        <f t="shared" ca="1" si="76"/>
        <v>#VALUE!</v>
      </c>
      <c r="GJ45" s="1518"/>
      <c r="GK45" s="1518"/>
      <c r="GL45" s="1518"/>
      <c r="GM45" s="1518"/>
      <c r="GN45" s="1518"/>
      <c r="GO45" s="1518"/>
      <c r="GP45" s="1518"/>
      <c r="GQ45" s="1518"/>
      <c r="GR45" s="1518"/>
      <c r="GS45" s="1518"/>
      <c r="GT45" s="1518"/>
      <c r="GU45" s="1518"/>
      <c r="GV45" s="1518"/>
      <c r="GW45" s="1518"/>
      <c r="GX45" s="1518"/>
      <c r="GY45" s="1518"/>
      <c r="GZ45" s="1518"/>
      <c r="HA45" s="1518"/>
    </row>
    <row r="46" spans="3:217">
      <c r="C46" s="1527" t="s">
        <v>1817</v>
      </c>
      <c r="D46" s="1503"/>
      <c r="E46" s="1526">
        <f ca="1">E45/E44-1</f>
        <v>0.30989460175054218</v>
      </c>
      <c r="F46" s="1526">
        <f t="shared" ref="F46:G46" ca="1" si="77">F45/F44-1</f>
        <v>0.24196944748710281</v>
      </c>
      <c r="G46" s="1526">
        <f t="shared" ca="1" si="77"/>
        <v>0.50720300708198018</v>
      </c>
      <c r="H46" s="1526">
        <f ca="1">AVERAGE(J46:P46)</f>
        <v>0.33428554352589973</v>
      </c>
      <c r="J46" s="1521">
        <f t="shared" ref="J46:P46" ca="1" si="78">J45/J44-1</f>
        <v>0.20361499276646189</v>
      </c>
      <c r="K46" s="1521">
        <f t="shared" ca="1" si="78"/>
        <v>0.10305952385116646</v>
      </c>
      <c r="L46" s="1521">
        <f t="shared" ca="1" si="78"/>
        <v>0.35266926357540029</v>
      </c>
      <c r="M46" s="1521">
        <f t="shared" ca="1" si="78"/>
        <v>0.48274410303965221</v>
      </c>
      <c r="N46" s="1521">
        <f t="shared" ca="1" si="78"/>
        <v>0.58485722160795972</v>
      </c>
      <c r="O46" s="1521">
        <f t="shared" ca="1" si="78"/>
        <v>0.64668259244815318</v>
      </c>
      <c r="P46" s="1521">
        <f t="shared" ca="1" si="78"/>
        <v>-3.3628892607495575E-2</v>
      </c>
      <c r="EH46" s="1518">
        <f t="shared" ca="1" si="57"/>
        <v>4.4137931034482755E-2</v>
      </c>
      <c r="EI46" s="1518" t="e">
        <f t="shared" ca="1" si="58"/>
        <v>#VALUE!</v>
      </c>
      <c r="EJ46" s="1518">
        <f t="shared" ca="1" si="59"/>
        <v>8.0153485397569821E-2</v>
      </c>
      <c r="EK46" s="1518" t="e">
        <f t="shared" ca="1" si="60"/>
        <v>#VALUE!</v>
      </c>
      <c r="EL46" s="1518" t="e">
        <f t="shared" ca="1" si="61"/>
        <v>#VALUE!</v>
      </c>
      <c r="EM46" s="1518">
        <f t="shared" ca="1" si="62"/>
        <v>2.805750839191842E-2</v>
      </c>
      <c r="EN46" s="1518" t="e">
        <f t="shared" ca="1" si="63"/>
        <v>#VALUE!</v>
      </c>
      <c r="EO46" s="1518" t="e">
        <f t="shared" ca="1" si="64"/>
        <v>#VALUE!</v>
      </c>
      <c r="EP46" s="1518">
        <f t="shared" ca="1" si="65"/>
        <v>0.20365291794646775</v>
      </c>
      <c r="EQ46" s="1518">
        <f t="shared" ca="1" si="66"/>
        <v>9.2658594516305981E-2</v>
      </c>
      <c r="ER46" s="1518">
        <f t="shared" ca="1" si="67"/>
        <v>4.205486542443064E-2</v>
      </c>
      <c r="ES46" s="1518">
        <f t="shared" ca="1" si="68"/>
        <v>3.1560193433443624E-3</v>
      </c>
      <c r="ET46" s="1518" t="e">
        <f t="shared" ca="1" si="69"/>
        <v>#VALUE!</v>
      </c>
      <c r="EU46" s="1518">
        <f t="shared" ca="1" si="70"/>
        <v>0.10232122410742166</v>
      </c>
      <c r="EV46" s="1518">
        <f t="shared" ca="1" si="71"/>
        <v>0.11329374143444496</v>
      </c>
      <c r="EW46" s="1518">
        <f ca="1">EW22/CR22</f>
        <v>9.4614264919941779E-2</v>
      </c>
      <c r="EX46" s="1518" t="e">
        <f t="shared" ca="1" si="72"/>
        <v>#VALUE!</v>
      </c>
      <c r="EY46" s="1518" t="e">
        <f t="shared" ca="1" si="73"/>
        <v>#VALUE!</v>
      </c>
      <c r="FS46" s="1518">
        <f ca="1">FS22/CC22</f>
        <v>-6.8965517241379305E-4</v>
      </c>
      <c r="FT46" s="1518" t="e">
        <f t="shared" ca="1" si="76"/>
        <v>#VALUE!</v>
      </c>
      <c r="FU46" s="1518">
        <f t="shared" ca="1" si="76"/>
        <v>4.6319700338033315E-2</v>
      </c>
      <c r="FV46" s="1518" t="e">
        <f t="shared" ca="1" si="76"/>
        <v>#VALUE!</v>
      </c>
      <c r="FW46" s="1518" t="e">
        <f t="shared" ca="1" si="76"/>
        <v>#VALUE!</v>
      </c>
      <c r="FX46" s="1518">
        <f t="shared" ca="1" si="76"/>
        <v>4.0534549369814425E-2</v>
      </c>
      <c r="FY46" s="1518" t="e">
        <f t="shared" ca="1" si="76"/>
        <v>#VALUE!</v>
      </c>
      <c r="FZ46" s="1518" t="e">
        <f t="shared" ca="1" si="76"/>
        <v>#VALUE!</v>
      </c>
      <c r="GA46" s="1518">
        <f t="shared" ca="1" si="76"/>
        <v>0.16981132075471697</v>
      </c>
      <c r="GB46" s="1518">
        <f t="shared" ca="1" si="76"/>
        <v>9.8213264375083875E-2</v>
      </c>
      <c r="GC46" s="1518">
        <f t="shared" ca="1" si="76"/>
        <v>5.1501035196687368E-2</v>
      </c>
      <c r="GD46" s="1518">
        <f t="shared" ca="1" si="76"/>
        <v>-0.10119623313820311</v>
      </c>
      <c r="GE46" s="1518" t="e">
        <f t="shared" ca="1" si="76"/>
        <v>#VALUE!</v>
      </c>
      <c r="GF46" s="1518">
        <f t="shared" ca="1" si="76"/>
        <v>5.91235557406058E-2</v>
      </c>
      <c r="GG46" s="1518">
        <f t="shared" ca="1" si="76"/>
        <v>0.10347190497944267</v>
      </c>
      <c r="GH46" s="1518">
        <f t="shared" ca="1" si="76"/>
        <v>4.9755193859997354E-2</v>
      </c>
      <c r="GI46" s="1518" t="e">
        <f t="shared" ca="1" si="76"/>
        <v>#VALUE!</v>
      </c>
      <c r="GJ46" s="1518"/>
      <c r="GK46" s="1518"/>
      <c r="GL46" s="1518"/>
      <c r="GM46" s="1518"/>
      <c r="GN46" s="1518"/>
      <c r="GO46" s="1518"/>
      <c r="GP46" s="1518"/>
      <c r="GQ46" s="1518"/>
      <c r="GR46" s="1518"/>
      <c r="GS46" s="1518"/>
      <c r="GT46" s="1518"/>
      <c r="GU46" s="1518"/>
      <c r="GV46" s="1518"/>
      <c r="GW46" s="1518"/>
      <c r="GX46" s="1518"/>
      <c r="GY46" s="1518"/>
      <c r="GZ46" s="1518"/>
      <c r="HA46" s="1518"/>
    </row>
    <row r="47" spans="3:217">
      <c r="C47" s="1527"/>
      <c r="D47" s="1503"/>
      <c r="E47" s="1526"/>
      <c r="F47" s="1526"/>
      <c r="G47" s="1526"/>
      <c r="H47" s="1526"/>
      <c r="J47" s="1521"/>
      <c r="K47" s="1521"/>
      <c r="L47" s="1521"/>
      <c r="M47" s="1521"/>
      <c r="N47" s="1521"/>
      <c r="O47" s="1521"/>
      <c r="P47" s="1521"/>
      <c r="EH47" s="1518">
        <f t="shared" ca="1" si="57"/>
        <v>5.7902735562310029E-2</v>
      </c>
      <c r="EI47" s="1518">
        <f t="shared" ca="1" si="58"/>
        <v>3.7390943082675529E-2</v>
      </c>
      <c r="EJ47" s="1518">
        <f t="shared" ca="1" si="59"/>
        <v>0.10958828466669612</v>
      </c>
      <c r="EK47" s="1518" t="e">
        <f t="shared" ca="1" si="60"/>
        <v>#VALUE!</v>
      </c>
      <c r="EL47" s="1518" t="e">
        <f t="shared" ca="1" si="61"/>
        <v>#VALUE!</v>
      </c>
      <c r="EM47" s="1518">
        <f t="shared" ca="1" si="62"/>
        <v>4.6324118589743592E-2</v>
      </c>
      <c r="EN47" s="1518" t="e">
        <f t="shared" ca="1" si="63"/>
        <v>#VALUE!</v>
      </c>
      <c r="EO47" s="1518" t="e">
        <f t="shared" ca="1" si="64"/>
        <v>#VALUE!</v>
      </c>
      <c r="EP47" s="1518">
        <f t="shared" ca="1" si="65"/>
        <v>0.22877417420418769</v>
      </c>
      <c r="EQ47" s="1518">
        <f t="shared" ca="1" si="66"/>
        <v>8.1479807919077094E-2</v>
      </c>
      <c r="ER47" s="1518">
        <f t="shared" ca="1" si="67"/>
        <v>8.7801451650667287E-2</v>
      </c>
      <c r="ES47" s="1518">
        <f t="shared" ca="1" si="68"/>
        <v>3.3514451394913478E-2</v>
      </c>
      <c r="ET47" s="1518" t="e">
        <f t="shared" ca="1" si="69"/>
        <v>#VALUE!</v>
      </c>
      <c r="EU47" s="1518">
        <f t="shared" ca="1" si="70"/>
        <v>0.11154446177847116</v>
      </c>
      <c r="EV47" s="1518">
        <f t="shared" ca="1" si="71"/>
        <v>0.12456638284452853</v>
      </c>
      <c r="EW47" s="1518">
        <f ca="1">EW23/CR23</f>
        <v>0.1034529268950634</v>
      </c>
      <c r="EX47" s="1518" t="e">
        <f t="shared" ca="1" si="72"/>
        <v>#VALUE!</v>
      </c>
      <c r="EY47" s="1518" t="e">
        <f t="shared" ca="1" si="73"/>
        <v>#VALUE!</v>
      </c>
      <c r="FS47" s="1518"/>
      <c r="FT47" s="1518"/>
      <c r="FU47" s="1518"/>
      <c r="FV47" s="1518"/>
      <c r="FW47" s="1518"/>
      <c r="FX47" s="1518"/>
      <c r="FY47" s="1518"/>
      <c r="FZ47" s="1518"/>
      <c r="GA47" s="1518"/>
      <c r="GB47" s="1518"/>
      <c r="GC47" s="1518"/>
      <c r="GD47" s="1518"/>
      <c r="GE47" s="1518"/>
      <c r="GF47" s="1518"/>
      <c r="GG47" s="1518"/>
      <c r="GH47" s="1518"/>
      <c r="GI47" s="1518"/>
      <c r="GJ47" s="1518"/>
      <c r="GK47" s="1518"/>
      <c r="GL47" s="1518"/>
      <c r="GM47" s="1518"/>
      <c r="GN47" s="1518"/>
      <c r="GO47" s="1518"/>
      <c r="GP47" s="1518"/>
      <c r="GQ47" s="1518"/>
      <c r="GR47" s="1518"/>
      <c r="GS47" s="1518"/>
      <c r="GT47" s="1518"/>
      <c r="GU47" s="1518"/>
      <c r="GV47" s="1518"/>
      <c r="GW47" s="1518"/>
      <c r="GX47" s="1518"/>
      <c r="GY47" s="1518"/>
      <c r="GZ47" s="1518"/>
      <c r="HA47" s="1518"/>
    </row>
    <row r="48" spans="3:217">
      <c r="C48" s="1514"/>
      <c r="E48" s="1510" t="s">
        <v>1819</v>
      </c>
      <c r="F48" s="1510"/>
      <c r="G48" s="1510"/>
      <c r="H48" s="1510"/>
      <c r="EH48" s="1518">
        <f t="shared" ca="1" si="57"/>
        <v>0.11191386881994617</v>
      </c>
      <c r="EI48" s="1518">
        <f t="shared" ca="1" si="58"/>
        <v>9.4495091164095366E-2</v>
      </c>
      <c r="EJ48" s="1518">
        <f t="shared" ca="1" si="59"/>
        <v>0.15017391261808202</v>
      </c>
      <c r="EK48" s="1518" t="e">
        <f t="shared" ca="1" si="60"/>
        <v>#VALUE!</v>
      </c>
      <c r="EL48" s="1518" t="e">
        <f t="shared" ca="1" si="61"/>
        <v>#VALUE!</v>
      </c>
      <c r="EM48" s="1518">
        <f t="shared" ca="1" si="62"/>
        <v>7.9526657335538875E-2</v>
      </c>
      <c r="EN48" s="1518" t="e">
        <f t="shared" ca="1" si="63"/>
        <v>#VALUE!</v>
      </c>
      <c r="EO48" s="1518">
        <f t="shared" ca="1" si="64"/>
        <v>8.7844434582644126E-2</v>
      </c>
      <c r="EP48" s="1518">
        <f t="shared" ca="1" si="65"/>
        <v>0.22931922331931781</v>
      </c>
      <c r="EQ48" s="1518">
        <f t="shared" ca="1" si="66"/>
        <v>7.6867414883708129E-2</v>
      </c>
      <c r="ER48" s="1518">
        <f t="shared" ca="1" si="67"/>
        <v>6.9919517102615694E-2</v>
      </c>
      <c r="ES48" s="1518">
        <f t="shared" ca="1" si="68"/>
        <v>2.7666693870888763E-2</v>
      </c>
      <c r="ET48" s="1518" t="e">
        <f t="shared" ca="1" si="69"/>
        <v>#VALUE!</v>
      </c>
      <c r="EU48" s="1518">
        <f t="shared" ca="1" si="70"/>
        <v>0.13017393730815738</v>
      </c>
      <c r="EV48" s="1518">
        <f t="shared" ca="1" si="71"/>
        <v>0.10293108518772669</v>
      </c>
      <c r="EW48" s="1518">
        <f ca="1">EW24/CR24</f>
        <v>0.11216683119447186</v>
      </c>
      <c r="EX48" s="1518" t="e">
        <f t="shared" ca="1" si="72"/>
        <v>#VALUE!</v>
      </c>
      <c r="EY48" s="1518" t="e">
        <f t="shared" ca="1" si="73"/>
        <v>#VALUE!</v>
      </c>
      <c r="FS48" s="1518">
        <f t="shared" ref="FS48:GB49" ca="1" si="79">FS23/CC23</f>
        <v>3.5258358662613981E-2</v>
      </c>
      <c r="FT48" s="1518">
        <f t="shared" ca="1" si="79"/>
        <v>-1.1632737847943497E-2</v>
      </c>
      <c r="FU48" s="1518">
        <f t="shared" ca="1" si="79"/>
        <v>8.4590493439943473E-2</v>
      </c>
      <c r="FV48" s="1518" t="e">
        <f t="shared" ca="1" si="79"/>
        <v>#VALUE!</v>
      </c>
      <c r="FW48" s="1518" t="e">
        <f t="shared" ca="1" si="79"/>
        <v>#VALUE!</v>
      </c>
      <c r="FX48" s="1518">
        <f t="shared" ca="1" si="79"/>
        <v>-9.5903445512820512E-2</v>
      </c>
      <c r="FY48" s="1518" t="e">
        <f t="shared" ca="1" si="79"/>
        <v>#VALUE!</v>
      </c>
      <c r="FZ48" s="1518" t="e">
        <f t="shared" ca="1" si="79"/>
        <v>#VALUE!</v>
      </c>
      <c r="GA48" s="1518">
        <f t="shared" ca="1" si="79"/>
        <v>0.16445954724901304</v>
      </c>
      <c r="GB48" s="1518">
        <f t="shared" ca="1" si="79"/>
        <v>8.8458563145381253E-2</v>
      </c>
      <c r="GC48" s="1518">
        <f t="shared" ref="GC48:GI49" ca="1" si="80">GC23/CM23</f>
        <v>-9.2484195738702871E-3</v>
      </c>
      <c r="GD48" s="1518">
        <f t="shared" ca="1" si="80"/>
        <v>-2.0318706908360351E-2</v>
      </c>
      <c r="GE48" s="1518" t="e">
        <f t="shared" ca="1" si="80"/>
        <v>#VALUE!</v>
      </c>
      <c r="GF48" s="1518">
        <f t="shared" ca="1" si="80"/>
        <v>6.1086193447737913E-2</v>
      </c>
      <c r="GG48" s="1518">
        <f t="shared" ca="1" si="80"/>
        <v>8.136234626300852E-2</v>
      </c>
      <c r="GH48" s="1518">
        <f t="shared" ca="1" si="80"/>
        <v>6.0156460749932562E-2</v>
      </c>
      <c r="GI48" s="1518" t="e">
        <f t="shared" ca="1" si="80"/>
        <v>#VALUE!</v>
      </c>
      <c r="GJ48" s="1518"/>
      <c r="GK48" s="1518"/>
      <c r="GL48" s="1518"/>
      <c r="GM48" s="1518"/>
      <c r="GN48" s="1518"/>
      <c r="GO48" s="1518"/>
      <c r="GP48" s="1518"/>
      <c r="GQ48" s="1518"/>
      <c r="GR48" s="1518"/>
      <c r="GS48" s="1518"/>
      <c r="GT48" s="1518"/>
      <c r="GU48" s="1518"/>
      <c r="GV48" s="1518"/>
      <c r="GW48" s="1518"/>
      <c r="GX48" s="1518"/>
      <c r="GY48" s="1518"/>
      <c r="GZ48" s="1518"/>
      <c r="HA48" s="1518"/>
    </row>
    <row r="49" spans="1:209">
      <c r="C49" s="1514" t="s">
        <v>1815</v>
      </c>
      <c r="E49" s="1521">
        <v>0.10107052518542976</v>
      </c>
      <c r="F49" s="1521">
        <v>9.0068921441144825E-2</v>
      </c>
      <c r="G49" s="1521">
        <v>0.10993135541268695</v>
      </c>
      <c r="H49" s="1521">
        <f>AVERAGE(J49:P49)</f>
        <v>0.11132945384866415</v>
      </c>
      <c r="J49" s="1521">
        <v>8.9443647015402597E-2</v>
      </c>
      <c r="K49" s="1521">
        <v>8.8276362945841985E-2</v>
      </c>
      <c r="L49" s="1521">
        <v>0.21733780039511069</v>
      </c>
      <c r="M49" s="1521">
        <v>2.805590929881575E-2</v>
      </c>
      <c r="N49" s="1521">
        <v>0.15305873655001473</v>
      </c>
      <c r="O49" s="1521">
        <v>0.10794111925201996</v>
      </c>
      <c r="P49" s="1521">
        <v>9.5192601483443287E-2</v>
      </c>
      <c r="EH49" s="1518">
        <f t="shared" ca="1" si="57"/>
        <v>0.10326385079539221</v>
      </c>
      <c r="EI49" s="1518">
        <f t="shared" ca="1" si="58"/>
        <v>0.10938040844582901</v>
      </c>
      <c r="EJ49" s="1518">
        <f t="shared" ca="1" si="59"/>
        <v>0.13168952922322133</v>
      </c>
      <c r="EK49" s="1518" t="e">
        <f t="shared" ca="1" si="60"/>
        <v>#VALUE!</v>
      </c>
      <c r="EL49" s="1518" t="e">
        <f t="shared" ca="1" si="61"/>
        <v>#VALUE!</v>
      </c>
      <c r="EM49" s="1518">
        <f t="shared" ca="1" si="62"/>
        <v>6.7992086087921635E-2</v>
      </c>
      <c r="EN49" s="1518" t="e">
        <f t="shared" ca="1" si="63"/>
        <v>#VALUE!</v>
      </c>
      <c r="EO49" s="1518" t="e">
        <f t="shared" ca="1" si="64"/>
        <v>#VALUE!</v>
      </c>
      <c r="EP49" s="1518">
        <f t="shared" ca="1" si="65"/>
        <v>0.20163154909915806</v>
      </c>
      <c r="EQ49" s="1518">
        <f t="shared" ca="1" si="66"/>
        <v>0.11258531749550138</v>
      </c>
      <c r="ER49" s="1518">
        <f t="shared" ca="1" si="67"/>
        <v>2.0408163265306121E-2</v>
      </c>
      <c r="ES49" s="1518">
        <f t="shared" ca="1" si="68"/>
        <v>2.9019219035997558E-2</v>
      </c>
      <c r="ET49" s="1518" t="e">
        <f t="shared" ca="1" si="69"/>
        <v>#VALUE!</v>
      </c>
      <c r="EU49" s="1518">
        <f t="shared" ca="1" si="70"/>
        <v>0.13964789632976682</v>
      </c>
      <c r="EV49" s="1518">
        <f t="shared" ca="1" si="71"/>
        <v>0.11112172749856679</v>
      </c>
      <c r="EW49" s="1518">
        <f ca="1">EW48</f>
        <v>0.11216683119447186</v>
      </c>
      <c r="EX49" s="1518" t="e">
        <f t="shared" ca="1" si="72"/>
        <v>#VALUE!</v>
      </c>
      <c r="EY49" s="1518" t="e">
        <f t="shared" ca="1" si="73"/>
        <v>#VALUE!</v>
      </c>
      <c r="FS49" s="1518">
        <f t="shared" ca="1" si="79"/>
        <v>5.8790196911743871E-2</v>
      </c>
      <c r="FT49" s="1518">
        <f t="shared" ca="1" si="79"/>
        <v>2.8225806451612902E-2</v>
      </c>
      <c r="FU49" s="1518">
        <f t="shared" ca="1" si="79"/>
        <v>7.3371067397866085E-2</v>
      </c>
      <c r="FV49" s="1518" t="e">
        <f t="shared" ca="1" si="79"/>
        <v>#VALUE!</v>
      </c>
      <c r="FW49" s="1518" t="e">
        <f t="shared" ca="1" si="79"/>
        <v>#VALUE!</v>
      </c>
      <c r="FX49" s="1518">
        <f t="shared" ca="1" si="79"/>
        <v>9.1784366119523272E-2</v>
      </c>
      <c r="FY49" s="1518" t="e">
        <f t="shared" ca="1" si="79"/>
        <v>#VALUE!</v>
      </c>
      <c r="FZ49" s="1518">
        <f t="shared" ca="1" si="79"/>
        <v>4.4426513898414496E-2</v>
      </c>
      <c r="GA49" s="1518">
        <f t="shared" ca="1" si="79"/>
        <v>0.15406056597533896</v>
      </c>
      <c r="GB49" s="1518">
        <f t="shared" ca="1" si="79"/>
        <v>4.6871671113485704E-2</v>
      </c>
      <c r="GC49" s="1518">
        <f t="shared" ca="1" si="80"/>
        <v>-3.0684104627766599E-2</v>
      </c>
      <c r="GD49" s="1518">
        <f t="shared" ca="1" si="80"/>
        <v>1.2894801273157595E-2</v>
      </c>
      <c r="GE49" s="1518" t="e">
        <f t="shared" ca="1" si="80"/>
        <v>#VALUE!</v>
      </c>
      <c r="GF49" s="1518">
        <f t="shared" ca="1" si="80"/>
        <v>5.7436517533252726E-2</v>
      </c>
      <c r="GG49" s="1518">
        <f t="shared" ca="1" si="80"/>
        <v>7.9403980001960597E-2</v>
      </c>
      <c r="GH49" s="1518">
        <f t="shared" ca="1" si="80"/>
        <v>7.4037512339585387E-2</v>
      </c>
      <c r="GI49" s="1518" t="e">
        <f t="shared" ca="1" si="80"/>
        <v>#VALUE!</v>
      </c>
      <c r="GJ49" s="1518"/>
      <c r="GK49" s="1518"/>
      <c r="GL49" s="1518"/>
      <c r="GM49" s="1518"/>
      <c r="GN49" s="1518"/>
      <c r="GO49" s="1518"/>
      <c r="GP49" s="1518"/>
      <c r="GQ49" s="1518"/>
      <c r="GR49" s="1518"/>
      <c r="GS49" s="1518"/>
      <c r="GT49" s="1518"/>
      <c r="GU49" s="1518"/>
      <c r="GV49" s="1518"/>
      <c r="GW49" s="1518"/>
      <c r="GX49" s="1518"/>
      <c r="GY49" s="1518"/>
      <c r="GZ49" s="1518"/>
      <c r="HA49" s="1518"/>
    </row>
    <row r="50" spans="1:209">
      <c r="C50" s="1514" t="s">
        <v>1816</v>
      </c>
      <c r="E50" s="1521">
        <v>0.16092840159641622</v>
      </c>
      <c r="F50" s="1521">
        <v>0.15887483906821204</v>
      </c>
      <c r="G50" s="1521">
        <v>9.4975071039207035E-2</v>
      </c>
      <c r="H50" s="1521">
        <f>AVERAGE(J50:P50)</f>
        <v>0.13448608746884289</v>
      </c>
      <c r="J50" s="1521">
        <v>0.13580080927947036</v>
      </c>
      <c r="K50" s="1521">
        <v>9.3222342140177133E-2</v>
      </c>
      <c r="L50" s="1521">
        <v>0.22068440601213521</v>
      </c>
      <c r="M50" s="1521">
        <v>8.1844425108428681E-2</v>
      </c>
      <c r="N50" s="1521">
        <v>0.18447228311097863</v>
      </c>
      <c r="O50" s="1521">
        <v>0.12326746225528733</v>
      </c>
      <c r="P50" s="1521">
        <v>0.1021108843754229</v>
      </c>
      <c r="EH50" s="1532">
        <f t="shared" ca="1" si="57"/>
        <v>9.0190336749633962E-2</v>
      </c>
      <c r="EI50" s="1532">
        <f t="shared" ca="1" si="58"/>
        <v>0.11731843575418995</v>
      </c>
      <c r="EJ50" s="1532">
        <f t="shared" ca="1" si="59"/>
        <v>0.1277078962731725</v>
      </c>
      <c r="EK50" s="1532" t="e">
        <f t="shared" ca="1" si="60"/>
        <v>#VALUE!</v>
      </c>
      <c r="EL50" s="1532" t="e">
        <f t="shared" ca="1" si="61"/>
        <v>#VALUE!</v>
      </c>
      <c r="EM50" s="1532">
        <f t="shared" ca="1" si="62"/>
        <v>8.9285714285714288E-2</v>
      </c>
      <c r="EN50" s="1532" t="e">
        <f t="shared" ca="1" si="63"/>
        <v>#VALUE!</v>
      </c>
      <c r="EO50" s="1532">
        <f t="shared" ca="1" si="64"/>
        <v>5.5752700891096907E-2</v>
      </c>
      <c r="EP50" s="1532">
        <f t="shared" ca="1" si="65"/>
        <v>0.21846128689395797</v>
      </c>
      <c r="EQ50" s="1532">
        <f t="shared" ca="1" si="66"/>
        <v>0.13476275657727743</v>
      </c>
      <c r="ER50" s="1532">
        <f t="shared" ca="1" si="67"/>
        <v>2.1044624746450306E-2</v>
      </c>
      <c r="ES50" s="1532">
        <f t="shared" ca="1" si="68"/>
        <v>2.3460854429182276E-3</v>
      </c>
      <c r="ET50" s="1532" t="e">
        <f t="shared" ca="1" si="69"/>
        <v>#VALUE!</v>
      </c>
      <c r="EU50" s="1532">
        <f t="shared" ca="1" si="70"/>
        <v>0.14922708800182308</v>
      </c>
      <c r="EV50" s="1532">
        <f t="shared" ca="1" si="71"/>
        <v>0.11718494271685762</v>
      </c>
      <c r="EW50" s="1532">
        <f ca="1">EW49</f>
        <v>0.11216683119447186</v>
      </c>
      <c r="EX50" s="1532" t="e">
        <f t="shared" ca="1" si="72"/>
        <v>#VALUE!</v>
      </c>
      <c r="EY50" s="1532" t="e">
        <f t="shared" ca="1" si="73"/>
        <v>#VALUE!</v>
      </c>
      <c r="FS50" s="1518">
        <f t="shared" ref="FS50:GG54" ca="1" si="81">FS25/CC25</f>
        <v>2.7975863960504662E-2</v>
      </c>
      <c r="FT50" s="1518">
        <f t="shared" ca="1" si="81"/>
        <v>8.7746625129802705E-2</v>
      </c>
      <c r="FU50" s="1518">
        <f t="shared" ca="1" si="81"/>
        <v>-2.1844957166554005E-2</v>
      </c>
      <c r="FV50" s="1518" t="e">
        <f t="shared" ca="1" si="81"/>
        <v>#VALUE!</v>
      </c>
      <c r="FW50" s="1518" t="e">
        <f t="shared" ca="1" si="81"/>
        <v>#VALUE!</v>
      </c>
      <c r="FX50" s="1518">
        <f t="shared" ca="1" si="81"/>
        <v>1.3994112821502677E-3</v>
      </c>
      <c r="FY50" s="1518" t="e">
        <f t="shared" ca="1" si="81"/>
        <v>#VALUE!</v>
      </c>
      <c r="FZ50" s="1518" t="e">
        <f t="shared" ca="1" si="81"/>
        <v>#VALUE!</v>
      </c>
      <c r="GA50" s="1518">
        <f t="shared" ca="1" si="81"/>
        <v>0.11652052523666187</v>
      </c>
      <c r="GB50" s="1518">
        <f t="shared" ca="1" si="81"/>
        <v>0.11671788038535685</v>
      </c>
      <c r="GC50" s="1518">
        <f t="shared" ca="1" si="81"/>
        <v>2.4217687074829932E-2</v>
      </c>
      <c r="GD50" s="1518">
        <f t="shared" ca="1" si="81"/>
        <v>2.6921903599755947E-2</v>
      </c>
      <c r="GE50" s="1518" t="e">
        <f t="shared" ca="1" si="81"/>
        <v>#VALUE!</v>
      </c>
      <c r="GF50" s="1518">
        <f t="shared" ca="1" si="81"/>
        <v>5.9422822797220685E-2</v>
      </c>
      <c r="GG50" s="1518">
        <f t="shared" ca="1" si="81"/>
        <v>7.2998280145232186E-2</v>
      </c>
      <c r="GH50" s="1518"/>
      <c r="GI50" s="1518" t="e">
        <f ca="1">GI25/CS25</f>
        <v>#VALUE!</v>
      </c>
      <c r="GJ50" s="1518"/>
      <c r="GK50" s="1518"/>
      <c r="GL50" s="1518"/>
      <c r="GM50" s="1518"/>
      <c r="GN50" s="1518"/>
      <c r="GO50" s="1518"/>
      <c r="GP50" s="1518"/>
      <c r="GQ50" s="1518"/>
      <c r="GR50" s="1518"/>
      <c r="GS50" s="1518"/>
      <c r="GT50" s="1518"/>
      <c r="GU50" s="1518"/>
      <c r="GV50" s="1518"/>
      <c r="GW50" s="1518"/>
      <c r="GX50" s="1518"/>
      <c r="GY50" s="1518"/>
      <c r="GZ50" s="1518"/>
      <c r="HA50" s="1518"/>
    </row>
    <row r="51" spans="1:209" s="767" customFormat="1">
      <c r="A51" s="1503"/>
      <c r="B51" s="1503"/>
      <c r="C51" s="1527" t="s">
        <v>1817</v>
      </c>
      <c r="D51" s="1503"/>
      <c r="E51" s="1526">
        <v>0.59223869967201392</v>
      </c>
      <c r="F51" s="1526">
        <v>0.76392518669192855</v>
      </c>
      <c r="G51" s="1526">
        <v>-0.1360511231516558</v>
      </c>
      <c r="H51" s="1526">
        <f>AVERAGE(J51:P51)</f>
        <v>0.41811477447097439</v>
      </c>
      <c r="I51" s="1529"/>
      <c r="J51" s="1526">
        <v>0.51828345344734039</v>
      </c>
      <c r="K51" s="1526">
        <v>5.6028352656186442E-2</v>
      </c>
      <c r="L51" s="1526">
        <v>1.5398175609307341E-2</v>
      </c>
      <c r="M51" s="1526">
        <v>1.9171902516766179</v>
      </c>
      <c r="N51" s="1526">
        <v>0.2052385069224647</v>
      </c>
      <c r="O51" s="1526">
        <v>0.14198799409781504</v>
      </c>
      <c r="P51" s="1526">
        <v>7.2676686887088504E-2</v>
      </c>
      <c r="Q51" s="1529"/>
      <c r="R51" s="1529"/>
      <c r="S51" s="1529"/>
      <c r="T51" s="1529"/>
      <c r="U51" s="1529"/>
      <c r="V51" s="1529"/>
      <c r="X51" s="1529"/>
      <c r="Y51" s="1529"/>
      <c r="Z51" s="1529"/>
      <c r="AA51" s="1529"/>
      <c r="AB51" s="1529"/>
      <c r="AC51" s="1529"/>
      <c r="AD51" s="1529"/>
      <c r="AE51" s="1529"/>
      <c r="AF51" s="1529"/>
      <c r="AG51" s="1529"/>
      <c r="AH51" s="1529"/>
      <c r="AI51" s="1529"/>
      <c r="AJ51" s="1529"/>
      <c r="AK51" s="1529"/>
      <c r="AL51" s="1529"/>
      <c r="AM51" s="1529"/>
      <c r="AN51" s="1529"/>
      <c r="AO51" s="1529"/>
      <c r="AQ51" s="1529"/>
      <c r="AR51" s="1529"/>
      <c r="AS51" s="1529"/>
      <c r="AT51" s="1529"/>
      <c r="AU51" s="1529"/>
      <c r="AV51" s="1529"/>
      <c r="AW51" s="1529"/>
      <c r="AX51" s="1529"/>
      <c r="AY51" s="1529"/>
      <c r="AZ51" s="1529"/>
      <c r="BA51" s="1529"/>
      <c r="BB51" s="1529"/>
      <c r="BC51" s="1529"/>
      <c r="BD51" s="1529"/>
      <c r="BE51" s="1529"/>
      <c r="BF51" s="1529"/>
      <c r="BG51" s="1529"/>
      <c r="BH51" s="1529"/>
      <c r="BJ51" s="1529"/>
      <c r="BK51" s="1529"/>
      <c r="BL51" s="1529"/>
      <c r="BM51" s="1529"/>
      <c r="BN51" s="1529"/>
      <c r="BO51" s="1529"/>
      <c r="BP51" s="1529"/>
      <c r="BQ51" s="1529"/>
      <c r="BR51" s="1529"/>
      <c r="BS51" s="1529"/>
      <c r="BT51" s="1529"/>
      <c r="BU51" s="1529"/>
      <c r="BV51" s="1529"/>
      <c r="BW51" s="1529"/>
      <c r="BX51" s="1529"/>
      <c r="BY51" s="1529"/>
      <c r="BZ51" s="1529"/>
      <c r="CA51" s="1529"/>
      <c r="CC51" s="1529"/>
      <c r="CD51" s="1529"/>
      <c r="CE51" s="1529"/>
      <c r="CF51" s="1529"/>
      <c r="CG51" s="1529"/>
      <c r="CH51" s="1529"/>
      <c r="CI51" s="1529"/>
      <c r="CJ51" s="1529"/>
      <c r="CK51" s="1529"/>
      <c r="CL51" s="1529"/>
      <c r="CM51" s="1529"/>
      <c r="CN51" s="1529"/>
      <c r="CO51" s="1529"/>
      <c r="CP51" s="1529"/>
      <c r="CQ51" s="1529"/>
      <c r="CR51" s="1529"/>
      <c r="CS51" s="1529"/>
      <c r="CT51" s="1529"/>
      <c r="CX51" s="1530"/>
      <c r="DD51" s="1531"/>
      <c r="DO51" s="1529"/>
      <c r="DP51" s="1529"/>
      <c r="DQ51" s="1529"/>
      <c r="DR51" s="1529"/>
      <c r="DS51" s="1529"/>
      <c r="DT51" s="1529"/>
      <c r="DU51" s="1529"/>
      <c r="DV51" s="1529"/>
      <c r="DW51" s="1529"/>
      <c r="DX51" s="1529"/>
      <c r="DY51" s="1529"/>
      <c r="DZ51" s="1529"/>
      <c r="EA51" s="1529"/>
      <c r="EB51" s="1529"/>
      <c r="EC51" s="1529"/>
      <c r="ED51" s="1529"/>
      <c r="EE51" s="1529"/>
      <c r="EF51" s="1529"/>
      <c r="EG51" s="1503"/>
      <c r="EH51" s="1518">
        <f t="shared" ca="1" si="57"/>
        <v>8.4002378828426996E-2</v>
      </c>
      <c r="EI51" s="1518">
        <f t="shared" ca="1" si="58"/>
        <v>8.7791294152132493E-2</v>
      </c>
      <c r="EJ51" s="1518">
        <f t="shared" ca="1" si="59"/>
        <v>0.12699387383708968</v>
      </c>
      <c r="EK51" s="1518" t="e">
        <f t="shared" ca="1" si="60"/>
        <v>#VALUE!</v>
      </c>
      <c r="EL51" s="1518" t="e">
        <f t="shared" ca="1" si="61"/>
        <v>#VALUE!</v>
      </c>
      <c r="EM51" s="1518">
        <f t="shared" ca="1" si="62"/>
        <v>0.14236327571550014</v>
      </c>
      <c r="EN51" s="1518" t="e">
        <f t="shared" ca="1" si="63"/>
        <v>#VALUE!</v>
      </c>
      <c r="EO51" s="1518">
        <f t="shared" ca="1" si="64"/>
        <v>4.3482335301283856E-2</v>
      </c>
      <c r="EP51" s="1518">
        <f t="shared" ca="1" si="65"/>
        <v>0.21385887846768767</v>
      </c>
      <c r="EQ51" s="1518">
        <f t="shared" ca="1" si="66"/>
        <v>0.11562087701627205</v>
      </c>
      <c r="ER51" s="1518">
        <f t="shared" ca="1" si="67"/>
        <v>1.9189765458422176E-2</v>
      </c>
      <c r="ES51" s="1518">
        <f t="shared" ca="1" si="68"/>
        <v>2.5851681454704789E-2</v>
      </c>
      <c r="ET51" s="1518" t="e">
        <f t="shared" ca="1" si="69"/>
        <v>#VALUE!</v>
      </c>
      <c r="EU51" s="1518">
        <f t="shared" ca="1" si="70"/>
        <v>0.1766443039193657</v>
      </c>
      <c r="EV51" s="1518">
        <f t="shared" ca="1" si="71"/>
        <v>8.5305066565713919E-2</v>
      </c>
      <c r="EW51" s="1518">
        <f t="shared" ref="EW51:EW65" ca="1" si="82">EW27/CR27</f>
        <v>0.10836052661190503</v>
      </c>
      <c r="EX51" s="1518" t="e">
        <f t="shared" ca="1" si="72"/>
        <v>#VALUE!</v>
      </c>
      <c r="EY51" s="1518" t="e">
        <f t="shared" ca="1" si="73"/>
        <v>#VALUE!</v>
      </c>
      <c r="FA51" s="1529"/>
      <c r="FB51" s="1529"/>
      <c r="FC51" s="1529"/>
      <c r="FD51" s="1529"/>
      <c r="FE51" s="1529"/>
      <c r="FF51" s="1529"/>
      <c r="FG51" s="1529"/>
      <c r="FH51" s="1529"/>
      <c r="FI51" s="1529"/>
      <c r="FJ51" s="1529"/>
      <c r="FK51" s="1529"/>
      <c r="FL51" s="1529"/>
      <c r="FM51" s="1529"/>
      <c r="FN51" s="1529"/>
      <c r="FO51" s="1529"/>
      <c r="FP51" s="1529"/>
      <c r="FQ51" s="1529"/>
      <c r="FS51" s="1532">
        <f t="shared" ca="1" si="81"/>
        <v>2.972181551976574E-2</v>
      </c>
      <c r="FT51" s="1532">
        <f t="shared" ca="1" si="81"/>
        <v>3.9882060831781502E-2</v>
      </c>
      <c r="FU51" s="1532">
        <f t="shared" ca="1" si="81"/>
        <v>7.2450787964251001E-2</v>
      </c>
      <c r="FV51" s="1532" t="e">
        <f t="shared" ca="1" si="81"/>
        <v>#VALUE!</v>
      </c>
      <c r="FW51" s="1532" t="e">
        <f t="shared" ca="1" si="81"/>
        <v>#VALUE!</v>
      </c>
      <c r="FX51" s="1532">
        <f t="shared" ca="1" si="81"/>
        <v>0.10032894736842105</v>
      </c>
      <c r="FY51" s="1532" t="e">
        <f t="shared" ca="1" si="81"/>
        <v>#VALUE!</v>
      </c>
      <c r="FZ51" s="1532">
        <f t="shared" ca="1" si="81"/>
        <v>-4.1017495240348326E-2</v>
      </c>
      <c r="GA51" s="1532">
        <f t="shared" ca="1" si="81"/>
        <v>0.11544436268498079</v>
      </c>
      <c r="GB51" s="1532">
        <f t="shared" ca="1" si="81"/>
        <v>6.3188862877843255E-2</v>
      </c>
      <c r="GC51" s="1532">
        <f t="shared" ca="1" si="81"/>
        <v>2.6876267748478701E-2</v>
      </c>
      <c r="GD51" s="1532">
        <f t="shared" ca="1" si="81"/>
        <v>9.0059408937828746E-3</v>
      </c>
      <c r="GE51" s="1532" t="e">
        <f t="shared" ca="1" si="81"/>
        <v>#VALUE!</v>
      </c>
      <c r="GF51" s="1532">
        <f t="shared" ca="1" si="81"/>
        <v>5.8566599567017354E-2</v>
      </c>
      <c r="GG51" s="1532">
        <f t="shared" ca="1" si="81"/>
        <v>5.7201309328968906E-2</v>
      </c>
      <c r="GH51" s="1532"/>
      <c r="GI51" s="1532" t="e">
        <f ca="1">GI26/CS26</f>
        <v>#VALUE!</v>
      </c>
      <c r="GJ51" s="1532"/>
      <c r="GK51" s="1532"/>
      <c r="GL51" s="1532"/>
      <c r="GM51" s="1532"/>
      <c r="GN51" s="1532"/>
      <c r="GO51" s="1532"/>
      <c r="GP51" s="1532"/>
      <c r="GQ51" s="1532"/>
      <c r="GR51" s="1532"/>
      <c r="GS51" s="1532"/>
      <c r="GT51" s="1532"/>
      <c r="GU51" s="1532"/>
      <c r="GV51" s="1532"/>
      <c r="GW51" s="1532"/>
      <c r="GX51" s="1532"/>
      <c r="GY51" s="1532"/>
      <c r="GZ51" s="1532"/>
      <c r="HA51" s="1532"/>
    </row>
    <row r="52" spans="1:209">
      <c r="C52" s="1514"/>
      <c r="EH52" s="1518">
        <f t="shared" ca="1" si="57"/>
        <v>0.11070336391437309</v>
      </c>
      <c r="EI52" s="1518">
        <f t="shared" ca="1" si="58"/>
        <v>7.6347894529712718E-2</v>
      </c>
      <c r="EJ52" s="1518">
        <f t="shared" ca="1" si="59"/>
        <v>7.0892426435118186E-2</v>
      </c>
      <c r="EK52" s="1518" t="e">
        <f t="shared" ca="1" si="60"/>
        <v>#VALUE!</v>
      </c>
      <c r="EL52" s="1518">
        <f t="shared" ca="1" si="61"/>
        <v>1.1256001038017386E-2</v>
      </c>
      <c r="EM52" s="1518">
        <f t="shared" ca="1" si="62"/>
        <v>0.11922951354880836</v>
      </c>
      <c r="EN52" s="1518">
        <f t="shared" ca="1" si="63"/>
        <v>3.0503339530400055E-2</v>
      </c>
      <c r="EO52" s="1518">
        <f t="shared" ca="1" si="64"/>
        <v>-1.1112563733821414E-2</v>
      </c>
      <c r="EP52" s="1518">
        <f t="shared" ca="1" si="65"/>
        <v>0.227133157462267</v>
      </c>
      <c r="EQ52" s="1518">
        <f t="shared" ca="1" si="66"/>
        <v>0.10487515171582243</v>
      </c>
      <c r="ER52" s="1518">
        <f t="shared" ca="1" si="67"/>
        <v>7.6902465166130765E-2</v>
      </c>
      <c r="ES52" s="1518">
        <f t="shared" ca="1" si="68"/>
        <v>5.7892948997913335E-2</v>
      </c>
      <c r="ET52" s="1518" t="e">
        <f t="shared" ca="1" si="69"/>
        <v>#VALUE!</v>
      </c>
      <c r="EU52" s="1518">
        <f t="shared" ca="1" si="70"/>
        <v>0.1701578090722525</v>
      </c>
      <c r="EV52" s="1518">
        <f t="shared" ca="1" si="71"/>
        <v>8.2441375929405994E-2</v>
      </c>
      <c r="EW52" s="1518">
        <f t="shared" ca="1" si="82"/>
        <v>4.4089567783370941E-2</v>
      </c>
      <c r="EX52" s="1518" t="e">
        <f t="shared" ca="1" si="72"/>
        <v>#VALUE!</v>
      </c>
      <c r="EY52" s="1518" t="e">
        <f t="shared" ca="1" si="73"/>
        <v>#VALUE!</v>
      </c>
      <c r="FS52" s="1518">
        <f t="shared" ca="1" si="81"/>
        <v>1.3380909901873326E-3</v>
      </c>
      <c r="FT52" s="1518">
        <f t="shared" ca="1" si="81"/>
        <v>1.8613513117397038E-2</v>
      </c>
      <c r="FU52" s="1518">
        <f t="shared" ca="1" si="81"/>
        <v>4.0431718244354313E-2</v>
      </c>
      <c r="FV52" s="1518" t="e">
        <f t="shared" ca="1" si="81"/>
        <v>#VALUE!</v>
      </c>
      <c r="FW52" s="1518" t="e">
        <f t="shared" ca="1" si="81"/>
        <v>#VALUE!</v>
      </c>
      <c r="FX52" s="1518">
        <f t="shared" ca="1" si="81"/>
        <v>-3.6667611221309154E-2</v>
      </c>
      <c r="FY52" s="1518" t="e">
        <f t="shared" ca="1" si="81"/>
        <v>#VALUE!</v>
      </c>
      <c r="FZ52" s="1518">
        <f t="shared" ca="1" si="81"/>
        <v>-5.4502858213850626E-2</v>
      </c>
      <c r="GA52" s="1518">
        <f t="shared" ca="1" si="81"/>
        <v>0.12117614468320867</v>
      </c>
      <c r="GB52" s="1518">
        <f t="shared" ca="1" si="81"/>
        <v>9.2181353524258103E-2</v>
      </c>
      <c r="GC52" s="1518">
        <f t="shared" ca="1" si="81"/>
        <v>3.3996683250414592E-2</v>
      </c>
      <c r="GD52" s="1518">
        <f t="shared" ca="1" si="81"/>
        <v>1.0954102311315588E-2</v>
      </c>
      <c r="GE52" s="1518" t="e">
        <f t="shared" ca="1" si="81"/>
        <v>#VALUE!</v>
      </c>
      <c r="GF52" s="1518">
        <f t="shared" ca="1" si="81"/>
        <v>4.2628318300003208E-2</v>
      </c>
      <c r="GG52" s="1518">
        <f t="shared" ca="1" si="81"/>
        <v>6.6502618461732596E-2</v>
      </c>
      <c r="GH52" s="1518">
        <f ca="1">GH27/CR27</f>
        <v>1.8566445369641048E-2</v>
      </c>
      <c r="GI52" s="1518" t="e">
        <f ca="1">GI27/CS27</f>
        <v>#VALUE!</v>
      </c>
      <c r="GJ52" s="1518"/>
      <c r="GK52" s="1518"/>
      <c r="GL52" s="1518"/>
      <c r="GM52" s="1518"/>
      <c r="GN52" s="1518"/>
      <c r="GO52" s="1518"/>
      <c r="GP52" s="1518"/>
      <c r="GQ52" s="1518"/>
      <c r="GR52" s="1518"/>
      <c r="GS52" s="1518"/>
      <c r="GT52" s="1518"/>
      <c r="GU52" s="1518"/>
      <c r="GV52" s="1518"/>
      <c r="GW52" s="1518"/>
      <c r="GX52" s="1518"/>
      <c r="GY52" s="1518"/>
      <c r="GZ52" s="1518"/>
      <c r="HA52" s="1518"/>
    </row>
    <row r="53" spans="1:209">
      <c r="C53" s="1514" t="s">
        <v>1820</v>
      </c>
      <c r="E53" s="1521">
        <f t="shared" ref="E53:G54" ca="1" si="83">EH73</f>
        <v>0.31029242241305294</v>
      </c>
      <c r="F53" s="1521">
        <f t="shared" ca="1" si="83"/>
        <v>0.34842104498604082</v>
      </c>
      <c r="G53" s="1521">
        <f t="shared" ca="1" si="83"/>
        <v>0.21806798262570048</v>
      </c>
      <c r="H53" s="1521">
        <f ca="1">AVERAGE(J53:P53)</f>
        <v>0.30923968834238436</v>
      </c>
      <c r="J53" s="1521">
        <f ca="1">EL73</f>
        <v>0.57130838758996194</v>
      </c>
      <c r="K53" s="1521">
        <f ca="1">EM73</f>
        <v>0.40212829700418878</v>
      </c>
      <c r="L53" s="1521">
        <f ca="1">EP73</f>
        <v>4.4942200399070577E-2</v>
      </c>
      <c r="M53" s="1521">
        <f ca="1">ES73</f>
        <v>0.61502758641183286</v>
      </c>
      <c r="N53" s="1521">
        <f t="shared" ref="N53:P54" ca="1" si="84">EU73</f>
        <v>0.19440476949277385</v>
      </c>
      <c r="O53" s="1521">
        <f t="shared" ca="1" si="84"/>
        <v>0.1225248629910322</v>
      </c>
      <c r="P53" s="1521">
        <f t="shared" ca="1" si="84"/>
        <v>0.21434171450783043</v>
      </c>
      <c r="U53" s="1521"/>
      <c r="V53" s="1521"/>
      <c r="EH53" s="1518">
        <f t="shared" ca="1" si="57"/>
        <v>0.15251626155426223</v>
      </c>
      <c r="EI53" s="1518">
        <f t="shared" ca="1" si="58"/>
        <v>9.496451503886448E-2</v>
      </c>
      <c r="EJ53" s="1518">
        <f t="shared" ca="1" si="59"/>
        <v>0.10753344440228955</v>
      </c>
      <c r="EK53" s="1518" t="e">
        <f t="shared" ca="1" si="60"/>
        <v>#VALUE!</v>
      </c>
      <c r="EL53" s="1518">
        <f t="shared" ca="1" si="61"/>
        <v>5.5439808933380762E-2</v>
      </c>
      <c r="EM53" s="1518">
        <f t="shared" ca="1" si="62"/>
        <v>6.5640960968535209E-2</v>
      </c>
      <c r="EN53" s="1518">
        <f t="shared" ca="1" si="63"/>
        <v>9.0916772285593583E-2</v>
      </c>
      <c r="EO53" s="1518">
        <f t="shared" ca="1" si="64"/>
        <v>4.7405077510671759E-2</v>
      </c>
      <c r="EP53" s="1518">
        <f t="shared" ca="1" si="65"/>
        <v>0.22511439501912836</v>
      </c>
      <c r="EQ53" s="1518">
        <f t="shared" ca="1" si="66"/>
        <v>0.17852227306662874</v>
      </c>
      <c r="ER53" s="1518">
        <f t="shared" ca="1" si="67"/>
        <v>4.0854700854700852E-2</v>
      </c>
      <c r="ES53" s="1518">
        <f t="shared" ca="1" si="68"/>
        <v>4.8552576375910594E-2</v>
      </c>
      <c r="ET53" s="1518" t="e">
        <f t="shared" ca="1" si="69"/>
        <v>#VALUE!</v>
      </c>
      <c r="EU53" s="1518">
        <f t="shared" ca="1" si="70"/>
        <v>0.17848089079998716</v>
      </c>
      <c r="EV53" s="1518">
        <f t="shared" ca="1" si="71"/>
        <v>0.11078000446993966</v>
      </c>
      <c r="EW53" s="1518">
        <f t="shared" ca="1" si="82"/>
        <v>7.9047461551182405E-2</v>
      </c>
      <c r="EX53" s="1518" t="e">
        <f t="shared" ca="1" si="72"/>
        <v>#VALUE!</v>
      </c>
      <c r="EY53" s="1518" t="e">
        <f t="shared" ca="1" si="73"/>
        <v>#VALUE!</v>
      </c>
      <c r="FS53" s="1518">
        <f t="shared" ca="1" si="81"/>
        <v>8.9704383282364936E-2</v>
      </c>
      <c r="FT53" s="1518">
        <f t="shared" ca="1" si="81"/>
        <v>1.3577331759149941E-2</v>
      </c>
      <c r="FU53" s="1518">
        <f t="shared" ca="1" si="81"/>
        <v>7.1374819102749634E-2</v>
      </c>
      <c r="FV53" s="1518" t="e">
        <f t="shared" ca="1" si="81"/>
        <v>#VALUE!</v>
      </c>
      <c r="FW53" s="1518" t="e">
        <f t="shared" ca="1" si="81"/>
        <v>#VALUE!</v>
      </c>
      <c r="FX53" s="1518">
        <f t="shared" ca="1" si="81"/>
        <v>4.0679072804440088E-2</v>
      </c>
      <c r="FY53" s="1518">
        <f t="shared" ca="1" si="81"/>
        <v>2.3273428355023065E-2</v>
      </c>
      <c r="FZ53" s="1518">
        <f t="shared" ca="1" si="81"/>
        <v>0.18355340567394432</v>
      </c>
      <c r="GA53" s="1518">
        <f t="shared" ca="1" si="81"/>
        <v>0.17463131946546728</v>
      </c>
      <c r="GB53" s="1518">
        <f t="shared" ca="1" si="81"/>
        <v>0.12852287380933622</v>
      </c>
      <c r="GC53" s="1518">
        <f t="shared" ca="1" si="81"/>
        <v>0.11334405144694534</v>
      </c>
      <c r="GD53" s="1518">
        <f t="shared" ca="1" si="81"/>
        <v>9.6083855000727914E-2</v>
      </c>
      <c r="GE53" s="1518" t="e">
        <f t="shared" ca="1" si="81"/>
        <v>#VALUE!</v>
      </c>
      <c r="GF53" s="1518">
        <f t="shared" ca="1" si="81"/>
        <v>4.9642629679428216E-2</v>
      </c>
      <c r="GG53" s="1518">
        <f t="shared" ca="1" si="81"/>
        <v>9.0366860037584776E-2</v>
      </c>
      <c r="GH53" s="1518">
        <f ca="1">GH28/CR28</f>
        <v>0.1681999652838049</v>
      </c>
      <c r="GI53" s="1518" t="e">
        <f ca="1">GI28/CS28</f>
        <v>#VALUE!</v>
      </c>
      <c r="GJ53" s="1518"/>
      <c r="GK53" s="1518"/>
      <c r="GL53" s="1518"/>
      <c r="GM53" s="1518"/>
      <c r="GN53" s="1518"/>
      <c r="GO53" s="1518"/>
      <c r="GP53" s="1518"/>
      <c r="GQ53" s="1518"/>
      <c r="GR53" s="1518"/>
      <c r="GS53" s="1518"/>
      <c r="GT53" s="1518"/>
      <c r="GU53" s="1518"/>
      <c r="GV53" s="1518"/>
      <c r="GW53" s="1518"/>
      <c r="GX53" s="1518"/>
      <c r="GY53" s="1518"/>
      <c r="GZ53" s="1518"/>
      <c r="HA53" s="1518"/>
    </row>
    <row r="54" spans="1:209">
      <c r="C54" s="1514" t="s">
        <v>1820</v>
      </c>
      <c r="E54" s="1521">
        <f t="shared" ca="1" si="83"/>
        <v>0.16025135105814509</v>
      </c>
      <c r="F54" s="1521">
        <f t="shared" ca="1" si="83"/>
        <v>0.21633677459808054</v>
      </c>
      <c r="G54" s="1521">
        <f t="shared" ca="1" si="83"/>
        <v>0.18989651136661126</v>
      </c>
      <c r="H54" s="1521">
        <f ca="1">AVERAGE(J54:P54)</f>
        <v>0.2389830569527934</v>
      </c>
      <c r="J54" s="1521">
        <f ca="1">EL74</f>
        <v>0.23870258991914514</v>
      </c>
      <c r="K54" s="1521">
        <f ca="1">EM74</f>
        <v>0.67677984798195467</v>
      </c>
      <c r="L54" s="1521">
        <f ca="1">EP74</f>
        <v>3.4621078404740269E-2</v>
      </c>
      <c r="M54" s="1521">
        <f ca="1">ES74</f>
        <v>0.15292524131662885</v>
      </c>
      <c r="N54" s="1521">
        <f t="shared" ca="1" si="84"/>
        <v>0.22506937717433029</v>
      </c>
      <c r="O54" s="1521">
        <f t="shared" ca="1" si="84"/>
        <v>0.14731958155844793</v>
      </c>
      <c r="P54" s="1521">
        <f t="shared" ca="1" si="84"/>
        <v>0.1974636823143065</v>
      </c>
      <c r="U54" s="1521"/>
      <c r="V54" s="1521"/>
      <c r="EH54" s="1518">
        <f t="shared" ca="1" si="57"/>
        <v>0.12956255224296462</v>
      </c>
      <c r="EI54" s="1518">
        <f t="shared" ca="1" si="58"/>
        <v>0.10971462368771255</v>
      </c>
      <c r="EJ54" s="1518">
        <f t="shared" ca="1" si="59"/>
        <v>0.10975185448067583</v>
      </c>
      <c r="EK54" s="1518" t="e">
        <f t="shared" ca="1" si="60"/>
        <v>#VALUE!</v>
      </c>
      <c r="EL54" s="1518">
        <f t="shared" ca="1" si="61"/>
        <v>0.1010107299254924</v>
      </c>
      <c r="EM54" s="1518">
        <f t="shared" ca="1" si="62"/>
        <v>0.11814797817551374</v>
      </c>
      <c r="EN54" s="1518">
        <f t="shared" ca="1" si="63"/>
        <v>0.12517671250481943</v>
      </c>
      <c r="EO54" s="1518">
        <f t="shared" ca="1" si="64"/>
        <v>6.9175529497318422E-2</v>
      </c>
      <c r="EP54" s="1518">
        <f t="shared" ca="1" si="65"/>
        <v>0.20863868157103779</v>
      </c>
      <c r="EQ54" s="1518">
        <f t="shared" ca="1" si="66"/>
        <v>0.2048933341001497</v>
      </c>
      <c r="ER54" s="1518">
        <f t="shared" ca="1" si="67"/>
        <v>2.3E-2</v>
      </c>
      <c r="ES54" s="1518">
        <f t="shared" ca="1" si="68"/>
        <v>1.3164842127494808E-2</v>
      </c>
      <c r="ET54" s="1518" t="e">
        <f t="shared" ca="1" si="69"/>
        <v>#VALUE!</v>
      </c>
      <c r="EU54" s="1518">
        <f t="shared" ca="1" si="70"/>
        <v>0.17762515172148377</v>
      </c>
      <c r="EV54" s="1518">
        <f t="shared" ca="1" si="71"/>
        <v>0.11951629156869331</v>
      </c>
      <c r="EW54" s="1518">
        <f t="shared" ca="1" si="82"/>
        <v>0.10226773957571324</v>
      </c>
      <c r="EX54" s="1518" t="e">
        <f t="shared" ca="1" si="72"/>
        <v>#VALUE!</v>
      </c>
      <c r="EY54" s="1518" t="e">
        <f t="shared" ca="1" si="73"/>
        <v>#VALUE!</v>
      </c>
      <c r="FS54" s="1518">
        <f t="shared" ca="1" si="81"/>
        <v>5.5631633002396437E-2</v>
      </c>
      <c r="FT54" s="1518">
        <f t="shared" ca="1" si="81"/>
        <v>-1.0307536329841162E-2</v>
      </c>
      <c r="FU54" s="1518">
        <f t="shared" ca="1" si="81"/>
        <v>6.340827738647048E-2</v>
      </c>
      <c r="FV54" s="1518" t="e">
        <f t="shared" ca="1" si="81"/>
        <v>#VALUE!</v>
      </c>
      <c r="FW54" s="1518">
        <f t="shared" ca="1" si="81"/>
        <v>1.1255653234412319E-2</v>
      </c>
      <c r="FX54" s="1518">
        <f t="shared" ca="1" si="81"/>
        <v>1.9042814805473231E-2</v>
      </c>
      <c r="FY54" s="1518">
        <f t="shared" ca="1" si="81"/>
        <v>0.12065906210392903</v>
      </c>
      <c r="FZ54" s="1518">
        <f t="shared" ca="1" si="81"/>
        <v>-3.7519658503707032E-2</v>
      </c>
      <c r="GA54" s="1518">
        <f t="shared" ca="1" si="81"/>
        <v>0.15313929937739104</v>
      </c>
      <c r="GB54" s="1518">
        <f t="shared" ca="1" si="81"/>
        <v>0.10827615453765166</v>
      </c>
      <c r="GC54" s="1518">
        <f t="shared" ca="1" si="81"/>
        <v>3.8803418803418803E-2</v>
      </c>
      <c r="GD54" s="1518">
        <f t="shared" ca="1" si="81"/>
        <v>3.863610358900034E-2</v>
      </c>
      <c r="GE54" s="1518" t="e">
        <f t="shared" ca="1" si="81"/>
        <v>#VALUE!</v>
      </c>
      <c r="GF54" s="1518">
        <f t="shared" ca="1" si="81"/>
        <v>6.8093572505856292E-2</v>
      </c>
      <c r="GG54" s="1518">
        <f t="shared" ca="1" si="81"/>
        <v>7.4722491246368178E-2</v>
      </c>
      <c r="GH54" s="1518">
        <f ca="1">GH29/CR29</f>
        <v>0.10302629403009757</v>
      </c>
      <c r="GI54" s="1518" t="e">
        <f ca="1">GI29/CS29</f>
        <v>#VALUE!</v>
      </c>
      <c r="GJ54" s="1518"/>
      <c r="GK54" s="1518"/>
      <c r="GL54" s="1518"/>
      <c r="GM54" s="1518"/>
      <c r="GN54" s="1518"/>
      <c r="GO54" s="1518"/>
      <c r="GP54" s="1518"/>
      <c r="GQ54" s="1518"/>
      <c r="GR54" s="1518"/>
      <c r="GS54" s="1518"/>
      <c r="GT54" s="1518"/>
      <c r="GU54" s="1518"/>
      <c r="GV54" s="1518"/>
      <c r="GW54" s="1518"/>
      <c r="GX54" s="1518"/>
      <c r="GY54" s="1518"/>
      <c r="GZ54" s="1518"/>
      <c r="HA54" s="1518"/>
    </row>
    <row r="55" spans="1:209">
      <c r="C55" s="1514"/>
      <c r="E55" s="1521"/>
      <c r="F55" s="1521"/>
      <c r="G55" s="1521"/>
      <c r="H55" s="1521"/>
      <c r="J55" s="1521"/>
      <c r="K55" s="1521"/>
      <c r="L55" s="1521"/>
      <c r="M55" s="1521"/>
      <c r="N55" s="1521"/>
      <c r="O55" s="1521"/>
      <c r="P55" s="1521"/>
      <c r="U55" s="1521"/>
      <c r="V55" s="1521"/>
      <c r="EH55" s="1518">
        <f t="shared" ca="1" si="57"/>
        <v>0.12651197235250555</v>
      </c>
      <c r="EI55" s="1518">
        <f t="shared" ca="1" si="58"/>
        <v>3.0539108756622E-2</v>
      </c>
      <c r="EJ55" s="1518">
        <f t="shared" ca="1" si="59"/>
        <v>8.4828846792954465E-2</v>
      </c>
      <c r="EK55" s="1518" t="e">
        <f t="shared" ca="1" si="60"/>
        <v>#VALUE!</v>
      </c>
      <c r="EL55" s="1518">
        <f t="shared" ca="1" si="61"/>
        <v>0.11188040218733462</v>
      </c>
      <c r="EM55" s="1518">
        <f t="shared" ca="1" si="62"/>
        <v>0.12619581635922553</v>
      </c>
      <c r="EN55" s="1518">
        <f t="shared" ca="1" si="63"/>
        <v>0.14111675126903553</v>
      </c>
      <c r="EO55" s="1518">
        <f t="shared" ca="1" si="64"/>
        <v>8.4294270134978103E-2</v>
      </c>
      <c r="EP55" s="1518">
        <f t="shared" ca="1" si="65"/>
        <v>0.21679373996789728</v>
      </c>
      <c r="EQ55" s="1518">
        <f t="shared" ca="1" si="66"/>
        <v>0.19981628753144906</v>
      </c>
      <c r="ER55" s="1518">
        <f t="shared" ca="1" si="67"/>
        <v>5.3246536471373729E-2</v>
      </c>
      <c r="ES55" s="1518">
        <f t="shared" ca="1" si="68"/>
        <v>3.9394574944071586E-2</v>
      </c>
      <c r="ET55" s="1518" t="e">
        <f t="shared" ca="1" si="69"/>
        <v>#VALUE!</v>
      </c>
      <c r="EU55" s="1518">
        <f t="shared" ca="1" si="70"/>
        <v>0.19476460246141822</v>
      </c>
      <c r="EV55" s="1518">
        <f t="shared" ca="1" si="71"/>
        <v>0.11227057430432208</v>
      </c>
      <c r="EW55" s="1518">
        <f t="shared" ca="1" si="82"/>
        <v>8.3593033913840514E-2</v>
      </c>
      <c r="EX55" s="1518" t="e">
        <f t="shared" ca="1" si="72"/>
        <v>#VALUE!</v>
      </c>
      <c r="EY55" s="1518" t="e">
        <f t="shared" ca="1" si="73"/>
        <v>#VALUE!</v>
      </c>
      <c r="FS55" s="1518"/>
      <c r="FT55" s="1518"/>
      <c r="FU55" s="1518"/>
      <c r="FV55" s="1518"/>
      <c r="FW55" s="1518"/>
      <c r="FX55" s="1518"/>
      <c r="FY55" s="1518"/>
      <c r="FZ55" s="1518"/>
      <c r="GA55" s="1518"/>
      <c r="GB55" s="1518"/>
      <c r="GC55" s="1518"/>
      <c r="GD55" s="1518"/>
      <c r="GE55" s="1518"/>
      <c r="GF55" s="1518"/>
      <c r="GG55" s="1518"/>
      <c r="GH55" s="1518"/>
      <c r="GI55" s="1518"/>
      <c r="GJ55" s="1518"/>
      <c r="GK55" s="1518"/>
      <c r="GL55" s="1518"/>
      <c r="GM55" s="1518"/>
      <c r="GN55" s="1518"/>
      <c r="GO55" s="1518"/>
      <c r="GP55" s="1518"/>
      <c r="GQ55" s="1518"/>
      <c r="GR55" s="1518"/>
      <c r="GS55" s="1518"/>
      <c r="GT55" s="1518"/>
      <c r="GU55" s="1518"/>
      <c r="GV55" s="1518"/>
      <c r="GW55" s="1518"/>
      <c r="GX55" s="1518"/>
      <c r="GY55" s="1518"/>
      <c r="GZ55" s="1518"/>
      <c r="HA55" s="1518"/>
    </row>
    <row r="56" spans="1:209">
      <c r="C56" s="1514"/>
      <c r="E56" s="1510" t="s">
        <v>1821</v>
      </c>
      <c r="F56" s="1510"/>
      <c r="G56" s="1510"/>
      <c r="H56" s="1510"/>
      <c r="EH56" s="1518">
        <f t="shared" ca="1" si="57"/>
        <v>0.20780748663101603</v>
      </c>
      <c r="EI56" s="1518">
        <f t="shared" ca="1" si="58"/>
        <v>0.14393241167434717</v>
      </c>
      <c r="EJ56" s="1518">
        <f t="shared" ca="1" si="59"/>
        <v>0.10399024456337647</v>
      </c>
      <c r="EK56" s="1518" t="e">
        <f t="shared" ca="1" si="60"/>
        <v>#VALUE!</v>
      </c>
      <c r="EL56" s="1518">
        <f t="shared" ca="1" si="61"/>
        <v>0.11497435431891426</v>
      </c>
      <c r="EM56" s="1518">
        <f t="shared" ca="1" si="62"/>
        <v>0.11586481113320078</v>
      </c>
      <c r="EN56" s="1518">
        <f t="shared" ca="1" si="63"/>
        <v>0.13994374120956399</v>
      </c>
      <c r="EO56" s="1518">
        <f t="shared" ca="1" si="64"/>
        <v>5.9662424406534888E-2</v>
      </c>
      <c r="EP56" s="1518">
        <f t="shared" ca="1" si="65"/>
        <v>0.21852223769881118</v>
      </c>
      <c r="EQ56" s="1518">
        <f t="shared" ca="1" si="66"/>
        <v>0.25478997773851736</v>
      </c>
      <c r="ER56" s="1518">
        <f t="shared" ca="1" si="67"/>
        <v>0.17050691244239632</v>
      </c>
      <c r="ES56" s="1518">
        <f t="shared" ca="1" si="68"/>
        <v>5.8045184556639803E-2</v>
      </c>
      <c r="ET56" s="1518" t="e">
        <f t="shared" ca="1" si="69"/>
        <v>#VALUE!</v>
      </c>
      <c r="EU56" s="1518">
        <f t="shared" ca="1" si="70"/>
        <v>0.18243522246309485</v>
      </c>
      <c r="EV56" s="1518">
        <f t="shared" ca="1" si="71"/>
        <v>0.10865755345250613</v>
      </c>
      <c r="EW56" s="1518">
        <f t="shared" ca="1" si="82"/>
        <v>6.8066825775656328E-2</v>
      </c>
      <c r="EX56" s="1518" t="e">
        <f t="shared" ca="1" si="72"/>
        <v>#VALUE!</v>
      </c>
      <c r="EY56" s="1518" t="e">
        <f t="shared" ca="1" si="73"/>
        <v>#VALUE!</v>
      </c>
      <c r="FS56" s="1518">
        <f t="shared" ref="FS56:GB61" ca="1" si="85">FS30/CC30</f>
        <v>2.215101699637782E-2</v>
      </c>
      <c r="FT56" s="1518">
        <f t="shared" ca="1" si="85"/>
        <v>1.2568386810587017E-2</v>
      </c>
      <c r="FU56" s="1518">
        <f t="shared" ca="1" si="85"/>
        <v>4.3449821162651524E-2</v>
      </c>
      <c r="FV56" s="1518" t="e">
        <f t="shared" ca="1" si="85"/>
        <v>#VALUE!</v>
      </c>
      <c r="FW56" s="1518">
        <f t="shared" ca="1" si="85"/>
        <v>3.756511632733537E-2</v>
      </c>
      <c r="FX56" s="1518">
        <f t="shared" ca="1" si="85"/>
        <v>7.6487685482637298E-3</v>
      </c>
      <c r="FY56" s="1518">
        <f t="shared" ca="1" si="85"/>
        <v>4.2089705693355607E-2</v>
      </c>
      <c r="FZ56" s="1518">
        <f t="shared" ca="1" si="85"/>
        <v>-3.6360330879011186E-4</v>
      </c>
      <c r="GA56" s="1518">
        <f t="shared" ca="1" si="85"/>
        <v>0.13187666745466212</v>
      </c>
      <c r="GB56" s="1518">
        <f t="shared" ca="1" si="85"/>
        <v>0.10344527109572832</v>
      </c>
      <c r="GC56" s="1518">
        <f t="shared" ref="GC56:GI61" ca="1" si="86">GC30/CM30</f>
        <v>-1.7714285714285714E-2</v>
      </c>
      <c r="GD56" s="1518">
        <f t="shared" ca="1" si="86"/>
        <v>8.7648280474497513E-3</v>
      </c>
      <c r="GE56" s="1518" t="e">
        <f t="shared" ca="1" si="86"/>
        <v>#VALUE!</v>
      </c>
      <c r="GF56" s="1518">
        <f t="shared" ca="1" si="86"/>
        <v>5.6780840166967647E-2</v>
      </c>
      <c r="GG56" s="1518">
        <f t="shared" ca="1" si="86"/>
        <v>7.0272085992610006E-2</v>
      </c>
      <c r="GH56" s="1518">
        <f t="shared" ca="1" si="86"/>
        <v>3.2187271397220191E-2</v>
      </c>
      <c r="GI56" s="1518" t="e">
        <f t="shared" ca="1" si="86"/>
        <v>#VALUE!</v>
      </c>
      <c r="GJ56" s="1518"/>
      <c r="GK56" s="1518"/>
      <c r="GL56" s="1518"/>
      <c r="GM56" s="1518"/>
      <c r="GN56" s="1518"/>
      <c r="GO56" s="1518"/>
      <c r="GP56" s="1518"/>
      <c r="GQ56" s="1518"/>
      <c r="GR56" s="1518"/>
      <c r="GS56" s="1518"/>
      <c r="GT56" s="1518"/>
      <c r="GU56" s="1518"/>
      <c r="GV56" s="1518"/>
      <c r="GW56" s="1518"/>
      <c r="GX56" s="1518"/>
      <c r="GY56" s="1518"/>
      <c r="GZ56" s="1518"/>
      <c r="HA56" s="1518"/>
    </row>
    <row r="57" spans="1:209">
      <c r="C57" s="1514" t="s">
        <v>1815</v>
      </c>
      <c r="E57" s="1521">
        <f t="shared" ref="E57:G58" ca="1" si="87">FS69</f>
        <v>4.0109621908812502E-2</v>
      </c>
      <c r="F57" s="1521">
        <f t="shared" ca="1" si="87"/>
        <v>2.9864932866761538E-2</v>
      </c>
      <c r="G57" s="1521">
        <f t="shared" ca="1" si="87"/>
        <v>5.1631233493745168E-2</v>
      </c>
      <c r="H57" s="1521">
        <f ca="1">AVERAGE(J57:P57)</f>
        <v>6.0268954401608718E-2</v>
      </c>
      <c r="J57" s="1521">
        <f t="shared" ref="J57:K58" ca="1" si="88">FW69</f>
        <v>4.3666722093581911E-2</v>
      </c>
      <c r="K57" s="1521">
        <f t="shared" ca="1" si="88"/>
        <v>1.7960349918761182E-2</v>
      </c>
      <c r="L57" s="1521">
        <f ca="1">GA69</f>
        <v>0.1428728099590911</v>
      </c>
      <c r="M57" s="1521">
        <f ca="1">GD69</f>
        <v>9.9049447017619842E-3</v>
      </c>
      <c r="N57" s="1521">
        <f t="shared" ref="N57:P58" ca="1" si="89">GF69</f>
        <v>5.6368384883389536E-2</v>
      </c>
      <c r="O57" s="1521">
        <f t="shared" ca="1" si="89"/>
        <v>8.0168967989089304E-2</v>
      </c>
      <c r="P57" s="1521">
        <f t="shared" ca="1" si="89"/>
        <v>7.0940501265585973E-2</v>
      </c>
      <c r="EH57" s="1518">
        <f t="shared" ca="1" si="57"/>
        <v>0.16605437178545188</v>
      </c>
      <c r="EI57" s="1518">
        <f t="shared" ca="1" si="58"/>
        <v>0.11055571890620405</v>
      </c>
      <c r="EJ57" s="1518">
        <f t="shared" ca="1" si="59"/>
        <v>9.6280969527597141E-2</v>
      </c>
      <c r="EK57" s="1518" t="e">
        <f t="shared" ca="1" si="60"/>
        <v>#VALUE!</v>
      </c>
      <c r="EL57" s="1518">
        <f t="shared" ca="1" si="61"/>
        <v>0.12585511313804595</v>
      </c>
      <c r="EM57" s="1518">
        <f t="shared" ca="1" si="62"/>
        <v>9.9321791897197934E-2</v>
      </c>
      <c r="EN57" s="1518">
        <f t="shared" ca="1" si="63"/>
        <v>9.014084507042254E-2</v>
      </c>
      <c r="EO57" s="1518">
        <f t="shared" ca="1" si="64"/>
        <v>7.2449699964701728E-2</v>
      </c>
      <c r="EP57" s="1518">
        <f t="shared" ca="1" si="65"/>
        <v>0.22453725527167595</v>
      </c>
      <c r="EQ57" s="1518">
        <f t="shared" ca="1" si="66"/>
        <v>0.13387715146053156</v>
      </c>
      <c r="ER57" s="1518">
        <f t="shared" ca="1" si="67"/>
        <v>5.0337226517519332E-2</v>
      </c>
      <c r="ES57" s="1518">
        <f t="shared" ca="1" si="68"/>
        <v>8.1162821014209366E-2</v>
      </c>
      <c r="ET57" s="1518" t="e">
        <f t="shared" ca="1" si="69"/>
        <v>#VALUE!</v>
      </c>
      <c r="EU57" s="1518">
        <f t="shared" ca="1" si="70"/>
        <v>0.16942338969527729</v>
      </c>
      <c r="EV57" s="1518">
        <f t="shared" ca="1" si="71"/>
        <v>0.10121019538908796</v>
      </c>
      <c r="EW57" s="1518">
        <f t="shared" ca="1" si="82"/>
        <v>9.1619047619047614E-2</v>
      </c>
      <c r="EX57" s="1518" t="e">
        <f t="shared" ca="1" si="72"/>
        <v>#VALUE!</v>
      </c>
      <c r="EY57" s="1518" t="e">
        <f t="shared" ca="1" si="73"/>
        <v>#VALUE!</v>
      </c>
      <c r="FS57" s="1518">
        <f t="shared" ca="1" si="85"/>
        <v>8.1214514934584051E-2</v>
      </c>
      <c r="FT57" s="1518">
        <f t="shared" ca="1" si="85"/>
        <v>4.8613275163602365E-2</v>
      </c>
      <c r="FU57" s="1518">
        <f t="shared" ca="1" si="85"/>
        <v>4.2760607067685828E-2</v>
      </c>
      <c r="FV57" s="1518" t="e">
        <f t="shared" ca="1" si="85"/>
        <v>#VALUE!</v>
      </c>
      <c r="FW57" s="1518">
        <f t="shared" ca="1" si="85"/>
        <v>8.2179396718998057E-2</v>
      </c>
      <c r="FX57" s="1518">
        <f t="shared" ca="1" si="85"/>
        <v>1.0756625623655423E-2</v>
      </c>
      <c r="FY57" s="1518">
        <f t="shared" ca="1" si="85"/>
        <v>4.2204496011602609E-2</v>
      </c>
      <c r="FZ57" s="1518">
        <f t="shared" ca="1" si="85"/>
        <v>3.2358988111200498E-2</v>
      </c>
      <c r="GA57" s="1518">
        <f t="shared" ca="1" si="85"/>
        <v>0.1276083467094703</v>
      </c>
      <c r="GB57" s="1518">
        <f t="shared" ca="1" si="85"/>
        <v>8.2524927019150082E-2</v>
      </c>
      <c r="GC57" s="1518">
        <f t="shared" ca="1" si="86"/>
        <v>5.9088632949424139E-2</v>
      </c>
      <c r="GD57" s="1518">
        <f t="shared" ca="1" si="86"/>
        <v>1.7302852348993286E-2</v>
      </c>
      <c r="GE57" s="1518" t="e">
        <f t="shared" ca="1" si="86"/>
        <v>#VALUE!</v>
      </c>
      <c r="GF57" s="1518">
        <f t="shared" ca="1" si="86"/>
        <v>5.0902799095805543E-2</v>
      </c>
      <c r="GG57" s="1518">
        <f t="shared" ca="1" si="86"/>
        <v>0.1053878034339846</v>
      </c>
      <c r="GH57" s="1518">
        <f t="shared" ca="1" si="86"/>
        <v>6.1594867094408798E-2</v>
      </c>
      <c r="GI57" s="1518" t="e">
        <f t="shared" ca="1" si="86"/>
        <v>#VALUE!</v>
      </c>
      <c r="GJ57" s="1518"/>
      <c r="GK57" s="1518"/>
      <c r="GL57" s="1518"/>
      <c r="GM57" s="1518"/>
      <c r="GN57" s="1518"/>
      <c r="GO57" s="1518"/>
      <c r="GP57" s="1518"/>
      <c r="GQ57" s="1518"/>
      <c r="GR57" s="1518"/>
      <c r="GS57" s="1518"/>
      <c r="GT57" s="1518"/>
      <c r="GU57" s="1518"/>
      <c r="GV57" s="1518"/>
      <c r="GW57" s="1518"/>
      <c r="GX57" s="1518"/>
      <c r="GY57" s="1518"/>
      <c r="GZ57" s="1518"/>
      <c r="HA57" s="1518"/>
    </row>
    <row r="58" spans="1:209">
      <c r="C58" s="1514" t="s">
        <v>1816</v>
      </c>
      <c r="E58" s="1521">
        <f t="shared" ca="1" si="87"/>
        <v>0.10107716794825901</v>
      </c>
      <c r="F58" s="1521">
        <f t="shared" ca="1" si="87"/>
        <v>0.11506070949162089</v>
      </c>
      <c r="G58" s="1521">
        <f t="shared" ca="1" si="87"/>
        <v>4.2054526182608375E-2</v>
      </c>
      <c r="H58" s="1521">
        <f ca="1">AVERAGE(J58:P58)</f>
        <v>8.2894558561199441E-2</v>
      </c>
      <c r="J58" s="1521">
        <f t="shared" ca="1" si="88"/>
        <v>9.5352411559097738E-2</v>
      </c>
      <c r="K58" s="1521">
        <f t="shared" ca="1" si="88"/>
        <v>6.4844231194768037E-2</v>
      </c>
      <c r="L58" s="1521">
        <f ca="1">GA70</f>
        <v>0.16376779190165799</v>
      </c>
      <c r="M58" s="1521">
        <f ca="1">GD70</f>
        <v>4.3139422572669082E-2</v>
      </c>
      <c r="N58" s="1521">
        <f t="shared" ca="1" si="89"/>
        <v>5.9131950946090611E-2</v>
      </c>
      <c r="O58" s="1521">
        <f t="shared" ca="1" si="89"/>
        <v>8.7290521484046368E-2</v>
      </c>
      <c r="P58" s="1521">
        <f t="shared" ca="1" si="89"/>
        <v>6.6735580270066305E-2</v>
      </c>
      <c r="EH58" s="1518">
        <f t="shared" ca="1" si="57"/>
        <v>0.17796434494195687</v>
      </c>
      <c r="EI58" s="1518">
        <f t="shared" ca="1" si="58"/>
        <v>0.12019739161085653</v>
      </c>
      <c r="EJ58" s="1518">
        <f t="shared" ca="1" si="59"/>
        <v>0.10096665673040071</v>
      </c>
      <c r="EK58" s="1518" t="e">
        <f t="shared" ca="1" si="60"/>
        <v>#VALUE!</v>
      </c>
      <c r="EL58" s="1518">
        <f t="shared" ca="1" si="61"/>
        <v>0.18854437146784786</v>
      </c>
      <c r="EM58" s="1518">
        <f t="shared" ca="1" si="62"/>
        <v>8.022701793721973E-2</v>
      </c>
      <c r="EN58" s="1518">
        <f t="shared" ca="1" si="63"/>
        <v>0.12094569634281492</v>
      </c>
      <c r="EO58" s="1518">
        <f t="shared" ca="1" si="64"/>
        <v>6.8647441499174677E-2</v>
      </c>
      <c r="EP58" s="1518">
        <f t="shared" ca="1" si="65"/>
        <v>0.23326947215432384</v>
      </c>
      <c r="EQ58" s="1518">
        <f t="shared" ca="1" si="66"/>
        <v>0.11082876792166918</v>
      </c>
      <c r="ER58" s="1518">
        <f t="shared" ca="1" si="67"/>
        <v>0.1065891472868217</v>
      </c>
      <c r="ES58" s="1518">
        <f t="shared" ca="1" si="68"/>
        <v>9.9094031264803414E-2</v>
      </c>
      <c r="ET58" s="1518" t="e">
        <f t="shared" ca="1" si="69"/>
        <v>#VALUE!</v>
      </c>
      <c r="EU58" s="1518">
        <f t="shared" ca="1" si="70"/>
        <v>0.10505112162368381</v>
      </c>
      <c r="EV58" s="1518">
        <f t="shared" ca="1" si="71"/>
        <v>0.1439988976160948</v>
      </c>
      <c r="EW58" s="1518">
        <f t="shared" ca="1" si="82"/>
        <v>9.712685218648355E-2</v>
      </c>
      <c r="EX58" s="1518" t="e">
        <f t="shared" ca="1" si="72"/>
        <v>#VALUE!</v>
      </c>
      <c r="EY58" s="1518" t="e">
        <f t="shared" ca="1" si="73"/>
        <v>#VALUE!</v>
      </c>
      <c r="FS58" s="1518">
        <f t="shared" ca="1" si="85"/>
        <v>8.6524064171122989E-2</v>
      </c>
      <c r="FT58" s="1518">
        <f t="shared" ca="1" si="85"/>
        <v>5.9139784946236562E-2</v>
      </c>
      <c r="FU58" s="1518">
        <f t="shared" ca="1" si="85"/>
        <v>4.3492988279926835E-2</v>
      </c>
      <c r="FV58" s="1518" t="e">
        <f t="shared" ca="1" si="85"/>
        <v>#VALUE!</v>
      </c>
      <c r="FW58" s="1518">
        <f t="shared" ca="1" si="85"/>
        <v>7.4304389269665469E-2</v>
      </c>
      <c r="FX58" s="1518">
        <f t="shared" ca="1" si="85"/>
        <v>8.9940357852882694E-2</v>
      </c>
      <c r="FY58" s="1518">
        <f t="shared" ca="1" si="85"/>
        <v>1.7815283638068447E-2</v>
      </c>
      <c r="FZ58" s="1518">
        <f t="shared" ca="1" si="85"/>
        <v>2.1391822366639588E-2</v>
      </c>
      <c r="GA58" s="1518">
        <f t="shared" ca="1" si="85"/>
        <v>0.13449515726733827</v>
      </c>
      <c r="GB58" s="1518">
        <f t="shared" ca="1" si="85"/>
        <v>0.11590714497529518</v>
      </c>
      <c r="GC58" s="1518">
        <f t="shared" ca="1" si="86"/>
        <v>7.1593153390388409E-2</v>
      </c>
      <c r="GD58" s="1518">
        <f t="shared" ca="1" si="86"/>
        <v>8.6444633008061107E-3</v>
      </c>
      <c r="GE58" s="1518" t="e">
        <f t="shared" ca="1" si="86"/>
        <v>#VALUE!</v>
      </c>
      <c r="GF58" s="1518">
        <f t="shared" ca="1" si="86"/>
        <v>2.7562712914214926E-2</v>
      </c>
      <c r="GG58" s="1518">
        <f t="shared" ca="1" si="86"/>
        <v>9.0921836663161587E-2</v>
      </c>
      <c r="GH58" s="1518">
        <f t="shared" ca="1" si="86"/>
        <v>4.6109785202863962E-2</v>
      </c>
      <c r="GI58" s="1518" t="e">
        <f t="shared" ca="1" si="86"/>
        <v>#VALUE!</v>
      </c>
      <c r="GJ58" s="1518"/>
      <c r="GK58" s="1518"/>
      <c r="GL58" s="1518"/>
      <c r="GM58" s="1518"/>
      <c r="GN58" s="1518"/>
      <c r="GO58" s="1518"/>
      <c r="GP58" s="1518"/>
      <c r="GQ58" s="1518"/>
      <c r="GR58" s="1518"/>
      <c r="GS58" s="1518"/>
      <c r="GT58" s="1518"/>
      <c r="GU58" s="1518"/>
      <c r="GV58" s="1518"/>
      <c r="GW58" s="1518"/>
      <c r="GX58" s="1518"/>
      <c r="GY58" s="1518"/>
      <c r="GZ58" s="1518"/>
      <c r="HA58" s="1518"/>
    </row>
    <row r="59" spans="1:209">
      <c r="C59" s="1514"/>
      <c r="E59" s="1521"/>
      <c r="F59" s="1521"/>
      <c r="G59" s="1521"/>
      <c r="H59" s="1521"/>
      <c r="J59" s="1521"/>
      <c r="K59" s="1521"/>
      <c r="L59" s="1521"/>
      <c r="M59" s="1521"/>
      <c r="N59" s="1521"/>
      <c r="O59" s="1521"/>
      <c r="P59" s="1521"/>
      <c r="EH59" s="1518">
        <f t="shared" ca="1" si="57"/>
        <v>0.17029307282415632</v>
      </c>
      <c r="EI59" s="1518">
        <f t="shared" ca="1" si="58"/>
        <v>0.16737799220634625</v>
      </c>
      <c r="EJ59" s="1518">
        <f t="shared" ca="1" si="59"/>
        <v>0.11353032659409021</v>
      </c>
      <c r="EK59" s="1518" t="e">
        <f t="shared" ca="1" si="60"/>
        <v>#VALUE!</v>
      </c>
      <c r="EL59" s="1518">
        <f t="shared" ca="1" si="61"/>
        <v>0.17414248021108181</v>
      </c>
      <c r="EM59" s="1518">
        <f t="shared" ca="1" si="62"/>
        <v>5.8696357150578311E-2</v>
      </c>
      <c r="EN59" s="1518">
        <f t="shared" ca="1" si="63"/>
        <v>0.12446958981612447</v>
      </c>
      <c r="EO59" s="1518" t="e">
        <f t="shared" ca="1" si="64"/>
        <v>#VALUE!</v>
      </c>
      <c r="EP59" s="1518">
        <f t="shared" ca="1" si="65"/>
        <v>0.22973197382842339</v>
      </c>
      <c r="EQ59" s="1518">
        <f t="shared" ca="1" si="66"/>
        <v>0.2150743685718704</v>
      </c>
      <c r="ER59" s="1518">
        <f t="shared" ca="1" si="67"/>
        <v>8.0686695278969961E-2</v>
      </c>
      <c r="ES59" s="1518">
        <f t="shared" ca="1" si="68"/>
        <v>9.9503164772340572E-2</v>
      </c>
      <c r="ET59" s="1518">
        <f t="shared" ca="1" si="69"/>
        <v>0.14298766560073092</v>
      </c>
      <c r="EU59" s="1518">
        <f t="shared" ca="1" si="70"/>
        <v>0.12623577139706171</v>
      </c>
      <c r="EV59" s="1518">
        <f t="shared" ca="1" si="71"/>
        <v>0.15585143658023826</v>
      </c>
      <c r="EW59" s="1518">
        <f t="shared" ca="1" si="82"/>
        <v>8.8728529322085581E-2</v>
      </c>
      <c r="EX59" s="1518" t="e">
        <f t="shared" ca="1" si="72"/>
        <v>#VALUE!</v>
      </c>
      <c r="EY59" s="1518" t="e">
        <f t="shared" ca="1" si="73"/>
        <v>#VALUE!</v>
      </c>
      <c r="FS59" s="1518">
        <f t="shared" ca="1" si="85"/>
        <v>8.8170462894930204E-2</v>
      </c>
      <c r="FT59" s="1518">
        <f t="shared" ca="1" si="85"/>
        <v>4.1752425757130257E-2</v>
      </c>
      <c r="FU59" s="1518">
        <f t="shared" ca="1" si="85"/>
        <v>2.1886924275810179E-2</v>
      </c>
      <c r="FV59" s="1518" t="e">
        <f t="shared" ca="1" si="85"/>
        <v>#VALUE!</v>
      </c>
      <c r="FW59" s="1518">
        <f t="shared" ca="1" si="85"/>
        <v>9.9741273460796351E-2</v>
      </c>
      <c r="FX59" s="1518">
        <f t="shared" ca="1" si="85"/>
        <v>3.899696591111905E-2</v>
      </c>
      <c r="FY59" s="1518">
        <f t="shared" ca="1" si="85"/>
        <v>-2.2065727699530517E-2</v>
      </c>
      <c r="FZ59" s="1518">
        <f t="shared" ca="1" si="85"/>
        <v>1.2089657606777268E-2</v>
      </c>
      <c r="GA59" s="1518">
        <f t="shared" ca="1" si="85"/>
        <v>0.16130856981238806</v>
      </c>
      <c r="GB59" s="1518">
        <f t="shared" ca="1" si="85"/>
        <v>0.15621570298354401</v>
      </c>
      <c r="GC59" s="1518">
        <f t="shared" ca="1" si="86"/>
        <v>5.5601250205625924E-2</v>
      </c>
      <c r="GD59" s="1518">
        <f t="shared" ca="1" si="86"/>
        <v>3.0139486377265021E-2</v>
      </c>
      <c r="GE59" s="1518" t="e">
        <f t="shared" ca="1" si="86"/>
        <v>#VALUE!</v>
      </c>
      <c r="GF59" s="1518">
        <f t="shared" ca="1" si="86"/>
        <v>4.5723754871574554E-2</v>
      </c>
      <c r="GG59" s="1518">
        <f t="shared" ca="1" si="86"/>
        <v>6.3619768778311131E-2</v>
      </c>
      <c r="GH59" s="1518">
        <f t="shared" ca="1" si="86"/>
        <v>2.7809523809523808E-2</v>
      </c>
      <c r="GI59" s="1518" t="e">
        <f t="shared" ca="1" si="86"/>
        <v>#VALUE!</v>
      </c>
      <c r="GJ59" s="1518"/>
      <c r="GK59" s="1518"/>
      <c r="GL59" s="1518"/>
      <c r="GM59" s="1518"/>
      <c r="GN59" s="1518"/>
      <c r="GO59" s="1518"/>
      <c r="GP59" s="1518"/>
      <c r="GQ59" s="1518"/>
      <c r="GR59" s="1518"/>
      <c r="GS59" s="1518"/>
      <c r="GT59" s="1518"/>
      <c r="GU59" s="1518"/>
      <c r="GV59" s="1518"/>
      <c r="GW59" s="1518"/>
      <c r="GX59" s="1518"/>
      <c r="GY59" s="1518"/>
      <c r="GZ59" s="1518"/>
      <c r="HA59" s="1518"/>
    </row>
    <row r="60" spans="1:209">
      <c r="C60" s="1514" t="s">
        <v>1820</v>
      </c>
      <c r="E60" s="1521">
        <f t="shared" ref="E60:G61" ca="1" si="90">FS73</f>
        <v>0.7272250266212994</v>
      </c>
      <c r="F60" s="1521">
        <f t="shared" ca="1" si="90"/>
        <v>1.1537339456753122</v>
      </c>
      <c r="G60" s="1521">
        <f t="shared" ca="1" si="90"/>
        <v>0.555257748948906</v>
      </c>
      <c r="H60" s="1521">
        <f ca="1">AVERAGE(J60:P60)</f>
        <v>1.3565164069035149</v>
      </c>
      <c r="J60" s="1521">
        <f ca="1">FW73</f>
        <v>0.67040024908211415</v>
      </c>
      <c r="K60" s="1521">
        <f ca="1">FX73</f>
        <v>3.0314285047121765</v>
      </c>
      <c r="L60" s="1521">
        <f ca="1">GA73</f>
        <v>0.15177633491614759</v>
      </c>
      <c r="M60" s="1521">
        <f ca="1">GD73</f>
        <v>4.7209502915434056</v>
      </c>
      <c r="N60" s="1521">
        <f t="shared" ref="N60:P61" ca="1" si="91">GF73</f>
        <v>0.11856924435615261</v>
      </c>
      <c r="O60" s="1521">
        <f t="shared" ca="1" si="91"/>
        <v>0.18410101830951567</v>
      </c>
      <c r="P60" s="1521">
        <f t="shared" ca="1" si="91"/>
        <v>0.61838920540509301</v>
      </c>
      <c r="EH60" s="1518">
        <f t="shared" ca="1" si="57"/>
        <v>0.15876007958948582</v>
      </c>
      <c r="EI60" s="1518">
        <f t="shared" ca="1" si="58"/>
        <v>0.15016286644951141</v>
      </c>
      <c r="EJ60" s="1518">
        <f t="shared" ca="1" si="59"/>
        <v>0.11496104408428942</v>
      </c>
      <c r="EK60" s="1518">
        <f t="shared" ca="1" si="60"/>
        <v>0.10020580836954036</v>
      </c>
      <c r="EL60" s="1518">
        <f t="shared" ca="1" si="61"/>
        <v>0.15905927386614083</v>
      </c>
      <c r="EM60" s="1518">
        <f t="shared" ca="1" si="62"/>
        <v>5.5085827324357101E-2</v>
      </c>
      <c r="EN60" s="1518">
        <f t="shared" ca="1" si="63"/>
        <v>0.10388869068854799</v>
      </c>
      <c r="EO60" s="1518">
        <f t="shared" ca="1" si="64"/>
        <v>0.11589527236629855</v>
      </c>
      <c r="EP60" s="1518">
        <f t="shared" ca="1" si="65"/>
        <v>0.22737467226837665</v>
      </c>
      <c r="EQ60" s="1518">
        <f t="shared" ca="1" si="66"/>
        <v>0.17299633576813855</v>
      </c>
      <c r="ER60" s="1518">
        <f t="shared" ca="1" si="67"/>
        <v>8.9894803952821165E-2</v>
      </c>
      <c r="ES60" s="1518">
        <f t="shared" ca="1" si="68"/>
        <v>7.2578465814770482E-2</v>
      </c>
      <c r="ET60" s="1518">
        <f t="shared" ca="1" si="69"/>
        <v>9.4296139811791815E-2</v>
      </c>
      <c r="EU60" s="1518">
        <f t="shared" ca="1" si="70"/>
        <v>0.16417703050093796</v>
      </c>
      <c r="EV60" s="1518">
        <f t="shared" ca="1" si="71"/>
        <v>0.14123949010035258</v>
      </c>
      <c r="EW60" s="1518">
        <f t="shared" ca="1" si="82"/>
        <v>0.10938075930704018</v>
      </c>
      <c r="EX60" s="1518" t="e">
        <f t="shared" ca="1" si="72"/>
        <v>#VALUE!</v>
      </c>
      <c r="EY60" s="1518" t="e">
        <f t="shared" ca="1" si="73"/>
        <v>#VALUE!</v>
      </c>
      <c r="FS60" s="1518">
        <f t="shared" ca="1" si="85"/>
        <v>0.10074626865671642</v>
      </c>
      <c r="FT60" s="1518">
        <f t="shared" ca="1" si="85"/>
        <v>6.0274938315121609E-2</v>
      </c>
      <c r="FU60" s="1518">
        <f t="shared" ca="1" si="85"/>
        <v>5.1640193615239395E-2</v>
      </c>
      <c r="FV60" s="1518" t="e">
        <f t="shared" ca="1" si="85"/>
        <v>#VALUE!</v>
      </c>
      <c r="FW60" s="1518">
        <f t="shared" ca="1" si="85"/>
        <v>0.13447380479608981</v>
      </c>
      <c r="FX60" s="1518">
        <f t="shared" ca="1" si="85"/>
        <v>3.0198991031390135E-2</v>
      </c>
      <c r="FY60" s="1518">
        <f t="shared" ca="1" si="85"/>
        <v>5.8293313631326192E-2</v>
      </c>
      <c r="FZ60" s="1518">
        <f t="shared" ca="1" si="85"/>
        <v>-8.5445188853286724E-3</v>
      </c>
      <c r="GA60" s="1518">
        <f t="shared" ca="1" si="85"/>
        <v>0.16380392415934467</v>
      </c>
      <c r="GB60" s="1518">
        <f t="shared" ca="1" si="85"/>
        <v>6.6795811847682698E-2</v>
      </c>
      <c r="GC60" s="1518">
        <f t="shared" ca="1" si="86"/>
        <v>3.74031007751938E-2</v>
      </c>
      <c r="GD60" s="1518">
        <f t="shared" ca="1" si="86"/>
        <v>4.0265277119848411E-2</v>
      </c>
      <c r="GE60" s="1518" t="e">
        <f t="shared" ca="1" si="86"/>
        <v>#VALUE!</v>
      </c>
      <c r="GF60" s="1518">
        <f t="shared" ca="1" si="86"/>
        <v>-0.14228597588890585</v>
      </c>
      <c r="GG60" s="1518">
        <f t="shared" ca="1" si="86"/>
        <v>0.10093702631941574</v>
      </c>
      <c r="GH60" s="1518">
        <f t="shared" ca="1" si="86"/>
        <v>4.5536682327430432E-2</v>
      </c>
      <c r="GI60" s="1518" t="e">
        <f t="shared" ca="1" si="86"/>
        <v>#VALUE!</v>
      </c>
      <c r="GJ60" s="1518"/>
      <c r="GK60" s="1518"/>
      <c r="GL60" s="1518"/>
      <c r="GM60" s="1518"/>
      <c r="GN60" s="1518"/>
      <c r="GO60" s="1518"/>
      <c r="GP60" s="1518"/>
      <c r="GQ60" s="1518"/>
      <c r="GR60" s="1518"/>
      <c r="GS60" s="1518"/>
      <c r="GT60" s="1518"/>
      <c r="GU60" s="1518"/>
      <c r="GV60" s="1518"/>
      <c r="GW60" s="1518"/>
      <c r="GX60" s="1518"/>
      <c r="GY60" s="1518"/>
      <c r="GZ60" s="1518"/>
      <c r="HA60" s="1518"/>
    </row>
    <row r="61" spans="1:209">
      <c r="C61" s="1514" t="s">
        <v>1820</v>
      </c>
      <c r="E61" s="1521">
        <f t="shared" ca="1" si="90"/>
        <v>0.13040895783421447</v>
      </c>
      <c r="F61" s="1521">
        <f t="shared" ca="1" si="90"/>
        <v>0.44237951088178967</v>
      </c>
      <c r="G61" s="1521">
        <f t="shared" ca="1" si="90"/>
        <v>0.25818976422581441</v>
      </c>
      <c r="H61" s="1521">
        <f ca="1">AVERAGE(J61:P61)</f>
        <v>0.49324782381299365</v>
      </c>
      <c r="J61" s="1521">
        <f ca="1">FW74</f>
        <v>0.27437972563221363</v>
      </c>
      <c r="K61" s="1521">
        <f ca="1">FX74</f>
        <v>0.66699899301631571</v>
      </c>
      <c r="L61" s="1521">
        <f ca="1">GA74</f>
        <v>0.11255405095160946</v>
      </c>
      <c r="M61" s="1521">
        <f ca="1">GD74</f>
        <v>0.41021901185793203</v>
      </c>
      <c r="N61" s="1521">
        <f t="shared" ca="1" si="91"/>
        <v>1.4004429017200137</v>
      </c>
      <c r="O61" s="1521">
        <f t="shared" ca="1" si="91"/>
        <v>0.24641649679043939</v>
      </c>
      <c r="P61" s="1521">
        <f t="shared" ca="1" si="91"/>
        <v>0.34172358672243169</v>
      </c>
      <c r="EH61" s="1518">
        <f t="shared" ca="1" si="57"/>
        <v>0.16215151216628904</v>
      </c>
      <c r="EI61" s="1518">
        <f t="shared" ca="1" si="58"/>
        <v>0.18588399720475193</v>
      </c>
      <c r="EJ61" s="1518">
        <f t="shared" ca="1" si="59"/>
        <v>0.11164955070603337</v>
      </c>
      <c r="EK61" s="1518">
        <f t="shared" ca="1" si="60"/>
        <v>8.7017423144029687E-2</v>
      </c>
      <c r="EL61" s="1518">
        <f t="shared" ca="1" si="61"/>
        <v>0.13408881140395856</v>
      </c>
      <c r="EM61" s="1518">
        <f t="shared" ca="1" si="62"/>
        <v>8.5544406213558688E-2</v>
      </c>
      <c r="EN61" s="1518" t="e">
        <f t="shared" ca="1" si="63"/>
        <v>#VALUE!</v>
      </c>
      <c r="EO61" s="1518">
        <f t="shared" ca="1" si="64"/>
        <v>0.11592836946277098</v>
      </c>
      <c r="EP61" s="1518">
        <f t="shared" ca="1" si="65"/>
        <v>0.20738593010834733</v>
      </c>
      <c r="EQ61" s="1518">
        <f t="shared" ca="1" si="66"/>
        <v>0.22321566637672757</v>
      </c>
      <c r="ER61" s="1518">
        <f t="shared" ca="1" si="67"/>
        <v>0.14634146341463414</v>
      </c>
      <c r="ES61" s="1518">
        <f t="shared" ca="1" si="68"/>
        <v>8.0124127230411166E-2</v>
      </c>
      <c r="ET61" s="1518">
        <f t="shared" ca="1" si="69"/>
        <v>9.8831548198636807E-2</v>
      </c>
      <c r="EU61" s="1518">
        <f t="shared" ca="1" si="70"/>
        <v>0.23837304272746365</v>
      </c>
      <c r="EV61" s="1518">
        <f t="shared" ca="1" si="71"/>
        <v>0.11922726681410173</v>
      </c>
      <c r="EW61" s="1518">
        <f t="shared" ca="1" si="82"/>
        <v>0.10932332171270225</v>
      </c>
      <c r="EX61" s="1518" t="e">
        <f t="shared" ca="1" si="72"/>
        <v>#VALUE!</v>
      </c>
      <c r="EY61" s="1518" t="e">
        <f t="shared" ca="1" si="73"/>
        <v>#VALUE!</v>
      </c>
      <c r="FS61" s="1518">
        <f t="shared" ca="1" si="85"/>
        <v>8.4258436944937828E-2</v>
      </c>
      <c r="FT61" s="1518">
        <f t="shared" ca="1" si="85"/>
        <v>0.12005938021896456</v>
      </c>
      <c r="FU61" s="1518">
        <f t="shared" ca="1" si="85"/>
        <v>4.3404495970592392E-2</v>
      </c>
      <c r="FV61" s="1518" t="e">
        <f t="shared" ca="1" si="85"/>
        <v>#VALUE!</v>
      </c>
      <c r="FW61" s="1518">
        <f t="shared" ca="1" si="85"/>
        <v>0.11523832368159545</v>
      </c>
      <c r="FX61" s="1518">
        <f t="shared" ca="1" si="85"/>
        <v>5.8588260728569881E-2</v>
      </c>
      <c r="FY61" s="1518">
        <f t="shared" ca="1" si="85"/>
        <v>6.8128241395568126E-2</v>
      </c>
      <c r="FZ61" s="1518" t="e">
        <f t="shared" ca="1" si="85"/>
        <v>#VALUE!</v>
      </c>
      <c r="GA61" s="1518">
        <f t="shared" ca="1" si="85"/>
        <v>0.1741007672124614</v>
      </c>
      <c r="GB61" s="1518">
        <f t="shared" ca="1" si="85"/>
        <v>0.108583368045819</v>
      </c>
      <c r="GC61" s="1518">
        <f t="shared" ca="1" si="86"/>
        <v>0.12045779685264664</v>
      </c>
      <c r="GD61" s="1518">
        <f t="shared" ca="1" si="86"/>
        <v>4.8798747702987824E-2</v>
      </c>
      <c r="GE61" s="1518" t="e">
        <f t="shared" ca="1" si="86"/>
        <v>#VALUE!</v>
      </c>
      <c r="GF61" s="1518">
        <f t="shared" ca="1" si="86"/>
        <v>0.16014809563196661</v>
      </c>
      <c r="GG61" s="1518">
        <f t="shared" ca="1" si="86"/>
        <v>6.8044849334267701E-2</v>
      </c>
      <c r="GH61" s="1518">
        <f t="shared" ca="1" si="86"/>
        <v>7.2263441406647019E-2</v>
      </c>
      <c r="GI61" s="1518" t="e">
        <f t="shared" ca="1" si="86"/>
        <v>#VALUE!</v>
      </c>
      <c r="GJ61" s="1518"/>
      <c r="GK61" s="1518"/>
      <c r="GL61" s="1518"/>
      <c r="GM61" s="1518"/>
      <c r="GN61" s="1518"/>
      <c r="GO61" s="1518"/>
      <c r="GP61" s="1518"/>
      <c r="GQ61" s="1518"/>
      <c r="GR61" s="1518"/>
      <c r="GS61" s="1518"/>
      <c r="GT61" s="1518"/>
      <c r="GU61" s="1518"/>
      <c r="GV61" s="1518"/>
      <c r="GW61" s="1518"/>
      <c r="GX61" s="1518"/>
      <c r="GY61" s="1518"/>
      <c r="GZ61" s="1518"/>
      <c r="HA61" s="1518"/>
    </row>
    <row r="62" spans="1:209">
      <c r="C62" s="1514"/>
      <c r="EH62" s="1518">
        <f t="shared" ca="1" si="57"/>
        <v>0.14968187210180092</v>
      </c>
      <c r="EI62" s="1518">
        <f t="shared" ca="1" si="58"/>
        <v>0.16388756550738448</v>
      </c>
      <c r="EJ62" s="1518">
        <f t="shared" ca="1" si="59"/>
        <v>7.1241841380862522E-2</v>
      </c>
      <c r="EK62" s="1518">
        <f t="shared" ca="1" si="60"/>
        <v>8.204698377220554E-2</v>
      </c>
      <c r="EL62" s="1518">
        <f t="shared" ca="1" si="61"/>
        <v>0.11950355631065165</v>
      </c>
      <c r="EM62" s="1518">
        <f t="shared" ca="1" si="62"/>
        <v>4.2274959083469725E-2</v>
      </c>
      <c r="EN62" s="1518" t="e">
        <f t="shared" ca="1" si="63"/>
        <v>#VALUE!</v>
      </c>
      <c r="EO62" s="1518">
        <f t="shared" ca="1" si="64"/>
        <v>7.2568336339669762E-2</v>
      </c>
      <c r="EP62" s="1518">
        <f t="shared" ca="1" si="65"/>
        <v>0.21931789892954942</v>
      </c>
      <c r="EQ62" s="1518">
        <f t="shared" ca="1" si="66"/>
        <v>0.20892796545861633</v>
      </c>
      <c r="ER62" s="1518">
        <f t="shared" ca="1" si="67"/>
        <v>9.836734693877551E-2</v>
      </c>
      <c r="ES62" s="1518">
        <f t="shared" ca="1" si="68"/>
        <v>7.2414154469556721E-2</v>
      </c>
      <c r="ET62" s="1518">
        <f t="shared" ca="1" si="69"/>
        <v>0.12853291186314614</v>
      </c>
      <c r="EU62" s="1518">
        <f t="shared" ca="1" si="70"/>
        <v>0.20859907154323398</v>
      </c>
      <c r="EV62" s="1518">
        <f t="shared" ca="1" si="71"/>
        <v>0.12537963818830053</v>
      </c>
      <c r="EW62" s="1518">
        <f t="shared" ca="1" si="82"/>
        <v>0.1062048298959986</v>
      </c>
      <c r="EX62" s="1518" t="e">
        <f t="shared" ca="1" si="72"/>
        <v>#VALUE!</v>
      </c>
      <c r="EY62" s="1518" t="e">
        <f t="shared" ca="1" si="73"/>
        <v>#VALUE!</v>
      </c>
      <c r="FS62" s="1518">
        <f t="shared" ref="FS62:FT67" ca="1" si="92">FS36/CC36</f>
        <v>0.1055607917059378</v>
      </c>
      <c r="FT62" s="1518">
        <f t="shared" ca="1" si="92"/>
        <v>8.7296416938110744E-2</v>
      </c>
      <c r="FU62" s="1518">
        <v>0.05</v>
      </c>
      <c r="FV62" s="1518" t="e">
        <f t="shared" ref="FV62:GI67" ca="1" si="93">FV36/CF36</f>
        <v>#VALUE!</v>
      </c>
      <c r="FW62" s="1518">
        <f t="shared" ca="1" si="93"/>
        <v>0.10610718014151491</v>
      </c>
      <c r="FX62" s="1518">
        <f t="shared" ca="1" si="93"/>
        <v>5.6553506476931914E-2</v>
      </c>
      <c r="FY62" s="1518">
        <f t="shared" ca="1" si="93"/>
        <v>4.7948626471637529E-2</v>
      </c>
      <c r="FZ62" s="1518">
        <f t="shared" ca="1" si="93"/>
        <v>8.9341109318774037E-2</v>
      </c>
      <c r="GA62" s="1518">
        <f t="shared" ca="1" si="93"/>
        <v>0.15374166850933443</v>
      </c>
      <c r="GB62" s="1518">
        <f t="shared" ca="1" si="93"/>
        <v>3.8951616061606915E-2</v>
      </c>
      <c r="GC62" s="1518">
        <f t="shared" ca="1" si="93"/>
        <v>5.6423334395919671E-2</v>
      </c>
      <c r="GD62" s="1518">
        <f t="shared" ca="1" si="93"/>
        <v>4.7407636181137316E-2</v>
      </c>
      <c r="GE62" s="1518">
        <f t="shared" ca="1" si="93"/>
        <v>-7.0962166314576525E-2</v>
      </c>
      <c r="GF62" s="1518">
        <f t="shared" ca="1" si="93"/>
        <v>8.6778295004516087E-2</v>
      </c>
      <c r="GG62" s="1518">
        <f t="shared" ca="1" si="93"/>
        <v>8.1909411445619751E-2</v>
      </c>
      <c r="GH62" s="1518">
        <f t="shared" ca="1" si="93"/>
        <v>7.1691854036122368E-2</v>
      </c>
      <c r="GI62" s="1518" t="e">
        <f t="shared" ca="1" si="93"/>
        <v>#VALUE!</v>
      </c>
      <c r="GJ62" s="1518"/>
      <c r="GK62" s="1518"/>
      <c r="GL62" s="1518"/>
      <c r="GM62" s="1518"/>
      <c r="GN62" s="1518"/>
      <c r="GO62" s="1518"/>
      <c r="GP62" s="1518"/>
      <c r="GQ62" s="1518"/>
      <c r="GR62" s="1518"/>
      <c r="GS62" s="1518"/>
      <c r="GT62" s="1518"/>
      <c r="GU62" s="1518"/>
      <c r="GV62" s="1518"/>
      <c r="GW62" s="1518"/>
      <c r="GX62" s="1518"/>
      <c r="GY62" s="1518"/>
      <c r="GZ62" s="1518"/>
      <c r="HA62" s="1518"/>
    </row>
    <row r="63" spans="1:209">
      <c r="C63" s="1514"/>
      <c r="EH63" s="1518">
        <f t="shared" ca="1" si="57"/>
        <v>0.11377316180809631</v>
      </c>
      <c r="EI63" s="1518">
        <f t="shared" ca="1" si="58"/>
        <v>0.12661361626878867</v>
      </c>
      <c r="EJ63" s="1518">
        <f t="shared" ca="1" si="59"/>
        <v>5.6467564963059394E-2</v>
      </c>
      <c r="EK63" s="1518">
        <f t="shared" ca="1" si="60"/>
        <v>8.0872814072959376E-2</v>
      </c>
      <c r="EL63" s="1518">
        <f t="shared" ca="1" si="61"/>
        <v>7.9162613050841352E-2</v>
      </c>
      <c r="EM63" s="1518">
        <f t="shared" ca="1" si="62"/>
        <v>-7.711010767627648E-3</v>
      </c>
      <c r="EN63" s="1518" t="e">
        <f t="shared" ca="1" si="63"/>
        <v>#VALUE!</v>
      </c>
      <c r="EO63" s="1518">
        <f t="shared" ca="1" si="64"/>
        <v>3.954802259887006E-2</v>
      </c>
      <c r="EP63" s="1518">
        <f t="shared" ca="1" si="65"/>
        <v>0.21843151876708924</v>
      </c>
      <c r="EQ63" s="1518">
        <f t="shared" ca="1" si="66"/>
        <v>0.16845992660824358</v>
      </c>
      <c r="ER63" s="1518">
        <f t="shared" ca="1" si="67"/>
        <v>9.3798052280881603E-2</v>
      </c>
      <c r="ES63" s="1518">
        <f t="shared" ca="1" si="68"/>
        <v>7.4242003639616291E-2</v>
      </c>
      <c r="ET63" s="1518">
        <f t="shared" ca="1" si="69"/>
        <v>0.13389647735442128</v>
      </c>
      <c r="EU63" s="1518">
        <f t="shared" ca="1" si="70"/>
        <v>0.22914198315417592</v>
      </c>
      <c r="EV63" s="1518">
        <f t="shared" ca="1" si="71"/>
        <v>0.12837935521179702</v>
      </c>
      <c r="EW63" s="1518">
        <f t="shared" ca="1" si="82"/>
        <v>8.8946632020787522E-2</v>
      </c>
      <c r="EX63" s="1518" t="e">
        <f t="shared" ca="1" si="72"/>
        <v>#VALUE!</v>
      </c>
      <c r="EY63" s="1518" t="e">
        <f t="shared" ca="1" si="73"/>
        <v>#VALUE!</v>
      </c>
      <c r="FS63" s="1518">
        <f t="shared" ca="1" si="92"/>
        <v>9.9990148753817357E-2</v>
      </c>
      <c r="FT63" s="1518">
        <f t="shared" ca="1" si="92"/>
        <v>0.17064989517819706</v>
      </c>
      <c r="FU63" s="1518">
        <f ca="1">FU37/CE37</f>
        <v>6.0397946084724007E-2</v>
      </c>
      <c r="FV63" s="1518">
        <f t="shared" ca="1" si="93"/>
        <v>-5.9494261912368222E-2</v>
      </c>
      <c r="FW63" s="1518">
        <f t="shared" ca="1" si="93"/>
        <v>8.6298841144497998E-2</v>
      </c>
      <c r="FX63" s="1518">
        <f t="shared" ca="1" si="93"/>
        <v>7.5236463627071301E-2</v>
      </c>
      <c r="FY63" s="1518" t="e">
        <f t="shared" ca="1" si="93"/>
        <v>#VALUE!</v>
      </c>
      <c r="FZ63" s="1518">
        <f t="shared" ca="1" si="93"/>
        <v>8.7181903864278987E-2</v>
      </c>
      <c r="GA63" s="1518">
        <f t="shared" ca="1" si="93"/>
        <v>0.14839005035861438</v>
      </c>
      <c r="GB63" s="1518">
        <f t="shared" ca="1" si="93"/>
        <v>1.2736179568957184E-3</v>
      </c>
      <c r="GC63" s="1518">
        <f t="shared" ca="1" si="93"/>
        <v>3.910181958962447E-2</v>
      </c>
      <c r="GD63" s="1518">
        <f t="shared" ca="1" si="93"/>
        <v>5.5143522110162914E-2</v>
      </c>
      <c r="GE63" s="1518">
        <f t="shared" ca="1" si="93"/>
        <v>3.8417278923608036E-2</v>
      </c>
      <c r="GF63" s="1518">
        <f t="shared" ca="1" si="93"/>
        <v>3.8107017011644463E-2</v>
      </c>
      <c r="GG63" s="1518">
        <f t="shared" ca="1" si="93"/>
        <v>6.8687394302068425E-2</v>
      </c>
      <c r="GH63" s="1518">
        <f t="shared" ca="1" si="93"/>
        <v>6.4717976222400997E-2</v>
      </c>
      <c r="GI63" s="1518" t="e">
        <f t="shared" ca="1" si="93"/>
        <v>#VALUE!</v>
      </c>
      <c r="GJ63" s="1518"/>
      <c r="GK63" s="1518"/>
      <c r="GL63" s="1518"/>
      <c r="GM63" s="1518"/>
      <c r="GN63" s="1518"/>
      <c r="GO63" s="1518"/>
      <c r="GP63" s="1518"/>
      <c r="GQ63" s="1518"/>
      <c r="GR63" s="1518"/>
      <c r="GS63" s="1518"/>
      <c r="GT63" s="1518"/>
      <c r="GU63" s="1518"/>
      <c r="GV63" s="1518"/>
      <c r="GW63" s="1518"/>
      <c r="GX63" s="1518"/>
      <c r="GY63" s="1518"/>
      <c r="GZ63" s="1518"/>
      <c r="HA63" s="1518"/>
    </row>
    <row r="64" spans="1:209">
      <c r="C64" s="1514"/>
      <c r="EH64" s="1518">
        <f t="shared" ca="1" si="57"/>
        <v>0.17888507063764797</v>
      </c>
      <c r="EI64" s="1518">
        <f t="shared" ca="1" si="58"/>
        <v>0.22701183085392995</v>
      </c>
      <c r="EJ64" s="1518">
        <f t="shared" ca="1" si="59"/>
        <v>9.3714453945695664E-2</v>
      </c>
      <c r="EK64" s="1518">
        <f t="shared" ca="1" si="60"/>
        <v>0.14781327317712123</v>
      </c>
      <c r="EL64" s="1518">
        <f t="shared" ca="1" si="61"/>
        <v>0.16020184956576355</v>
      </c>
      <c r="EM64" s="1518">
        <f t="shared" ca="1" si="62"/>
        <v>0.21059187933472492</v>
      </c>
      <c r="EN64" s="1518">
        <f t="shared" ca="1" si="63"/>
        <v>8.921721835487996E-2</v>
      </c>
      <c r="EO64" s="1518" t="e">
        <f t="shared" ca="1" si="64"/>
        <v>#VALUE!</v>
      </c>
      <c r="EP64" s="1518">
        <f t="shared" ca="1" si="65"/>
        <v>0.21193607693395558</v>
      </c>
      <c r="EQ64" s="1518">
        <f t="shared" ca="1" si="66"/>
        <v>0.17907603610130096</v>
      </c>
      <c r="ER64" s="1518">
        <f t="shared" ca="1" si="67"/>
        <v>0.10746426680783483</v>
      </c>
      <c r="ES64" s="1518">
        <f t="shared" ca="1" si="68"/>
        <v>9.0640149160969546E-2</v>
      </c>
      <c r="ET64" s="1518">
        <f t="shared" ca="1" si="69"/>
        <v>0.1476205634251154</v>
      </c>
      <c r="EU64" s="1518">
        <f t="shared" ca="1" si="70"/>
        <v>0.21533338618885281</v>
      </c>
      <c r="EV64" s="1518">
        <f t="shared" ca="1" si="71"/>
        <v>0.1076657540768956</v>
      </c>
      <c r="EW64" s="1518">
        <f t="shared" ca="1" si="82"/>
        <v>0.11289712556732225</v>
      </c>
      <c r="EX64" s="1518" t="e">
        <f t="shared" ca="1" si="72"/>
        <v>#VALUE!</v>
      </c>
      <c r="EY64" s="1518" t="e">
        <f t="shared" ca="1" si="73"/>
        <v>#VALUE!</v>
      </c>
      <c r="FS64" s="1518">
        <f t="shared" ca="1" si="92"/>
        <v>0.11635932276501672</v>
      </c>
      <c r="FT64" s="1518">
        <f t="shared" ca="1" si="92"/>
        <v>0.17214546609496587</v>
      </c>
      <c r="FU64" s="1518">
        <f ca="1">FU38/CE38</f>
        <v>3.0418448434064507E-2</v>
      </c>
      <c r="FV64" s="1518">
        <f t="shared" ca="1" si="93"/>
        <v>9.2198086191241188E-2</v>
      </c>
      <c r="FW64" s="1518">
        <f t="shared" ca="1" si="93"/>
        <v>6.5280617387047546E-2</v>
      </c>
      <c r="FX64" s="1518">
        <f t="shared" ca="1" si="93"/>
        <v>3.7921440261865794E-2</v>
      </c>
      <c r="FY64" s="1518" t="e">
        <f t="shared" ca="1" si="93"/>
        <v>#VALUE!</v>
      </c>
      <c r="FZ64" s="1518">
        <f t="shared" ca="1" si="93"/>
        <v>8.6443735257388646E-2</v>
      </c>
      <c r="GA64" s="1518">
        <f t="shared" ca="1" si="93"/>
        <v>0.16713343291013194</v>
      </c>
      <c r="GB64" s="1518">
        <f t="shared" ca="1" si="93"/>
        <v>-9.1489079913896654E-2</v>
      </c>
      <c r="GC64" s="1518">
        <f t="shared" ca="1" si="93"/>
        <v>4.3673469387755105E-2</v>
      </c>
      <c r="GD64" s="1518">
        <f t="shared" ca="1" si="93"/>
        <v>7.6536137213120484E-2</v>
      </c>
      <c r="GE64" s="1518">
        <f t="shared" ca="1" si="93"/>
        <v>-4.9414280401636299E-2</v>
      </c>
      <c r="GF64" s="1518">
        <f t="shared" ca="1" si="93"/>
        <v>7.5187643715562497E-2</v>
      </c>
      <c r="GG64" s="1518">
        <f t="shared" ca="1" si="93"/>
        <v>0.11006206259078305</v>
      </c>
      <c r="GH64" s="1518">
        <f t="shared" ca="1" si="93"/>
        <v>0.10779129208531642</v>
      </c>
      <c r="GI64" s="1518" t="e">
        <f t="shared" ca="1" si="93"/>
        <v>#VALUE!</v>
      </c>
      <c r="GJ64" s="1518"/>
      <c r="GK64" s="1518"/>
      <c r="GL64" s="1518"/>
      <c r="GM64" s="1518"/>
      <c r="GN64" s="1518"/>
      <c r="GO64" s="1518"/>
      <c r="GP64" s="1518"/>
      <c r="GQ64" s="1518"/>
      <c r="GR64" s="1518"/>
      <c r="GS64" s="1518"/>
      <c r="GT64" s="1518"/>
      <c r="GU64" s="1518"/>
      <c r="GV64" s="1518"/>
      <c r="GW64" s="1518"/>
      <c r="GX64" s="1518"/>
      <c r="GY64" s="1518"/>
      <c r="GZ64" s="1518"/>
      <c r="HA64" s="1518"/>
    </row>
    <row r="65" spans="3:209">
      <c r="C65" s="1514"/>
      <c r="EH65" s="1518">
        <f t="shared" ref="EH65:EP65" ca="1" si="94">EH41/CC41</f>
        <v>0.12391304347826088</v>
      </c>
      <c r="EI65" s="1518">
        <f t="shared" ca="1" si="94"/>
        <v>0.19312499999999999</v>
      </c>
      <c r="EJ65" s="1518">
        <f t="shared" ca="1" si="94"/>
        <v>8.6948057896665445E-2</v>
      </c>
      <c r="EK65" s="1518">
        <f t="shared" ca="1" si="94"/>
        <v>0.1070261150750413</v>
      </c>
      <c r="EL65" s="1518">
        <f t="shared" ca="1" si="94"/>
        <v>0.10247566946145766</v>
      </c>
      <c r="EM65" s="1518">
        <f t="shared" ca="1" si="94"/>
        <v>0.19232738209509181</v>
      </c>
      <c r="EN65" s="1518">
        <f t="shared" ca="1" si="94"/>
        <v>7.8023906130058121E-2</v>
      </c>
      <c r="EO65" s="1518">
        <f t="shared" ca="1" si="94"/>
        <v>0.11933739012846518</v>
      </c>
      <c r="EP65" s="1518">
        <f t="shared" ca="1" si="94"/>
        <v>0.21633702416079933</v>
      </c>
      <c r="EQ65" s="1518">
        <f ca="1">EQ64</f>
        <v>0.17907603610130096</v>
      </c>
      <c r="ER65" s="1518">
        <f ca="1">ER41/CM41</f>
        <v>0.13014553014553015</v>
      </c>
      <c r="ES65" s="1518">
        <f ca="1">ES64</f>
        <v>9.0640149160969546E-2</v>
      </c>
      <c r="ET65" s="1518">
        <f ca="1">ET41/CO41</f>
        <v>0.15687178305293079</v>
      </c>
      <c r="EU65" s="1518">
        <f ca="1">EU41/CP41</f>
        <v>0.205952811816004</v>
      </c>
      <c r="EV65" s="1518">
        <f ca="1">EV41/CQ41</f>
        <v>0.10106503512349875</v>
      </c>
      <c r="EW65" s="1518">
        <f t="shared" ca="1" si="82"/>
        <v>0.14881492034710531</v>
      </c>
      <c r="EX65" s="1518" t="e">
        <f t="shared" ca="1" si="72"/>
        <v>#VALUE!</v>
      </c>
      <c r="EY65" s="1518" t="e">
        <f t="shared" ca="1" si="73"/>
        <v>#VALUE!</v>
      </c>
      <c r="FS65" s="1518">
        <f t="shared" ca="1" si="92"/>
        <v>0.12651953263306975</v>
      </c>
      <c r="FT65" s="1518">
        <f t="shared" ca="1" si="92"/>
        <v>0.17312113174182139</v>
      </c>
      <c r="FU65" s="1518">
        <f ca="1">FU39/CE39</f>
        <v>3.8749598471656328E-2</v>
      </c>
      <c r="FV65" s="1518">
        <f t="shared" ca="1" si="93"/>
        <v>0.12892429038451558</v>
      </c>
      <c r="FW65" s="1518">
        <f t="shared" ca="1" si="93"/>
        <v>5.2498828955428241E-2</v>
      </c>
      <c r="FX65" s="1518">
        <f t="shared" ca="1" si="93"/>
        <v>2.3289336575199722E-2</v>
      </c>
      <c r="FY65" s="1518" t="e">
        <f t="shared" ca="1" si="93"/>
        <v>#VALUE!</v>
      </c>
      <c r="FZ65" s="1518">
        <f t="shared" ca="1" si="93"/>
        <v>6.646726487205051E-4</v>
      </c>
      <c r="GA65" s="1518">
        <f t="shared" ca="1" si="93"/>
        <v>0.20544369873228935</v>
      </c>
      <c r="GB65" s="1518">
        <f t="shared" ca="1" si="93"/>
        <v>-9.0246940005415856E-3</v>
      </c>
      <c r="GC65" s="1518">
        <f t="shared" ca="1" si="93"/>
        <v>0.10866222450025628</v>
      </c>
      <c r="GD65" s="1518">
        <f t="shared" ca="1" si="93"/>
        <v>4.8703001141235623E-2</v>
      </c>
      <c r="GE65" s="1518">
        <f t="shared" ca="1" si="93"/>
        <v>0.26069374550682961</v>
      </c>
      <c r="GF65" s="1518">
        <f t="shared" ca="1" si="93"/>
        <v>0.10077335688589216</v>
      </c>
      <c r="GG65" s="1518">
        <f t="shared" ca="1" si="93"/>
        <v>0.13054792540118548</v>
      </c>
      <c r="GH65" s="1518">
        <f t="shared" ca="1" si="93"/>
        <v>7.6953827703377969E-2</v>
      </c>
      <c r="GI65" s="1518" t="e">
        <f t="shared" ca="1" si="93"/>
        <v>#VALUE!</v>
      </c>
      <c r="GJ65" s="1518"/>
      <c r="GK65" s="1518"/>
      <c r="GL65" s="1518"/>
      <c r="GM65" s="1518"/>
      <c r="GN65" s="1518"/>
      <c r="GO65" s="1518"/>
      <c r="GP65" s="1518"/>
      <c r="GQ65" s="1518"/>
      <c r="GR65" s="1518"/>
      <c r="GS65" s="1518"/>
      <c r="GT65" s="1518"/>
      <c r="GU65" s="1518"/>
      <c r="GV65" s="1518"/>
      <c r="GW65" s="1518"/>
      <c r="GX65" s="1518"/>
      <c r="GY65" s="1518"/>
      <c r="GZ65" s="1518"/>
      <c r="HA65" s="1518"/>
    </row>
    <row r="66" spans="3:209">
      <c r="C66" s="1514"/>
      <c r="FS66" s="1518">
        <f t="shared" ca="1" si="92"/>
        <v>0.10156548300878197</v>
      </c>
      <c r="FT66" s="1518">
        <f t="shared" ca="1" si="92"/>
        <v>0.15110694623404006</v>
      </c>
      <c r="FU66" s="1518">
        <f ca="1">FU40/CE40</f>
        <v>3.8500140511461722E-2</v>
      </c>
      <c r="FV66" s="1518">
        <f t="shared" ca="1" si="93"/>
        <v>8.7578227332266043E-2</v>
      </c>
      <c r="FW66" s="1518">
        <f t="shared" ca="1" si="93"/>
        <v>0.12422844519524398</v>
      </c>
      <c r="FX66" s="1518">
        <f t="shared" ca="1" si="93"/>
        <v>0.17287275828788184</v>
      </c>
      <c r="FY66" s="1518">
        <f t="shared" ca="1" si="93"/>
        <v>8.4955249325188234E-2</v>
      </c>
      <c r="FZ66" s="1518" t="e">
        <f t="shared" ca="1" si="93"/>
        <v>#VALUE!</v>
      </c>
      <c r="GA66" s="1518">
        <f t="shared" ca="1" si="93"/>
        <v>0.16549285815301937</v>
      </c>
      <c r="GB66" s="1518">
        <f t="shared" ca="1" si="93"/>
        <v>-1.6317727670620907E-2</v>
      </c>
      <c r="GC66" s="1518">
        <f t="shared" ca="1" si="93"/>
        <v>0.20328215987294865</v>
      </c>
      <c r="GD66" s="1518">
        <f t="shared" ca="1" si="93"/>
        <v>3.2616532007458045E-2</v>
      </c>
      <c r="GE66" s="1518">
        <f t="shared" ca="1" si="93"/>
        <v>0.11061594779563902</v>
      </c>
      <c r="GF66" s="1518">
        <f t="shared" ca="1" si="93"/>
        <v>0.1401926583683501</v>
      </c>
      <c r="GG66" s="1518">
        <f t="shared" ca="1" si="93"/>
        <v>7.088441852160457E-2</v>
      </c>
      <c r="GH66" s="1518">
        <f t="shared" ca="1" si="93"/>
        <v>8.7745839636913764E-2</v>
      </c>
      <c r="GI66" s="1518" t="e">
        <f t="shared" ca="1" si="93"/>
        <v>#VALUE!</v>
      </c>
      <c r="GJ66" s="1518"/>
      <c r="GK66" s="1518"/>
      <c r="GL66" s="1518"/>
      <c r="GM66" s="1518"/>
      <c r="GN66" s="1518"/>
      <c r="GO66" s="1518"/>
      <c r="GP66" s="1518"/>
      <c r="GQ66" s="1518"/>
      <c r="GR66" s="1518"/>
      <c r="GS66" s="1518"/>
      <c r="GT66" s="1518"/>
      <c r="GU66" s="1518"/>
      <c r="GV66" s="1518"/>
      <c r="GW66" s="1518"/>
      <c r="GX66" s="1518"/>
      <c r="GY66" s="1518"/>
      <c r="GZ66" s="1518"/>
      <c r="HA66" s="1518"/>
    </row>
    <row r="67" spans="3:209">
      <c r="C67" s="1514"/>
      <c r="FS67" s="1518">
        <f t="shared" ca="1" si="92"/>
        <v>3.3175803402646503E-2</v>
      </c>
      <c r="FT67" s="1518">
        <f t="shared" ca="1" si="92"/>
        <v>0.1353125</v>
      </c>
      <c r="FU67" s="1518">
        <f ca="1">FU41/CE41</f>
        <v>3.8109197508244777E-2</v>
      </c>
      <c r="FV67" s="1518">
        <f t="shared" ca="1" si="93"/>
        <v>9.9205651822431545E-2</v>
      </c>
      <c r="FW67" s="1518">
        <f t="shared" ca="1" si="93"/>
        <v>8.3823908346712647E-2</v>
      </c>
      <c r="FX67" s="1518">
        <f t="shared" ca="1" si="93"/>
        <v>0.1797103304110407</v>
      </c>
      <c r="FY67" s="1518">
        <f t="shared" ca="1" si="93"/>
        <v>1.0746792411448623E-2</v>
      </c>
      <c r="FZ67" s="1518">
        <f t="shared" ca="1" si="93"/>
        <v>0.12576064908722109</v>
      </c>
      <c r="GA67" s="1518">
        <f t="shared" ca="1" si="93"/>
        <v>0.11224400362265916</v>
      </c>
      <c r="GB67" s="1518" t="e">
        <f t="shared" ca="1" si="93"/>
        <v>#VALUE!</v>
      </c>
      <c r="GC67" s="1518">
        <f t="shared" ca="1" si="93"/>
        <v>-0.16756756756756758</v>
      </c>
      <c r="GD67" s="1518" t="e">
        <f t="shared" ca="1" si="93"/>
        <v>#VALUE!</v>
      </c>
      <c r="GE67" s="1518">
        <f t="shared" ca="1" si="93"/>
        <v>-1.1907505569639702E-2</v>
      </c>
      <c r="GF67" s="1518">
        <f t="shared" ca="1" si="93"/>
        <v>7.5849232201023728E-2</v>
      </c>
      <c r="GG67" s="1518">
        <f t="shared" ca="1" si="93"/>
        <v>2.5209607976433266E-2</v>
      </c>
      <c r="GH67" s="1518">
        <f t="shared" ca="1" si="93"/>
        <v>6.4628934075896899E-2</v>
      </c>
      <c r="GI67" s="1518" t="e">
        <f t="shared" ca="1" si="93"/>
        <v>#VALUE!</v>
      </c>
      <c r="GJ67" s="1518"/>
      <c r="GK67" s="1518"/>
      <c r="GL67" s="1518"/>
      <c r="GM67" s="1518"/>
      <c r="GN67" s="1518"/>
      <c r="GO67" s="1518"/>
      <c r="GP67" s="1518"/>
      <c r="GQ67" s="1518"/>
      <c r="GR67" s="1518"/>
      <c r="GS67" s="1518"/>
      <c r="GT67" s="1518"/>
      <c r="GU67" s="1518"/>
      <c r="GV67" s="1518"/>
      <c r="GW67" s="1518"/>
      <c r="GX67" s="1518"/>
      <c r="GY67" s="1518"/>
      <c r="GZ67" s="1518"/>
      <c r="HA67" s="1518"/>
    </row>
    <row r="68" spans="3:209">
      <c r="EH68" s="1518"/>
      <c r="FS68" s="1518"/>
      <c r="GJ68" s="1506"/>
      <c r="GK68" s="1518"/>
    </row>
    <row r="69" spans="3:209">
      <c r="EH69" s="1521">
        <f ca="1">AVERAGE(EH46:EH55)</f>
        <v>0.10107052518542976</v>
      </c>
      <c r="EI69" s="1521">
        <f ca="1">AVERAGE(EI48:EI55)</f>
        <v>9.0068921441144825E-2</v>
      </c>
      <c r="EJ69" s="1521">
        <f ca="1">AVERAGE(EJ46:EJ55)</f>
        <v>0.10993135541268695</v>
      </c>
      <c r="EL69" s="1521">
        <f ca="1">AVERAGE(EL53:EL55)</f>
        <v>8.9443647015402597E-2</v>
      </c>
      <c r="EM69" s="1521">
        <f ca="1">AVERAGE(EM46:EM55)</f>
        <v>8.8276362945841985E-2</v>
      </c>
      <c r="EP69" s="1521">
        <f ca="1">AVERAGE(EP46:EP55)</f>
        <v>0.21733780039511069</v>
      </c>
      <c r="EQ69" s="1521">
        <f ca="1">AVERAGE(EQ46:EQ55)</f>
        <v>0.13020818148221919</v>
      </c>
      <c r="ER69" s="1521">
        <f ca="1">AVERAGE(ER46:ER55)</f>
        <v>4.5442209014009756E-2</v>
      </c>
      <c r="ES69" s="1521">
        <f ca="1">AVERAGE(ES46:ES55)</f>
        <v>2.805590929881575E-2</v>
      </c>
      <c r="EU69" s="1521">
        <f ca="1">AVERAGE(EU46:EU55)</f>
        <v>0.15305873655001473</v>
      </c>
      <c r="EV69" s="1521">
        <f ca="1">AVERAGE(EV46:EV55)</f>
        <v>0.10794111925201996</v>
      </c>
      <c r="EW69" s="1521">
        <f ca="1">AVERAGE(EW46:EW55)</f>
        <v>9.5192601483443287E-2</v>
      </c>
      <c r="EX69" s="1521" t="e">
        <f ca="1">_xlfn.STDEV.P(EX44:EX65)/AVERAGE(EX44:EX65)</f>
        <v>#VALUE!</v>
      </c>
      <c r="EY69" s="1521" t="e">
        <f ca="1">_xlfn.STDEV.P(EY44:EY65)/AVERAGE(EY44:EY65)</f>
        <v>#VALUE!</v>
      </c>
      <c r="FS69" s="1521">
        <f ca="1">AVERAGE(FS46:FS57)</f>
        <v>4.0109621908812502E-2</v>
      </c>
      <c r="FT69" s="1521">
        <f ca="1">AVERAGE(FT49:FT57)</f>
        <v>2.9864932866761538E-2</v>
      </c>
      <c r="FU69" s="1521">
        <f t="shared" ref="FU69" ca="1" si="95">AVERAGE(FU46:FU57)</f>
        <v>5.1631233493745168E-2</v>
      </c>
      <c r="FW69" s="1521">
        <f ca="1">AVERAGE(FW54:FW57)</f>
        <v>4.3666722093581911E-2</v>
      </c>
      <c r="FX69" s="1521">
        <f t="shared" ref="FX69" ca="1" si="96">AVERAGE(FX46:FX57)</f>
        <v>1.7960349918761182E-2</v>
      </c>
      <c r="GA69" s="1521">
        <f t="shared" ref="GA69:GD69" ca="1" si="97">AVERAGE(GA46:GA57)</f>
        <v>0.1428728099590911</v>
      </c>
      <c r="GB69" s="1521">
        <f t="shared" ca="1" si="97"/>
        <v>9.2840082188327525E-2</v>
      </c>
      <c r="GC69" s="1521">
        <f t="shared" ca="1" si="97"/>
        <v>2.9018096655427629E-2</v>
      </c>
      <c r="GD69" s="1521">
        <f t="shared" ca="1" si="97"/>
        <v>9.9049447017619842E-3</v>
      </c>
      <c r="GF69" s="1521">
        <f t="shared" ref="GF69:GH69" ca="1" si="98">AVERAGE(GF46:GF57)</f>
        <v>5.6368384883389536E-2</v>
      </c>
      <c r="GG69" s="1521">
        <f t="shared" ca="1" si="98"/>
        <v>8.0168967989089304E-2</v>
      </c>
      <c r="GH69" s="1521">
        <f t="shared" ca="1" si="98"/>
        <v>7.0940501265585973E-2</v>
      </c>
      <c r="GI69" s="1521" t="e">
        <f t="shared" ref="GI69:GJ69" ca="1" si="99">_xlfn.STDEV.P(GI44:GI67)/AVERAGE(GI44:GI67)</f>
        <v>#VALUE!</v>
      </c>
      <c r="GJ69" s="1521" t="e">
        <f t="shared" si="99"/>
        <v>#DIV/0!</v>
      </c>
      <c r="GK69" s="1521"/>
      <c r="GL69" s="1521"/>
      <c r="GM69" s="1521"/>
      <c r="GO69" s="1521"/>
      <c r="GP69" s="1521"/>
      <c r="GS69" s="1521"/>
      <c r="GT69" s="1521"/>
      <c r="GU69" s="1521"/>
      <c r="GV69" s="1521"/>
      <c r="GX69" s="1521"/>
      <c r="GY69" s="1521"/>
      <c r="GZ69" s="1521"/>
      <c r="HA69" s="1521"/>
    </row>
    <row r="70" spans="3:209">
      <c r="EH70" s="1521">
        <f ca="1">AVERAGE(EH56:EH65)</f>
        <v>0.16092840159641622</v>
      </c>
      <c r="EI70" s="1521">
        <f ca="1">AVERAGE(EI56:EI65)</f>
        <v>0.15887483906821204</v>
      </c>
      <c r="EJ70" s="1521">
        <f ca="1">AVERAGE(EJ56:EJ65)</f>
        <v>9.4975071039207035E-2</v>
      </c>
      <c r="EL70" s="1521">
        <f ca="1">AVERAGE(EL56:EL65)</f>
        <v>0.13580080927947036</v>
      </c>
      <c r="EM70" s="1521">
        <f ca="1">AVERAGE(EM56:EM65)</f>
        <v>9.3222342140177133E-2</v>
      </c>
      <c r="EP70" s="1521">
        <f ca="1">AVERAGE(EP56:EP65)</f>
        <v>0.22068440601213521</v>
      </c>
      <c r="EQ70" s="1521">
        <f ca="1">AVERAGE(EQ56:EQ65)</f>
        <v>0.18463222321069162</v>
      </c>
      <c r="ER70" s="1521">
        <f ca="1">AVERAGE(ER56:ER65)</f>
        <v>0.10741314450661847</v>
      </c>
      <c r="ES70" s="1521">
        <f ca="1">AVERAGE(ES56:ES65)</f>
        <v>8.1844425108428681E-2</v>
      </c>
      <c r="EU70" s="1521">
        <f ca="1">AVERAGE(EU56:EU65)</f>
        <v>0.18447228311097863</v>
      </c>
      <c r="EV70" s="1521">
        <f ca="1">AVERAGE(EV56:EV65)</f>
        <v>0.12326746225528733</v>
      </c>
      <c r="EW70" s="1521">
        <f ca="1">AVERAGE(EW56:EW65)</f>
        <v>0.1021108843754229</v>
      </c>
      <c r="EX70" s="1521"/>
      <c r="EY70" s="1521"/>
      <c r="FS70" s="1521">
        <f ca="1">AVERAGE(FS58:FS66)</f>
        <v>0.10107716794825901</v>
      </c>
      <c r="FT70" s="1521">
        <f t="shared" ref="FT70:GH70" ca="1" si="100">AVERAGE(FT58:FT66)</f>
        <v>0.11506070949162089</v>
      </c>
      <c r="FU70" s="1521">
        <f t="shared" ca="1" si="100"/>
        <v>4.2054526182608375E-2</v>
      </c>
      <c r="FV70" s="1521" t="e">
        <f t="shared" ca="1" si="100"/>
        <v>#VALUE!</v>
      </c>
      <c r="FW70" s="1521">
        <f t="shared" ca="1" si="100"/>
        <v>9.5352411559097738E-2</v>
      </c>
      <c r="FX70" s="1521">
        <f t="shared" ca="1" si="100"/>
        <v>6.4844231194768037E-2</v>
      </c>
      <c r="FY70" s="1521" t="e">
        <f t="shared" ca="1" si="100"/>
        <v>#VALUE!</v>
      </c>
      <c r="FZ70" s="1521" t="e">
        <f t="shared" ca="1" si="100"/>
        <v>#VALUE!</v>
      </c>
      <c r="GA70" s="1521">
        <f t="shared" ca="1" si="100"/>
        <v>0.16376779190165799</v>
      </c>
      <c r="GB70" s="1521">
        <f t="shared" ca="1" si="100"/>
        <v>4.1210640031753815E-2</v>
      </c>
      <c r="GC70" s="1521">
        <f t="shared" ca="1" si="100"/>
        <v>8.1799812107817657E-2</v>
      </c>
      <c r="GD70" s="1521">
        <f t="shared" ca="1" si="100"/>
        <v>4.3139422572669082E-2</v>
      </c>
      <c r="GE70" s="1521" t="e">
        <f t="shared" ca="1" si="100"/>
        <v>#VALUE!</v>
      </c>
      <c r="GF70" s="1521">
        <f t="shared" ca="1" si="100"/>
        <v>5.9131950946090611E-2</v>
      </c>
      <c r="GG70" s="1521">
        <f t="shared" ca="1" si="100"/>
        <v>8.7290521484046368E-2</v>
      </c>
      <c r="GH70" s="1521">
        <f t="shared" ca="1" si="100"/>
        <v>6.6735580270066305E-2</v>
      </c>
      <c r="GI70" s="1521"/>
      <c r="GJ70" s="1521"/>
      <c r="GK70" s="1521"/>
      <c r="GL70" s="1521"/>
      <c r="GM70" s="1521"/>
      <c r="GO70" s="1521"/>
      <c r="GP70" s="1521"/>
      <c r="GS70" s="1521"/>
      <c r="GT70" s="1521"/>
      <c r="GU70" s="1521"/>
      <c r="GV70" s="1521"/>
      <c r="GX70" s="1521"/>
      <c r="GY70" s="1521"/>
      <c r="GZ70" s="1521"/>
      <c r="HA70" s="1521"/>
    </row>
    <row r="71" spans="3:209">
      <c r="EH71" s="1521">
        <f ca="1">EH70/EH69-1</f>
        <v>0.59223869967201392</v>
      </c>
      <c r="EI71" s="1521">
        <f t="shared" ref="EI71" ca="1" si="101">EI70/EI69-1</f>
        <v>0.76392518669192855</v>
      </c>
      <c r="EJ71" s="1521">
        <f t="shared" ref="EJ71" ca="1" si="102">EJ70/EJ69-1</f>
        <v>-0.1360511231516558</v>
      </c>
      <c r="EL71" s="1521">
        <f t="shared" ref="EL71" ca="1" si="103">EL70/EL69-1</f>
        <v>0.51828345344734039</v>
      </c>
      <c r="EM71" s="1521">
        <f t="shared" ref="EM71" ca="1" si="104">EM70/EM69-1</f>
        <v>5.6028352656186442E-2</v>
      </c>
      <c r="EP71" s="1521">
        <f t="shared" ref="EP71" ca="1" si="105">EP70/EP69-1</f>
        <v>1.5398175609307341E-2</v>
      </c>
      <c r="EQ71" s="1521">
        <f t="shared" ref="EQ71" ca="1" si="106">EQ70/EQ69-1</f>
        <v>0.4179771279265152</v>
      </c>
      <c r="ER71" s="1521"/>
      <c r="ES71" s="1521">
        <f t="shared" ref="ES71" ca="1" si="107">ES70/ES69-1</f>
        <v>1.9171902516766179</v>
      </c>
      <c r="EU71" s="1521">
        <f t="shared" ref="EU71" ca="1" si="108">EU70/EU69-1</f>
        <v>0.2052385069224647</v>
      </c>
      <c r="EV71" s="1521">
        <f t="shared" ref="EV71" ca="1" si="109">EV70/EV69-1</f>
        <v>0.14198799409781504</v>
      </c>
      <c r="EW71" s="1521">
        <f t="shared" ref="EW71" ca="1" si="110">EW70/EW69-1</f>
        <v>7.2676686887088504E-2</v>
      </c>
      <c r="FS71" s="1521">
        <f ca="1">FS70/FS69-1</f>
        <v>1.5200229555405333</v>
      </c>
      <c r="FT71" s="1521">
        <f t="shared" ref="FT71" ca="1" si="111">FT70/FT69-1</f>
        <v>2.8527027669859191</v>
      </c>
      <c r="FU71" s="1521">
        <f t="shared" ref="FU71" ca="1" si="112">FU70/FU69-1</f>
        <v>-0.18548283012252564</v>
      </c>
      <c r="FW71" s="1521">
        <f t="shared" ref="FW71" ca="1" si="113">FW70/FW69-1</f>
        <v>1.183640241068439</v>
      </c>
      <c r="FX71" s="1521">
        <f t="shared" ref="FX71" ca="1" si="114">FX70/FX69-1</f>
        <v>2.6104102363302215</v>
      </c>
      <c r="GA71" s="1521">
        <f t="shared" ref="GA71" ca="1" si="115">GA70/GA69-1</f>
        <v>0.14624883453016557</v>
      </c>
      <c r="GB71" s="1521">
        <f t="shared" ref="GB71" ca="1" si="116">GB70/GB69-1</f>
        <v>-0.55611155160163039</v>
      </c>
      <c r="GC71" s="1521"/>
      <c r="GD71" s="1521">
        <f t="shared" ref="GD71" ca="1" si="117">GD70/GD69-1</f>
        <v>3.3553420914096614</v>
      </c>
      <c r="GF71" s="1521">
        <f t="shared" ref="GF71" ca="1" si="118">GF70/GF69-1</f>
        <v>4.9026880376617621E-2</v>
      </c>
      <c r="GG71" s="1521">
        <f t="shared" ref="GG71" ca="1" si="119">GG70/GG69-1</f>
        <v>8.8831797060507034E-2</v>
      </c>
      <c r="GH71" s="1521">
        <f t="shared" ref="GH71" ca="1" si="120">GH70/GH69-1</f>
        <v>-5.9273911524495015E-2</v>
      </c>
      <c r="GJ71" s="1506"/>
      <c r="GK71" s="1521"/>
      <c r="GL71" s="1521"/>
      <c r="GM71" s="1521"/>
      <c r="GO71" s="1521"/>
      <c r="GP71" s="1521"/>
      <c r="GS71" s="1521"/>
      <c r="GT71" s="1521"/>
      <c r="GU71" s="1521"/>
      <c r="GV71" s="1521"/>
      <c r="GX71" s="1521"/>
      <c r="GY71" s="1521"/>
      <c r="GZ71" s="1521"/>
    </row>
    <row r="72" spans="3:209">
      <c r="C72" s="1514">
        <v>38717</v>
      </c>
      <c r="E72" s="1506">
        <f ca="1">E24</f>
        <v>5.1637922224389996</v>
      </c>
      <c r="F72" s="1518">
        <f ca="1">EH48</f>
        <v>0.11191386881994617</v>
      </c>
      <c r="G72" s="1506">
        <f ca="1">F24</f>
        <v>5.9150139856867696</v>
      </c>
      <c r="H72" s="1518">
        <f ca="1">EI48</f>
        <v>9.4495091164095366E-2</v>
      </c>
      <c r="I72" s="1506">
        <f ca="1">G24</f>
        <v>4.1778896675090502</v>
      </c>
      <c r="J72" s="1518">
        <f ca="1">EJ48</f>
        <v>0.15017391261808202</v>
      </c>
      <c r="GJ72" s="1506"/>
    </row>
    <row r="73" spans="3:209">
      <c r="C73" s="1514">
        <v>39082</v>
      </c>
      <c r="E73" s="1506">
        <f t="shared" ref="E73:E89" ca="1" si="121">E25</f>
        <v>6.4594073510234598</v>
      </c>
      <c r="F73" s="1518">
        <f t="shared" ref="F73:F89" ca="1" si="122">EH49</f>
        <v>0.10326385079539221</v>
      </c>
      <c r="G73" s="1506">
        <f t="shared" ref="G73:G88" ca="1" si="123">F25</f>
        <v>6.4843101014492603</v>
      </c>
      <c r="H73" s="1518">
        <f t="shared" ref="H73:H89" ca="1" si="124">EI49</f>
        <v>0.10938040844582901</v>
      </c>
      <c r="I73" s="1506">
        <f t="shared" ref="I73:I89" ca="1" si="125">G25</f>
        <v>5.10444115827526</v>
      </c>
      <c r="J73" s="1518">
        <f t="shared" ref="J73:J89" ca="1" si="126">EJ49</f>
        <v>0.13168952922322133</v>
      </c>
      <c r="EH73" s="1521">
        <f ca="1">_xlfn.STDEV.P(EH46:EH55)/AVERAGE(EH46:EH55)</f>
        <v>0.31029242241305294</v>
      </c>
      <c r="EI73" s="1521">
        <f ca="1">_xlfn.STDEV.P(EI47:EI55)/AVERAGE(EI47:EI55)</f>
        <v>0.34842104498604082</v>
      </c>
      <c r="EJ73" s="1521">
        <f ca="1">_xlfn.STDEV.P(EJ46:EJ55)/AVERAGE(EJ46:EJ55)</f>
        <v>0.21806798262570048</v>
      </c>
      <c r="EL73" s="1521">
        <f ca="1">_xlfn.STDEV.P(EL52:EL55)/AVERAGE(EL52:EL55)</f>
        <v>0.57130838758996194</v>
      </c>
      <c r="EM73" s="1521">
        <f ca="1">_xlfn.STDEV.P(EM46:EM55)/AVERAGE(EM46:EM55)</f>
        <v>0.40212829700418878</v>
      </c>
      <c r="EP73" s="1521">
        <f ca="1">_xlfn.STDEV.P(EP46:EP55)/AVERAGE(EP46:EP55)</f>
        <v>4.4942200399070577E-2</v>
      </c>
      <c r="EQ73" s="1521">
        <f ca="1">_xlfn.STDEV.P(EQ46:EQ55)/AVERAGE(EQ46:EQ55)</f>
        <v>0.34834523094994735</v>
      </c>
      <c r="ER73" s="1521">
        <f ca="1">_xlfn.STDEV.P(ER46:ER55)/AVERAGE(ER46:ER55)</f>
        <v>0.53413385401959246</v>
      </c>
      <c r="ES73" s="1521">
        <f ca="1">_xlfn.STDEV.P(ES46:ES55)/AVERAGE(ES46:ES55)</f>
        <v>0.61502758641183286</v>
      </c>
      <c r="EU73" s="1521">
        <f ca="1">_xlfn.STDEV.P(EU46:EU55)/AVERAGE(EU46:EU55)</f>
        <v>0.19440476949277385</v>
      </c>
      <c r="EV73" s="1521">
        <f ca="1">_xlfn.STDEV.P(EV46:EV55)/AVERAGE(EV46:EV55)</f>
        <v>0.1225248629910322</v>
      </c>
      <c r="EW73" s="1521">
        <f ca="1">_xlfn.STDEV.P(EW46:EW55)/AVERAGE(EW46:EW55)</f>
        <v>0.21434171450783043</v>
      </c>
      <c r="EX73" s="1521" t="e">
        <f ca="1">_xlfn.STDEV.P(EX46:EX55)/AVERAGE(EX46:EX55)</f>
        <v>#VALUE!</v>
      </c>
      <c r="EY73" s="1521" t="e">
        <f ca="1">_xlfn.STDEV.P(EY46:EY55)/AVERAGE(EY46:EY55)</f>
        <v>#VALUE!</v>
      </c>
      <c r="FS73" s="1521">
        <f ca="1">_xlfn.STDEV.P(FS46:FS57)/AVERAGE(FS46:FS57)</f>
        <v>0.7272250266212994</v>
      </c>
      <c r="FT73" s="1521">
        <f ca="1">_xlfn.STDEV.P(FT48:FT57)/AVERAGE(FT48:FT57)</f>
        <v>1.1537339456753122</v>
      </c>
      <c r="FU73" s="1521">
        <f t="shared" ref="FU73" ca="1" si="127">_xlfn.STDEV.P(FU46:FU57)/AVERAGE(FU46:FU57)</f>
        <v>0.555257748948906</v>
      </c>
      <c r="FW73" s="1521">
        <f ca="1">_xlfn.STDEV.P(FW54:FW57)/AVERAGE(FW54:FW57)</f>
        <v>0.67040024908211415</v>
      </c>
      <c r="FX73" s="1521">
        <f t="shared" ref="FX73" ca="1" si="128">_xlfn.STDEV.P(FX46:FX57)/AVERAGE(FX46:FX57)</f>
        <v>3.0314285047121765</v>
      </c>
      <c r="GA73" s="1521">
        <f t="shared" ref="GA73:GD73" ca="1" si="129">_xlfn.STDEV.P(GA46:GA57)/AVERAGE(GA46:GA57)</f>
        <v>0.15177633491614759</v>
      </c>
      <c r="GB73" s="1521">
        <f t="shared" ca="1" si="129"/>
        <v>0.24893726890227152</v>
      </c>
      <c r="GC73" s="1521">
        <f t="shared" ca="1" si="129"/>
        <v>1.3733296677433859</v>
      </c>
      <c r="GD73" s="1521">
        <f t="shared" ca="1" si="129"/>
        <v>4.7209502915434056</v>
      </c>
      <c r="GF73" s="1521">
        <f t="shared" ref="GF73:GJ73" ca="1" si="130">_xlfn.STDEV.P(GF46:GF57)/AVERAGE(GF46:GF57)</f>
        <v>0.11856924435615261</v>
      </c>
      <c r="GG73" s="1521">
        <f t="shared" ca="1" si="130"/>
        <v>0.18410101830951567</v>
      </c>
      <c r="GH73" s="1521">
        <f t="shared" ca="1" si="130"/>
        <v>0.61838920540509301</v>
      </c>
      <c r="GI73" s="1521" t="e">
        <f t="shared" ca="1" si="130"/>
        <v>#VALUE!</v>
      </c>
      <c r="GJ73" s="1521" t="e">
        <f t="shared" si="130"/>
        <v>#DIV/0!</v>
      </c>
      <c r="GK73" s="1521"/>
      <c r="GL73" s="1521"/>
      <c r="GM73" s="1521"/>
      <c r="GO73" s="1521"/>
      <c r="GP73" s="1521"/>
      <c r="GS73" s="1521"/>
      <c r="GT73" s="1521"/>
      <c r="GU73" s="1521"/>
      <c r="GV73" s="1521"/>
      <c r="GX73" s="1521"/>
      <c r="GY73" s="1521"/>
      <c r="GZ73" s="1521"/>
      <c r="HA73" s="1521"/>
    </row>
    <row r="74" spans="3:209">
      <c r="C74" s="1514">
        <v>39447</v>
      </c>
      <c r="E74" s="1506">
        <f t="shared" ca="1" si="121"/>
        <v>6.5182680604198504</v>
      </c>
      <c r="F74" s="1518">
        <f t="shared" ca="1" si="122"/>
        <v>9.0190336749633962E-2</v>
      </c>
      <c r="G74" s="1506">
        <f t="shared" ca="1" si="123"/>
        <v>6.8774853206424602</v>
      </c>
      <c r="H74" s="1518">
        <f t="shared" ca="1" si="124"/>
        <v>0.11731843575418995</v>
      </c>
      <c r="I74" s="1506">
        <f t="shared" ca="1" si="125"/>
        <v>5.0671232671321498</v>
      </c>
      <c r="J74" s="1518">
        <f t="shared" ca="1" si="126"/>
        <v>0.1277078962731725</v>
      </c>
      <c r="EH74" s="1521">
        <f ca="1">_xlfn.STDEV.P(EH56:EH65)/AVERAGE(EH56:EH65)</f>
        <v>0.16025135105814509</v>
      </c>
      <c r="EI74" s="1521">
        <f ca="1">_xlfn.STDEV.P(EI56:EI65)/AVERAGE(EI56:EI65)</f>
        <v>0.21633677459808054</v>
      </c>
      <c r="EJ74" s="1521">
        <f ca="1">_xlfn.STDEV.P(EJ56:EJ65)/AVERAGE(EJ56:EJ65)</f>
        <v>0.18989651136661126</v>
      </c>
      <c r="EL74" s="1521">
        <f ca="1">_xlfn.STDEV.P(EL56:EL65)/AVERAGE(EL56:EL65)</f>
        <v>0.23870258991914514</v>
      </c>
      <c r="EM74" s="1521">
        <f ca="1">_xlfn.STDEV.P(EM56:EM65)/AVERAGE(EM56:EM65)</f>
        <v>0.67677984798195467</v>
      </c>
      <c r="EP74" s="1521">
        <f ca="1">_xlfn.STDEV.P(EP56:EP65)/AVERAGE(EP56:EP65)</f>
        <v>3.4621078404740269E-2</v>
      </c>
      <c r="EQ74" s="1521">
        <f ca="1">_xlfn.STDEV.P(EQ56:EQ65)/AVERAGE(EQ56:EQ65)</f>
        <v>0.21940183918546863</v>
      </c>
      <c r="ER74" s="1521">
        <f ca="1">_xlfn.STDEV.P(ER56:ER65)/AVERAGE(ER56:ER65)</f>
        <v>0.30253041793053331</v>
      </c>
      <c r="ES74" s="1521">
        <f ca="1">_xlfn.STDEV.P(ES56:ES65)/AVERAGE(ES56:ES65)</f>
        <v>0.15292524131662885</v>
      </c>
      <c r="EU74" s="1521">
        <f ca="1">_xlfn.STDEV.P(EU56:EU65)/AVERAGE(EU56:EU65)</f>
        <v>0.22506937717433029</v>
      </c>
      <c r="EV74" s="1521">
        <f ca="1">_xlfn.STDEV.P(EV56:EV65)/AVERAGE(EV56:EV65)</f>
        <v>0.14731958155844793</v>
      </c>
      <c r="EW74" s="1521">
        <f ca="1">_xlfn.STDEV.P(EW56:EW65)/AVERAGE(EW56:EW65)</f>
        <v>0.1974636823143065</v>
      </c>
      <c r="EX74" s="1521" t="e">
        <f ca="1">_xlfn.STDEV.P(EX56:EX65)/AVERAGE(EX56:EX65)</f>
        <v>#VALUE!</v>
      </c>
      <c r="EY74" s="1521" t="e">
        <f ca="1">_xlfn.STDEV.P(EY56:EY65)/AVERAGE(EY56:EY65)</f>
        <v>#VALUE!</v>
      </c>
      <c r="FS74" s="1521">
        <f ca="1">_xlfn.STDEV.P(FS58:FS66)/AVERAGE(FS58:FS66)</f>
        <v>0.13040895783421447</v>
      </c>
      <c r="FT74" s="1521">
        <f t="shared" ref="FT74:GJ74" ca="1" si="131">_xlfn.STDEV.P(FT58:FT66)/AVERAGE(FT58:FT66)</f>
        <v>0.44237951088178967</v>
      </c>
      <c r="FU74" s="1521">
        <f t="shared" ca="1" si="131"/>
        <v>0.25818976422581441</v>
      </c>
      <c r="FV74" s="1521" t="e">
        <f t="shared" ca="1" si="131"/>
        <v>#VALUE!</v>
      </c>
      <c r="FW74" s="1521">
        <f t="shared" ca="1" si="131"/>
        <v>0.27437972563221363</v>
      </c>
      <c r="FX74" s="1521">
        <f t="shared" ca="1" si="131"/>
        <v>0.66699899301631571</v>
      </c>
      <c r="FY74" s="1521" t="e">
        <f t="shared" ca="1" si="131"/>
        <v>#VALUE!</v>
      </c>
      <c r="FZ74" s="1521" t="e">
        <f t="shared" ca="1" si="131"/>
        <v>#VALUE!</v>
      </c>
      <c r="GA74" s="1521">
        <f t="shared" ca="1" si="131"/>
        <v>0.11255405095160946</v>
      </c>
      <c r="GB74" s="1521">
        <f t="shared" ca="1" si="131"/>
        <v>1.7912351620101392</v>
      </c>
      <c r="GC74" s="1521">
        <f t="shared" ca="1" si="131"/>
        <v>0.62675795280845248</v>
      </c>
      <c r="GD74" s="1521">
        <f t="shared" ca="1" si="131"/>
        <v>0.41021901185793203</v>
      </c>
      <c r="GE74" s="1521" t="e">
        <f t="shared" ca="1" si="131"/>
        <v>#VALUE!</v>
      </c>
      <c r="GF74" s="1521">
        <f t="shared" ca="1" si="131"/>
        <v>1.4004429017200137</v>
      </c>
      <c r="GG74" s="1521">
        <f t="shared" ca="1" si="131"/>
        <v>0.24641649679043939</v>
      </c>
      <c r="GH74" s="1521">
        <f t="shared" ca="1" si="131"/>
        <v>0.34172358672243169</v>
      </c>
      <c r="GI74" s="1521" t="e">
        <f t="shared" ca="1" si="131"/>
        <v>#VALUE!</v>
      </c>
      <c r="GJ74" s="1521" t="e">
        <f t="shared" si="131"/>
        <v>#DIV/0!</v>
      </c>
      <c r="GK74" s="1521"/>
      <c r="GL74" s="1521"/>
      <c r="GM74" s="1521"/>
      <c r="GO74" s="1521"/>
      <c r="GP74" s="1521"/>
      <c r="GS74" s="1521"/>
      <c r="GT74" s="1521"/>
      <c r="GU74" s="1521"/>
      <c r="GV74" s="1521"/>
      <c r="GX74" s="1521"/>
      <c r="GY74" s="1521"/>
      <c r="GZ74" s="1521"/>
      <c r="HA74" s="1521"/>
    </row>
    <row r="75" spans="3:209">
      <c r="C75" s="1514">
        <v>39813</v>
      </c>
      <c r="E75" s="1506">
        <f t="shared" ca="1" si="121"/>
        <v>4.7369274153280196</v>
      </c>
      <c r="F75" s="1518">
        <f t="shared" ca="1" si="122"/>
        <v>8.4002378828426996E-2</v>
      </c>
      <c r="G75" s="1506">
        <f t="shared" ca="1" si="123"/>
        <v>4.9289060952092898</v>
      </c>
      <c r="H75" s="1518">
        <f t="shared" ca="1" si="124"/>
        <v>8.7791294152132493E-2</v>
      </c>
      <c r="I75" s="1506">
        <f t="shared" ca="1" si="125"/>
        <v>4.7220345732420901</v>
      </c>
      <c r="J75" s="1518">
        <f t="shared" ca="1" si="126"/>
        <v>0.12699387383708968</v>
      </c>
    </row>
    <row r="76" spans="3:209">
      <c r="C76" s="1514">
        <v>40178</v>
      </c>
      <c r="E76" s="1506">
        <f t="shared" ca="1" si="121"/>
        <v>5.7097225011042596</v>
      </c>
      <c r="F76" s="1518">
        <f t="shared" ca="1" si="122"/>
        <v>0.11070336391437309</v>
      </c>
      <c r="G76" s="1506">
        <f t="shared" ca="1" si="123"/>
        <v>6.1093186533901198</v>
      </c>
      <c r="H76" s="1518">
        <f t="shared" ca="1" si="124"/>
        <v>7.6347894529712718E-2</v>
      </c>
      <c r="I76" s="1506">
        <f t="shared" ca="1" si="125"/>
        <v>5.9301668828837597</v>
      </c>
      <c r="J76" s="1518">
        <f t="shared" ca="1" si="126"/>
        <v>7.0892426435118186E-2</v>
      </c>
    </row>
    <row r="77" spans="3:209">
      <c r="C77" s="1514">
        <v>40543</v>
      </c>
      <c r="E77" s="1506">
        <f t="shared" ca="1" si="121"/>
        <v>6.2917095413208504</v>
      </c>
      <c r="F77" s="1518">
        <f t="shared" ca="1" si="122"/>
        <v>0.15251626155426223</v>
      </c>
      <c r="G77" s="1506">
        <f t="shared" ca="1" si="123"/>
        <v>7.2385142449467299</v>
      </c>
      <c r="H77" s="1518">
        <f t="shared" ca="1" si="124"/>
        <v>9.496451503886448E-2</v>
      </c>
      <c r="I77" s="1506">
        <f t="shared" ca="1" si="125"/>
        <v>5.6131026037756202</v>
      </c>
      <c r="J77" s="1518">
        <f t="shared" ca="1" si="126"/>
        <v>0.10753344440228955</v>
      </c>
    </row>
    <row r="78" spans="3:209">
      <c r="C78" s="1514">
        <v>40908</v>
      </c>
      <c r="E78" s="1506">
        <f t="shared" ca="1" si="121"/>
        <v>5.3720191970030298</v>
      </c>
      <c r="F78" s="1518">
        <f t="shared" ca="1" si="122"/>
        <v>0.12956255224296462</v>
      </c>
      <c r="G78" s="1506">
        <f t="shared" ca="1" si="123"/>
        <v>7.0863523891336504</v>
      </c>
      <c r="H78" s="1518">
        <f t="shared" ca="1" si="124"/>
        <v>0.10971462368771255</v>
      </c>
      <c r="I78" s="1506">
        <f t="shared" ca="1" si="125"/>
        <v>6.0872655791151002</v>
      </c>
      <c r="J78" s="1518">
        <f t="shared" ca="1" si="126"/>
        <v>0.10975185448067583</v>
      </c>
    </row>
    <row r="79" spans="3:209">
      <c r="C79" s="1514">
        <v>41274</v>
      </c>
      <c r="E79" s="1506">
        <f t="shared" ca="1" si="121"/>
        <v>7.7034646244575802</v>
      </c>
      <c r="F79" s="1518">
        <f t="shared" ca="1" si="122"/>
        <v>0.12651197235250555</v>
      </c>
      <c r="G79" s="1506">
        <f t="shared" ca="1" si="123"/>
        <v>7.4533763994153697</v>
      </c>
      <c r="H79" s="1518">
        <f t="shared" ca="1" si="124"/>
        <v>3.0539108756622E-2</v>
      </c>
      <c r="I79" s="1506">
        <f t="shared" ca="1" si="125"/>
        <v>5.8269092105557601</v>
      </c>
      <c r="J79" s="1518">
        <f t="shared" ca="1" si="126"/>
        <v>8.4828846792954465E-2</v>
      </c>
    </row>
    <row r="80" spans="3:209">
      <c r="C80" s="1514">
        <v>41639</v>
      </c>
      <c r="E80" s="1506">
        <f t="shared" ca="1" si="121"/>
        <v>7.9226599951817596</v>
      </c>
      <c r="F80" s="1518">
        <f t="shared" ca="1" si="122"/>
        <v>0.20780748663101603</v>
      </c>
      <c r="G80" s="1506">
        <f t="shared" ca="1" si="123"/>
        <v>7.0030993714546099</v>
      </c>
      <c r="H80" s="1518">
        <f t="shared" ca="1" si="124"/>
        <v>0.14393241167434717</v>
      </c>
      <c r="I80" s="1506">
        <f t="shared" ca="1" si="125"/>
        <v>8.1722696134745494</v>
      </c>
      <c r="J80" s="1518">
        <f t="shared" ca="1" si="126"/>
        <v>0.10399024456337647</v>
      </c>
    </row>
    <row r="81" spans="3:10">
      <c r="C81" s="1514">
        <v>42004</v>
      </c>
      <c r="E81" s="1506">
        <f t="shared" ca="1" si="121"/>
        <v>6.9296338430472204</v>
      </c>
      <c r="F81" s="1518">
        <f t="shared" ca="1" si="122"/>
        <v>0.16605437178545188</v>
      </c>
      <c r="G81" s="1506">
        <f t="shared" ca="1" si="123"/>
        <v>7.7170195086687201</v>
      </c>
      <c r="H81" s="1518">
        <f t="shared" ca="1" si="124"/>
        <v>0.11055571890620405</v>
      </c>
      <c r="I81" s="1506">
        <f t="shared" ca="1" si="125"/>
        <v>8.5283065726027694</v>
      </c>
      <c r="J81" s="1518">
        <f t="shared" ca="1" si="126"/>
        <v>9.6280969527597141E-2</v>
      </c>
    </row>
    <row r="82" spans="3:10">
      <c r="C82" s="1514">
        <v>42369</v>
      </c>
      <c r="E82" s="1506">
        <f t="shared" ca="1" si="121"/>
        <v>7.1603280818444901</v>
      </c>
      <c r="F82" s="1518">
        <f t="shared" ca="1" si="122"/>
        <v>0.17796434494195687</v>
      </c>
      <c r="G82" s="1506">
        <f t="shared" ca="1" si="123"/>
        <v>7.0129921563583997</v>
      </c>
      <c r="H82" s="1518">
        <f t="shared" ca="1" si="124"/>
        <v>0.12019739161085653</v>
      </c>
      <c r="I82" s="1506">
        <f t="shared" ca="1" si="125"/>
        <v>6.4782044515291197</v>
      </c>
      <c r="J82" s="1518">
        <f t="shared" ca="1" si="126"/>
        <v>0.10096665673040071</v>
      </c>
    </row>
    <row r="83" spans="3:10">
      <c r="C83" s="1514">
        <v>42735</v>
      </c>
      <c r="E83" s="1506">
        <f t="shared" ca="1" si="121"/>
        <v>8.2584597768041892</v>
      </c>
      <c r="F83" s="1518">
        <f t="shared" ca="1" si="122"/>
        <v>0.17029307282415632</v>
      </c>
      <c r="G83" s="1506">
        <f t="shared" ca="1" si="123"/>
        <v>9.2638216886287701</v>
      </c>
      <c r="H83" s="1518">
        <f t="shared" ca="1" si="124"/>
        <v>0.16737799220634625</v>
      </c>
      <c r="I83" s="1506">
        <f t="shared" ca="1" si="125"/>
        <v>8.4628597091161097</v>
      </c>
      <c r="J83" s="1518">
        <f t="shared" ca="1" si="126"/>
        <v>0.11353032659409021</v>
      </c>
    </row>
    <row r="84" spans="3:10">
      <c r="C84" s="1514">
        <v>43100</v>
      </c>
      <c r="E84" s="1506">
        <f t="shared" ca="1" si="121"/>
        <v>8.9477286757746892</v>
      </c>
      <c r="F84" s="1518">
        <f t="shared" ca="1" si="122"/>
        <v>0.15876007958948582</v>
      </c>
      <c r="G84" s="1506">
        <f t="shared" ca="1" si="123"/>
        <v>9.6484871426549201</v>
      </c>
      <c r="H84" s="1518">
        <f t="shared" ca="1" si="124"/>
        <v>0.15016286644951141</v>
      </c>
      <c r="I84" s="1506">
        <f t="shared" ca="1" si="125"/>
        <v>7.2281137736824004</v>
      </c>
      <c r="J84" s="1518">
        <f t="shared" ca="1" si="126"/>
        <v>0.11496104408428942</v>
      </c>
    </row>
    <row r="85" spans="3:10">
      <c r="C85" s="1514">
        <v>43465</v>
      </c>
      <c r="E85" s="1506">
        <f t="shared" ca="1" si="121"/>
        <v>7.7196499070828004</v>
      </c>
      <c r="F85" s="1518">
        <f t="shared" ca="1" si="122"/>
        <v>0.16215151216628904</v>
      </c>
      <c r="G85" s="1506">
        <f t="shared" ca="1" si="123"/>
        <v>7.7935245040986301</v>
      </c>
      <c r="H85" s="1518">
        <f t="shared" ca="1" si="124"/>
        <v>0.18588399720475193</v>
      </c>
      <c r="I85" s="1506">
        <f t="shared" ca="1" si="125"/>
        <v>7.9925036961179803</v>
      </c>
      <c r="J85" s="1518">
        <f t="shared" ca="1" si="126"/>
        <v>0.11164955070603337</v>
      </c>
    </row>
    <row r="86" spans="3:10">
      <c r="C86" s="1514">
        <v>43830</v>
      </c>
      <c r="E86" s="1506">
        <f t="shared" ca="1" si="121"/>
        <v>8.1025042109024508</v>
      </c>
      <c r="F86" s="1518">
        <f t="shared" ca="1" si="122"/>
        <v>0.14968187210180092</v>
      </c>
      <c r="G86" s="1506">
        <f t="shared" ca="1" si="123"/>
        <v>8.8249935636539192</v>
      </c>
      <c r="H86" s="1518">
        <f t="shared" ca="1" si="124"/>
        <v>0.16388756550738448</v>
      </c>
      <c r="I86" s="1506">
        <f t="shared" ca="1" si="125"/>
        <v>8.4287509151522393</v>
      </c>
      <c r="J86" s="1518">
        <f t="shared" ca="1" si="126"/>
        <v>7.1241841380862522E-2</v>
      </c>
    </row>
    <row r="87" spans="3:10">
      <c r="C87" s="1514">
        <v>44196</v>
      </c>
      <c r="E87" s="1506">
        <f t="shared" ca="1" si="121"/>
        <v>9.8442805486113105</v>
      </c>
      <c r="F87" s="1518">
        <f t="shared" ca="1" si="122"/>
        <v>0.11377316180809631</v>
      </c>
      <c r="G87" s="1506">
        <f t="shared" ca="1" si="123"/>
        <v>10.024387493356899</v>
      </c>
      <c r="H87" s="1518">
        <f t="shared" ca="1" si="124"/>
        <v>0.12661361626878867</v>
      </c>
      <c r="I87" s="1506">
        <f t="shared" ca="1" si="125"/>
        <v>8.8725018858468694</v>
      </c>
      <c r="J87" s="1518">
        <f t="shared" ca="1" si="126"/>
        <v>5.6467564963059394E-2</v>
      </c>
    </row>
    <row r="88" spans="3:10">
      <c r="C88" s="1514">
        <v>44561</v>
      </c>
      <c r="E88" s="1506">
        <f t="shared" ca="1" si="121"/>
        <v>9.3087136255806993</v>
      </c>
      <c r="F88" s="1518">
        <f t="shared" ca="1" si="122"/>
        <v>0.17888507063764797</v>
      </c>
      <c r="G88" s="1506">
        <f t="shared" ca="1" si="123"/>
        <v>8.3329857326987202</v>
      </c>
      <c r="H88" s="1518">
        <f t="shared" ca="1" si="124"/>
        <v>0.22701183085392995</v>
      </c>
      <c r="I88" s="1506">
        <f t="shared" ca="1" si="125"/>
        <v>7.2495152440428203</v>
      </c>
      <c r="J88" s="1518">
        <f t="shared" ca="1" si="126"/>
        <v>9.3714453945695664E-2</v>
      </c>
    </row>
    <row r="89" spans="3:10">
      <c r="C89" s="1514">
        <v>44926</v>
      </c>
      <c r="E89" s="1506">
        <f t="shared" ca="1" si="121"/>
        <v>8.2746410890455397</v>
      </c>
      <c r="F89" s="1518">
        <f t="shared" ca="1" si="122"/>
        <v>0.12391304347826088</v>
      </c>
      <c r="H89" s="1518">
        <f t="shared" ca="1" si="124"/>
        <v>0.19312499999999999</v>
      </c>
      <c r="I89" s="1506">
        <f t="shared" ca="1" si="125"/>
        <v>7.0614903688472204</v>
      </c>
      <c r="J89" s="1518">
        <f t="shared" ca="1" si="126"/>
        <v>8.6948057896665445E-2</v>
      </c>
    </row>
  </sheetData>
  <conditionalFormatting sqref="E46:H47 J46:P47">
    <cfRule type="colorScale" priority="248">
      <colorScale>
        <cfvo type="min"/>
        <cfvo type="percentile" val="50"/>
        <cfvo type="max"/>
        <color rgb="FFF8696B"/>
        <color rgb="FFFCFCFF"/>
        <color rgb="FF63BE7B"/>
      </colorScale>
    </cfRule>
  </conditionalFormatting>
  <conditionalFormatting sqref="E51:H51 J51:P51">
    <cfRule type="colorScale" priority="251">
      <colorScale>
        <cfvo type="min"/>
        <cfvo type="percentile" val="50"/>
        <cfvo type="max"/>
        <color rgb="FFF8696B"/>
        <color rgb="FFFCFCFF"/>
        <color rgb="FF63BE7B"/>
      </colorScale>
    </cfRule>
  </conditionalFormatting>
  <conditionalFormatting sqref="E59:H59 J59:P59">
    <cfRule type="colorScale" priority="254">
      <colorScale>
        <cfvo type="min"/>
        <cfvo type="percentile" val="50"/>
        <cfvo type="max"/>
        <color rgb="FFF8696B"/>
        <color rgb="FFFCFCFF"/>
        <color rgb="FF63BE7B"/>
      </colorScale>
    </cfRule>
  </conditionalFormatting>
  <conditionalFormatting sqref="W24:W41">
    <cfRule type="colorScale" priority="1">
      <colorScale>
        <cfvo type="min"/>
        <cfvo type="percentile" val="50"/>
        <cfvo type="max"/>
        <color rgb="FFF8696B"/>
        <color rgb="FFFCFCFF"/>
        <color rgb="FF63BE7B"/>
      </colorScale>
    </cfRule>
  </conditionalFormatting>
  <conditionalFormatting sqref="EH71:EJ71 EL71:EM71 EP71:ES71 EU71:EW71">
    <cfRule type="colorScale" priority="6">
      <colorScale>
        <cfvo type="min"/>
        <cfvo type="percentile" val="50"/>
        <cfvo type="max"/>
        <color rgb="FFF8696B"/>
        <color rgb="FFFCFCFF"/>
        <color rgb="FF63BE7B"/>
      </colorScale>
    </cfRule>
  </conditionalFormatting>
  <conditionalFormatting sqref="FS71:FU71 FW71:FX71 GA71:GD71 GF71:GH71">
    <cfRule type="colorScale" priority="4">
      <colorScale>
        <cfvo type="min"/>
        <cfvo type="percentile" val="50"/>
        <cfvo type="max"/>
        <color rgb="FFF8696B"/>
        <color rgb="FFFCFCFF"/>
        <color rgb="FF63BE7B"/>
      </colorScale>
    </cfRule>
  </conditionalFormatting>
  <conditionalFormatting sqref="GK71:GM71 GO71:GP71 GS71:GV71 GX71:GZ71">
    <cfRule type="colorScale" priority="3">
      <colorScale>
        <cfvo type="min"/>
        <cfvo type="percentile" val="50"/>
        <cfvo type="max"/>
        <color rgb="FFF8696B"/>
        <color rgb="FFFCFCFF"/>
        <color rgb="FF63BE7B"/>
      </colorScale>
    </cfRule>
  </conditionalFormatting>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DED60-8F0B-43EA-8803-392ED69EE5BA}">
  <sheetPr codeName="Sheet24">
    <tabColor theme="8" tint="0.59999389629810485"/>
  </sheetPr>
  <dimension ref="A1:KX49"/>
  <sheetViews>
    <sheetView showGridLines="0" zoomScaleNormal="100" workbookViewId="0">
      <pane xSplit="4" ySplit="6" topLeftCell="E7" activePane="bottomRight" state="frozen"/>
      <selection activeCell="G60" sqref="G60"/>
      <selection pane="topRight" activeCell="G60" sqref="G60"/>
      <selection pane="bottomLeft" activeCell="G60" sqref="G60"/>
      <selection pane="bottomRight" activeCell="E7" sqref="E7"/>
    </sheetView>
  </sheetViews>
  <sheetFormatPr defaultColWidth="6.53125" defaultRowHeight="10.5" outlineLevelRow="1" outlineLevelCol="1"/>
  <cols>
    <col min="1" max="1" width="3.46484375" style="861" customWidth="1"/>
    <col min="2" max="2" width="7.796875" style="861" customWidth="1" outlineLevel="1"/>
    <col min="3" max="3" width="2.796875" style="861" bestFit="1" customWidth="1"/>
    <col min="4" max="4" width="37" style="861" customWidth="1"/>
    <col min="5" max="7" width="8.19921875" style="861" customWidth="1"/>
    <col min="8" max="8" width="8.19921875" style="861" hidden="1" customWidth="1" outlineLevel="1"/>
    <col min="9" max="9" width="8.19921875" style="861" customWidth="1" collapsed="1"/>
    <col min="10" max="15" width="8.19921875" style="861" hidden="1" customWidth="1" outlineLevel="1"/>
    <col min="16" max="16" width="1.19921875" style="861" hidden="1" customWidth="1" outlineLevel="1"/>
    <col min="17" max="17" width="8.46484375" style="861" bestFit="1" customWidth="1" collapsed="1"/>
    <col min="18" max="18" width="11" style="861" bestFit="1" customWidth="1"/>
    <col min="19" max="19" width="1.19921875" style="861" bestFit="1" customWidth="1"/>
    <col min="20" max="27" width="8.19921875" style="861" hidden="1" customWidth="1" outlineLevel="1"/>
    <col min="28" max="28" width="5.19921875" style="861" hidden="1" customWidth="1" outlineLevel="1"/>
    <col min="29" max="36" width="8.796875" style="861" hidden="1" customWidth="1" outlineLevel="1"/>
    <col min="37" max="37" width="1.46484375" style="861" hidden="1" customWidth="1" outlineLevel="1"/>
    <col min="38" max="38" width="7.46484375" style="861" hidden="1" customWidth="1" outlineLevel="1"/>
    <col min="39" max="45" width="8.19921875" style="861" hidden="1" customWidth="1" outlineLevel="1"/>
    <col min="46" max="46" width="1.46484375" style="861" hidden="1" customWidth="1" outlineLevel="1"/>
    <col min="47" max="47" width="7.46484375" style="861" hidden="1" customWidth="1" outlineLevel="1"/>
    <col min="48" max="54" width="8.19921875" style="861" hidden="1" customWidth="1" outlineLevel="1"/>
    <col min="55" max="55" width="1.46484375" style="861" hidden="1" customWidth="1" outlineLevel="1"/>
    <col min="56" max="63" width="7.796875" style="861" hidden="1" customWidth="1" outlineLevel="1"/>
    <col min="64" max="64" width="1.46484375" style="861" hidden="1" customWidth="1" outlineLevel="1"/>
    <col min="65" max="72" width="7.796875" style="861" hidden="1" customWidth="1" outlineLevel="1"/>
    <col min="73" max="73" width="1.46484375" style="861" hidden="1" customWidth="1" outlineLevel="1"/>
    <col min="74" max="81" width="7.796875" style="861" hidden="1" customWidth="1" outlineLevel="1"/>
    <col min="82" max="82" width="1.46484375" style="861" hidden="1" customWidth="1" outlineLevel="1"/>
    <col min="83" max="90" width="7.796875" style="861" hidden="1" customWidth="1" outlineLevel="1"/>
    <col min="91" max="91" width="1.46484375" style="861" hidden="1" customWidth="1" outlineLevel="1"/>
    <col min="92" max="92" width="7.796875" style="861" customWidth="1" collapsed="1"/>
    <col min="93" max="99" width="7.796875" style="861" customWidth="1"/>
    <col min="100" max="100" width="1.46484375" style="861" customWidth="1"/>
    <col min="101" max="108" width="7.796875" style="861" customWidth="1"/>
    <col min="109" max="109" width="1.46484375" style="861" customWidth="1"/>
    <col min="110" max="117" width="7.796875" style="861" customWidth="1"/>
    <col min="118" max="118" width="1.46484375" style="861" hidden="1" customWidth="1" outlineLevel="1"/>
    <col min="119" max="126" width="7.796875" style="861" hidden="1" customWidth="1" outlineLevel="1"/>
    <col min="127" max="127" width="1.46484375" style="861" hidden="1" customWidth="1" outlineLevel="1"/>
    <col min="128" max="135" width="7.796875" style="861" hidden="1" customWidth="1" outlineLevel="1"/>
    <col min="136" max="136" width="1.46484375" style="861" customWidth="1" collapsed="1"/>
    <col min="137" max="144" width="7.796875" style="861" customWidth="1"/>
    <col min="145" max="145" width="1.46484375" style="861" customWidth="1"/>
    <col min="146" max="153" width="7.796875" style="861" hidden="1" customWidth="1" outlineLevel="1"/>
    <col min="154" max="154" width="1.46484375" style="861" hidden="1" customWidth="1" outlineLevel="1"/>
    <col min="155" max="162" width="7.796875" style="861" hidden="1" customWidth="1" outlineLevel="1"/>
    <col min="163" max="163" width="1.46484375" style="861" hidden="1" customWidth="1" outlineLevel="1"/>
    <col min="164" max="171" width="7.796875" style="861" hidden="1" customWidth="1" outlineLevel="1"/>
    <col min="172" max="172" width="1.46484375" style="861" hidden="1" customWidth="1" outlineLevel="1"/>
    <col min="173" max="173" width="7.796875" style="861" customWidth="1" collapsed="1"/>
    <col min="174" max="180" width="7.796875" style="861" customWidth="1"/>
    <col min="181" max="181" width="1.46484375" style="861" customWidth="1"/>
    <col min="182" max="189" width="7.796875" style="861" hidden="1" customWidth="1" outlineLevel="1"/>
    <col min="190" max="191" width="1.46484375" style="861" hidden="1" customWidth="1" outlineLevel="1"/>
    <col min="192" max="199" width="7.796875" style="861" hidden="1" customWidth="1" outlineLevel="1"/>
    <col min="200" max="200" width="1.46484375" style="861" hidden="1" customWidth="1" outlineLevel="1"/>
    <col min="201" max="208" width="7.796875" style="861" hidden="1" customWidth="1" outlineLevel="1"/>
    <col min="209" max="209" width="1.46484375" style="861" hidden="1" customWidth="1" outlineLevel="1"/>
    <col min="210" max="217" width="7.796875" style="861" hidden="1" customWidth="1" outlineLevel="1"/>
    <col min="218" max="218" width="1.46484375" style="861" hidden="1" customWidth="1" outlineLevel="1"/>
    <col min="219" max="226" width="7.796875" style="861" hidden="1" customWidth="1" outlineLevel="1"/>
    <col min="227" max="227" width="1.46484375" style="861" hidden="1" customWidth="1" outlineLevel="1"/>
    <col min="228" max="235" width="7.796875" style="861" hidden="1" customWidth="1" outlineLevel="1"/>
    <col min="236" max="236" width="1.46484375" style="861" hidden="1" customWidth="1" outlineLevel="1"/>
    <col min="237" max="244" width="7.796875" style="861" hidden="1" customWidth="1" outlineLevel="1"/>
    <col min="245" max="245" width="1.46484375" style="861" hidden="1" customWidth="1" outlineLevel="1"/>
    <col min="246" max="253" width="7.796875" style="861" hidden="1" customWidth="1" outlineLevel="1"/>
    <col min="254" max="254" width="1.46484375" style="861" hidden="1" customWidth="1" outlineLevel="1"/>
    <col min="255" max="262" width="7.796875" style="861" hidden="1" customWidth="1" outlineLevel="1"/>
    <col min="263" max="263" width="1.46484375" style="861" hidden="1" customWidth="1" outlineLevel="1"/>
    <col min="264" max="264" width="7.796875" style="861" customWidth="1" collapsed="1"/>
    <col min="265" max="271" width="7.796875" style="861" customWidth="1"/>
    <col min="272" max="272" width="1.46484375" style="861" customWidth="1" outlineLevel="1"/>
    <col min="273" max="280" width="7.796875" style="861" customWidth="1" outlineLevel="1"/>
    <col min="281" max="281" width="1.46484375" style="861" customWidth="1" outlineLevel="1"/>
    <col min="282" max="289" width="7.796875" style="861" customWidth="1" outlineLevel="1"/>
    <col min="290" max="290" width="1.46484375" style="861" customWidth="1" outlineLevel="1"/>
    <col min="291" max="298" width="7.796875" style="861" customWidth="1" outlineLevel="1"/>
    <col min="299" max="299" width="1.46484375" style="861" customWidth="1" outlineLevel="1"/>
    <col min="300" max="307" width="7.796875" style="861" customWidth="1" outlineLevel="1"/>
    <col min="308" max="308" width="1.46484375" style="861" customWidth="1" outlineLevel="1" collapsed="1"/>
    <col min="309" max="309" width="1.46484375" style="861" customWidth="1" outlineLevel="1"/>
    <col min="310" max="310" width="36.53125" style="861" customWidth="1" outlineLevel="1"/>
    <col min="311" max="311" width="8.796875" style="861" customWidth="1"/>
    <col min="312" max="16384" width="6.53125" style="861"/>
  </cols>
  <sheetData>
    <row r="1" spans="1:310" ht="11.65">
      <c r="A1" s="858"/>
      <c r="B1" s="859"/>
      <c r="C1" s="859"/>
      <c r="D1" s="860"/>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c r="CC1" s="859"/>
      <c r="CD1" s="859"/>
      <c r="CE1" s="859"/>
      <c r="CF1" s="859"/>
      <c r="CG1" s="859"/>
      <c r="CH1" s="859"/>
      <c r="CI1" s="859"/>
      <c r="CJ1" s="859"/>
      <c r="CK1" s="859"/>
      <c r="CL1" s="859"/>
      <c r="CM1" s="859"/>
      <c r="CN1" s="859"/>
      <c r="CO1" s="859"/>
      <c r="CP1" s="859"/>
      <c r="CQ1" s="859"/>
      <c r="CR1" s="859"/>
      <c r="CS1" s="859"/>
      <c r="CT1" s="859"/>
      <c r="CU1" s="859"/>
      <c r="CV1" s="859"/>
      <c r="CW1" s="859"/>
      <c r="CX1" s="859"/>
      <c r="CY1" s="859"/>
      <c r="CZ1" s="859"/>
      <c r="DA1" s="859"/>
      <c r="DB1" s="859"/>
      <c r="DC1" s="859"/>
      <c r="DD1" s="859"/>
      <c r="DE1" s="859"/>
      <c r="DF1" s="859"/>
      <c r="DG1" s="859"/>
      <c r="DH1" s="859"/>
      <c r="DI1" s="859"/>
      <c r="DJ1" s="859"/>
      <c r="DK1" s="859"/>
      <c r="DL1" s="859"/>
      <c r="DM1" s="859"/>
      <c r="DN1" s="859"/>
      <c r="DO1" s="859"/>
      <c r="DP1" s="859"/>
      <c r="DQ1" s="859"/>
      <c r="DR1" s="859"/>
      <c r="DS1" s="859"/>
      <c r="DT1" s="859"/>
      <c r="DU1" s="859"/>
      <c r="DV1" s="859"/>
      <c r="DW1" s="859"/>
      <c r="DX1" s="859"/>
      <c r="DY1" s="859"/>
      <c r="DZ1" s="859"/>
      <c r="EA1" s="859"/>
      <c r="EB1" s="859"/>
      <c r="EC1" s="859"/>
      <c r="ED1" s="859"/>
      <c r="EE1" s="859"/>
      <c r="EF1" s="859"/>
      <c r="EG1" s="859"/>
      <c r="EH1" s="859"/>
      <c r="EI1" s="859"/>
      <c r="EJ1" s="859"/>
      <c r="EK1" s="859"/>
      <c r="EL1" s="859"/>
      <c r="EM1" s="859"/>
      <c r="EN1" s="859"/>
      <c r="EO1" s="859"/>
      <c r="EP1" s="859"/>
      <c r="EQ1" s="859"/>
      <c r="ER1" s="859"/>
      <c r="ES1" s="859"/>
      <c r="ET1" s="859"/>
      <c r="EU1" s="859"/>
      <c r="EV1" s="859"/>
      <c r="EW1" s="859"/>
      <c r="EX1" s="859"/>
      <c r="EY1" s="859"/>
      <c r="EZ1" s="859"/>
      <c r="FA1" s="859"/>
      <c r="FB1" s="859"/>
      <c r="FC1" s="859"/>
      <c r="FD1" s="859"/>
      <c r="FE1" s="859"/>
      <c r="FF1" s="859"/>
      <c r="FG1" s="859"/>
      <c r="FH1" s="859"/>
      <c r="FI1" s="859"/>
      <c r="FJ1" s="859"/>
      <c r="FK1" s="859"/>
      <c r="FL1" s="859"/>
      <c r="FM1" s="859"/>
      <c r="FN1" s="859"/>
      <c r="FO1" s="859"/>
      <c r="FP1" s="859"/>
      <c r="FQ1" s="859"/>
      <c r="FR1" s="859"/>
      <c r="FS1" s="859"/>
      <c r="FT1" s="859"/>
      <c r="FU1" s="859"/>
      <c r="FV1" s="859"/>
      <c r="FW1" s="859"/>
      <c r="FX1" s="859"/>
      <c r="FY1" s="859"/>
      <c r="FZ1" s="859"/>
      <c r="GA1" s="859"/>
      <c r="GB1" s="859"/>
      <c r="GC1" s="859"/>
      <c r="GD1" s="859"/>
      <c r="GE1" s="859"/>
      <c r="GF1" s="859"/>
      <c r="GG1" s="859"/>
      <c r="GH1" s="859"/>
      <c r="GI1" s="859"/>
      <c r="GJ1" s="859"/>
      <c r="GK1" s="859"/>
      <c r="GL1" s="859"/>
      <c r="GM1" s="859"/>
      <c r="GN1" s="859"/>
      <c r="GO1" s="859"/>
      <c r="GP1" s="859"/>
      <c r="GQ1" s="859"/>
      <c r="GR1" s="859"/>
      <c r="GS1" s="859"/>
      <c r="GT1" s="859"/>
      <c r="GU1" s="859"/>
      <c r="GV1" s="859"/>
      <c r="GW1" s="859"/>
      <c r="GX1" s="859"/>
      <c r="GY1" s="859"/>
      <c r="GZ1" s="859"/>
      <c r="HA1" s="859"/>
      <c r="HB1" s="859"/>
      <c r="HC1" s="859"/>
      <c r="HD1" s="859"/>
      <c r="HE1" s="859"/>
      <c r="HF1" s="859"/>
      <c r="HG1" s="859"/>
      <c r="HH1" s="859"/>
      <c r="HI1" s="859"/>
      <c r="HJ1" s="859"/>
      <c r="HK1" s="859"/>
      <c r="HL1" s="859"/>
      <c r="HM1" s="859"/>
      <c r="HN1" s="859"/>
      <c r="HO1" s="859"/>
      <c r="HP1" s="859"/>
      <c r="HQ1" s="859"/>
      <c r="HR1" s="859"/>
      <c r="HS1" s="859"/>
      <c r="HT1" s="859"/>
      <c r="HU1" s="859"/>
      <c r="HV1" s="859"/>
      <c r="HW1" s="859"/>
      <c r="HX1" s="859"/>
      <c r="HY1" s="859"/>
      <c r="HZ1" s="859"/>
      <c r="IA1" s="859"/>
      <c r="IB1" s="859"/>
      <c r="IC1" s="859"/>
      <c r="ID1" s="859"/>
      <c r="IE1" s="859"/>
      <c r="IF1" s="859"/>
      <c r="IG1" s="859"/>
      <c r="IH1" s="859"/>
      <c r="II1" s="859"/>
      <c r="IJ1" s="859"/>
      <c r="IK1" s="859"/>
      <c r="IL1" s="859"/>
      <c r="IM1" s="859"/>
      <c r="IN1" s="859"/>
      <c r="IO1" s="859"/>
      <c r="IP1" s="859"/>
      <c r="IQ1" s="859"/>
      <c r="IR1" s="859"/>
      <c r="IS1" s="859"/>
      <c r="IT1" s="859"/>
      <c r="IU1" s="859"/>
      <c r="IV1" s="859"/>
      <c r="IW1" s="859"/>
      <c r="IX1" s="859"/>
      <c r="IY1" s="859"/>
      <c r="IZ1" s="859"/>
      <c r="JA1" s="859"/>
      <c r="JB1" s="859"/>
      <c r="JC1" s="859"/>
      <c r="JD1" s="859"/>
      <c r="JE1" s="859"/>
      <c r="JF1" s="859"/>
      <c r="JG1" s="859"/>
      <c r="JH1" s="859"/>
      <c r="JI1" s="859"/>
      <c r="JJ1" s="859"/>
      <c r="JK1" s="859"/>
      <c r="JL1" s="859"/>
      <c r="JM1" s="859"/>
      <c r="JN1" s="859"/>
      <c r="JO1" s="859"/>
      <c r="JP1" s="859"/>
      <c r="JQ1" s="859"/>
      <c r="JR1" s="859"/>
      <c r="JS1" s="859"/>
      <c r="JT1" s="859"/>
      <c r="JU1" s="859"/>
      <c r="JV1" s="859"/>
      <c r="JW1" s="859"/>
      <c r="JX1" s="859"/>
      <c r="JY1" s="859"/>
      <c r="JZ1" s="859"/>
      <c r="KA1" s="859"/>
      <c r="KB1" s="859"/>
      <c r="KC1" s="859"/>
      <c r="KD1" s="859"/>
      <c r="KE1" s="859"/>
      <c r="KF1" s="859"/>
      <c r="KG1" s="859"/>
      <c r="KH1" s="859"/>
      <c r="KI1" s="859"/>
      <c r="KJ1" s="859"/>
      <c r="KK1" s="859"/>
      <c r="KL1" s="859"/>
      <c r="KM1" s="859"/>
      <c r="KN1" s="859"/>
      <c r="KO1" s="859"/>
      <c r="KP1" s="859"/>
      <c r="KQ1" s="859"/>
      <c r="KR1" s="859"/>
      <c r="KS1" s="859"/>
      <c r="KT1" s="859"/>
      <c r="KU1" s="859"/>
      <c r="KV1" s="859"/>
    </row>
    <row r="2" spans="1:310">
      <c r="C2" s="862">
        <v>1</v>
      </c>
      <c r="D2" s="863"/>
      <c r="F2" s="864" t="s">
        <v>1215</v>
      </c>
      <c r="G2" s="792">
        <v>0</v>
      </c>
      <c r="I2" s="865" t="s">
        <v>925</v>
      </c>
      <c r="AK2" s="866"/>
      <c r="AL2" s="866"/>
      <c r="AM2" s="866"/>
      <c r="AN2" s="866"/>
      <c r="AO2" s="866"/>
      <c r="AP2" s="866"/>
      <c r="BE2" s="866"/>
      <c r="BF2" s="866"/>
      <c r="BG2" s="866"/>
      <c r="BH2" s="866"/>
      <c r="BW2" s="866"/>
      <c r="BX2" s="866"/>
      <c r="BY2" s="866"/>
      <c r="BZ2" s="866"/>
    </row>
    <row r="3" spans="1:310" hidden="1" outlineLevel="1">
      <c r="D3" s="863"/>
      <c r="AK3" s="866"/>
      <c r="AL3" s="866"/>
      <c r="AM3" s="866"/>
      <c r="AN3" s="866"/>
      <c r="AO3" s="866"/>
      <c r="AP3" s="866"/>
      <c r="BE3" s="866"/>
      <c r="BF3" s="866"/>
      <c r="BG3" s="866"/>
      <c r="BH3" s="866"/>
      <c r="BW3" s="866"/>
      <c r="BX3" s="866"/>
      <c r="BY3" s="866"/>
      <c r="BZ3" s="866"/>
      <c r="EM3" s="889"/>
      <c r="EN3" s="889"/>
    </row>
    <row r="4" spans="1:310" collapsed="1">
      <c r="AK4" s="866"/>
      <c r="AL4" s="866"/>
      <c r="AM4" s="866"/>
      <c r="AN4" s="866"/>
      <c r="AO4" s="866"/>
      <c r="AP4" s="866"/>
      <c r="CN4" s="861" t="s">
        <v>14</v>
      </c>
      <c r="HB4" s="861" t="s">
        <v>14</v>
      </c>
    </row>
    <row r="5" spans="1:310">
      <c r="E5" s="867" t="s">
        <v>1216</v>
      </c>
      <c r="F5" s="867" t="s">
        <v>1217</v>
      </c>
      <c r="G5" s="867" t="s">
        <v>1218</v>
      </c>
      <c r="H5" s="867" t="s">
        <v>175</v>
      </c>
      <c r="J5" s="867" t="s">
        <v>1219</v>
      </c>
      <c r="K5" s="867" t="s">
        <v>1417</v>
      </c>
      <c r="L5" s="867" t="s">
        <v>591</v>
      </c>
      <c r="M5" s="868" t="s">
        <v>1220</v>
      </c>
      <c r="N5" s="867" t="s">
        <v>1537</v>
      </c>
      <c r="O5" s="867" t="s">
        <v>1221</v>
      </c>
      <c r="P5" s="869"/>
      <c r="Q5" s="868" t="s">
        <v>1222</v>
      </c>
      <c r="R5" s="868"/>
      <c r="S5" s="867"/>
      <c r="T5" s="868" t="s">
        <v>1223</v>
      </c>
      <c r="U5" s="868"/>
      <c r="V5" s="868"/>
      <c r="W5" s="868"/>
      <c r="X5" s="868"/>
      <c r="Y5" s="868"/>
      <c r="Z5" s="868"/>
      <c r="AA5" s="868"/>
      <c r="AB5" s="869"/>
      <c r="AC5" s="868" t="s">
        <v>1224</v>
      </c>
      <c r="AD5" s="868"/>
      <c r="AE5" s="868"/>
      <c r="AF5" s="868"/>
      <c r="AG5" s="868"/>
      <c r="AH5" s="868"/>
      <c r="AI5" s="868"/>
      <c r="AJ5" s="868"/>
      <c r="AK5" s="869"/>
      <c r="AL5" s="868" t="s">
        <v>1225</v>
      </c>
      <c r="AM5" s="868"/>
      <c r="AN5" s="868"/>
      <c r="AO5" s="868"/>
      <c r="AP5" s="868"/>
      <c r="AQ5" s="868"/>
      <c r="AR5" s="868"/>
      <c r="AS5" s="868"/>
      <c r="AT5" s="869"/>
      <c r="AU5" s="868" t="s">
        <v>1226</v>
      </c>
      <c r="AV5" s="868"/>
      <c r="AW5" s="868"/>
      <c r="AX5" s="868"/>
      <c r="AY5" s="868"/>
      <c r="AZ5" s="868"/>
      <c r="BA5" s="868"/>
      <c r="BB5" s="868"/>
      <c r="BC5" s="869"/>
      <c r="BD5" s="868" t="s">
        <v>1227</v>
      </c>
      <c r="BE5" s="868"/>
      <c r="BF5" s="868"/>
      <c r="BG5" s="868"/>
      <c r="BH5" s="868"/>
      <c r="BI5" s="868"/>
      <c r="BJ5" s="868"/>
      <c r="BK5" s="868"/>
      <c r="BL5" s="869"/>
      <c r="BM5" s="868" t="s">
        <v>1228</v>
      </c>
      <c r="BN5" s="868"/>
      <c r="BO5" s="868"/>
      <c r="BP5" s="868"/>
      <c r="BQ5" s="868"/>
      <c r="BR5" s="868"/>
      <c r="BS5" s="868"/>
      <c r="BT5" s="868"/>
      <c r="BU5" s="869"/>
      <c r="BV5" s="868" t="s">
        <v>1392</v>
      </c>
      <c r="BW5" s="868"/>
      <c r="BX5" s="868"/>
      <c r="BY5" s="868"/>
      <c r="BZ5" s="868"/>
      <c r="CA5" s="868"/>
      <c r="CB5" s="868"/>
      <c r="CC5" s="868"/>
      <c r="CD5" s="869"/>
      <c r="CE5" s="868" t="s">
        <v>1393</v>
      </c>
      <c r="CF5" s="868"/>
      <c r="CG5" s="868"/>
      <c r="CH5" s="868"/>
      <c r="CI5" s="868"/>
      <c r="CJ5" s="868"/>
      <c r="CK5" s="868"/>
      <c r="CL5" s="868"/>
      <c r="CM5" s="867"/>
      <c r="CN5" s="868" t="s">
        <v>1229</v>
      </c>
      <c r="CO5" s="868"/>
      <c r="CP5" s="868"/>
      <c r="CQ5" s="868"/>
      <c r="CR5" s="868"/>
      <c r="CS5" s="868"/>
      <c r="CT5" s="868"/>
      <c r="CU5" s="868"/>
      <c r="CV5" s="869"/>
      <c r="CW5" s="868" t="s">
        <v>1230</v>
      </c>
      <c r="CX5" s="868"/>
      <c r="CY5" s="868"/>
      <c r="CZ5" s="868"/>
      <c r="DA5" s="868"/>
      <c r="DB5" s="868"/>
      <c r="DC5" s="868"/>
      <c r="DD5" s="868"/>
      <c r="DE5" s="869"/>
      <c r="DF5" s="868" t="s">
        <v>1231</v>
      </c>
      <c r="DG5" s="868"/>
      <c r="DH5" s="868"/>
      <c r="DI5" s="868"/>
      <c r="DJ5" s="868"/>
      <c r="DK5" s="868"/>
      <c r="DL5" s="868"/>
      <c r="DM5" s="868"/>
      <c r="DN5" s="869"/>
      <c r="DO5" s="868" t="s">
        <v>1232</v>
      </c>
      <c r="DP5" s="868"/>
      <c r="DQ5" s="868"/>
      <c r="DR5" s="868"/>
      <c r="DS5" s="868"/>
      <c r="DT5" s="868"/>
      <c r="DU5" s="868"/>
      <c r="DV5" s="868"/>
      <c r="DW5" s="869"/>
      <c r="DX5" s="868" t="s">
        <v>1233</v>
      </c>
      <c r="DY5" s="868"/>
      <c r="DZ5" s="868"/>
      <c r="EA5" s="868"/>
      <c r="EB5" s="868"/>
      <c r="EC5" s="868"/>
      <c r="ED5" s="868"/>
      <c r="EE5" s="868"/>
      <c r="EF5" s="869"/>
      <c r="EG5" s="868" t="s">
        <v>1234</v>
      </c>
      <c r="EH5" s="868"/>
      <c r="EI5" s="868"/>
      <c r="EJ5" s="868"/>
      <c r="EK5" s="868"/>
      <c r="EL5" s="868"/>
      <c r="EM5" s="868"/>
      <c r="EN5" s="868"/>
      <c r="EO5" s="869"/>
      <c r="EP5" s="868" t="s">
        <v>1235</v>
      </c>
      <c r="EQ5" s="868"/>
      <c r="ER5" s="868"/>
      <c r="ES5" s="868"/>
      <c r="ET5" s="868"/>
      <c r="EU5" s="868"/>
      <c r="EV5" s="868"/>
      <c r="EW5" s="868"/>
      <c r="EX5" s="869"/>
      <c r="EY5" s="868" t="s">
        <v>1236</v>
      </c>
      <c r="EZ5" s="868"/>
      <c r="FA5" s="868"/>
      <c r="FB5" s="868"/>
      <c r="FC5" s="868"/>
      <c r="FD5" s="868"/>
      <c r="FE5" s="868"/>
      <c r="FF5" s="868"/>
      <c r="FG5" s="869"/>
      <c r="FH5" s="868" t="s">
        <v>1237</v>
      </c>
      <c r="FI5" s="868"/>
      <c r="FJ5" s="868"/>
      <c r="FK5" s="868"/>
      <c r="FL5" s="868"/>
      <c r="FM5" s="868"/>
      <c r="FN5" s="868"/>
      <c r="FO5" s="868"/>
      <c r="FP5" s="869"/>
      <c r="FQ5" s="868" t="s">
        <v>1238</v>
      </c>
      <c r="FR5" s="868"/>
      <c r="FS5" s="868"/>
      <c r="FT5" s="868"/>
      <c r="FU5" s="868"/>
      <c r="FV5" s="868"/>
      <c r="FW5" s="868"/>
      <c r="FX5" s="868"/>
      <c r="FY5" s="869"/>
      <c r="FZ5" s="868" t="s">
        <v>1239</v>
      </c>
      <c r="GA5" s="868"/>
      <c r="GB5" s="868"/>
      <c r="GC5" s="868"/>
      <c r="GD5" s="868"/>
      <c r="GE5" s="868"/>
      <c r="GF5" s="868"/>
      <c r="GG5" s="868"/>
      <c r="GH5" s="869"/>
      <c r="GI5" s="867"/>
      <c r="GJ5" s="868" t="s">
        <v>1240</v>
      </c>
      <c r="GK5" s="868"/>
      <c r="GL5" s="868"/>
      <c r="GM5" s="868"/>
      <c r="GN5" s="868"/>
      <c r="GO5" s="868"/>
      <c r="GP5" s="868"/>
      <c r="GQ5" s="868"/>
      <c r="GR5" s="869"/>
      <c r="GS5" s="868" t="s">
        <v>1241</v>
      </c>
      <c r="GT5" s="868"/>
      <c r="GU5" s="868"/>
      <c r="GV5" s="868"/>
      <c r="GW5" s="868"/>
      <c r="GX5" s="868"/>
      <c r="GY5" s="868"/>
      <c r="GZ5" s="868"/>
      <c r="HA5" s="869"/>
      <c r="HB5" s="868" t="s">
        <v>1242</v>
      </c>
      <c r="HC5" s="868"/>
      <c r="HD5" s="868"/>
      <c r="HE5" s="868"/>
      <c r="HF5" s="868"/>
      <c r="HG5" s="868"/>
      <c r="HH5" s="868"/>
      <c r="HI5" s="868"/>
      <c r="HJ5" s="869"/>
      <c r="HK5" s="868" t="s">
        <v>1243</v>
      </c>
      <c r="HL5" s="868"/>
      <c r="HM5" s="868"/>
      <c r="HN5" s="868"/>
      <c r="HO5" s="868"/>
      <c r="HP5" s="868"/>
      <c r="HQ5" s="868"/>
      <c r="HR5" s="868"/>
      <c r="HS5" s="869"/>
      <c r="HT5" s="868" t="s">
        <v>1391</v>
      </c>
      <c r="HU5" s="868"/>
      <c r="HV5" s="868"/>
      <c r="HW5" s="868"/>
      <c r="HX5" s="868"/>
      <c r="HY5" s="868"/>
      <c r="HZ5" s="868"/>
      <c r="IA5" s="868"/>
      <c r="IB5" s="869"/>
      <c r="IC5" s="868" t="s">
        <v>1390</v>
      </c>
      <c r="ID5" s="868"/>
      <c r="IE5" s="868"/>
      <c r="IF5" s="868"/>
      <c r="IG5" s="868"/>
      <c r="IH5" s="868"/>
      <c r="II5" s="868"/>
      <c r="IJ5" s="868"/>
      <c r="IL5" s="868" t="s">
        <v>1244</v>
      </c>
      <c r="IM5" s="868"/>
      <c r="IN5" s="868"/>
      <c r="IO5" s="868"/>
      <c r="IP5" s="868"/>
      <c r="IQ5" s="868"/>
      <c r="IR5" s="868"/>
      <c r="IS5" s="868"/>
      <c r="IT5" s="869"/>
      <c r="IU5" s="868" t="s">
        <v>1245</v>
      </c>
      <c r="IV5" s="868"/>
      <c r="IW5" s="868"/>
      <c r="IX5" s="868"/>
      <c r="IY5" s="868"/>
      <c r="IZ5" s="868"/>
      <c r="JA5" s="868"/>
      <c r="JB5" s="868"/>
      <c r="JC5" s="869"/>
      <c r="JD5" s="868" t="s">
        <v>1246</v>
      </c>
      <c r="JE5" s="868"/>
      <c r="JF5" s="868"/>
      <c r="JG5" s="868"/>
      <c r="JH5" s="868"/>
      <c r="JI5" s="868"/>
      <c r="JJ5" s="868"/>
      <c r="JK5" s="868"/>
      <c r="JL5" s="869"/>
      <c r="JM5" s="868" t="s">
        <v>1247</v>
      </c>
      <c r="JN5" s="868"/>
      <c r="JO5" s="868"/>
      <c r="JP5" s="868"/>
      <c r="JQ5" s="868"/>
      <c r="JR5" s="868"/>
      <c r="JS5" s="868"/>
      <c r="JT5" s="868"/>
      <c r="JU5" s="869"/>
      <c r="JV5" s="868" t="s">
        <v>1248</v>
      </c>
      <c r="JW5" s="868"/>
      <c r="JX5" s="868"/>
      <c r="JY5" s="868"/>
      <c r="JZ5" s="868"/>
      <c r="KA5" s="868"/>
      <c r="KB5" s="868"/>
      <c r="KC5" s="868"/>
      <c r="KD5" s="869"/>
      <c r="KE5" s="868" t="s">
        <v>1249</v>
      </c>
      <c r="KF5" s="868"/>
      <c r="KG5" s="868"/>
      <c r="KH5" s="868"/>
      <c r="KI5" s="868"/>
      <c r="KJ5" s="868"/>
      <c r="KK5" s="868"/>
      <c r="KL5" s="868"/>
      <c r="KM5" s="869"/>
      <c r="KN5" s="868" t="s">
        <v>1250</v>
      </c>
      <c r="KO5" s="868"/>
      <c r="KP5" s="868"/>
      <c r="KQ5" s="868"/>
      <c r="KR5" s="868"/>
      <c r="KS5" s="868"/>
      <c r="KT5" s="868"/>
      <c r="KU5" s="868"/>
      <c r="KV5" s="870"/>
      <c r="KX5" s="868"/>
    </row>
    <row r="6" spans="1:310">
      <c r="D6" s="868" t="str">
        <f>"(All figures in "&amp;I2&amp;" millions)"</f>
        <v>(All figures in USD millions)</v>
      </c>
      <c r="E6" s="871">
        <f ca="1">TODAY()</f>
        <v>46010</v>
      </c>
      <c r="F6" s="868" t="s">
        <v>1251</v>
      </c>
      <c r="G6" s="868" t="s">
        <v>1252</v>
      </c>
      <c r="H6" s="868" t="s">
        <v>465</v>
      </c>
      <c r="I6" s="868" t="s">
        <v>469</v>
      </c>
      <c r="J6" s="868" t="s">
        <v>592</v>
      </c>
      <c r="K6" s="867" t="s">
        <v>591</v>
      </c>
      <c r="L6" s="868" t="s">
        <v>574</v>
      </c>
      <c r="O6" s="868" t="s">
        <v>592</v>
      </c>
      <c r="P6" s="869"/>
      <c r="Q6" s="868" t="s">
        <v>1253</v>
      </c>
      <c r="R6" s="868" t="s">
        <v>534</v>
      </c>
      <c r="S6" s="869"/>
      <c r="T6" s="868" t="s">
        <v>1255</v>
      </c>
      <c r="U6" s="868" t="s">
        <v>1256</v>
      </c>
      <c r="V6" s="868" t="s">
        <v>1257</v>
      </c>
      <c r="W6" s="868" t="s">
        <v>1258</v>
      </c>
      <c r="X6" s="868" t="s">
        <v>534</v>
      </c>
      <c r="Y6" s="868" t="s">
        <v>1153</v>
      </c>
      <c r="Z6" s="868" t="s">
        <v>1165</v>
      </c>
      <c r="AA6" s="868" t="s">
        <v>1166</v>
      </c>
      <c r="AB6" s="869"/>
      <c r="AC6" s="868" t="s">
        <v>1259</v>
      </c>
      <c r="AD6" s="868" t="s">
        <v>1260</v>
      </c>
      <c r="AE6" s="868" t="s">
        <v>1261</v>
      </c>
      <c r="AF6" s="868" t="s">
        <v>1262</v>
      </c>
      <c r="AG6" s="868" t="s">
        <v>534</v>
      </c>
      <c r="AH6" s="868" t="s">
        <v>1263</v>
      </c>
      <c r="AI6" s="868" t="s">
        <v>1264</v>
      </c>
      <c r="AJ6" s="868" t="s">
        <v>1265</v>
      </c>
      <c r="AK6" s="869"/>
      <c r="AL6" s="868" t="s">
        <v>1255</v>
      </c>
      <c r="AM6" s="868" t="s">
        <v>1256</v>
      </c>
      <c r="AN6" s="868" t="s">
        <v>1257</v>
      </c>
      <c r="AO6" s="868" t="s">
        <v>1258</v>
      </c>
      <c r="AP6" s="868" t="s">
        <v>534</v>
      </c>
      <c r="AQ6" s="868" t="s">
        <v>1153</v>
      </c>
      <c r="AR6" s="868" t="s">
        <v>1165</v>
      </c>
      <c r="AS6" s="868" t="s">
        <v>1166</v>
      </c>
      <c r="AT6" s="869"/>
      <c r="AU6" s="868" t="s">
        <v>1259</v>
      </c>
      <c r="AV6" s="868" t="s">
        <v>1260</v>
      </c>
      <c r="AW6" s="868" t="s">
        <v>1261</v>
      </c>
      <c r="AX6" s="868" t="s">
        <v>1262</v>
      </c>
      <c r="AY6" s="868" t="s">
        <v>534</v>
      </c>
      <c r="AZ6" s="868" t="s">
        <v>1263</v>
      </c>
      <c r="BA6" s="868" t="s">
        <v>1264</v>
      </c>
      <c r="BB6" s="868" t="s">
        <v>1265</v>
      </c>
      <c r="BC6" s="869"/>
      <c r="BD6" s="868" t="s">
        <v>1255</v>
      </c>
      <c r="BE6" s="868" t="s">
        <v>1256</v>
      </c>
      <c r="BF6" s="868" t="s">
        <v>1257</v>
      </c>
      <c r="BG6" s="868" t="s">
        <v>1258</v>
      </c>
      <c r="BH6" s="868" t="s">
        <v>534</v>
      </c>
      <c r="BI6" s="868" t="s">
        <v>1153</v>
      </c>
      <c r="BJ6" s="868" t="s">
        <v>1165</v>
      </c>
      <c r="BK6" s="868" t="s">
        <v>1166</v>
      </c>
      <c r="BL6" s="869"/>
      <c r="BM6" s="868" t="s">
        <v>1259</v>
      </c>
      <c r="BN6" s="868" t="s">
        <v>1260</v>
      </c>
      <c r="BO6" s="868" t="s">
        <v>1261</v>
      </c>
      <c r="BP6" s="868" t="s">
        <v>1262</v>
      </c>
      <c r="BQ6" s="868" t="s">
        <v>534</v>
      </c>
      <c r="BR6" s="868" t="s">
        <v>1263</v>
      </c>
      <c r="BS6" s="868" t="s">
        <v>1264</v>
      </c>
      <c r="BT6" s="868" t="s">
        <v>1265</v>
      </c>
      <c r="BU6" s="869"/>
      <c r="BV6" s="868" t="s">
        <v>1255</v>
      </c>
      <c r="BW6" s="868" t="s">
        <v>1256</v>
      </c>
      <c r="BX6" s="868" t="s">
        <v>1257</v>
      </c>
      <c r="BY6" s="868" t="s">
        <v>1258</v>
      </c>
      <c r="BZ6" s="868" t="s">
        <v>534</v>
      </c>
      <c r="CA6" s="868" t="s">
        <v>1153</v>
      </c>
      <c r="CB6" s="868" t="s">
        <v>1165</v>
      </c>
      <c r="CC6" s="868" t="s">
        <v>1166</v>
      </c>
      <c r="CD6" s="869"/>
      <c r="CE6" s="868" t="s">
        <v>1259</v>
      </c>
      <c r="CF6" s="868" t="s">
        <v>1260</v>
      </c>
      <c r="CG6" s="868" t="s">
        <v>1261</v>
      </c>
      <c r="CH6" s="868" t="s">
        <v>1262</v>
      </c>
      <c r="CI6" s="868" t="s">
        <v>534</v>
      </c>
      <c r="CJ6" s="868" t="s">
        <v>1263</v>
      </c>
      <c r="CK6" s="868" t="s">
        <v>1264</v>
      </c>
      <c r="CL6" s="868" t="s">
        <v>1265</v>
      </c>
      <c r="CM6" s="869"/>
      <c r="CN6" s="868" t="s">
        <v>1255</v>
      </c>
      <c r="CO6" s="868" t="s">
        <v>1256</v>
      </c>
      <c r="CP6" s="868" t="s">
        <v>1257</v>
      </c>
      <c r="CQ6" s="868" t="s">
        <v>1258</v>
      </c>
      <c r="CR6" s="868" t="s">
        <v>534</v>
      </c>
      <c r="CS6" s="868" t="s">
        <v>1153</v>
      </c>
      <c r="CT6" s="868" t="s">
        <v>1165</v>
      </c>
      <c r="CU6" s="868" t="s">
        <v>1166</v>
      </c>
      <c r="CV6" s="869"/>
      <c r="CW6" s="868" t="s">
        <v>1255</v>
      </c>
      <c r="CX6" s="868" t="s">
        <v>1256</v>
      </c>
      <c r="CY6" s="868" t="s">
        <v>1257</v>
      </c>
      <c r="CZ6" s="868" t="s">
        <v>1258</v>
      </c>
      <c r="DA6" s="868" t="s">
        <v>534</v>
      </c>
      <c r="DB6" s="868" t="s">
        <v>1153</v>
      </c>
      <c r="DC6" s="868" t="s">
        <v>1165</v>
      </c>
      <c r="DD6" s="868" t="s">
        <v>1166</v>
      </c>
      <c r="DE6" s="869"/>
      <c r="DF6" s="868" t="s">
        <v>1259</v>
      </c>
      <c r="DG6" s="868" t="s">
        <v>1260</v>
      </c>
      <c r="DH6" s="868" t="s">
        <v>1261</v>
      </c>
      <c r="DI6" s="868" t="s">
        <v>1262</v>
      </c>
      <c r="DJ6" s="868" t="s">
        <v>534</v>
      </c>
      <c r="DK6" s="868" t="s">
        <v>1263</v>
      </c>
      <c r="DL6" s="868" t="s">
        <v>1264</v>
      </c>
      <c r="DM6" s="868" t="s">
        <v>1265</v>
      </c>
      <c r="DN6" s="869"/>
      <c r="DO6" s="868" t="s">
        <v>1255</v>
      </c>
      <c r="DP6" s="868" t="s">
        <v>1256</v>
      </c>
      <c r="DQ6" s="868" t="s">
        <v>1257</v>
      </c>
      <c r="DR6" s="868" t="s">
        <v>1258</v>
      </c>
      <c r="DS6" s="868" t="s">
        <v>534</v>
      </c>
      <c r="DT6" s="868" t="s">
        <v>1153</v>
      </c>
      <c r="DU6" s="868" t="s">
        <v>1165</v>
      </c>
      <c r="DV6" s="868" t="s">
        <v>1166</v>
      </c>
      <c r="DW6" s="869"/>
      <c r="DX6" s="868" t="s">
        <v>1259</v>
      </c>
      <c r="DY6" s="868" t="s">
        <v>1260</v>
      </c>
      <c r="DZ6" s="868" t="s">
        <v>1261</v>
      </c>
      <c r="EA6" s="868" t="s">
        <v>1262</v>
      </c>
      <c r="EB6" s="868" t="s">
        <v>534</v>
      </c>
      <c r="EC6" s="868" t="s">
        <v>1263</v>
      </c>
      <c r="ED6" s="868" t="s">
        <v>1264</v>
      </c>
      <c r="EE6" s="868" t="s">
        <v>1265</v>
      </c>
      <c r="EF6" s="869"/>
      <c r="EG6" s="868" t="s">
        <v>1255</v>
      </c>
      <c r="EH6" s="868" t="s">
        <v>1256</v>
      </c>
      <c r="EI6" s="868" t="s">
        <v>1257</v>
      </c>
      <c r="EJ6" s="868" t="s">
        <v>1258</v>
      </c>
      <c r="EK6" s="868" t="s">
        <v>534</v>
      </c>
      <c r="EL6" s="868" t="s">
        <v>1153</v>
      </c>
      <c r="EM6" s="868" t="s">
        <v>1165</v>
      </c>
      <c r="EN6" s="868" t="s">
        <v>1166</v>
      </c>
      <c r="EO6" s="869"/>
      <c r="EP6" s="868" t="s">
        <v>1259</v>
      </c>
      <c r="EQ6" s="868" t="s">
        <v>1260</v>
      </c>
      <c r="ER6" s="868" t="s">
        <v>1261</v>
      </c>
      <c r="ES6" s="868" t="s">
        <v>1262</v>
      </c>
      <c r="ET6" s="868" t="s">
        <v>534</v>
      </c>
      <c r="EU6" s="868" t="s">
        <v>1263</v>
      </c>
      <c r="EV6" s="868" t="s">
        <v>1264</v>
      </c>
      <c r="EW6" s="868" t="s">
        <v>1265</v>
      </c>
      <c r="EX6" s="869"/>
      <c r="EY6" s="868" t="s">
        <v>1255</v>
      </c>
      <c r="EZ6" s="868" t="s">
        <v>1256</v>
      </c>
      <c r="FA6" s="868" t="s">
        <v>1257</v>
      </c>
      <c r="FB6" s="868" t="s">
        <v>1258</v>
      </c>
      <c r="FC6" s="868" t="s">
        <v>534</v>
      </c>
      <c r="FD6" s="868" t="s">
        <v>1153</v>
      </c>
      <c r="FE6" s="868" t="s">
        <v>1165</v>
      </c>
      <c r="FF6" s="868" t="s">
        <v>1166</v>
      </c>
      <c r="FG6" s="869"/>
      <c r="FH6" s="868" t="s">
        <v>1259</v>
      </c>
      <c r="FI6" s="868" t="s">
        <v>1260</v>
      </c>
      <c r="FJ6" s="868" t="s">
        <v>1261</v>
      </c>
      <c r="FK6" s="868" t="s">
        <v>1262</v>
      </c>
      <c r="FL6" s="868" t="s">
        <v>534</v>
      </c>
      <c r="FM6" s="868" t="s">
        <v>1263</v>
      </c>
      <c r="FN6" s="868" t="s">
        <v>1264</v>
      </c>
      <c r="FO6" s="868" t="s">
        <v>1265</v>
      </c>
      <c r="FP6" s="869"/>
      <c r="FQ6" s="868" t="s">
        <v>1255</v>
      </c>
      <c r="FR6" s="868" t="s">
        <v>1256</v>
      </c>
      <c r="FS6" s="868" t="s">
        <v>1257</v>
      </c>
      <c r="FT6" s="868" t="s">
        <v>1258</v>
      </c>
      <c r="FU6" s="868" t="s">
        <v>534</v>
      </c>
      <c r="FV6" s="868" t="s">
        <v>1153</v>
      </c>
      <c r="FW6" s="868" t="s">
        <v>1165</v>
      </c>
      <c r="FX6" s="868" t="s">
        <v>1166</v>
      </c>
      <c r="FY6" s="869"/>
      <c r="FZ6" s="868" t="s">
        <v>1259</v>
      </c>
      <c r="GA6" s="868" t="s">
        <v>1260</v>
      </c>
      <c r="GB6" s="868" t="s">
        <v>1261</v>
      </c>
      <c r="GC6" s="868" t="s">
        <v>1262</v>
      </c>
      <c r="GD6" s="868" t="s">
        <v>534</v>
      </c>
      <c r="GE6" s="868" t="s">
        <v>1263</v>
      </c>
      <c r="GF6" s="868" t="s">
        <v>1264</v>
      </c>
      <c r="GG6" s="868" t="s">
        <v>1265</v>
      </c>
      <c r="GH6" s="869"/>
      <c r="GI6" s="869"/>
      <c r="GJ6" s="868" t="s">
        <v>1255</v>
      </c>
      <c r="GK6" s="868" t="s">
        <v>1256</v>
      </c>
      <c r="GL6" s="868" t="s">
        <v>1257</v>
      </c>
      <c r="GM6" s="868" t="s">
        <v>1258</v>
      </c>
      <c r="GN6" s="868" t="s">
        <v>534</v>
      </c>
      <c r="GO6" s="868" t="s">
        <v>1153</v>
      </c>
      <c r="GP6" s="868" t="s">
        <v>1165</v>
      </c>
      <c r="GQ6" s="868" t="s">
        <v>1166</v>
      </c>
      <c r="GR6" s="869"/>
      <c r="GS6" s="868" t="s">
        <v>1259</v>
      </c>
      <c r="GT6" s="868" t="s">
        <v>1260</v>
      </c>
      <c r="GU6" s="868" t="s">
        <v>1261</v>
      </c>
      <c r="GV6" s="868" t="s">
        <v>1262</v>
      </c>
      <c r="GW6" s="868" t="s">
        <v>534</v>
      </c>
      <c r="GX6" s="868" t="s">
        <v>1263</v>
      </c>
      <c r="GY6" s="868" t="s">
        <v>1264</v>
      </c>
      <c r="GZ6" s="868" t="s">
        <v>1265</v>
      </c>
      <c r="HA6" s="869"/>
      <c r="HB6" s="868" t="s">
        <v>1255</v>
      </c>
      <c r="HC6" s="868" t="s">
        <v>1256</v>
      </c>
      <c r="HD6" s="868" t="s">
        <v>1257</v>
      </c>
      <c r="HE6" s="868" t="s">
        <v>1258</v>
      </c>
      <c r="HF6" s="868" t="s">
        <v>534</v>
      </c>
      <c r="HG6" s="868" t="s">
        <v>1153</v>
      </c>
      <c r="HH6" s="868" t="s">
        <v>1165</v>
      </c>
      <c r="HI6" s="868" t="s">
        <v>1166</v>
      </c>
      <c r="HJ6" s="869"/>
      <c r="HK6" s="868" t="s">
        <v>1259</v>
      </c>
      <c r="HL6" s="868" t="s">
        <v>1260</v>
      </c>
      <c r="HM6" s="868" t="s">
        <v>1261</v>
      </c>
      <c r="HN6" s="868" t="s">
        <v>1262</v>
      </c>
      <c r="HO6" s="868" t="s">
        <v>534</v>
      </c>
      <c r="HP6" s="868" t="s">
        <v>1263</v>
      </c>
      <c r="HQ6" s="868" t="s">
        <v>1264</v>
      </c>
      <c r="HR6" s="868" t="s">
        <v>1265</v>
      </c>
      <c r="HS6" s="869"/>
      <c r="HT6" s="868" t="s">
        <v>1255</v>
      </c>
      <c r="HU6" s="868" t="s">
        <v>1256</v>
      </c>
      <c r="HV6" s="868" t="s">
        <v>1257</v>
      </c>
      <c r="HW6" s="868" t="s">
        <v>1258</v>
      </c>
      <c r="HX6" s="868" t="s">
        <v>534</v>
      </c>
      <c r="HY6" s="868" t="s">
        <v>1153</v>
      </c>
      <c r="HZ6" s="868" t="s">
        <v>1165</v>
      </c>
      <c r="IA6" s="868" t="s">
        <v>1166</v>
      </c>
      <c r="IB6" s="869"/>
      <c r="IC6" s="868" t="s">
        <v>1259</v>
      </c>
      <c r="ID6" s="868" t="s">
        <v>1260</v>
      </c>
      <c r="IE6" s="868" t="s">
        <v>1261</v>
      </c>
      <c r="IF6" s="868" t="s">
        <v>1262</v>
      </c>
      <c r="IG6" s="868" t="s">
        <v>534</v>
      </c>
      <c r="IH6" s="868" t="s">
        <v>1263</v>
      </c>
      <c r="II6" s="868" t="s">
        <v>1264</v>
      </c>
      <c r="IJ6" s="868" t="s">
        <v>1265</v>
      </c>
      <c r="IL6" s="868" t="s">
        <v>1254</v>
      </c>
      <c r="IM6" s="868" t="s">
        <v>1255</v>
      </c>
      <c r="IN6" s="868" t="s">
        <v>1256</v>
      </c>
      <c r="IO6" s="868" t="s">
        <v>1257</v>
      </c>
      <c r="IP6" s="868" t="s">
        <v>534</v>
      </c>
      <c r="IQ6" s="868" t="s">
        <v>1153</v>
      </c>
      <c r="IR6" s="868" t="s">
        <v>1258</v>
      </c>
      <c r="IS6" s="868" t="s">
        <v>1165</v>
      </c>
      <c r="IT6" s="869"/>
      <c r="IU6" s="868" t="s">
        <v>1259</v>
      </c>
      <c r="IV6" s="868" t="s">
        <v>1260</v>
      </c>
      <c r="IW6" s="868" t="s">
        <v>1261</v>
      </c>
      <c r="IX6" s="868" t="s">
        <v>1262</v>
      </c>
      <c r="IY6" s="868" t="s">
        <v>534</v>
      </c>
      <c r="IZ6" s="868" t="s">
        <v>1263</v>
      </c>
      <c r="JA6" s="868" t="s">
        <v>1264</v>
      </c>
      <c r="JB6" s="868" t="s">
        <v>1265</v>
      </c>
      <c r="JC6" s="869"/>
      <c r="JD6" s="868" t="s">
        <v>1266</v>
      </c>
      <c r="JE6" s="868" t="s">
        <v>1267</v>
      </c>
      <c r="JF6" s="868" t="s">
        <v>1268</v>
      </c>
      <c r="JG6" s="868" t="s">
        <v>1269</v>
      </c>
      <c r="JH6" s="868" t="s">
        <v>1270</v>
      </c>
      <c r="JI6" s="868" t="s">
        <v>534</v>
      </c>
      <c r="JJ6" s="868" t="s">
        <v>1271</v>
      </c>
      <c r="JK6" s="868" t="s">
        <v>1272</v>
      </c>
      <c r="JL6" s="869"/>
      <c r="JM6" s="868" t="s">
        <v>1266</v>
      </c>
      <c r="JN6" s="868" t="s">
        <v>1267</v>
      </c>
      <c r="JO6" s="868" t="s">
        <v>1268</v>
      </c>
      <c r="JP6" s="868" t="s">
        <v>1269</v>
      </c>
      <c r="JQ6" s="868" t="s">
        <v>1270</v>
      </c>
      <c r="JR6" s="868" t="s">
        <v>534</v>
      </c>
      <c r="JS6" s="868" t="s">
        <v>1271</v>
      </c>
      <c r="JT6" s="868" t="s">
        <v>1272</v>
      </c>
      <c r="JU6" s="869"/>
      <c r="JV6" s="868" t="s">
        <v>1266</v>
      </c>
      <c r="JW6" s="868" t="s">
        <v>1267</v>
      </c>
      <c r="JX6" s="868" t="s">
        <v>1268</v>
      </c>
      <c r="JY6" s="868" t="s">
        <v>1269</v>
      </c>
      <c r="JZ6" s="868" t="s">
        <v>1270</v>
      </c>
      <c r="KA6" s="868" t="s">
        <v>534</v>
      </c>
      <c r="KB6" s="868" t="s">
        <v>1271</v>
      </c>
      <c r="KC6" s="868" t="s">
        <v>1272</v>
      </c>
      <c r="KD6" s="869"/>
      <c r="KE6" s="868" t="s">
        <v>1266</v>
      </c>
      <c r="KF6" s="868" t="s">
        <v>1267</v>
      </c>
      <c r="KG6" s="868" t="s">
        <v>1268</v>
      </c>
      <c r="KH6" s="868" t="s">
        <v>1269</v>
      </c>
      <c r="KI6" s="868" t="s">
        <v>1270</v>
      </c>
      <c r="KJ6" s="868" t="s">
        <v>534</v>
      </c>
      <c r="KK6" s="868" t="s">
        <v>1271</v>
      </c>
      <c r="KL6" s="868" t="s">
        <v>1272</v>
      </c>
      <c r="KM6" s="869"/>
      <c r="KN6" s="868" t="s">
        <v>1266</v>
      </c>
      <c r="KO6" s="868" t="s">
        <v>1267</v>
      </c>
      <c r="KP6" s="868" t="s">
        <v>1268</v>
      </c>
      <c r="KQ6" s="868" t="s">
        <v>1269</v>
      </c>
      <c r="KR6" s="868" t="s">
        <v>1270</v>
      </c>
      <c r="KS6" s="868" t="s">
        <v>534</v>
      </c>
      <c r="KT6" s="868" t="s">
        <v>1271</v>
      </c>
      <c r="KU6" s="868" t="s">
        <v>1272</v>
      </c>
      <c r="KV6" s="872"/>
      <c r="KX6" s="868" t="s">
        <v>1273</v>
      </c>
    </row>
    <row r="7" spans="1:310" ht="5.2" customHeight="1"/>
    <row r="8" spans="1:310">
      <c r="B8" s="873" t="s">
        <v>14</v>
      </c>
      <c r="C8" s="874" t="s">
        <v>1274</v>
      </c>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c r="AJ8" s="874"/>
      <c r="AK8" s="874"/>
      <c r="AL8" s="874"/>
      <c r="AM8" s="874"/>
      <c r="AN8" s="874"/>
      <c r="AO8" s="874"/>
      <c r="AP8" s="874"/>
      <c r="AQ8" s="874"/>
      <c r="AR8" s="874"/>
      <c r="AS8" s="874"/>
      <c r="AT8" s="874"/>
      <c r="AU8" s="874"/>
      <c r="AV8" s="874"/>
      <c r="AW8" s="874"/>
      <c r="AX8" s="874"/>
      <c r="AY8" s="874"/>
      <c r="AZ8" s="874"/>
      <c r="BA8" s="874"/>
      <c r="BB8" s="874"/>
      <c r="BC8" s="874"/>
      <c r="BD8" s="874"/>
      <c r="BE8" s="874"/>
      <c r="BF8" s="874"/>
      <c r="BG8" s="874"/>
      <c r="BH8" s="874"/>
      <c r="BI8" s="874"/>
      <c r="BJ8" s="874"/>
      <c r="BK8" s="874"/>
      <c r="BL8" s="874"/>
      <c r="BM8" s="874"/>
      <c r="BN8" s="874"/>
      <c r="BO8" s="874"/>
      <c r="BP8" s="874"/>
      <c r="BQ8" s="874"/>
      <c r="BR8" s="874"/>
      <c r="BS8" s="874"/>
      <c r="BT8" s="874"/>
      <c r="BU8" s="874"/>
      <c r="BV8" s="874"/>
      <c r="BW8" s="874"/>
      <c r="BX8" s="874"/>
      <c r="BY8" s="874"/>
      <c r="BZ8" s="874"/>
      <c r="CA8" s="874"/>
      <c r="CB8" s="874"/>
      <c r="CC8" s="874"/>
      <c r="CD8" s="874"/>
      <c r="CE8" s="874"/>
      <c r="CF8" s="874"/>
      <c r="CG8" s="874"/>
      <c r="CH8" s="874"/>
      <c r="CI8" s="874"/>
      <c r="CJ8" s="874"/>
      <c r="CK8" s="874"/>
      <c r="CL8" s="874"/>
      <c r="CM8" s="874"/>
      <c r="CN8" s="874"/>
      <c r="CO8" s="874"/>
      <c r="CP8" s="874"/>
      <c r="CQ8" s="874"/>
      <c r="CR8" s="874"/>
      <c r="CS8" s="874"/>
      <c r="CT8" s="874"/>
      <c r="CU8" s="874"/>
      <c r="CV8" s="874"/>
      <c r="CW8" s="874"/>
      <c r="CX8" s="874"/>
      <c r="CY8" s="874"/>
      <c r="CZ8" s="874"/>
      <c r="DA8" s="874"/>
      <c r="DB8" s="874"/>
      <c r="DC8" s="874"/>
      <c r="DD8" s="874"/>
      <c r="DE8" s="874"/>
      <c r="DF8" s="874"/>
      <c r="DG8" s="874"/>
      <c r="DH8" s="874"/>
      <c r="DI8" s="874"/>
      <c r="DJ8" s="874"/>
      <c r="DK8" s="874"/>
      <c r="DL8" s="874"/>
      <c r="DM8" s="874"/>
      <c r="DN8" s="874"/>
      <c r="DO8" s="874"/>
      <c r="DP8" s="874"/>
      <c r="DQ8" s="874"/>
      <c r="DR8" s="874"/>
      <c r="DS8" s="874"/>
      <c r="DT8" s="874"/>
      <c r="DU8" s="874"/>
      <c r="DV8" s="874"/>
      <c r="DW8" s="874"/>
      <c r="DX8" s="874"/>
      <c r="DY8" s="874"/>
      <c r="DZ8" s="874"/>
      <c r="EA8" s="874"/>
      <c r="EB8" s="874"/>
      <c r="EC8" s="874"/>
      <c r="ED8" s="874"/>
      <c r="EE8" s="874"/>
      <c r="EF8" s="874"/>
      <c r="EG8" s="874"/>
      <c r="EH8" s="874"/>
      <c r="EI8" s="874"/>
      <c r="EJ8" s="874"/>
      <c r="EK8" s="874"/>
      <c r="EL8" s="874"/>
      <c r="EM8" s="874"/>
      <c r="EN8" s="874"/>
      <c r="EO8" s="874"/>
      <c r="EP8" s="874"/>
      <c r="EQ8" s="874"/>
      <c r="ER8" s="874"/>
      <c r="ES8" s="874"/>
      <c r="ET8" s="874"/>
      <c r="EU8" s="874"/>
      <c r="EV8" s="874"/>
      <c r="EW8" s="874"/>
      <c r="EX8" s="874"/>
      <c r="EY8" s="874"/>
      <c r="EZ8" s="874"/>
      <c r="FA8" s="874"/>
      <c r="FB8" s="874"/>
      <c r="FC8" s="874"/>
      <c r="FD8" s="874"/>
      <c r="FE8" s="874"/>
      <c r="FF8" s="874"/>
      <c r="FG8" s="874"/>
      <c r="FH8" s="874"/>
      <c r="FI8" s="874"/>
      <c r="FJ8" s="874"/>
      <c r="FK8" s="874"/>
      <c r="FL8" s="874"/>
      <c r="FM8" s="874"/>
      <c r="FN8" s="874"/>
      <c r="FO8" s="874"/>
      <c r="FP8" s="874"/>
      <c r="FQ8" s="874"/>
      <c r="FR8" s="874"/>
      <c r="FS8" s="874"/>
      <c r="FT8" s="874"/>
      <c r="FU8" s="874"/>
      <c r="FV8" s="874"/>
      <c r="FW8" s="874"/>
      <c r="FX8" s="874"/>
      <c r="FY8" s="874"/>
      <c r="FZ8" s="874"/>
      <c r="GA8" s="874"/>
      <c r="GB8" s="874"/>
      <c r="GC8" s="874"/>
      <c r="GD8" s="874"/>
      <c r="GE8" s="874"/>
      <c r="GF8" s="874"/>
      <c r="GG8" s="874"/>
      <c r="GH8" s="874"/>
      <c r="GI8" s="874"/>
      <c r="GJ8" s="874"/>
      <c r="GK8" s="874"/>
      <c r="GL8" s="874"/>
      <c r="GM8" s="874"/>
      <c r="GN8" s="874"/>
      <c r="GO8" s="874"/>
      <c r="GP8" s="874"/>
      <c r="GQ8" s="874"/>
      <c r="GR8" s="874"/>
      <c r="GS8" s="874"/>
      <c r="GT8" s="874"/>
      <c r="GU8" s="874"/>
      <c r="GV8" s="874"/>
      <c r="GW8" s="874"/>
      <c r="GX8" s="874"/>
      <c r="GY8" s="874"/>
      <c r="GZ8" s="874"/>
      <c r="HA8" s="874"/>
      <c r="HB8" s="874"/>
      <c r="HC8" s="874"/>
      <c r="HD8" s="874"/>
      <c r="HE8" s="874"/>
      <c r="HF8" s="874"/>
      <c r="HG8" s="874"/>
      <c r="HH8" s="874"/>
      <c r="HI8" s="874"/>
      <c r="HJ8" s="874"/>
      <c r="HK8" s="874"/>
      <c r="HL8" s="874"/>
      <c r="HM8" s="874"/>
      <c r="HN8" s="874"/>
      <c r="HO8" s="874"/>
      <c r="HP8" s="874"/>
      <c r="HQ8" s="874"/>
      <c r="HR8" s="874"/>
      <c r="HS8" s="874"/>
      <c r="HT8" s="874"/>
      <c r="HU8" s="874"/>
      <c r="HV8" s="874"/>
      <c r="HW8" s="874"/>
      <c r="HX8" s="874"/>
      <c r="HY8" s="874"/>
      <c r="HZ8" s="874"/>
      <c r="IA8" s="874"/>
      <c r="IB8" s="874"/>
      <c r="IC8" s="874"/>
      <c r="ID8" s="874"/>
      <c r="IE8" s="874"/>
      <c r="IF8" s="874"/>
      <c r="IG8" s="874"/>
      <c r="IH8" s="874"/>
      <c r="II8" s="874"/>
      <c r="IJ8" s="874"/>
      <c r="IL8" s="874"/>
      <c r="IM8" s="874"/>
      <c r="IN8" s="874"/>
      <c r="IO8" s="874"/>
      <c r="IP8" s="874"/>
      <c r="IQ8" s="874"/>
      <c r="IR8" s="874"/>
      <c r="IS8" s="874"/>
      <c r="IT8" s="874"/>
      <c r="IU8" s="874"/>
      <c r="IV8" s="874"/>
      <c r="IW8" s="874"/>
      <c r="IX8" s="874"/>
      <c r="IY8" s="874"/>
      <c r="IZ8" s="874"/>
      <c r="JA8" s="874"/>
      <c r="JB8" s="874"/>
      <c r="JC8" s="874"/>
      <c r="JD8" s="874"/>
      <c r="JE8" s="874"/>
      <c r="JF8" s="874"/>
      <c r="JG8" s="874"/>
      <c r="JH8" s="874"/>
      <c r="JI8" s="874"/>
      <c r="JJ8" s="874"/>
      <c r="JK8" s="874"/>
      <c r="JL8" s="874"/>
      <c r="JM8" s="874"/>
      <c r="JN8" s="874"/>
      <c r="JO8" s="874"/>
      <c r="JP8" s="874"/>
      <c r="JQ8" s="874"/>
      <c r="JR8" s="874"/>
      <c r="JS8" s="874"/>
      <c r="JT8" s="874"/>
      <c r="JU8" s="874"/>
      <c r="JV8" s="874"/>
      <c r="JW8" s="874"/>
      <c r="JX8" s="874"/>
      <c r="JY8" s="874"/>
      <c r="JZ8" s="874"/>
      <c r="KA8" s="874"/>
      <c r="KB8" s="874"/>
      <c r="KC8" s="874"/>
      <c r="KD8" s="874"/>
      <c r="KE8" s="874"/>
      <c r="KF8" s="874"/>
      <c r="KG8" s="874"/>
      <c r="KH8" s="874"/>
      <c r="KI8" s="874"/>
      <c r="KJ8" s="874"/>
      <c r="KK8" s="874"/>
      <c r="KL8" s="874"/>
      <c r="KM8" s="874"/>
      <c r="KN8" s="874"/>
      <c r="KO8" s="874"/>
      <c r="KP8" s="874"/>
      <c r="KQ8" s="874"/>
      <c r="KR8" s="874"/>
      <c r="KS8" s="874"/>
      <c r="KT8" s="874"/>
      <c r="KU8" s="874"/>
      <c r="KV8" s="874"/>
      <c r="KX8" s="874"/>
    </row>
    <row r="9" spans="1:310" ht="5.2" customHeight="1"/>
    <row r="10" spans="1:310" s="875" customFormat="1" hidden="1" outlineLevel="1">
      <c r="B10" s="876" t="s">
        <v>1275</v>
      </c>
      <c r="C10" s="877"/>
      <c r="D10" s="875" t="e">
        <f ca="1">_xll.TR($B10:$B27,"TR.CommonName","NULL=BLANK")</f>
        <v>#NAME?</v>
      </c>
      <c r="E10" s="878" t="e">
        <f ca="1">_xll.TR($B10:$B27,"TR.PriceClose","sdate=#1 Curn=#2 Null=Blank",,$E$6,$I$2)</f>
        <v>#NAME?</v>
      </c>
      <c r="F10" s="879" t="e">
        <f ca="1">_xll.TR($B10:$B27,"TR.CompanyMarketCap","Sdate=#1 Curn=#2 Scale=6 Null=Blank",,$E$6,$I$2)</f>
        <v>#NAME?</v>
      </c>
      <c r="G10" s="879" t="e">
        <f ca="1">_xll.TR($B10:$B27,"TR.EV","sdate=#1 Curn=#2 Scale=6 Null=Blank",,$E$6,$I$2)</f>
        <v>#NAME?</v>
      </c>
      <c r="H10" s="879" t="e">
        <f ca="1">_xll.TR($B10:$B27,"TR.NetDebtTot","sdate=#1 Curn=#2 Scale=6 Null=Blank",,$E$6,$I$2)</f>
        <v>#NAME?</v>
      </c>
      <c r="I10" s="879" t="e">
        <f ca="1">_xll.TR($B10:$B27,"TR.TotalEquity","sdate=#1 Curn=#2 Scale=6 Null=Blank",,$E$6,$I$2)</f>
        <v>#NAME?</v>
      </c>
      <c r="J10" s="880" t="e">
        <f ca="1">_xll.TR($B10:$B27,"TR.WACCBeta","sdate=#1 Curn=#2 Scale=6 Null=Blank",,$E$6,$I$2)</f>
        <v>#NAME?</v>
      </c>
      <c r="K10" s="880" t="e">
        <f ca="1">_xll.TR($B10:$B27,"TR.WACC","sdate=#1 Curn=#2 Scale=6 Null=Blank",,$E$6,$I$2)</f>
        <v>#NAME?</v>
      </c>
      <c r="L10" s="878" t="e">
        <f ca="1">_xll.TR($B10:$B27,"TR.WACCTaxRate","sdate=#1 Curn=#2 Scale=6 Null=Blank",,$E$6,$I$2)</f>
        <v>#NAME?</v>
      </c>
      <c r="M10" s="878"/>
      <c r="N10" s="878"/>
      <c r="O10" s="881"/>
      <c r="Q10" s="882" t="e">
        <f ca="1">_xll.TR($B10:$B27,"TR.NetIncomeAfterTaxes.PED","Period=FY0 SDate=#1 NULL=BLANK",,$E$6)</f>
        <v>#NAME?</v>
      </c>
      <c r="R10" s="882" t="e">
        <f ca="1">_xll.TR($B10:$B27,"TR.NetIncomeAfterTaxes.PED","Period=FI0 SDate=#1 NULL=BLANK",,$E$6)</f>
        <v>#NAME?</v>
      </c>
      <c r="S10" s="883"/>
      <c r="T10" s="884" t="e">
        <f ca="1">_xll.TR($B10:$B27,"TR.TotalRevenue","Scale=6 Sdate=#1 Period=#2 Curn=#3 NULL=BLANK",,$E$6,T$6,$I$2)</f>
        <v>#NAME?</v>
      </c>
      <c r="U10" s="885" t="e">
        <f ca="1">_xll.TR($B10:$B27,"TR.TotalRevenue","Scale=6 Sdate=#1 Period=#2 Curn=#3 NULL=BLANK",,$E$6,U$6,$I$2)</f>
        <v>#NAME?</v>
      </c>
      <c r="V10" s="885" t="e">
        <f ca="1">_xll.TR($B10:$B27,"TR.TotalRevenue","Scale=6 Sdate=#1 Period=#2 Curn=#3 NULL=BLANK",,$E$6,V$6,$I$2)</f>
        <v>#NAME?</v>
      </c>
      <c r="W10" s="885" t="e">
        <f ca="1">_xll.TR($B10:$B27,"TR.TotalRevenue","Scale=6 Sdate=#1 Period=#2 Curn=#3 NULL=BLANK",,$E$6,W$6,$I$2)</f>
        <v>#NAME?</v>
      </c>
      <c r="X10" s="885" t="e">
        <f ca="1">_xll.TR($B10:$B27,"AVAIL(TR.TotalRevenue(Methodology=InterimSum),TR.TotalRevenue(Period=FY0))","Scale=6 Sdate=#1 Curn=#2 Period=LTM NULL=BLANK",,$E$6,$I$2)</f>
        <v>#NAME?</v>
      </c>
      <c r="Y10" s="885" t="e">
        <f ca="1">_xll.TR($B10:$B27,"TR.RevenueMean","scale=6 Sdate=#1 Period=#2 Curn=#3 NULL=BLANK",,$E$6,Y$6,$I$2)</f>
        <v>#NAME?</v>
      </c>
      <c r="Z10" s="885" t="e">
        <f ca="1">_xll.TR($B10:$B27,"TR.RevenueMean","scale=6 Sdate=#1 Period=#2 Curn=#3 NULL=BLANK",,$E$6,Z$6,$I$2)</f>
        <v>#NAME?</v>
      </c>
      <c r="AA10" s="885" t="e">
        <f ca="1">_xll.TR($B10:$B27,"TR.RevenueMean","scale=6 Sdate=#1 Period=#2 Curn=#3 NULL=BLANK",,$E$6,AA$6,$I$2)</f>
        <v>#NAME?</v>
      </c>
      <c r="AB10" s="885"/>
      <c r="AC10" s="884" t="e">
        <f ca="1">_xll.TR($B10:$B27,"AVAIL(TR.TotalRevenue(Methodology=InterimSum),TR.TotalRevenue(Methodology=WeightedAnnual))","Scale=6 Sdate=#1 Period=#2 Curn=#3 NULL=BLANK",,$E$6,AC$6,$I$2)</f>
        <v>#NAME?</v>
      </c>
      <c r="AD10" s="885" t="e">
        <f ca="1">_xll.TR($B10:$B27,"AVAIL(TR.TotalRevenue(Methodology=InterimSum),TR.TotalRevenue(Methodology=WeightedAnnual))","Scale=6 Sdate=#1 Period=#2 Curn=#3 NULL=BLANK",,$E$6,AD$6,$I$2)</f>
        <v>#NAME?</v>
      </c>
      <c r="AE10" s="885" t="e">
        <f ca="1">_xll.TR($B10:$B27,"AVAIL(TR.TotalRevenue(Methodology=InterimSum),TR.TotalRevenue(Methodology=WeightedAnnual))","Scale=6 Sdate=#1 Period=#2 Curn=#3 NULL=BLANK",,$E$6,AE$6,$I$2)</f>
        <v>#NAME?</v>
      </c>
      <c r="AF10" s="885" t="e">
        <f ca="1">_xll.TR($B10:$B27,"AVAIL(TR.TotalRevenue(Methodology=InterimSum),TR.TotalRevenue(Methodology=WeightedAnnual))","Scale=6 Sdate=#1 Period=#2 Curn=#3 NULL=BLANK",,$E$6,AF$6,$I$2)</f>
        <v>#NAME?</v>
      </c>
      <c r="AG10" s="885" t="e">
        <f ca="1">_xll.TR($B10:$B27,"AVAIL(TR.TotalRevenue(Methodology=InterimSum),TR.TotalRevenue(Period=FY0))","Scale=6 Sdate=#1 Curn=#2 Period=LTM NULL=BLANK",,$E$6,$I$2)</f>
        <v>#NAME?</v>
      </c>
      <c r="AH10" s="885" t="e">
        <f ca="1">_xll.TR($B10:$B27,"Avail(TR.RevenueMean(Methodology=InterimSumblend),TR.RevenueMean(Methodology=WeightedAnnualblend))","scale=6 Sdate=#1 Period=#2 Curn=#3 NULL=BLANK",,$E$6,AH$6,$I$2)</f>
        <v>#NAME?</v>
      </c>
      <c r="AI10" s="885" t="e">
        <f ca="1">_xll.TR($B10:$B27,"Avail(TR.RevenueMean(Methodology=InterimSumblend),TR.RevenueMean(Methodology=WeightedAnnualblend))","scale=6 Sdate=#1 Period=#2 Curn=#3 NULL=BLANK",,$E$6,AI$6,$I$2)</f>
        <v>#NAME?</v>
      </c>
      <c r="AJ10" s="885" t="e">
        <f ca="1">_xll.TR($B10:$B27,"Avail(TR.RevenueMean(Methodology=InterimSumblend),TR.RevenueMean(Methodology=WeightedAnnualblend))","scale=6 Sdate=#1 Period=#2 Curn=#3 NULL=BLANK",,$E$6,AJ$6,$I$2)</f>
        <v>#NAME?</v>
      </c>
      <c r="AL10" s="885" t="e">
        <f ca="1">_xll.TR($B10:$B27,"TR.GrossProfit","Scale=6 Sdate=#1 Period=#2 Curn=#3 NULL=BLANK",,$E$6,AL$6,$I$2)</f>
        <v>#NAME?</v>
      </c>
      <c r="AM10" s="885" t="e">
        <f ca="1">_xll.TR($B10:$B27,"TR.GrossProfit","Scale=6 Sdate=#1 Period=#2 Curn=#3 NULL=BLANK",,$E$6,AM$6,$I$2)</f>
        <v>#NAME?</v>
      </c>
      <c r="AN10" s="885" t="e">
        <f ca="1">_xll.TR($B10:$B27,"TR.GrossProfit","Scale=6 Sdate=#1 Period=#2 Curn=#3 NULL=BLANK",,$E$6,AN$6,$I$2)</f>
        <v>#NAME?</v>
      </c>
      <c r="AO10" s="885" t="e">
        <f ca="1">_xll.TR($B10:$B27,"TR.GrossProfit","Scale=6 Sdate=#1 Period=#2 Curn=#3 NULL=BLANK",,$E$6,AO$6,$I$2)</f>
        <v>#NAME?</v>
      </c>
      <c r="AP10" s="885" t="e">
        <f ca="1">_xll.TR($B10:$B27,"AVAIL(TR.GrossProfit(Methodology=InterimSum),TR.GrossProfit(Period=FY0))","Scale=6 Sdate=#1 Curn=#2 Period=LTM NULL=BLANK",,$E$6,$I$2)</f>
        <v>#NAME?</v>
      </c>
      <c r="AQ10" s="885" t="e">
        <f ca="1">_xll.TR($B10:$B27,"TR.GrossIncomeMean","Scale=6 Sdate=#1 Period=#2 Curn=#3 NULL=BLANK",,$E$6,AQ$6,$I$2)</f>
        <v>#NAME?</v>
      </c>
      <c r="AR10" s="885" t="e">
        <f ca="1">_xll.TR($B10:$B27,"TR.GrossIncomeMean","Scale=6 Sdate=#1 Period=#2 Curn=#3 NULL=BLANK",,$E$6,AR$6,$I$2)</f>
        <v>#NAME?</v>
      </c>
      <c r="AS10" s="885" t="e">
        <f ca="1">_xll.TR($B10:$B27,"TR.GrossIncomeMean","Scale=6 Sdate=#1 Period=#2 Curn=#3 NULL=BLANK",,$E$6,AS$6,$I$2)</f>
        <v>#NAME?</v>
      </c>
      <c r="AT10" s="885"/>
      <c r="AU10" s="885" t="e">
        <f ca="1">_xll.TR($B10:$B27,"AVAIL(TR.GrossProfit(Methodology=InterimSum),TR.GrossProfit(Methodology=WeightedAnnual))","Scale=6 Sdate=#1 Period=#2 Curn=#3 NULL=BLANK",,$E$6,AU$6,$I$2)</f>
        <v>#NAME?</v>
      </c>
      <c r="AV10" s="885" t="e">
        <f ca="1">_xll.TR($B10:$B27,"AVAIL(TR.GrossProfit(Methodology=InterimSum),TR.GrossProfit(Methodology=WeightedAnnual))","Scale=6 Sdate=#1 Period=#2 Curn=#3 NULL=BLANK",,$E$6,AV$6,$I$2)</f>
        <v>#NAME?</v>
      </c>
      <c r="AW10" s="885" t="e">
        <f ca="1">_xll.TR($B10:$B27,"AVAIL(TR.GrossProfit(Methodology=InterimSum),TR.GrossProfit(Methodology=WeightedAnnual))","Scale=6 Sdate=#1 Period=#2 Curn=#3 NULL=BLANK",,$E$6,AW$6,$I$2)</f>
        <v>#NAME?</v>
      </c>
      <c r="AX10" s="885" t="e">
        <f ca="1">_xll.TR($B10:$B27,"AVAIL(TR.GrossProfit(Methodology=InterimSum),TR.GrossProfit(Methodology=WeightedAnnual))","Scale=6 Sdate=#1 Period=#2 Curn=#3 NULL=BLANK",,$E$6,AX$6,$I$2)</f>
        <v>#NAME?</v>
      </c>
      <c r="AY10" s="885" t="e">
        <f ca="1">_xll.TR($B10:$B27,"AVAIL(TR.GrossProfit(Methodology=InterimSum),TR.GrossProfit(Period=FY0))","Scale=6 Sdate=#1 Curn=#2 Period=LTM NULL=BLANK",,$E$6,$I$2)</f>
        <v>#NAME?</v>
      </c>
      <c r="AZ10" s="885" t="e">
        <f ca="1">_xll.TR($B10:$B27,"Avail(TR.GrossIncomeMean(Methodology=InterimSumblend),TR.GrossIncomeMean(Methodology=WeightedAnnualblend))","scale=6 Sdate=#1 Period=#2 Curn=#3 NULL=BLANK",,$E$6,AZ$6,$I$2)</f>
        <v>#NAME?</v>
      </c>
      <c r="BA10" s="885" t="e">
        <f ca="1">_xll.TR($B10:$B27,"Avail(TR.GrossIncomeMean(Methodology=InterimSumblend),TR.GrossIncomeMean(Methodology=WeightedAnnualblend))","scale=6 Sdate=#1 Period=#2 Curn=#3 NULL=BLANK",,$E$6,BA$6,$I$2)</f>
        <v>#NAME?</v>
      </c>
      <c r="BB10" s="885" t="e">
        <f ca="1">_xll.TR($B10:$B27,"Avail(TR.GrossIncomeMean(Methodology=InterimSumblend),TR.GrossIncomeMean(Methodology=WeightedAnnualblend))","scale=6 Sdate=#1 Period=#2 Curn=#3 NULL=BLANK",,$E$6,BB$6,$I$2)</f>
        <v>#NAME?</v>
      </c>
      <c r="BC10" s="884"/>
      <c r="BD10" s="885" t="e">
        <f ca="1">_xll.TR($B10:$B27,"TR.EBITDA","Scale=6 Sdate=#1 Period=#2 Curn=#3 NULL=BLANK",,$E$6,BD$6,$I$2)</f>
        <v>#NAME?</v>
      </c>
      <c r="BE10" s="885" t="e">
        <f ca="1">_xll.TR($B10:$B27,"TR.EBITDA","Scale=6 Sdate=#1 Period=#2 Curn=#3 NULL=BLANK",,$E$6,BE$6,$I$2)</f>
        <v>#NAME?</v>
      </c>
      <c r="BF10" s="885" t="e">
        <f ca="1">_xll.TR($B10:$B27,"TR.EBITDA","Scale=6 Sdate=#1 Period=#2 Curn=#3 NULL=BLANK",,$E$6,BF$6,$I$2)</f>
        <v>#NAME?</v>
      </c>
      <c r="BG10" s="885" t="e">
        <f ca="1">_xll.TR($B10:$B27,"TR.EBITDA","Scale=6 Sdate=#1 Period=#2 Curn=#3 NULL=BLANK",,$E$6,BG$6,$I$2)</f>
        <v>#NAME?</v>
      </c>
      <c r="BH10" s="885" t="e">
        <f ca="1">_xll.TR($B10:$B27,"AVAIL(TR.EBITDATTM,TR.EBITDA(Period=FY0))","Scale=6 Sdate=#1 Curn=#2 Period=LTM NULL=BLANK",,$E$6,$I$2)</f>
        <v>#NAME?</v>
      </c>
      <c r="BI10" s="885" t="e">
        <f ca="1">_xll.TR($B10:$B27,"TR.EBITDAMean","Scale=6 Sdate=#1 Period=#2 Curn=#3 NULL=BLANK",,$E$6,BI$6,$I$2)</f>
        <v>#NAME?</v>
      </c>
      <c r="BJ10" s="885" t="e">
        <f ca="1">_xll.TR($B10:$B27,"TR.EBITDAMean","Scale=6 Sdate=#1 Period=#2 Curn=#3 NULL=BLANK",,$E$6,BJ$6,$I$2)</f>
        <v>#NAME?</v>
      </c>
      <c r="BK10" s="885" t="e">
        <f ca="1">_xll.TR($B10:$B27,"TR.EBITDAMean","Scale=6 Sdate=#1 Period=#2 Curn=#3 NULL=BLANK",,$E$6,BK$6,$I$2)</f>
        <v>#NAME?</v>
      </c>
      <c r="BL10" s="885"/>
      <c r="BM10" s="885" t="e">
        <f ca="1">_xll.TR($B10:$B27,"AVAIL(TR.NormalizedEBITDA(Methodology=InterimSum),TR.NormalizedEBITDA(Methodology=WeightedAnnual))","Scale=6 Sdate=#1 Period=#2 Curn=#3 NULL=BLANK",,$E$6,BM$6,$I$2)</f>
        <v>#NAME?</v>
      </c>
      <c r="BN10" s="885" t="e">
        <f ca="1">_xll.TR($B10:$B27,"AVAIL(TR.NormalizedEBITDA(Methodology=InterimSum),TR.NormalizedEBITDA(Methodology=WeightedAnnual))","Scale=6 Sdate=#1 Period=#2 Curn=#3 NULL=BLANK",,$E$6,BN$6,$I$2)</f>
        <v>#NAME?</v>
      </c>
      <c r="BO10" s="885" t="e">
        <f ca="1">_xll.TR($B10:$B27,"AVAIL(TR.NormalizedEBITDA(Methodology=InterimSum),TR.NormalizedEBITDA(Methodology=WeightedAnnual))","Scale=6 Sdate=#1 Period=#2 Curn=#3 NULL=BLANK",,$E$6,BO$6,$I$2)</f>
        <v>#NAME?</v>
      </c>
      <c r="BP10" s="885" t="e">
        <f ca="1">_xll.TR($B10:$B27,"AVAIL(TR.NormalizedEBITDA(Methodology=InterimSum),TR.NormalizedEBITDA(Methodology=WeightedAnnual))","Scale=6 Sdate=#1 Period=#2 Curn=#3 NULL=BLANK",,$E$6,BP$6,$I$2)</f>
        <v>#NAME?</v>
      </c>
      <c r="BQ10" s="885" t="e">
        <f ca="1">_xll.TR($B10:$B27,"AVAIL(TR.EBITDATTM,TR.EBITDA(Period=FY0))","Scale=6 Sdate=#1 Curn=#2 Period=LTM NULL=BLANK",,$E$6,$I$2)</f>
        <v>#NAME?</v>
      </c>
      <c r="BR10" s="885" t="e">
        <f ca="1">_xll.TR($B10:$B27,"Avail(TR.EBITDAMean(Methodology=InterimSumblend),TR.EBITDAMean(Methodology=WeightedAnnualblend))","Scale=6 Sdate=#1 Period=#2 Curn=#3 NULL=BLANK",,$E$6,BR$6,$I$2)</f>
        <v>#NAME?</v>
      </c>
      <c r="BS10" s="885" t="e">
        <f ca="1">_xll.TR($B10:$B27,"Avail(TR.EBITDAMean(Methodology=InterimSumblend),TR.EBITDAMean(Methodology=WeightedAnnualblend))","Scale=6 Sdate=#1 Period=#2 Curn=#3 NULL=BLANK",,$E$6,BS$6,$I$2)</f>
        <v>#NAME?</v>
      </c>
      <c r="BT10" s="885" t="e">
        <f ca="1">_xll.TR($B10:$B27,"Avail(TR.EBITDAMean(Methodology=InterimSumblend),TR.EBITDAMean(Methodology=WeightedAnnualblend))","Scale=6 Sdate=#1 Period=#2 Curn=#3 NULL=BLANK",,$E$6,BT$6,$I$2)</f>
        <v>#NAME?</v>
      </c>
      <c r="BU10" s="884"/>
      <c r="BV10" s="885" t="e">
        <f ca="1">_xll.TR($B10:$B27,"TR.EBIT","Scale=6 Sdate=#1 Period=#2 Curn=#3 NULL=BLANK",,$E$6,BV$6,$I$2)</f>
        <v>#NAME?</v>
      </c>
      <c r="BW10" s="885" t="e">
        <f ca="1">_xll.TR($B10:$B27,"TR.EBIT","Scale=6 Sdate=#1 Period=#2 Curn=#3 NULL=BLANK",,$E$6,BW$6,$I$2)</f>
        <v>#NAME?</v>
      </c>
      <c r="BX10" s="885" t="e">
        <f ca="1">_xll.TR($B10:$B27,"TR.EBIT","Scale=6 Sdate=#1 Period=#2 Curn=#3 NULL=BLANK",,$E$6,BX$6,$I$2)</f>
        <v>#NAME?</v>
      </c>
      <c r="BY10" s="885" t="e">
        <f ca="1">_xll.TR($B10:$B27,"TR.EBIT","Scale=6 Sdate=#1 Period=#2 Curn=#3 NULL=BLANK",,$E$6,BY$6,$I$2)</f>
        <v>#NAME?</v>
      </c>
      <c r="BZ10" s="885" t="e">
        <f ca="1">_xll.TR($B10:$B27,"AVAIL(TR.EBITTTM,TR.EBIT(Period=FY0))","Scale=6 Sdate=#1 Curn=#2 Period=LTM NULL=BLANK",,$E$6,$I$2)</f>
        <v>#NAME?</v>
      </c>
      <c r="CA10" s="885" t="e">
        <f ca="1">_xll.TR($B10:$B27,"TR.EBITMean","Scale=6 Sdate=#1 Period=#2 Curn=#3 NULL=BLANK",,$E$6,CA$6,$I$2)</f>
        <v>#NAME?</v>
      </c>
      <c r="CB10" s="885" t="e">
        <f ca="1">_xll.TR($B10:$B27,"TR.EBITMean","Scale=6 Sdate=#1 Period=#2 Curn=#3 NULL=BLANK",,$E$6,CB$6,$I$2)</f>
        <v>#NAME?</v>
      </c>
      <c r="CC10" s="885" t="e">
        <f ca="1">_xll.TR($B10:$B27,"TR.EBITMean","Scale=6 Sdate=#1 Period=#2 Curn=#3 NULL=BLANK",,$E$6,CC$6,$I$2)</f>
        <v>#NAME?</v>
      </c>
      <c r="CD10" s="885"/>
      <c r="CE10" s="885" t="e">
        <f ca="1">_xll.TR($B10:$B27,"AVAIL(TR.NormalizedEBIT(Methodology=InterimSum),TR.NormalizedEBIT(Methodology=WeightedAnnual))","Scale=6 Sdate=#1 Period=#2 Curn=#3 NULL=BLANK",,$E$6,CE$6,$I$2)</f>
        <v>#NAME?</v>
      </c>
      <c r="CF10" s="885" t="e">
        <f ca="1">_xll.TR($B10:$B27,"AVAIL(TR.NormalizedEBIT(Methodology=InterimSum),TR.NormalizedEBIT(Methodology=WeightedAnnual))","Scale=6 Sdate=#1 Period=#2 Curn=#3 NULL=BLANK",,$E$6,CF$6,$I$2)</f>
        <v>#NAME?</v>
      </c>
      <c r="CG10" s="885" t="e">
        <f ca="1">_xll.TR($B10:$B27,"AVAIL(TR.NormalizedEBIT(Methodology=InterimSum),TR.NormalizedEBIT(Methodology=WeightedAnnual))","Scale=6 Sdate=#1 Period=#2 Curn=#3 NULL=BLANK",,$E$6,CG$6,$I$2)</f>
        <v>#NAME?</v>
      </c>
      <c r="CH10" s="885" t="e">
        <f ca="1">_xll.TR($B10:$B27,"AVAIL(TR.NormalizedEBIT(Methodology=InterimSum),TR.NormalizedEBIT(Methodology=WeightedAnnual))","Scale=6 Sdate=#1 Period=#2 Curn=#3 NULL=BLANK",,$E$6,CH$6,$I$2)</f>
        <v>#NAME?</v>
      </c>
      <c r="CI10" s="885" t="e">
        <f ca="1">_xll.TR($B10:$B27,"AVAIL(TR.EBITTTM,TR.EBIT(Period=FY0))","Scale=6 Sdate=#1 Curn=#2 Period=LTM NULL=BLANK",,$E$6,$I$2)</f>
        <v>#NAME?</v>
      </c>
      <c r="CJ10" s="885" t="e">
        <f ca="1">_xll.TR($B10:$B27,"Avail(TR.EBITMean(Methodology=InterimSumblend),TR.EBITMean(Methodology=WeightedAnnualblend))","Scale=6 Sdate=#1 Period=#2 Curn=#3 NULL=BLANK",,$E$6,CJ$6,$I$2)</f>
        <v>#NAME?</v>
      </c>
      <c r="CK10" s="885" t="e">
        <f ca="1">_xll.TR($B10:$B27,"Avail(TR.EBITMean(Methodology=InterimSumblend),TR.EBITMean(Methodology=WeightedAnnualblend))","Scale=6 Sdate=#1 Period=#2 Curn=#3 NULL=BLANK",,$E$6,CK$6,$I$2)</f>
        <v>#NAME?</v>
      </c>
      <c r="CL10" s="885" t="e">
        <f ca="1">_xll.TR($B10:$B27,"Avail(TR.EBITMean(Methodology=InterimSumblend),TR.EBITMean(Methodology=WeightedAnnualblend))","Scale=6 Sdate=#1 Period=#2 Curn=#3 NULL=BLANK",,$E$6,CL$6,$I$2)</f>
        <v>#NAME?</v>
      </c>
      <c r="CM10" s="883"/>
      <c r="CN10" s="883" t="e">
        <f ca="1">_xll.TR($B10:$B27,"TR.ROICMean","Sdate=#1 Period=#2 NULL=BLANK",,$E$6,CN$6)</f>
        <v>#NAME?</v>
      </c>
      <c r="CO10" s="883" t="e">
        <f ca="1">_xll.TR($B10:$B27,"TR.ROICMean","Sdate=#1 Period=#2 NULL=BLANK",,$E$6,CO$6)</f>
        <v>#NAME?</v>
      </c>
      <c r="CP10" s="883" t="e">
        <f ca="1">_xll.TR($B10:$B27,"TR.ROICMean","Sdate=#1 Period=#2 NULL=BLANK",,$E$6,CP$6)</f>
        <v>#NAME?</v>
      </c>
      <c r="CQ10" s="883" t="e">
        <f ca="1">_xll.TR($B10:$B27,"TR.ROICMean","Sdate=#1 Period=#2 NULL=BLANK",,$E$6,CQ$6)</f>
        <v>#NAME?</v>
      </c>
      <c r="CR10" s="883" t="e">
        <f ca="1">_xll.TR($B10:$B27,"TR.ROICMean","Sdate=#1 Period=#2 NULL=BLANK",,$E$6,CR$6)</f>
        <v>#NAME?</v>
      </c>
      <c r="CS10" s="883" t="e">
        <f ca="1">_xll.TR($B10:$B27,"TR.ROICMean","Sdate=#1 Period=#2 NULL=BLANK",,$E$6,CS$6)</f>
        <v>#NAME?</v>
      </c>
      <c r="CT10" s="883" t="e">
        <f ca="1">_xll.TR($B10:$B27,"TR.ROICMean","Sdate=#1 Period=#2 NULL=BLANK",,$E$6,CT$6)</f>
        <v>#NAME?</v>
      </c>
      <c r="CU10" s="883" t="e">
        <f ca="1">_xll.TR($B10:$B27,"TR.ROICMean","Sdate=#1 Period=#2 NULL=BLANK",,$E$6,CU$6)</f>
        <v>#NAME?</v>
      </c>
      <c r="CV10" s="883"/>
      <c r="CW10" s="883" t="e">
        <f ca="1">_xll.TR($B10:$B27,"TR.HistEnterpriseValueRevenue","Sdate=#1 Period=#2 NULL=BLANK",,$E$6,CW$6)</f>
        <v>#NAME?</v>
      </c>
      <c r="CX10" s="883" t="e">
        <f ca="1">_xll.TR($B10:$B27,"TR.HistEnterpriseValueRevenue","Sdate=#1 Period=#2 NULL=BLANK",,$E$6,CX$6)</f>
        <v>#NAME?</v>
      </c>
      <c r="CY10" s="883" t="e">
        <f ca="1">_xll.TR($B10:$B27,"TR.HistEnterpriseValueRevenue","Sdate=#1 Period=#2 NULL=BLANK",,$E$6,CY$6)</f>
        <v>#NAME?</v>
      </c>
      <c r="CZ10" s="883" t="e">
        <f ca="1">_xll.TR($B10:$B27,"TR.HistEnterpriseValueRevenue","Sdate=#1 Period=#2 NULL=BLANK",,$E$6,CZ$6)</f>
        <v>#NAME?</v>
      </c>
      <c r="DA10" s="883" t="e">
        <f ca="1">_xll.TR($B10:$B27,"TR.EVToSales","Sdate=#1 Period=#2 NULL=BLANK",,$E$6,DA$6)</f>
        <v>#NAME?</v>
      </c>
      <c r="DB10" s="886" t="e">
        <f ca="1">_xll.TR($B10:$B27,"TR.EVtoRevenueMean","Sdate=#1 Period=#2 Curn=#3 NULL=BLANK",,$E$6,DB$6,$I$2)</f>
        <v>#NAME?</v>
      </c>
      <c r="DC10" s="883" t="e">
        <f ca="1">_xll.TR($B10:$B27,"TR.EVtoRevenueMean","Sdate=#1 Period=#2 Curn=#3 NULL=BLANK",,$E$6,DC$6,$I$2)</f>
        <v>#NAME?</v>
      </c>
      <c r="DD10" s="883" t="e">
        <f ca="1">_xll.TR($B10:$B27,"TR.EVtoRevenueMean","Sdate=#1 Period=#2 Curn=#3 NULL=BLANK",,$E$6,DD$6,$I$2)</f>
        <v>#NAME?</v>
      </c>
      <c r="DE10" s="883"/>
      <c r="DF10" s="883" t="e">
        <f ca="1">_xll.TR($B10:$B27,"TR.HistEnterpriseValue/(AVAIL(TR.TotalRevenue(Methodology=InterimSum),TR.TotalRevenue(Methodology=WeightedAnnual)))","Sdate=#1 Period=#2 NULL=BLANK",,$E$6,DF$6)</f>
        <v>#NAME?</v>
      </c>
      <c r="DG10" s="883" t="e">
        <f ca="1">_xll.TR($B10:$B27,"TR.HistEnterpriseValue/(AVAIL(TR.TotalRevenue(Methodology=InterimSum),TR.TotalRevenue(Methodology=WeightedAnnual)))","Sdate=#1 Period=#2 NULL=BLANK",,$E$6,DG$6)</f>
        <v>#NAME?</v>
      </c>
      <c r="DH10" s="883" t="e">
        <f ca="1">_xll.TR($B10:$B27,"TR.HistEnterpriseValue/(AVAIL(TR.TotalRevenue(Methodology=InterimSum),TR.TotalRevenue(Methodology=WeightedAnnual)))","Sdate=#1 Period=#2 NULL=BLANK",,$E$6,DH$6)</f>
        <v>#NAME?</v>
      </c>
      <c r="DI10" s="883" t="e">
        <f ca="1">_xll.TR($B10:$B27,"TR.HistEnterpriseValue/(AVAIL(TR.TotalRevenue(Methodology=InterimSum),TR.TotalRevenue(Methodology=WeightedAnnual)))","Sdate=#1 Period=#2 NULL=BLANK",,$E$6,DI$6)</f>
        <v>#NAME?</v>
      </c>
      <c r="DJ10" s="883" t="e">
        <f ca="1">_xll.TR($B10:$B27,"TR.EVToSales","Sdate=#1 Period=#2 NULL=BLANK",,$E$6,DJ$6)</f>
        <v>#NAME?</v>
      </c>
      <c r="DK10" s="883" t="e">
        <f ca="1">_xll.TR($B10:$B27,"TR.EV/Avail(TR.RevenueMean(Methodology=WeightedAnnual ),TR.RevenueMean(Methodology=InterimSum ))","Sdate=#1 Period=#2 Curn=#3 NULL=BLANK",,$E$6,DK$6,$I$2)</f>
        <v>#NAME?</v>
      </c>
      <c r="DL10" s="883" t="e">
        <f ca="1">_xll.TR($B10:$B27,"TR.EV/Avail(TR.RevenueMean(Methodology=WeightedAnnual ),TR.RevenueMean(Methodology=InterimSum ))","Sdate=#1 Period=#2 Curn=#3 NULL=BLANK",,$E$6,DL$6,$I$2)</f>
        <v>#NAME?</v>
      </c>
      <c r="DM10" s="883" t="e">
        <f ca="1">_xll.TR($B10:$B27,"TR.EV/Avail(TR.RevenueMean(Methodology=WeightedAnnual ),TR.RevenueMean(Methodology=InterimSum ))","Sdate=#1 Period=#2 Curn=#3 NULL=BLANK",,$E$6,DM$6,$I$2)</f>
        <v>#NAME?</v>
      </c>
      <c r="DO10" s="883" t="e">
        <f ca="1">_xll.TR($B10:$B27,"TR.HistEnterpriseValue/TR.GrossProfit","Sdate=#1 Period=#2 Curn=#3 NULL=BLANK",,$E$6,DO$6,$I$2)</f>
        <v>#NAME?</v>
      </c>
      <c r="DP10" s="883" t="e">
        <f ca="1">_xll.TR($B10:$B27,"TR.HistEnterpriseValue/TR.GrossProfit","Sdate=#1 Period=#2 Curn=#3 NULL=BLANK",,$E$6,DP$6,$I$2)</f>
        <v>#NAME?</v>
      </c>
      <c r="DQ10" s="883" t="e">
        <f ca="1">_xll.TR($B10:$B27,"TR.HistEnterpriseValue/TR.GrossProfit","Sdate=#1 Period=#2 Curn=#3 NULL=BLANK",,$E$6,DQ$6,$I$2)</f>
        <v>#NAME?</v>
      </c>
      <c r="DR10" s="883" t="e">
        <f ca="1">_xll.TR($B10:$B27,"TR.HistEnterpriseValue/TR.GrossProfit","Sdate=#1 Period=#2 Curn=#3 NULL=BLANK",,$E$6,DR$6,$I$2)</f>
        <v>#NAME?</v>
      </c>
      <c r="DS10" s="883" t="e">
        <f ca="1">_xll.TR($B10:$B27,"TR.HistEnterpriseValue/AVAIL(TR.GrossProfit(Methodology=InterimSum),TR.GrossProfit(Period=FY0))","Sdate=#1 Period=#2 Curn=#3 NULL=BLANK",,$E$6,DS$6,$I$2)</f>
        <v>#NAME?</v>
      </c>
      <c r="DT10" s="883" t="e">
        <f ca="1">_xll.TR($B10:$B27,"TR.EV/TR.GrossIncomeMean","Sdate=#1 Period=#2 Curn=#3 NULL=BLANK",,$E$6,DT$6,$I$2)</f>
        <v>#NAME?</v>
      </c>
      <c r="DU10" s="883" t="e">
        <f ca="1">_xll.TR($B10:$B27,"TR.EV/TR.GrossIncomeMean","Sdate=#1 Period=#2 Curn=#3 NULL=BLANK",,$E$6,DU$6,$I$2)</f>
        <v>#NAME?</v>
      </c>
      <c r="DV10" s="883" t="e">
        <f ca="1">_xll.TR($B10:$B27,"TR.EV/TR.GrossIncomeMean","Sdate=#1 Period=#2 Curn=#3 NULL=BLANK",,$E$6,DV$6,$I$2)</f>
        <v>#NAME?</v>
      </c>
      <c r="DW10" s="883"/>
      <c r="DX10" s="883" t="e">
        <f ca="1">_xll.TR($B10:$B27,"TR.HistEnterpriseValue/AVAIL(TR.GrossProfit(Methodology=InterimSum),TR.GrossProfit(Methodology=WeightedAnnual))","Sdate=#1 Period=#2 Curn=#3 NULL=BLANK",,$E$6,DX$6,$I$2)</f>
        <v>#NAME?</v>
      </c>
      <c r="DY10" s="883" t="e">
        <f ca="1">_xll.TR($B10:$B27,"TR.HistEnterpriseValue/AVAIL(TR.GrossProfit(Methodology=InterimSum),TR.GrossProfit(Methodology=WeightedAnnual))","Sdate=#1 Period=#2 Curn=#3 NULL=BLANK",,$E$6,DY$6,$I$2)</f>
        <v>#NAME?</v>
      </c>
      <c r="DZ10" s="883" t="e">
        <f ca="1">_xll.TR($B10:$B27,"TR.HistEnterpriseValue/AVAIL(TR.GrossProfit(Methodology=InterimSum),TR.GrossProfit(Methodology=WeightedAnnual))","Sdate=#1 Period=#2 Curn=#3 NULL=BLANK",,$E$6,DZ$6,$I$2)</f>
        <v>#NAME?</v>
      </c>
      <c r="EA10" s="883" t="e">
        <f ca="1">_xll.TR($B10:$B27,"TR.HistEnterpriseValue/AVAIL(TR.GrossProfit(Methodology=InterimSum),TR.GrossProfit(Methodology=WeightedAnnual))","Sdate=#1 Period=#2 Curn=#3 NULL=BLANK",,$E$6,EA$6,$I$2)</f>
        <v>#NAME?</v>
      </c>
      <c r="EB10" s="883" t="e">
        <f ca="1">_xll.TR($B10:$B27,"TR.HistEnterpriseValue/AVAIL(TR.GrossProfit(Methodology=InterimSum),TR.GrossProfit(Period=FY0))","Sdate=#1 Period=#2 Curn=#3 NULL=BLANK",,$E$6,EB$6,$I$2)</f>
        <v>#NAME?</v>
      </c>
      <c r="EC10" s="883" t="e">
        <f ca="1">_xll.TR($B10:$B27,"TR.EV/Avail(TR.GrossIncomeMean(Methodology=InterimSumblend),TR.GrossIncomeMean(Methodology=WeightedAnnualblend))","Sdate=#1 Period=#2 Curn=#3 NULL=BLANK",,$E$6,EC$6,$I$2)</f>
        <v>#NAME?</v>
      </c>
      <c r="ED10" s="883" t="e">
        <f ca="1">_xll.TR($B10:$B27,"TR.EV/Avail(TR.GrossIncomeMean(Methodology=InterimSumblend),TR.GrossIncomeMean(Methodology=WeightedAnnualblend))","Sdate=#1 Period=#2 Curn=#3 NULL=BLANK",,$E$6,ED$6,$I$2)</f>
        <v>#NAME?</v>
      </c>
      <c r="EE10" s="883" t="e">
        <f ca="1">_xll.TR($B10:$B27,"TR.EV/Avail(TR.GrossIncomeMean(Methodology=InterimSumblend),TR.GrossIncomeMean(Methodology=WeightedAnnualblend))","Sdate=#1 Period=#2 Curn=#3 NULL=BLANK",,$E$6,EE$6,$I$2)</f>
        <v>#NAME?</v>
      </c>
      <c r="EG10" s="883" t="e">
        <f ca="1">_xll.TR($B10:$B27,"TR.HistEnterpriseValueEBITDA","Sdate=#1 Period=#2 NULL=BLANK",,$E$6,EG$6)</f>
        <v>#NAME?</v>
      </c>
      <c r="EH10" s="883" t="e">
        <f ca="1">_xll.TR($B10:$B27,"TR.HistEnterpriseValueEBITDA","Sdate=#1 Period=#2 NULL=BLANK",,$E$6,EH$6)</f>
        <v>#NAME?</v>
      </c>
      <c r="EI10" s="883" t="e">
        <f ca="1">_xll.TR($B10:$B27,"TR.HistEnterpriseValueEBITDA","Sdate=#1 Period=#2 NULL=BLANK",,$E$6,EI$6)</f>
        <v>#NAME?</v>
      </c>
      <c r="EJ10" s="883" t="e">
        <f ca="1">_xll.TR($B10:$B27,"TR.HistEnterpriseValueEBITDA","Sdate=#1 Period=#2 NULL=BLANK",,$E$6,EJ$6)</f>
        <v>#NAME?</v>
      </c>
      <c r="EK10" s="883" t="e">
        <f ca="1">_xll.TR($B10:$B27,"TR.EVToEBITDA","Sdate=#1 Period=#2 NULL=BLANK",,$E$6,EK$6)</f>
        <v>#NAME?</v>
      </c>
      <c r="EL10" s="886" t="e">
        <f ca="1">_xll.TR($B10:$B27,"TR.EVtoEBITDAMean","Sdate=#1 Period=#2 Curn=#3 NULL=BLANK",,$E$6,EL$6,$I$2)</f>
        <v>#NAME?</v>
      </c>
      <c r="EM10" s="883" t="e">
        <f ca="1">_xll.TR($B10:$B27,"TR.EVtoEBITDAMean","Sdate=#1 Period=#2 Curn=#3 NULL=BLANK",,$E$6,EM$6,$I$2)</f>
        <v>#NAME?</v>
      </c>
      <c r="EN10" s="883" t="e">
        <f ca="1">_xll.TR($B10:$B27,"TR.EVtoEBITDAMean","Sdate=#1 Period=#2 Curn=#3 NULL=BLANK",,$E$6,EN$6,$I$2)</f>
        <v>#NAME?</v>
      </c>
      <c r="EO10" s="883"/>
      <c r="EP10" s="883" t="e">
        <f ca="1">_xll.TR($B10:$B27,"TR.HistEnterpriseValue/AVAIL(TR.NormalizedEBITDA(Methodology=InterimSum),TR.NormalizedEBITDA(Methodology=WeightedAnnual))","Sdate=#1 Period=#2 Curn=#3 NULL=BLANK",,$E$6,EP$6,$I$2)</f>
        <v>#NAME?</v>
      </c>
      <c r="EQ10" s="883" t="e">
        <f ca="1">_xll.TR($B10:$B27,"TR.HistEnterpriseValue/AVAIL(TR.NormalizedEBITDA(Methodology=InterimSum),TR.NormalizedEBITDA(Methodology=WeightedAnnual))","Sdate=#1 Period=#2 Curn=#3 NULL=BLANK",,$E$6,EQ$6,$I$2)</f>
        <v>#NAME?</v>
      </c>
      <c r="ER10" s="883" t="e">
        <f ca="1">_xll.TR($B10:$B27,"TR.HistEnterpriseValue/AVAIL(TR.NormalizedEBITDA(Methodology=InterimSum),TR.NormalizedEBITDA(Methodology=WeightedAnnual))","Sdate=#1 Period=#2 Curn=#3 NULL=BLANK",,$E$6,ER$6,$I$2)</f>
        <v>#NAME?</v>
      </c>
      <c r="ES10" s="883" t="e">
        <f ca="1">_xll.TR($B10:$B27,"TR.HistEnterpriseValue/AVAIL(TR.NormalizedEBITDA(Methodology=InterimSum),TR.NormalizedEBITDA(Methodology=WeightedAnnual))","Sdate=#1 Period=#2 Curn=#3 NULL=BLANK",,$E$6,ES$6,$I$2)</f>
        <v>#NAME?</v>
      </c>
      <c r="ET10" s="883" t="e">
        <f ca="1">_xll.TR($B10:$B27,"TR.EVToEBITDA","Sdate=#1 Period=#2 NULL=BLANK",,$E$6,ET$6)</f>
        <v>#NAME?</v>
      </c>
      <c r="EU10" s="883" t="e">
        <f ca="1">_xll.TR($B10:$B27,"TR.EV/Avail(TR.EBITDAMean(Methodology=WeightedAnnual ),TR.EBITDAMean(Methodology=InterimSum ))","Sdate=#1 Period=#2 Curn=#3 NULL=BLANK",,$E$6,EU$6,$I$2)</f>
        <v>#NAME?</v>
      </c>
      <c r="EV10" s="883" t="e">
        <f ca="1">_xll.TR($B10:$B27,"TR.EV/Avail(TR.EBITDAMean(Methodology=WeightedAnnual ),TR.EBITDAMean(Methodology=InterimSum ))","Sdate=#1 Period=#2 Curn=#3 NULL=BLANK",,$E$6,EV$6,$I$2)</f>
        <v>#NAME?</v>
      </c>
      <c r="EW10" s="883" t="e">
        <f ca="1">_xll.TR($B10:$B27,"TR.EV/Avail(TR.EBITDAMean(Methodology=WeightedAnnual ),TR.EBITDAMean(Methodology=InterimSum ))","Sdate=#1 Period=#2 Curn=#3 NULL=BLANK",,$E$6,EW$6,$I$2)</f>
        <v>#NAME?</v>
      </c>
      <c r="EY10" s="883" t="e">
        <f ca="1">_xll.TR($B10:$B27,"TR.EVEBIT","Sdate=#1 Period=#2 NULL=BLANK",,$E$6,EY$6)</f>
        <v>#NAME?</v>
      </c>
      <c r="EZ10" s="883" t="e">
        <f ca="1">_xll.TR($B10:$B27,"TR.EVEBIT","Sdate=#1 Period=#2 NULL=BLANK",,$E$6,EZ$6)</f>
        <v>#NAME?</v>
      </c>
      <c r="FA10" s="883" t="e">
        <f ca="1">_xll.TR($B10:$B27,"TR.EVEBIT","Sdate=#1 Period=#2 NULL=BLANK",,$E$6,FA$6)</f>
        <v>#NAME?</v>
      </c>
      <c r="FB10" s="883" t="e">
        <f ca="1">_xll.TR($B10:$B27,"TR.EVEBIT","Sdate=#1 Period=#2 NULL=BLANK",,$E$6,FB$6)</f>
        <v>#NAME?</v>
      </c>
      <c r="FC10" s="883" t="e">
        <f ca="1">_xll.TR($B10:$B27,"TR.EVToEBIT","Sdate=#1 Period=#2 NULL=BLANK",,$E$6,FC$6)</f>
        <v>#NAME?</v>
      </c>
      <c r="FD10" s="883" t="e">
        <f ca="1">_xll.TR($B10:$B27,"TR.EVtoEBITMean","Sdate=#1 Period=#2 Curn=#3 NULL=BLANK",,$E$6,FD$6,$I$2)</f>
        <v>#NAME?</v>
      </c>
      <c r="FE10" s="883" t="e">
        <f ca="1">_xll.TR($B10:$B27,"TR.EVtoEBITMean","Sdate=#1 Period=#2 Curn=#3 NULL=BLANK",,$E$6,FE$6,$I$2)</f>
        <v>#NAME?</v>
      </c>
      <c r="FF10" s="883" t="e">
        <f ca="1">_xll.TR($B10:$B27,"TR.EVtoEBITMean","Sdate=#1 Period=#2 Curn=#3 NULL=BLANK",,$E$6,FF$6,$I$2)</f>
        <v>#NAME?</v>
      </c>
      <c r="FG10" s="883"/>
      <c r="FH10" s="883" t="e">
        <f ca="1">_xll.TR($B10:$B27,"TR.HistEnterpriseValue/AVAIL(TR.NormalizedEBIT(Methodology=InterimSum),TR.NormalizedEBIT(Methodology=WeightedAnnual))","Sdate=#1 Period=#2 Curn=#3 NULL=BLANK",,$E$6,FH$6,$I$2)</f>
        <v>#NAME?</v>
      </c>
      <c r="FI10" s="883" t="e">
        <f ca="1">_xll.TR($B10:$B27,"TR.HistEnterpriseValue/AVAIL(TR.NormalizedEBIT(Methodology=InterimSum),TR.NormalizedEBIT(Methodology=WeightedAnnual))","Sdate=#1 Period=#2 Curn=#3 NULL=BLANK",,$E$6,FI$6,$I$2)</f>
        <v>#NAME?</v>
      </c>
      <c r="FJ10" s="883" t="e">
        <f ca="1">_xll.TR($B10:$B27,"TR.HistEnterpriseValue/AVAIL(TR.NormalizedEBIT(Methodology=InterimSum),TR.NormalizedEBIT(Methodology=WeightedAnnual))","Sdate=#1 Period=#2 Curn=#3 NULL=BLANK",,$E$6,FJ$6,$I$2)</f>
        <v>#NAME?</v>
      </c>
      <c r="FK10" s="883" t="e">
        <f ca="1">_xll.TR($B10:$B27,"TR.HistEnterpriseValue/AVAIL(TR.NormalizedEBIT(Methodology=InterimSum),TR.NormalizedEBIT(Methodology=WeightedAnnual))","Sdate=#1 Period=#2 Curn=#3 NULL=BLANK",,$E$6,FK$6,$I$2)</f>
        <v>#NAME?</v>
      </c>
      <c r="FL10" s="883" t="e">
        <f ca="1">_xll.TR($B10:$B27,"TR.EVToEBIT","Sdate=#1 Period=#2 NULL=BLANK",,$E$6,FL$6)</f>
        <v>#NAME?</v>
      </c>
      <c r="FM10" s="883" t="e">
        <f ca="1">_xll.TR($B10:$B27,"TR.EV/Avail(TR.EBITMean(Methodology=WeightedAnnual ),TR.EBITMean(Methodology=InterimSum ))","Sdate=#1 Period=#2 Curn=#3 NULL=BLANK",,$E$6,FM$6,$I$2)</f>
        <v>#NAME?</v>
      </c>
      <c r="FN10" s="883" t="e">
        <f ca="1">_xll.TR($B10:$B27,"TR.EV/Avail(TR.EBITMean(Methodology=WeightedAnnual ),TR.EBITMean(Methodology=InterimSum ))","Sdate=#1 Period=#2 Curn=#3 NULL=BLANK",,$E$6,FN$6,$I$2)</f>
        <v>#NAME?</v>
      </c>
      <c r="FO10" s="883" t="e">
        <f ca="1">_xll.TR($B10:$B27,"TR.EV/Avail(TR.EBITMean(Methodology=WeightedAnnual ),TR.EBITMean(Methodology=InterimSum ))","Sdate=#1 Period=#2 Curn=#3 NULL=BLANK",,$E$6,FO$6,$I$2)</f>
        <v>#NAME?</v>
      </c>
      <c r="FQ10" s="883" t="e">
        <f ca="1">_xll.TR($B10:$B27,"TR.HistPE","Sdate=#1 Period=#2 NULL=BLANK",,$E$6,FQ$6)</f>
        <v>#NAME?</v>
      </c>
      <c r="FR10" s="883" t="e">
        <f ca="1">_xll.TR($B10:$B27,"TR.HistPE","Sdate=#1 Period=#2 NULL=BLANK",,$E$6,FR$6)</f>
        <v>#NAME?</v>
      </c>
      <c r="FS10" s="883" t="e">
        <f ca="1">_xll.TR($B10:$B27,"TR.HistPE","Sdate=#1 Period=#2 NULL=BLANK",,$E$6,FS$6)</f>
        <v>#NAME?</v>
      </c>
      <c r="FT10" s="883" t="e">
        <f ca="1">_xll.TR($B10:$B27,"TR.HistPE","Sdate=#1 Period=#2 NULL=BLANK",,$E$6,FT$6)</f>
        <v>#NAME?</v>
      </c>
      <c r="FU10" s="883" t="e">
        <f ca="1">_xll.TR($B10:$B27,"TR.PE","Sdate=#1 Period=#2 NULL=BLANK",,$E$6,FU$6)</f>
        <v>#NAME?</v>
      </c>
      <c r="FV10" s="883" t="e">
        <f ca="1">_xll.TR($B10:$B27,"TR.PtoEPSMeanEst","Sdate=#1 Period=#2 NULL=BLANK",,$E$6,FV$6)</f>
        <v>#NAME?</v>
      </c>
      <c r="FW10" s="883" t="e">
        <f ca="1">_xll.TR($B10:$B27,"TR.PtoEPSMeanEst","Sdate=#1 Period=#2 NULL=BLANK",,$E$6,FW$6,$I$2)</f>
        <v>#NAME?</v>
      </c>
      <c r="FX10" s="883" t="e">
        <f ca="1">_xll.TR($B10:$B27,"TR.PtoEPSMeanEst","Sdate=#1 Period=#2 NULL=BLANK",,$E$6,FX$6,$I$2)</f>
        <v>#NAME?</v>
      </c>
      <c r="FY10" s="883"/>
      <c r="FZ10" s="883" t="e">
        <f ca="1">_xll.TR($B10:$B27,"TR.priceclose(Sdate=#1)/(AVAIL(TR.DilutedEpsExclExtra(Methodology=InterimSum),TR.DilutedEpsExclExtra(Methodology=WeightedAnnual)))","Sdate=#1 Period=#2 Curn=#3 NULL=BLANK",,$E$6,FZ$6,$I$2)</f>
        <v>#NAME?</v>
      </c>
      <c r="GA10" s="883" t="e">
        <f ca="1">_xll.TR($B10:$B27,"TR.priceclose(Sdate=#1)/(AVAIL(TR.DilutedEpsExclExtra(Methodology=InterimSum),TR.DilutedEpsExclExtra(Methodology=WeightedAnnual)))","Sdate=#1 Period=#2 Curn=#3 NULL=BLANK",,$E$6,GA$6,$I$2)</f>
        <v>#NAME?</v>
      </c>
      <c r="GB10" s="883" t="e">
        <f ca="1">_xll.TR($B10:$B27,"TR.priceclose(Sdate=#1)/(AVAIL(TR.DilutedEpsExclExtra(Methodology=InterimSum),TR.DilutedEpsExclExtra(Methodology=WeightedAnnual)))","Sdate=#1 Period=#2 Curn=#3 NULL=BLANK",,$E$6,GB$6,$I$2)</f>
        <v>#NAME?</v>
      </c>
      <c r="GC10" s="883" t="e">
        <f ca="1">_xll.TR($B10:$B27,"TR.priceclose(Sdate=#1)/(AVAIL(TR.DilutedEpsExclExtra(Methodology=InterimSum),TR.DilutedEpsExclExtra(Methodology=WeightedAnnual)))","Sdate=#1 Period=#2 Curn=#3 NULL=BLANK",,$E$6,GC$6,$I$2)</f>
        <v>#NAME?</v>
      </c>
      <c r="GD10" s="883" t="e">
        <f ca="1">_xll.TR($B10:$B27,"TR.PE","Sdate=#1 Period=#2 NULL=BLANK",,$E$6,GD$6)</f>
        <v>#NAME?</v>
      </c>
      <c r="GE10" s="883" t="e">
        <f ca="1">_xll.TR($B10:$B27,"TR.priceclose/Avail(TR.EPSMean(Methodology=InterimSumblend),TR.EPSMean(Methodology=WeightedAnnualblend))","Sdate=#1 Period=#2 Curn=#3 NULL=BLANK",,$E$6,GE$6,$I$2)</f>
        <v>#NAME?</v>
      </c>
      <c r="GF10" s="883" t="e">
        <f ca="1">_xll.TR($B10:$B27,"TR.priceclose(Sdate=0d)/Avail(TR.EPSMean(Methodology=InterimSumblend),TR.EPSMean(Methodology=WeightedAnnualblend))","Sdate=#1 Period=#2 Curn=#3 NULL=BLANK",,$E$6,GF$6,$I$2)</f>
        <v>#NAME?</v>
      </c>
      <c r="GG10" s="883" t="e">
        <f ca="1">_xll.TR($B10:$B27,"TR.priceclose(Sdate=0d)/Avail(TR.EPSMean(Methodology=InterimSumblend),TR.EPSMean(Methodology=WeightedAnnualblend))","Sdate=#1 Period=#2 Curn=#3 NULL=BLANK",,$E$6,GG$6,$I$2)</f>
        <v>#NAME?</v>
      </c>
      <c r="GH10" s="883"/>
      <c r="GI10" s="883"/>
      <c r="GJ10" s="887" t="e">
        <f ca="1">_xll.TR($B10:$B27,"TR.GrossMargin/100","Sdate=#1 Period=#2 NULL=BLANK",,$E$6,GJ$6)</f>
        <v>#NAME?</v>
      </c>
      <c r="GK10" s="887" t="e">
        <f ca="1">_xll.TR($B10:$B27,"TR.GrossMargin/100","Sdate=#1 Period=#2 NULL=BLANK",,$E$6,GK$6)</f>
        <v>#NAME?</v>
      </c>
      <c r="GL10" s="887" t="e">
        <f ca="1">_xll.TR($B10:$B27,"TR.GrossMargin/100","Sdate=#1 Period=#2 NULL=BLANK",,$E$6,GL$6)</f>
        <v>#NAME?</v>
      </c>
      <c r="GM10" s="887" t="e">
        <f ca="1">_xll.TR($B10:$B27,"TR.GrossMargin/100","Sdate=#1 Period=#2 NULL=BLANK",,$E$6,GM$6)</f>
        <v>#NAME?</v>
      </c>
      <c r="GN10" s="887" t="e">
        <f ca="1">_xll.TR($B10:$B27,"Avail(TR.GrossMargin(Methodology=InterimSum)/100,TR.GrossMargin(Period=FY0)/100)","Sdate=#1 Period=#2 NULL=BLANK",,$E$6,GN$6)</f>
        <v>#NAME?</v>
      </c>
      <c r="GO10" s="887" t="e">
        <f ca="1">_xll.TR($B10:$B27,"TR.GPMMean/100","Sdate=#1 Period=#2 NULL=BLANK",,$E$6,GO$6)</f>
        <v>#NAME?</v>
      </c>
      <c r="GP10" s="887" t="e">
        <f ca="1">_xll.TR($B10:$B27,"TR.GPMMean/100","Sdate=#1 Period=#2 NULL=BLANK",,$E$6,GP$6)</f>
        <v>#NAME?</v>
      </c>
      <c r="GQ10" s="887" t="e">
        <f ca="1">_xll.TR($B10:$B27,"TR.GPMMean/100","Sdate=#1 Period=#2 NULL=BLANK",,$E$6,GQ$6)</f>
        <v>#NAME?</v>
      </c>
      <c r="GR10" s="883"/>
      <c r="GS10" s="887" t="e">
        <f ca="1">_xll.TR($B10:$B27,"AVAIL(TR.GrossProfit(Methodology=InterimSum),TR.GrossProfit(Methodology=WeightedAnnual))/AVAIL(TR.TotalRevenue(Methodology=InterimSum),TR.TotalRevenue(Methodology=WeightedAnnual))","Sdate=#1 Period=#2 Curn=#3 NULL=BLANK",,$E$6,GS$6,$I$2)</f>
        <v>#NAME?</v>
      </c>
      <c r="GT10" s="887" t="e">
        <f ca="1">_xll.TR($B10:$B27,"AVAIL(TR.GrossProfit(Methodology=InterimSum),TR.GrossProfit(Methodology=WeightedAnnual))/AVAIL(TR.TotalRevenue(Methodology=InterimSum),TR.TotalRevenue(Methodology=WeightedAnnual))","Sdate=#1 Period=#2 Curn=#3 NULL=BLANK",,$E$6,GT$6,$I$2)</f>
        <v>#NAME?</v>
      </c>
      <c r="GU10" s="887" t="e">
        <f ca="1">_xll.TR($B10:$B27,"AVAIL(TR.GrossProfit(Methodology=InterimSum),TR.GrossProfit(Methodology=WeightedAnnual))/AVAIL(TR.TotalRevenue(Methodology=InterimSum),TR.TotalRevenue(Methodology=WeightedAnnual))","Sdate=#1 Period=#2 Curn=#3 NULL=BLANK",,$E$6,GU$6,$I$2)</f>
        <v>#NAME?</v>
      </c>
      <c r="GV10" s="887" t="e">
        <f ca="1">_xll.TR($B10:$B27,"AVAIL(TR.GrossProfit(Methodology=InterimSum),TR.GrossProfit(Methodology=WeightedAnnual))/AVAIL(TR.TotalRevenue(Methodology=InterimSum),TR.TotalRevenue(Methodology=WeightedAnnual))","Sdate=#1 Period=#2 Curn=#3 NULL=BLANK",,$E$6,GV$6,$I$2)</f>
        <v>#NAME?</v>
      </c>
      <c r="GW10" s="887" t="e">
        <f ca="1">_xll.TR($B10:$B27,"Avail(TR.GrossMargin(Methodology=InterimSum)/100,TR.GrossMargin(Period=FY0)/100)","Sdate=#1 Period=#2 NULL=BLANK",,$E$6,GW$6)</f>
        <v>#NAME?</v>
      </c>
      <c r="GX10" s="887" t="e">
        <f ca="1">_xll.TR($B10:$B27,"Avail(TR.GrossIncomeMean(Methodology=InterimSumblend),TR.GrossIncomeMean(Methodology=WeightedAnnualblend))/Avail(TR.RevenueMean(Methodology=InterimSumblend),TR.RevenueMean(Methodology=WeightedAnnualblend))","Sdate=#1 Period=#2 NULL=BLANK",,$E$6,GX$6)</f>
        <v>#NAME?</v>
      </c>
      <c r="GY10" s="887" t="e">
        <f ca="1">_xll.TR($B10:$B27,"Avail(TR.GrossIncomeMean(Methodology=InterimSumblend),TR.GrossIncomeMean(Methodology=WeightedAnnualblend))/Avail(TR.RevenueMean(Methodology=InterimSumblend),TR.RevenueMean(Methodology=WeightedAnnualblend))","Sdate=#1 Period=#2 NULL=BLANK",,$E$6,GY$6)</f>
        <v>#NAME?</v>
      </c>
      <c r="GZ10" s="887" t="e">
        <f ca="1">_xll.TR($B10:$B27,"Avail(TR.GrossIncomeMean(Methodology=InterimSumblend),TR.GrossIncomeMean(Methodology=WeightedAnnualblend))/Avail(TR.RevenueMean(Methodology=InterimSumblend),TR.RevenueMean(Methodology=WeightedAnnualblend))","Sdate=#1 Period=#2 NULL=BLANK",,$E$6,GZ$6)</f>
        <v>#NAME?</v>
      </c>
      <c r="HB10" s="887" t="e">
        <f ca="1">_xll.TR($B10:$B27,"TR.EBITDAMarginpercent/100","Sdate=#1 Period=#2 NULL=BLANK",,$E$6,HB$6)</f>
        <v>#NAME?</v>
      </c>
      <c r="HC10" s="887" t="e">
        <f ca="1">_xll.TR($B10:$B27,"TR.EBITDAMarginpercent/100","Sdate=#1 Period=#2 NULL=BLANK",,$E$6,HC$6)</f>
        <v>#NAME?</v>
      </c>
      <c r="HD10" s="887" t="e">
        <f ca="1">_xll.TR($B10:$B27,"TR.EBITDAMarginpercent/100","Sdate=#1 Period=#2 NULL=BLANK",,$E$6,HD$6)</f>
        <v>#NAME?</v>
      </c>
      <c r="HE10" s="887" t="e">
        <f ca="1">_xll.TR($B10:$B27,"TR.EBITDAMarginpercent/100","Sdate=#1 Period=#2 NULL=BLANK",,$E$6,HE$6)</f>
        <v>#NAME?</v>
      </c>
      <c r="HF10" s="887" t="e">
        <f ca="1">_xll.TR($B10:$B27,"Avail(TR.EBITDAMarginPercent(Period=LTM)/100,TR.EBITDAMarginPercent(Period=FY0)/100)","Sdate=#1 Period=#2 NULL=BLANK",,$E$6,HF$6)</f>
        <v>#NAME?</v>
      </c>
      <c r="HG10" s="887" t="e">
        <f ca="1">_xll.TR($B10:$B27,"TR.EBITDAMean/TR.RevenueMean","scale=6 Sdate=#1 Period=#2 Curn=#3 NULL=BLANK",,$E$6,HG$6,$I$2)</f>
        <v>#NAME?</v>
      </c>
      <c r="HH10" s="887" t="e">
        <f ca="1">_xll.TR($B10:$B27,"TR.EBITDAMean/TR.RevenueMean","scale=6 Sdate=#1 Period=#2 Curn=#3 NULL=BLANK",,$E$6,HH$6,$I$2)</f>
        <v>#NAME?</v>
      </c>
      <c r="HI10" s="887" t="e">
        <f ca="1">_xll.TR($B10:$B27,"TR.EBITDAMean/TR.RevenueMean","scale=6 Sdate=#1 Period=#2 Curn=#3 NULL=BLANK",,$E$6,HI$6,$I$2)</f>
        <v>#NAME?</v>
      </c>
      <c r="HJ10" s="883"/>
      <c r="HK10" s="887" t="e">
        <f ca="1">_xll.TR($B10:$B27,"AVAIL(TR.NormalizedEBITDA(Methodology=InterimSum),TR.NormalizedEBITDA(Methodology=WeightedAnnual))/AVAIL(TR.TotalRevenue(Methodology=InterimSum),TR.TotalRevenue(Methodology=WeightedAnnual))","Sdate=#1 Period=#2 NULL=BLANK",,$E$6,HK$6)</f>
        <v>#NAME?</v>
      </c>
      <c r="HL10" s="887" t="e">
        <f ca="1">_xll.TR($B10:$B27,"AVAIL(TR.NormalizedEBITDA(Methodology=InterimSum),TR.NormalizedEBITDA(Methodology=WeightedAnnual))/AVAIL(TR.TotalRevenue(Methodology=InterimSum),TR.TotalRevenue(Methodology=WeightedAnnual))","Sdate=#1 Period=#2 NULL=BLANK",,$E$6,HL$6)</f>
        <v>#NAME?</v>
      </c>
      <c r="HM10" s="887" t="e">
        <f ca="1">_xll.TR($B10:$B27,"AVAIL(TR.NormalizedEBITDA(Methodology=InterimSum),TR.NormalizedEBITDA(Methodology=WeightedAnnual))/AVAIL(TR.TotalRevenue(Methodology=InterimSum),TR.TotalRevenue(Methodology=WeightedAnnual))","Sdate=#1 Period=#2 NULL=BLANK",,$E$6,HM$6)</f>
        <v>#NAME?</v>
      </c>
      <c r="HN10" s="887" t="e">
        <f ca="1">_xll.TR($B10:$B27,"AVAIL(TR.NormalizedEBITDA(Methodology=InterimSum),TR.NormalizedEBITDA(Methodology=WeightedAnnual))/AVAIL(TR.TotalRevenue(Methodology=InterimSum),TR.TotalRevenue(Methodology=WeightedAnnual))","Sdate=#1 Period=#2 NULL=BLANK",,$E$6,HN$6)</f>
        <v>#NAME?</v>
      </c>
      <c r="HO10" s="887" t="e">
        <f ca="1">_xll.TR($B10:$B27,"Avail(TR.EBITDAMarginPercent(Period=LTM)/100,TR.EBITDAMarginPercent(Period=FY0)/100)","Sdate=#1 Period=#2 NULL=BLANK",,$E$6,HO$6)</f>
        <v>#NAME?</v>
      </c>
      <c r="HP10" s="887" t="e">
        <f ca="1">_xll.TR($B10:$B27,"Avail(TR.EBITDAMean(Methodology=InterimSumblend),TR.EBITDAMean(Methodology=WeightedAnnualblend))/Avail(TR.RevenueMean(Methodology=InterimSumblend),TR.RevenueMean(Methodology=WeightedAnnualblend))","Sdate=#1 Period=#2 NULL=BLANK",,$E$6,HP$6)</f>
        <v>#NAME?</v>
      </c>
      <c r="HQ10" s="887" t="e">
        <f ca="1">_xll.TR($B10:$B27,"Avail(TR.EBITDAMean(Methodology=InterimSumblend),TR.EBITDAMean(Methodology=WeightedAnnualblend))/Avail(TR.RevenueMean(Methodology=InterimSumblend),TR.RevenueMean(Methodology=WeightedAnnualblend))","Sdate=#1 Period=#2 NULL=BLANK",,$E$6,HQ$6)</f>
        <v>#NAME?</v>
      </c>
      <c r="HR10" s="887" t="e">
        <f ca="1">_xll.TR($B10:$B27,"Avail(TR.EBITDAMean(Methodology=InterimSumblend),TR.EBITDAMean(Methodology=WeightedAnnualblend))/Avail(TR.RevenueMean(Methodology=InterimSumblend),TR.RevenueMean(Methodology=WeightedAnnualblend))","Sdate=#1 Period=#2 NULL=BLANK",,$E$6,HR$6)</f>
        <v>#NAME?</v>
      </c>
      <c r="HT10" s="887" t="e">
        <f ca="1">_xll.TR($B10:$B27,"TR.EBITMarginpercent/100","Sdate=#1 Period=#2 NULL=BLANK",,$E$6,HT$6)</f>
        <v>#NAME?</v>
      </c>
      <c r="HU10" s="887" t="e">
        <f ca="1">_xll.TR($B10:$B27,"TR.EBITMarginpercent/100","Sdate=#1 Period=#2 NULL=BLANK",,$E$6,HU$6)</f>
        <v>#NAME?</v>
      </c>
      <c r="HV10" s="887" t="e">
        <f ca="1">_xll.TR($B10:$B27,"TR.EBITMarginpercent/100","Sdate=#1 Period=#2 NULL=BLANK",,$E$6,HV$6)</f>
        <v>#NAME?</v>
      </c>
      <c r="HW10" s="887" t="e">
        <f ca="1">_xll.TR($B10:$B27,"TR.EBITMarginpercent/100","Sdate=#1 Period=#2 NULL=BLANK",,$E$6,HW$6)</f>
        <v>#NAME?</v>
      </c>
      <c r="HX10" s="887" t="e">
        <f ca="1">_xll.TR($B10:$B27,"(Avail(TR.EBITMarginpercent(Period=LTM),TR.EBITMarginpercent(Period=FY0)))/100","Sdate=#1 Period=#2 NULL=BLANK",,$E$6,HX$6)</f>
        <v>#NAME?</v>
      </c>
      <c r="HY10" s="887" t="e">
        <f ca="1">_xll.TR($B10:$B27,"TR.EBITMean/TR.RevenueMean","Scale=6 Sdate=#1 Period=#2 Curn=#3 NULL=BLANK",,$E$6,HY$6,$I$2)</f>
        <v>#NAME?</v>
      </c>
      <c r="HZ10" s="887" t="e">
        <f ca="1">_xll.TR($B10:$B27,"TR.EBITMean/TR.RevenueMean","Scale=6 Sdate=#1 Period=#2 Curn=#3 NULL=BLANK",,$E$6,HZ$6,$I$2)</f>
        <v>#NAME?</v>
      </c>
      <c r="IA10" s="887" t="e">
        <f ca="1">_xll.TR($B10:$B27,"TR.EBITMean/TR.RevenueMean","Scale=6 Sdate=#1 Period=#2 Curn=#3 NULL=BLANK",,$E$6,IA$6,$I$2)</f>
        <v>#NAME?</v>
      </c>
      <c r="IB10" s="883"/>
      <c r="IC10" s="887" t="e">
        <f ca="1">_xll.TR($B10:$B27,"(TR.EBIT)/AVAIL(TR.TotalRevenue(Methodology=InterimSum),TR.TotalRevenue(Methodology=WeightedAnnual))","Sdate=#1 Period=#2 NULL=BLANK",,$E$6,IC$6)</f>
        <v>#NAME?</v>
      </c>
      <c r="ID10" s="887" t="e">
        <f ca="1">_xll.TR($B10:$B27,"(TR.EBIT)/AVAIL(TR.TotalRevenue(Methodology=InterimSum),TR.TotalRevenue(Methodology=WeightedAnnual))","Sdate=#1 Period=#2 NULL=BLANK",,$E$6,ID$6)</f>
        <v>#NAME?</v>
      </c>
      <c r="IE10" s="887" t="e">
        <f ca="1">_xll.TR($B10:$B27,"(TR.EBIT)/AVAIL(TR.TotalRevenue(Methodology=InterimSum),TR.TotalRevenue(Methodology=WeightedAnnual))","Sdate=#1 Period=#2 NULL=BLANK",,$E$6,IE$6)</f>
        <v>#NAME?</v>
      </c>
      <c r="IF10" s="887" t="e">
        <f ca="1">_xll.TR($B10:$B27,"(TR.EBIT)/AVAIL(TR.TotalRevenue(Methodology=InterimSum),TR.TotalRevenue(Methodology=WeightedAnnual))","Sdate=#1 Period=#2 NULL=BLANK",,$E$6,IF$6)</f>
        <v>#NAME?</v>
      </c>
      <c r="IG10" s="887" t="e">
        <f ca="1">_xll.TR($B10:$B27,"(Avail(TR.EBITmarginpercent(Period=LTM ),TR.EBIT(Period=FY0)))/100","Sdate=#1 Period=#2 NULL=BLANK",,$E$6,IG$6)</f>
        <v>#NAME?</v>
      </c>
      <c r="IH10" s="887" t="e">
        <f ca="1">_xll.TR($B10:$B27,"TR.EBITMean/Avail(TR.RevenueMean(Methodology=InterimSumblend),TR.RevenueMean(Methodology=WeightedAnnualblend))","Sdate=#1 Period=#2 NULL=BLANK",,$E$6,IH$6)</f>
        <v>#NAME?</v>
      </c>
      <c r="II10" s="887" t="e">
        <f ca="1">_xll.TR($B10:$B27,"TR.EBITMean/Avail(TR.RevenueMean(Methodology=InterimSumblend),TR.RevenueMean(Methodology=WeightedAnnualblend))","Sdate=#1 Period=#2 NULL=BLANK",,$E$6,II$6)</f>
        <v>#NAME?</v>
      </c>
      <c r="IJ10" s="887" t="e">
        <f ca="1">_xll.TR($B10:$B27,"TR.EBITMean/Avail(TR.RevenueMean(Methodology=InterimSumblend),TR.RevenueMean(Methodology=WeightedAnnualblend))","Sdate=#1 Period=#2 NULL=BLANK",,$E$6,IJ$6)</f>
        <v>#NAME?</v>
      </c>
      <c r="IK10" s="861"/>
      <c r="IL10" s="887" t="e">
        <f ca="1">_xll.TR($B10:$B27,"TR.NetProfitMargin/100","Sdate=#1 Period=#2 NULL=BLANK",,$E$6,IL$6)</f>
        <v>#NAME?</v>
      </c>
      <c r="IM10" s="887" t="e">
        <f ca="1">_xll.TR($B10:$B27,"TR.NetProfitMargin/100","Sdate=#1 Period=#2 NULL=BLANK",,$E$6,IM$6)</f>
        <v>#NAME?</v>
      </c>
      <c r="IN10" s="887" t="e">
        <f ca="1">_xll.TR($B10:$B27,"TR.NetProfitMargin/100","Sdate=#1 Period=#2 NULL=BLANK",,$E$6,IN$6)</f>
        <v>#NAME?</v>
      </c>
      <c r="IO10" s="887" t="e">
        <f ca="1">_xll.TR($B10:$B27,"TR.NetProfitMargin/100","Sdate=#1 Period=#2 NULL=BLANK",,$E$6,IO$6)</f>
        <v>#NAME?</v>
      </c>
      <c r="IP10" s="887" t="e">
        <f ca="1">_xll.TR($B10:$B27,"(Avail(TR.NetProfitMargin(Period=LTM Methodology=InterimSum),TR.NetProfitMargin(Period=FY0)))/100","Sdate=#1 Period=#2 NULL=BLANK",,$E$6,IP$6)</f>
        <v>#NAME?</v>
      </c>
      <c r="IQ10" s="887" t="e">
        <f ca="1">_xll.TR($B10:$B27,"TR.NetIncomeMean/TR.RevenueMean","Scale=6 Sdate=#1 Period=#2 Curn=#3 NULL=BLANK",,$E$6,IQ$6,$I$2)</f>
        <v>#NAME?</v>
      </c>
      <c r="IR10" s="887" t="e">
        <f ca="1">_xll.TR($B10:$B27,"TR.NetIncomeMean/TR.RevenueMean","Scale=6 Sdate=#1 Period=#2 Curn=#3 NULL=BLANK",,$E$6,IR$6,$I$2)</f>
        <v>#NAME?</v>
      </c>
      <c r="IS10" s="887" t="e">
        <f ca="1">_xll.TR($B10:$B27,"TR.NetIncomeMean/TR.RevenueMean","Scale=6 Sdate=#1 Period=#2 Curn=#3 NULL=BLANK",,$E$6,IS$6,$I$2)</f>
        <v>#NAME?</v>
      </c>
      <c r="IT10" s="883"/>
      <c r="IU10" s="887" t="e">
        <f ca="1">_xll.TR($B10:$B27,"AVAIL(TR.NetIncomeAfterTaxes(Methodology=InterimSum),TR.NetIncomeAfterTaxes(Methodology=WeightedAnnual))/AVAIL(TR.TotalRevenue(Methodology=InterimSum),TR.TotalRevenue(Methodology=WeightedAnnual))","Sdate=#1 Period=#2 NULL=BLANK",,$E$6,IU$6)</f>
        <v>#NAME?</v>
      </c>
      <c r="IV10" s="887" t="e">
        <f ca="1">_xll.TR($B10:$B27,"AVAIL(TR.NetIncomeAfterTaxes(Methodology=InterimSum),TR.NetIncomeAfterTaxes(Methodology=WeightedAnnual))/AVAIL(TR.TotalRevenue(Methodology=InterimSum),TR.TotalRevenue(Methodology=WeightedAnnual))","Sdate=#1 Period=#2 NULL=BLANK",,$E$6,IV$6)</f>
        <v>#NAME?</v>
      </c>
      <c r="IW10" s="887" t="e">
        <f ca="1">_xll.TR($B10:$B27,"AVAIL(TR.NetIncomeAfterTaxes(Methodology=InterimSum),TR.NetIncomeAfterTaxes(Methodology=WeightedAnnual))/AVAIL(TR.TotalRevenue(Methodology=InterimSum),TR.TotalRevenue(Methodology=WeightedAnnual))","Sdate=#1 Period=#2 NULL=BLANK",,$E$6,IW$6)</f>
        <v>#NAME?</v>
      </c>
      <c r="IX10" s="887" t="e">
        <f ca="1">_xll.TR($B10:$B27,"AVAIL(TR.NetIncomeAfterTaxes(Methodology=InterimSum),TR.NetIncomeAfterTaxes(Methodology=WeightedAnnual))/AVAIL(TR.TotalRevenue(Methodology=InterimSum),TR.TotalRevenue(Methodology=WeightedAnnual))","Sdate=#1 Period=#2 NULL=BLANK",,$E$6,IX$6)</f>
        <v>#NAME?</v>
      </c>
      <c r="IY10" s="887" t="e">
        <f ca="1">_xll.TR($B10:$B27,"(Avail(TR.NetProfitMargin(Period=LTM Methodology=InterimSum),TR.NetProfitMargin(Period=FY0)))/100","Sdate=#1 Period=#2 NULL=BLANK",,$E$6,IY$6)</f>
        <v>#NAME?</v>
      </c>
      <c r="IZ10" s="887" t="e">
        <f ca="1">_xll.TR($B10:$B27,"Avail(TR.NetIncomeMean(Methodology=InterimSumblend),TR.NetIncomeMean(Methodology=WeightedAnnualblend))/Avail(TR.RevenueMean(Methodology=InterimSumblend),TR.RevenueMean(Methodology=WeightedAnnualblend))","Sdate=#1 Period=#2 NULL=BLANK",,$E$6,IZ$6)</f>
        <v>#NAME?</v>
      </c>
      <c r="JA10" s="887" t="e">
        <f ca="1">_xll.TR($B10:$B27,"Avail(TR.NetIncomeMean(Methodology=InterimSumblend),TR.NetIncomeMean(Methodology=WeightedAnnualblend))/Avail(TR.RevenueMean(Methodology=InterimSumblend),TR.RevenueMean(Methodology=WeightedAnnualblend))","Sdate=#1 Period=#2 NULL=BLANK",,$E$6,JA$6)</f>
        <v>#NAME?</v>
      </c>
      <c r="JB10" s="887" t="e">
        <f ca="1">_xll.TR($B10:$B27,"Avail(TR.NetIncomeMean(Methodology=InterimSumblend),TR.NetIncomeMean(Methodology=WeightedAnnualblend))/Avail(TR.RevenueMean(Methodology=InterimSumblend),TR.RevenueMean(Methodology=WeightedAnnualblend))","Sdate=#1 Period=#2 NULL=BLANK",,$E$6,JB$6)</f>
        <v>#NAME?</v>
      </c>
      <c r="JD10" s="887" t="e">
        <f ca="1">_xll.TR($B10:$B27,"(Avail(CGR(TR.TotalRevenue(Period=LTM Methodology=InterimSum Sdate=#1 Edate=#1-11AY Frq=AY)),CGR(TR.TotalRevenue(Period=FY0 Sdate=#1 Edate=#1-11AY Frq=AY))))/100"," Sdate=#1 Curn=#2 NULL=BLANK",,$E$6,$I$2)</f>
        <v>#NAME?</v>
      </c>
      <c r="JE10" s="887" t="e">
        <f ca="1">_xll.TR($B10:$B27,"(Avail(CGR(TR.TotalRevenue(Period=LTM Methodology=InterimSum Sdate=#1 Edate=#1-6AY Frq=AY)),CGR(TR.TotalRevenue(Period=FY0 Sdate=#1 Edate=#1-6AY Frq=AY))))/100","Sdate=#1 Curn=#2 NULL=BLANK",,$E$6,$I$2)</f>
        <v>#NAME?</v>
      </c>
      <c r="JF10" s="887" t="e">
        <f ca="1">_xll.TR($B10:$B27,"(Avail(CGR(TR.TotalRevenue(Period=LTM Methodology=InterimSum Sdate=#1 Edate=#1-4AY Frq=AY)),CGR(TR.TotalRevenue(Period=FY0 Sdate=#1 Edate=#1-4AY Frq=AY))))/100","Sdate=#1 Curn=#2 NULL=BLANK",,$E$6,$I$2)</f>
        <v>#NAME?</v>
      </c>
      <c r="JG10" s="887" t="e">
        <f ca="1">_xll.TR($B10:$B27,"(Avail(CGR(TR.TotalRevenue(Period=LTM Methodology=InterimSum Sdate=#1 Edate=#1-3AY Frq=AY)),CGR(TR.TotalRevenue(Period=FY0 Sdate=#1 Edate=#1-3AY Frq=AY))))/100","Sdate=#1 Curn=#2 NULL=BLANK",,$E$6,$I$2)</f>
        <v>#NAME?</v>
      </c>
      <c r="JH10" s="887" t="e">
        <f ca="1">_xll.TR($B10:$B27,"TR.TotRevenuepctPrdtoPrd/100","Sdate=#1 Period=FY0 NULL=BLANK",,$E$6)</f>
        <v>#NAME?</v>
      </c>
      <c r="JI10" s="887" t="e">
        <f ca="1">_xll.TR($B10:$B27,"TR.TotRevenuepctYrtoYrTTM/100","Sdate=#1 NULL=BLANK",,$E$6)</f>
        <v>#NAME?</v>
      </c>
      <c r="JJ10" s="887" t="str">
        <f ca="1">IF(ISERROR((AI10/AF10)^(1/2)-1),"--",(AI10/AF10)^(1/2)-1)</f>
        <v>--</v>
      </c>
      <c r="JK10" s="887" t="str">
        <f ca="1">IF(ISERROR((Z10/W10)^(1/2)-1),"--",(Z10/W10)^(1/2)-1)</f>
        <v>--</v>
      </c>
      <c r="JM10" s="887" t="e">
        <f ca="1">_xll.TR($B10:$B27,"(Avail(CGR(TR.GrossProfit(Period=LTM Methodology=InterimSum Sdate=#1 Edate=#1-11AY Frq=AY)),CGR(TR.GrossProfit(Period=FY0 Sdate=#1 Edate=#1-11AY Frq=AY))))/100"," Sdate=#1 Curn=#2 NULL=BLANK",,$E$6,$I$2)</f>
        <v>#NAME?</v>
      </c>
      <c r="JN10" s="887" t="e">
        <f ca="1">_xll.TR($B10:$B27,"(Avail(CGR(TR.GrossProfit(Period=LTM Methodology=InterimSum Sdate=#1 Edate=#1-6AY Frq=AY)),CGR(TR.GrossProfit(Period=FY0 Sdate=#1 Edate=#1-6AY Frq=AY))))/100"," Sdate=#1 Curn=#2 NULL=BLANK",,$E$6,$I$2)</f>
        <v>#NAME?</v>
      </c>
      <c r="JO10" s="887" t="e">
        <f ca="1">_xll.TR($B10:$B27,"(Avail(CGR(TR.GrossProfit(Period=LTM Methodology=InterimSum Sdate=#1 Edate=#1-4AY Frq=AY)),CGR(TR.GrossProfit(Period=FY0 Sdate=#1 Edate=#1-4AY Frq=AY))))/100"," Sdate=#1 Curn=#2 NULL=BLANK",,$E$6,$I$2)</f>
        <v>#NAME?</v>
      </c>
      <c r="JP10" s="887" t="e">
        <f ca="1">_xll.TR($B10:$B27,"(Avail(CGR(TR.GrossProfit(Period=LTM Methodology=InterimSum Sdate=#1 Edate=#1-3AY Frq=AY)),CGR(TR.GrossProfit(Period=FY0 Sdate=#1 Edate=#1-3AY Frq=AY))))/100"," Sdate=#1 Curn=#2 NULL=BLANK",,$E$6,$I$2)</f>
        <v>#NAME?</v>
      </c>
      <c r="JQ10" s="887" t="e">
        <f ca="1">_xll.TR($B10:$B27,"TR.GrossProfitpctPrdtoPrd/100","Sdate=#1 Period=FY0 NULL=BLANK",,$E$6)</f>
        <v>#NAME?</v>
      </c>
      <c r="JR10" s="887" t="e">
        <f ca="1">_xll.TR($B10:$B27,"TR.GrossProfitpctYrtoYrTTM/100","Sdate=#1 NULL=BLANK",,$E$6)</f>
        <v>#NAME?</v>
      </c>
      <c r="JS10" s="887" t="str">
        <f ca="1">IF(ISERROR((BA10/AX10)^(1/2)-1),"--",(BA10/AX10)^(1/2)-1)</f>
        <v>--</v>
      </c>
      <c r="JT10" s="887" t="str">
        <f ca="1">IF(ISERROR((AR10/AO10)^(1/2)-1),"--",(AR10/AO10)^(1/2)-1)</f>
        <v>--</v>
      </c>
      <c r="JU10" s="887"/>
      <c r="JV10" s="887" t="e">
        <f ca="1">_xll.TR($B10:$B27,"(Avail(CGR(TR.EBITDATTM(Sdate=#1 Edate=#1-11AY Frq=AY)),CGR(TR.EBITDA(Period=FY0 Sdate=#1 Edate=#1-11AY Frq=AY))))/100"," Sdate=#1 Curn=#2 NULL=BLANK",,$E$6,$I$2)</f>
        <v>#NAME?</v>
      </c>
      <c r="JW10" s="887" t="e">
        <f ca="1">_xll.TR($B10:$B27,"(Avail(CGR(TR.EBITDATTM(Sdate=#1 Edate=#1-6AY Frq=AY)),CGR(TR.EBITDA(Period=FY0 Sdate=#1 Edate=#1-6AY Frq=AY))))/100"," Sdate=#1 Curn=#2 NULL=BLANK",,$E$6,$I$2)</f>
        <v>#NAME?</v>
      </c>
      <c r="JX10" s="887" t="e">
        <f ca="1">_xll.TR($B10:$B27,"(Avail(CGR(TR.EBITDATTM(Sdate=#1 Edate=#1-4AY Frq=AY)),CGR(TR.EBITDA(Period=FY0 Sdate=#1 Edate=#1-4AY Frq=AY))))/100"," Sdate=#1 Curn=#2 NULL=BLANK",,$E$6,$I$2)</f>
        <v>#NAME?</v>
      </c>
      <c r="JY10" s="887" t="e">
        <f ca="1">_xll.TR($B10:$B27,"(Avail(CGR(TR.EBITDATTM(Sdate=#1 Edate=#1-3AY Frq=AY)),CGR(TR.EBITDA(Period=FY0 Sdate=#1 Edate=#1-3AY Frq=AY))))/100"," Sdate=#1 Curn=#2 NULL=BLANK",,$E$6,$I$2)</f>
        <v>#NAME?</v>
      </c>
      <c r="JZ10" s="887" t="e">
        <f ca="1">_xll.TR($B10:$B27,"TR.EBITDApctPrdtoPrd/100","Sdate=#1 Period=FY0 NULL=BLANK",,$E$6)</f>
        <v>#NAME?</v>
      </c>
      <c r="KA10" s="887" t="e">
        <f ca="1">_xll.TR($B10:$B27,"TR.EBITDApctYrtoYrTTM/100","Sdate=#1 NULL=BLANK",,$E$6)</f>
        <v>#NAME?</v>
      </c>
      <c r="KB10" s="887" t="str">
        <f ca="1">IF(ISERROR((BS10/BP10)^(1/2)-1),"--",(BS10/BP10)^(1/2)-1)</f>
        <v>--</v>
      </c>
      <c r="KC10" s="887" t="str">
        <f ca="1">IF(ISERROR((BJ10/BG10)^(1/2)-1),"--",(BJ10/BG10)^(1/2)-1)</f>
        <v>--</v>
      </c>
      <c r="KE10" s="887" t="e">
        <f ca="1">_xll.TR($B10:$B27,"(Avail(CGR(TR.EBITTTM(Sdate=#1 Edate=#1-11AY Frq=AY)),CGR(TR.EBIT(Period=FY0 Sdate=#1 Edate=#1-11AY Frq=AY))))/100"," Sdate=#1 Curn=#2 NULL=BLANK",,$E$6,$I$2)</f>
        <v>#NAME?</v>
      </c>
      <c r="KF10" s="887" t="e">
        <f ca="1">_xll.TR($B10:$B27,"(Avail(CGR(TR.EBITTTM(Sdate=#1 Edate=#1-6AY Frq=AY)),CGR(TR.EBIT(Period=FY0 Sdate=#1 Edate=#1-6AY Frq=AY))))/100"," Sdate=#1 Curn=#2 NULL=BLANK",,$E$6,$I$2)</f>
        <v>#NAME?</v>
      </c>
      <c r="KG10" s="887" t="e">
        <f ca="1">_xll.TR($B10:$B27,"(Avail(CGR(TR.EBITTTM(Sdate=#1 Edate=#1-4AY Frq=AY)),CGR(TR.EBIT(Period=FY0 Sdate=#1 Edate=#1-4AY Frq=AY))))/100"," Sdate=#1 Curn=#2 NULL=BLANK",,$E$6,$I$2)</f>
        <v>#NAME?</v>
      </c>
      <c r="KH10" s="887" t="e">
        <f ca="1">_xll.TR($B10:$B27,"(Avail(CGR(TR.EBITTTM(Sdate=#1 Edate=#1-3AY Frq=AY)),CGR(TR.EBIT(Period=FY0 Sdate=#1 Edate=#1-3AY Frq=AY))))/100"," Sdate=#1 Curn=#2 NULL=BLANK",,$E$6,$I$2)</f>
        <v>#NAME?</v>
      </c>
      <c r="KI10" s="887" t="e">
        <f ca="1">_xll.TR($B10:$B27,"PERCENT_CHG(TR.TotalRevenue,wsize=-1)/100","Sdate=#1 Period=FY0 NULL=BLANK",,$E$6)</f>
        <v>#NAME?</v>
      </c>
      <c r="KJ10" s="887" t="e">
        <f ca="1">_xll.TR($B10:$B27,"(Avail(CGR(TR.EBITTTM(Sdate=#1 Edate=#1-2AY Frq=AY)),CGR(TR.EBIT(Period=FY0 Sdate=#1 Edate=#1-2AY Frq=AY))))/100"," Sdate=#1 Curn=#2 NULL=BLANK",,$E$6,$I$2)</f>
        <v>#NAME?</v>
      </c>
      <c r="KK10" s="887">
        <f>IF(ISERROR((CC12/BY12)^(1/2)-1),"--",(CC12/BY12)^(1/2)-1)</f>
        <v>7.8334309729766849E-2</v>
      </c>
      <c r="KL10" s="887" t="str">
        <f>IF(ISERROR((#REF!/#REF!)^(1/2)-1),"--",(#REF!/#REF!)^(1/2)-1)</f>
        <v>--</v>
      </c>
      <c r="KM10" s="887"/>
      <c r="KN10" s="887" t="e">
        <f ca="1">_xll.TR($B10:$B27,"(Avail(CGR(TR.DilutedEpsExclExtra(Period=LTM Methodology=InterimSum Sdate=#1 Edate=#1-11AY Frq=AY)),CGR(TR.DilutedEpsExclExtra(Period=FY0 Sdate=#1 Edate=#1-11AY Frq=AY))))/100"," Sdate=#1 Curn=#2 NULL=BLANK",,$E$6,$I$2)</f>
        <v>#NAME?</v>
      </c>
      <c r="KO10" s="887" t="e">
        <f ca="1">_xll.TR($B10:$B27,"(Avail(CGR(TR.DilutedEpsExclExtra(Period=LTM Methodology=InterimSum Sdate=#1 Edate=#1-6AY Frq=AY)),CGR(TR.DilutedEpsExclExtra(Period=FY0 Sdate=#1 Edate=#1-6AY Frq=AY))))/100"," Sdate=#1 Curn=#2 NULL=BLANK",,$E$6,$I$2)</f>
        <v>#NAME?</v>
      </c>
      <c r="KP10" s="887" t="e">
        <f ca="1">_xll.TR($B10:$B27,"(Avail(CGR(TR.DilutedEpsExclExtra(Period=LTM Methodology=InterimSum Sdate=#1 Edate=#1-4AY Frq=AY)),CGR(TR.DilutedEpsExclExtra(Period=FY0 Sdate=#1 Edate=#1-4AY Frq=AY))))/100"," Sdate=#1 Curn=#2 NULL=BLANK",,$E$6,$I$2)</f>
        <v>#NAME?</v>
      </c>
      <c r="KQ10" s="887" t="e">
        <f ca="1">_xll.TR($B10:$B27,"(Avail(CGR(TR.DilutedEpsExclExtra(Period=LTM Methodology=InterimSum Sdate=#1 Edate=#1-3AY Frq=AY)),CGR(TR.DilutedEpsExclExtra(Period=FY0 Sdate=#1 Edate=#1-3AY Frq=AY))))/100"," Sdate=#1 Curn=#2 NULL=BLANK",,$E$6,$I$2)</f>
        <v>#NAME?</v>
      </c>
      <c r="KR10" s="887" t="e">
        <f ca="1">_xll.TR($B10:$B27,"TR.EPSExclExtradil.pctPrdtoPrd/100","Sdate=#1 Period=FY0 NULL=BLANK",,$E$6)</f>
        <v>#NAME?</v>
      </c>
      <c r="KS10" s="887" t="e">
        <f ca="1">_xll.TR($B10:$B27," TR.EPSExclExtradil.pctYrtoYrTTM/100","Sdate=#1 NULL=BLANK",,$E$6)</f>
        <v>#NAME?</v>
      </c>
      <c r="KT10" s="887" t="str">
        <f>IF(ISERROR((#REF!/#REF!)^(1/2)-1),"--",(#REF!/#REF!)^(1/2)-1)</f>
        <v>--</v>
      </c>
      <c r="KU10" s="887" t="str">
        <f>IF(ISERROR((#REF!/#REF!)^(1/2)-1),"--",(#REF!/#REF!)^(1/2)-1)</f>
        <v>--</v>
      </c>
      <c r="KX10" s="875" t="e">
        <f ca="1">_xll.TR($B10:$B27,"TR.BusinessSummary","NULL=BLANK")</f>
        <v>#NAME?</v>
      </c>
    </row>
    <row r="11" spans="1:310" ht="5.2" hidden="1" customHeight="1" outlineLevel="1">
      <c r="B11" s="888"/>
      <c r="E11" s="889"/>
      <c r="F11" s="889"/>
      <c r="G11" s="889"/>
      <c r="H11" s="889"/>
      <c r="I11" s="889"/>
      <c r="J11" s="890"/>
      <c r="K11" s="890"/>
      <c r="L11" s="889"/>
      <c r="M11" s="889"/>
      <c r="N11" s="889"/>
      <c r="O11" s="889"/>
      <c r="Q11" s="891"/>
      <c r="R11" s="891"/>
      <c r="S11" s="892"/>
      <c r="T11" s="893"/>
      <c r="U11" s="894"/>
      <c r="V11" s="894"/>
      <c r="W11" s="894"/>
      <c r="X11" s="894"/>
      <c r="Y11" s="894"/>
      <c r="Z11" s="894"/>
      <c r="AA11" s="894"/>
      <c r="AB11" s="894"/>
      <c r="AC11" s="893"/>
      <c r="AD11" s="894"/>
      <c r="AE11" s="894"/>
      <c r="AF11" s="894"/>
      <c r="AG11" s="894"/>
      <c r="AH11" s="894"/>
      <c r="AI11" s="894"/>
      <c r="AJ11" s="894"/>
      <c r="AL11" s="894"/>
      <c r="AM11" s="894"/>
      <c r="AN11" s="894"/>
      <c r="AO11" s="894"/>
      <c r="AP11" s="894"/>
      <c r="AQ11" s="894"/>
      <c r="AR11" s="894"/>
      <c r="AS11" s="894"/>
      <c r="AT11" s="894"/>
      <c r="AU11" s="894"/>
      <c r="AV11" s="894"/>
      <c r="AW11" s="894"/>
      <c r="AX11" s="894"/>
      <c r="AY11" s="894"/>
      <c r="AZ11" s="894"/>
      <c r="BA11" s="894"/>
      <c r="BB11" s="894"/>
      <c r="BC11" s="893"/>
      <c r="BD11" s="894"/>
      <c r="BE11" s="894"/>
      <c r="BF11" s="894"/>
      <c r="BG11" s="894"/>
      <c r="BH11" s="894"/>
      <c r="BI11" s="894"/>
      <c r="BJ11" s="894"/>
      <c r="BK11" s="894"/>
      <c r="BL11" s="894"/>
      <c r="BM11" s="894"/>
      <c r="BN11" s="894"/>
      <c r="BO11" s="894"/>
      <c r="BP11" s="894"/>
      <c r="BQ11" s="894"/>
      <c r="BR11" s="894"/>
      <c r="BS11" s="894"/>
      <c r="BT11" s="894"/>
      <c r="BU11" s="893"/>
      <c r="BV11" s="894"/>
      <c r="BW11" s="894"/>
      <c r="BX11" s="894"/>
      <c r="BY11" s="894"/>
      <c r="BZ11" s="894"/>
      <c r="CA11" s="894"/>
      <c r="CB11" s="894"/>
      <c r="CC11" s="894"/>
      <c r="CD11" s="894"/>
      <c r="CE11" s="894"/>
      <c r="CF11" s="894"/>
      <c r="CG11" s="894"/>
      <c r="CH11" s="894"/>
      <c r="CI11" s="894"/>
      <c r="CJ11" s="894"/>
      <c r="CK11" s="894"/>
      <c r="CL11" s="894"/>
      <c r="CM11" s="892"/>
      <c r="CN11" s="892"/>
      <c r="CO11" s="892"/>
      <c r="CP11" s="892"/>
      <c r="CQ11" s="892"/>
      <c r="CR11" s="892"/>
      <c r="CS11" s="895"/>
      <c r="CT11" s="892"/>
      <c r="CU11" s="892"/>
      <c r="CV11" s="892"/>
      <c r="CW11" s="892"/>
      <c r="CX11" s="892"/>
      <c r="CY11" s="892"/>
      <c r="CZ11" s="892"/>
      <c r="DA11" s="892"/>
      <c r="DB11" s="895"/>
      <c r="DC11" s="892"/>
      <c r="DD11" s="892"/>
      <c r="DE11" s="892"/>
      <c r="DF11" s="892"/>
      <c r="DG11" s="892"/>
      <c r="DH11" s="892"/>
      <c r="DI11" s="892"/>
      <c r="DJ11" s="892"/>
      <c r="DK11" s="892"/>
      <c r="DL11" s="892"/>
      <c r="DM11" s="892"/>
      <c r="DO11" s="892"/>
      <c r="DP11" s="892"/>
      <c r="DQ11" s="892"/>
      <c r="DR11" s="892"/>
      <c r="DS11" s="892"/>
      <c r="DT11" s="892"/>
      <c r="DU11" s="892"/>
      <c r="DV11" s="892"/>
      <c r="DW11" s="892"/>
      <c r="DX11" s="892"/>
      <c r="DY11" s="892"/>
      <c r="DZ11" s="892"/>
      <c r="EA11" s="892"/>
      <c r="EB11" s="892"/>
      <c r="EC11" s="892"/>
      <c r="ED11" s="892"/>
      <c r="EE11" s="892"/>
      <c r="EG11" s="892"/>
      <c r="EH11" s="892"/>
      <c r="EI11" s="892"/>
      <c r="EJ11" s="892"/>
      <c r="EK11" s="892"/>
      <c r="EL11" s="895"/>
      <c r="EM11" s="892"/>
      <c r="EN11" s="892"/>
      <c r="EO11" s="892"/>
      <c r="EP11" s="892"/>
      <c r="EQ11" s="892"/>
      <c r="ER11" s="892"/>
      <c r="ES11" s="892"/>
      <c r="ET11" s="892"/>
      <c r="EU11" s="892"/>
      <c r="EV11" s="892"/>
      <c r="EW11" s="892"/>
      <c r="EY11" s="892"/>
      <c r="EZ11" s="892"/>
      <c r="FA11" s="892"/>
      <c r="FB11" s="892"/>
      <c r="FC11" s="892"/>
      <c r="FD11" s="892"/>
      <c r="FE11" s="892"/>
      <c r="FF11" s="892"/>
      <c r="FG11" s="892"/>
      <c r="FH11" s="892"/>
      <c r="FI11" s="892"/>
      <c r="FJ11" s="892"/>
      <c r="FK11" s="892"/>
      <c r="FL11" s="892"/>
      <c r="FM11" s="892"/>
      <c r="FN11" s="892"/>
      <c r="FO11" s="892"/>
      <c r="FQ11" s="892"/>
      <c r="FR11" s="892"/>
      <c r="FS11" s="892"/>
      <c r="FT11" s="892"/>
      <c r="FU11" s="892"/>
      <c r="FV11" s="892"/>
      <c r="FW11" s="892"/>
      <c r="FX11" s="892"/>
      <c r="FY11" s="892"/>
      <c r="FZ11" s="892"/>
      <c r="GA11" s="892"/>
      <c r="GB11" s="892"/>
      <c r="GC11" s="892"/>
      <c r="GD11" s="892"/>
      <c r="GE11" s="892"/>
      <c r="GF11" s="892"/>
      <c r="GG11" s="892"/>
      <c r="GH11" s="892"/>
      <c r="GI11" s="892"/>
      <c r="GJ11" s="896"/>
      <c r="GK11" s="896"/>
      <c r="GL11" s="896"/>
      <c r="GM11" s="896"/>
      <c r="GN11" s="896"/>
      <c r="GO11" s="896"/>
      <c r="GP11" s="896"/>
      <c r="GQ11" s="896"/>
      <c r="GR11" s="892"/>
      <c r="GS11" s="896"/>
      <c r="GT11" s="896"/>
      <c r="GU11" s="896"/>
      <c r="GV11" s="896"/>
      <c r="GW11" s="896"/>
      <c r="GX11" s="896"/>
      <c r="GY11" s="896"/>
      <c r="GZ11" s="896"/>
      <c r="HB11" s="896"/>
      <c r="HC11" s="896"/>
      <c r="HD11" s="896"/>
      <c r="HE11" s="896"/>
      <c r="HF11" s="896"/>
      <c r="HG11" s="896"/>
      <c r="HH11" s="896"/>
      <c r="HI11" s="896"/>
      <c r="HJ11" s="892"/>
      <c r="HK11" s="896"/>
      <c r="HL11" s="896"/>
      <c r="HM11" s="896"/>
      <c r="HN11" s="896"/>
      <c r="HO11" s="896"/>
      <c r="HP11" s="896"/>
      <c r="HQ11" s="896"/>
      <c r="HR11" s="896"/>
      <c r="HT11" s="984"/>
      <c r="HU11" s="896"/>
      <c r="HV11" s="896"/>
      <c r="HW11" s="896"/>
      <c r="HX11" s="896"/>
      <c r="HY11" s="896"/>
      <c r="HZ11" s="896"/>
      <c r="IA11" s="896"/>
      <c r="IB11" s="892"/>
      <c r="IC11" s="896"/>
      <c r="ID11" s="896"/>
      <c r="IE11" s="896"/>
      <c r="IF11" s="896"/>
      <c r="IG11" s="896"/>
      <c r="IH11" s="896"/>
      <c r="II11" s="896"/>
      <c r="IJ11" s="896"/>
      <c r="IL11" s="896"/>
      <c r="IM11" s="896"/>
      <c r="IN11" s="896"/>
      <c r="IO11" s="896"/>
      <c r="IP11" s="896"/>
      <c r="IQ11" s="896"/>
      <c r="IR11" s="896"/>
      <c r="IS11" s="896"/>
      <c r="IT11" s="892"/>
      <c r="IU11" s="896"/>
      <c r="IV11" s="896"/>
      <c r="IW11" s="896"/>
      <c r="IX11" s="896"/>
      <c r="IY11" s="896"/>
      <c r="IZ11" s="896"/>
      <c r="JA11" s="896"/>
      <c r="JB11" s="896"/>
      <c r="JD11" s="896"/>
      <c r="JE11" s="896"/>
      <c r="JF11" s="896"/>
      <c r="JG11" s="896"/>
      <c r="JH11" s="896"/>
      <c r="JI11" s="896"/>
      <c r="JJ11" s="896"/>
      <c r="JK11" s="896"/>
      <c r="JM11" s="896"/>
      <c r="JN11" s="896"/>
      <c r="JO11" s="896"/>
      <c r="JP11" s="896"/>
      <c r="JQ11" s="896"/>
      <c r="JR11" s="896"/>
      <c r="JS11" s="896"/>
      <c r="JT11" s="896"/>
      <c r="JU11" s="896"/>
      <c r="JV11" s="896"/>
      <c r="JW11" s="896"/>
      <c r="JX11" s="896"/>
      <c r="JY11" s="896"/>
      <c r="JZ11" s="896"/>
      <c r="KA11" s="896"/>
      <c r="KB11" s="896"/>
      <c r="KC11" s="896"/>
      <c r="KE11" s="896"/>
      <c r="KF11" s="896"/>
      <c r="KG11" s="896"/>
      <c r="KH11" s="896"/>
      <c r="KI11" s="896"/>
      <c r="KJ11" s="896"/>
      <c r="KK11" s="896"/>
      <c r="KL11" s="896"/>
      <c r="KM11" s="896"/>
      <c r="KN11" s="896"/>
      <c r="KO11" s="896"/>
      <c r="KP11" s="896"/>
      <c r="KQ11" s="896"/>
      <c r="KR11" s="896"/>
      <c r="KS11" s="896"/>
      <c r="KT11" s="896"/>
      <c r="KU11" s="896"/>
    </row>
    <row r="12" spans="1:310" s="897" customFormat="1" collapsed="1">
      <c r="B12" s="898" t="s">
        <v>637</v>
      </c>
      <c r="C12" s="897">
        <v>1</v>
      </c>
      <c r="D12" s="897" t="s">
        <v>1359</v>
      </c>
      <c r="E12" s="899">
        <v>79.58</v>
      </c>
      <c r="F12" s="900">
        <v>9482.1004031600005</v>
      </c>
      <c r="G12" s="900">
        <v>14603.10040316</v>
      </c>
      <c r="H12" s="900">
        <v>4658</v>
      </c>
      <c r="I12" s="900">
        <v>5153</v>
      </c>
      <c r="J12" s="901">
        <v>1.51751098330051</v>
      </c>
      <c r="K12" s="901">
        <v>8.5102219082760495</v>
      </c>
      <c r="L12" s="902">
        <v>18.5261</v>
      </c>
      <c r="M12" s="899">
        <f>I12/(F12/E12)</f>
        <v>43.247352650193235</v>
      </c>
      <c r="N12" s="1129">
        <f>E12/M12</f>
        <v>1.8401126340306619</v>
      </c>
      <c r="O12" s="901"/>
      <c r="Q12" s="903">
        <v>44926</v>
      </c>
      <c r="R12" s="903">
        <v>45016</v>
      </c>
      <c r="S12" s="904"/>
      <c r="T12" s="902">
        <v>9273</v>
      </c>
      <c r="U12" s="905">
        <v>8473</v>
      </c>
      <c r="V12" s="905">
        <v>10476</v>
      </c>
      <c r="W12" s="905">
        <v>10580</v>
      </c>
      <c r="X12" s="905">
        <v>10278</v>
      </c>
      <c r="Y12" s="905">
        <v>10461.647650000001</v>
      </c>
      <c r="Z12" s="905">
        <v>10268.3995</v>
      </c>
      <c r="AA12" s="905">
        <v>10732.19506</v>
      </c>
      <c r="AB12" s="906"/>
      <c r="AC12" s="907">
        <v>9273</v>
      </c>
      <c r="AD12" s="906">
        <v>8473</v>
      </c>
      <c r="AE12" s="906">
        <v>10476</v>
      </c>
      <c r="AF12" s="906">
        <v>10580</v>
      </c>
      <c r="AG12" s="906">
        <v>10278</v>
      </c>
      <c r="AH12" s="906">
        <v>10289.88308</v>
      </c>
      <c r="AI12" s="906">
        <v>10783.849399999999</v>
      </c>
      <c r="AJ12" s="906">
        <v>11307.065000000001</v>
      </c>
      <c r="AL12" s="906">
        <v>2234</v>
      </c>
      <c r="AM12" s="906">
        <v>1975</v>
      </c>
      <c r="AN12" s="906">
        <v>2500</v>
      </c>
      <c r="AO12" s="906">
        <v>2137</v>
      </c>
      <c r="AP12" s="906">
        <v>2116</v>
      </c>
      <c r="AQ12" s="906">
        <v>2396.44642833333</v>
      </c>
      <c r="AR12" s="906">
        <v>2331.92857</v>
      </c>
      <c r="AS12" s="906">
        <v>2486.7714299999998</v>
      </c>
      <c r="AT12" s="906"/>
      <c r="AU12" s="906">
        <v>2234</v>
      </c>
      <c r="AV12" s="906">
        <v>1975</v>
      </c>
      <c r="AW12" s="906">
        <v>2500</v>
      </c>
      <c r="AX12" s="906">
        <v>2137</v>
      </c>
      <c r="AY12" s="906">
        <v>2116</v>
      </c>
      <c r="AZ12" s="906">
        <v>2336.1750000000002</v>
      </c>
      <c r="BA12" s="906">
        <v>2619</v>
      </c>
      <c r="BB12" s="906">
        <v>2599.3333299999999</v>
      </c>
      <c r="BC12" s="907"/>
      <c r="BD12" s="906">
        <v>1999</v>
      </c>
      <c r="BE12" s="906">
        <v>1775</v>
      </c>
      <c r="BF12" s="906">
        <v>2145</v>
      </c>
      <c r="BG12" s="906">
        <v>1765</v>
      </c>
      <c r="BH12" s="906">
        <v>1765</v>
      </c>
      <c r="BI12" s="906">
        <v>1906.7700841666699</v>
      </c>
      <c r="BJ12" s="906">
        <v>1842.9015300000001</v>
      </c>
      <c r="BK12" s="906">
        <v>1996.18606</v>
      </c>
      <c r="BL12" s="906"/>
      <c r="BM12" s="906">
        <v>1999</v>
      </c>
      <c r="BN12" s="906">
        <v>1538</v>
      </c>
      <c r="BO12" s="906">
        <v>2412</v>
      </c>
      <c r="BP12" s="906">
        <v>1788</v>
      </c>
      <c r="BQ12" s="906">
        <v>1765</v>
      </c>
      <c r="BR12" s="906">
        <v>1780.5312899999999</v>
      </c>
      <c r="BS12" s="906">
        <v>2010.40085</v>
      </c>
      <c r="BT12" s="906">
        <v>2191.5079999999998</v>
      </c>
      <c r="BU12" s="907"/>
      <c r="BV12" s="906">
        <v>1388</v>
      </c>
      <c r="BW12" s="906">
        <v>1201</v>
      </c>
      <c r="BX12" s="906">
        <v>1607</v>
      </c>
      <c r="BY12" s="906">
        <v>1288</v>
      </c>
      <c r="BZ12" s="906">
        <v>1288</v>
      </c>
      <c r="CA12" s="906">
        <v>1403.7464950000001</v>
      </c>
      <c r="CB12" s="906">
        <v>1336.6420700000001</v>
      </c>
      <c r="CC12" s="906">
        <v>1497.6926900000001</v>
      </c>
      <c r="CD12" s="906"/>
      <c r="CE12" s="906">
        <v>1388</v>
      </c>
      <c r="CF12" s="906">
        <v>964</v>
      </c>
      <c r="CG12" s="906">
        <v>1874</v>
      </c>
      <c r="CH12" s="906">
        <v>1311</v>
      </c>
      <c r="CI12" s="906">
        <v>1288</v>
      </c>
      <c r="CJ12" s="906">
        <v>1346.54909</v>
      </c>
      <c r="CK12" s="906">
        <v>1530.875</v>
      </c>
      <c r="CL12" s="906">
        <v>1607.1271099999999</v>
      </c>
      <c r="CM12" s="904"/>
      <c r="CN12" s="905">
        <v>9.85</v>
      </c>
      <c r="CO12" s="905">
        <v>7.3333300000000001</v>
      </c>
      <c r="CP12" s="905">
        <v>9.4666700000000006</v>
      </c>
      <c r="CQ12" s="905">
        <v>14.5</v>
      </c>
      <c r="CR12" s="905">
        <v>13.7083333333333</v>
      </c>
      <c r="CS12" s="908">
        <v>12.891666666666699</v>
      </c>
      <c r="CT12" s="905">
        <v>12.6</v>
      </c>
      <c r="CU12" s="905">
        <v>13.3</v>
      </c>
      <c r="CV12" s="904"/>
      <c r="CW12" s="909">
        <v>1.771355843</v>
      </c>
      <c r="CX12" s="909">
        <v>2.2138714854999999</v>
      </c>
      <c r="CY12" s="909">
        <v>1.9445746604</v>
      </c>
      <c r="CZ12" s="909">
        <v>1.3621625653</v>
      </c>
      <c r="DA12" s="909">
        <v>1.4208114811403001</v>
      </c>
      <c r="DB12" s="910">
        <v>1.39587002848065</v>
      </c>
      <c r="DC12" s="909">
        <v>1.42213987712106</v>
      </c>
      <c r="DD12" s="909">
        <v>1.36068160534905</v>
      </c>
      <c r="DE12" s="904"/>
      <c r="DF12" s="909">
        <v>1.7713558433085299</v>
      </c>
      <c r="DG12" s="909">
        <v>2.2138714855187098</v>
      </c>
      <c r="DH12" s="909">
        <v>1.9445746604429199</v>
      </c>
      <c r="DI12" s="909">
        <v>1.3621625652930101</v>
      </c>
      <c r="DJ12" s="909">
        <v>1.4208114811403001</v>
      </c>
      <c r="DK12" s="909">
        <v>1.42213987712106</v>
      </c>
      <c r="DL12" s="909">
        <v>1.36068160534905</v>
      </c>
      <c r="DM12" s="909">
        <v>1.2994613210727</v>
      </c>
      <c r="DO12" s="904">
        <v>7.3526332743956999</v>
      </c>
      <c r="DP12" s="904">
        <v>9.4977889097721508</v>
      </c>
      <c r="DQ12" s="904">
        <v>8.1485456571199997</v>
      </c>
      <c r="DR12" s="904">
        <v>6.7438839217594797</v>
      </c>
      <c r="DS12" s="904">
        <v>6.9028029721172004</v>
      </c>
      <c r="DT12" s="904">
        <v>6.0936477571568703</v>
      </c>
      <c r="DU12" s="904">
        <v>6.2622417303116604</v>
      </c>
      <c r="DV12" s="904">
        <v>5.8723130831368797</v>
      </c>
      <c r="DW12" s="904"/>
      <c r="DX12" s="904">
        <v>7.3526332743956999</v>
      </c>
      <c r="DY12" s="904">
        <v>9.4977889097721508</v>
      </c>
      <c r="DZ12" s="904">
        <v>8.1485456571199997</v>
      </c>
      <c r="EA12" s="904">
        <v>6.7438839217594797</v>
      </c>
      <c r="EB12" s="904">
        <v>6.9028029721172004</v>
      </c>
      <c r="EC12" s="904">
        <v>6.2508589481353098</v>
      </c>
      <c r="ED12" s="904">
        <v>5.5758306235815196</v>
      </c>
      <c r="EE12" s="904">
        <v>5.6180176026750699</v>
      </c>
      <c r="EG12" s="904">
        <v>8.2169998670000002</v>
      </c>
      <c r="EH12" s="904">
        <v>10.5679623081</v>
      </c>
      <c r="EI12" s="904">
        <v>9.4971394604999997</v>
      </c>
      <c r="EJ12" s="904">
        <v>8.1652577568000009</v>
      </c>
      <c r="EK12" s="904">
        <v>8.4852413731319007</v>
      </c>
      <c r="EL12" s="911">
        <v>7.6585533433844102</v>
      </c>
      <c r="EM12" s="911">
        <v>7.9239721523048496</v>
      </c>
      <c r="EN12" s="904">
        <v>7.3155006418389696</v>
      </c>
      <c r="EO12" s="904"/>
      <c r="EP12" s="904">
        <v>8.2169998674337208</v>
      </c>
      <c r="EQ12" s="904">
        <v>12.196445446554</v>
      </c>
      <c r="ER12" s="904">
        <v>8.4458391968490893</v>
      </c>
      <c r="ES12" s="904">
        <v>8.0602236805369092</v>
      </c>
      <c r="ET12" s="904">
        <v>8.4852413731319007</v>
      </c>
      <c r="EU12" s="904">
        <v>7.9239721523048496</v>
      </c>
      <c r="EV12" s="904">
        <v>7.3155006418389696</v>
      </c>
      <c r="EW12" s="904">
        <v>6.8712231544596998</v>
      </c>
      <c r="EY12" s="904">
        <v>11.834137417000001</v>
      </c>
      <c r="EZ12" s="904">
        <v>15.618761945699999</v>
      </c>
      <c r="FA12" s="904">
        <v>12.676642279299999</v>
      </c>
      <c r="FB12" s="904">
        <v>11.189192500600001</v>
      </c>
      <c r="FC12" s="904">
        <v>11.930637584281</v>
      </c>
      <c r="FD12" s="904">
        <v>10.4029470101437</v>
      </c>
      <c r="FE12" s="904">
        <v>10.925213810724999</v>
      </c>
      <c r="FF12" s="904">
        <v>9.7503983965896204</v>
      </c>
      <c r="FG12" s="904"/>
      <c r="FH12" s="904">
        <v>11.834137417147</v>
      </c>
      <c r="FI12" s="904">
        <v>19.458644291286301</v>
      </c>
      <c r="FJ12" s="904">
        <v>10.8705251562433</v>
      </c>
      <c r="FK12" s="904">
        <v>10.9928908778032</v>
      </c>
      <c r="FL12" s="904">
        <v>11.930637584281</v>
      </c>
      <c r="FM12" s="904">
        <v>10.925213810724999</v>
      </c>
      <c r="FN12" s="904">
        <v>9.7503983965896204</v>
      </c>
      <c r="FO12" s="904">
        <v>9.0864626153683599</v>
      </c>
      <c r="FQ12" s="904">
        <v>14.463134154</v>
      </c>
      <c r="FR12" s="904">
        <v>28.636455796</v>
      </c>
      <c r="FS12" s="904">
        <v>19.342783690699999</v>
      </c>
      <c r="FT12" s="904">
        <v>12.8270552584</v>
      </c>
      <c r="FU12" s="904">
        <v>14.1746196293011</v>
      </c>
      <c r="FV12" s="904">
        <v>9.5030672807530596</v>
      </c>
      <c r="FW12" s="904">
        <v>10.0452148272319</v>
      </c>
      <c r="FX12" s="904">
        <v>8.8354679977972399</v>
      </c>
      <c r="FY12" s="904"/>
      <c r="FZ12" s="904">
        <v>14.558373442951</v>
      </c>
      <c r="GA12" s="904">
        <v>22.713585624052801</v>
      </c>
      <c r="GB12" s="904">
        <v>12.699051002056899</v>
      </c>
      <c r="GC12" s="904">
        <v>12.6461988304094</v>
      </c>
      <c r="GD12" s="904">
        <v>14.1746196293011</v>
      </c>
      <c r="GE12" s="904">
        <v>10.025801509791499</v>
      </c>
      <c r="GF12" s="904">
        <v>8.7032506499003102</v>
      </c>
      <c r="GG12" s="904">
        <v>7.7616307422217901</v>
      </c>
      <c r="GH12" s="904"/>
      <c r="GI12" s="904"/>
      <c r="GJ12" s="912">
        <v>0.2409145</v>
      </c>
      <c r="GK12" s="912">
        <v>0.23309340000000001</v>
      </c>
      <c r="GL12" s="912">
        <v>0.23864070000000001</v>
      </c>
      <c r="GM12" s="912">
        <v>0.2019849</v>
      </c>
      <c r="GN12" s="912">
        <v>0.204533725</v>
      </c>
      <c r="GO12" s="912">
        <v>0.230268583333333</v>
      </c>
      <c r="GP12" s="912">
        <v>0.22780900000000001</v>
      </c>
      <c r="GQ12" s="912">
        <v>0.233712</v>
      </c>
      <c r="GR12" s="904"/>
      <c r="GS12" s="912">
        <v>0.240914482907365</v>
      </c>
      <c r="GT12" s="912">
        <v>0.233093355364098</v>
      </c>
      <c r="GU12" s="912">
        <v>0.238640702558228</v>
      </c>
      <c r="GV12" s="912">
        <v>0.201984877126654</v>
      </c>
      <c r="GW12" s="912">
        <v>0.204533725</v>
      </c>
      <c r="GX12" s="912">
        <v>0.22703610739180499</v>
      </c>
      <c r="GY12" s="912">
        <v>0.24286318390165901</v>
      </c>
      <c r="GZ12" s="912">
        <v>0.229885768764927</v>
      </c>
      <c r="HB12" s="912">
        <v>0.21557209102</v>
      </c>
      <c r="HC12" s="912">
        <v>0.20948896494700001</v>
      </c>
      <c r="HD12" s="912">
        <v>0.20475372279500001</v>
      </c>
      <c r="HE12" s="912">
        <v>0.16682419659700001</v>
      </c>
      <c r="HF12" s="912">
        <v>0.1656010134285</v>
      </c>
      <c r="HG12" s="912">
        <v>0.18226288515525199</v>
      </c>
      <c r="HH12" s="912">
        <v>0.17947310386589499</v>
      </c>
      <c r="HI12" s="912">
        <v>0.185999793037679</v>
      </c>
      <c r="HJ12" s="904"/>
      <c r="HK12" s="912">
        <v>0.21557209101693101</v>
      </c>
      <c r="HL12" s="912">
        <v>0.18151776230378799</v>
      </c>
      <c r="HM12" s="912">
        <v>0.23024054982817899</v>
      </c>
      <c r="HN12" s="912">
        <v>0.16899810964083201</v>
      </c>
      <c r="HO12" s="912">
        <v>0.1656010134285</v>
      </c>
      <c r="HP12" s="912">
        <v>0.173037076918856</v>
      </c>
      <c r="HQ12" s="912">
        <v>0.186427014642842</v>
      </c>
      <c r="HR12" s="912">
        <v>0.19381758219308001</v>
      </c>
      <c r="HT12" s="912">
        <v>0.1496818721</v>
      </c>
      <c r="HU12" s="912">
        <v>0.141744364452</v>
      </c>
      <c r="HV12" s="912">
        <v>0.15339824360400001</v>
      </c>
      <c r="HW12" s="912">
        <v>0.121739130435</v>
      </c>
      <c r="HX12" s="912">
        <v>0.116907614199</v>
      </c>
      <c r="HY12" s="912">
        <v>0.134180249800327</v>
      </c>
      <c r="HZ12" s="912">
        <v>0.130170438927702</v>
      </c>
      <c r="IA12" s="912">
        <v>0.139551385492615</v>
      </c>
      <c r="IB12" s="904"/>
      <c r="IC12" s="912">
        <v>0.14968187210180101</v>
      </c>
      <c r="ID12" s="912">
        <v>0.14174436445178801</v>
      </c>
      <c r="IE12" s="912">
        <v>0.153398243604429</v>
      </c>
      <c r="IF12" s="912">
        <v>0.121739130434783</v>
      </c>
      <c r="IG12" s="912">
        <v>0.116907614199</v>
      </c>
      <c r="IH12" s="912">
        <v>0.12989866450455301</v>
      </c>
      <c r="II12" s="912">
        <v>0.138882938220558</v>
      </c>
      <c r="IJ12" s="912">
        <v>0.142134772374617</v>
      </c>
      <c r="IK12" s="861"/>
      <c r="IL12" s="912">
        <v>0.10442319999999999</v>
      </c>
      <c r="IM12" s="912">
        <v>8.1850500000000007E-2</v>
      </c>
      <c r="IN12" s="912">
        <v>5.6414499999999999E-2</v>
      </c>
      <c r="IO12" s="912">
        <v>8.1806000000000004E-2</v>
      </c>
      <c r="IP12" s="912">
        <v>6.4760524999999999E-2</v>
      </c>
      <c r="IQ12" s="912">
        <v>9.4919250840951E-2</v>
      </c>
      <c r="IR12" s="912">
        <v>9.7280004929672995E-2</v>
      </c>
      <c r="IS12" s="912">
        <v>9.1655751220042006E-2</v>
      </c>
      <c r="IT12" s="904"/>
      <c r="IU12" s="912">
        <v>8.2174053704303002E-2</v>
      </c>
      <c r="IV12" s="912">
        <v>5.7712734568629999E-2</v>
      </c>
      <c r="IW12" s="912">
        <v>8.2760595647193999E-2</v>
      </c>
      <c r="IX12" s="912">
        <v>7.5236294896029995E-2</v>
      </c>
      <c r="IY12" s="912">
        <v>6.4760524999999999E-2</v>
      </c>
      <c r="IZ12" s="912">
        <v>9.2218443360583005E-2</v>
      </c>
      <c r="JA12" s="912">
        <v>0.100920053649859</v>
      </c>
      <c r="JB12" s="912">
        <v>0.103298841034344</v>
      </c>
      <c r="JD12" s="912">
        <v>3.2352913561133997E-2</v>
      </c>
      <c r="JE12" s="912">
        <v>2.09637676202E-2</v>
      </c>
      <c r="JF12" s="912">
        <v>8.8009079371020003E-3</v>
      </c>
      <c r="JG12" s="912">
        <v>4.0117815913283998E-2</v>
      </c>
      <c r="JH12" s="912">
        <v>9.9274532264220002E-3</v>
      </c>
      <c r="JI12" s="912">
        <v>-4.6656154345607999E-2</v>
      </c>
      <c r="JJ12" s="912">
        <f>IF(ISERROR((AI12/AF12)^(1/2)-1),"--",(AI12/AF12)^(1/2)-1)</f>
        <v>9.5877520609741751E-3</v>
      </c>
      <c r="JK12" s="912">
        <f>IF(ISERROR((Z12/W12)^(1/2)-1),"--",(Z12/W12)^(1/2)-1)</f>
        <v>-1.4835974621580594E-2</v>
      </c>
      <c r="JM12" s="912">
        <v>2.9185724456427999E-2</v>
      </c>
      <c r="JN12" s="912">
        <v>-1.5293615336467E-2</v>
      </c>
      <c r="JO12" s="912">
        <v>-3.8129070656826997E-2</v>
      </c>
      <c r="JP12" s="912">
        <v>-1.8365320033835002E-2</v>
      </c>
      <c r="JQ12" s="912">
        <v>-0.1452</v>
      </c>
      <c r="JR12" s="912">
        <v>-0.137030995106036</v>
      </c>
      <c r="JS12" s="912">
        <f t="shared" ref="JS12:JS17" si="0">IF(ISERROR((BA12/AX12)^(1/2)-1),"--",(BA12/AX12)^(1/2)-1)</f>
        <v>0.10704554387748577</v>
      </c>
      <c r="JT12" s="912">
        <f t="shared" ref="JT12:JT17" si="1">IF(ISERROR((AR12/AO12)^(1/2)-1),"--",(AR12/AO12)^(1/2)-1)</f>
        <v>4.4612842016215293E-2</v>
      </c>
      <c r="JU12" s="912"/>
      <c r="JV12" s="912">
        <v>3.6188812730492001E-2</v>
      </c>
      <c r="JW12" s="912">
        <v>-3.2857949889870001E-2</v>
      </c>
      <c r="JX12" s="912">
        <v>-6.3245397174540002E-2</v>
      </c>
      <c r="JY12" s="912">
        <v>-5.1683654778467002E-2</v>
      </c>
      <c r="JZ12" s="912">
        <v>-0.17715617715617701</v>
      </c>
      <c r="KA12" s="912">
        <v>-0.266098081023454</v>
      </c>
      <c r="KB12" s="896">
        <f>IF(ISERROR((BS12/BP12)^(1/2)-1),"--",(BS12/BP12)^(1/2)-1)</f>
        <v>6.0370342316086623E-2</v>
      </c>
      <c r="KC12" s="896">
        <f>IF(ISERROR((BJ12/BG12)^(1/2)-1),"--",(BJ12/BG12)^(1/2)-1)</f>
        <v>2.1830144492045456E-2</v>
      </c>
      <c r="KE12" s="912">
        <v>2.9392589258573999E-2</v>
      </c>
      <c r="KF12" s="912">
        <v>-3.5981735198482002E-2</v>
      </c>
      <c r="KG12" s="912">
        <v>-6.8824042219126996E-2</v>
      </c>
      <c r="KH12" s="912">
        <v>-4.8974476626728998E-2</v>
      </c>
      <c r="KI12" s="912">
        <v>9.9274532264220002E-3</v>
      </c>
      <c r="KJ12" s="912">
        <v>0.121014500929241</v>
      </c>
      <c r="KK12" s="912">
        <f t="shared" ref="KK12:KK14" si="2">IF(ISERROR((CC14/BY14)^(1/2)-1),"--",(CC14/BY14)^(1/2)-1)</f>
        <v>-5.3108684873737877E-2</v>
      </c>
      <c r="KL12" s="912"/>
      <c r="KM12" s="912"/>
      <c r="KN12" s="912">
        <v>3.2532185373124002E-2</v>
      </c>
      <c r="KO12" s="912">
        <v>-9.6734775452640004E-3</v>
      </c>
      <c r="KP12" s="912">
        <v>-4.9348753027784999E-2</v>
      </c>
      <c r="KQ12" s="912">
        <v>-1.4435719196282001E-2</v>
      </c>
      <c r="KR12" s="912">
        <v>1.5704913364614E-2</v>
      </c>
      <c r="KS12" s="912">
        <v>-7.5589379155455994E-2</v>
      </c>
      <c r="KT12" s="912"/>
      <c r="KU12" s="912"/>
      <c r="KX12" s="897" t="s">
        <v>1366</v>
      </c>
    </row>
    <row r="13" spans="1:310">
      <c r="B13" s="888" t="s">
        <v>1194</v>
      </c>
      <c r="C13" s="861">
        <f>C12+1</f>
        <v>2</v>
      </c>
      <c r="D13" s="861" t="s">
        <v>1360</v>
      </c>
      <c r="E13" s="913">
        <v>100.7</v>
      </c>
      <c r="F13" s="914">
        <v>11160.0688398</v>
      </c>
      <c r="G13" s="914">
        <v>24799.068839799998</v>
      </c>
      <c r="H13" s="914">
        <v>13171</v>
      </c>
      <c r="I13" s="914">
        <v>5637</v>
      </c>
      <c r="J13" s="890">
        <v>1.29868996217036</v>
      </c>
      <c r="K13" s="890">
        <v>6.8360208672699496</v>
      </c>
      <c r="L13" s="889">
        <v>21.852599999999999</v>
      </c>
      <c r="M13" s="913">
        <f>I13/(F13/E13)</f>
        <v>50.864014205325709</v>
      </c>
      <c r="N13" s="1130">
        <f t="shared" ref="N13:N27" si="3">E13/M13</f>
        <v>1.9797886889835019</v>
      </c>
      <c r="O13" s="890"/>
      <c r="Q13" s="891">
        <v>44926</v>
      </c>
      <c r="R13" s="891">
        <v>44926</v>
      </c>
      <c r="S13" s="892"/>
      <c r="T13" s="889">
        <v>6297</v>
      </c>
      <c r="U13" s="915">
        <v>5655</v>
      </c>
      <c r="V13" s="915">
        <v>8537</v>
      </c>
      <c r="W13" s="915">
        <v>9673</v>
      </c>
      <c r="X13" s="915">
        <v>9673</v>
      </c>
      <c r="Y13" s="915">
        <v>12211.185347500001</v>
      </c>
      <c r="Z13" s="915">
        <v>11914.73681</v>
      </c>
      <c r="AA13" s="915">
        <v>12626.213299999999</v>
      </c>
      <c r="AB13" s="894"/>
      <c r="AC13" s="893">
        <v>6297</v>
      </c>
      <c r="AD13" s="894">
        <v>5655</v>
      </c>
      <c r="AE13" s="894">
        <v>8537</v>
      </c>
      <c r="AF13" s="894">
        <v>9673</v>
      </c>
      <c r="AG13" s="894">
        <v>9673</v>
      </c>
      <c r="AH13" s="894">
        <v>12051.54088</v>
      </c>
      <c r="AI13" s="894">
        <v>13227.357669999999</v>
      </c>
      <c r="AJ13" s="894">
        <v>14046.975</v>
      </c>
      <c r="AL13" s="894">
        <v>1606</v>
      </c>
      <c r="AM13" s="894">
        <v>1293</v>
      </c>
      <c r="AN13" s="894">
        <v>2682</v>
      </c>
      <c r="AO13" s="894">
        <v>2380</v>
      </c>
      <c r="AP13" s="894">
        <v>2380</v>
      </c>
      <c r="AQ13" s="894">
        <v>2859.3367408333302</v>
      </c>
      <c r="AR13" s="894">
        <v>2748.8272700000002</v>
      </c>
      <c r="AS13" s="894">
        <v>3014.05</v>
      </c>
      <c r="AT13" s="894"/>
      <c r="AU13" s="894">
        <v>1606</v>
      </c>
      <c r="AV13" s="894">
        <v>1293</v>
      </c>
      <c r="AW13" s="894">
        <v>2682</v>
      </c>
      <c r="AX13" s="894">
        <v>2380</v>
      </c>
      <c r="AY13" s="894">
        <v>2380</v>
      </c>
      <c r="AZ13" s="894">
        <v>2809.48</v>
      </c>
      <c r="BA13" s="894">
        <v>2977.7</v>
      </c>
      <c r="BB13" s="894">
        <v>3173.3333299999999</v>
      </c>
      <c r="BC13" s="893"/>
      <c r="BD13" s="894">
        <v>1388</v>
      </c>
      <c r="BE13" s="894">
        <v>1072</v>
      </c>
      <c r="BF13" s="894">
        <v>2316</v>
      </c>
      <c r="BG13" s="916">
        <v>1860</v>
      </c>
      <c r="BH13" s="916">
        <v>1860</v>
      </c>
      <c r="BI13" s="916">
        <v>2946.3801400000002</v>
      </c>
      <c r="BJ13" s="916">
        <v>2815.0901399999998</v>
      </c>
      <c r="BK13" s="916">
        <v>3130.1861399999998</v>
      </c>
      <c r="BL13" s="894"/>
      <c r="BM13" s="894">
        <v>1388</v>
      </c>
      <c r="BN13" s="894">
        <v>1072</v>
      </c>
      <c r="BO13" s="894">
        <v>2316</v>
      </c>
      <c r="BP13" s="894">
        <v>1860</v>
      </c>
      <c r="BQ13" s="894">
        <v>1860</v>
      </c>
      <c r="BR13" s="894">
        <v>2827.1251600000001</v>
      </c>
      <c r="BS13" s="894">
        <v>3187.0770000000002</v>
      </c>
      <c r="BT13" s="894">
        <v>3447.3935000000001</v>
      </c>
      <c r="BU13" s="893"/>
      <c r="BV13" s="894">
        <v>1032</v>
      </c>
      <c r="BW13" s="894">
        <v>716</v>
      </c>
      <c r="BX13" s="894">
        <v>1938</v>
      </c>
      <c r="BY13" s="916">
        <v>1382</v>
      </c>
      <c r="BZ13" s="916">
        <v>1382</v>
      </c>
      <c r="CA13" s="916">
        <v>2144.5535249999998</v>
      </c>
      <c r="CB13" s="916">
        <v>2019.03015</v>
      </c>
      <c r="CC13" s="916">
        <v>2320.2862500000001</v>
      </c>
      <c r="CD13" s="894"/>
      <c r="CE13" s="894">
        <v>1032</v>
      </c>
      <c r="CF13" s="894">
        <v>716</v>
      </c>
      <c r="CG13" s="894">
        <v>1938</v>
      </c>
      <c r="CH13" s="894">
        <v>1382</v>
      </c>
      <c r="CI13" s="894">
        <v>1382</v>
      </c>
      <c r="CJ13" s="894">
        <v>2071.2145500000001</v>
      </c>
      <c r="CK13" s="894">
        <v>2424.19</v>
      </c>
      <c r="CL13" s="894">
        <v>2578.2586700000002</v>
      </c>
      <c r="CM13" s="892"/>
      <c r="CN13" s="915">
        <v>19.066669999999998</v>
      </c>
      <c r="CO13" s="915">
        <v>13.466670000000001</v>
      </c>
      <c r="CP13" s="915">
        <v>25.35</v>
      </c>
      <c r="CQ13" s="915">
        <v>18.100000000000001</v>
      </c>
      <c r="CR13" s="915">
        <v>15.35</v>
      </c>
      <c r="CS13" s="917">
        <v>11.8333333333333</v>
      </c>
      <c r="CT13" s="915">
        <v>11.5</v>
      </c>
      <c r="CU13" s="915">
        <v>12.3</v>
      </c>
      <c r="CV13" s="892"/>
      <c r="CW13" s="918">
        <v>2.9399138410000001</v>
      </c>
      <c r="CX13" s="918">
        <v>3.0838284159999998</v>
      </c>
      <c r="CY13" s="918">
        <v>2.5680531502999999</v>
      </c>
      <c r="CZ13" s="918">
        <v>2.5565361939</v>
      </c>
      <c r="DA13" s="918">
        <v>2.5637412219373501</v>
      </c>
      <c r="DB13" s="919">
        <v>2.0308486141255</v>
      </c>
      <c r="DC13" s="918">
        <v>2.0813778126417599</v>
      </c>
      <c r="DD13" s="918">
        <v>1.96409392512005</v>
      </c>
      <c r="DE13" s="892"/>
      <c r="DF13" s="918">
        <v>2.93991384074956</v>
      </c>
      <c r="DG13" s="918">
        <v>3.0838284159858498</v>
      </c>
      <c r="DH13" s="918">
        <v>2.56805315033384</v>
      </c>
      <c r="DI13" s="918">
        <v>2.5565361938592002</v>
      </c>
      <c r="DJ13" s="918">
        <v>2.5637412219373501</v>
      </c>
      <c r="DK13" s="918">
        <v>2.0813778126417599</v>
      </c>
      <c r="DL13" s="918">
        <v>1.96409392512005</v>
      </c>
      <c r="DM13" s="918">
        <v>1.87449643899199</v>
      </c>
      <c r="DO13" s="892">
        <v>11.5271715163138</v>
      </c>
      <c r="DP13" s="892">
        <v>13.4872774109822</v>
      </c>
      <c r="DQ13" s="892">
        <v>8.1742989352721906</v>
      </c>
      <c r="DR13" s="892">
        <v>10.3904935307563</v>
      </c>
      <c r="DS13" s="892">
        <v>7.6530966517857104</v>
      </c>
      <c r="DT13" s="892">
        <v>8.6730144392060993</v>
      </c>
      <c r="DU13" s="892">
        <v>9.0216904897774892</v>
      </c>
      <c r="DV13" s="892">
        <v>8.2278226438844797</v>
      </c>
      <c r="DW13" s="892"/>
      <c r="DX13" s="892">
        <v>11.5271715163138</v>
      </c>
      <c r="DY13" s="892">
        <v>13.4872774109822</v>
      </c>
      <c r="DZ13" s="892">
        <v>8.1742989352721906</v>
      </c>
      <c r="EA13" s="892">
        <v>10.3904935307563</v>
      </c>
      <c r="EB13" s="892">
        <v>7.6530966517857104</v>
      </c>
      <c r="EC13" s="892">
        <v>8.8269248543502794</v>
      </c>
      <c r="ED13" s="892">
        <v>8.3282630351613705</v>
      </c>
      <c r="EE13" s="892">
        <v>7.8148326257929002</v>
      </c>
      <c r="EG13" s="892">
        <v>13.337635054</v>
      </c>
      <c r="EH13" s="892">
        <v>16.2677702354</v>
      </c>
      <c r="EI13" s="892">
        <v>9.4660922903000007</v>
      </c>
      <c r="EJ13" s="892">
        <v>13.295362689899999</v>
      </c>
      <c r="EK13" s="892">
        <v>13.3328327095699</v>
      </c>
      <c r="EL13" s="895">
        <v>8.4167920164571903</v>
      </c>
      <c r="EM13" s="895">
        <v>8.8093338424324905</v>
      </c>
      <c r="EN13" s="892">
        <v>7.9225540369302196</v>
      </c>
      <c r="EO13" s="892"/>
      <c r="EP13" s="892">
        <v>13.337635054178699</v>
      </c>
      <c r="EQ13" s="892">
        <v>16.267770235447799</v>
      </c>
      <c r="ER13" s="892">
        <v>9.4660922903281506</v>
      </c>
      <c r="ES13" s="892">
        <v>13.295362689892499</v>
      </c>
      <c r="ET13" s="892">
        <v>13.3328327095699</v>
      </c>
      <c r="EU13" s="892">
        <v>8.8093338424324905</v>
      </c>
      <c r="EV13" s="892">
        <v>7.9225540369302196</v>
      </c>
      <c r="EW13" s="892">
        <v>7.2988277379983799</v>
      </c>
      <c r="EY13" s="892">
        <v>17.938602185000001</v>
      </c>
      <c r="EZ13" s="892">
        <v>24.356214654199999</v>
      </c>
      <c r="FA13" s="892">
        <v>11.312419888799999</v>
      </c>
      <c r="FB13" s="892">
        <v>17.8939034755</v>
      </c>
      <c r="FC13" s="892">
        <v>17.9443334586107</v>
      </c>
      <c r="FD13" s="892">
        <v>11.5637444114621</v>
      </c>
      <c r="FE13" s="892">
        <v>12.282663951204499</v>
      </c>
      <c r="FF13" s="892">
        <v>10.687935094128999</v>
      </c>
      <c r="FG13" s="892"/>
      <c r="FH13" s="892">
        <v>17.9386021852713</v>
      </c>
      <c r="FI13" s="892">
        <v>24.356214654189898</v>
      </c>
      <c r="FJ13" s="892">
        <v>11.3124198887513</v>
      </c>
      <c r="FK13" s="892">
        <v>17.8939034755427</v>
      </c>
      <c r="FL13" s="892">
        <v>17.9443334586107</v>
      </c>
      <c r="FM13" s="892">
        <v>12.282663951204499</v>
      </c>
      <c r="FN13" s="892">
        <v>10.687935094128999</v>
      </c>
      <c r="FO13" s="892">
        <v>9.6185340626819293</v>
      </c>
      <c r="FQ13" s="892">
        <v>17.887081261999999</v>
      </c>
      <c r="FR13" s="892">
        <v>7.7092988003</v>
      </c>
      <c r="FS13" s="892">
        <v>9.8519395237000005</v>
      </c>
      <c r="FT13" s="892">
        <v>5.8718327767999998</v>
      </c>
      <c r="FU13" s="892">
        <v>5.7815548306125004</v>
      </c>
      <c r="FV13" s="892">
        <v>7.7289969592498799</v>
      </c>
      <c r="FW13" s="892">
        <v>8.4200351684885</v>
      </c>
      <c r="FX13" s="892">
        <v>6.9324638954251299</v>
      </c>
      <c r="FY13" s="892"/>
      <c r="FZ13" s="892">
        <v>14.753411451694699</v>
      </c>
      <c r="GA13" s="892">
        <v>5.9094371422501899</v>
      </c>
      <c r="GB13" s="892">
        <v>5.8879523257119297</v>
      </c>
      <c r="GC13" s="892">
        <v>5.7815548306125004</v>
      </c>
      <c r="GD13" s="892">
        <v>5.7815548306125004</v>
      </c>
      <c r="GE13" s="892">
        <v>8.4647669835420398</v>
      </c>
      <c r="GF13" s="892">
        <v>6.7643364300156499</v>
      </c>
      <c r="GG13" s="892">
        <v>5.4184472570388698</v>
      </c>
      <c r="GH13" s="892"/>
      <c r="GI13" s="892"/>
      <c r="GJ13" s="896">
        <v>0.25504209999999999</v>
      </c>
      <c r="GK13" s="896">
        <v>0.22864719999999999</v>
      </c>
      <c r="GL13" s="896">
        <v>0.31416189999999999</v>
      </c>
      <c r="GM13" s="896">
        <v>0.24604570000000001</v>
      </c>
      <c r="GN13" s="896">
        <v>0.24448945</v>
      </c>
      <c r="GO13" s="896">
        <v>0.24457927500000001</v>
      </c>
      <c r="GP13" s="896">
        <v>0.2388209</v>
      </c>
      <c r="GQ13" s="896">
        <v>0.252641</v>
      </c>
      <c r="GR13" s="892"/>
      <c r="GS13" s="896">
        <v>0.25504208353184099</v>
      </c>
      <c r="GT13" s="896">
        <v>0.22864721485411099</v>
      </c>
      <c r="GU13" s="896">
        <v>0.314161883565655</v>
      </c>
      <c r="GV13" s="896">
        <v>0.24604569420035199</v>
      </c>
      <c r="GW13" s="896">
        <v>0.24448945</v>
      </c>
      <c r="GX13" s="896">
        <v>0.23312205700288799</v>
      </c>
      <c r="GY13" s="896">
        <v>0.22511676740650199</v>
      </c>
      <c r="GZ13" s="896">
        <v>0.225908662185275</v>
      </c>
      <c r="HB13" s="896">
        <v>0.22042242338000001</v>
      </c>
      <c r="HC13" s="896">
        <v>0.189566755084</v>
      </c>
      <c r="HD13" s="896">
        <v>0.27128968021599997</v>
      </c>
      <c r="HE13" s="896">
        <v>0.19228781143400001</v>
      </c>
      <c r="HF13" s="896">
        <v>0.19044895629575001</v>
      </c>
      <c r="HG13" s="896">
        <v>0.241285350779088</v>
      </c>
      <c r="HH13" s="896">
        <v>0.236269603340067</v>
      </c>
      <c r="HI13" s="896">
        <v>0.24791171078980601</v>
      </c>
      <c r="HJ13" s="892"/>
      <c r="HK13" s="896">
        <v>0.22042242337621101</v>
      </c>
      <c r="HL13" s="896">
        <v>0.18956675508399601</v>
      </c>
      <c r="HM13" s="896">
        <v>0.27128968021553201</v>
      </c>
      <c r="HN13" s="896">
        <v>0.19228781143388801</v>
      </c>
      <c r="HO13" s="896">
        <v>0.19044895629575001</v>
      </c>
      <c r="HP13" s="896">
        <v>0.23458619840818201</v>
      </c>
      <c r="HQ13" s="896">
        <v>0.240945854758912</v>
      </c>
      <c r="HR13" s="896">
        <v>0.24541892471510801</v>
      </c>
      <c r="HT13" s="896">
        <v>0.16388756551</v>
      </c>
      <c r="HU13" s="896">
        <v>0.126613616269</v>
      </c>
      <c r="HV13" s="896">
        <v>0.22701183085400001</v>
      </c>
      <c r="HW13" s="896">
        <v>0.14287191150600001</v>
      </c>
      <c r="HX13" s="896">
        <v>0.14080354792800001</v>
      </c>
      <c r="HY13" s="896">
        <v>0.17562205993696201</v>
      </c>
      <c r="HZ13" s="896">
        <v>0.16945654630872201</v>
      </c>
      <c r="IA13" s="896">
        <v>0.18376738891303199</v>
      </c>
      <c r="IB13" s="892"/>
      <c r="IC13" s="896">
        <v>0.16388756550738401</v>
      </c>
      <c r="ID13" s="896">
        <v>0.126613616268789</v>
      </c>
      <c r="IE13" s="896">
        <v>0.22701183085393001</v>
      </c>
      <c r="IF13" s="896">
        <v>0.142871911506255</v>
      </c>
      <c r="IG13" s="896">
        <v>0.14080354792800001</v>
      </c>
      <c r="IH13" s="896">
        <v>0.16753294621027701</v>
      </c>
      <c r="II13" s="896">
        <v>0.175415703414634</v>
      </c>
      <c r="IJ13" s="896">
        <v>0.18354547295770099</v>
      </c>
      <c r="IL13" s="896">
        <v>0.1684137</v>
      </c>
      <c r="IM13" s="896">
        <v>0.1362554</v>
      </c>
      <c r="IN13" s="896">
        <v>0.35313879999999997</v>
      </c>
      <c r="IO13" s="896">
        <v>0.22396630000000001</v>
      </c>
      <c r="IP13" s="896">
        <v>0.19632839999999999</v>
      </c>
      <c r="IQ13" s="896">
        <v>0.116622156269611</v>
      </c>
      <c r="IR13" s="896">
        <v>0.17842991187980001</v>
      </c>
      <c r="IS13" s="896">
        <v>0.10931258413588101</v>
      </c>
      <c r="IT13" s="892"/>
      <c r="IU13" s="896">
        <v>0.137208194378275</v>
      </c>
      <c r="IV13" s="896">
        <v>0.35437665782493399</v>
      </c>
      <c r="IW13" s="896">
        <v>0.224669087501464</v>
      </c>
      <c r="IX13" s="896">
        <v>0.197456838622971</v>
      </c>
      <c r="IY13" s="896">
        <v>0.19632839999999999</v>
      </c>
      <c r="IZ13" s="896">
        <v>0.10796061955523201</v>
      </c>
      <c r="JA13" s="896">
        <v>0.12426140133247</v>
      </c>
      <c r="JB13" s="896">
        <v>0.13224624305232999</v>
      </c>
      <c r="JD13" s="896">
        <v>3.245996796812E-2</v>
      </c>
      <c r="JE13" s="896">
        <v>0.10013961716245499</v>
      </c>
      <c r="JF13" s="896">
        <v>8.4564715816654007E-2</v>
      </c>
      <c r="JG13" s="896">
        <v>0.16803941712640999</v>
      </c>
      <c r="JH13" s="896">
        <v>0.13306782242005399</v>
      </c>
      <c r="JI13" s="896">
        <v>0.13306782242005399</v>
      </c>
      <c r="JJ13" s="896">
        <f>IF(ISERROR((AI13/AF13)^(1/2)-1),"--",(AI13/AF13)^(1/2)-1)</f>
        <v>0.16938078858818062</v>
      </c>
      <c r="JK13" s="896">
        <f>IF(ISERROR((Z13/W13)^(1/2)-1),"--",(Z13/W13)^(1/2)-1)</f>
        <v>0.10984321885262904</v>
      </c>
      <c r="JM13" s="896">
        <v>5.2401735007840997E-2</v>
      </c>
      <c r="JN13" s="896">
        <v>9.7086112630141996E-2</v>
      </c>
      <c r="JO13" s="896">
        <v>5.653988714844E-2</v>
      </c>
      <c r="JP13" s="896">
        <v>0.16609004636820901</v>
      </c>
      <c r="JQ13" s="896">
        <v>-0.112602535421327</v>
      </c>
      <c r="JR13" s="896">
        <v>-0.112602535421327</v>
      </c>
      <c r="JS13" s="896">
        <f t="shared" si="0"/>
        <v>0.11854121684518737</v>
      </c>
      <c r="JT13" s="896">
        <f t="shared" si="1"/>
        <v>7.4695045664801896E-2</v>
      </c>
      <c r="JU13" s="896"/>
      <c r="JV13" s="896">
        <v>6.0179647380317003E-2</v>
      </c>
      <c r="JW13" s="896">
        <v>8.032521753388E-2</v>
      </c>
      <c r="JX13" s="896">
        <v>3.0403321587547001E-2</v>
      </c>
      <c r="JY13" s="896">
        <v>0.13266372402087301</v>
      </c>
      <c r="JZ13" s="896">
        <v>-0.19689119170984501</v>
      </c>
      <c r="KA13" s="896">
        <v>-0.19689119170984501</v>
      </c>
      <c r="KB13" s="896">
        <f>IF(ISERROR((BS13/BP13)^(1/2)-1),"--",(BS13/BP13)^(1/2)-1)</f>
        <v>0.30900048054403562</v>
      </c>
      <c r="KC13" s="896">
        <f>IF(ISERROR((BJ13/BG13)^(1/2)-1),"--",(BJ13/BG13)^(1/2)-1)</f>
        <v>0.23023953869994163</v>
      </c>
      <c r="KE13" s="896">
        <v>6.8323719546047004E-2</v>
      </c>
      <c r="KF13" s="896">
        <v>7.8743209553054E-2</v>
      </c>
      <c r="KG13" s="896">
        <v>1.599604354775E-2</v>
      </c>
      <c r="KH13" s="896">
        <v>0.14443827478888799</v>
      </c>
      <c r="KI13" s="896">
        <v>0.13306782242005399</v>
      </c>
      <c r="KJ13" s="896">
        <v>0.28496498239201701</v>
      </c>
      <c r="KK13" s="896">
        <f t="shared" si="2"/>
        <v>-8.8840348466461494E-2</v>
      </c>
      <c r="KL13" s="896"/>
      <c r="KM13" s="896"/>
      <c r="KN13" s="896">
        <v>0.139159647475531</v>
      </c>
      <c r="KO13" s="896">
        <v>0.20277497481648199</v>
      </c>
      <c r="KP13" s="896">
        <v>0.184866046545761</v>
      </c>
      <c r="KQ13" s="896">
        <v>0.42053712491296702</v>
      </c>
      <c r="KR13" s="896">
        <v>2.0715100972708001E-2</v>
      </c>
      <c r="KS13" s="896">
        <v>1.8402920705011001E-2</v>
      </c>
      <c r="KT13" s="896"/>
      <c r="KU13" s="896"/>
      <c r="KX13" s="861" t="s">
        <v>1367</v>
      </c>
    </row>
    <row r="14" spans="1:310">
      <c r="B14" s="888" t="s">
        <v>1197</v>
      </c>
      <c r="C14" s="861">
        <f t="shared" ref="C14:C27" si="4">C13+1</f>
        <v>3</v>
      </c>
      <c r="D14" s="861" t="s">
        <v>1361</v>
      </c>
      <c r="E14" s="913">
        <v>51.269574449261299</v>
      </c>
      <c r="F14" s="914">
        <v>45579.060581013502</v>
      </c>
      <c r="G14" s="914">
        <v>67046.486008626205</v>
      </c>
      <c r="H14" s="914">
        <v>19001.498287671198</v>
      </c>
      <c r="I14" s="914">
        <v>42351.241438356199</v>
      </c>
      <c r="J14" s="890">
        <v>1.29697014548418</v>
      </c>
      <c r="K14" s="890">
        <v>8.5595893345015597</v>
      </c>
      <c r="L14" s="889">
        <v>28.000274999999998</v>
      </c>
      <c r="M14" s="913">
        <f>I14/(F14/E14)</f>
        <v>47.638764341863961</v>
      </c>
      <c r="N14" s="1130">
        <f t="shared" si="3"/>
        <v>1.0762154551562677</v>
      </c>
      <c r="O14" s="890">
        <f>+J14/(1+((1-L14/100)*(H14/F14)))</f>
        <v>0.9975463036192227</v>
      </c>
      <c r="Q14" s="891">
        <v>44926</v>
      </c>
      <c r="R14" s="891">
        <v>45016</v>
      </c>
      <c r="S14" s="892"/>
      <c r="T14" s="889">
        <v>66493.285205031105</v>
      </c>
      <c r="U14" s="915">
        <v>72238.641914997599</v>
      </c>
      <c r="V14" s="915">
        <v>89350.430848282296</v>
      </c>
      <c r="W14" s="915">
        <v>93457.833904109604</v>
      </c>
      <c r="X14" s="915">
        <v>87936.235566305098</v>
      </c>
      <c r="Y14" s="915">
        <v>91647.868062811904</v>
      </c>
      <c r="Z14" s="915">
        <v>90659.470330081298</v>
      </c>
      <c r="AA14" s="915">
        <v>93031.624888634702</v>
      </c>
      <c r="AB14" s="894"/>
      <c r="AC14" s="893">
        <v>66278.882161212401</v>
      </c>
      <c r="AD14" s="894">
        <v>68326.303706389401</v>
      </c>
      <c r="AE14" s="894">
        <v>91429.5657615604</v>
      </c>
      <c r="AF14" s="894">
        <v>91809.244310091104</v>
      </c>
      <c r="AG14" s="894">
        <v>87936.235566305098</v>
      </c>
      <c r="AH14" s="894">
        <v>88484.003094930798</v>
      </c>
      <c r="AI14" s="894">
        <v>93031.624888634702</v>
      </c>
      <c r="AJ14" s="894">
        <v>95861.187200930697</v>
      </c>
      <c r="AL14" s="894">
        <v>18221.868484182702</v>
      </c>
      <c r="AM14" s="894">
        <v>18452.61358085</v>
      </c>
      <c r="AN14" s="894">
        <v>22505.286133278802</v>
      </c>
      <c r="AO14" s="894">
        <v>22546.0188356164</v>
      </c>
      <c r="AP14" s="894">
        <v>21241.389547905801</v>
      </c>
      <c r="AQ14" s="894">
        <v>22179.7262996268</v>
      </c>
      <c r="AR14" s="894">
        <v>21535.170369390798</v>
      </c>
      <c r="AS14" s="894">
        <v>23082.104601957199</v>
      </c>
      <c r="AT14" s="894"/>
      <c r="AU14" s="894">
        <v>18168.7262541852</v>
      </c>
      <c r="AV14" s="894">
        <v>17439.723764471899</v>
      </c>
      <c r="AW14" s="894">
        <v>23040.729617314999</v>
      </c>
      <c r="AX14" s="894">
        <v>22195.356674278599</v>
      </c>
      <c r="AY14" s="894">
        <v>21241.389547905801</v>
      </c>
      <c r="AZ14" s="894">
        <v>21266.2568621299</v>
      </c>
      <c r="BA14" s="894">
        <v>23082.104601957199</v>
      </c>
      <c r="BB14" s="894">
        <v>25085.2673454994</v>
      </c>
      <c r="BC14" s="893"/>
      <c r="BD14" s="894">
        <v>9247.1358428805306</v>
      </c>
      <c r="BE14" s="894">
        <v>9904.7386419150007</v>
      </c>
      <c r="BF14" s="894">
        <v>12702.6351090194</v>
      </c>
      <c r="BG14" s="916">
        <v>11606.3784246575</v>
      </c>
      <c r="BH14" s="916">
        <v>11606.3784246575</v>
      </c>
      <c r="BI14" s="916">
        <v>10529.771217689</v>
      </c>
      <c r="BJ14" s="916">
        <v>9908.0222950603293</v>
      </c>
      <c r="BK14" s="916">
        <v>11400.219709369199</v>
      </c>
      <c r="BL14" s="894"/>
      <c r="BM14" s="894">
        <v>9609.7856479250404</v>
      </c>
      <c r="BN14" s="894">
        <v>11688.610346462499</v>
      </c>
      <c r="BO14" s="894">
        <v>12567.995285613</v>
      </c>
      <c r="BP14" s="894">
        <v>12472.742724681701</v>
      </c>
      <c r="BQ14" s="894">
        <v>11606.3784246575</v>
      </c>
      <c r="BR14" s="894">
        <v>10268.664822565401</v>
      </c>
      <c r="BS14" s="894">
        <v>11400.219709369199</v>
      </c>
      <c r="BT14" s="894">
        <v>12212.766045480501</v>
      </c>
      <c r="BU14" s="893"/>
      <c r="BV14" s="894">
        <v>4599.4664036051399</v>
      </c>
      <c r="BW14" s="894">
        <v>5257.6941866145598</v>
      </c>
      <c r="BX14" s="894">
        <v>8685.1738171566303</v>
      </c>
      <c r="BY14" s="916">
        <v>7510.7020547945203</v>
      </c>
      <c r="BZ14" s="916">
        <v>7510.7020547945203</v>
      </c>
      <c r="CA14" s="916">
        <v>6073.43306245236</v>
      </c>
      <c r="CB14" s="916">
        <v>5601.5143812488304</v>
      </c>
      <c r="CC14" s="916">
        <v>6734.1192161373101</v>
      </c>
      <c r="CD14" s="894"/>
      <c r="CE14" s="894">
        <v>4893.0868676989203</v>
      </c>
      <c r="CF14" s="894">
        <v>3840.2449864103301</v>
      </c>
      <c r="CG14" s="894">
        <v>8283.1502176626</v>
      </c>
      <c r="CH14" s="894">
        <v>8052.9857306633203</v>
      </c>
      <c r="CI14" s="894">
        <v>7510.7020547945203</v>
      </c>
      <c r="CJ14" s="894">
        <v>5940.8248639878902</v>
      </c>
      <c r="CK14" s="894">
        <v>6734.1192161373101</v>
      </c>
      <c r="CL14" s="894">
        <v>7618.9640897317704</v>
      </c>
      <c r="CM14" s="892"/>
      <c r="CN14" s="915">
        <v>6.66</v>
      </c>
      <c r="CO14" s="915">
        <v>4.95</v>
      </c>
      <c r="CP14" s="915">
        <v>11.842000000000001</v>
      </c>
      <c r="CQ14" s="915">
        <v>7.6</v>
      </c>
      <c r="CR14" s="915">
        <v>7.90208333333333</v>
      </c>
      <c r="CS14" s="917">
        <v>8.7104166666666707</v>
      </c>
      <c r="CT14" s="915">
        <v>8.3249999999999993</v>
      </c>
      <c r="CU14" s="915">
        <v>9.25</v>
      </c>
      <c r="CV14" s="892"/>
      <c r="CW14" s="918">
        <v>1.342614805</v>
      </c>
      <c r="CX14" s="918">
        <v>1.2874425741</v>
      </c>
      <c r="CY14" s="918">
        <v>0.93891210300000005</v>
      </c>
      <c r="CZ14" s="918">
        <v>0.6936105695</v>
      </c>
      <c r="DA14" s="918">
        <v>0.71971739527565604</v>
      </c>
      <c r="DB14" s="919">
        <v>0.73156623744564497</v>
      </c>
      <c r="DC14" s="918">
        <v>0.73954200001960302</v>
      </c>
      <c r="DD14" s="918">
        <v>0.720684886337151</v>
      </c>
      <c r="DE14" s="892"/>
      <c r="DF14" s="918">
        <v>1.34261480496831</v>
      </c>
      <c r="DG14" s="918">
        <v>1.28744257412298</v>
      </c>
      <c r="DH14" s="918">
        <v>0.93891210295681804</v>
      </c>
      <c r="DI14" s="918">
        <v>0.69360262690889596</v>
      </c>
      <c r="DJ14" s="918">
        <v>0.71971739527565604</v>
      </c>
      <c r="DK14" s="918">
        <v>0.73954200001960302</v>
      </c>
      <c r="DL14" s="918">
        <v>0.720684886337151</v>
      </c>
      <c r="DM14" s="918">
        <v>0.69941222267665804</v>
      </c>
      <c r="DO14" s="892">
        <v>4.8993257318671199</v>
      </c>
      <c r="DP14" s="892">
        <v>5.0401046274935499</v>
      </c>
      <c r="DQ14" s="892">
        <v>3.7276664882658999</v>
      </c>
      <c r="DR14" s="892">
        <v>2.87515689005079</v>
      </c>
      <c r="DS14" s="892">
        <v>2.9240615287630201</v>
      </c>
      <c r="DT14" s="892">
        <v>3.0228725595118999</v>
      </c>
      <c r="DU14" s="892">
        <v>3.1133482976258802</v>
      </c>
      <c r="DV14" s="892">
        <v>2.9046955277614201</v>
      </c>
      <c r="DW14" s="892"/>
      <c r="DX14" s="892">
        <v>4.9136559106167299</v>
      </c>
      <c r="DY14" s="892">
        <v>5.3328312050250597</v>
      </c>
      <c r="DZ14" s="892">
        <v>3.6410392518479102</v>
      </c>
      <c r="EA14" s="892">
        <v>2.9205811985692902</v>
      </c>
      <c r="EB14" s="892">
        <v>2.9240615287630201</v>
      </c>
      <c r="EC14" s="892">
        <v>3.15271683415147</v>
      </c>
      <c r="ED14" s="892">
        <v>2.9046955277614201</v>
      </c>
      <c r="EE14" s="892">
        <v>2.6727435305031801</v>
      </c>
      <c r="EG14" s="892">
        <v>9.6543265572999992</v>
      </c>
      <c r="EH14" s="892">
        <v>9.3897584238</v>
      </c>
      <c r="EI14" s="892">
        <v>6.6043147904000001</v>
      </c>
      <c r="EJ14" s="892">
        <v>5.5851480132000004</v>
      </c>
      <c r="EK14" s="892">
        <v>6.1381102063825201</v>
      </c>
      <c r="EL14" s="895">
        <v>6.3673259962186401</v>
      </c>
      <c r="EM14" s="895">
        <v>6.7668888918480103</v>
      </c>
      <c r="EN14" s="892">
        <v>5.88115735642572</v>
      </c>
      <c r="EO14" s="892"/>
      <c r="EP14" s="892">
        <v>9.2899958873204493</v>
      </c>
      <c r="EQ14" s="892">
        <v>7.9567288447030098</v>
      </c>
      <c r="ER14" s="892">
        <v>6.6750662314372899</v>
      </c>
      <c r="ES14" s="892">
        <v>5.1972002332864502</v>
      </c>
      <c r="ET14" s="892">
        <v>6.1381102063825201</v>
      </c>
      <c r="EU14" s="892">
        <v>6.7668888918480103</v>
      </c>
      <c r="EV14" s="892">
        <v>5.88115735642572</v>
      </c>
      <c r="EW14" s="892">
        <v>5.4898690238512904</v>
      </c>
      <c r="EY14" s="892">
        <v>19.409831774699999</v>
      </c>
      <c r="EZ14" s="892">
        <v>17.6889525707</v>
      </c>
      <c r="FA14" s="892">
        <v>9.6592426005000007</v>
      </c>
      <c r="FB14" s="892">
        <v>8.6307965520999996</v>
      </c>
      <c r="FC14" s="892">
        <v>10.7189028480269</v>
      </c>
      <c r="FD14" s="892">
        <v>11.0393059936934</v>
      </c>
      <c r="FE14" s="892">
        <v>11.969349973119</v>
      </c>
      <c r="FF14" s="892">
        <v>9.9562368673187898</v>
      </c>
      <c r="FG14" s="892"/>
      <c r="FH14" s="892">
        <v>18.245102030906299</v>
      </c>
      <c r="FI14" s="892">
        <v>24.218013024509499</v>
      </c>
      <c r="FJ14" s="892">
        <v>10.1280549939769</v>
      </c>
      <c r="FK14" s="892">
        <v>8.0496034100259308</v>
      </c>
      <c r="FL14" s="892">
        <v>10.7189028480269</v>
      </c>
      <c r="FM14" s="892">
        <v>11.969349973119</v>
      </c>
      <c r="FN14" s="892">
        <v>9.9562368673187898</v>
      </c>
      <c r="FO14" s="892">
        <v>8.7999477644193203</v>
      </c>
      <c r="FQ14" s="892">
        <v>24.9836780722</v>
      </c>
      <c r="FR14" s="892"/>
      <c r="FS14" s="892">
        <v>10.2075209834</v>
      </c>
      <c r="FT14" s="892"/>
      <c r="FU14" s="892"/>
      <c r="FV14" s="892">
        <v>9.6246137663532902</v>
      </c>
      <c r="FW14" s="892">
        <v>10.2808608779536</v>
      </c>
      <c r="FX14" s="892">
        <v>8.8350704270982803</v>
      </c>
      <c r="FY14" s="892"/>
      <c r="FZ14" s="892">
        <v>17.1063885356463</v>
      </c>
      <c r="GA14" s="892">
        <v>-27.911607706280499</v>
      </c>
      <c r="GB14" s="892">
        <v>7.2563802298084799</v>
      </c>
      <c r="GC14" s="892">
        <v>-65.161408600326197</v>
      </c>
      <c r="GD14" s="892"/>
      <c r="GE14" s="892">
        <v>10.544881361322499</v>
      </c>
      <c r="GF14" s="892">
        <v>8.8350704270982803</v>
      </c>
      <c r="GG14" s="892">
        <v>7.9000059641977698</v>
      </c>
      <c r="GH14" s="892"/>
      <c r="GI14" s="892"/>
      <c r="GJ14" s="896">
        <v>0.27404070000000003</v>
      </c>
      <c r="GK14" s="896">
        <v>0.25543969999999999</v>
      </c>
      <c r="GL14" s="896">
        <v>0.25187660000000001</v>
      </c>
      <c r="GM14" s="896">
        <v>0.2412427</v>
      </c>
      <c r="GN14" s="896">
        <v>0.240974575</v>
      </c>
      <c r="GO14" s="896">
        <v>0.23877430833333299</v>
      </c>
      <c r="GP14" s="896">
        <v>0.23508860000000001</v>
      </c>
      <c r="GQ14" s="896">
        <v>0.24393429999999999</v>
      </c>
      <c r="GR14" s="892"/>
      <c r="GS14" s="896">
        <v>0.27412541765554899</v>
      </c>
      <c r="GT14" s="896">
        <v>0.25524172710137399</v>
      </c>
      <c r="GU14" s="896">
        <v>0.25200523950209902</v>
      </c>
      <c r="GV14" s="896">
        <v>0.241755139594794</v>
      </c>
      <c r="GW14" s="896">
        <v>0.240974575</v>
      </c>
      <c r="GX14" s="896">
        <v>0.239613675686845</v>
      </c>
      <c r="GY14" s="896">
        <v>0.24763818976226401</v>
      </c>
      <c r="GZ14" s="896">
        <v>0.26061487719270998</v>
      </c>
      <c r="HB14" s="896">
        <v>0.13906871670400001</v>
      </c>
      <c r="HC14" s="896">
        <v>0.13711136282899999</v>
      </c>
      <c r="HD14" s="896">
        <v>0.14216646733999999</v>
      </c>
      <c r="HE14" s="896">
        <v>0.124188395342</v>
      </c>
      <c r="HF14" s="896">
        <v>0.11557914704324999</v>
      </c>
      <c r="HG14" s="896">
        <v>0.11489379338832301</v>
      </c>
      <c r="HH14" s="896">
        <v>0.109288332029586</v>
      </c>
      <c r="HI14" s="896">
        <v>0.12254133713149699</v>
      </c>
      <c r="HJ14" s="892"/>
      <c r="HK14" s="896">
        <v>0.14491874030615701</v>
      </c>
      <c r="HL14" s="896">
        <v>0.17060305330605799</v>
      </c>
      <c r="HM14" s="896">
        <v>0.13715361714038499</v>
      </c>
      <c r="HN14" s="896">
        <v>0.13505404910223501</v>
      </c>
      <c r="HO14" s="896">
        <v>0.11557914704324999</v>
      </c>
      <c r="HP14" s="896">
        <v>0.11603385122799301</v>
      </c>
      <c r="HQ14" s="896">
        <v>0.121876853270329</v>
      </c>
      <c r="HR14" s="896">
        <v>0.12740052989205999</v>
      </c>
      <c r="HT14" s="896">
        <v>6.9171892912999994E-2</v>
      </c>
      <c r="HU14" s="896">
        <v>7.2782295558999996E-2</v>
      </c>
      <c r="HV14" s="896">
        <v>9.7203491182999993E-2</v>
      </c>
      <c r="HW14" s="896">
        <v>8.0364606593999993E-2</v>
      </c>
      <c r="HX14" s="896">
        <v>6.5012681145500004E-2</v>
      </c>
      <c r="HY14" s="896">
        <v>6.6269223614562001E-2</v>
      </c>
      <c r="HZ14" s="896">
        <v>6.1786312680344999E-2</v>
      </c>
      <c r="IA14" s="896">
        <v>7.2385269247941003E-2</v>
      </c>
      <c r="IB14" s="892"/>
      <c r="IC14" s="896">
        <v>6.9171892912536004E-2</v>
      </c>
      <c r="ID14" s="896">
        <v>7.2782295558674007E-2</v>
      </c>
      <c r="IE14" s="896">
        <v>9.7203491182981994E-2</v>
      </c>
      <c r="IF14" s="896">
        <v>8.0363686331989995E-2</v>
      </c>
      <c r="IG14" s="896">
        <v>6.5012681145500004E-2</v>
      </c>
      <c r="IH14" s="896">
        <v>6.3345487657426994E-2</v>
      </c>
      <c r="II14" s="896">
        <v>7.1992758081281E-2</v>
      </c>
      <c r="IJ14" s="896">
        <v>7.9479133444926006E-2</v>
      </c>
      <c r="IL14" s="896">
        <v>6.3832600000000003E-2</v>
      </c>
      <c r="IM14" s="896">
        <v>4.1742500000000002E-2</v>
      </c>
      <c r="IN14" s="896">
        <v>-2.46158E-2</v>
      </c>
      <c r="IO14" s="896">
        <v>7.0726999999999998E-2</v>
      </c>
      <c r="IP14" s="896">
        <v>-1.00979E-2</v>
      </c>
      <c r="IQ14" s="896">
        <v>4.9201301283702002E-2</v>
      </c>
      <c r="IR14" s="896">
        <v>6.1832756138099999E-2</v>
      </c>
      <c r="IS14" s="896">
        <v>4.6843654922012999E-2</v>
      </c>
      <c r="IT14" s="892"/>
      <c r="IU14" s="896">
        <v>4.2922651561130003E-2</v>
      </c>
      <c r="IV14" s="896">
        <v>-2.4869397622952E-2</v>
      </c>
      <c r="IW14" s="896">
        <v>7.6566833761673003E-2</v>
      </c>
      <c r="IX14" s="896">
        <v>-4.4773726639789997E-3</v>
      </c>
      <c r="IY14" s="896">
        <v>-1.00979E-2</v>
      </c>
      <c r="IZ14" s="896">
        <v>4.4149391912509002E-2</v>
      </c>
      <c r="JA14" s="896">
        <v>5.2133606366202997E-2</v>
      </c>
      <c r="JB14" s="896">
        <v>5.8529744150027999E-2</v>
      </c>
      <c r="JD14" s="896">
        <v>-1.0595943895939999E-2</v>
      </c>
      <c r="JE14" s="896">
        <v>5.3003481020709002E-2</v>
      </c>
      <c r="JF14" s="896">
        <v>6.2083028163591999E-2</v>
      </c>
      <c r="JG14" s="896">
        <v>9.3452910086422994E-2</v>
      </c>
      <c r="JH14" s="896">
        <v>0.111058805567572</v>
      </c>
      <c r="JI14" s="896">
        <v>2.3760041807951E-2</v>
      </c>
      <c r="JJ14" s="896">
        <f>IF(ISERROR((AI14/AF14)^(1/2)-1),"--",(AI14/AF14)^(1/2)-1)</f>
        <v>6.6351632116945503E-3</v>
      </c>
      <c r="JK14" s="896">
        <f>IF(ISERROR((Z14/W14)^(1/2)-1),"--",(Z14/W14)^(1/2)-1)</f>
        <v>-1.5085041991555137E-2</v>
      </c>
      <c r="JM14" s="896">
        <v>-1.5813323981249999E-2</v>
      </c>
      <c r="JN14" s="896">
        <v>6.5470188410789998E-3</v>
      </c>
      <c r="JO14" s="896">
        <v>2.1170527763415999E-2</v>
      </c>
      <c r="JP14" s="896">
        <v>5.8230085041690999E-2</v>
      </c>
      <c r="JQ14" s="896">
        <v>6.4151134010204003E-2</v>
      </c>
      <c r="JR14" s="896">
        <v>-1.8743055891019999E-2</v>
      </c>
      <c r="JS14" s="896">
        <f t="shared" si="0"/>
        <v>1.9780347256135311E-2</v>
      </c>
      <c r="JT14" s="896">
        <f t="shared" si="1"/>
        <v>-2.2674516093397989E-2</v>
      </c>
      <c r="JU14" s="896"/>
      <c r="JV14" s="896">
        <v>-1.9980119825043999E-2</v>
      </c>
      <c r="JW14" s="896">
        <v>-9.5634147933790006E-3</v>
      </c>
      <c r="JX14" s="896">
        <v>-9.434636872807E-3</v>
      </c>
      <c r="JY14" s="896">
        <v>4.3697377038763002E-2</v>
      </c>
      <c r="JZ14" s="896">
        <v>-2.9443350635404E-2</v>
      </c>
      <c r="KA14" s="896">
        <v>-0.206347930895942</v>
      </c>
      <c r="KB14" s="896">
        <f>IF(ISERROR((BS14/BP14)^(1/2)-1),"--",(BS14/BP14)^(1/2)-1)</f>
        <v>-4.3960956891269554E-2</v>
      </c>
      <c r="KC14" s="896">
        <f>IF(ISERROR((BJ14/BG14)^(1/2)-1),"--",(BJ14/BG14)^(1/2)-1)</f>
        <v>-7.6057117453749434E-2</v>
      </c>
      <c r="KE14" s="896">
        <v>-3.4117044436617998E-2</v>
      </c>
      <c r="KF14" s="896">
        <v>-1.4754310427606001E-2</v>
      </c>
      <c r="KG14" s="896">
        <v>-7.5785371236800005E-4</v>
      </c>
      <c r="KH14" s="896">
        <v>8.6070975953546999E-2</v>
      </c>
      <c r="KI14" s="896">
        <v>0.111058805567572</v>
      </c>
      <c r="KJ14" s="896">
        <v>0.15936264257388399</v>
      </c>
      <c r="KK14" s="896">
        <f t="shared" si="2"/>
        <v>-7.3314348908916971E-2</v>
      </c>
      <c r="KL14" s="896"/>
      <c r="KM14" s="896"/>
      <c r="KN14" s="896"/>
      <c r="KO14" s="896"/>
      <c r="KP14" s="896"/>
      <c r="KQ14" s="896"/>
      <c r="KR14" s="896">
        <v>-1.11488169982156</v>
      </c>
      <c r="KS14" s="896">
        <v>-1.0427852151399699</v>
      </c>
      <c r="KT14" s="896"/>
      <c r="KU14" s="896"/>
      <c r="KX14" s="861" t="s">
        <v>1368</v>
      </c>
    </row>
    <row r="15" spans="1:310">
      <c r="B15" s="888" t="s">
        <v>1156</v>
      </c>
      <c r="C15" s="861">
        <f t="shared" si="4"/>
        <v>4</v>
      </c>
      <c r="D15" s="861" t="s">
        <v>1358</v>
      </c>
      <c r="E15" s="913">
        <v>53</v>
      </c>
      <c r="F15" s="914">
        <v>37487.684771</v>
      </c>
      <c r="G15" s="914">
        <v>49966.684771000102</v>
      </c>
      <c r="H15" s="914">
        <v>11536</v>
      </c>
      <c r="I15" s="914">
        <v>20718</v>
      </c>
      <c r="J15" s="890">
        <v>1.32692094638312</v>
      </c>
      <c r="K15" s="890">
        <v>8.2430459583886293</v>
      </c>
      <c r="L15" s="889">
        <v>22.694305</v>
      </c>
      <c r="M15" s="913">
        <f t="shared" ref="M15:M27" si="5">I15/(F15/E15)</f>
        <v>29.29105936276547</v>
      </c>
      <c r="N15" s="1130">
        <f t="shared" si="3"/>
        <v>1.8094258505164591</v>
      </c>
      <c r="O15" s="890"/>
      <c r="Q15" s="891">
        <v>44926</v>
      </c>
      <c r="R15" s="891">
        <v>45016</v>
      </c>
      <c r="S15" s="892"/>
      <c r="T15" s="889">
        <v>42951</v>
      </c>
      <c r="U15" s="915">
        <v>38542</v>
      </c>
      <c r="V15" s="915">
        <v>54968</v>
      </c>
      <c r="W15" s="915">
        <v>56902</v>
      </c>
      <c r="X15" s="915">
        <v>53489</v>
      </c>
      <c r="Y15" s="915">
        <v>49970.751928333302</v>
      </c>
      <c r="Z15" s="915">
        <v>49063.469219999999</v>
      </c>
      <c r="AA15" s="915">
        <v>51240.947719999996</v>
      </c>
      <c r="AB15" s="894"/>
      <c r="AC15" s="893">
        <v>42951</v>
      </c>
      <c r="AD15" s="894">
        <v>38542</v>
      </c>
      <c r="AE15" s="894">
        <v>54968</v>
      </c>
      <c r="AF15" s="894">
        <v>56902</v>
      </c>
      <c r="AG15" s="894">
        <v>53489</v>
      </c>
      <c r="AH15" s="894">
        <v>49188.758569999998</v>
      </c>
      <c r="AI15" s="894">
        <v>51642.017200000002</v>
      </c>
      <c r="AJ15" s="894">
        <v>52500.566500000001</v>
      </c>
      <c r="AL15" s="894">
        <v>6294</v>
      </c>
      <c r="AM15" s="894">
        <v>5213</v>
      </c>
      <c r="AN15" s="894">
        <v>10777</v>
      </c>
      <c r="AO15" s="894">
        <v>8564</v>
      </c>
      <c r="AP15" s="894">
        <v>6924</v>
      </c>
      <c r="AQ15" s="894">
        <v>6696.6123175000002</v>
      </c>
      <c r="AR15" s="894">
        <v>6177.5877799999998</v>
      </c>
      <c r="AS15" s="894">
        <v>7423.2466700000004</v>
      </c>
      <c r="AT15" s="894"/>
      <c r="AU15" s="894">
        <v>6298</v>
      </c>
      <c r="AV15" s="894">
        <v>5213</v>
      </c>
      <c r="AW15" s="894">
        <v>10777</v>
      </c>
      <c r="AX15" s="894">
        <v>8564</v>
      </c>
      <c r="AY15" s="894">
        <v>6924</v>
      </c>
      <c r="AZ15" s="894">
        <v>6382.32</v>
      </c>
      <c r="BA15" s="894">
        <v>7624</v>
      </c>
      <c r="BB15" s="894">
        <v>8202.2999999999993</v>
      </c>
      <c r="BC15" s="893"/>
      <c r="BD15" s="894">
        <v>6458</v>
      </c>
      <c r="BE15" s="894">
        <v>4903</v>
      </c>
      <c r="BF15" s="894">
        <v>10967</v>
      </c>
      <c r="BG15" s="916">
        <v>8730</v>
      </c>
      <c r="BH15" s="916">
        <v>8730</v>
      </c>
      <c r="BI15" s="916">
        <v>6955.8512275000003</v>
      </c>
      <c r="BJ15" s="916">
        <v>6364.5857900000001</v>
      </c>
      <c r="BK15" s="916">
        <v>7783.62284</v>
      </c>
      <c r="BL15" s="894"/>
      <c r="BM15" s="894">
        <v>6365</v>
      </c>
      <c r="BN15" s="894">
        <v>5991</v>
      </c>
      <c r="BO15" s="894">
        <v>10967</v>
      </c>
      <c r="BP15" s="894">
        <v>8848</v>
      </c>
      <c r="BQ15" s="894">
        <v>8730</v>
      </c>
      <c r="BR15" s="894">
        <v>6337.9621500000003</v>
      </c>
      <c r="BS15" s="894">
        <v>8014.5910000000003</v>
      </c>
      <c r="BT15" s="894">
        <v>8859.9750000000004</v>
      </c>
      <c r="BU15" s="893"/>
      <c r="BV15" s="894">
        <v>3520</v>
      </c>
      <c r="BW15" s="894">
        <v>2029</v>
      </c>
      <c r="BX15" s="894">
        <v>8125</v>
      </c>
      <c r="BY15" s="916">
        <v>5972</v>
      </c>
      <c r="BZ15" s="916">
        <v>5972</v>
      </c>
      <c r="CA15" s="916">
        <v>4242.32823416667</v>
      </c>
      <c r="CB15" s="916">
        <v>3731.1158799999998</v>
      </c>
      <c r="CC15" s="916">
        <v>4958.0255299999999</v>
      </c>
      <c r="CD15" s="894"/>
      <c r="CE15" s="894">
        <v>3524</v>
      </c>
      <c r="CF15" s="894">
        <v>3117</v>
      </c>
      <c r="CG15" s="894">
        <v>8125</v>
      </c>
      <c r="CH15" s="894">
        <v>6090</v>
      </c>
      <c r="CI15" s="894">
        <v>5972</v>
      </c>
      <c r="CJ15" s="894">
        <v>3685.1264500000002</v>
      </c>
      <c r="CK15" s="894">
        <v>5152.8456699999997</v>
      </c>
      <c r="CL15" s="894">
        <v>6080.33</v>
      </c>
      <c r="CM15" s="892"/>
      <c r="CN15" s="915">
        <v>7.22</v>
      </c>
      <c r="CO15" s="915">
        <v>3.5433300000000001</v>
      </c>
      <c r="CP15" s="915">
        <v>21.9</v>
      </c>
      <c r="CQ15" s="915">
        <v>18.100000000000001</v>
      </c>
      <c r="CR15" s="915">
        <v>15.891666666666699</v>
      </c>
      <c r="CS15" s="917">
        <v>13.716666666666701</v>
      </c>
      <c r="CT15" s="915">
        <v>12.8</v>
      </c>
      <c r="CU15" s="915">
        <v>15</v>
      </c>
      <c r="CV15" s="892"/>
      <c r="CW15" s="918">
        <v>1.2978331089999999</v>
      </c>
      <c r="CX15" s="918">
        <v>1.3963997574</v>
      </c>
      <c r="CY15" s="918">
        <v>0.98165136779999995</v>
      </c>
      <c r="CZ15" s="918">
        <v>0.83624299970000004</v>
      </c>
      <c r="DA15" s="918">
        <v>0.93414879266765205</v>
      </c>
      <c r="DB15" s="919">
        <v>0.99991860924288001</v>
      </c>
      <c r="DC15" s="918">
        <v>1.01840912526895</v>
      </c>
      <c r="DD15" s="918">
        <v>0.97513194026068795</v>
      </c>
      <c r="DE15" s="892"/>
      <c r="DF15" s="918">
        <v>1.29783310915462</v>
      </c>
      <c r="DG15" s="918">
        <v>1.3963997574075</v>
      </c>
      <c r="DH15" s="918">
        <v>0.98165136776306205</v>
      </c>
      <c r="DI15" s="918">
        <v>0.83624299969772597</v>
      </c>
      <c r="DJ15" s="918">
        <v>0.93414879266765205</v>
      </c>
      <c r="DK15" s="918">
        <v>1.01840912526895</v>
      </c>
      <c r="DL15" s="918">
        <v>0.97513194026068795</v>
      </c>
      <c r="DM15" s="918">
        <v>0.94292350742594</v>
      </c>
      <c r="DO15" s="892">
        <v>8.8565665508897293</v>
      </c>
      <c r="DP15" s="892">
        <v>10.324197093804001</v>
      </c>
      <c r="DQ15" s="892">
        <v>5.0069047400204099</v>
      </c>
      <c r="DR15" s="892">
        <v>5.5562703373190097</v>
      </c>
      <c r="DS15" s="892">
        <v>6.8772626165114099</v>
      </c>
      <c r="DT15" s="892">
        <v>7.4614868536474797</v>
      </c>
      <c r="DU15" s="892">
        <v>8.0883811854147503</v>
      </c>
      <c r="DV15" s="892">
        <v>6.7311093100184003</v>
      </c>
      <c r="DW15" s="892"/>
      <c r="DX15" s="892">
        <v>8.8509415483169196</v>
      </c>
      <c r="DY15" s="892">
        <v>10.324197093804001</v>
      </c>
      <c r="DZ15" s="892">
        <v>5.0069047400204099</v>
      </c>
      <c r="EA15" s="892">
        <v>5.5562703373190097</v>
      </c>
      <c r="EB15" s="892">
        <v>6.8772626165114099</v>
      </c>
      <c r="EC15" s="892">
        <v>7.8289218921959502</v>
      </c>
      <c r="ED15" s="892">
        <v>6.55386736240819</v>
      </c>
      <c r="EE15" s="892">
        <v>6.0917894701486199</v>
      </c>
      <c r="EG15" s="892">
        <v>8.6316552909999995</v>
      </c>
      <c r="EH15" s="892">
        <v>10.976960932100001</v>
      </c>
      <c r="EI15" s="892">
        <v>4.9201616106000001</v>
      </c>
      <c r="EJ15" s="892">
        <v>5.4506184615000004</v>
      </c>
      <c r="EK15" s="892">
        <v>6.5018457737150399</v>
      </c>
      <c r="EL15" s="895">
        <v>7.1834033156799704</v>
      </c>
      <c r="EM15" s="895">
        <v>7.8507363117812696</v>
      </c>
      <c r="EN15" s="892">
        <v>6.4194637636116596</v>
      </c>
      <c r="EO15" s="892"/>
      <c r="EP15" s="892">
        <v>8.7577737425451705</v>
      </c>
      <c r="EQ15" s="892">
        <v>8.9834817976965393</v>
      </c>
      <c r="ER15" s="892">
        <v>4.9201616105771802</v>
      </c>
      <c r="ES15" s="892">
        <v>5.3779271212477404</v>
      </c>
      <c r="ET15" s="892">
        <v>6.5018457737150399</v>
      </c>
      <c r="EU15" s="892">
        <v>7.8507363117812696</v>
      </c>
      <c r="EV15" s="892">
        <v>6.4194637636116596</v>
      </c>
      <c r="EW15" s="892">
        <v>5.8946283350096298</v>
      </c>
      <c r="EY15" s="892">
        <v>15.83614485</v>
      </c>
      <c r="EZ15" s="892">
        <v>26.5254014046</v>
      </c>
      <c r="FA15" s="892">
        <v>6.6411584471999996</v>
      </c>
      <c r="FB15" s="892">
        <v>7.9678330825000003</v>
      </c>
      <c r="FC15" s="892">
        <v>9.9317600419399792</v>
      </c>
      <c r="FD15" s="892">
        <v>11.7781279554422</v>
      </c>
      <c r="FE15" s="892">
        <v>13.3918876759732</v>
      </c>
      <c r="FF15" s="892">
        <v>10.077940193865899</v>
      </c>
      <c r="FG15" s="892"/>
      <c r="FH15" s="892">
        <v>15.818169657009101</v>
      </c>
      <c r="FI15" s="892">
        <v>17.266615158806498</v>
      </c>
      <c r="FJ15" s="892">
        <v>6.6411584471630798</v>
      </c>
      <c r="FK15" s="892">
        <v>7.81344813937603</v>
      </c>
      <c r="FL15" s="892">
        <v>9.9317600419399792</v>
      </c>
      <c r="FM15" s="892">
        <v>13.3918876759732</v>
      </c>
      <c r="FN15" s="892">
        <v>10.077940193865899</v>
      </c>
      <c r="FO15" s="892">
        <v>9.1054039148272192</v>
      </c>
      <c r="FQ15" s="892"/>
      <c r="FR15" s="892">
        <v>33.879681347899997</v>
      </c>
      <c r="FS15" s="892">
        <v>6.7659289196000003</v>
      </c>
      <c r="FT15" s="892">
        <v>8.0217138673000008</v>
      </c>
      <c r="FU15" s="892">
        <v>13.2437423317482</v>
      </c>
      <c r="FV15" s="892">
        <v>13.766627098436601</v>
      </c>
      <c r="FW15" s="892">
        <v>16.6570286375179</v>
      </c>
      <c r="FX15" s="892">
        <v>11.0759096874504</v>
      </c>
      <c r="FY15" s="892"/>
      <c r="FZ15" s="892">
        <v>-21.9241094881755</v>
      </c>
      <c r="GA15" s="892">
        <v>32.682962926420203</v>
      </c>
      <c r="GB15" s="892">
        <v>6.32202486106456</v>
      </c>
      <c r="GC15" s="892">
        <v>8.4834340941213</v>
      </c>
      <c r="GD15" s="892">
        <v>13.2437423317482</v>
      </c>
      <c r="GE15" s="892">
        <v>16.711651489544199</v>
      </c>
      <c r="GF15" s="892">
        <v>10.956751839907399</v>
      </c>
      <c r="GG15" s="892">
        <v>9.2243376316426104</v>
      </c>
      <c r="GH15" s="892"/>
      <c r="GI15" s="892"/>
      <c r="GJ15" s="896">
        <v>0.14653910000000001</v>
      </c>
      <c r="GK15" s="896">
        <v>0.13525499999999999</v>
      </c>
      <c r="GL15" s="896">
        <v>0.1960595</v>
      </c>
      <c r="GM15" s="896">
        <v>0.15050440000000001</v>
      </c>
      <c r="GN15" s="896">
        <v>0.12598075</v>
      </c>
      <c r="GO15" s="896">
        <v>0.13640925000000001</v>
      </c>
      <c r="GP15" s="896">
        <v>0.13029299999999999</v>
      </c>
      <c r="GQ15" s="896">
        <v>0.14497199999999999</v>
      </c>
      <c r="GR15" s="892"/>
      <c r="GS15" s="896">
        <v>0.14663220879607</v>
      </c>
      <c r="GT15" s="896">
        <v>0.135255046442842</v>
      </c>
      <c r="GU15" s="896">
        <v>0.19605952554213399</v>
      </c>
      <c r="GV15" s="896">
        <v>0.150504375944607</v>
      </c>
      <c r="GW15" s="896">
        <v>0.12598075</v>
      </c>
      <c r="GX15" s="896">
        <v>0.129751597428859</v>
      </c>
      <c r="GY15" s="896">
        <v>0.14763172341765099</v>
      </c>
      <c r="GZ15" s="896">
        <v>0.15623259989013599</v>
      </c>
      <c r="HB15" s="896">
        <v>0.15035738400000001</v>
      </c>
      <c r="HC15" s="896">
        <v>0.12721187276199999</v>
      </c>
      <c r="HD15" s="896">
        <v>0.19951608208400001</v>
      </c>
      <c r="HE15" s="896">
        <v>0.153421672349</v>
      </c>
      <c r="HF15" s="896">
        <v>0.14161523496850001</v>
      </c>
      <c r="HG15" s="896">
        <v>0.139198450274991</v>
      </c>
      <c r="HH15" s="896">
        <v>0.12972147895741501</v>
      </c>
      <c r="HI15" s="896">
        <v>0.15190239810810399</v>
      </c>
      <c r="HJ15" s="892"/>
      <c r="HK15" s="896">
        <v>0.14819212591092201</v>
      </c>
      <c r="HL15" s="896">
        <v>0.15544081780914301</v>
      </c>
      <c r="HM15" s="896">
        <v>0.199516082084122</v>
      </c>
      <c r="HN15" s="896">
        <v>0.15549541316649701</v>
      </c>
      <c r="HO15" s="896">
        <v>0.14161523496850001</v>
      </c>
      <c r="HP15" s="896">
        <v>0.12884980906725901</v>
      </c>
      <c r="HQ15" s="896">
        <v>0.15519515763609601</v>
      </c>
      <c r="HR15" s="896">
        <v>0.16875960757490099</v>
      </c>
      <c r="HT15" s="896">
        <v>8.1953854389999997E-2</v>
      </c>
      <c r="HU15" s="896">
        <v>5.2643869025999997E-2</v>
      </c>
      <c r="HV15" s="896">
        <v>0.14781327317699999</v>
      </c>
      <c r="HW15" s="896">
        <v>0.10495237425700001</v>
      </c>
      <c r="HX15" s="896">
        <v>9.1410368399499994E-2</v>
      </c>
      <c r="HY15" s="896">
        <v>8.4896225701204003E-2</v>
      </c>
      <c r="HZ15" s="896">
        <v>7.6046719470033997E-2</v>
      </c>
      <c r="IA15" s="896">
        <v>9.6759052098187998E-2</v>
      </c>
      <c r="IB15" s="892"/>
      <c r="IC15" s="896">
        <v>8.1953854392214004E-2</v>
      </c>
      <c r="ID15" s="896">
        <v>5.2643869025997998E-2</v>
      </c>
      <c r="IE15" s="896">
        <v>0.14781327317712101</v>
      </c>
      <c r="IF15" s="896">
        <v>0.104952374257495</v>
      </c>
      <c r="IG15" s="896">
        <v>9.1410368399499994E-2</v>
      </c>
      <c r="IH15" s="896">
        <v>7.5853019845790001E-2</v>
      </c>
      <c r="II15" s="896">
        <v>9.6007588371277E-2</v>
      </c>
      <c r="IJ15" s="896">
        <v>0.104524314990011</v>
      </c>
      <c r="IL15" s="896">
        <v>5.6568E-2</v>
      </c>
      <c r="IM15" s="896">
        <v>-4.2001400000000001E-2</v>
      </c>
      <c r="IN15" s="896">
        <v>3.1550000000000002E-2</v>
      </c>
      <c r="IO15" s="896">
        <v>0.1142301</v>
      </c>
      <c r="IP15" s="896">
        <v>5.0218550000000001E-2</v>
      </c>
      <c r="IQ15" s="896">
        <v>5.4014666229912002E-2</v>
      </c>
      <c r="IR15" s="896">
        <v>8.0635138679896995E-2</v>
      </c>
      <c r="IS15" s="896">
        <v>4.5832608369311002E-2</v>
      </c>
      <c r="IT15" s="892"/>
      <c r="IU15" s="896">
        <v>-3.9975786361201998E-2</v>
      </c>
      <c r="IV15" s="896">
        <v>3.3573763686367997E-2</v>
      </c>
      <c r="IW15" s="896">
        <v>0.116522340270703</v>
      </c>
      <c r="IX15" s="896">
        <v>8.1543706723840995E-2</v>
      </c>
      <c r="IY15" s="896">
        <v>5.0218550000000001E-2</v>
      </c>
      <c r="IZ15" s="896">
        <v>4.6902050530852002E-2</v>
      </c>
      <c r="JA15" s="896">
        <v>6.9351732062085003E-2</v>
      </c>
      <c r="JB15" s="896">
        <v>7.7535353832800996E-2</v>
      </c>
      <c r="JD15" s="896"/>
      <c r="JE15" s="896">
        <v>2.8197431930581999E-2</v>
      </c>
      <c r="JF15" s="896">
        <v>2.5648248411004999E-2</v>
      </c>
      <c r="JG15" s="896">
        <v>8.6081455374635005E-2</v>
      </c>
      <c r="JH15" s="896">
        <v>3.5184107116868001E-2</v>
      </c>
      <c r="JI15" s="896">
        <v>-8.3307626392459005E-2</v>
      </c>
      <c r="JJ15" s="896">
        <f t="shared" ref="JJ15:JJ17" si="6">IF(ISERROR((AI15/AF15)^(1/2)-1),"--",(AI15/AF15)^(1/2)-1)</f>
        <v>-4.7340213286628963E-2</v>
      </c>
      <c r="JK15" s="896">
        <f t="shared" ref="JK15:JK17" si="7">IF(ISERROR((Z15/W15)^(1/2)-1),"--",(Z15/W15)^(1/2)-1)</f>
        <v>-7.1428476455186574E-2</v>
      </c>
      <c r="JM15" s="896"/>
      <c r="JN15" s="896">
        <v>-3.3244032026362003E-2</v>
      </c>
      <c r="JO15" s="896">
        <v>-3.8577223093031E-2</v>
      </c>
      <c r="JP15" s="896">
        <v>4.8728101156280998E-2</v>
      </c>
      <c r="JQ15" s="896">
        <v>-0.205344715598033</v>
      </c>
      <c r="JR15" s="896">
        <v>-0.41416363482528101</v>
      </c>
      <c r="JS15" s="896">
        <f t="shared" si="0"/>
        <v>-5.6475646077121078E-2</v>
      </c>
      <c r="JT15" s="896">
        <f t="shared" si="1"/>
        <v>-0.15068042592493325</v>
      </c>
      <c r="JU15" s="896"/>
      <c r="JV15" s="896"/>
      <c r="JW15" s="896">
        <v>5.3793889040078001E-2</v>
      </c>
      <c r="JX15" s="896">
        <v>-7.5645740497640003E-3</v>
      </c>
      <c r="JY15" s="896">
        <v>7.4659728918438001E-2</v>
      </c>
      <c r="JZ15" s="896">
        <v>-0.20397556305279499</v>
      </c>
      <c r="KA15" s="896">
        <v>-0.35468973045595797</v>
      </c>
      <c r="KB15" s="896">
        <f t="shared" ref="KB15:KB17" si="8">IF(ISERROR((BS15/BP15)^(1/2)-1),"--",(BS15/BP15)^(1/2)-1)</f>
        <v>-4.8260432027688038E-2</v>
      </c>
      <c r="KC15" s="896">
        <f t="shared" ref="KC15:KC17" si="9">IF(ISERROR((BJ15/BG15)^(1/2)-1),"--",(BJ15/BG15)^(1/2)-1)</f>
        <v>-0.14615714108478717</v>
      </c>
      <c r="KE15" s="896"/>
      <c r="KF15" s="896">
        <v>3.9901675113099997E-3</v>
      </c>
      <c r="KG15" s="896">
        <v>-3.7413277667689999E-3</v>
      </c>
      <c r="KH15" s="896">
        <v>0.142899752897681</v>
      </c>
      <c r="KI15" s="896">
        <v>3.5184107116868001E-2</v>
      </c>
      <c r="KJ15" s="896">
        <v>0.21714779844145601</v>
      </c>
      <c r="KK15" s="896">
        <f>IF(ISERROR((CC24/BY24)^(1/2)-1),"--",(CC24/BY24)^(1/2)-1)</f>
        <v>0.16220714420129445</v>
      </c>
      <c r="KL15" s="896"/>
      <c r="KM15" s="896"/>
      <c r="KN15" s="896"/>
      <c r="KO15" s="896">
        <v>1.4451264333036999E-2</v>
      </c>
      <c r="KP15" s="896">
        <v>0.102095037570654</v>
      </c>
      <c r="KQ15" s="896"/>
      <c r="KR15" s="896">
        <v>-0.25067814361614599</v>
      </c>
      <c r="KS15" s="896">
        <v>-0.563988276823848</v>
      </c>
      <c r="KT15" s="896"/>
      <c r="KU15" s="896"/>
      <c r="KX15" s="861" t="s">
        <v>1369</v>
      </c>
    </row>
    <row r="16" spans="1:310">
      <c r="B16" s="1103" t="s">
        <v>1157</v>
      </c>
      <c r="C16" s="861">
        <f t="shared" si="4"/>
        <v>5</v>
      </c>
      <c r="D16" s="861" t="s">
        <v>1355</v>
      </c>
      <c r="E16" s="913">
        <v>89.48</v>
      </c>
      <c r="F16" s="914">
        <v>29105.530136680001</v>
      </c>
      <c r="G16" s="914">
        <v>38819.530136679998</v>
      </c>
      <c r="H16" s="914">
        <v>9170</v>
      </c>
      <c r="I16" s="914">
        <v>12615</v>
      </c>
      <c r="J16" s="890">
        <v>1.2015841571016801</v>
      </c>
      <c r="K16" s="890">
        <v>10.4841555279995</v>
      </c>
      <c r="L16" s="889">
        <v>16.940777876276002</v>
      </c>
      <c r="M16" s="913">
        <f t="shared" si="5"/>
        <v>38.782671014724166</v>
      </c>
      <c r="N16" s="1130">
        <f t="shared" si="3"/>
        <v>2.3072160235180341</v>
      </c>
      <c r="O16" s="890"/>
      <c r="Q16" s="891">
        <v>44926</v>
      </c>
      <c r="R16" s="891">
        <v>45016</v>
      </c>
      <c r="S16" s="892"/>
      <c r="T16" s="889">
        <v>34727</v>
      </c>
      <c r="U16" s="915">
        <v>27753</v>
      </c>
      <c r="V16" s="915">
        <v>46173</v>
      </c>
      <c r="W16" s="915">
        <v>50451</v>
      </c>
      <c r="X16" s="915">
        <v>47541</v>
      </c>
      <c r="Y16" s="915">
        <v>40582.136454166699</v>
      </c>
      <c r="Z16" s="915">
        <v>43427.374499999998</v>
      </c>
      <c r="AA16" s="915">
        <v>36598.803189999999</v>
      </c>
      <c r="AB16" s="894"/>
      <c r="AC16" s="893">
        <v>34727</v>
      </c>
      <c r="AD16" s="894">
        <v>27753</v>
      </c>
      <c r="AE16" s="894">
        <v>46173</v>
      </c>
      <c r="AF16" s="894">
        <v>50451</v>
      </c>
      <c r="AG16" s="894">
        <v>47541</v>
      </c>
      <c r="AH16" s="894">
        <v>43256.200640000003</v>
      </c>
      <c r="AI16" s="894">
        <v>39918.356449999999</v>
      </c>
      <c r="AJ16" s="894">
        <v>38781.322</v>
      </c>
      <c r="AL16" s="894">
        <v>5460</v>
      </c>
      <c r="AM16" s="894">
        <v>3394</v>
      </c>
      <c r="AN16" s="894">
        <v>8776</v>
      </c>
      <c r="AO16" s="894">
        <v>6604</v>
      </c>
      <c r="AP16" s="894">
        <v>5966</v>
      </c>
      <c r="AQ16" s="894">
        <v>5872.9845224999999</v>
      </c>
      <c r="AR16" s="894">
        <v>5932.0857100000003</v>
      </c>
      <c r="AS16" s="894">
        <v>5790.2428600000003</v>
      </c>
      <c r="AT16" s="894"/>
      <c r="AU16" s="894">
        <v>5460</v>
      </c>
      <c r="AV16" s="894">
        <v>3397</v>
      </c>
      <c r="AW16" s="894">
        <v>8776</v>
      </c>
      <c r="AX16" s="894">
        <v>6604</v>
      </c>
      <c r="AY16" s="894">
        <v>5966</v>
      </c>
      <c r="AZ16" s="894">
        <v>6012.625</v>
      </c>
      <c r="BA16" s="894">
        <v>7545.6</v>
      </c>
      <c r="BB16" s="894">
        <v>6593.9750000000004</v>
      </c>
      <c r="BC16" s="893"/>
      <c r="BD16" s="894">
        <v>5462</v>
      </c>
      <c r="BE16" s="894">
        <v>3579</v>
      </c>
      <c r="BF16" s="894">
        <v>8790</v>
      </c>
      <c r="BG16" s="894">
        <v>6437</v>
      </c>
      <c r="BH16" s="894">
        <v>6437</v>
      </c>
      <c r="BI16" s="894">
        <v>5884.1624675000003</v>
      </c>
      <c r="BJ16" s="894">
        <v>5849.0513300000002</v>
      </c>
      <c r="BK16" s="894">
        <v>5933.3180599999996</v>
      </c>
      <c r="BL16" s="894"/>
      <c r="BM16" s="894">
        <v>5462</v>
      </c>
      <c r="BN16" s="894">
        <v>3582</v>
      </c>
      <c r="BO16" s="894">
        <v>8790</v>
      </c>
      <c r="BP16" s="894">
        <v>6437</v>
      </c>
      <c r="BQ16" s="894">
        <v>6437</v>
      </c>
      <c r="BR16" s="894">
        <v>5851.3507900000004</v>
      </c>
      <c r="BS16" s="894">
        <v>5951.0659999999998</v>
      </c>
      <c r="BT16" s="894">
        <v>6246.9804999999997</v>
      </c>
      <c r="BU16" s="893"/>
      <c r="BV16" s="894">
        <v>4150</v>
      </c>
      <c r="BW16" s="894">
        <v>2194</v>
      </c>
      <c r="BX16" s="894">
        <v>7397</v>
      </c>
      <c r="BY16" s="894">
        <v>5170</v>
      </c>
      <c r="BZ16" s="894">
        <v>5170</v>
      </c>
      <c r="CA16" s="894">
        <v>4364.1172008333297</v>
      </c>
      <c r="CB16" s="894">
        <v>4310.1163800000004</v>
      </c>
      <c r="CC16" s="894">
        <v>4439.7183500000001</v>
      </c>
      <c r="CD16" s="894"/>
      <c r="CE16" s="894">
        <v>4150</v>
      </c>
      <c r="CF16" s="894">
        <v>2197</v>
      </c>
      <c r="CG16" s="894">
        <v>7397</v>
      </c>
      <c r="CH16" s="894">
        <v>5170</v>
      </c>
      <c r="CI16" s="894">
        <v>5170</v>
      </c>
      <c r="CJ16" s="894">
        <v>4403.9978199999996</v>
      </c>
      <c r="CK16" s="894">
        <v>4693.5105800000001</v>
      </c>
      <c r="CL16" s="894">
        <v>4713.67</v>
      </c>
      <c r="CM16" s="892"/>
      <c r="CN16" s="915">
        <v>20.100000000000001</v>
      </c>
      <c r="CO16" s="915">
        <v>8.5666700000000002</v>
      </c>
      <c r="CP16" s="915">
        <v>26.8</v>
      </c>
      <c r="CQ16" s="915">
        <v>20.7</v>
      </c>
      <c r="CR16" s="915">
        <v>17.074999999999999</v>
      </c>
      <c r="CS16" s="917">
        <v>12.5833333333333</v>
      </c>
      <c r="CT16" s="915">
        <v>12</v>
      </c>
      <c r="CU16" s="915">
        <v>13.4</v>
      </c>
      <c r="CV16" s="892"/>
      <c r="CW16" s="918">
        <v>1.1872127162999999</v>
      </c>
      <c r="CX16" s="918">
        <v>1.5443187837000001</v>
      </c>
      <c r="CY16" s="918">
        <v>0.85081829450000002</v>
      </c>
      <c r="CZ16" s="918">
        <v>0.72035892290000003</v>
      </c>
      <c r="DA16" s="918">
        <v>0.81654845578931901</v>
      </c>
      <c r="DB16" s="919">
        <v>0.956566941233433</v>
      </c>
      <c r="DC16" s="918">
        <v>0.89389539624782099</v>
      </c>
      <c r="DD16" s="918">
        <v>1.0606775837764799</v>
      </c>
      <c r="DE16" s="892"/>
      <c r="DF16" s="918">
        <v>1.18721271629605</v>
      </c>
      <c r="DG16" s="918">
        <v>1.5443187836591801</v>
      </c>
      <c r="DH16" s="918">
        <v>0.85081829445032398</v>
      </c>
      <c r="DI16" s="918">
        <v>0.72035892285782199</v>
      </c>
      <c r="DJ16" s="918">
        <v>0.81654845578931901</v>
      </c>
      <c r="DK16" s="918">
        <v>0.89389539624782099</v>
      </c>
      <c r="DL16" s="918">
        <v>1.0606775837764799</v>
      </c>
      <c r="DM16" s="918">
        <v>1.0087490507699499</v>
      </c>
      <c r="DO16" s="892">
        <v>7.5509772891598699</v>
      </c>
      <c r="DP16" s="892">
        <v>12.628013907747</v>
      </c>
      <c r="DQ16" s="892">
        <v>4.4763939277181901</v>
      </c>
      <c r="DR16" s="892">
        <v>5.5031538487431897</v>
      </c>
      <c r="DS16" s="892">
        <v>6.29654699222678</v>
      </c>
      <c r="DT16" s="892">
        <v>6.6098471719035601</v>
      </c>
      <c r="DU16" s="892">
        <v>6.5439934678017302</v>
      </c>
      <c r="DV16" s="892">
        <v>6.70430085149831</v>
      </c>
      <c r="DW16" s="892"/>
      <c r="DX16" s="892">
        <v>7.5509772891598699</v>
      </c>
      <c r="DY16" s="892">
        <v>12.616861702353001</v>
      </c>
      <c r="DZ16" s="892">
        <v>4.4763939277181901</v>
      </c>
      <c r="EA16" s="892">
        <v>5.5031538487431897</v>
      </c>
      <c r="EB16" s="892">
        <v>6.29654699222678</v>
      </c>
      <c r="EC16" s="892">
        <v>6.4563364814336497</v>
      </c>
      <c r="ED16" s="892">
        <v>5.1446578319391501</v>
      </c>
      <c r="EE16" s="892">
        <v>5.8871212184880903</v>
      </c>
      <c r="EG16" s="892">
        <v>7.5482123762000004</v>
      </c>
      <c r="EH16" s="892">
        <v>11.9752666116</v>
      </c>
      <c r="EI16" s="892">
        <v>4.4692642900999999</v>
      </c>
      <c r="EJ16" s="892">
        <v>5.6459263659000003</v>
      </c>
      <c r="EK16" s="892">
        <v>6.6631531302231402</v>
      </c>
      <c r="EL16" s="895">
        <v>6.5972906681438497</v>
      </c>
      <c r="EM16" s="895">
        <v>6.6368933945874602</v>
      </c>
      <c r="EN16" s="892">
        <v>6.5426342805361104</v>
      </c>
      <c r="EO16" s="892"/>
      <c r="EP16" s="892">
        <v>7.54821237620156</v>
      </c>
      <c r="EQ16" s="892">
        <v>11.9652370750679</v>
      </c>
      <c r="ER16" s="892">
        <v>4.4692642900631201</v>
      </c>
      <c r="ES16" s="892">
        <v>5.6459263658691903</v>
      </c>
      <c r="ET16" s="892">
        <v>6.6631531302231402</v>
      </c>
      <c r="EU16" s="892">
        <v>6.6368933945874602</v>
      </c>
      <c r="EV16" s="892">
        <v>6.5426342805361104</v>
      </c>
      <c r="EW16" s="892">
        <v>5.9416961023359498</v>
      </c>
      <c r="EY16" s="892">
        <v>9.9345387948999999</v>
      </c>
      <c r="EZ16" s="892">
        <v>19.5348583422</v>
      </c>
      <c r="FA16" s="892">
        <v>5.3109143043999998</v>
      </c>
      <c r="FB16" s="892">
        <v>7.0295605448999998</v>
      </c>
      <c r="FC16" s="892">
        <v>8.6766942638980797</v>
      </c>
      <c r="FD16" s="892">
        <v>8.8951621485480192</v>
      </c>
      <c r="FE16" s="892">
        <v>9.0066083405107502</v>
      </c>
      <c r="FF16" s="892">
        <v>8.7436920715207105</v>
      </c>
      <c r="FG16" s="892"/>
      <c r="FH16" s="892">
        <v>9.9345387948946797</v>
      </c>
      <c r="FI16" s="892">
        <v>19.508183524302801</v>
      </c>
      <c r="FJ16" s="892">
        <v>5.3109143044010798</v>
      </c>
      <c r="FK16" s="892">
        <v>7.02956054489362</v>
      </c>
      <c r="FL16" s="892">
        <v>8.6766942638980797</v>
      </c>
      <c r="FM16" s="892">
        <v>9.0066083405107502</v>
      </c>
      <c r="FN16" s="892">
        <v>8.7436920715207105</v>
      </c>
      <c r="FO16" s="892">
        <v>7.6995520471909797</v>
      </c>
      <c r="FQ16" s="892">
        <v>9.3749351184999998</v>
      </c>
      <c r="FR16" s="892">
        <v>20.5577446946</v>
      </c>
      <c r="FS16" s="892">
        <v>5.2377029071000001</v>
      </c>
      <c r="FT16" s="892">
        <v>7.0063903882999998</v>
      </c>
      <c r="FU16" s="892">
        <v>9.5922850070698598</v>
      </c>
      <c r="FV16" s="892">
        <v>8.91794652022684</v>
      </c>
      <c r="FW16" s="892">
        <v>9.1814380627453005</v>
      </c>
      <c r="FX16" s="892">
        <v>8.5734844775664598</v>
      </c>
      <c r="FY16" s="892"/>
      <c r="FZ16" s="892">
        <v>9.3063987211502202</v>
      </c>
      <c r="GA16" s="892">
        <v>21.017078137588101</v>
      </c>
      <c r="GB16" s="892">
        <v>5.3274620906537802</v>
      </c>
      <c r="GC16" s="892">
        <v>7.5250379069159203</v>
      </c>
      <c r="GD16" s="892">
        <v>9.5922850070698598</v>
      </c>
      <c r="GE16" s="892">
        <v>9.0758607259065691</v>
      </c>
      <c r="GF16" s="892">
        <v>8.3705179655562691</v>
      </c>
      <c r="GG16" s="892">
        <v>7.5178557475721197</v>
      </c>
      <c r="GH16" s="892"/>
      <c r="GI16" s="892"/>
      <c r="GJ16" s="896">
        <v>0.15722639999999999</v>
      </c>
      <c r="GK16" s="896">
        <v>0.1222931</v>
      </c>
      <c r="GL16" s="896">
        <v>0.19006780000000001</v>
      </c>
      <c r="GM16" s="896">
        <v>0.1308993</v>
      </c>
      <c r="GN16" s="896">
        <v>0.12159475</v>
      </c>
      <c r="GO16" s="896">
        <v>0.143253408333333</v>
      </c>
      <c r="GP16" s="896">
        <v>0.13341220000000001</v>
      </c>
      <c r="GQ16" s="896">
        <v>0.15703110000000001</v>
      </c>
      <c r="GR16" s="892"/>
      <c r="GS16" s="896">
        <v>0.157226365652086</v>
      </c>
      <c r="GT16" s="896">
        <v>0.122401181854214</v>
      </c>
      <c r="GU16" s="896">
        <v>0.19006778853442499</v>
      </c>
      <c r="GV16" s="896">
        <v>0.13089928841846499</v>
      </c>
      <c r="GW16" s="896">
        <v>0.12159475</v>
      </c>
      <c r="GX16" s="896">
        <v>0.139000303101979</v>
      </c>
      <c r="GY16" s="896">
        <v>0.18902581847154201</v>
      </c>
      <c r="GZ16" s="896">
        <v>0.17002966015444201</v>
      </c>
      <c r="HB16" s="896">
        <v>0.15728395773000001</v>
      </c>
      <c r="HC16" s="896">
        <v>0.12895903145599999</v>
      </c>
      <c r="HD16" s="896">
        <v>0.190370996037</v>
      </c>
      <c r="HE16" s="896">
        <v>0.127589145904</v>
      </c>
      <c r="HF16" s="896">
        <v>0.11873424468975</v>
      </c>
      <c r="HG16" s="896">
        <v>0.14499390573351301</v>
      </c>
      <c r="HH16" s="896">
        <v>0.134685815049676</v>
      </c>
      <c r="HI16" s="896">
        <v>0.16211781650885199</v>
      </c>
      <c r="HJ16" s="892"/>
      <c r="HK16" s="896">
        <v>0.15728395772741699</v>
      </c>
      <c r="HL16" s="896">
        <v>0.12906712787806701</v>
      </c>
      <c r="HM16" s="896">
        <v>0.19037099603664501</v>
      </c>
      <c r="HN16" s="896">
        <v>0.12758914590394599</v>
      </c>
      <c r="HO16" s="896">
        <v>0.11873424468975</v>
      </c>
      <c r="HP16" s="896">
        <v>0.13527195415746099</v>
      </c>
      <c r="HQ16" s="896">
        <v>0.14908093742421599</v>
      </c>
      <c r="HR16" s="896">
        <v>0.16108219570235399</v>
      </c>
      <c r="HT16" s="896">
        <v>0.11950355630999999</v>
      </c>
      <c r="HU16" s="896">
        <v>7.9054516628999996E-2</v>
      </c>
      <c r="HV16" s="896">
        <v>0.160201849566</v>
      </c>
      <c r="HW16" s="896">
        <v>0.10247566946099999</v>
      </c>
      <c r="HX16" s="896">
        <v>8.9279638489749999E-2</v>
      </c>
      <c r="HY16" s="896">
        <v>0.107537886916381</v>
      </c>
      <c r="HZ16" s="896">
        <v>9.9248836238073998E-2</v>
      </c>
      <c r="IA16" s="896">
        <v>0.12130774678481999</v>
      </c>
      <c r="IB16" s="892"/>
      <c r="IC16" s="896">
        <v>0.119503556310652</v>
      </c>
      <c r="ID16" s="896">
        <v>7.9054516628833005E-2</v>
      </c>
      <c r="IE16" s="896">
        <v>0.160201849565764</v>
      </c>
      <c r="IF16" s="896">
        <v>0.102475669461458</v>
      </c>
      <c r="IG16" s="896">
        <v>8.9279638489749999E-2</v>
      </c>
      <c r="IH16" s="896">
        <v>9.9641584702988006E-2</v>
      </c>
      <c r="II16" s="896">
        <v>0.111219968576637</v>
      </c>
      <c r="IJ16" s="896">
        <v>0.13000564369621001</v>
      </c>
      <c r="IL16" s="896">
        <v>0.1203723</v>
      </c>
      <c r="IM16" s="896">
        <v>9.7820099999999993E-2</v>
      </c>
      <c r="IN16" s="896">
        <v>5.1237699999999997E-2</v>
      </c>
      <c r="IO16" s="896">
        <v>0.1216295</v>
      </c>
      <c r="IP16" s="896">
        <v>5.9539050000000003E-2</v>
      </c>
      <c r="IQ16" s="896">
        <v>7.9741835700415001E-2</v>
      </c>
      <c r="IR16" s="896">
        <v>7.9600096259714995E-2</v>
      </c>
      <c r="IS16" s="896">
        <v>7.3390051936019995E-2</v>
      </c>
      <c r="IT16" s="892"/>
      <c r="IU16" s="896">
        <v>9.8021712212399997E-2</v>
      </c>
      <c r="IV16" s="896">
        <v>5.1489929016682999E-2</v>
      </c>
      <c r="IW16" s="896">
        <v>0.121781127498755</v>
      </c>
      <c r="IX16" s="896">
        <v>7.7183802105012994E-2</v>
      </c>
      <c r="IY16" s="896">
        <v>5.9539050000000003E-2</v>
      </c>
      <c r="IZ16" s="896">
        <v>7.5373910601502003E-2</v>
      </c>
      <c r="JA16" s="896">
        <v>8.6611030800593E-2</v>
      </c>
      <c r="JB16" s="896">
        <v>8.8086734124226004E-2</v>
      </c>
      <c r="JD16" s="896">
        <v>-1.8831244250560001E-3</v>
      </c>
      <c r="JE16" s="896">
        <v>7.4620894410173999E-2</v>
      </c>
      <c r="JF16" s="896">
        <v>5.7495016594597E-2</v>
      </c>
      <c r="JG16" s="896">
        <v>0.12440049449880899</v>
      </c>
      <c r="JH16" s="896">
        <v>9.2651549606913006E-2</v>
      </c>
      <c r="JI16" s="896">
        <v>-5.3872790956854003E-2</v>
      </c>
      <c r="JJ16" s="896">
        <f t="shared" si="6"/>
        <v>-0.11048876774679661</v>
      </c>
      <c r="JK16" s="896">
        <f t="shared" si="7"/>
        <v>-7.2215959768802462E-2</v>
      </c>
      <c r="JM16" s="896">
        <v>1.0801667107931E-2</v>
      </c>
      <c r="JN16" s="896">
        <v>2.5934995357299998E-3</v>
      </c>
      <c r="JO16" s="896">
        <v>-3.2420726749970001E-3</v>
      </c>
      <c r="JP16" s="896">
        <v>7.8182053777366006E-2</v>
      </c>
      <c r="JQ16" s="896">
        <v>-0.24749316317228801</v>
      </c>
      <c r="JR16" s="896">
        <v>-0.36484616203555797</v>
      </c>
      <c r="JS16" s="896">
        <f t="shared" si="0"/>
        <v>6.891545708314939E-2</v>
      </c>
      <c r="JT16" s="896">
        <f t="shared" si="1"/>
        <v>-5.2236069850434719E-2</v>
      </c>
      <c r="JU16" s="896"/>
      <c r="JV16" s="896">
        <v>2.1496171575420002E-3</v>
      </c>
      <c r="JW16" s="896">
        <v>-5.4996166854220001E-3</v>
      </c>
      <c r="JX16" s="896">
        <v>-7.7433868137959999E-3</v>
      </c>
      <c r="JY16" s="896">
        <v>3.8085603722030001E-2</v>
      </c>
      <c r="JZ16" s="896">
        <v>-0.26769055745164999</v>
      </c>
      <c r="KA16" s="896">
        <v>-0.37616447157083199</v>
      </c>
      <c r="KB16" s="896">
        <f t="shared" si="8"/>
        <v>-3.8485962954058928E-2</v>
      </c>
      <c r="KC16" s="896">
        <f t="shared" si="9"/>
        <v>-4.6762845100215666E-2</v>
      </c>
      <c r="KE16" s="896">
        <v>-5.1793733580519996E-3</v>
      </c>
      <c r="KF16" s="896">
        <v>-1.6045891608630999E-2</v>
      </c>
      <c r="KG16" s="896">
        <v>-1.4646504721717E-2</v>
      </c>
      <c r="KH16" s="896">
        <v>4.8988524281433E-2</v>
      </c>
      <c r="KI16" s="896">
        <v>9.2651549606913006E-2</v>
      </c>
      <c r="KJ16" s="896">
        <v>0.32587962424801997</v>
      </c>
      <c r="KK16" s="896">
        <f>IF(ISERROR((CC23/BY23)^(1/2)-1),"--",(CC23/BY23)^(1/2)-1)</f>
        <v>0.14927142055988973</v>
      </c>
      <c r="KL16" s="896"/>
      <c r="KM16" s="896"/>
      <c r="KN16" s="896">
        <v>7.7139160231199003E-2</v>
      </c>
      <c r="KO16" s="896">
        <v>1.0612336649347E-2</v>
      </c>
      <c r="KP16" s="896">
        <v>-4.2396365225594999E-2</v>
      </c>
      <c r="KQ16" s="896">
        <v>5.9250645546428997E-2</v>
      </c>
      <c r="KR16" s="896">
        <v>-0.29520939529699902</v>
      </c>
      <c r="KS16" s="896">
        <v>-0.47002702039369298</v>
      </c>
      <c r="KT16" s="896"/>
      <c r="KU16" s="896"/>
      <c r="KX16" s="861" t="s">
        <v>1788</v>
      </c>
    </row>
    <row r="17" spans="2:310">
      <c r="B17" s="888" t="s">
        <v>1364</v>
      </c>
      <c r="C17" s="861">
        <f t="shared" si="4"/>
        <v>6</v>
      </c>
      <c r="D17" s="861" t="s">
        <v>1354</v>
      </c>
      <c r="E17" s="913">
        <v>53.89</v>
      </c>
      <c r="F17" s="914">
        <v>6966.6317439300001</v>
      </c>
      <c r="G17" s="914">
        <v>9606.6317439299892</v>
      </c>
      <c r="H17" s="914">
        <v>2386.6999999999998</v>
      </c>
      <c r="I17" s="914">
        <v>2543.6</v>
      </c>
      <c r="J17" s="890">
        <v>1.43492357066813</v>
      </c>
      <c r="K17" s="890">
        <v>8.8545077505927594</v>
      </c>
      <c r="L17" s="889">
        <v>20.829360000000001</v>
      </c>
      <c r="M17" s="913">
        <f t="shared" si="5"/>
        <v>19.67587911036529</v>
      </c>
      <c r="N17" s="1130">
        <f t="shared" si="3"/>
        <v>2.7388865167203962</v>
      </c>
      <c r="O17" s="890"/>
      <c r="Q17" s="891">
        <v>44926</v>
      </c>
      <c r="R17" s="891">
        <v>45016</v>
      </c>
      <c r="S17" s="892"/>
      <c r="T17" s="889">
        <v>6110</v>
      </c>
      <c r="U17" s="915">
        <v>5758</v>
      </c>
      <c r="V17" s="915">
        <v>8910.6</v>
      </c>
      <c r="W17" s="915">
        <v>9376.2000000000007</v>
      </c>
      <c r="X17" s="915">
        <v>8759.1</v>
      </c>
      <c r="Y17" s="915">
        <v>8030.338565</v>
      </c>
      <c r="Z17" s="915">
        <v>7815.3201399999998</v>
      </c>
      <c r="AA17" s="915">
        <v>8331.3643599999996</v>
      </c>
      <c r="AB17" s="894"/>
      <c r="AC17" s="893">
        <v>6110</v>
      </c>
      <c r="AD17" s="894">
        <v>5758</v>
      </c>
      <c r="AE17" s="894">
        <v>8910.6</v>
      </c>
      <c r="AF17" s="894">
        <v>9376.2000000000007</v>
      </c>
      <c r="AG17" s="894">
        <v>8759.1</v>
      </c>
      <c r="AH17" s="894">
        <v>7782.6790000000001</v>
      </c>
      <c r="AI17" s="894">
        <v>8389.5347000000002</v>
      </c>
      <c r="AJ17" s="894">
        <v>8479.9454999999998</v>
      </c>
      <c r="AL17" s="894">
        <v>666</v>
      </c>
      <c r="AM17" s="894">
        <v>383.4</v>
      </c>
      <c r="AN17" s="894">
        <v>2292</v>
      </c>
      <c r="AO17" s="894">
        <v>2180.9</v>
      </c>
      <c r="AP17" s="894">
        <v>1927.2</v>
      </c>
      <c r="AQ17" s="894">
        <v>1723.2986091666701</v>
      </c>
      <c r="AR17" s="894">
        <v>1613.3333299999999</v>
      </c>
      <c r="AS17" s="894">
        <v>1877.25</v>
      </c>
      <c r="AT17" s="894"/>
      <c r="AU17" s="894">
        <v>670.8</v>
      </c>
      <c r="AV17" s="894">
        <v>383.4</v>
      </c>
      <c r="AW17" s="894">
        <v>2292</v>
      </c>
      <c r="AX17" s="894">
        <v>2180.9</v>
      </c>
      <c r="AY17" s="894">
        <v>1927.2</v>
      </c>
      <c r="AZ17" s="894">
        <v>1612.0250000000001</v>
      </c>
      <c r="BA17" s="894">
        <v>1870</v>
      </c>
      <c r="BB17" s="894">
        <v>1817.5</v>
      </c>
      <c r="BC17" s="893"/>
      <c r="BD17" s="894">
        <v>850.9</v>
      </c>
      <c r="BE17" s="894">
        <v>603.6</v>
      </c>
      <c r="BF17" s="894">
        <v>2457.6</v>
      </c>
      <c r="BG17" s="916">
        <v>2389.1</v>
      </c>
      <c r="BH17" s="916">
        <v>2389.1</v>
      </c>
      <c r="BI17" s="916">
        <v>1803.56532583333</v>
      </c>
      <c r="BJ17" s="916">
        <v>1713.8316299999999</v>
      </c>
      <c r="BK17" s="916">
        <v>1929.1925000000001</v>
      </c>
      <c r="BL17" s="894"/>
      <c r="BM17" s="894">
        <v>855.7</v>
      </c>
      <c r="BN17" s="894">
        <v>524</v>
      </c>
      <c r="BO17" s="894">
        <v>2459</v>
      </c>
      <c r="BP17" s="894">
        <v>2402.1</v>
      </c>
      <c r="BQ17" s="894">
        <v>2389.1</v>
      </c>
      <c r="BR17" s="894">
        <v>1700.1012499999999</v>
      </c>
      <c r="BS17" s="894">
        <v>1913.30882</v>
      </c>
      <c r="BT17" s="894">
        <v>2010.1985</v>
      </c>
      <c r="BU17" s="893"/>
      <c r="BV17" s="894">
        <v>253.5</v>
      </c>
      <c r="BW17" s="894">
        <v>35.200000000000003</v>
      </c>
      <c r="BX17" s="894">
        <v>1875.1</v>
      </c>
      <c r="BY17" s="916">
        <v>1790.3</v>
      </c>
      <c r="BZ17" s="916">
        <v>1790.3</v>
      </c>
      <c r="CA17" s="916">
        <v>1206.8663641666701</v>
      </c>
      <c r="CB17" s="916">
        <v>1109.0984100000001</v>
      </c>
      <c r="CC17" s="916">
        <v>1343.7415000000001</v>
      </c>
      <c r="CD17" s="894"/>
      <c r="CE17" s="894">
        <v>258.3</v>
      </c>
      <c r="CF17" s="894">
        <v>-44.4</v>
      </c>
      <c r="CG17" s="894">
        <v>1876.5</v>
      </c>
      <c r="CH17" s="894">
        <v>1803.3</v>
      </c>
      <c r="CI17" s="894">
        <v>1790.3</v>
      </c>
      <c r="CJ17" s="894">
        <v>1142.1020000000001</v>
      </c>
      <c r="CK17" s="894">
        <v>1392.8175000000001</v>
      </c>
      <c r="CL17" s="894">
        <v>1373.32</v>
      </c>
      <c r="CM17" s="892"/>
      <c r="CN17" s="915">
        <v>0.3</v>
      </c>
      <c r="CO17" s="915">
        <v>-11.8</v>
      </c>
      <c r="CP17" s="915">
        <v>15.9</v>
      </c>
      <c r="CQ17" s="915"/>
      <c r="CR17" s="915"/>
      <c r="CS17" s="917"/>
      <c r="CT17" s="915"/>
      <c r="CU17" s="915"/>
      <c r="CV17" s="892"/>
      <c r="CW17" s="918">
        <v>0.95584697200000002</v>
      </c>
      <c r="CX17" s="918">
        <v>1.3120145884000001</v>
      </c>
      <c r="CY17" s="918">
        <v>1.3038331874</v>
      </c>
      <c r="CZ17" s="918">
        <v>1.0015424158999999</v>
      </c>
      <c r="DA17" s="918">
        <v>1.0967601401890601</v>
      </c>
      <c r="DB17" s="919">
        <v>1.19629224423989</v>
      </c>
      <c r="DC17" s="918">
        <v>1.22920514730571</v>
      </c>
      <c r="DD17" s="918">
        <v>1.1530682525484901</v>
      </c>
      <c r="DE17" s="892"/>
      <c r="DF17" s="918">
        <v>0.95584697217675896</v>
      </c>
      <c r="DG17" s="918">
        <v>1.31201458839875</v>
      </c>
      <c r="DH17" s="918">
        <v>1.30383318743968</v>
      </c>
      <c r="DI17" s="918">
        <v>1.0015424159041</v>
      </c>
      <c r="DJ17" s="918">
        <v>1.0967601401890601</v>
      </c>
      <c r="DK17" s="918">
        <v>1.22920514730571</v>
      </c>
      <c r="DL17" s="918">
        <v>1.1530682525484901</v>
      </c>
      <c r="DM17" s="918">
        <v>1.1047994325842201</v>
      </c>
      <c r="DO17" s="892">
        <v>8.7691066066066092</v>
      </c>
      <c r="DP17" s="892">
        <v>19.704173187271799</v>
      </c>
      <c r="DQ17" s="892">
        <v>5.0689075043629996</v>
      </c>
      <c r="DR17" s="892">
        <v>4.30586546838461</v>
      </c>
      <c r="DS17" s="892">
        <v>4.7595605022831098</v>
      </c>
      <c r="DT17" s="892">
        <v>5.5745601446144404</v>
      </c>
      <c r="DU17" s="892">
        <v>5.9545238205238098</v>
      </c>
      <c r="DV17" s="892">
        <v>5.1173960548302002</v>
      </c>
      <c r="DW17" s="892"/>
      <c r="DX17" s="892">
        <v>8.7063580799045894</v>
      </c>
      <c r="DY17" s="892">
        <v>19.704173187271799</v>
      </c>
      <c r="DZ17" s="892">
        <v>5.0689075043629996</v>
      </c>
      <c r="EA17" s="892">
        <v>4.30586546838461</v>
      </c>
      <c r="EB17" s="892">
        <v>4.7595605022831098</v>
      </c>
      <c r="EC17" s="892">
        <v>5.9593565508785504</v>
      </c>
      <c r="ED17" s="892">
        <v>5.13723622670053</v>
      </c>
      <c r="EE17" s="892">
        <v>5.2856295702503404</v>
      </c>
      <c r="EG17" s="892">
        <v>6.8635856149999999</v>
      </c>
      <c r="EH17" s="892">
        <v>12.515871438</v>
      </c>
      <c r="EI17" s="892">
        <v>4.7273502603999997</v>
      </c>
      <c r="EJ17" s="892">
        <v>3.9306274329000002</v>
      </c>
      <c r="EK17" s="892">
        <v>4.5169417641198004</v>
      </c>
      <c r="EL17" s="895">
        <v>5.3264673069112503</v>
      </c>
      <c r="EM17" s="895">
        <v>5.6053532772819699</v>
      </c>
      <c r="EN17" s="892">
        <v>4.9796128400509501</v>
      </c>
      <c r="EO17" s="892"/>
      <c r="EP17" s="892">
        <v>6.8250847259553602</v>
      </c>
      <c r="EQ17" s="892">
        <v>14.417137404580201</v>
      </c>
      <c r="ER17" s="892">
        <v>4.7246588043920301</v>
      </c>
      <c r="ES17" s="892">
        <v>3.9093551475792001</v>
      </c>
      <c r="ET17" s="892">
        <v>4.5169417641198004</v>
      </c>
      <c r="EU17" s="892">
        <v>5.6053532772819699</v>
      </c>
      <c r="EV17" s="892">
        <v>4.9796128400509501</v>
      </c>
      <c r="EW17" s="892">
        <v>4.8113909978754199</v>
      </c>
      <c r="EY17" s="892">
        <v>23.038362919000001</v>
      </c>
      <c r="EZ17" s="892">
        <v>214.61875000000001</v>
      </c>
      <c r="FA17" s="892">
        <v>6.1959020852000002</v>
      </c>
      <c r="FB17" s="892">
        <v>5.2453007875999997</v>
      </c>
      <c r="FC17" s="892">
        <v>6.2275585011863104</v>
      </c>
      <c r="FD17" s="892">
        <v>7.9599796871986799</v>
      </c>
      <c r="FE17" s="892">
        <v>8.6616585663755394</v>
      </c>
      <c r="FF17" s="892">
        <v>7.1491665204431003</v>
      </c>
      <c r="FG17" s="892"/>
      <c r="FH17" s="892">
        <v>22.610240030971699</v>
      </c>
      <c r="FI17" s="892">
        <v>-170.148198198198</v>
      </c>
      <c r="FJ17" s="892">
        <v>6.1912795097255504</v>
      </c>
      <c r="FK17" s="892">
        <v>5.2074873842400002</v>
      </c>
      <c r="FL17" s="892">
        <v>6.2275585011863104</v>
      </c>
      <c r="FM17" s="892">
        <v>8.6616585663755394</v>
      </c>
      <c r="FN17" s="892">
        <v>7.1491665204431003</v>
      </c>
      <c r="FO17" s="892">
        <v>6.5618678445644703</v>
      </c>
      <c r="FQ17" s="892"/>
      <c r="FR17" s="892"/>
      <c r="FS17" s="892">
        <v>7.2304816591999996</v>
      </c>
      <c r="FT17" s="892">
        <v>5.9247819055999997</v>
      </c>
      <c r="FU17" s="892">
        <v>7.1554996700423699</v>
      </c>
      <c r="FV17" s="892">
        <v>8.2874882354267996</v>
      </c>
      <c r="FW17" s="892">
        <v>9.4067088039742401</v>
      </c>
      <c r="FX17" s="892">
        <v>7.1041284095268402</v>
      </c>
      <c r="FY17" s="892"/>
      <c r="FZ17" s="892">
        <v>-617.57964703185905</v>
      </c>
      <c r="GA17" s="892">
        <v>-8.7734150383724998</v>
      </c>
      <c r="GB17" s="892">
        <v>6.7770478279241004</v>
      </c>
      <c r="GC17" s="892">
        <v>6.09184682775187</v>
      </c>
      <c r="GD17" s="892">
        <v>7.1554996700423699</v>
      </c>
      <c r="GE17" s="892">
        <v>9.2764091053059197</v>
      </c>
      <c r="GF17" s="892">
        <v>7.09707411958221</v>
      </c>
      <c r="GG17" s="892">
        <v>4.9499402957655896</v>
      </c>
      <c r="GH17" s="892"/>
      <c r="GI17" s="892"/>
      <c r="GJ17" s="896">
        <v>0.1090016</v>
      </c>
      <c r="GK17" s="896">
        <v>6.6585599999999995E-2</v>
      </c>
      <c r="GL17" s="896">
        <v>0.2572217</v>
      </c>
      <c r="GM17" s="896">
        <v>0.23259959999999999</v>
      </c>
      <c r="GN17" s="896">
        <v>0.2175406</v>
      </c>
      <c r="GO17" s="896">
        <v>0.21887479166666701</v>
      </c>
      <c r="GP17" s="896">
        <v>0.21359249999999999</v>
      </c>
      <c r="GQ17" s="896">
        <v>0.22627</v>
      </c>
      <c r="GR17" s="892"/>
      <c r="GS17" s="896">
        <v>0.109787234042553</v>
      </c>
      <c r="GT17" s="896">
        <v>6.6585620006946997E-2</v>
      </c>
      <c r="GU17" s="896">
        <v>0.25722173591003999</v>
      </c>
      <c r="GV17" s="896">
        <v>0.23259956058957801</v>
      </c>
      <c r="GW17" s="896">
        <v>0.2175406</v>
      </c>
      <c r="GX17" s="896">
        <v>0.20712983279922001</v>
      </c>
      <c r="GY17" s="896">
        <v>0.22289674777791901</v>
      </c>
      <c r="GZ17" s="896">
        <v>0.21432920765823299</v>
      </c>
      <c r="HB17" s="896">
        <v>0.13926350245999999</v>
      </c>
      <c r="HC17" s="896">
        <v>0.1048280653</v>
      </c>
      <c r="HD17" s="896">
        <v>0.27580634300700002</v>
      </c>
      <c r="HE17" s="896">
        <v>0.25480471832899998</v>
      </c>
      <c r="HF17" s="896">
        <v>0.24005914508574999</v>
      </c>
      <c r="HG17" s="896">
        <v>0.22459393352281801</v>
      </c>
      <c r="HH17" s="896">
        <v>0.21929128932650499</v>
      </c>
      <c r="HI17" s="896">
        <v>0.23155781173877299</v>
      </c>
      <c r="HJ17" s="892"/>
      <c r="HK17" s="896">
        <v>0.14004909983633401</v>
      </c>
      <c r="HL17" s="896">
        <v>9.1003820771101002E-2</v>
      </c>
      <c r="HM17" s="896">
        <v>0.27596345925077997</v>
      </c>
      <c r="HN17" s="896">
        <v>0.256191207525437</v>
      </c>
      <c r="HO17" s="896">
        <v>0.24005914508574999</v>
      </c>
      <c r="HP17" s="896">
        <v>0.218446790623126</v>
      </c>
      <c r="HQ17" s="896">
        <v>0.22805899116192899</v>
      </c>
      <c r="HR17" s="896">
        <v>0.23705323341995499</v>
      </c>
      <c r="HT17" s="896">
        <v>4.1489361699999998E-2</v>
      </c>
      <c r="HU17" s="896">
        <v>6.1132337619999996E-3</v>
      </c>
      <c r="HV17" s="896">
        <v>0.21043476309100001</v>
      </c>
      <c r="HW17" s="896">
        <v>0.19094089289899999</v>
      </c>
      <c r="HX17" s="896">
        <v>0.17234634456850001</v>
      </c>
      <c r="HY17" s="896">
        <v>0.15028835389665399</v>
      </c>
      <c r="HZ17" s="896">
        <v>0.14191336888727901</v>
      </c>
      <c r="IA17" s="896">
        <v>0.16128708839712799</v>
      </c>
      <c r="IB17" s="892"/>
      <c r="IC17" s="896">
        <v>4.1489361702127997E-2</v>
      </c>
      <c r="ID17" s="896">
        <v>6.1132337617229998E-3</v>
      </c>
      <c r="IE17" s="896">
        <v>0.21043476309115</v>
      </c>
      <c r="IF17" s="896">
        <v>0.19094089289904201</v>
      </c>
      <c r="IG17" s="896">
        <v>0.17234634456850001</v>
      </c>
      <c r="IH17" s="896">
        <v>0.142508564210345</v>
      </c>
      <c r="II17" s="896">
        <v>0.16016877551028</v>
      </c>
      <c r="IJ17" s="896">
        <v>0.172643647297026</v>
      </c>
      <c r="IL17" s="896">
        <v>4.7220699999999997E-2</v>
      </c>
      <c r="IM17" s="896">
        <v>-1.8494E-3</v>
      </c>
      <c r="IN17" s="896">
        <v>-0.16844390000000001</v>
      </c>
      <c r="IO17" s="896">
        <v>0.14552329999999999</v>
      </c>
      <c r="IP17" s="896">
        <v>0.12032519999999999</v>
      </c>
      <c r="IQ17" s="896">
        <v>9.7808652915744004E-2</v>
      </c>
      <c r="IR17" s="896">
        <v>0.13920261584381699</v>
      </c>
      <c r="IS17" s="896">
        <v>9.0368545030581005E-2</v>
      </c>
      <c r="IT17" s="892"/>
      <c r="IU17" s="896">
        <v>-1.849427168576E-3</v>
      </c>
      <c r="IV17" s="896">
        <v>-0.16844390413338001</v>
      </c>
      <c r="IW17" s="896">
        <v>0.145523309316993</v>
      </c>
      <c r="IX17" s="896">
        <v>0.14151788571062901</v>
      </c>
      <c r="IY17" s="896">
        <v>0.12032519999999999</v>
      </c>
      <c r="IZ17" s="896">
        <v>9.7725346246453001E-2</v>
      </c>
      <c r="JA17" s="896">
        <v>0.114238755100447</v>
      </c>
      <c r="JB17" s="896">
        <v>0.10595822815134801</v>
      </c>
      <c r="JD17" s="896">
        <v>0.14203454911202701</v>
      </c>
      <c r="JE17" s="896">
        <v>7.2062778586941004E-2</v>
      </c>
      <c r="JF17" s="896">
        <v>6.5761973498399004E-2</v>
      </c>
      <c r="JG17" s="896">
        <v>0.135564007575211</v>
      </c>
      <c r="JH17" s="896">
        <v>5.2252373577537002E-2</v>
      </c>
      <c r="JI17" s="896">
        <v>-7.3424872001015995E-2</v>
      </c>
      <c r="JJ17" s="896">
        <f t="shared" si="6"/>
        <v>-5.4077608426853718E-2</v>
      </c>
      <c r="JK17" s="896">
        <f t="shared" si="7"/>
        <v>-8.7022751240644403E-2</v>
      </c>
      <c r="JM17" s="896">
        <v>0.147395490616238</v>
      </c>
      <c r="JN17" s="896">
        <v>0.20686448465752799</v>
      </c>
      <c r="JO17" s="896">
        <v>0.167440271338303</v>
      </c>
      <c r="JP17" s="896">
        <v>0.55192701371834396</v>
      </c>
      <c r="JQ17" s="896">
        <v>-4.8472949389180002E-2</v>
      </c>
      <c r="JR17" s="896">
        <v>-0.21617114735429299</v>
      </c>
      <c r="JS17" s="896">
        <f t="shared" si="0"/>
        <v>-7.4017184596062213E-2</v>
      </c>
      <c r="JT17" s="896">
        <f t="shared" si="1"/>
        <v>-0.13990944848949061</v>
      </c>
      <c r="JU17" s="896"/>
      <c r="JV17" s="896">
        <v>0.173570663584663</v>
      </c>
      <c r="JW17" s="896">
        <v>0.165981964637334</v>
      </c>
      <c r="JX17" s="896">
        <v>0.150308701547616</v>
      </c>
      <c r="JY17" s="896">
        <v>0.45154550456515102</v>
      </c>
      <c r="JZ17" s="896">
        <v>-2.7872721354167001E-2</v>
      </c>
      <c r="KA17" s="896">
        <v>-0.19280400789433799</v>
      </c>
      <c r="KB17" s="896">
        <f t="shared" si="8"/>
        <v>-0.10752307724071508</v>
      </c>
      <c r="KC17" s="896">
        <f t="shared" si="9"/>
        <v>-0.15303217445435247</v>
      </c>
      <c r="KE17" s="896">
        <v>0.17403338783213801</v>
      </c>
      <c r="KF17" s="896">
        <v>0.30838242310752401</v>
      </c>
      <c r="KG17" s="896">
        <v>0.26254909096094298</v>
      </c>
      <c r="KH17" s="896">
        <v>1.4538665626214899</v>
      </c>
      <c r="KI17" s="896">
        <v>5.2252373577537002E-2</v>
      </c>
      <c r="KJ17" s="896">
        <v>0.97919601387809496</v>
      </c>
      <c r="KK17" s="896">
        <f>IF(ISERROR((CC18/BY18)^(1/2)-1),"--",(CC18/BY18)^(1/2)-1)</f>
        <v>-2.8271995374212766E-3</v>
      </c>
      <c r="KL17" s="896"/>
      <c r="KM17" s="896"/>
      <c r="KN17" s="896">
        <v>0.138227715743902</v>
      </c>
      <c r="KO17" s="896">
        <v>0.72564150626258594</v>
      </c>
      <c r="KP17" s="896">
        <v>0.37991450651460001</v>
      </c>
      <c r="KQ17" s="896"/>
      <c r="KR17" s="896">
        <v>0.12320730690956</v>
      </c>
      <c r="KS17" s="896">
        <v>-0.155198522912357</v>
      </c>
      <c r="KT17" s="896"/>
      <c r="KU17" s="896"/>
      <c r="KX17" s="861" t="s">
        <v>1372</v>
      </c>
    </row>
    <row r="18" spans="2:310">
      <c r="B18" s="861" t="s">
        <v>1196</v>
      </c>
      <c r="C18" s="861">
        <f t="shared" si="4"/>
        <v>7</v>
      </c>
      <c r="D18" s="861" t="s">
        <v>1377</v>
      </c>
      <c r="E18" s="913">
        <v>21.360479518711799</v>
      </c>
      <c r="F18" s="914">
        <v>9953.9834557197191</v>
      </c>
      <c r="G18" s="914">
        <v>13365.688312837299</v>
      </c>
      <c r="H18" s="914">
        <v>3213.8270547945199</v>
      </c>
      <c r="I18" s="914">
        <v>11744.434931506799</v>
      </c>
      <c r="J18" s="890">
        <v>1.1726911857214699</v>
      </c>
      <c r="K18" s="890">
        <v>8.0195544998373105</v>
      </c>
      <c r="L18" s="889">
        <v>26.667062311405498</v>
      </c>
      <c r="M18" s="913">
        <f t="shared" si="5"/>
        <v>25.202650067611106</v>
      </c>
      <c r="N18" s="1130">
        <f t="shared" si="3"/>
        <v>0.84754894669441816</v>
      </c>
      <c r="O18" s="890"/>
      <c r="Q18" s="891">
        <v>44926</v>
      </c>
      <c r="R18" s="891">
        <v>44926</v>
      </c>
      <c r="S18" s="892"/>
      <c r="T18" s="889">
        <v>14694.0788736184</v>
      </c>
      <c r="U18" s="915">
        <v>14898.632144601899</v>
      </c>
      <c r="V18" s="915">
        <v>17000.8867062274</v>
      </c>
      <c r="W18" s="915">
        <v>19785.958904109601</v>
      </c>
      <c r="X18" s="915">
        <v>19403.686423672301</v>
      </c>
      <c r="Y18" s="915">
        <v>19281.946529682398</v>
      </c>
      <c r="Z18" s="915">
        <v>19109.700610457399</v>
      </c>
      <c r="AA18" s="915">
        <v>19523.0908165974</v>
      </c>
      <c r="AB18" s="894"/>
      <c r="AC18" s="893">
        <v>14694.0788736184</v>
      </c>
      <c r="AD18" s="894">
        <v>14093.8874982578</v>
      </c>
      <c r="AE18" s="894">
        <v>17381.2669003013</v>
      </c>
      <c r="AF18" s="894">
        <v>19403.686423672301</v>
      </c>
      <c r="AG18" s="894">
        <v>19403.686423672301</v>
      </c>
      <c r="AH18" s="894">
        <v>19266.2344995985</v>
      </c>
      <c r="AI18" s="894">
        <v>19523.0908165974</v>
      </c>
      <c r="AJ18" s="894">
        <v>20295.999513403502</v>
      </c>
      <c r="AL18" s="894">
        <v>4142.0980651525697</v>
      </c>
      <c r="AM18" s="894">
        <v>4071.8124084025399</v>
      </c>
      <c r="AN18" s="894">
        <v>4581.3155082645599</v>
      </c>
      <c r="AO18" s="894">
        <v>4528.0393835616396</v>
      </c>
      <c r="AP18" s="894">
        <v>4445.7964182927099</v>
      </c>
      <c r="AQ18" s="894">
        <v>4764.4973923101998</v>
      </c>
      <c r="AR18" s="894">
        <v>4632.6398143361503</v>
      </c>
      <c r="AS18" s="894">
        <v>4949.0980014738698</v>
      </c>
      <c r="AT18" s="894"/>
      <c r="AU18" s="894">
        <v>4142.0980651525697</v>
      </c>
      <c r="AV18" s="894">
        <v>3842.96804268297</v>
      </c>
      <c r="AW18" s="894">
        <v>4686.8128341247502</v>
      </c>
      <c r="AX18" s="894">
        <v>4445.7964182927099</v>
      </c>
      <c r="AY18" s="894">
        <v>4445.7964182927099</v>
      </c>
      <c r="AZ18" s="894">
        <v>4632.6398143361503</v>
      </c>
      <c r="BA18" s="894">
        <v>4949.0980014738698</v>
      </c>
      <c r="BB18" s="894">
        <v>5160.7510146617296</v>
      </c>
      <c r="BC18" s="893"/>
      <c r="BD18" s="894">
        <v>2413.5147860009401</v>
      </c>
      <c r="BE18" s="894">
        <v>2332.68197361993</v>
      </c>
      <c r="BF18" s="894">
        <v>2676.0339221972099</v>
      </c>
      <c r="BG18" s="916">
        <v>2577.0547945205499</v>
      </c>
      <c r="BH18" s="916">
        <v>2577.0547945205499</v>
      </c>
      <c r="BI18" s="916">
        <v>2542.4463794641501</v>
      </c>
      <c r="BJ18" s="916">
        <v>2440.5964235158799</v>
      </c>
      <c r="BK18" s="916">
        <v>2685.0363177917402</v>
      </c>
      <c r="BL18" s="894"/>
      <c r="BM18" s="894">
        <v>2413.5147860009401</v>
      </c>
      <c r="BN18" s="894">
        <v>2179.0571548532098</v>
      </c>
      <c r="BO18" s="894">
        <v>2679.7625094519999</v>
      </c>
      <c r="BP18" s="894">
        <v>2350.17689908374</v>
      </c>
      <c r="BQ18" s="894">
        <v>2577.0547945205499</v>
      </c>
      <c r="BR18" s="894">
        <v>2425.4356610974801</v>
      </c>
      <c r="BS18" s="894">
        <v>2685.0363177917402</v>
      </c>
      <c r="BT18" s="894">
        <v>2902.25795142882</v>
      </c>
      <c r="BU18" s="893"/>
      <c r="BV18" s="894">
        <v>1310.44996973298</v>
      </c>
      <c r="BW18" s="894">
        <v>1115.0464093795799</v>
      </c>
      <c r="BX18" s="894">
        <v>1513.0846008685201</v>
      </c>
      <c r="BY18" s="916">
        <v>1399.8287671232899</v>
      </c>
      <c r="BZ18" s="916">
        <v>1399.8287671232899</v>
      </c>
      <c r="CA18" s="916">
        <v>1260.5158300524899</v>
      </c>
      <c r="CB18" s="916">
        <v>1166.65230469787</v>
      </c>
      <c r="CC18" s="916">
        <v>1391.9247655489701</v>
      </c>
      <c r="CD18" s="894"/>
      <c r="CE18" s="894">
        <v>1310.44996973298</v>
      </c>
      <c r="CF18" s="894">
        <v>1000.58392429536</v>
      </c>
      <c r="CG18" s="894">
        <v>1490.06653687107</v>
      </c>
      <c r="CH18" s="894">
        <v>693.376753983188</v>
      </c>
      <c r="CI18" s="894">
        <v>1399.8287671232899</v>
      </c>
      <c r="CJ18" s="894">
        <v>1179.83069172982</v>
      </c>
      <c r="CK18" s="894">
        <v>1391.9247655489701</v>
      </c>
      <c r="CL18" s="894">
        <v>1574.53573166416</v>
      </c>
      <c r="CM18" s="892"/>
      <c r="CN18" s="915">
        <v>7.62</v>
      </c>
      <c r="CO18" s="915">
        <v>5.5</v>
      </c>
      <c r="CP18" s="915">
        <v>8.2249999999999996</v>
      </c>
      <c r="CQ18" s="915">
        <v>8.2333300000000005</v>
      </c>
      <c r="CR18" s="915">
        <v>6.99722166666667</v>
      </c>
      <c r="CS18" s="917">
        <v>6.0305574999999996</v>
      </c>
      <c r="CT18" s="915">
        <v>5.2666700000000004</v>
      </c>
      <c r="CU18" s="915">
        <v>7.1</v>
      </c>
      <c r="CV18" s="892"/>
      <c r="CW18" s="918">
        <v>1.1323512360000001</v>
      </c>
      <c r="CX18" s="918">
        <v>1.2376325928</v>
      </c>
      <c r="CY18" s="918">
        <v>1.067671013</v>
      </c>
      <c r="CZ18" s="918">
        <v>0.61892633060000002</v>
      </c>
      <c r="DA18" s="918">
        <v>0.65370997403721298</v>
      </c>
      <c r="DB18" s="919">
        <v>0.69317111175795099</v>
      </c>
      <c r="DC18" s="918">
        <v>0.69941903252650595</v>
      </c>
      <c r="DD18" s="918">
        <v>0.68460923725635703</v>
      </c>
      <c r="DE18" s="892"/>
      <c r="DF18" s="918">
        <v>1.13235123588648</v>
      </c>
      <c r="DG18" s="918">
        <v>1.23753114754098</v>
      </c>
      <c r="DH18" s="918">
        <v>1.06767101303912</v>
      </c>
      <c r="DI18" s="918">
        <v>0.61892633059281699</v>
      </c>
      <c r="DJ18" s="918">
        <v>0.65370997403721298</v>
      </c>
      <c r="DK18" s="918">
        <v>0.69941903252650595</v>
      </c>
      <c r="DL18" s="918">
        <v>0.68460923725635703</v>
      </c>
      <c r="DM18" s="918">
        <v>0.65853806825382399</v>
      </c>
      <c r="DO18" s="892">
        <v>4.0170121786197601</v>
      </c>
      <c r="DP18" s="892">
        <v>4.5284583083383296</v>
      </c>
      <c r="DQ18" s="892">
        <v>3.9620397022332501</v>
      </c>
      <c r="DR18" s="892">
        <v>2.7044930276530401</v>
      </c>
      <c r="DS18" s="892">
        <v>3.0965930183644002</v>
      </c>
      <c r="DT18" s="892">
        <v>2.8052672112716901</v>
      </c>
      <c r="DU18" s="892">
        <v>2.8851127755444899</v>
      </c>
      <c r="DV18" s="892">
        <v>2.7006311673070398</v>
      </c>
      <c r="DW18" s="892"/>
      <c r="DX18" s="892">
        <v>4.0170121786197601</v>
      </c>
      <c r="DY18" s="892">
        <v>4.7981228378762202</v>
      </c>
      <c r="DZ18" s="892">
        <v>3.8728565817778802</v>
      </c>
      <c r="EA18" s="892">
        <v>2.75452355204416</v>
      </c>
      <c r="EB18" s="892">
        <v>3.0965930183644002</v>
      </c>
      <c r="EC18" s="892">
        <v>2.8851127755444899</v>
      </c>
      <c r="ED18" s="892">
        <v>2.7006311673070398</v>
      </c>
      <c r="EE18" s="892">
        <v>2.5898727287685999</v>
      </c>
      <c r="EG18" s="892">
        <v>6.8940362285000001</v>
      </c>
      <c r="EH18" s="892">
        <v>7.9046492147</v>
      </c>
      <c r="EI18" s="892">
        <v>6.7829311810000004</v>
      </c>
      <c r="EJ18" s="892">
        <v>4.7519559801</v>
      </c>
      <c r="EK18" s="892">
        <v>5.4002636282395002</v>
      </c>
      <c r="EL18" s="895">
        <v>5.2570187598820697</v>
      </c>
      <c r="EM18" s="895">
        <v>5.4764024826287798</v>
      </c>
      <c r="EN18" s="892">
        <v>4.9778426549662802</v>
      </c>
      <c r="EO18" s="892"/>
      <c r="EP18" s="892">
        <v>6.8940362285183499</v>
      </c>
      <c r="EQ18" s="892">
        <v>8.4619316614793796</v>
      </c>
      <c r="ER18" s="892">
        <v>6.7734934973446403</v>
      </c>
      <c r="ES18" s="892">
        <v>5.2106932659218801</v>
      </c>
      <c r="ET18" s="892">
        <v>5.4002636282395002</v>
      </c>
      <c r="EU18" s="892">
        <v>5.4764024826287798</v>
      </c>
      <c r="EV18" s="892">
        <v>4.9778426549662802</v>
      </c>
      <c r="EW18" s="892">
        <v>4.6052723557040096</v>
      </c>
      <c r="EY18" s="892">
        <v>12.6970573139</v>
      </c>
      <c r="EZ18" s="892">
        <v>16.536560788599999</v>
      </c>
      <c r="FA18" s="892">
        <v>11.996258452299999</v>
      </c>
      <c r="FB18" s="892">
        <v>8.7482492354999994</v>
      </c>
      <c r="FC18" s="892">
        <v>18.038492537313399</v>
      </c>
      <c r="FD18" s="892">
        <v>10.6033482437747</v>
      </c>
      <c r="FE18" s="892">
        <v>11.456445299954799</v>
      </c>
      <c r="FF18" s="892">
        <v>9.6023065640088205</v>
      </c>
      <c r="FG18" s="892"/>
      <c r="FH18" s="892">
        <v>12.6970573139435</v>
      </c>
      <c r="FI18" s="892">
        <v>18.428272015074501</v>
      </c>
      <c r="FJ18" s="892">
        <v>12.181572757359101</v>
      </c>
      <c r="FK18" s="892">
        <v>17.661467407772001</v>
      </c>
      <c r="FL18" s="892">
        <v>18.038492537313399</v>
      </c>
      <c r="FM18" s="892">
        <v>11.456445299954799</v>
      </c>
      <c r="FN18" s="892">
        <v>9.6023065640088205</v>
      </c>
      <c r="FO18" s="892">
        <v>8.48865354024759</v>
      </c>
      <c r="FQ18" s="892">
        <v>16.839121717000001</v>
      </c>
      <c r="FR18" s="892">
        <v>25.425020965200002</v>
      </c>
      <c r="FS18" s="892">
        <v>17.7366601252</v>
      </c>
      <c r="FT18" s="892">
        <v>15.505987118</v>
      </c>
      <c r="FU18" s="892">
        <v>16.647561259405499</v>
      </c>
      <c r="FV18" s="892">
        <v>10.724617295238399</v>
      </c>
      <c r="FW18" s="892">
        <v>11.5129226074102</v>
      </c>
      <c r="FX18" s="892">
        <v>9.7864858839504691</v>
      </c>
      <c r="FY18" s="892"/>
      <c r="FZ18" s="892">
        <v>11.7922304623252</v>
      </c>
      <c r="GA18" s="892">
        <v>17.793089998473601</v>
      </c>
      <c r="GB18" s="892">
        <v>11.413513603633399</v>
      </c>
      <c r="GC18" s="892">
        <v>17.647793864443098</v>
      </c>
      <c r="GD18" s="892">
        <v>16.647561259405499</v>
      </c>
      <c r="GE18" s="892">
        <v>11.8192373998255</v>
      </c>
      <c r="GF18" s="892">
        <v>9.7864858839504691</v>
      </c>
      <c r="GG18" s="892">
        <v>8.6335598069014807</v>
      </c>
      <c r="GH18" s="892"/>
      <c r="GI18" s="892"/>
      <c r="GJ18" s="896">
        <v>0.2818889</v>
      </c>
      <c r="GK18" s="896">
        <v>0.27330110000000002</v>
      </c>
      <c r="GL18" s="896">
        <v>0.26947510000000002</v>
      </c>
      <c r="GM18" s="896">
        <v>0.2288511</v>
      </c>
      <c r="GN18" s="896">
        <v>0.227917125</v>
      </c>
      <c r="GO18" s="896">
        <v>0.228185258333333</v>
      </c>
      <c r="GP18" s="896">
        <v>0.22305430000000001</v>
      </c>
      <c r="GQ18" s="896">
        <v>0.23536860000000001</v>
      </c>
      <c r="GR18" s="892"/>
      <c r="GS18" s="896">
        <v>0.28188892279524003</v>
      </c>
      <c r="GT18" s="896">
        <v>0.27266913001526399</v>
      </c>
      <c r="GU18" s="896">
        <v>0.26964736581103399</v>
      </c>
      <c r="GV18" s="896">
        <v>0.22912122579289201</v>
      </c>
      <c r="GW18" s="896">
        <v>0.227917125</v>
      </c>
      <c r="GX18" s="896">
        <v>0.240453826845754</v>
      </c>
      <c r="GY18" s="896">
        <v>0.25488182110336099</v>
      </c>
      <c r="GZ18" s="896">
        <v>0.255660624274205</v>
      </c>
      <c r="HB18" s="896">
        <v>0.16425083918200001</v>
      </c>
      <c r="HC18" s="896">
        <v>0.156570210673</v>
      </c>
      <c r="HD18" s="896">
        <v>0.15740554998299999</v>
      </c>
      <c r="HE18" s="896">
        <v>0.13024664647299999</v>
      </c>
      <c r="HF18" s="896">
        <v>0.11973760412425</v>
      </c>
      <c r="HG18" s="896">
        <v>0.13185631313469001</v>
      </c>
      <c r="HH18" s="896">
        <v>0.12771505285542301</v>
      </c>
      <c r="HI18" s="896">
        <v>0.13753131320318801</v>
      </c>
      <c r="HJ18" s="892"/>
      <c r="HK18" s="896">
        <v>0.164250839182179</v>
      </c>
      <c r="HL18" s="896">
        <v>0.155</v>
      </c>
      <c r="HM18" s="896">
        <v>0.153727850217319</v>
      </c>
      <c r="HN18" s="896">
        <v>0.12105149286023401</v>
      </c>
      <c r="HO18" s="896">
        <v>0.11973760412425</v>
      </c>
      <c r="HP18" s="896">
        <v>0.12589048789726001</v>
      </c>
      <c r="HQ18" s="896">
        <v>0.13753131320318801</v>
      </c>
      <c r="HR18" s="896">
        <v>0.14299655207974199</v>
      </c>
      <c r="HT18" s="896">
        <v>8.9182178821999997E-2</v>
      </c>
      <c r="HU18" s="896">
        <v>7.4842200179999999E-2</v>
      </c>
      <c r="HV18" s="896">
        <v>8.9000334336000006E-2</v>
      </c>
      <c r="HW18" s="896">
        <v>7.0748593681999997E-2</v>
      </c>
      <c r="HX18" s="896">
        <v>3.3125173376249997E-2</v>
      </c>
      <c r="HY18" s="896">
        <v>6.5372851652299002E-2</v>
      </c>
      <c r="HZ18" s="896">
        <v>6.1050265960705001E-2</v>
      </c>
      <c r="IA18" s="896">
        <v>7.1296332052384004E-2</v>
      </c>
      <c r="IB18" s="892"/>
      <c r="IC18" s="896">
        <v>8.9182178822093006E-2</v>
      </c>
      <c r="ID18" s="896">
        <v>7.4836065573769997E-2</v>
      </c>
      <c r="IE18" s="896">
        <v>8.9000334336341996E-2</v>
      </c>
      <c r="IF18" s="896">
        <v>7.0748593682389005E-2</v>
      </c>
      <c r="IG18" s="896">
        <v>3.3125173376249997E-2</v>
      </c>
      <c r="IH18" s="896">
        <v>6.0225888958919997E-2</v>
      </c>
      <c r="II18" s="896">
        <v>7.1296332052384004E-2</v>
      </c>
      <c r="IJ18" s="896">
        <v>7.7578624823296999E-2</v>
      </c>
      <c r="IL18" s="896">
        <v>5.1707200000000002E-2</v>
      </c>
      <c r="IM18" s="896">
        <v>5.7445799999999998E-2</v>
      </c>
      <c r="IN18" s="896">
        <v>4.0085299999999997E-2</v>
      </c>
      <c r="IO18" s="896">
        <v>5.0016699999999997E-2</v>
      </c>
      <c r="IP18" s="896">
        <v>2.7562275000000001E-2</v>
      </c>
      <c r="IQ18" s="896">
        <v>4.7207177777411E-2</v>
      </c>
      <c r="IR18" s="896">
        <v>5.6505238127271998E-2</v>
      </c>
      <c r="IS18" s="896">
        <v>4.4401385309401999E-2</v>
      </c>
      <c r="IT18" s="892"/>
      <c r="IU18" s="896">
        <v>5.9047909673482002E-2</v>
      </c>
      <c r="IV18" s="896">
        <v>4.1229508196720999E-2</v>
      </c>
      <c r="IW18" s="896">
        <v>5.1420929455032002E-2</v>
      </c>
      <c r="IX18" s="896">
        <v>2.9965382951103001E-2</v>
      </c>
      <c r="IY18" s="896">
        <v>2.7562275000000001E-2</v>
      </c>
      <c r="IZ18" s="896">
        <v>4.3340646251124E-2</v>
      </c>
      <c r="JA18" s="896">
        <v>5.1052111776818003E-2</v>
      </c>
      <c r="JB18" s="896">
        <v>5.5759843699599999E-2</v>
      </c>
      <c r="JD18" s="896">
        <v>-8.9944714046279999E-3</v>
      </c>
      <c r="JE18" s="896">
        <v>5.0782568476907E-2</v>
      </c>
      <c r="JF18" s="896">
        <v>6.7862297324881998E-2</v>
      </c>
      <c r="JG18" s="896">
        <v>0.104260604704714</v>
      </c>
      <c r="JH18" s="896">
        <v>0.236242059511869</v>
      </c>
      <c r="JI18" s="896">
        <v>0.236242059511869</v>
      </c>
      <c r="JJ18" s="896"/>
      <c r="JK18" s="896"/>
      <c r="JM18" s="896">
        <v>-4.4303311822431003E-2</v>
      </c>
      <c r="JN18" s="896">
        <v>-6.3209065182159999E-3</v>
      </c>
      <c r="JO18" s="896">
        <v>-3.0110637622890002E-3</v>
      </c>
      <c r="JP18" s="896">
        <v>3.0140842706553001E-2</v>
      </c>
      <c r="JQ18" s="896">
        <v>4.9875930521092002E-2</v>
      </c>
      <c r="JR18" s="896">
        <v>5.0931677018633999E-2</v>
      </c>
      <c r="JS18" s="896"/>
      <c r="JT18" s="896"/>
      <c r="JU18" s="896"/>
      <c r="JV18" s="896">
        <v>-3.63362102369E-2</v>
      </c>
      <c r="JW18" s="896">
        <v>1.053245053533E-3</v>
      </c>
      <c r="JX18" s="896">
        <v>-2.3675822993955001E-2</v>
      </c>
      <c r="JY18" s="896">
        <v>2.2094919774807001E-2</v>
      </c>
      <c r="JZ18" s="896">
        <v>2.2939677145285001E-2</v>
      </c>
      <c r="KA18" s="896">
        <v>-2.6533275337103E-2</v>
      </c>
      <c r="KB18" s="896"/>
      <c r="KC18" s="896"/>
      <c r="KE18" s="896">
        <v>-0.109961344148611</v>
      </c>
      <c r="KF18" s="896">
        <v>-0.12477324836640501</v>
      </c>
      <c r="KG18" s="896">
        <v>-7.0622693652606996E-2</v>
      </c>
      <c r="KH18" s="896">
        <v>2.223674919585E-2</v>
      </c>
      <c r="KI18" s="896">
        <v>0.236242059511869</v>
      </c>
      <c r="KJ18" s="896">
        <v>-0.17945640276679201</v>
      </c>
      <c r="KK18" s="896" t="str">
        <f>IF(ISERROR((#REF!/#REF!)^(1/2)-1),"--",(#REF!/#REF!)^(1/2)-1)</f>
        <v>--</v>
      </c>
      <c r="KL18" s="896"/>
      <c r="KM18" s="896"/>
      <c r="KN18" s="896">
        <v>-8.5409672218192997E-2</v>
      </c>
      <c r="KO18" s="896">
        <v>-3.9830288080261997E-2</v>
      </c>
      <c r="KP18" s="896">
        <v>-7.4658340529747E-2</v>
      </c>
      <c r="KQ18" s="896">
        <v>-0.11918500877742499</v>
      </c>
      <c r="KR18" s="896">
        <v>-0.27941313895897602</v>
      </c>
      <c r="KS18" s="896">
        <v>-0.27645257650309002</v>
      </c>
      <c r="KT18" s="896"/>
      <c r="KU18" s="896"/>
      <c r="KX18" s="861" t="s">
        <v>1373</v>
      </c>
    </row>
    <row r="19" spans="2:310">
      <c r="B19" s="861" t="s">
        <v>1195</v>
      </c>
      <c r="C19" s="861">
        <f t="shared" si="4"/>
        <v>8</v>
      </c>
      <c r="D19" s="861" t="s">
        <v>1378</v>
      </c>
      <c r="E19" s="913">
        <v>26.24</v>
      </c>
      <c r="F19" s="914">
        <v>4819.5831673599996</v>
      </c>
      <c r="G19" s="914">
        <v>6143.5831673599996</v>
      </c>
      <c r="H19" s="914">
        <v>1083</v>
      </c>
      <c r="I19" s="914">
        <v>3599</v>
      </c>
      <c r="J19" s="890">
        <v>1.1384260106952599</v>
      </c>
      <c r="K19" s="890">
        <v>7.8078993843315896</v>
      </c>
      <c r="L19" s="889">
        <v>18.4440423894</v>
      </c>
      <c r="M19" s="913">
        <f>I19/(F19/E19)</f>
        <v>19.594590801870055</v>
      </c>
      <c r="N19" s="1130">
        <f t="shared" si="3"/>
        <v>1.339145086790775</v>
      </c>
      <c r="O19" s="890"/>
      <c r="Q19" s="891">
        <v>44926</v>
      </c>
      <c r="R19" s="891">
        <v>44926</v>
      </c>
      <c r="S19" s="892"/>
      <c r="T19" s="889">
        <v>6797</v>
      </c>
      <c r="U19" s="915">
        <v>6018</v>
      </c>
      <c r="V19" s="915">
        <v>7670</v>
      </c>
      <c r="W19" s="915">
        <v>8023</v>
      </c>
      <c r="X19" s="915">
        <v>8412</v>
      </c>
      <c r="Y19" s="915">
        <v>7571.8741024999999</v>
      </c>
      <c r="Z19" s="915">
        <v>7376.4347399999997</v>
      </c>
      <c r="AA19" s="915">
        <v>7845.4892099999997</v>
      </c>
      <c r="AB19" s="894"/>
      <c r="AC19" s="893">
        <v>7207</v>
      </c>
      <c r="AD19" s="894">
        <v>6018</v>
      </c>
      <c r="AE19" s="894">
        <v>8070</v>
      </c>
      <c r="AF19" s="894">
        <v>8412</v>
      </c>
      <c r="AG19" s="894">
        <v>8412</v>
      </c>
      <c r="AH19" s="894">
        <v>7429.9731700000002</v>
      </c>
      <c r="AI19" s="894">
        <v>8076.7245999999996</v>
      </c>
      <c r="AJ19" s="894">
        <v>10775.7055</v>
      </c>
      <c r="AL19" s="894">
        <v>1382</v>
      </c>
      <c r="AM19" s="894">
        <v>1100</v>
      </c>
      <c r="AN19" s="894">
        <v>1584</v>
      </c>
      <c r="AO19" s="894">
        <v>1546</v>
      </c>
      <c r="AP19" s="894">
        <v>1642</v>
      </c>
      <c r="AQ19" s="894">
        <v>1481.3812041666699</v>
      </c>
      <c r="AR19" s="894">
        <v>1385.09</v>
      </c>
      <c r="AS19" s="894">
        <v>1616.1888899999999</v>
      </c>
      <c r="AT19" s="894"/>
      <c r="AU19" s="894">
        <v>1442</v>
      </c>
      <c r="AV19" s="894">
        <v>1100</v>
      </c>
      <c r="AW19" s="894">
        <v>1683</v>
      </c>
      <c r="AX19" s="894">
        <v>1642</v>
      </c>
      <c r="AY19" s="894">
        <v>1642</v>
      </c>
      <c r="AZ19" s="894">
        <v>1404.5571399999999</v>
      </c>
      <c r="BA19" s="894">
        <v>1637</v>
      </c>
      <c r="BB19" s="894">
        <v>1599.5666699999999</v>
      </c>
      <c r="BC19" s="893"/>
      <c r="BD19" s="894">
        <v>742</v>
      </c>
      <c r="BE19" s="894">
        <v>522</v>
      </c>
      <c r="BF19" s="894">
        <v>624</v>
      </c>
      <c r="BG19" s="916">
        <v>1156</v>
      </c>
      <c r="BH19" s="916">
        <v>1156</v>
      </c>
      <c r="BI19" s="916">
        <v>891.20100833333299</v>
      </c>
      <c r="BJ19" s="916">
        <v>795.21479999999997</v>
      </c>
      <c r="BK19" s="916">
        <v>1025.5817</v>
      </c>
      <c r="BL19" s="894"/>
      <c r="BM19" s="894">
        <v>793</v>
      </c>
      <c r="BN19" s="894">
        <v>521</v>
      </c>
      <c r="BO19" s="894">
        <v>1079</v>
      </c>
      <c r="BP19" s="894">
        <v>1210</v>
      </c>
      <c r="BQ19" s="894">
        <v>1156</v>
      </c>
      <c r="BR19" s="894">
        <v>792.76251000000002</v>
      </c>
      <c r="BS19" s="894">
        <v>1088.2375</v>
      </c>
      <c r="BT19" s="894">
        <v>1641.5</v>
      </c>
      <c r="BU19" s="893"/>
      <c r="BV19" s="894">
        <v>472</v>
      </c>
      <c r="BW19" s="894">
        <v>239</v>
      </c>
      <c r="BX19" s="894">
        <v>328</v>
      </c>
      <c r="BY19" s="916">
        <v>875</v>
      </c>
      <c r="BZ19" s="916">
        <v>875</v>
      </c>
      <c r="CA19" s="916">
        <v>583.62850249999997</v>
      </c>
      <c r="CB19" s="916">
        <v>492.87858999999997</v>
      </c>
      <c r="CC19" s="916">
        <v>710.67837999999995</v>
      </c>
      <c r="CD19" s="894"/>
      <c r="CE19" s="894">
        <v>523</v>
      </c>
      <c r="CF19" s="894">
        <v>238</v>
      </c>
      <c r="CG19" s="894">
        <v>783</v>
      </c>
      <c r="CH19" s="894">
        <v>921</v>
      </c>
      <c r="CI19" s="894">
        <v>875</v>
      </c>
      <c r="CJ19" s="894">
        <v>494.87574999999998</v>
      </c>
      <c r="CK19" s="894">
        <v>788</v>
      </c>
      <c r="CL19" s="894">
        <v>814.58466999999996</v>
      </c>
      <c r="CM19" s="892"/>
      <c r="CN19" s="915">
        <v>6.15</v>
      </c>
      <c r="CO19" s="915">
        <v>9.8000000000000007</v>
      </c>
      <c r="CP19" s="915">
        <v>10.93333</v>
      </c>
      <c r="CQ19" s="915">
        <v>11.8</v>
      </c>
      <c r="CR19" s="915">
        <v>9.9666666666666703</v>
      </c>
      <c r="CS19" s="917">
        <v>9.31666666666667</v>
      </c>
      <c r="CT19" s="915">
        <v>7.4</v>
      </c>
      <c r="CU19" s="915">
        <v>12</v>
      </c>
      <c r="CV19" s="892"/>
      <c r="CW19" s="918">
        <v>1.0954815680000001</v>
      </c>
      <c r="CX19" s="918">
        <v>1.0358861709</v>
      </c>
      <c r="CY19" s="918">
        <v>1.0654836201</v>
      </c>
      <c r="CZ19" s="918">
        <v>0.79400161550000004</v>
      </c>
      <c r="DA19" s="918">
        <v>0.76574637509161103</v>
      </c>
      <c r="DB19" s="919">
        <v>0.81136890077604096</v>
      </c>
      <c r="DC19" s="918">
        <v>0.83286619944528895</v>
      </c>
      <c r="DD19" s="918">
        <v>0.78307203068092601</v>
      </c>
      <c r="DE19" s="892"/>
      <c r="DF19" s="918">
        <v>1.03316056878035</v>
      </c>
      <c r="DG19" s="918">
        <v>1.0358861708873399</v>
      </c>
      <c r="DH19" s="918">
        <v>1.01267154478315</v>
      </c>
      <c r="DI19" s="918">
        <v>0.75728423214455498</v>
      </c>
      <c r="DJ19" s="918">
        <v>0.76574637509161103</v>
      </c>
      <c r="DK19" s="918">
        <v>0.83286619944528895</v>
      </c>
      <c r="DL19" s="918">
        <v>0.78307203068092601</v>
      </c>
      <c r="DM19" s="918">
        <v>0.75271884681176704</v>
      </c>
      <c r="DO19" s="892">
        <v>5.3878351803183797</v>
      </c>
      <c r="DP19" s="892">
        <v>5.66723906945455</v>
      </c>
      <c r="DQ19" s="892">
        <v>5.1592546505050496</v>
      </c>
      <c r="DR19" s="892">
        <v>4.1204883316947001</v>
      </c>
      <c r="DS19" s="892">
        <v>4.2629591499390997</v>
      </c>
      <c r="DT19" s="892">
        <v>4.1471993502280204</v>
      </c>
      <c r="DU19" s="892">
        <v>4.4355118926279102</v>
      </c>
      <c r="DV19" s="892">
        <v>3.80127793562546</v>
      </c>
      <c r="DW19" s="892"/>
      <c r="DX19" s="892">
        <v>5.1636534113730903</v>
      </c>
      <c r="DY19" s="892">
        <v>5.66723906945455</v>
      </c>
      <c r="DZ19" s="892">
        <v>4.8557690828282798</v>
      </c>
      <c r="EA19" s="892">
        <v>3.8795828019488399</v>
      </c>
      <c r="EB19" s="892">
        <v>4.2629591499390997</v>
      </c>
      <c r="EC19" s="892">
        <v>4.3740357671457897</v>
      </c>
      <c r="ED19" s="892">
        <v>3.7529524540989598</v>
      </c>
      <c r="EE19" s="892">
        <v>3.8407796827624501</v>
      </c>
      <c r="EG19" s="892">
        <v>10.035024554</v>
      </c>
      <c r="EH19" s="892">
        <v>11.9424578092</v>
      </c>
      <c r="EI19" s="892">
        <v>13.096569497400001</v>
      </c>
      <c r="EJ19" s="892">
        <v>5.5106184781999996</v>
      </c>
      <c r="EK19" s="892">
        <v>5.3145183108650498</v>
      </c>
      <c r="EL19" s="895">
        <v>6.8935998836551304</v>
      </c>
      <c r="EM19" s="895">
        <v>7.7256901749816498</v>
      </c>
      <c r="EN19" s="892">
        <v>5.9903400844223302</v>
      </c>
      <c r="EO19" s="892"/>
      <c r="EP19" s="892">
        <v>9.3896446648171494</v>
      </c>
      <c r="EQ19" s="892">
        <v>11.965379993090201</v>
      </c>
      <c r="ER19" s="892">
        <v>7.5739197093605197</v>
      </c>
      <c r="ES19" s="892">
        <v>5.2646900502479301</v>
      </c>
      <c r="ET19" s="892">
        <v>5.3145183108650498</v>
      </c>
      <c r="EU19" s="892">
        <v>7.7256901749816498</v>
      </c>
      <c r="EV19" s="892">
        <v>5.9903400844223302</v>
      </c>
      <c r="EW19" s="892">
        <v>5.39818077344027</v>
      </c>
      <c r="EY19" s="892">
        <v>15.775398770000001</v>
      </c>
      <c r="EZ19" s="892">
        <v>26.083527097899999</v>
      </c>
      <c r="FA19" s="892">
        <v>24.915424897600001</v>
      </c>
      <c r="FB19" s="892">
        <v>7.2803142409000001</v>
      </c>
      <c r="FC19" s="892">
        <v>7.0212379055542797</v>
      </c>
      <c r="FD19" s="892">
        <v>10.526530388841</v>
      </c>
      <c r="FE19" s="892">
        <v>12.464698796025999</v>
      </c>
      <c r="FF19" s="892">
        <v>8.6446743565774398</v>
      </c>
      <c r="FG19" s="892"/>
      <c r="FH19" s="892">
        <v>14.237071164818399</v>
      </c>
      <c r="FI19" s="892">
        <v>26.193121749579799</v>
      </c>
      <c r="FJ19" s="892">
        <v>10.4371128561941</v>
      </c>
      <c r="FK19" s="892">
        <v>6.9166937685124896</v>
      </c>
      <c r="FL19" s="892">
        <v>7.0212379055542797</v>
      </c>
      <c r="FM19" s="892">
        <v>12.464698796025999</v>
      </c>
      <c r="FN19" s="892">
        <v>8.6446743565774398</v>
      </c>
      <c r="FO19" s="892">
        <v>7.5419823053630504</v>
      </c>
      <c r="FQ19" s="892">
        <v>14.212517133</v>
      </c>
      <c r="FR19" s="892">
        <v>21.538909689099999</v>
      </c>
      <c r="FS19" s="892">
        <v>7.7534543772999998</v>
      </c>
      <c r="FT19" s="892">
        <v>12.451855544000001</v>
      </c>
      <c r="FU19" s="892">
        <v>12.0009695905309</v>
      </c>
      <c r="FV19" s="892">
        <v>11.4769125909619</v>
      </c>
      <c r="FW19" s="892">
        <v>14.504449726383299</v>
      </c>
      <c r="FX19" s="892">
        <v>8.8815177105721901</v>
      </c>
      <c r="FY19" s="892"/>
      <c r="FZ19" s="892">
        <v>14.0512463519773</v>
      </c>
      <c r="GA19" s="892">
        <v>22.916830420695</v>
      </c>
      <c r="GB19" s="892">
        <v>5.6457668582297202</v>
      </c>
      <c r="GC19" s="892">
        <v>11.653676193014</v>
      </c>
      <c r="GD19" s="892">
        <v>12.0009695905309</v>
      </c>
      <c r="GE19" s="892">
        <v>14.299571666793801</v>
      </c>
      <c r="GF19" s="892">
        <v>8.0202707452677604</v>
      </c>
      <c r="GG19" s="892">
        <v>5.5877342419080103</v>
      </c>
      <c r="GH19" s="892"/>
      <c r="GI19" s="892"/>
      <c r="GJ19" s="896">
        <v>0.20332500000000001</v>
      </c>
      <c r="GK19" s="896">
        <v>0.182785</v>
      </c>
      <c r="GL19" s="896">
        <v>0.20651890000000001</v>
      </c>
      <c r="GM19" s="896">
        <v>0.19269600000000001</v>
      </c>
      <c r="GN19" s="896">
        <v>0.188242675</v>
      </c>
      <c r="GO19" s="896">
        <v>0.19875082499999999</v>
      </c>
      <c r="GP19" s="896">
        <v>0.1898417</v>
      </c>
      <c r="GQ19" s="896">
        <v>0.21122360000000001</v>
      </c>
      <c r="GR19" s="892"/>
      <c r="GS19" s="896">
        <v>0.20008325239350599</v>
      </c>
      <c r="GT19" s="896">
        <v>0.18278497839813901</v>
      </c>
      <c r="GU19" s="896">
        <v>0.20855018587360599</v>
      </c>
      <c r="GV19" s="896">
        <v>0.19519733713742299</v>
      </c>
      <c r="GW19" s="896">
        <v>0.188242675</v>
      </c>
      <c r="GX19" s="896">
        <v>0.18903932865749501</v>
      </c>
      <c r="GY19" s="896">
        <v>0.20268117102816699</v>
      </c>
      <c r="GZ19" s="896">
        <v>0.14844194377806599</v>
      </c>
      <c r="HB19" s="896">
        <v>0.10916580845</v>
      </c>
      <c r="HC19" s="896">
        <v>8.6739780658000004E-2</v>
      </c>
      <c r="HD19" s="896">
        <v>8.1355932202999998E-2</v>
      </c>
      <c r="HE19" s="896">
        <v>0.14408575345899999</v>
      </c>
      <c r="HF19" s="896">
        <v>0.13986958327599999</v>
      </c>
      <c r="HG19" s="896">
        <v>0.117698867713488</v>
      </c>
      <c r="HH19" s="896">
        <v>0.107804763144966</v>
      </c>
      <c r="HI19" s="896">
        <v>0.13072246644514901</v>
      </c>
      <c r="HJ19" s="892"/>
      <c r="HK19" s="896">
        <v>0.11003191341751099</v>
      </c>
      <c r="HL19" s="896">
        <v>8.6573612495845997E-2</v>
      </c>
      <c r="HM19" s="896">
        <v>0.133705080545229</v>
      </c>
      <c r="HN19" s="896">
        <v>0.14384213029006199</v>
      </c>
      <c r="HO19" s="896">
        <v>0.13986958327599999</v>
      </c>
      <c r="HP19" s="896">
        <v>0.10669789673009</v>
      </c>
      <c r="HQ19" s="896">
        <v>0.134737477615617</v>
      </c>
      <c r="HR19" s="896">
        <v>0.15233341334356201</v>
      </c>
      <c r="HT19" s="896">
        <v>6.9442401060000006E-2</v>
      </c>
      <c r="HU19" s="896">
        <v>3.9714190761000003E-2</v>
      </c>
      <c r="HV19" s="896">
        <v>4.2764015645E-2</v>
      </c>
      <c r="HW19" s="896">
        <v>0.109061448336</v>
      </c>
      <c r="HX19" s="896">
        <v>0.10416732636874999</v>
      </c>
      <c r="HY19" s="896">
        <v>7.7078474179504003E-2</v>
      </c>
      <c r="HZ19" s="896">
        <v>6.6817996413264996E-2</v>
      </c>
      <c r="IA19" s="896">
        <v>9.0584329539853001E-2</v>
      </c>
      <c r="IB19" s="892"/>
      <c r="IC19" s="896">
        <v>6.5491882891633005E-2</v>
      </c>
      <c r="ID19" s="896">
        <v>3.9714190761049997E-2</v>
      </c>
      <c r="IE19" s="896">
        <v>4.0644361833953001E-2</v>
      </c>
      <c r="IF19" s="896">
        <v>0.104018069424631</v>
      </c>
      <c r="IG19" s="896">
        <v>0.10416732636874999</v>
      </c>
      <c r="IH19" s="896">
        <v>6.6336523527445998E-2</v>
      </c>
      <c r="II19" s="896">
        <v>8.7990914039585005E-2</v>
      </c>
      <c r="IJ19" s="896">
        <v>7.5594555734656996E-2</v>
      </c>
      <c r="IL19" s="896">
        <v>5.4445E-2</v>
      </c>
      <c r="IM19" s="896">
        <v>5.7672500000000002E-2</v>
      </c>
      <c r="IN19" s="896">
        <v>4.3037600000000002E-2</v>
      </c>
      <c r="IO19" s="896">
        <v>0.12985659999999999</v>
      </c>
      <c r="IP19" s="896">
        <v>4.8858924999999997E-2</v>
      </c>
      <c r="IQ19" s="896">
        <v>5.4434082996340998E-2</v>
      </c>
      <c r="IR19" s="896">
        <v>8.2498871277207994E-2</v>
      </c>
      <c r="IS19" s="896">
        <v>4.6363101153119E-2</v>
      </c>
      <c r="IT19" s="892"/>
      <c r="IU19" s="896">
        <v>6.4520604967392994E-2</v>
      </c>
      <c r="IV19" s="896">
        <v>4.8354935194416998E-2</v>
      </c>
      <c r="IW19" s="896">
        <v>0.13420074349442401</v>
      </c>
      <c r="IX19" s="896">
        <v>6.4312886352829002E-2</v>
      </c>
      <c r="IY19" s="896">
        <v>4.8858924999999997E-2</v>
      </c>
      <c r="IZ19" s="896">
        <v>4.6149807294660998E-2</v>
      </c>
      <c r="JA19" s="896">
        <v>7.2717184141700003E-2</v>
      </c>
      <c r="JB19" s="896">
        <v>5.4349069766243999E-2</v>
      </c>
      <c r="JD19" s="896">
        <v>-2.7679437956359999E-2</v>
      </c>
      <c r="JE19" s="896">
        <v>4.0388909436479999E-3</v>
      </c>
      <c r="JF19" s="896">
        <v>1.7048248279172999E-2</v>
      </c>
      <c r="JG19" s="896">
        <v>5.6613793492362001E-2</v>
      </c>
      <c r="JH19" s="896">
        <v>4.6023468057365999E-2</v>
      </c>
      <c r="JI19" s="896">
        <v>4.6023468057365999E-2</v>
      </c>
      <c r="JJ19" s="896"/>
      <c r="JK19" s="896"/>
      <c r="JM19" s="896">
        <v>-1.4583971379357E-2</v>
      </c>
      <c r="JN19" s="896">
        <v>9.5478134433219994E-3</v>
      </c>
      <c r="JO19" s="896">
        <v>-1.3394237985922999E-2</v>
      </c>
      <c r="JP19" s="896">
        <v>5.9655480912436998E-2</v>
      </c>
      <c r="JQ19" s="896">
        <v>-2.3989898989898999E-2</v>
      </c>
      <c r="JR19" s="896">
        <v>-2.3989898989898999E-2</v>
      </c>
      <c r="JS19" s="896"/>
      <c r="JT19" s="896"/>
      <c r="JU19" s="896"/>
      <c r="JV19" s="896">
        <v>-9.8512421635620004E-3</v>
      </c>
      <c r="JW19" s="896">
        <v>4.0949644100919998E-3</v>
      </c>
      <c r="JX19" s="896">
        <v>6.3695987389031997E-2</v>
      </c>
      <c r="JY19" s="896">
        <v>0.197606809260684</v>
      </c>
      <c r="JZ19" s="896">
        <v>0.85256410256410298</v>
      </c>
      <c r="KA19" s="896">
        <v>0.10727969348659</v>
      </c>
      <c r="KB19" s="896"/>
      <c r="KC19" s="896"/>
      <c r="KE19" s="896">
        <v>2.85344977498E-3</v>
      </c>
      <c r="KF19" s="896">
        <v>8.0304867664630006E-3</v>
      </c>
      <c r="KG19" s="896">
        <v>8.0063451209221995E-2</v>
      </c>
      <c r="KH19" s="896">
        <v>0.271157852523364</v>
      </c>
      <c r="KI19" s="896">
        <v>4.6023468057365999E-2</v>
      </c>
      <c r="KJ19" s="896">
        <v>0.623435298579743</v>
      </c>
      <c r="KK19" s="896" t="str">
        <f>IF(ISERROR((#REF!/#REF!)^(1/2)-1),"--",(#REF!/#REF!)^(1/2)-1)</f>
        <v>--</v>
      </c>
      <c r="KL19" s="896"/>
      <c r="KM19" s="896"/>
      <c r="KN19" s="896">
        <v>4.4724084158300002E-2</v>
      </c>
      <c r="KO19" s="896">
        <v>8.2047212949697995E-2</v>
      </c>
      <c r="KP19" s="896">
        <v>4.9948712878544001E-2</v>
      </c>
      <c r="KQ19" s="896">
        <v>0.25595282379259598</v>
      </c>
      <c r="KR19" s="896">
        <v>-0.50942951647609003</v>
      </c>
      <c r="KS19" s="896">
        <v>-0.51695578020890398</v>
      </c>
      <c r="KT19" s="896"/>
      <c r="KU19" s="896"/>
      <c r="KX19" s="861" t="s">
        <v>1374</v>
      </c>
    </row>
    <row r="20" spans="2:310" s="897" customFormat="1">
      <c r="B20" s="897" t="s">
        <v>1509</v>
      </c>
      <c r="C20" s="897">
        <f t="shared" si="4"/>
        <v>9</v>
      </c>
      <c r="D20" s="1131" t="s">
        <v>1515</v>
      </c>
      <c r="E20" s="899">
        <v>102.83</v>
      </c>
      <c r="F20" s="900">
        <v>56728.454074109999</v>
      </c>
      <c r="G20" s="900">
        <v>68772.454074110006</v>
      </c>
      <c r="H20" s="900">
        <v>12132</v>
      </c>
      <c r="I20" s="900">
        <v>14722</v>
      </c>
      <c r="J20" s="901">
        <v>0.94834883107909695</v>
      </c>
      <c r="K20" s="901">
        <v>6.9637499692763001</v>
      </c>
      <c r="L20" s="902">
        <v>19.67623</v>
      </c>
      <c r="M20" s="899">
        <f t="shared" si="5"/>
        <v>26.686136343893494</v>
      </c>
      <c r="N20" s="1129">
        <f t="shared" si="3"/>
        <v>3.8533116474738489</v>
      </c>
      <c r="O20" s="901"/>
      <c r="Q20" s="903">
        <v>44926</v>
      </c>
      <c r="R20" s="903">
        <v>45016</v>
      </c>
      <c r="S20" s="904"/>
      <c r="T20" s="902">
        <v>32136</v>
      </c>
      <c r="U20" s="905">
        <v>32184</v>
      </c>
      <c r="V20" s="905">
        <v>35355</v>
      </c>
      <c r="W20" s="905">
        <v>34229</v>
      </c>
      <c r="X20" s="905">
        <v>33431</v>
      </c>
      <c r="Y20" s="905">
        <v>32479.603428333299</v>
      </c>
      <c r="Z20" s="905">
        <v>32025.655770000001</v>
      </c>
      <c r="AA20" s="905">
        <v>33115.130149999997</v>
      </c>
      <c r="AB20" s="906"/>
      <c r="AC20" s="907">
        <v>32136</v>
      </c>
      <c r="AD20" s="906">
        <v>32184</v>
      </c>
      <c r="AE20" s="906">
        <v>35355</v>
      </c>
      <c r="AF20" s="906">
        <v>34229</v>
      </c>
      <c r="AG20" s="906">
        <v>33431</v>
      </c>
      <c r="AH20" s="906">
        <v>32045.99956</v>
      </c>
      <c r="AI20" s="906">
        <v>32577.31</v>
      </c>
      <c r="AJ20" s="906">
        <v>33153.800000000003</v>
      </c>
      <c r="AL20" s="906">
        <v>15072</v>
      </c>
      <c r="AM20" s="906">
        <v>15643</v>
      </c>
      <c r="AN20" s="906">
        <v>16579</v>
      </c>
      <c r="AO20" s="906">
        <v>15000</v>
      </c>
      <c r="AP20" s="906">
        <v>14431</v>
      </c>
      <c r="AQ20" s="906">
        <v>14811.4880941667</v>
      </c>
      <c r="AR20" s="906">
        <v>14327.85714</v>
      </c>
      <c r="AS20" s="906">
        <v>15488.57143</v>
      </c>
      <c r="AT20" s="906"/>
      <c r="AU20" s="906">
        <v>15052</v>
      </c>
      <c r="AV20" s="906">
        <v>15643</v>
      </c>
      <c r="AW20" s="906">
        <v>16579</v>
      </c>
      <c r="AX20" s="906">
        <v>15000</v>
      </c>
      <c r="AY20" s="906">
        <v>14431</v>
      </c>
      <c r="AZ20" s="906">
        <v>14686.4</v>
      </c>
      <c r="BA20" s="906">
        <v>15488.57143</v>
      </c>
      <c r="BB20" s="906">
        <v>15962</v>
      </c>
      <c r="BC20" s="907"/>
      <c r="BD20" s="906">
        <v>8661</v>
      </c>
      <c r="BE20" s="906">
        <v>8941</v>
      </c>
      <c r="BF20" s="906">
        <v>9408</v>
      </c>
      <c r="BG20" s="906">
        <v>9236</v>
      </c>
      <c r="BH20" s="906">
        <v>9236</v>
      </c>
      <c r="BI20" s="906">
        <v>8096.0323441666696</v>
      </c>
      <c r="BJ20" s="906">
        <v>7823.1298900000002</v>
      </c>
      <c r="BK20" s="906">
        <v>8478.0957799999996</v>
      </c>
      <c r="BL20" s="906"/>
      <c r="BM20" s="906">
        <v>8641</v>
      </c>
      <c r="BN20" s="906">
        <v>8941</v>
      </c>
      <c r="BO20" s="906">
        <v>9408</v>
      </c>
      <c r="BP20" s="906">
        <v>9236</v>
      </c>
      <c r="BQ20" s="906">
        <v>9236</v>
      </c>
      <c r="BR20" s="906">
        <v>7919.8125</v>
      </c>
      <c r="BS20" s="906">
        <v>8603.9</v>
      </c>
      <c r="BT20" s="906">
        <v>8886.2651700000006</v>
      </c>
      <c r="BU20" s="907"/>
      <c r="BV20" s="906">
        <v>7068</v>
      </c>
      <c r="BW20" s="906">
        <v>7030</v>
      </c>
      <c r="BX20" s="906">
        <v>7493</v>
      </c>
      <c r="BY20" s="906">
        <v>7405</v>
      </c>
      <c r="BZ20" s="906">
        <v>7405</v>
      </c>
      <c r="CA20" s="906">
        <v>6345.7850916666703</v>
      </c>
      <c r="CB20" s="906">
        <v>6067.8832499999999</v>
      </c>
      <c r="CC20" s="906">
        <v>6734.8476700000001</v>
      </c>
      <c r="CD20" s="906"/>
      <c r="CE20" s="906">
        <v>7048</v>
      </c>
      <c r="CF20" s="906">
        <v>7030</v>
      </c>
      <c r="CG20" s="906">
        <v>7493</v>
      </c>
      <c r="CH20" s="906">
        <v>7405</v>
      </c>
      <c r="CI20" s="906">
        <v>7405</v>
      </c>
      <c r="CJ20" s="906">
        <v>6044.50551</v>
      </c>
      <c r="CK20" s="906">
        <v>6735.3140000000003</v>
      </c>
      <c r="CL20" s="906">
        <v>7239.4589999999998</v>
      </c>
      <c r="CM20" s="904"/>
      <c r="CN20" s="905">
        <v>17.766670000000001</v>
      </c>
      <c r="CO20" s="905">
        <v>14.3</v>
      </c>
      <c r="CP20" s="905">
        <v>15.35</v>
      </c>
      <c r="CQ20" s="905">
        <v>19.100000000000001</v>
      </c>
      <c r="CR20" s="905">
        <v>18.725000000000001</v>
      </c>
      <c r="CS20" s="908">
        <v>18.658333333333299</v>
      </c>
      <c r="CT20" s="905">
        <v>18.2</v>
      </c>
      <c r="CU20" s="905">
        <v>19.3</v>
      </c>
      <c r="CV20" s="904"/>
      <c r="CW20" s="909">
        <v>3.7049137874000002</v>
      </c>
      <c r="CX20" s="909">
        <v>3.5707450774999998</v>
      </c>
      <c r="CY20" s="909">
        <v>3.2342218247000001</v>
      </c>
      <c r="CZ20" s="909">
        <v>2.2800979750999999</v>
      </c>
      <c r="DA20" s="909">
        <v>2.05714618390446</v>
      </c>
      <c r="DB20" s="910">
        <v>2.1174043650458199</v>
      </c>
      <c r="DC20" s="909">
        <v>2.1474175132592501</v>
      </c>
      <c r="DD20" s="909">
        <v>2.0767683461485702</v>
      </c>
      <c r="DE20" s="904"/>
      <c r="DF20" s="909">
        <v>3.7049137874284299</v>
      </c>
      <c r="DG20" s="909">
        <v>3.5707450775416398</v>
      </c>
      <c r="DH20" s="909">
        <v>3.2342218247037202</v>
      </c>
      <c r="DI20" s="909">
        <v>2.2800979751438799</v>
      </c>
      <c r="DJ20" s="909">
        <v>2.05714618390446</v>
      </c>
      <c r="DK20" s="909">
        <v>2.1474175132592501</v>
      </c>
      <c r="DL20" s="909">
        <v>2.0767683461485702</v>
      </c>
      <c r="DM20" s="909">
        <v>2.00739133568772</v>
      </c>
      <c r="DO20" s="904">
        <v>7.8994897473991497</v>
      </c>
      <c r="DP20" s="904">
        <v>7.3464718772358202</v>
      </c>
      <c r="DQ20" s="904">
        <v>6.8970331511188796</v>
      </c>
      <c r="DR20" s="904">
        <v>5.2030315727466698</v>
      </c>
      <c r="DS20" s="904">
        <v>5.3415958332184204</v>
      </c>
      <c r="DT20" s="904">
        <v>4.6431832937296296</v>
      </c>
      <c r="DU20" s="904">
        <v>4.7999120456131301</v>
      </c>
      <c r="DV20" s="904">
        <v>4.4402064054082997</v>
      </c>
      <c r="DW20" s="904"/>
      <c r="DX20" s="904">
        <v>7.9099860133404203</v>
      </c>
      <c r="DY20" s="904">
        <v>7.3464718772358202</v>
      </c>
      <c r="DZ20" s="904">
        <v>6.8970331511188796</v>
      </c>
      <c r="EA20" s="904">
        <v>5.2030315727466698</v>
      </c>
      <c r="EB20" s="904">
        <v>5.3415958332184204</v>
      </c>
      <c r="EC20" s="904">
        <v>4.6827305584833603</v>
      </c>
      <c r="ED20" s="904">
        <v>4.4402064054082997</v>
      </c>
      <c r="EE20" s="904">
        <v>4.3085110934788897</v>
      </c>
      <c r="EG20" s="904">
        <v>13.7468086217</v>
      </c>
      <c r="EH20" s="904">
        <v>12.853244556</v>
      </c>
      <c r="EI20" s="904">
        <v>12.154114861</v>
      </c>
      <c r="EJ20" s="904">
        <v>8.4501378941999992</v>
      </c>
      <c r="EK20" s="904">
        <v>7.8489447699281003</v>
      </c>
      <c r="EL20" s="911">
        <v>8.4945873670652698</v>
      </c>
      <c r="EM20" s="911">
        <v>8.7909129774285297</v>
      </c>
      <c r="EN20" s="904">
        <v>8.1117807416549397</v>
      </c>
      <c r="EO20" s="904"/>
      <c r="EP20" s="904">
        <v>13.778626255387101</v>
      </c>
      <c r="EQ20" s="904">
        <v>12.853244556045199</v>
      </c>
      <c r="ER20" s="904">
        <v>12.1541148610119</v>
      </c>
      <c r="ES20" s="904">
        <v>8.4501378942399299</v>
      </c>
      <c r="ET20" s="904">
        <v>7.8489447699281003</v>
      </c>
      <c r="EU20" s="904">
        <v>8.7909129774285297</v>
      </c>
      <c r="EV20" s="904">
        <v>8.1117807416549397</v>
      </c>
      <c r="EW20" s="904">
        <v>7.7391854461293397</v>
      </c>
      <c r="EY20" s="904">
        <v>16.845091889199999</v>
      </c>
      <c r="EZ20" s="904">
        <v>16.3472061985</v>
      </c>
      <c r="FA20" s="904">
        <v>15.260364688699999</v>
      </c>
      <c r="FB20" s="904">
        <v>10.5395642932</v>
      </c>
      <c r="FC20" s="904">
        <v>9.9324745918703101</v>
      </c>
      <c r="FD20" s="904">
        <v>10.8375012832411</v>
      </c>
      <c r="FE20" s="904">
        <v>11.333845962529001</v>
      </c>
      <c r="FF20" s="904">
        <v>10.2114342363604</v>
      </c>
      <c r="FG20" s="904"/>
      <c r="FH20" s="904">
        <v>16.8928929444949</v>
      </c>
      <c r="FI20" s="904">
        <v>16.347206198520599</v>
      </c>
      <c r="FJ20" s="904">
        <v>15.2603646886961</v>
      </c>
      <c r="FK20" s="904">
        <v>10.539564293207301</v>
      </c>
      <c r="FL20" s="904">
        <v>9.9324745918703101</v>
      </c>
      <c r="FM20" s="904">
        <v>11.333845962529001</v>
      </c>
      <c r="FN20" s="904">
        <v>10.2114342363604</v>
      </c>
      <c r="FO20" s="904">
        <v>9.4996675958949499</v>
      </c>
      <c r="FQ20" s="904">
        <v>22.8521835998</v>
      </c>
      <c r="FR20" s="904">
        <v>18.675482112499999</v>
      </c>
      <c r="FS20" s="904">
        <v>17.558999543300001</v>
      </c>
      <c r="FT20" s="904">
        <v>11.782344953899999</v>
      </c>
      <c r="FU20" s="904">
        <v>10.656322962339599</v>
      </c>
      <c r="FV20" s="904">
        <v>11.3795799452471</v>
      </c>
      <c r="FW20" s="904">
        <v>11.911588053429</v>
      </c>
      <c r="FX20" s="904">
        <v>10.709907627958</v>
      </c>
      <c r="FY20" s="904"/>
      <c r="FZ20" s="904">
        <v>13.157827391006199</v>
      </c>
      <c r="GA20" s="904">
        <v>10.987097132648699</v>
      </c>
      <c r="GB20" s="904">
        <v>10.1671252732606</v>
      </c>
      <c r="GC20" s="904">
        <v>10.1365071979749</v>
      </c>
      <c r="GD20" s="904">
        <v>10.656322962339599</v>
      </c>
      <c r="GE20" s="904">
        <v>11.927726076400999</v>
      </c>
      <c r="GF20" s="904">
        <v>10.628720388062501</v>
      </c>
      <c r="GG20" s="904">
        <v>9.6918001885014107</v>
      </c>
      <c r="GH20" s="904"/>
      <c r="GI20" s="904"/>
      <c r="GJ20" s="912">
        <v>0.4690067</v>
      </c>
      <c r="GK20" s="912">
        <v>0.48604900000000001</v>
      </c>
      <c r="GL20" s="912">
        <v>0.4689294</v>
      </c>
      <c r="GM20" s="912">
        <v>0.43822489999999997</v>
      </c>
      <c r="GN20" s="912">
        <v>0.43164930000000001</v>
      </c>
      <c r="GO20" s="912">
        <v>0.45169166666666699</v>
      </c>
      <c r="GP20" s="912">
        <v>0.44209999999999999</v>
      </c>
      <c r="GQ20" s="912">
        <v>0.46511999999999998</v>
      </c>
      <c r="GR20" s="904"/>
      <c r="GS20" s="912">
        <v>0.46838436644261899</v>
      </c>
      <c r="GT20" s="912">
        <v>0.48604896843151901</v>
      </c>
      <c r="GU20" s="912">
        <v>0.46892943006646898</v>
      </c>
      <c r="GV20" s="912">
        <v>0.43822489701714901</v>
      </c>
      <c r="GW20" s="912">
        <v>0.43164930000000001</v>
      </c>
      <c r="GX20" s="912">
        <v>0.458291212683272</v>
      </c>
      <c r="GY20" s="912">
        <v>0.47544046546507401</v>
      </c>
      <c r="GZ20" s="912">
        <v>0.48145310643123901</v>
      </c>
      <c r="HB20" s="912">
        <v>0.26951082897700002</v>
      </c>
      <c r="HC20" s="912">
        <v>0.27780884911800002</v>
      </c>
      <c r="HD20" s="912">
        <v>0.26610097581699999</v>
      </c>
      <c r="HE20" s="912">
        <v>0.26982967659000001</v>
      </c>
      <c r="HF20" s="912">
        <v>0.26194771773999997</v>
      </c>
      <c r="HG20" s="912">
        <v>0.24926512301884099</v>
      </c>
      <c r="HH20" s="912">
        <v>0.24427696176414601</v>
      </c>
      <c r="HI20" s="912">
        <v>0.25601879689426499</v>
      </c>
      <c r="HJ20" s="904"/>
      <c r="HK20" s="912">
        <v>0.26888847398556098</v>
      </c>
      <c r="HL20" s="912">
        <v>0.27780884911757397</v>
      </c>
      <c r="HM20" s="912">
        <v>0.26610097581671599</v>
      </c>
      <c r="HN20" s="912">
        <v>0.26982967659002599</v>
      </c>
      <c r="HO20" s="912">
        <v>0.26194771773999997</v>
      </c>
      <c r="HP20" s="912">
        <v>0.24713888188045599</v>
      </c>
      <c r="HQ20" s="912">
        <v>0.26410713468975799</v>
      </c>
      <c r="HR20" s="912">
        <v>0.26803157315300202</v>
      </c>
      <c r="HT20" s="912">
        <v>0.219940253921</v>
      </c>
      <c r="HU20" s="912">
        <v>0.21843151876700001</v>
      </c>
      <c r="HV20" s="912">
        <v>0.21193607693399999</v>
      </c>
      <c r="HW20" s="912">
        <v>0.21633702416100001</v>
      </c>
      <c r="HX20" s="912">
        <v>0.20688162550225001</v>
      </c>
      <c r="HY20" s="912">
        <v>0.19537754226798701</v>
      </c>
      <c r="HZ20" s="912">
        <v>0.189469445796145</v>
      </c>
      <c r="IA20" s="912">
        <v>0.20337675375254399</v>
      </c>
      <c r="IB20" s="904"/>
      <c r="IC20" s="912">
        <v>0.21994025392083599</v>
      </c>
      <c r="ID20" s="912">
        <v>0.21843151876708899</v>
      </c>
      <c r="IE20" s="912">
        <v>0.211936076933956</v>
      </c>
      <c r="IF20" s="912">
        <v>0.216337024160799</v>
      </c>
      <c r="IG20" s="912">
        <v>0.20688162550225001</v>
      </c>
      <c r="IH20" s="912">
        <v>0.18934916474173499</v>
      </c>
      <c r="II20" s="912">
        <v>0.206734308940793</v>
      </c>
      <c r="IJ20" s="912">
        <v>0.21835985618541501</v>
      </c>
      <c r="IL20" s="912">
        <v>0.1686251</v>
      </c>
      <c r="IM20" s="912">
        <v>0.14055889999999999</v>
      </c>
      <c r="IN20" s="912">
        <v>0.16930770000000001</v>
      </c>
      <c r="IO20" s="912">
        <v>0.1674728</v>
      </c>
      <c r="IP20" s="912">
        <v>0.16129702500000001</v>
      </c>
      <c r="IQ20" s="912">
        <v>0.15215361021585</v>
      </c>
      <c r="IR20" s="912">
        <v>0.16884043922660499</v>
      </c>
      <c r="IS20" s="912">
        <v>0.14855340368882</v>
      </c>
      <c r="IT20" s="904"/>
      <c r="IU20" s="912">
        <v>0.142581528503859</v>
      </c>
      <c r="IV20" s="912">
        <v>0.169587372607507</v>
      </c>
      <c r="IW20" s="912">
        <v>0.16741620704285101</v>
      </c>
      <c r="IX20" s="912">
        <v>0.16886266031727501</v>
      </c>
      <c r="IY20" s="912">
        <v>0.16129702500000001</v>
      </c>
      <c r="IZ20" s="912">
        <v>0.14690845642637801</v>
      </c>
      <c r="JA20" s="912">
        <v>0.15640947641165001</v>
      </c>
      <c r="JB20" s="912">
        <v>0.15555984532693101</v>
      </c>
      <c r="JD20" s="912">
        <v>1.0550277511166E-2</v>
      </c>
      <c r="JE20" s="912">
        <v>1.6049861882571001E-2</v>
      </c>
      <c r="JF20" s="912">
        <v>8.2512535589909994E-3</v>
      </c>
      <c r="JG20" s="912">
        <v>1.1037609187637E-2</v>
      </c>
      <c r="JH20" s="912">
        <v>-3.1848394852212997E-2</v>
      </c>
      <c r="JI20" s="912">
        <v>-5.3830696516005E-2</v>
      </c>
      <c r="JJ20" s="912"/>
      <c r="JK20" s="912"/>
      <c r="JM20" s="912">
        <v>2.7212286776980002E-3</v>
      </c>
      <c r="JN20" s="912">
        <v>-7.1403030570410001E-3</v>
      </c>
      <c r="JO20" s="912">
        <v>-1.9614456646863E-2</v>
      </c>
      <c r="JP20" s="912">
        <v>-2.2697569058771998E-2</v>
      </c>
      <c r="JQ20" s="912">
        <v>-9.5240967488991995E-2</v>
      </c>
      <c r="JR20" s="912">
        <v>-0.112211627191633</v>
      </c>
      <c r="JS20" s="912"/>
      <c r="JT20" s="912"/>
      <c r="JU20" s="912"/>
      <c r="JV20" s="912">
        <v>1.4608327372159001E-2</v>
      </c>
      <c r="JW20" s="912">
        <v>7.1368110843849997E-3</v>
      </c>
      <c r="JX20" s="912">
        <v>-5.8759097149430001E-3</v>
      </c>
      <c r="JY20" s="912">
        <v>2.2546698153149999E-3</v>
      </c>
      <c r="JZ20" s="912">
        <v>-1.8282312925170002E-2</v>
      </c>
      <c r="KA20" s="912">
        <v>-5.8659217877095E-2</v>
      </c>
      <c r="KB20" s="912"/>
      <c r="KC20" s="912"/>
      <c r="KE20" s="912">
        <v>9.5889050265100008E-3</v>
      </c>
      <c r="KF20" s="912">
        <v>2.0363882411930001E-3</v>
      </c>
      <c r="KG20" s="912">
        <v>-1.9452107982656001E-2</v>
      </c>
      <c r="KH20" s="912">
        <v>-5.7581936976990001E-3</v>
      </c>
      <c r="KI20" s="912">
        <v>-3.1848394852212997E-2</v>
      </c>
      <c r="KJ20" s="912">
        <v>-3.0071719370334999E-2</v>
      </c>
      <c r="KK20" s="912"/>
      <c r="KL20" s="912"/>
      <c r="KM20" s="912"/>
      <c r="KN20" s="912">
        <v>4.3215194290157001E-2</v>
      </c>
      <c r="KO20" s="912">
        <v>2.6045866333111001E-2</v>
      </c>
      <c r="KP20" s="912">
        <v>7.3923855078380004E-3</v>
      </c>
      <c r="KQ20" s="912">
        <v>4.1136472352793003E-2</v>
      </c>
      <c r="KR20" s="912">
        <v>6.1050712818469998E-3</v>
      </c>
      <c r="KS20" s="912">
        <v>4.8400583556090001E-3</v>
      </c>
      <c r="KT20" s="912"/>
      <c r="KU20" s="912"/>
      <c r="KX20" s="1131" t="s">
        <v>1521</v>
      </c>
    </row>
    <row r="21" spans="2:310" s="897" customFormat="1">
      <c r="B21" s="897" t="s">
        <v>1510</v>
      </c>
      <c r="C21" s="897">
        <f t="shared" si="4"/>
        <v>10</v>
      </c>
      <c r="D21" s="897" t="s">
        <v>1516</v>
      </c>
      <c r="E21" s="899">
        <v>172.91</v>
      </c>
      <c r="F21" s="900">
        <v>20282.237870720001</v>
      </c>
      <c r="G21" s="900">
        <v>22208.41587072</v>
      </c>
      <c r="H21" s="900">
        <v>1717.9580000000001</v>
      </c>
      <c r="I21" s="900">
        <v>7982.6270000000004</v>
      </c>
      <c r="J21" s="901">
        <v>1.5480951200215201</v>
      </c>
      <c r="K21" s="901">
        <v>10.027262281032501</v>
      </c>
      <c r="L21" s="902">
        <v>16.050830000000001</v>
      </c>
      <c r="M21" s="899">
        <f t="shared" si="5"/>
        <v>68.053438844764003</v>
      </c>
      <c r="N21" s="1129">
        <f t="shared" si="3"/>
        <v>2.540797392978527</v>
      </c>
      <c r="O21" s="901"/>
      <c r="Q21" s="903">
        <v>44926</v>
      </c>
      <c r="R21" s="903">
        <v>45016</v>
      </c>
      <c r="S21" s="904"/>
      <c r="T21" s="902">
        <v>3589.4270000000001</v>
      </c>
      <c r="U21" s="905">
        <v>3128.9090000000001</v>
      </c>
      <c r="V21" s="905">
        <v>3327.9569999999999</v>
      </c>
      <c r="W21" s="905">
        <v>7320.1040000000003</v>
      </c>
      <c r="X21" s="905">
        <v>8772.6280000000006</v>
      </c>
      <c r="Y21" s="905">
        <v>11131.96746</v>
      </c>
      <c r="Z21" s="905">
        <v>10998.20996</v>
      </c>
      <c r="AA21" s="905">
        <v>11319.22796</v>
      </c>
      <c r="AB21" s="906"/>
      <c r="AC21" s="907">
        <v>3589.4270000000001</v>
      </c>
      <c r="AD21" s="906">
        <v>3128.9090000000001</v>
      </c>
      <c r="AE21" s="906">
        <v>3327.9569999999999</v>
      </c>
      <c r="AF21" s="906">
        <v>7320.1040000000003</v>
      </c>
      <c r="AG21" s="906">
        <v>8772.6280000000006</v>
      </c>
      <c r="AH21" s="906">
        <v>10778.7762</v>
      </c>
      <c r="AI21" s="906">
        <v>11711.602999999999</v>
      </c>
      <c r="AJ21" s="906">
        <v>11603.262500000001</v>
      </c>
      <c r="AL21" s="906">
        <v>1258.4780000000001</v>
      </c>
      <c r="AM21" s="906">
        <v>996.85299999999995</v>
      </c>
      <c r="AN21" s="906">
        <v>1008.471</v>
      </c>
      <c r="AO21" s="906">
        <v>3077.7869999999998</v>
      </c>
      <c r="AP21" s="906">
        <v>3905.297</v>
      </c>
      <c r="AQ21" s="906">
        <v>4275.3031866666697</v>
      </c>
      <c r="AR21" s="906">
        <v>4293.1764700000003</v>
      </c>
      <c r="AS21" s="906">
        <v>4250.2805900000003</v>
      </c>
      <c r="AT21" s="906"/>
      <c r="AU21" s="906">
        <v>1258.4780000000001</v>
      </c>
      <c r="AV21" s="906">
        <v>995.553</v>
      </c>
      <c r="AW21" s="906">
        <v>997.971</v>
      </c>
      <c r="AX21" s="906">
        <v>3077.7869999999998</v>
      </c>
      <c r="AY21" s="906">
        <v>3905.297</v>
      </c>
      <c r="AZ21" s="906">
        <v>4215.4542899999997</v>
      </c>
      <c r="BA21" s="906">
        <v>4252.2</v>
      </c>
      <c r="BB21" s="906">
        <v>4100.2</v>
      </c>
      <c r="BC21" s="907"/>
      <c r="BD21" s="906">
        <v>910.49099999999999</v>
      </c>
      <c r="BE21" s="906">
        <v>816.72699999999998</v>
      </c>
      <c r="BF21" s="906">
        <v>711.64599999999996</v>
      </c>
      <c r="BG21" s="906">
        <v>2746.4290000000001</v>
      </c>
      <c r="BH21" s="906">
        <v>2746.4290000000001</v>
      </c>
      <c r="BI21" s="906">
        <v>4191.1700158333297</v>
      </c>
      <c r="BJ21" s="906">
        <v>4209.7392200000004</v>
      </c>
      <c r="BK21" s="906">
        <v>4165.1731300000001</v>
      </c>
      <c r="BL21" s="906"/>
      <c r="BM21" s="906">
        <v>910.50699999999995</v>
      </c>
      <c r="BN21" s="906">
        <v>815.72699999999998</v>
      </c>
      <c r="BO21" s="906">
        <v>709.77300000000002</v>
      </c>
      <c r="BP21" s="906">
        <v>2745.6289999999999</v>
      </c>
      <c r="BQ21" s="906">
        <v>2746.4290000000001</v>
      </c>
      <c r="BR21" s="906">
        <v>4744.7263300000004</v>
      </c>
      <c r="BS21" s="906">
        <v>4928.2548699999998</v>
      </c>
      <c r="BT21" s="906">
        <v>4418.7455</v>
      </c>
      <c r="BU21" s="907"/>
      <c r="BV21" s="906">
        <v>697.00699999999995</v>
      </c>
      <c r="BW21" s="906">
        <v>584.74300000000005</v>
      </c>
      <c r="BX21" s="906">
        <v>457.64600000000002</v>
      </c>
      <c r="BY21" s="906">
        <v>2445.5880000000002</v>
      </c>
      <c r="BZ21" s="906">
        <v>2445.5880000000002</v>
      </c>
      <c r="CA21" s="906">
        <v>3190.5333666666702</v>
      </c>
      <c r="CB21" s="906">
        <v>3221.7969499999999</v>
      </c>
      <c r="CC21" s="906">
        <v>3146.7643499999999</v>
      </c>
      <c r="CD21" s="906"/>
      <c r="CE21" s="906">
        <v>697.02300000000002</v>
      </c>
      <c r="CF21" s="906">
        <v>583.74300000000005</v>
      </c>
      <c r="CG21" s="906">
        <v>455.77300000000002</v>
      </c>
      <c r="CH21" s="906">
        <v>2444.788</v>
      </c>
      <c r="CI21" s="906">
        <v>2445.5880000000002</v>
      </c>
      <c r="CJ21" s="906">
        <v>3148.2947300000001</v>
      </c>
      <c r="CK21" s="906">
        <v>3668.1933300000001</v>
      </c>
      <c r="CL21" s="906">
        <v>3542.02</v>
      </c>
      <c r="CM21" s="904"/>
      <c r="CN21" s="905">
        <v>14</v>
      </c>
      <c r="CO21" s="905">
        <v>6.3333300000000001</v>
      </c>
      <c r="CP21" s="905">
        <v>5.65</v>
      </c>
      <c r="CQ21" s="905">
        <v>-5.45</v>
      </c>
      <c r="CR21" s="905">
        <v>5.6958333333333302</v>
      </c>
      <c r="CS21" s="908">
        <v>21.091666666666701</v>
      </c>
      <c r="CT21" s="905">
        <v>21.3</v>
      </c>
      <c r="CU21" s="905">
        <v>20.8</v>
      </c>
      <c r="CV21" s="904"/>
      <c r="CW21" s="909">
        <v>2.8816963269999998</v>
      </c>
      <c r="CX21" s="909">
        <v>6.0043398002000004</v>
      </c>
      <c r="CY21" s="909">
        <v>8.8612636972000001</v>
      </c>
      <c r="CZ21" s="909">
        <v>3.7342680487000002</v>
      </c>
      <c r="DA21" s="909">
        <v>3.0338934898629901</v>
      </c>
      <c r="DB21" s="910">
        <v>1.9950126471821401</v>
      </c>
      <c r="DC21" s="909">
        <v>2.0192754958753301</v>
      </c>
      <c r="DD21" s="909">
        <v>1.9620080052456199</v>
      </c>
      <c r="DE21" s="904"/>
      <c r="DF21" s="909">
        <v>2.8816963264610198</v>
      </c>
      <c r="DG21" s="909">
        <v>6.0043398002306896</v>
      </c>
      <c r="DH21" s="909">
        <v>8.8612636972172396</v>
      </c>
      <c r="DI21" s="909">
        <v>3.7342680486506699</v>
      </c>
      <c r="DJ21" s="909">
        <v>3.0338934898629901</v>
      </c>
      <c r="DK21" s="909">
        <v>2.0192754958753301</v>
      </c>
      <c r="DL21" s="909">
        <v>1.9620080052456199</v>
      </c>
      <c r="DM21" s="909">
        <v>1.93888776613741</v>
      </c>
      <c r="DO21" s="904">
        <v>8.2191652138535591</v>
      </c>
      <c r="DP21" s="904">
        <v>18.846342279152498</v>
      </c>
      <c r="DQ21" s="904">
        <v>29.242193925259102</v>
      </c>
      <c r="DR21" s="904">
        <v>8.8814562151312</v>
      </c>
      <c r="DS21" s="904"/>
      <c r="DT21" s="904">
        <v>5.1945826766113603</v>
      </c>
      <c r="DU21" s="904">
        <v>5.17295667343486</v>
      </c>
      <c r="DV21" s="904">
        <v>5.2251646451228799</v>
      </c>
      <c r="DW21" s="904"/>
      <c r="DX21" s="904">
        <v>8.2191652138535591</v>
      </c>
      <c r="DY21" s="904">
        <v>18.870951963381199</v>
      </c>
      <c r="DZ21" s="904">
        <v>29.5498612184122</v>
      </c>
      <c r="EA21" s="904">
        <v>8.8814562151312</v>
      </c>
      <c r="EB21" s="904"/>
      <c r="EC21" s="904">
        <v>5.2683327449198902</v>
      </c>
      <c r="ED21" s="904">
        <v>5.2228060464512502</v>
      </c>
      <c r="EE21" s="904">
        <v>5.4164225820008802</v>
      </c>
      <c r="EG21" s="904">
        <v>11.360506145</v>
      </c>
      <c r="EH21" s="904">
        <v>23.002830615400001</v>
      </c>
      <c r="EI21" s="904">
        <v>41.439008369299998</v>
      </c>
      <c r="EJ21" s="904">
        <v>9.9530082444999994</v>
      </c>
      <c r="EK21" s="904">
        <v>8.0886441215182501</v>
      </c>
      <c r="EL21" s="911">
        <v>5.2988582631631296</v>
      </c>
      <c r="EM21" s="911">
        <v>5.2754849433927697</v>
      </c>
      <c r="EN21" s="904">
        <v>5.33193103325336</v>
      </c>
      <c r="EO21" s="904"/>
      <c r="EP21" s="904">
        <v>11.360306510548501</v>
      </c>
      <c r="EQ21" s="904">
        <v>23.031029793055801</v>
      </c>
      <c r="ER21" s="904">
        <v>41.548360602615197</v>
      </c>
      <c r="ES21" s="904">
        <v>9.9559082745702394</v>
      </c>
      <c r="ET21" s="904">
        <v>8.0886441215182501</v>
      </c>
      <c r="EU21" s="904">
        <v>5.2754849433927697</v>
      </c>
      <c r="EV21" s="904">
        <v>5.33193103325336</v>
      </c>
      <c r="EW21" s="904">
        <v>5.4939245700854498</v>
      </c>
      <c r="EY21" s="904">
        <v>14.840078506999999</v>
      </c>
      <c r="EZ21" s="904">
        <v>32.128700711299999</v>
      </c>
      <c r="FA21" s="904">
        <v>64.438243861000004</v>
      </c>
      <c r="FB21" s="904">
        <v>11.177365312599999</v>
      </c>
      <c r="FC21" s="904">
        <v>9.0839843253157397</v>
      </c>
      <c r="FD21" s="904">
        <v>6.9607220230774196</v>
      </c>
      <c r="FE21" s="904">
        <v>6.8931767629614296</v>
      </c>
      <c r="FF21" s="904">
        <v>7.0575401906787301</v>
      </c>
      <c r="FG21" s="904"/>
      <c r="FH21" s="904">
        <v>14.83973785657</v>
      </c>
      <c r="FI21" s="904">
        <v>32.183739830713201</v>
      </c>
      <c r="FJ21" s="904">
        <v>64.7030529452162</v>
      </c>
      <c r="FK21" s="904">
        <v>11.181022845334599</v>
      </c>
      <c r="FL21" s="904">
        <v>9.0839843253157397</v>
      </c>
      <c r="FM21" s="904">
        <v>6.8931767629614296</v>
      </c>
      <c r="FN21" s="904">
        <v>7.0575401906787301</v>
      </c>
      <c r="FO21" s="904">
        <v>7.4631197362417296</v>
      </c>
      <c r="FQ21" s="904">
        <v>14.563523001</v>
      </c>
      <c r="FR21" s="904">
        <v>41.931366947800001</v>
      </c>
      <c r="FS21" s="904">
        <v>220.2821254582</v>
      </c>
      <c r="FT21" s="904">
        <v>9.4967793017000002</v>
      </c>
      <c r="FU21" s="904">
        <v>7.5757874485794199</v>
      </c>
      <c r="FV21" s="904">
        <v>6.7782694871409301</v>
      </c>
      <c r="FW21" s="904">
        <v>6.6851499664215304</v>
      </c>
      <c r="FX21" s="904">
        <v>6.9130817207740298</v>
      </c>
      <c r="FY21" s="904"/>
      <c r="FZ21" s="904">
        <v>34.476570646961598</v>
      </c>
      <c r="GA21" s="904">
        <v>49.140447155049202</v>
      </c>
      <c r="GB21" s="904">
        <v>161.74475926774701</v>
      </c>
      <c r="GC21" s="904">
        <v>7.5757874485794101</v>
      </c>
      <c r="GD21" s="904">
        <v>7.5757874485794199</v>
      </c>
      <c r="GE21" s="904">
        <v>6.0611116817052304</v>
      </c>
      <c r="GF21" s="904">
        <v>5.7522905533822604</v>
      </c>
      <c r="GG21" s="904">
        <v>5.7934702085763199</v>
      </c>
      <c r="GH21" s="904"/>
      <c r="GI21" s="904"/>
      <c r="GJ21" s="912">
        <v>0.3506069</v>
      </c>
      <c r="GK21" s="912">
        <v>0.3185944</v>
      </c>
      <c r="GL21" s="912">
        <v>0.30303010000000002</v>
      </c>
      <c r="GM21" s="912">
        <v>0.42045670000000002</v>
      </c>
      <c r="GN21" s="912">
        <v>0.44242282500000002</v>
      </c>
      <c r="GO21" s="912">
        <v>0.38460060833333298</v>
      </c>
      <c r="GP21" s="912">
        <v>0.39693089999999998</v>
      </c>
      <c r="GQ21" s="912">
        <v>0.3673382</v>
      </c>
      <c r="GR21" s="904"/>
      <c r="GS21" s="912">
        <v>0.35060693531307402</v>
      </c>
      <c r="GT21" s="912">
        <v>0.318178956307135</v>
      </c>
      <c r="GU21" s="912">
        <v>0.29987496833643001</v>
      </c>
      <c r="GV21" s="912">
        <v>0.42045673121584098</v>
      </c>
      <c r="GW21" s="912">
        <v>0.44242282500000002</v>
      </c>
      <c r="GX21" s="912">
        <v>0.391088395545312</v>
      </c>
      <c r="GY21" s="912">
        <v>0.36307583172004698</v>
      </c>
      <c r="GZ21" s="912">
        <v>0.35336613301646802</v>
      </c>
      <c r="HB21" s="912">
        <v>0.25365914950000001</v>
      </c>
      <c r="HC21" s="912">
        <v>0.261026127637</v>
      </c>
      <c r="HD21" s="912">
        <v>0.21383870044</v>
      </c>
      <c r="HE21" s="912">
        <v>0.37518988801300002</v>
      </c>
      <c r="HF21" s="912">
        <v>0.40142264463075</v>
      </c>
      <c r="HG21" s="912">
        <v>0.37649858669577302</v>
      </c>
      <c r="HH21" s="912">
        <v>0.38276585328981999</v>
      </c>
      <c r="HI21" s="912">
        <v>0.367973252656359</v>
      </c>
      <c r="HJ21" s="904"/>
      <c r="HK21" s="912">
        <v>0.25366360703254298</v>
      </c>
      <c r="HL21" s="912">
        <v>0.26070652741898198</v>
      </c>
      <c r="HM21" s="912">
        <v>0.21327589268731501</v>
      </c>
      <c r="HN21" s="912">
        <v>0.37508059994776</v>
      </c>
      <c r="HO21" s="912">
        <v>0.40142264463075</v>
      </c>
      <c r="HP21" s="912">
        <v>0.440191561821276</v>
      </c>
      <c r="HQ21" s="912">
        <v>0.420801052597155</v>
      </c>
      <c r="HR21" s="912">
        <v>0.38081923079823499</v>
      </c>
      <c r="HT21" s="912">
        <v>0.1941833613</v>
      </c>
      <c r="HU21" s="912">
        <v>0.18688399055400001</v>
      </c>
      <c r="HV21" s="912">
        <v>0.137515598909</v>
      </c>
      <c r="HW21" s="912">
        <v>0.33409197465000001</v>
      </c>
      <c r="HX21" s="912">
        <v>0.36352265549325002</v>
      </c>
      <c r="HY21" s="912">
        <v>0.28661001553688198</v>
      </c>
      <c r="HZ21" s="912">
        <v>0.29293830193436299</v>
      </c>
      <c r="IA21" s="912">
        <v>0.27800167653837099</v>
      </c>
      <c r="IB21" s="904"/>
      <c r="IC21" s="912">
        <v>0.19418336129972799</v>
      </c>
      <c r="ID21" s="912">
        <v>0.18688399055389601</v>
      </c>
      <c r="IE21" s="912">
        <v>0.13751559890948101</v>
      </c>
      <c r="IF21" s="912">
        <v>0.33409197464953999</v>
      </c>
      <c r="IG21" s="912">
        <v>0.36352265549325002</v>
      </c>
      <c r="IH21" s="912">
        <v>0.29890192450604902</v>
      </c>
      <c r="II21" s="912">
        <v>0.26868775777321002</v>
      </c>
      <c r="IJ21" s="912">
        <v>0.25645847450232201</v>
      </c>
      <c r="IL21" s="912">
        <v>0.19296940000000001</v>
      </c>
      <c r="IM21" s="912">
        <v>0.1485552</v>
      </c>
      <c r="IN21" s="912">
        <v>0.1200943</v>
      </c>
      <c r="IO21" s="912">
        <v>3.71615E-2</v>
      </c>
      <c r="IP21" s="912">
        <v>0.40398342500000001</v>
      </c>
      <c r="IQ21" s="912">
        <v>0.26905125291302301</v>
      </c>
      <c r="IR21" s="912">
        <v>0.34681804091191598</v>
      </c>
      <c r="IS21" s="912">
        <v>0.27690989634462299</v>
      </c>
      <c r="IT21" s="904"/>
      <c r="IU21" s="912">
        <v>0.132274315649824</v>
      </c>
      <c r="IV21" s="912">
        <v>0.10198251211524501</v>
      </c>
      <c r="IW21" s="912">
        <v>3.1302087136341999E-2</v>
      </c>
      <c r="IX21" s="912">
        <v>0.27907472352851798</v>
      </c>
      <c r="IY21" s="912">
        <v>0.40398342500000001</v>
      </c>
      <c r="IZ21" s="912">
        <v>0.32079160341041302</v>
      </c>
      <c r="JA21" s="912">
        <v>0.29706238078596098</v>
      </c>
      <c r="JB21" s="912">
        <v>0.24624626048061901</v>
      </c>
      <c r="JD21" s="912">
        <v>0.10641706084940999</v>
      </c>
      <c r="JE21" s="912">
        <v>0.213879541627846</v>
      </c>
      <c r="JF21" s="912">
        <v>0.269742313980041</v>
      </c>
      <c r="JG21" s="912">
        <v>0.34700186218495999</v>
      </c>
      <c r="JH21" s="912">
        <v>1.19957890080911</v>
      </c>
      <c r="JI21" s="912">
        <v>1.41910503933108</v>
      </c>
      <c r="JJ21" s="912"/>
      <c r="JK21" s="912"/>
      <c r="JM21" s="912">
        <v>0.13235792146064401</v>
      </c>
      <c r="JN21" s="912">
        <v>0.25849136181216198</v>
      </c>
      <c r="JO21" s="912">
        <v>0.33834486198807301</v>
      </c>
      <c r="JP21" s="912">
        <v>0.45859978982618099</v>
      </c>
      <c r="JQ21" s="912">
        <v>2.0519340665224899</v>
      </c>
      <c r="JR21" s="912">
        <v>2.3003049063900201</v>
      </c>
      <c r="JS21" s="912"/>
      <c r="JT21" s="912"/>
      <c r="JU21" s="912"/>
      <c r="JV21" s="912">
        <v>0.16014920015116599</v>
      </c>
      <c r="JW21" s="912">
        <v>0.30819008869363701</v>
      </c>
      <c r="JX21" s="912">
        <v>0.40740256531583802</v>
      </c>
      <c r="JY21" s="912">
        <v>0.57432516784179199</v>
      </c>
      <c r="JZ21" s="912">
        <v>2.8592628919434699</v>
      </c>
      <c r="KA21" s="912">
        <v>3.0773168959854198</v>
      </c>
      <c r="KB21" s="912"/>
      <c r="KC21" s="912"/>
      <c r="KE21" s="912">
        <v>0.16623043319259301</v>
      </c>
      <c r="KF21" s="912">
        <v>0.3687848382617</v>
      </c>
      <c r="KG21" s="912">
        <v>0.46326700027715201</v>
      </c>
      <c r="KH21" s="912">
        <v>0.66740141170949396</v>
      </c>
      <c r="KI21" s="912">
        <v>1.19957890080911</v>
      </c>
      <c r="KJ21" s="912">
        <v>1.29120408875335</v>
      </c>
      <c r="KK21" s="912"/>
      <c r="KL21" s="912"/>
      <c r="KM21" s="912"/>
      <c r="KN21" s="912">
        <v>0.18356300828959299</v>
      </c>
      <c r="KO21" s="912">
        <v>0.52364537355303298</v>
      </c>
      <c r="KP21" s="912">
        <v>0.51445758234435601</v>
      </c>
      <c r="KQ21" s="912">
        <v>0.83878620441034701</v>
      </c>
      <c r="KR21" s="912">
        <v>20.517588081754202</v>
      </c>
      <c r="KS21" s="912">
        <v>12.109789989278701</v>
      </c>
      <c r="KT21" s="912"/>
      <c r="KU21" s="912"/>
      <c r="KX21" s="897" t="s">
        <v>1522</v>
      </c>
    </row>
    <row r="22" spans="2:310" s="897" customFormat="1">
      <c r="B22" s="897" t="s">
        <v>1511</v>
      </c>
      <c r="C22" s="897">
        <f t="shared" si="4"/>
        <v>11</v>
      </c>
      <c r="D22" s="897" t="s">
        <v>1517</v>
      </c>
      <c r="E22" s="899">
        <v>90.27</v>
      </c>
      <c r="F22" s="900">
        <v>4899.0961584899997</v>
      </c>
      <c r="G22" s="900">
        <v>5828.0961584900097</v>
      </c>
      <c r="H22" s="900">
        <v>624</v>
      </c>
      <c r="I22" s="900">
        <v>3220</v>
      </c>
      <c r="J22" s="901">
        <v>0.99597951310387201</v>
      </c>
      <c r="K22" s="901">
        <v>7.5598433623257204</v>
      </c>
      <c r="L22" s="902">
        <v>21.852599999999999</v>
      </c>
      <c r="M22" s="899">
        <f t="shared" si="5"/>
        <v>59.331229801700843</v>
      </c>
      <c r="N22" s="1129">
        <f t="shared" si="3"/>
        <v>1.5214584343136646</v>
      </c>
      <c r="O22" s="901"/>
      <c r="Q22" s="903">
        <v>44834</v>
      </c>
      <c r="R22" s="903">
        <v>45016</v>
      </c>
      <c r="S22" s="904"/>
      <c r="T22" s="902">
        <v>2148</v>
      </c>
      <c r="U22" s="905">
        <v>2016</v>
      </c>
      <c r="V22" s="905">
        <v>2111</v>
      </c>
      <c r="W22" s="905">
        <v>2391</v>
      </c>
      <c r="X22" s="905">
        <v>2404</v>
      </c>
      <c r="Y22" s="905">
        <v>2478.4754800000001</v>
      </c>
      <c r="Z22" s="905">
        <v>2399.9044399999998</v>
      </c>
      <c r="AA22" s="905">
        <v>2517.761</v>
      </c>
      <c r="AB22" s="906"/>
      <c r="AC22" s="907">
        <v>2450</v>
      </c>
      <c r="AD22" s="906">
        <v>1951</v>
      </c>
      <c r="AE22" s="906">
        <v>1889</v>
      </c>
      <c r="AF22" s="906">
        <v>2405</v>
      </c>
      <c r="AG22" s="906">
        <v>2404</v>
      </c>
      <c r="AH22" s="906">
        <v>2443.3706000000002</v>
      </c>
      <c r="AI22" s="906">
        <v>2579.8805000000002</v>
      </c>
      <c r="AJ22" s="906">
        <v>2607.9253775000002</v>
      </c>
      <c r="AL22" s="906">
        <v>651</v>
      </c>
      <c r="AM22" s="906">
        <v>599</v>
      </c>
      <c r="AN22" s="906">
        <v>670</v>
      </c>
      <c r="AO22" s="906">
        <v>830</v>
      </c>
      <c r="AP22" s="906">
        <v>812</v>
      </c>
      <c r="AQ22" s="906">
        <v>843.8</v>
      </c>
      <c r="AR22" s="906">
        <v>808.6</v>
      </c>
      <c r="AS22" s="906">
        <v>861.4</v>
      </c>
      <c r="AT22" s="906"/>
      <c r="AU22" s="906">
        <v>750</v>
      </c>
      <c r="AV22" s="906">
        <v>593</v>
      </c>
      <c r="AW22" s="906">
        <v>598</v>
      </c>
      <c r="AX22" s="906">
        <v>835</v>
      </c>
      <c r="AY22" s="906">
        <v>812</v>
      </c>
      <c r="AZ22" s="906">
        <v>844</v>
      </c>
      <c r="BA22" s="906">
        <v>863.21666749999997</v>
      </c>
      <c r="BB22" s="906">
        <v>863.00000250000005</v>
      </c>
      <c r="BC22" s="907"/>
      <c r="BD22" s="906">
        <v>430</v>
      </c>
      <c r="BE22" s="906">
        <v>447</v>
      </c>
      <c r="BF22" s="906">
        <v>497</v>
      </c>
      <c r="BG22" s="906">
        <v>548</v>
      </c>
      <c r="BH22" s="906">
        <v>548</v>
      </c>
      <c r="BI22" s="906">
        <v>621.28132666666704</v>
      </c>
      <c r="BJ22" s="906">
        <v>595.73418000000004</v>
      </c>
      <c r="BK22" s="906">
        <v>634.05489999999998</v>
      </c>
      <c r="BL22" s="906"/>
      <c r="BM22" s="906">
        <v>510</v>
      </c>
      <c r="BN22" s="906">
        <v>420</v>
      </c>
      <c r="BO22" s="906">
        <v>440</v>
      </c>
      <c r="BP22" s="906">
        <v>553</v>
      </c>
      <c r="BQ22" s="906">
        <v>548</v>
      </c>
      <c r="BR22" s="906">
        <v>617.58189000000004</v>
      </c>
      <c r="BS22" s="906">
        <v>660.45682999999997</v>
      </c>
      <c r="BT22" s="906"/>
      <c r="BU22" s="907"/>
      <c r="BV22" s="906">
        <v>157</v>
      </c>
      <c r="BW22" s="906">
        <v>212</v>
      </c>
      <c r="BX22" s="906">
        <v>253</v>
      </c>
      <c r="BY22" s="906">
        <v>307</v>
      </c>
      <c r="BZ22" s="906">
        <v>307</v>
      </c>
      <c r="CA22" s="906">
        <v>376.48924</v>
      </c>
      <c r="CB22" s="906">
        <v>354.16800000000001</v>
      </c>
      <c r="CC22" s="906">
        <v>387.64985999999999</v>
      </c>
      <c r="CD22" s="906"/>
      <c r="CE22" s="906">
        <v>241</v>
      </c>
      <c r="CF22" s="906">
        <v>183</v>
      </c>
      <c r="CG22" s="906">
        <v>203</v>
      </c>
      <c r="CH22" s="906">
        <v>313</v>
      </c>
      <c r="CI22" s="906">
        <v>307</v>
      </c>
      <c r="CJ22" s="906">
        <v>372.80250000000001</v>
      </c>
      <c r="CK22" s="906">
        <v>402.75</v>
      </c>
      <c r="CL22" s="906">
        <v>443.13220000000001</v>
      </c>
      <c r="CM22" s="904"/>
      <c r="CN22" s="905"/>
      <c r="CO22" s="905"/>
      <c r="CP22" s="905"/>
      <c r="CQ22" s="905"/>
      <c r="CR22" s="905"/>
      <c r="CS22" s="908"/>
      <c r="CT22" s="905"/>
      <c r="CU22" s="905"/>
      <c r="CV22" s="904"/>
      <c r="CW22" s="909">
        <v>2.8268891701999999</v>
      </c>
      <c r="CX22" s="909">
        <v>2.8250152608999999</v>
      </c>
      <c r="CY22" s="909">
        <v>3.2400947418000001</v>
      </c>
      <c r="CZ22" s="909">
        <v>2.4058469260000002</v>
      </c>
      <c r="DA22" s="909">
        <v>2.4243328446297898</v>
      </c>
      <c r="DB22" s="910">
        <v>2.3514842916622301</v>
      </c>
      <c r="DC22" s="909">
        <v>2.42847009295504</v>
      </c>
      <c r="DD22" s="909">
        <v>2.31479324625729</v>
      </c>
      <c r="DE22" s="904"/>
      <c r="DF22" s="909">
        <v>2.4399698549489801</v>
      </c>
      <c r="DG22" s="909">
        <v>3.06580372860072</v>
      </c>
      <c r="DH22" s="909">
        <v>3.4769587083112801</v>
      </c>
      <c r="DI22" s="909"/>
      <c r="DJ22" s="909">
        <v>2.4243328446297898</v>
      </c>
      <c r="DK22" s="909">
        <v>2.3990168500862099</v>
      </c>
      <c r="DL22" s="909">
        <v>2.2905018490717302</v>
      </c>
      <c r="DM22" s="909">
        <v>2.23476339038386</v>
      </c>
      <c r="DO22" s="904">
        <v>9.3274315476190495</v>
      </c>
      <c r="DP22" s="904">
        <v>9.5078977729549194</v>
      </c>
      <c r="DQ22" s="904">
        <v>10.2087164179104</v>
      </c>
      <c r="DR22" s="904">
        <v>6.9305783132530099</v>
      </c>
      <c r="DS22" s="904">
        <v>7.7363005700738903</v>
      </c>
      <c r="DT22" s="904">
        <v>6.9069639233112197</v>
      </c>
      <c r="DU22" s="904">
        <v>7.2076380886594196</v>
      </c>
      <c r="DV22" s="904">
        <v>6.7658418371140101</v>
      </c>
      <c r="DW22" s="904"/>
      <c r="DX22" s="904">
        <v>7.9705681928333298</v>
      </c>
      <c r="DY22" s="904">
        <v>10.086649366779101</v>
      </c>
      <c r="DZ22" s="904">
        <v>10.9832357859532</v>
      </c>
      <c r="EA22" s="904"/>
      <c r="EB22" s="904">
        <v>7.7363005700738903</v>
      </c>
      <c r="EC22" s="904">
        <v>6.9053272020023799</v>
      </c>
      <c r="ED22" s="904">
        <v>6.7516029033232403</v>
      </c>
      <c r="EE22" s="904">
        <v>6.7532979624643898</v>
      </c>
      <c r="EG22" s="904">
        <v>14.1212975291</v>
      </c>
      <c r="EH22" s="904">
        <v>12.7410084251</v>
      </c>
      <c r="EI22" s="904">
        <v>13.7622535211</v>
      </c>
      <c r="EJ22" s="904">
        <v>10.4970437956</v>
      </c>
      <c r="EK22" s="904">
        <v>10.9345143686492</v>
      </c>
      <c r="EL22" s="911">
        <v>9.3807682741073801</v>
      </c>
      <c r="EM22" s="911">
        <v>9.7830481348073892</v>
      </c>
      <c r="EN22" s="904">
        <v>9.1917847468571097</v>
      </c>
      <c r="EO22" s="904"/>
      <c r="EP22" s="904">
        <v>11.721423812990199</v>
      </c>
      <c r="EQ22" s="904">
        <v>14.241388272619</v>
      </c>
      <c r="ER22" s="904">
        <v>14.927215909090901</v>
      </c>
      <c r="ES22" s="904"/>
      <c r="ET22" s="904">
        <v>10.9345143686492</v>
      </c>
      <c r="EU22" s="904">
        <v>9.6282139391010197</v>
      </c>
      <c r="EV22" s="904">
        <v>9.0924678165843495</v>
      </c>
      <c r="EW22" s="904"/>
      <c r="EY22" s="904">
        <v>38.676165206999997</v>
      </c>
      <c r="EZ22" s="904">
        <v>26.864296066000001</v>
      </c>
      <c r="FA22" s="904">
        <v>27.034940711499999</v>
      </c>
      <c r="FB22" s="904">
        <v>18.737394136799999</v>
      </c>
      <c r="FC22" s="904">
        <v>19.823456321394598</v>
      </c>
      <c r="FD22" s="904">
        <v>15.480113478117</v>
      </c>
      <c r="FE22" s="904">
        <v>16.4557389670722</v>
      </c>
      <c r="FF22" s="904">
        <v>15.0344338019109</v>
      </c>
      <c r="FG22" s="904"/>
      <c r="FH22" s="904">
        <v>24.804672799273899</v>
      </c>
      <c r="FI22" s="904">
        <v>32.685153412568297</v>
      </c>
      <c r="FJ22" s="904">
        <v>32.354556650246302</v>
      </c>
      <c r="FK22" s="904"/>
      <c r="FL22" s="904">
        <v>19.823456321394598</v>
      </c>
      <c r="FM22" s="904">
        <v>16.075800835340399</v>
      </c>
      <c r="FN22" s="904">
        <v>14.639235295161599</v>
      </c>
      <c r="FO22" s="904">
        <v>13.1520484372158</v>
      </c>
      <c r="FQ22" s="904"/>
      <c r="FR22" s="904"/>
      <c r="FS22" s="904">
        <v>31.423765985999999</v>
      </c>
      <c r="FT22" s="904">
        <v>29.383009399300001</v>
      </c>
      <c r="FU22" s="904">
        <v>20.079097452688298</v>
      </c>
      <c r="FV22" s="904">
        <v>13.5411025790648</v>
      </c>
      <c r="FW22" s="904">
        <v>14.555193480718</v>
      </c>
      <c r="FX22" s="904">
        <v>13.085263676687999</v>
      </c>
      <c r="FY22" s="904"/>
      <c r="FZ22" s="904">
        <v>42.163525537728603</v>
      </c>
      <c r="GA22" s="904">
        <v>-10.085109520692001</v>
      </c>
      <c r="GB22" s="904">
        <v>49.653738469408502</v>
      </c>
      <c r="GC22" s="904">
        <v>25.867849589931399</v>
      </c>
      <c r="GD22" s="904">
        <v>20.079097452688298</v>
      </c>
      <c r="GE22" s="904">
        <v>13.9187632700074</v>
      </c>
      <c r="GF22" s="904">
        <v>12.2813653036124</v>
      </c>
      <c r="GG22" s="904">
        <v>12.3958983816466</v>
      </c>
      <c r="GH22" s="904"/>
      <c r="GI22" s="904"/>
      <c r="GJ22" s="912">
        <v>0.30307260000000003</v>
      </c>
      <c r="GK22" s="912">
        <v>0.29712300000000003</v>
      </c>
      <c r="GL22" s="912">
        <v>0.31738509999999998</v>
      </c>
      <c r="GM22" s="912">
        <v>0.34713509999999997</v>
      </c>
      <c r="GN22" s="912">
        <v>0.3364837</v>
      </c>
      <c r="GO22" s="912">
        <v>0.34984293333333299</v>
      </c>
      <c r="GP22" s="912">
        <v>0.34363880000000002</v>
      </c>
      <c r="GQ22" s="912">
        <v>0.35294500000000001</v>
      </c>
      <c r="GR22" s="904"/>
      <c r="GS22" s="912">
        <v>0.30612244897959201</v>
      </c>
      <c r="GT22" s="912">
        <v>0.303946694003075</v>
      </c>
      <c r="GU22" s="912">
        <v>0.31656961355214402</v>
      </c>
      <c r="GV22" s="912">
        <v>0.34719334719334699</v>
      </c>
      <c r="GW22" s="912">
        <v>0.3364837</v>
      </c>
      <c r="GX22" s="912">
        <v>0.34542447224338402</v>
      </c>
      <c r="GY22" s="912">
        <v>0.33459560142417399</v>
      </c>
      <c r="GZ22" s="912">
        <v>0.33091437736124402</v>
      </c>
      <c r="HB22" s="912">
        <v>0.200186219739</v>
      </c>
      <c r="HC22" s="912">
        <v>0.22172619047600001</v>
      </c>
      <c r="HD22" s="912">
        <v>0.23543344386500001</v>
      </c>
      <c r="HE22" s="912">
        <v>0.22919280635700001</v>
      </c>
      <c r="HF22" s="912">
        <v>0.221052298555</v>
      </c>
      <c r="HG22" s="912">
        <v>0.25067075776221398</v>
      </c>
      <c r="HH22" s="912">
        <v>0.24823245878906799</v>
      </c>
      <c r="HI22" s="912">
        <v>0.25183283878016999</v>
      </c>
      <c r="HJ22" s="904"/>
      <c r="HK22" s="912">
        <v>0.208163265306122</v>
      </c>
      <c r="HL22" s="912">
        <v>0.21527421834956401</v>
      </c>
      <c r="HM22" s="912">
        <v>0.23292747485442</v>
      </c>
      <c r="HN22" s="912">
        <v>0.22993762993763001</v>
      </c>
      <c r="HO22" s="912">
        <v>0.221052298555</v>
      </c>
      <c r="HP22" s="912">
        <v>0.25275817348379298</v>
      </c>
      <c r="HQ22" s="912">
        <v>0.256002876877437</v>
      </c>
      <c r="HR22" s="912"/>
      <c r="HT22" s="912">
        <v>7.3091247671999995E-2</v>
      </c>
      <c r="HU22" s="912">
        <v>0.105158730159</v>
      </c>
      <c r="HV22" s="912">
        <v>0.119848413074</v>
      </c>
      <c r="HW22" s="912">
        <v>0.128398159766</v>
      </c>
      <c r="HX22" s="912">
        <v>0.12106270675075</v>
      </c>
      <c r="HY22" s="912">
        <v>0.1519035564556</v>
      </c>
      <c r="HZ22" s="912">
        <v>0.14757587597946201</v>
      </c>
      <c r="IA22" s="912">
        <v>0.153966107188093</v>
      </c>
      <c r="IB22" s="904"/>
      <c r="IC22" s="912">
        <v>6.9693877551019995E-2</v>
      </c>
      <c r="ID22" s="912">
        <v>0.113915940543311</v>
      </c>
      <c r="IE22" s="912">
        <v>0.14107993647432501</v>
      </c>
      <c r="IF22" s="912"/>
      <c r="IG22" s="912">
        <v>0.12106270675075</v>
      </c>
      <c r="IH22" s="912">
        <v>0.14837637196747799</v>
      </c>
      <c r="II22" s="912">
        <v>0.154315207622989</v>
      </c>
      <c r="IJ22" s="912">
        <v>0.169917515210805</v>
      </c>
      <c r="IL22" s="912">
        <v>7.3387000000000001E-3</v>
      </c>
      <c r="IM22" s="912">
        <v>-4.6554999999999999E-3</v>
      </c>
      <c r="IN22" s="912">
        <v>-0.27529759999999998</v>
      </c>
      <c r="IO22" s="912">
        <v>8.1951700000000002E-2</v>
      </c>
      <c r="IP22" s="912">
        <v>0.101674925</v>
      </c>
      <c r="IQ22" s="912">
        <v>0.14123440914573801</v>
      </c>
      <c r="IR22" s="912">
        <v>0.130117196322522</v>
      </c>
      <c r="IS22" s="912">
        <v>0.13862943642872699</v>
      </c>
      <c r="IT22" s="904"/>
      <c r="IU22" s="912">
        <v>5.4693877551020002E-2</v>
      </c>
      <c r="IV22" s="912">
        <v>-0.27985648385443401</v>
      </c>
      <c r="IW22" s="912">
        <v>5.9290629962943001E-2</v>
      </c>
      <c r="IX22" s="912">
        <v>7.9833679833680005E-2</v>
      </c>
      <c r="IY22" s="912">
        <v>0.101674925</v>
      </c>
      <c r="IZ22" s="912">
        <v>0.14224510190963299</v>
      </c>
      <c r="JA22" s="912">
        <v>0.14850687851627201</v>
      </c>
      <c r="JB22" s="912">
        <v>0.14806851964843101</v>
      </c>
      <c r="JD22" s="912">
        <v>-9.8504134076826996E-2</v>
      </c>
      <c r="JE22" s="912">
        <v>-3.9101375356003998E-2</v>
      </c>
      <c r="JF22" s="912">
        <v>-1.7318256772254001E-2</v>
      </c>
      <c r="JG22" s="912">
        <v>1.529905028004E-3</v>
      </c>
      <c r="JH22" s="912">
        <v>0.13263855992420701</v>
      </c>
      <c r="JI22" s="912">
        <v>0.211693548387097</v>
      </c>
      <c r="JJ22" s="912"/>
      <c r="JK22" s="912"/>
      <c r="JM22" s="912">
        <v>-7.2079372922567997E-2</v>
      </c>
      <c r="JN22" s="912">
        <v>-3.2982210696537999E-2</v>
      </c>
      <c r="JO22" s="912">
        <v>-2.5124660983270999E-2</v>
      </c>
      <c r="JP22" s="912">
        <v>2.7743669696025E-2</v>
      </c>
      <c r="JQ22" s="912">
        <v>0.238805970149254</v>
      </c>
      <c r="JR22" s="912">
        <v>0.23404255319148901</v>
      </c>
      <c r="JS22" s="912"/>
      <c r="JT22" s="912"/>
      <c r="JU22" s="912"/>
      <c r="JV22" s="912">
        <v>3.4829221442699999E-3</v>
      </c>
      <c r="JW22" s="912">
        <v>1.3086935764319E-2</v>
      </c>
      <c r="JX22" s="912">
        <v>-5.8382808964837003E-2</v>
      </c>
      <c r="JY22" s="912">
        <v>2.1533001764835E-2</v>
      </c>
      <c r="JZ22" s="912">
        <v>0.10261569416499</v>
      </c>
      <c r="KA22" s="912">
        <v>8.7755102040816005E-2</v>
      </c>
      <c r="KB22" s="912"/>
      <c r="KC22" s="912"/>
      <c r="KE22" s="912">
        <v>8.2440013657769998E-2</v>
      </c>
      <c r="KF22" s="912">
        <v>4.5588509819571001E-2</v>
      </c>
      <c r="KG22" s="912">
        <v>-6.2133694275906003E-2</v>
      </c>
      <c r="KH22" s="912">
        <v>5.2726599609396997E-2</v>
      </c>
      <c r="KI22" s="912">
        <v>0.13263855992420701</v>
      </c>
      <c r="KJ22" s="912">
        <v>0.35132784938435202</v>
      </c>
      <c r="KK22" s="912"/>
      <c r="KL22" s="912"/>
      <c r="KM22" s="912"/>
      <c r="KN22" s="912">
        <v>0.14920970254204499</v>
      </c>
      <c r="KO22" s="912"/>
      <c r="KP22" s="912">
        <v>0.81646613533600698</v>
      </c>
      <c r="KQ22" s="912"/>
      <c r="KR22" s="912">
        <v>0.13965452192646899</v>
      </c>
      <c r="KS22" s="912">
        <v>1.1599189019087801</v>
      </c>
      <c r="KT22" s="912"/>
      <c r="KU22" s="912"/>
      <c r="KX22" s="897" t="s">
        <v>1523</v>
      </c>
    </row>
    <row r="23" spans="2:310" s="897" customFormat="1">
      <c r="B23" s="898" t="s">
        <v>1363</v>
      </c>
      <c r="C23" s="897">
        <f t="shared" si="4"/>
        <v>12</v>
      </c>
      <c r="D23" s="897" t="s">
        <v>1376</v>
      </c>
      <c r="E23" s="899">
        <v>37.86</v>
      </c>
      <c r="F23" s="900">
        <v>3447.9831183599999</v>
      </c>
      <c r="G23" s="900">
        <v>5004.0831183600003</v>
      </c>
      <c r="H23" s="900">
        <v>1537.8</v>
      </c>
      <c r="I23" s="900">
        <v>2334.5</v>
      </c>
      <c r="J23" s="901">
        <v>1.5445177196334701</v>
      </c>
      <c r="K23" s="901">
        <v>6.7054836263742503</v>
      </c>
      <c r="L23" s="902">
        <v>21.852599999999999</v>
      </c>
      <c r="M23" s="899">
        <f t="shared" si="5"/>
        <v>25.633585480557421</v>
      </c>
      <c r="N23" s="1129">
        <f t="shared" si="3"/>
        <v>1.476968566442493</v>
      </c>
      <c r="O23" s="901"/>
      <c r="Q23" s="903">
        <v>44926</v>
      </c>
      <c r="R23" s="903">
        <v>45016</v>
      </c>
      <c r="S23" s="904"/>
      <c r="T23" s="902">
        <v>2862.7</v>
      </c>
      <c r="U23" s="905">
        <v>2214.9</v>
      </c>
      <c r="V23" s="905">
        <v>3315.5</v>
      </c>
      <c r="W23" s="905">
        <v>3396.9</v>
      </c>
      <c r="X23" s="905">
        <v>3761.8</v>
      </c>
      <c r="Y23" s="905">
        <v>3500.8082841666701</v>
      </c>
      <c r="Z23" s="905">
        <v>3416.7283299999999</v>
      </c>
      <c r="AA23" s="905">
        <v>3618.5202199999999</v>
      </c>
      <c r="AB23" s="906"/>
      <c r="AC23" s="907">
        <v>2862.7</v>
      </c>
      <c r="AD23" s="906">
        <v>3242.1</v>
      </c>
      <c r="AE23" s="906">
        <v>4022.5</v>
      </c>
      <c r="AF23" s="906">
        <v>4209.8999999999996</v>
      </c>
      <c r="AG23" s="906">
        <v>3761.8</v>
      </c>
      <c r="AH23" s="906">
        <v>3421.2285700000002</v>
      </c>
      <c r="AI23" s="906">
        <v>3780.6</v>
      </c>
      <c r="AJ23" s="906">
        <v>3737.1484999999998</v>
      </c>
      <c r="AL23" s="906">
        <v>667.4</v>
      </c>
      <c r="AM23" s="906">
        <v>693.3</v>
      </c>
      <c r="AN23" s="906">
        <v>976.8</v>
      </c>
      <c r="AO23" s="906">
        <v>929.6</v>
      </c>
      <c r="AP23" s="906">
        <v>929.6</v>
      </c>
      <c r="AQ23" s="906">
        <v>1013.82976416667</v>
      </c>
      <c r="AR23" s="906">
        <v>983.59285999999997</v>
      </c>
      <c r="AS23" s="906">
        <v>1056.1614300000001</v>
      </c>
      <c r="AT23" s="906"/>
      <c r="AU23" s="906">
        <v>667.3</v>
      </c>
      <c r="AV23" s="906">
        <v>800.1</v>
      </c>
      <c r="AW23" s="906">
        <v>1056.2</v>
      </c>
      <c r="AX23" s="906">
        <v>1011.8</v>
      </c>
      <c r="AY23" s="906">
        <v>929.6</v>
      </c>
      <c r="AZ23" s="906">
        <v>1005.56</v>
      </c>
      <c r="BA23" s="906">
        <v>1087.9000000000001</v>
      </c>
      <c r="BB23" s="906">
        <v>1129</v>
      </c>
      <c r="BC23" s="907"/>
      <c r="BD23" s="906">
        <v>319.3</v>
      </c>
      <c r="BE23" s="906">
        <v>272.10000000000002</v>
      </c>
      <c r="BF23" s="906">
        <v>457.1</v>
      </c>
      <c r="BG23" s="906">
        <v>454.8</v>
      </c>
      <c r="BH23" s="906">
        <v>454.8</v>
      </c>
      <c r="BI23" s="906">
        <v>556.09782499999994</v>
      </c>
      <c r="BJ23" s="906">
        <v>531.77099999999996</v>
      </c>
      <c r="BK23" s="906">
        <v>590.15538000000004</v>
      </c>
      <c r="BL23" s="906"/>
      <c r="BM23" s="906">
        <v>291</v>
      </c>
      <c r="BN23" s="906">
        <v>352.5</v>
      </c>
      <c r="BO23" s="906">
        <v>508.8</v>
      </c>
      <c r="BP23" s="906">
        <v>510.6</v>
      </c>
      <c r="BQ23" s="906">
        <v>454.8</v>
      </c>
      <c r="BR23" s="906">
        <v>547.76666</v>
      </c>
      <c r="BS23" s="906">
        <v>610.04999999999995</v>
      </c>
      <c r="BT23" s="906">
        <v>658.51032999999995</v>
      </c>
      <c r="BU23" s="907"/>
      <c r="BV23" s="906">
        <v>231.8</v>
      </c>
      <c r="BW23" s="906">
        <v>160.30000000000001</v>
      </c>
      <c r="BX23" s="906">
        <v>312.89999999999998</v>
      </c>
      <c r="BY23" s="906">
        <v>297.2</v>
      </c>
      <c r="BZ23" s="906">
        <v>297.2</v>
      </c>
      <c r="CA23" s="906">
        <v>359.90698666666702</v>
      </c>
      <c r="CB23" s="906">
        <v>336.59116999999998</v>
      </c>
      <c r="CC23" s="906">
        <v>392.54912999999999</v>
      </c>
      <c r="CD23" s="906"/>
      <c r="CE23" s="906">
        <v>207.3</v>
      </c>
      <c r="CF23" s="906">
        <v>240.7</v>
      </c>
      <c r="CG23" s="906">
        <v>364.6</v>
      </c>
      <c r="CH23" s="906">
        <v>353</v>
      </c>
      <c r="CI23" s="906">
        <v>297.2</v>
      </c>
      <c r="CJ23" s="906">
        <v>350.62</v>
      </c>
      <c r="CK23" s="906">
        <v>384.5</v>
      </c>
      <c r="CL23" s="906">
        <v>469.16032999999999</v>
      </c>
      <c r="CM23" s="904"/>
      <c r="CN23" s="905">
        <v>7</v>
      </c>
      <c r="CO23" s="905">
        <v>5.0999999999999996</v>
      </c>
      <c r="CP23" s="905">
        <v>9.4</v>
      </c>
      <c r="CQ23" s="905">
        <v>7.2</v>
      </c>
      <c r="CR23" s="905">
        <v>6.5333333333333297</v>
      </c>
      <c r="CS23" s="908">
        <v>6.1</v>
      </c>
      <c r="CT23" s="905">
        <v>5.6</v>
      </c>
      <c r="CU23" s="905">
        <v>6.8</v>
      </c>
      <c r="CV23" s="904"/>
      <c r="CW23" s="909">
        <v>1.1159223810000001</v>
      </c>
      <c r="CX23" s="909">
        <v>2.2191810014</v>
      </c>
      <c r="CY23" s="909">
        <v>1.9298808625999999</v>
      </c>
      <c r="CZ23" s="909">
        <v>1.3615013689</v>
      </c>
      <c r="DA23" s="909">
        <v>1.4731323024993399</v>
      </c>
      <c r="DB23" s="910">
        <v>1.4294079287324299</v>
      </c>
      <c r="DC23" s="909">
        <v>1.4645832606656199</v>
      </c>
      <c r="DD23" s="909">
        <v>1.3829087069078201</v>
      </c>
      <c r="DE23" s="904"/>
      <c r="DF23" s="909">
        <v>1.11592238096902</v>
      </c>
      <c r="DG23" s="909">
        <v>1.5160741494710199</v>
      </c>
      <c r="DH23" s="909">
        <v>1.5906824114356699</v>
      </c>
      <c r="DI23" s="909">
        <v>1.0985733627877201</v>
      </c>
      <c r="DJ23" s="909">
        <v>1.4731323024993399</v>
      </c>
      <c r="DK23" s="909">
        <v>1.4645832606656199</v>
      </c>
      <c r="DL23" s="909">
        <v>1.3829087069078201</v>
      </c>
      <c r="DM23" s="909">
        <v>1.3390110450146699</v>
      </c>
      <c r="DO23" s="904">
        <v>4.7865612825891501</v>
      </c>
      <c r="DP23" s="904">
        <v>7.0896639261503003</v>
      </c>
      <c r="DQ23" s="904">
        <v>6.5504914004914001</v>
      </c>
      <c r="DR23" s="904">
        <v>4.9751333907056798</v>
      </c>
      <c r="DS23" s="904"/>
      <c r="DT23" s="904">
        <v>4.9358218659847504</v>
      </c>
      <c r="DU23" s="904">
        <v>5.0875553512659701</v>
      </c>
      <c r="DV23" s="904">
        <v>4.7379907807843296</v>
      </c>
      <c r="DW23" s="904"/>
      <c r="DX23" s="904">
        <v>4.7872785853439197</v>
      </c>
      <c r="DY23" s="904">
        <v>6.1433120859892503</v>
      </c>
      <c r="DZ23" s="904">
        <v>6.0580571861389902</v>
      </c>
      <c r="EA23" s="904">
        <v>4.5709468274362504</v>
      </c>
      <c r="EB23" s="904"/>
      <c r="EC23" s="904">
        <v>4.9764142551016404</v>
      </c>
      <c r="ED23" s="904">
        <v>4.5997638738487003</v>
      </c>
      <c r="EE23" s="904">
        <v>4.4323145423914996</v>
      </c>
      <c r="EG23" s="904">
        <v>10.004857501</v>
      </c>
      <c r="EH23" s="904">
        <v>18.064182285899999</v>
      </c>
      <c r="EI23" s="904">
        <v>13.998074819499999</v>
      </c>
      <c r="EJ23" s="904">
        <v>10.169050131900001</v>
      </c>
      <c r="EK23" s="904">
        <v>11.002821280474899</v>
      </c>
      <c r="EL23" s="911">
        <v>8.9985662475123007</v>
      </c>
      <c r="EM23" s="911">
        <v>9.4102219157494496</v>
      </c>
      <c r="EN23" s="904">
        <v>8.4792637463713394</v>
      </c>
      <c r="EO23" s="904"/>
      <c r="EP23" s="904">
        <v>10.9778384879725</v>
      </c>
      <c r="EQ23" s="904">
        <v>13.9440113475177</v>
      </c>
      <c r="ER23" s="904">
        <v>12.575707547169801</v>
      </c>
      <c r="ES23" s="904">
        <v>9.0577438307873095</v>
      </c>
      <c r="ET23" s="904">
        <v>11.002821280474899</v>
      </c>
      <c r="EU23" s="904">
        <v>9.4102219157494496</v>
      </c>
      <c r="EV23" s="904">
        <v>8.4792637463713394</v>
      </c>
      <c r="EW23" s="904">
        <v>7.59909585375829</v>
      </c>
      <c r="EY23" s="904">
        <v>13.78149698</v>
      </c>
      <c r="EZ23" s="904">
        <v>30.662907049299999</v>
      </c>
      <c r="FA23" s="904">
        <v>20.449089165899998</v>
      </c>
      <c r="FB23" s="904">
        <v>15.5615208614</v>
      </c>
      <c r="FC23" s="904">
        <v>16.837426374024201</v>
      </c>
      <c r="FD23" s="904">
        <v>13.903823220288301</v>
      </c>
      <c r="FE23" s="904">
        <v>14.8669470989391</v>
      </c>
      <c r="FF23" s="904">
        <v>12.747660702648901</v>
      </c>
      <c r="FG23" s="904"/>
      <c r="FH23" s="904">
        <v>15.4102797877472</v>
      </c>
      <c r="FI23" s="904">
        <v>20.420706273369301</v>
      </c>
      <c r="FJ23" s="904">
        <v>17.5494240263302</v>
      </c>
      <c r="FK23" s="904">
        <v>13.101654390934801</v>
      </c>
      <c r="FL23" s="904">
        <v>16.837426374024201</v>
      </c>
      <c r="FM23" s="904">
        <v>14.8669470989391</v>
      </c>
      <c r="FN23" s="904">
        <v>12.747660702648901</v>
      </c>
      <c r="FO23" s="904">
        <v>10.6660405801147</v>
      </c>
      <c r="FQ23" s="904">
        <v>37.812059980999997</v>
      </c>
      <c r="FR23" s="904">
        <v>51.399841768100003</v>
      </c>
      <c r="FS23" s="904">
        <v>33.945917085799998</v>
      </c>
      <c r="FT23" s="904">
        <v>37.592561661399998</v>
      </c>
      <c r="FU23" s="904">
        <v>41.951533014947898</v>
      </c>
      <c r="FV23" s="904">
        <v>14.380250514903</v>
      </c>
      <c r="FW23" s="904">
        <v>15.6518072338965</v>
      </c>
      <c r="FX23" s="904">
        <v>12.911718765986199</v>
      </c>
      <c r="FY23" s="904"/>
      <c r="FZ23" s="904">
        <v>38.925387865889398</v>
      </c>
      <c r="GA23" s="904">
        <v>25.868960663601001</v>
      </c>
      <c r="GB23" s="904">
        <v>18.3565416391917</v>
      </c>
      <c r="GC23" s="904">
        <v>28.1813851009349</v>
      </c>
      <c r="GD23" s="904">
        <v>41.951533014947898</v>
      </c>
      <c r="GE23" s="904">
        <v>15.537598443777799</v>
      </c>
      <c r="GF23" s="904">
        <v>12.232633279483</v>
      </c>
      <c r="GG23" s="904">
        <v>10.9739130434783</v>
      </c>
      <c r="GH23" s="904"/>
      <c r="GI23" s="904"/>
      <c r="GJ23" s="912">
        <v>0.2331365</v>
      </c>
      <c r="GK23" s="912">
        <v>0.31301639999999997</v>
      </c>
      <c r="GL23" s="912">
        <v>0.29461619999999999</v>
      </c>
      <c r="GM23" s="912">
        <v>0.2736613</v>
      </c>
      <c r="GN23" s="912">
        <v>0.2736613</v>
      </c>
      <c r="GO23" s="912">
        <v>0.29436111666666698</v>
      </c>
      <c r="GP23" s="912">
        <v>0.2936667</v>
      </c>
      <c r="GQ23" s="912">
        <v>0.29533330000000002</v>
      </c>
      <c r="GR23" s="904"/>
      <c r="GS23" s="912">
        <v>0.233101617354246</v>
      </c>
      <c r="GT23" s="912">
        <v>0.24678449153326501</v>
      </c>
      <c r="GU23" s="912">
        <v>0.26257302672467397</v>
      </c>
      <c r="GV23" s="912">
        <v>0.24033825031473399</v>
      </c>
      <c r="GW23" s="912">
        <v>0.2736613</v>
      </c>
      <c r="GX23" s="912">
        <v>0.29391780742670498</v>
      </c>
      <c r="GY23" s="912">
        <v>0.28775855684282903</v>
      </c>
      <c r="GZ23" s="912">
        <v>0.302101990327652</v>
      </c>
      <c r="HB23" s="912">
        <v>0.11153805847999999</v>
      </c>
      <c r="HC23" s="912">
        <v>0.12284979005799999</v>
      </c>
      <c r="HD23" s="912">
        <v>0.13786759161500001</v>
      </c>
      <c r="HE23" s="912">
        <v>0.133886779122</v>
      </c>
      <c r="HF23" s="912">
        <v>0.133886779122</v>
      </c>
      <c r="HG23" s="912">
        <v>0.15884840867039199</v>
      </c>
      <c r="HH23" s="912">
        <v>0.155637483767988</v>
      </c>
      <c r="HI23" s="912">
        <v>0.163093017067623</v>
      </c>
      <c r="HJ23" s="904"/>
      <c r="HK23" s="912">
        <v>0.10165228630313999</v>
      </c>
      <c r="HL23" s="912">
        <v>0.108725825853613</v>
      </c>
      <c r="HM23" s="912">
        <v>0.126488502175264</v>
      </c>
      <c r="HN23" s="912">
        <v>0.121285541224257</v>
      </c>
      <c r="HO23" s="912">
        <v>0.133886779122</v>
      </c>
      <c r="HP23" s="912">
        <v>0.160108174239875</v>
      </c>
      <c r="HQ23" s="912">
        <v>0.16136327567052799</v>
      </c>
      <c r="HR23" s="912">
        <v>0.176206626522869</v>
      </c>
      <c r="HT23" s="912">
        <v>8.0972508469999996E-2</v>
      </c>
      <c r="HU23" s="912">
        <v>7.2373470585999994E-2</v>
      </c>
      <c r="HV23" s="912">
        <v>9.4374905746000007E-2</v>
      </c>
      <c r="HW23" s="912">
        <v>8.7491536401000006E-2</v>
      </c>
      <c r="HX23" s="912">
        <v>8.7491536401000006E-2</v>
      </c>
      <c r="HY23" s="912">
        <v>0.102806825582092</v>
      </c>
      <c r="HZ23" s="912">
        <v>9.8512710842303994E-2</v>
      </c>
      <c r="IA23" s="912">
        <v>0.10848333189637401</v>
      </c>
      <c r="IB23" s="904"/>
      <c r="IC23" s="912">
        <v>8.0972508471023996E-2</v>
      </c>
      <c r="ID23" s="912">
        <v>4.9443262083217997E-2</v>
      </c>
      <c r="IE23" s="912">
        <v>7.7787445618396997E-2</v>
      </c>
      <c r="IF23" s="912">
        <v>7.0595501080785994E-2</v>
      </c>
      <c r="IG23" s="912">
        <v>2972000</v>
      </c>
      <c r="IH23" s="912">
        <v>9.8383128491178001E-2</v>
      </c>
      <c r="II23" s="912">
        <v>0.10383249484208899</v>
      </c>
      <c r="IJ23" s="912">
        <v>0.125539654097235</v>
      </c>
      <c r="IL23" s="912">
        <v>2.9815999999999999E-2</v>
      </c>
      <c r="IM23" s="912">
        <v>2.6408600000000001E-2</v>
      </c>
      <c r="IN23" s="912">
        <v>3.2055599999999997E-2</v>
      </c>
      <c r="IO23" s="912">
        <v>4.5784900000000003E-2</v>
      </c>
      <c r="IP23" s="912">
        <v>2.43752E-2</v>
      </c>
      <c r="IQ23" s="912">
        <v>6.1641109942900001E-2</v>
      </c>
      <c r="IR23" s="912">
        <v>5.9629871026808001E-2</v>
      </c>
      <c r="IS23" s="912">
        <v>5.6210644057849E-2</v>
      </c>
      <c r="IT23" s="904"/>
      <c r="IU23" s="912">
        <v>2.6478499318825E-2</v>
      </c>
      <c r="IV23" s="912">
        <v>4.1269547515499001E-2</v>
      </c>
      <c r="IW23" s="912">
        <v>4.7259167184587003E-2</v>
      </c>
      <c r="IX23" s="912">
        <v>2.9644409605929001E-2</v>
      </c>
      <c r="IY23" s="912">
        <v>2.43752E-2</v>
      </c>
      <c r="IZ23" s="912">
        <v>6.1693238461409998E-2</v>
      </c>
      <c r="JA23" s="912">
        <v>6.5869385811775996E-2</v>
      </c>
      <c r="JB23" s="912">
        <v>7.5473318761617003E-2</v>
      </c>
      <c r="JD23" s="912">
        <v>2.4240787082235E-2</v>
      </c>
      <c r="JE23" s="912">
        <v>3.8642251729612997E-2</v>
      </c>
      <c r="JF23" s="912">
        <v>5.1989234773562001E-2</v>
      </c>
      <c r="JG23" s="912">
        <v>0.100349987777006</v>
      </c>
      <c r="JH23" s="912">
        <v>2.4551349721007001E-2</v>
      </c>
      <c r="JI23" s="912"/>
      <c r="JJ23" s="912">
        <f>IF(ISERROR((AI23/AF23)^(1/2)-1),"--",(AI23/AF23)^(1/2)-1)</f>
        <v>-5.2357619468396011E-2</v>
      </c>
      <c r="JK23" s="912">
        <f>IF(ISERROR((Z23/W23)^(1/2)-1),"--",(Z23/W23)^(1/2)-1)</f>
        <v>2.9143452473747722E-3</v>
      </c>
      <c r="JM23" s="912">
        <v>7.2761558171394999E-2</v>
      </c>
      <c r="JN23" s="912">
        <v>5.2667891380348997E-2</v>
      </c>
      <c r="JO23" s="912">
        <v>9.4452792693467999E-2</v>
      </c>
      <c r="JP23" s="912">
        <v>0.11678602545826799</v>
      </c>
      <c r="JQ23" s="912">
        <v>-4.8321048321047999E-2</v>
      </c>
      <c r="JR23" s="912"/>
      <c r="JS23" s="912">
        <f>IF(ISERROR((BA23/AX23)^(1/2)-1),"--",(BA23/AX23)^(1/2)-1)</f>
        <v>3.6924535628060084E-2</v>
      </c>
      <c r="JT23" s="912">
        <f>IF(ISERROR((AR23/AO23)^(1/2)-1),"--",(AR23/AO23)^(1/2)-1)</f>
        <v>2.8631041791804757E-2</v>
      </c>
      <c r="JU23" s="912"/>
      <c r="JV23" s="912">
        <v>0.13915015699597799</v>
      </c>
      <c r="JW23" s="912">
        <v>2.4683487838993001E-2</v>
      </c>
      <c r="JX23" s="912">
        <v>0.118872917940716</v>
      </c>
      <c r="JY23" s="912">
        <v>0.125141592104554</v>
      </c>
      <c r="JZ23" s="912">
        <v>-5.0317217239120001E-3</v>
      </c>
      <c r="KA23" s="912"/>
      <c r="KB23" s="912">
        <f>IF(ISERROR((BS23/BP23)^(1/2)-1),"--",(BS23/BP23)^(1/2)-1)</f>
        <v>9.3055743232858035E-2</v>
      </c>
      <c r="KC23" s="912">
        <f>IF(ISERROR((BJ23/BG23)^(1/2)-1),"--",(BJ23/BG23)^(1/2)-1)</f>
        <v>8.1314674274843401E-2</v>
      </c>
      <c r="KE23" s="912">
        <v>0.17378611077954501</v>
      </c>
      <c r="KF23" s="912">
        <v>2.7174497524789999E-3</v>
      </c>
      <c r="KG23" s="912">
        <v>0.10175676722367701</v>
      </c>
      <c r="KH23" s="912">
        <v>8.6371735307342004E-2</v>
      </c>
      <c r="KI23" s="912">
        <v>2.4551349721007001E-2</v>
      </c>
      <c r="KJ23" s="912">
        <v>0.36162539105000902</v>
      </c>
      <c r="KK23" s="912" t="str">
        <f>IF(ISERROR((#REF!/#REF!)^(1/2)-1),"--",(#REF!/#REF!)^(1/2)-1)</f>
        <v>--</v>
      </c>
      <c r="KL23" s="912"/>
      <c r="KM23" s="912"/>
      <c r="KN23" s="912">
        <v>-5.2576097405401E-2</v>
      </c>
      <c r="KO23" s="912">
        <v>-0.122488049884318</v>
      </c>
      <c r="KP23" s="912">
        <v>-4.2495897877738997E-2</v>
      </c>
      <c r="KQ23" s="912">
        <v>-2.6355632448567999E-2</v>
      </c>
      <c r="KR23" s="912">
        <v>-0.455136178035566</v>
      </c>
      <c r="KS23" s="912"/>
      <c r="KT23" s="912"/>
      <c r="KU23" s="912"/>
      <c r="KX23" s="897" t="s">
        <v>1371</v>
      </c>
    </row>
    <row r="24" spans="2:310" s="897" customFormat="1">
      <c r="B24" s="898" t="s">
        <v>1362</v>
      </c>
      <c r="C24" s="897">
        <f t="shared" si="4"/>
        <v>13</v>
      </c>
      <c r="D24" s="897" t="s">
        <v>1375</v>
      </c>
      <c r="E24" s="899">
        <v>64.400000000000006</v>
      </c>
      <c r="F24" s="900">
        <v>29560.688231200002</v>
      </c>
      <c r="G24" s="900">
        <v>33247.688231200103</v>
      </c>
      <c r="H24" s="900">
        <v>3110</v>
      </c>
      <c r="I24" s="900">
        <v>26569</v>
      </c>
      <c r="J24" s="901">
        <v>1.42445695130871</v>
      </c>
      <c r="K24" s="901">
        <v>8.9795664290416202</v>
      </c>
      <c r="L24" s="902">
        <v>25.373433539615998</v>
      </c>
      <c r="M24" s="899">
        <f t="shared" si="5"/>
        <v>57.882400660552591</v>
      </c>
      <c r="N24" s="1129">
        <f t="shared" si="3"/>
        <v>1.1126007087658549</v>
      </c>
      <c r="O24" s="901"/>
      <c r="Q24" s="903">
        <v>44926</v>
      </c>
      <c r="R24" s="903">
        <v>45016</v>
      </c>
      <c r="S24" s="904"/>
      <c r="T24" s="902">
        <v>15436</v>
      </c>
      <c r="U24" s="905">
        <v>11128</v>
      </c>
      <c r="V24" s="905">
        <v>12566</v>
      </c>
      <c r="W24" s="905">
        <v>13017</v>
      </c>
      <c r="X24" s="905">
        <v>12761</v>
      </c>
      <c r="Y24" s="905">
        <v>12754.6890983333</v>
      </c>
      <c r="Z24" s="905">
        <v>12473.81889</v>
      </c>
      <c r="AA24" s="905">
        <v>13147.90739</v>
      </c>
      <c r="AB24" s="906"/>
      <c r="AC24" s="907">
        <v>21512</v>
      </c>
      <c r="AD24" s="906">
        <v>11128</v>
      </c>
      <c r="AE24" s="906">
        <v>12566</v>
      </c>
      <c r="AF24" s="906">
        <v>13017</v>
      </c>
      <c r="AG24" s="906">
        <v>12761</v>
      </c>
      <c r="AH24" s="906">
        <v>12459.140009999999</v>
      </c>
      <c r="AI24" s="906">
        <v>13156.741330000001</v>
      </c>
      <c r="AJ24" s="906">
        <v>13367.41</v>
      </c>
      <c r="AL24" s="906">
        <v>5410</v>
      </c>
      <c r="AM24" s="906">
        <v>4065</v>
      </c>
      <c r="AN24" s="906">
        <v>4595</v>
      </c>
      <c r="AO24" s="906">
        <v>4615</v>
      </c>
      <c r="AP24" s="906">
        <v>4486</v>
      </c>
      <c r="AQ24" s="906">
        <v>4668.3211941666696</v>
      </c>
      <c r="AR24" s="906">
        <v>4508.7342900000003</v>
      </c>
      <c r="AS24" s="906">
        <v>4891.7428600000003</v>
      </c>
      <c r="AT24" s="906"/>
      <c r="AU24" s="906">
        <v>7456</v>
      </c>
      <c r="AV24" s="906">
        <v>4065</v>
      </c>
      <c r="AW24" s="906">
        <v>4595</v>
      </c>
      <c r="AX24" s="906">
        <v>4615</v>
      </c>
      <c r="AY24" s="906">
        <v>4486</v>
      </c>
      <c r="AZ24" s="906">
        <v>4486.8999999999996</v>
      </c>
      <c r="BA24" s="906">
        <v>5101.8999999999996</v>
      </c>
      <c r="BB24" s="906">
        <v>5249.4</v>
      </c>
      <c r="BC24" s="907"/>
      <c r="BD24" s="906">
        <v>3341</v>
      </c>
      <c r="BE24" s="906">
        <v>2576</v>
      </c>
      <c r="BF24" s="906">
        <v>2982</v>
      </c>
      <c r="BG24" s="906">
        <v>3164</v>
      </c>
      <c r="BH24" s="906">
        <v>3164</v>
      </c>
      <c r="BI24" s="906">
        <v>3209.84817666667</v>
      </c>
      <c r="BJ24" s="906">
        <v>3079.23461</v>
      </c>
      <c r="BK24" s="906">
        <v>3392.7071700000001</v>
      </c>
      <c r="BL24" s="906"/>
      <c r="BM24" s="906">
        <v>5823</v>
      </c>
      <c r="BN24" s="906">
        <v>2576</v>
      </c>
      <c r="BO24" s="906">
        <v>2967</v>
      </c>
      <c r="BP24" s="906">
        <v>3177</v>
      </c>
      <c r="BQ24" s="906">
        <v>3164</v>
      </c>
      <c r="BR24" s="906">
        <v>3067.62853</v>
      </c>
      <c r="BS24" s="906">
        <v>3397.93975</v>
      </c>
      <c r="BT24" s="906">
        <v>3720.5149999999999</v>
      </c>
      <c r="BU24" s="907"/>
      <c r="BV24" s="906">
        <v>1939</v>
      </c>
      <c r="BW24" s="906">
        <v>1490</v>
      </c>
      <c r="BX24" s="906">
        <v>1870</v>
      </c>
      <c r="BY24" s="906">
        <v>2029</v>
      </c>
      <c r="BZ24" s="906">
        <v>2029</v>
      </c>
      <c r="CA24" s="906">
        <v>2588.0073466666699</v>
      </c>
      <c r="CB24" s="906">
        <v>2478.9969299999998</v>
      </c>
      <c r="CC24" s="906">
        <v>2740.6219299999998</v>
      </c>
      <c r="CD24" s="906"/>
      <c r="CE24" s="906">
        <v>2765</v>
      </c>
      <c r="CF24" s="906">
        <v>1490</v>
      </c>
      <c r="CG24" s="906">
        <v>1855</v>
      </c>
      <c r="CH24" s="906">
        <v>2042</v>
      </c>
      <c r="CI24" s="906">
        <v>2029</v>
      </c>
      <c r="CJ24" s="906">
        <v>2497.8049999999998</v>
      </c>
      <c r="CK24" s="906">
        <v>2921.66</v>
      </c>
      <c r="CL24" s="906">
        <v>2989.3630800000001</v>
      </c>
      <c r="CM24" s="904"/>
      <c r="CN24" s="905">
        <v>13.06</v>
      </c>
      <c r="CO24" s="905">
        <v>13.5</v>
      </c>
      <c r="CP24" s="905">
        <v>8.0500000000000007</v>
      </c>
      <c r="CQ24" s="905">
        <v>9.3000000000000007</v>
      </c>
      <c r="CR24" s="905">
        <v>8.0708333333333293</v>
      </c>
      <c r="CS24" s="908">
        <v>6.8916666666666702</v>
      </c>
      <c r="CT24" s="905">
        <v>6.35</v>
      </c>
      <c r="CU24" s="905">
        <v>7.65</v>
      </c>
      <c r="CV24" s="904"/>
      <c r="CW24" s="909">
        <v>4.1391458711000002</v>
      </c>
      <c r="CX24" s="909">
        <v>5.9168988133999996</v>
      </c>
      <c r="CY24" s="909">
        <v>4.0402372732999998</v>
      </c>
      <c r="CZ24" s="909">
        <v>2.6887199788</v>
      </c>
      <c r="DA24" s="909">
        <v>2.60541401388606</v>
      </c>
      <c r="DB24" s="910">
        <v>2.6067031485341801</v>
      </c>
      <c r="DC24" s="909">
        <v>2.6653977041348602</v>
      </c>
      <c r="DD24" s="909">
        <v>2.52874371905658</v>
      </c>
      <c r="DE24" s="904"/>
      <c r="DF24" s="909">
        <v>2.9700565110635901</v>
      </c>
      <c r="DG24" s="909">
        <v>5.91689881339863</v>
      </c>
      <c r="DH24" s="909">
        <v>4.0402372732930196</v>
      </c>
      <c r="DI24" s="909">
        <v>2.6887199787815899</v>
      </c>
      <c r="DJ24" s="909">
        <v>2.60541401388606</v>
      </c>
      <c r="DK24" s="909">
        <v>2.6653977041348602</v>
      </c>
      <c r="DL24" s="909">
        <v>2.52874371905658</v>
      </c>
      <c r="DM24" s="909">
        <v>2.4264812603130501</v>
      </c>
      <c r="DO24" s="904">
        <v>11.8099548365989</v>
      </c>
      <c r="DP24" s="904">
        <v>16.1976014749077</v>
      </c>
      <c r="DQ24" s="904">
        <v>11.0488839121219</v>
      </c>
      <c r="DR24" s="904">
        <v>7.5837633724376996</v>
      </c>
      <c r="DS24" s="904">
        <v>8.1153105876170297</v>
      </c>
      <c r="DT24" s="904">
        <v>7.1219795828840899</v>
      </c>
      <c r="DU24" s="904">
        <v>7.3740624513936597</v>
      </c>
      <c r="DV24" s="904">
        <v>6.7966958163455198</v>
      </c>
      <c r="DW24" s="904"/>
      <c r="DX24" s="904">
        <v>8.5691866504828305</v>
      </c>
      <c r="DY24" s="904">
        <v>16.1976014749077</v>
      </c>
      <c r="DZ24" s="904">
        <v>11.0488839121219</v>
      </c>
      <c r="EA24" s="904">
        <v>7.5837633724376996</v>
      </c>
      <c r="EB24" s="904">
        <v>8.1153105876170297</v>
      </c>
      <c r="EC24" s="904">
        <v>7.4099463396108796</v>
      </c>
      <c r="ED24" s="904">
        <v>6.5167267549736501</v>
      </c>
      <c r="EE24" s="904">
        <v>6.3336168383434401</v>
      </c>
      <c r="EG24" s="904">
        <v>19.123572483099998</v>
      </c>
      <c r="EH24" s="904">
        <v>25.560267855399999</v>
      </c>
      <c r="EI24" s="904">
        <v>17.025359348199999</v>
      </c>
      <c r="EJ24" s="904">
        <v>11.061652327399999</v>
      </c>
      <c r="EK24" s="904">
        <v>10.6528959407882</v>
      </c>
      <c r="EL24" s="911">
        <v>10.3580251779157</v>
      </c>
      <c r="EM24" s="911">
        <v>10.7973871569338</v>
      </c>
      <c r="EN24" s="904">
        <v>9.7997518103515109</v>
      </c>
      <c r="EO24" s="904"/>
      <c r="EP24" s="904">
        <v>10.972326234930399</v>
      </c>
      <c r="EQ24" s="904">
        <v>25.560267855395999</v>
      </c>
      <c r="ER24" s="904">
        <v>17.111432954566901</v>
      </c>
      <c r="ES24" s="904">
        <v>11.016389034875701</v>
      </c>
      <c r="ET24" s="904">
        <v>10.6528959407882</v>
      </c>
      <c r="EU24" s="904">
        <v>10.7973871569338</v>
      </c>
      <c r="EV24" s="904">
        <v>9.7997518103515109</v>
      </c>
      <c r="EW24" s="904">
        <v>9.0626821461571492</v>
      </c>
      <c r="EY24" s="904">
        <v>32.950931235699997</v>
      </c>
      <c r="EZ24" s="904">
        <v>44.190100668100001</v>
      </c>
      <c r="FA24" s="904">
        <v>27.1495302547</v>
      </c>
      <c r="FB24" s="904">
        <v>17.249417429200001</v>
      </c>
      <c r="FC24" s="904">
        <v>16.574121750349001</v>
      </c>
      <c r="FD24" s="904">
        <v>12.846829153720501</v>
      </c>
      <c r="FE24" s="904">
        <v>13.4117504660242</v>
      </c>
      <c r="FF24" s="904">
        <v>12.1314391697946</v>
      </c>
      <c r="FG24" s="904"/>
      <c r="FH24" s="904">
        <v>23.107361904520801</v>
      </c>
      <c r="FI24" s="904">
        <v>44.190100668120799</v>
      </c>
      <c r="FJ24" s="904">
        <v>27.369068235148301</v>
      </c>
      <c r="FK24" s="904">
        <v>17.1396023329089</v>
      </c>
      <c r="FL24" s="904">
        <v>16.574121750349001</v>
      </c>
      <c r="FM24" s="904">
        <v>13.4117504660242</v>
      </c>
      <c r="FN24" s="904">
        <v>12.1314391697946</v>
      </c>
      <c r="FO24" s="904">
        <v>11.121997342390401</v>
      </c>
      <c r="FQ24" s="904"/>
      <c r="FR24" s="904"/>
      <c r="FS24" s="904">
        <v>37.929690618099997</v>
      </c>
      <c r="FT24" s="904">
        <v>33.867441757199998</v>
      </c>
      <c r="FU24" s="904">
        <v>29.6052480358941</v>
      </c>
      <c r="FV24" s="904">
        <v>16.390949599738899</v>
      </c>
      <c r="FW24" s="904">
        <v>17.571096092613899</v>
      </c>
      <c r="FX24" s="904">
        <v>14.9821795814295</v>
      </c>
      <c r="FY24" s="904"/>
      <c r="FZ24" s="904">
        <v>-63.896495614557303</v>
      </c>
      <c r="GA24" s="904">
        <v>-34.4072233798151</v>
      </c>
      <c r="GB24" s="904">
        <v>30.5623181803082</v>
      </c>
      <c r="GC24" s="904">
        <v>32.006997803246399</v>
      </c>
      <c r="GD24" s="904">
        <v>29.6052480358941</v>
      </c>
      <c r="GE24" s="904">
        <v>17.540658101523402</v>
      </c>
      <c r="GF24" s="904">
        <v>14.9414406889767</v>
      </c>
      <c r="GG24" s="904">
        <v>12.583040250097699</v>
      </c>
      <c r="GH24" s="904"/>
      <c r="GI24" s="904"/>
      <c r="GJ24" s="912">
        <v>0.3504794</v>
      </c>
      <c r="GK24" s="912">
        <v>0.36529479999999998</v>
      </c>
      <c r="GL24" s="912">
        <v>0.36566929999999997</v>
      </c>
      <c r="GM24" s="912">
        <v>0.35453639999999997</v>
      </c>
      <c r="GN24" s="912">
        <v>0.35116354999999999</v>
      </c>
      <c r="GO24" s="912">
        <v>0.37440055833333302</v>
      </c>
      <c r="GP24" s="912">
        <v>0.36799110000000002</v>
      </c>
      <c r="GQ24" s="912">
        <v>0.38337379999999999</v>
      </c>
      <c r="GR24" s="904"/>
      <c r="GS24" s="912">
        <v>0.346597248047601</v>
      </c>
      <c r="GT24" s="912">
        <v>0.36529475197699501</v>
      </c>
      <c r="GU24" s="912">
        <v>0.36566926627407298</v>
      </c>
      <c r="GV24" s="912">
        <v>0.35453637550895001</v>
      </c>
      <c r="GW24" s="912">
        <v>0.35116354999999999</v>
      </c>
      <c r="GX24" s="912">
        <v>0.36012919000819499</v>
      </c>
      <c r="GY24" s="912">
        <v>0.387778392235063</v>
      </c>
      <c r="GZ24" s="912">
        <v>0.39270135351575203</v>
      </c>
      <c r="HB24" s="912">
        <v>0.21644208344099999</v>
      </c>
      <c r="HC24" s="912">
        <v>0.23148813803000001</v>
      </c>
      <c r="HD24" s="912">
        <v>0.23730701894</v>
      </c>
      <c r="HE24" s="912">
        <v>0.243066758854</v>
      </c>
      <c r="HF24" s="912">
        <v>0.24432858813925001</v>
      </c>
      <c r="HG24" s="912">
        <v>0.25166024447323498</v>
      </c>
      <c r="HH24" s="912">
        <v>0.24685580551987599</v>
      </c>
      <c r="HI24" s="912">
        <v>0.258041608399251</v>
      </c>
      <c r="HJ24" s="904"/>
      <c r="HK24" s="912">
        <v>0.27068612867236902</v>
      </c>
      <c r="HL24" s="912">
        <v>0.231488138030194</v>
      </c>
      <c r="HM24" s="912">
        <v>0.23611332166162699</v>
      </c>
      <c r="HN24" s="912">
        <v>0.24406545286932499</v>
      </c>
      <c r="HO24" s="912">
        <v>0.24432858813925001</v>
      </c>
      <c r="HP24" s="912">
        <v>0.246215110155103</v>
      </c>
      <c r="HQ24" s="912">
        <v>0.25826606032392102</v>
      </c>
      <c r="HR24" s="912">
        <v>0.27832729002850998</v>
      </c>
      <c r="HT24" s="912">
        <v>0.125615444416</v>
      </c>
      <c r="HU24" s="912">
        <v>0.13389647735400001</v>
      </c>
      <c r="HV24" s="912">
        <v>0.148814260703</v>
      </c>
      <c r="HW24" s="912">
        <v>0.15587308903700001</v>
      </c>
      <c r="HX24" s="912">
        <v>0.15683821571350001</v>
      </c>
      <c r="HY24" s="912">
        <v>0.20290634500882099</v>
      </c>
      <c r="HZ24" s="912">
        <v>0.198736004736076</v>
      </c>
      <c r="IA24" s="912">
        <v>0.20844548479893099</v>
      </c>
      <c r="IB24" s="904"/>
      <c r="IC24" s="912">
        <v>9.0135738192636997E-2</v>
      </c>
      <c r="ID24" s="912">
        <v>0.13389647735442101</v>
      </c>
      <c r="IE24" s="912">
        <v>0.148814260703486</v>
      </c>
      <c r="IF24" s="912">
        <v>0.15587308903741301</v>
      </c>
      <c r="IG24" s="912">
        <v>0.15683821571350001</v>
      </c>
      <c r="IH24" s="912">
        <v>0.19897014786014899</v>
      </c>
      <c r="II24" s="912">
        <v>0.20830552651748499</v>
      </c>
      <c r="IJ24" s="912">
        <v>0.223630686872027</v>
      </c>
      <c r="IL24" s="912">
        <v>1.2835299999999999E-2</v>
      </c>
      <c r="IM24" s="912">
        <v>-1.41876E-2</v>
      </c>
      <c r="IN24" s="912">
        <v>-0.1237419</v>
      </c>
      <c r="IO24" s="912">
        <v>9.2232999999999996E-2</v>
      </c>
      <c r="IP24" s="912">
        <v>8.2687549999999999E-2</v>
      </c>
      <c r="IQ24" s="912">
        <v>0.13649469728960201</v>
      </c>
      <c r="IR24" s="912">
        <v>0.12655155767590501</v>
      </c>
      <c r="IS24" s="912">
        <v>0.13291390187884999</v>
      </c>
      <c r="IT24" s="904"/>
      <c r="IU24" s="912">
        <v>-3.1563778356265997E-2</v>
      </c>
      <c r="IV24" s="912">
        <v>-0.12122573687994199</v>
      </c>
      <c r="IW24" s="912">
        <v>9.6052840999523006E-2</v>
      </c>
      <c r="IX24" s="912">
        <v>8.1508796189597998E-2</v>
      </c>
      <c r="IY24" s="912">
        <v>8.2687549999999999E-2</v>
      </c>
      <c r="IZ24" s="912">
        <v>0.133684722112694</v>
      </c>
      <c r="JA24" s="912">
        <v>0.143857810420295</v>
      </c>
      <c r="JB24" s="912">
        <v>0.15310233620424599</v>
      </c>
      <c r="JD24" s="912"/>
      <c r="JE24" s="912">
        <v>-0.18418902738200299</v>
      </c>
      <c r="JF24" s="912">
        <v>-0.131327909609258</v>
      </c>
      <c r="JG24" s="912">
        <v>-0.13574747160217701</v>
      </c>
      <c r="JH24" s="912">
        <v>3.5890498169663998E-2</v>
      </c>
      <c r="JI24" s="912">
        <v>-4.8350619979720001E-3</v>
      </c>
      <c r="JJ24" s="912">
        <f>IF(ISERROR((AI24/AF24)^(1/2)-1),"--",(AI24/AF24)^(1/2)-1)</f>
        <v>5.3533182989622397E-3</v>
      </c>
      <c r="JK24" s="912">
        <f>IF(ISERROR((Z24/W24)^(1/2)-1),"--",(Z24/W24)^(1/2)-1)</f>
        <v>-2.1086619841222398E-2</v>
      </c>
      <c r="JM24" s="912"/>
      <c r="JN24" s="912">
        <v>-8.4696178227296998E-2</v>
      </c>
      <c r="JO24" s="912">
        <v>-0.11439866220127699</v>
      </c>
      <c r="JP24" s="912">
        <v>-0.138415582239761</v>
      </c>
      <c r="JQ24" s="912">
        <v>4.3525571273120003E-3</v>
      </c>
      <c r="JR24" s="912">
        <v>-2.5418205518139999E-2</v>
      </c>
      <c r="JS24" s="912">
        <f>IF(ISERROR((BA24/AX24)^(1/2)-1),"--",(BA24/AX24)^(1/2)-1)</f>
        <v>5.1429404183973348E-2</v>
      </c>
      <c r="JT24" s="912">
        <f>IF(ISERROR((AR24/AO24)^(1/2)-1),"--",(AR24/AO24)^(1/2)-1)</f>
        <v>-1.1580127685102193E-2</v>
      </c>
      <c r="JU24" s="912"/>
      <c r="JV24" s="912"/>
      <c r="JW24" s="912">
        <v>-0.14404943109632801</v>
      </c>
      <c r="JX24" s="912">
        <v>-0.130528405911912</v>
      </c>
      <c r="JY24" s="912">
        <v>0.138306900109226</v>
      </c>
      <c r="JZ24" s="912">
        <v>6.1032863849765001E-2</v>
      </c>
      <c r="KA24" s="912">
        <v>3.8948069241011997E-2</v>
      </c>
      <c r="KB24" s="912">
        <f>IF(ISERROR((BS24/BP24)^(1/2)-1),"--",(BS24/BP24)^(1/2)-1)</f>
        <v>3.4187369820140034E-2</v>
      </c>
      <c r="KC24" s="912">
        <f>IF(ISERROR((BJ24/BG24)^(1/2)-1),"--",(BJ24/BG24)^(1/2)-1)</f>
        <v>-1.3486228368704056E-2</v>
      </c>
      <c r="KE24" s="912"/>
      <c r="KF24" s="912">
        <v>-0.171062194491062</v>
      </c>
      <c r="KG24" s="912">
        <v>-3.6014659138222001E-2</v>
      </c>
      <c r="KH24" s="912">
        <v>2.0593996919941002E-2</v>
      </c>
      <c r="KI24" s="912">
        <v>3.5890498169663998E-2</v>
      </c>
      <c r="KJ24" s="912">
        <v>0.17539044564966499</v>
      </c>
      <c r="KK24" s="912">
        <f>IF(ISERROR((CC17/BY17)^(1/2)-1),"--",(CC17/BY17)^(1/2)-1)</f>
        <v>-0.13364684917985759</v>
      </c>
      <c r="KL24" s="912"/>
      <c r="KM24" s="912"/>
      <c r="KN24" s="912"/>
      <c r="KO24" s="912">
        <v>-0.23318836363895601</v>
      </c>
      <c r="KP24" s="912">
        <v>0.60987929733212798</v>
      </c>
      <c r="KQ24" s="912"/>
      <c r="KR24" s="912">
        <v>-4.8503800951294002E-2</v>
      </c>
      <c r="KS24" s="912">
        <v>0.151111534452012</v>
      </c>
      <c r="KT24" s="912"/>
      <c r="KU24" s="912"/>
      <c r="KX24" s="897" t="s">
        <v>1370</v>
      </c>
    </row>
    <row r="25" spans="2:310" s="897" customFormat="1">
      <c r="B25" s="897" t="s">
        <v>1512</v>
      </c>
      <c r="C25" s="897">
        <f t="shared" si="4"/>
        <v>14</v>
      </c>
      <c r="D25" s="897" t="s">
        <v>1518</v>
      </c>
      <c r="E25" s="899">
        <v>113.99</v>
      </c>
      <c r="F25" s="900">
        <v>14253.217382090001</v>
      </c>
      <c r="G25" s="900">
        <v>17995.217382089999</v>
      </c>
      <c r="H25" s="900">
        <v>2702</v>
      </c>
      <c r="I25" s="900">
        <v>3377.9</v>
      </c>
      <c r="J25" s="901">
        <v>0.83612379665501302</v>
      </c>
      <c r="K25" s="901">
        <v>6.7988345230198401</v>
      </c>
      <c r="L25" s="902">
        <v>14.7576</v>
      </c>
      <c r="M25" s="899">
        <f t="shared" si="5"/>
        <v>27.014730125693148</v>
      </c>
      <c r="N25" s="1129">
        <f t="shared" si="3"/>
        <v>4.2195498333550434</v>
      </c>
      <c r="O25" s="901"/>
      <c r="Q25" s="903">
        <v>44926</v>
      </c>
      <c r="R25" s="903">
        <v>45016</v>
      </c>
      <c r="S25" s="904"/>
      <c r="T25" s="902">
        <v>4609.8</v>
      </c>
      <c r="U25" s="905">
        <v>4642.1000000000004</v>
      </c>
      <c r="V25" s="905">
        <v>5045.2</v>
      </c>
      <c r="W25" s="905">
        <v>5802.3</v>
      </c>
      <c r="X25" s="905">
        <v>5795.8</v>
      </c>
      <c r="Y25" s="905">
        <v>6255.4381475</v>
      </c>
      <c r="Z25" s="905">
        <v>6125.24611</v>
      </c>
      <c r="AA25" s="905">
        <v>6437.7070000000003</v>
      </c>
      <c r="AB25" s="906"/>
      <c r="AC25" s="907">
        <v>4609.8</v>
      </c>
      <c r="AD25" s="906">
        <v>4642.1000000000004</v>
      </c>
      <c r="AE25" s="906">
        <v>5045.2</v>
      </c>
      <c r="AF25" s="906">
        <v>5802.3</v>
      </c>
      <c r="AG25" s="906">
        <v>5795.8</v>
      </c>
      <c r="AH25" s="906">
        <v>6102.3830699999999</v>
      </c>
      <c r="AI25" s="906">
        <v>6475.4290499999997</v>
      </c>
      <c r="AJ25" s="906">
        <v>6773.0320000000002</v>
      </c>
      <c r="AL25" s="906">
        <v>2083.6</v>
      </c>
      <c r="AM25" s="906">
        <v>2052</v>
      </c>
      <c r="AN25" s="906">
        <v>2171.6999999999998</v>
      </c>
      <c r="AO25" s="906">
        <v>2326.8000000000002</v>
      </c>
      <c r="AP25" s="906">
        <v>2335.4</v>
      </c>
      <c r="AQ25" s="906">
        <v>2474.84083333333</v>
      </c>
      <c r="AR25" s="906">
        <v>2411.0700000000002</v>
      </c>
      <c r="AS25" s="906">
        <v>2564.12</v>
      </c>
      <c r="AT25" s="906"/>
      <c r="AU25" s="906">
        <v>2083.6</v>
      </c>
      <c r="AV25" s="906">
        <v>2052</v>
      </c>
      <c r="AW25" s="906">
        <v>2171.6999999999998</v>
      </c>
      <c r="AX25" s="906">
        <v>2326.8000000000002</v>
      </c>
      <c r="AY25" s="906">
        <v>2335.4</v>
      </c>
      <c r="AZ25" s="906">
        <v>2620.1750000000002</v>
      </c>
      <c r="BA25" s="906">
        <v>2924.5</v>
      </c>
      <c r="BB25" s="906">
        <v>2293</v>
      </c>
      <c r="BC25" s="907"/>
      <c r="BD25" s="906">
        <v>1111.7</v>
      </c>
      <c r="BE25" s="906">
        <v>1226.4000000000001</v>
      </c>
      <c r="BF25" s="906">
        <v>1257.3</v>
      </c>
      <c r="BG25" s="906">
        <v>1364.4</v>
      </c>
      <c r="BH25" s="906">
        <v>1364.4</v>
      </c>
      <c r="BI25" s="906">
        <v>1589.4728216666699</v>
      </c>
      <c r="BJ25" s="906">
        <v>1536.3175799999999</v>
      </c>
      <c r="BK25" s="906">
        <v>1663.8901599999999</v>
      </c>
      <c r="BL25" s="906"/>
      <c r="BM25" s="906">
        <v>1111.7</v>
      </c>
      <c r="BN25" s="906">
        <v>1226.4000000000001</v>
      </c>
      <c r="BO25" s="906">
        <v>1257.3</v>
      </c>
      <c r="BP25" s="906">
        <v>1364.4</v>
      </c>
      <c r="BQ25" s="906">
        <v>1364.4</v>
      </c>
      <c r="BR25" s="906">
        <v>1533.0832399999999</v>
      </c>
      <c r="BS25" s="906">
        <v>1697.0354</v>
      </c>
      <c r="BT25" s="906">
        <v>1799.0139999999999</v>
      </c>
      <c r="BU25" s="907"/>
      <c r="BV25" s="906">
        <v>961.6</v>
      </c>
      <c r="BW25" s="906">
        <v>1063.7</v>
      </c>
      <c r="BX25" s="906">
        <v>1086.4000000000001</v>
      </c>
      <c r="BY25" s="906">
        <v>1195</v>
      </c>
      <c r="BZ25" s="906">
        <v>1195</v>
      </c>
      <c r="CA25" s="906">
        <v>1414.08742333333</v>
      </c>
      <c r="CB25" s="906">
        <v>1363.00479</v>
      </c>
      <c r="CC25" s="906">
        <v>1485.60311</v>
      </c>
      <c r="CD25" s="906"/>
      <c r="CE25" s="906">
        <v>961.6</v>
      </c>
      <c r="CF25" s="906">
        <v>1063.7</v>
      </c>
      <c r="CG25" s="906">
        <v>1086.4000000000001</v>
      </c>
      <c r="CH25" s="906">
        <v>1195</v>
      </c>
      <c r="CI25" s="906">
        <v>1195</v>
      </c>
      <c r="CJ25" s="906">
        <v>1363.6903</v>
      </c>
      <c r="CK25" s="906">
        <v>1514.12267</v>
      </c>
      <c r="CL25" s="906">
        <v>1628.36</v>
      </c>
      <c r="CM25" s="904"/>
      <c r="CN25" s="905">
        <v>21.6</v>
      </c>
      <c r="CO25" s="905">
        <v>20.7</v>
      </c>
      <c r="CP25" s="905">
        <v>19.7</v>
      </c>
      <c r="CQ25" s="905">
        <v>21.8</v>
      </c>
      <c r="CR25" s="905">
        <v>21.633333333333301</v>
      </c>
      <c r="CS25" s="908">
        <v>21.733333333333299</v>
      </c>
      <c r="CT25" s="905">
        <v>21.4</v>
      </c>
      <c r="CU25" s="905">
        <v>22.2</v>
      </c>
      <c r="CV25" s="904"/>
      <c r="CW25" s="909">
        <v>3.4357209919999998</v>
      </c>
      <c r="CX25" s="909">
        <v>3.7887824367</v>
      </c>
      <c r="CY25" s="909">
        <v>3.2680995515000002</v>
      </c>
      <c r="CZ25" s="909">
        <v>3.1606135221999998</v>
      </c>
      <c r="DA25" s="909">
        <v>3.1048720421839899</v>
      </c>
      <c r="DB25" s="910">
        <v>2.8767317265029302</v>
      </c>
      <c r="DC25" s="909">
        <v>2.9378766271466601</v>
      </c>
      <c r="DD25" s="909">
        <v>2.7952836906199701</v>
      </c>
      <c r="DE25" s="904"/>
      <c r="DF25" s="909">
        <v>3.43572099175669</v>
      </c>
      <c r="DG25" s="909">
        <v>3.7887824366989098</v>
      </c>
      <c r="DH25" s="909">
        <v>3.2680995514944899</v>
      </c>
      <c r="DI25" s="909">
        <v>3.16061352222395</v>
      </c>
      <c r="DJ25" s="909">
        <v>3.1048720421839899</v>
      </c>
      <c r="DK25" s="909">
        <v>2.9378766271466601</v>
      </c>
      <c r="DL25" s="909">
        <v>2.7952836906199701</v>
      </c>
      <c r="DM25" s="909">
        <v>2.6880791584188999</v>
      </c>
      <c r="DO25" s="904">
        <v>7.6012606199846404</v>
      </c>
      <c r="DP25" s="904">
        <v>8.5711047511695906</v>
      </c>
      <c r="DQ25" s="904">
        <v>7.5923082641248802</v>
      </c>
      <c r="DR25" s="904">
        <v>7.88156603059997</v>
      </c>
      <c r="DS25" s="904">
        <v>7.5650705812066503</v>
      </c>
      <c r="DT25" s="904">
        <v>7.2712625150331203</v>
      </c>
      <c r="DU25" s="904">
        <v>7.4635814729933196</v>
      </c>
      <c r="DV25" s="904">
        <v>7.0180870560231199</v>
      </c>
      <c r="DW25" s="904"/>
      <c r="DX25" s="904">
        <v>7.6012606199846404</v>
      </c>
      <c r="DY25" s="904">
        <v>8.5711047511695906</v>
      </c>
      <c r="DZ25" s="904">
        <v>7.5923082641248802</v>
      </c>
      <c r="EA25" s="904">
        <v>7.88156603059997</v>
      </c>
      <c r="EB25" s="904">
        <v>7.5650705812066503</v>
      </c>
      <c r="EC25" s="904">
        <v>6.8679448441764404</v>
      </c>
      <c r="ED25" s="904">
        <v>6.1532629106137797</v>
      </c>
      <c r="EE25" s="904">
        <v>7.8478924474880003</v>
      </c>
      <c r="EG25" s="904">
        <v>14.246637247000001</v>
      </c>
      <c r="EH25" s="904">
        <v>14.341085249000001</v>
      </c>
      <c r="EI25" s="904">
        <v>13.1139870017</v>
      </c>
      <c r="EJ25" s="904">
        <v>13.440946819100001</v>
      </c>
      <c r="EK25" s="904">
        <v>13.024911249341301</v>
      </c>
      <c r="EL25" s="911">
        <v>11.3215005231866</v>
      </c>
      <c r="EM25" s="911">
        <v>11.7132145178538</v>
      </c>
      <c r="EN25" s="904">
        <v>10.815147426612601</v>
      </c>
      <c r="EO25" s="904"/>
      <c r="EP25" s="904">
        <v>14.246637247278899</v>
      </c>
      <c r="EQ25" s="904">
        <v>14.3410852490215</v>
      </c>
      <c r="ER25" s="904">
        <v>13.1139870016702</v>
      </c>
      <c r="ES25" s="904">
        <v>13.4409468191146</v>
      </c>
      <c r="ET25" s="904">
        <v>13.024911249341301</v>
      </c>
      <c r="EU25" s="904">
        <v>11.7132145178538</v>
      </c>
      <c r="EV25" s="904">
        <v>10.815147426612601</v>
      </c>
      <c r="EW25" s="904">
        <v>10.124711295665501</v>
      </c>
      <c r="EY25" s="904">
        <v>16.470451984</v>
      </c>
      <c r="EZ25" s="904">
        <v>16.534649759699999</v>
      </c>
      <c r="FA25" s="904">
        <v>15.1769291764</v>
      </c>
      <c r="FB25" s="904">
        <v>15.3462994477</v>
      </c>
      <c r="FC25" s="904">
        <v>14.8733096802132</v>
      </c>
      <c r="FD25" s="904">
        <v>12.725675290761799</v>
      </c>
      <c r="FE25" s="904">
        <v>13.2026075873805</v>
      </c>
      <c r="FF25" s="904">
        <v>12.113071964483201</v>
      </c>
      <c r="FG25" s="904"/>
      <c r="FH25" s="904">
        <v>16.470451983985001</v>
      </c>
      <c r="FI25" s="904">
        <v>16.534649759706699</v>
      </c>
      <c r="FJ25" s="904">
        <v>15.1769291763623</v>
      </c>
      <c r="FK25" s="904">
        <v>15.3462994476987</v>
      </c>
      <c r="FL25" s="904">
        <v>14.8733096802132</v>
      </c>
      <c r="FM25" s="904">
        <v>13.2026075873805</v>
      </c>
      <c r="FN25" s="904">
        <v>12.113071964483201</v>
      </c>
      <c r="FO25" s="904">
        <v>11.236483121857299</v>
      </c>
      <c r="FQ25" s="904">
        <v>24.436996761</v>
      </c>
      <c r="FR25" s="904">
        <v>25.947490929800001</v>
      </c>
      <c r="FS25" s="904">
        <v>17.675756274299999</v>
      </c>
      <c r="FT25" s="904">
        <v>19.006050563999999</v>
      </c>
      <c r="FU25" s="904">
        <v>17.6392852058407</v>
      </c>
      <c r="FV25" s="904">
        <v>13.905941031400999</v>
      </c>
      <c r="FW25" s="904">
        <v>14.6737003624979</v>
      </c>
      <c r="FX25" s="904">
        <v>12.9568397086956</v>
      </c>
      <c r="FY25" s="904"/>
      <c r="FZ25" s="904">
        <v>27.977880808680801</v>
      </c>
      <c r="GA25" s="904">
        <v>25.711701429380199</v>
      </c>
      <c r="GB25" s="904">
        <v>18.328488185127501</v>
      </c>
      <c r="GC25" s="904">
        <v>17.344347452972201</v>
      </c>
      <c r="GD25" s="904">
        <v>17.6392852058407</v>
      </c>
      <c r="GE25" s="904">
        <v>14.7190227777491</v>
      </c>
      <c r="GF25" s="904">
        <v>12.4829986355105</v>
      </c>
      <c r="GG25" s="904">
        <v>11.239400512719399</v>
      </c>
      <c r="GH25" s="904"/>
      <c r="GI25" s="904"/>
      <c r="GJ25" s="912">
        <v>0.4519936</v>
      </c>
      <c r="GK25" s="912">
        <v>0.44204130000000003</v>
      </c>
      <c r="GL25" s="912">
        <v>0.43044870000000002</v>
      </c>
      <c r="GM25" s="912">
        <v>0.40101340000000002</v>
      </c>
      <c r="GN25" s="912">
        <v>0.40219127500000001</v>
      </c>
      <c r="GO25" s="912">
        <v>0.40696300000000002</v>
      </c>
      <c r="GP25" s="912">
        <v>0.41701749999999999</v>
      </c>
      <c r="GQ25" s="912">
        <v>0.39288669999999998</v>
      </c>
      <c r="GR25" s="904"/>
      <c r="GS25" s="912">
        <v>0.45199357889713199</v>
      </c>
      <c r="GT25" s="912">
        <v>0.44204131750716302</v>
      </c>
      <c r="GU25" s="912">
        <v>0.43044874336002498</v>
      </c>
      <c r="GV25" s="912">
        <v>0.401013391241404</v>
      </c>
      <c r="GW25" s="912">
        <v>0.40219127500000001</v>
      </c>
      <c r="GX25" s="912">
        <v>0.42936914479870603</v>
      </c>
      <c r="GY25" s="912">
        <v>0.45163030548531802</v>
      </c>
      <c r="GZ25" s="912">
        <v>0.33854852597773</v>
      </c>
      <c r="HB25" s="912">
        <v>0.2411601371</v>
      </c>
      <c r="HC25" s="912">
        <v>0.264190775727</v>
      </c>
      <c r="HD25" s="912">
        <v>0.24920716720800001</v>
      </c>
      <c r="HE25" s="912">
        <v>0.235148130914</v>
      </c>
      <c r="HF25" s="912">
        <v>0.23826825023500001</v>
      </c>
      <c r="HG25" s="912">
        <v>0.25409456287277099</v>
      </c>
      <c r="HH25" s="912">
        <v>0.25081728185449198</v>
      </c>
      <c r="HI25" s="912">
        <v>0.25846006349776401</v>
      </c>
      <c r="HJ25" s="904"/>
      <c r="HK25" s="912">
        <v>0.24116013709922299</v>
      </c>
      <c r="HL25" s="912">
        <v>0.26419077572650301</v>
      </c>
      <c r="HM25" s="912">
        <v>0.249207167208436</v>
      </c>
      <c r="HN25" s="912">
        <v>0.23514813091360301</v>
      </c>
      <c r="HO25" s="912">
        <v>0.23826825023500001</v>
      </c>
      <c r="HP25" s="912">
        <v>0.25122697516922698</v>
      </c>
      <c r="HQ25" s="912">
        <v>0.26207304363870698</v>
      </c>
      <c r="HR25" s="912">
        <v>0.26561427732808601</v>
      </c>
      <c r="HT25" s="912">
        <v>0.20859907153999999</v>
      </c>
      <c r="HU25" s="912">
        <v>0.229141983154</v>
      </c>
      <c r="HV25" s="912">
        <v>0.215333386189</v>
      </c>
      <c r="HW25" s="912">
        <v>0.205952811816</v>
      </c>
      <c r="HX25" s="912">
        <v>0.20847570746475</v>
      </c>
      <c r="HY25" s="912">
        <v>0.226057294467611</v>
      </c>
      <c r="HZ25" s="912">
        <v>0.22252245306107399</v>
      </c>
      <c r="IA25" s="912">
        <v>0.23076587828554501</v>
      </c>
      <c r="IB25" s="904"/>
      <c r="IC25" s="912">
        <v>0.20859907154323401</v>
      </c>
      <c r="ID25" s="912">
        <v>0.229141983154176</v>
      </c>
      <c r="IE25" s="912">
        <v>0.215333386188853</v>
      </c>
      <c r="IF25" s="912">
        <v>0.205952811816004</v>
      </c>
      <c r="IG25" s="912">
        <v>0.20847570746475</v>
      </c>
      <c r="IH25" s="912">
        <v>0.22335615027196201</v>
      </c>
      <c r="II25" s="912">
        <v>0.229421571687207</v>
      </c>
      <c r="IJ25" s="912">
        <v>0.236452312642255</v>
      </c>
      <c r="IL25" s="912">
        <v>0.1245187</v>
      </c>
      <c r="IM25" s="912">
        <v>0.11696819999999999</v>
      </c>
      <c r="IN25" s="912">
        <v>0.1245988</v>
      </c>
      <c r="IO25" s="912">
        <v>0.15914139999999999</v>
      </c>
      <c r="IP25" s="912">
        <v>0.13887550000000001</v>
      </c>
      <c r="IQ25" s="912">
        <v>0.16342897119715</v>
      </c>
      <c r="IR25" s="912">
        <v>0.16227318346363601</v>
      </c>
      <c r="IS25" s="912">
        <v>0.158847984640408</v>
      </c>
      <c r="IT25" s="904"/>
      <c r="IU25" s="912">
        <v>0.11790099353551101</v>
      </c>
      <c r="IV25" s="912">
        <v>0.124706490596928</v>
      </c>
      <c r="IW25" s="912">
        <v>0.159002616348212</v>
      </c>
      <c r="IX25" s="912">
        <v>0.14454612825948299</v>
      </c>
      <c r="IY25" s="912">
        <v>0.13887550000000001</v>
      </c>
      <c r="IZ25" s="912">
        <v>0.161153072286562</v>
      </c>
      <c r="JA25" s="912">
        <v>0.17108904930399901</v>
      </c>
      <c r="JB25" s="912">
        <v>0.17444476860584701</v>
      </c>
      <c r="JD25" s="912">
        <v>4.6279918613863998E-2</v>
      </c>
      <c r="JE25" s="912">
        <v>0.14826397245535</v>
      </c>
      <c r="JF25" s="912">
        <v>7.8407848444624006E-2</v>
      </c>
      <c r="JG25" s="912">
        <v>7.4822671003501998E-2</v>
      </c>
      <c r="JH25" s="912">
        <v>0.150063426623325</v>
      </c>
      <c r="JI25" s="912">
        <v>0.114491192985155</v>
      </c>
      <c r="JJ25" s="912"/>
      <c r="JK25" s="912"/>
      <c r="JM25" s="912">
        <v>6.0287113770832998E-2</v>
      </c>
      <c r="JN25" s="912">
        <v>0.16556770860666001</v>
      </c>
      <c r="JO25" s="912">
        <v>4.6200874079804999E-2</v>
      </c>
      <c r="JP25" s="912">
        <v>3.5984096957798001E-2</v>
      </c>
      <c r="JQ25" s="912">
        <v>7.1418704240916994E-2</v>
      </c>
      <c r="JR25" s="912">
        <v>4.6326164874552003E-2</v>
      </c>
      <c r="JS25" s="912"/>
      <c r="JT25" s="912"/>
      <c r="JU25" s="912"/>
      <c r="JV25" s="912">
        <v>5.5170844880097998E-2</v>
      </c>
      <c r="JW25" s="912">
        <v>0.222201929322658</v>
      </c>
      <c r="JX25" s="912">
        <v>4.1014616164552001E-2</v>
      </c>
      <c r="JY25" s="912">
        <v>7.2158280268225003E-2</v>
      </c>
      <c r="JZ25" s="912">
        <v>8.5182534001431998E-2</v>
      </c>
      <c r="KA25" s="912">
        <v>5.9346725962275998E-2</v>
      </c>
      <c r="KB25" s="912"/>
      <c r="KC25" s="912"/>
      <c r="KE25" s="912">
        <v>6.0069609961423E-2</v>
      </c>
      <c r="KF25" s="912">
        <v>0.24001715425772099</v>
      </c>
      <c r="KG25" s="912">
        <v>4.3224496587110001E-2</v>
      </c>
      <c r="KH25" s="912">
        <v>7.6779951994710993E-2</v>
      </c>
      <c r="KI25" s="912">
        <v>0.150063426623325</v>
      </c>
      <c r="KJ25" s="912">
        <v>8.9063905460756002E-2</v>
      </c>
      <c r="KK25" s="912"/>
      <c r="KL25" s="912"/>
      <c r="KM25" s="912"/>
      <c r="KN25" s="912">
        <v>7.3554422108396994E-2</v>
      </c>
      <c r="KO25" s="912">
        <v>0.34522627547275198</v>
      </c>
      <c r="KP25" s="912">
        <v>0.1356887072522</v>
      </c>
      <c r="KQ25" s="912">
        <v>0.15718655942576901</v>
      </c>
      <c r="KR25" s="912">
        <v>5.6191179332763998E-2</v>
      </c>
      <c r="KS25" s="912">
        <v>-7.4613799098739997E-3</v>
      </c>
      <c r="KT25" s="912"/>
      <c r="KU25" s="912"/>
      <c r="KX25" s="897" t="s">
        <v>1524</v>
      </c>
    </row>
    <row r="26" spans="2:310" s="897" customFormat="1">
      <c r="B26" s="897" t="s">
        <v>1513</v>
      </c>
      <c r="C26" s="897">
        <f t="shared" si="4"/>
        <v>15</v>
      </c>
      <c r="D26" s="897" t="s">
        <v>1519</v>
      </c>
      <c r="E26" s="899">
        <v>138.34</v>
      </c>
      <c r="F26" s="900">
        <v>32567.4556653</v>
      </c>
      <c r="G26" s="900">
        <v>38487.455665300004</v>
      </c>
      <c r="H26" s="900">
        <v>5662</v>
      </c>
      <c r="I26" s="900">
        <v>6592</v>
      </c>
      <c r="J26" s="901">
        <v>1.1725205195516799</v>
      </c>
      <c r="K26" s="901">
        <v>8.1145239892806895</v>
      </c>
      <c r="L26" s="902">
        <v>21.61843</v>
      </c>
      <c r="M26" s="899">
        <f t="shared" si="5"/>
        <v>28.001489872960867</v>
      </c>
      <c r="N26" s="1129">
        <f t="shared" si="3"/>
        <v>4.940451405537015</v>
      </c>
      <c r="O26" s="901"/>
      <c r="Q26" s="903">
        <v>44926</v>
      </c>
      <c r="R26" s="903">
        <v>45016</v>
      </c>
      <c r="S26" s="904"/>
      <c r="T26" s="902">
        <v>15146</v>
      </c>
      <c r="U26" s="905">
        <v>13834</v>
      </c>
      <c r="V26" s="905">
        <v>16802</v>
      </c>
      <c r="W26" s="905">
        <v>17652</v>
      </c>
      <c r="X26" s="905">
        <v>17724</v>
      </c>
      <c r="Y26" s="905">
        <v>18421.6021541667</v>
      </c>
      <c r="Z26" s="905">
        <v>18140.047549999999</v>
      </c>
      <c r="AA26" s="905">
        <v>18815.778600000001</v>
      </c>
      <c r="AB26" s="906"/>
      <c r="AC26" s="907">
        <v>15146</v>
      </c>
      <c r="AD26" s="906">
        <v>13834</v>
      </c>
      <c r="AE26" s="906">
        <v>16802</v>
      </c>
      <c r="AF26" s="906">
        <v>17652</v>
      </c>
      <c r="AG26" s="906">
        <v>17724</v>
      </c>
      <c r="AH26" s="906">
        <v>18149.625</v>
      </c>
      <c r="AI26" s="906">
        <v>18891.09893</v>
      </c>
      <c r="AJ26" s="906">
        <v>19731.7925</v>
      </c>
      <c r="AL26" s="906">
        <v>6527</v>
      </c>
      <c r="AM26" s="906">
        <v>6091</v>
      </c>
      <c r="AN26" s="906">
        <v>6557</v>
      </c>
      <c r="AO26" s="906">
        <v>6599</v>
      </c>
      <c r="AP26" s="906">
        <v>6730</v>
      </c>
      <c r="AQ26" s="906">
        <v>7076.6260416666701</v>
      </c>
      <c r="AR26" s="906">
        <v>6937.7250000000004</v>
      </c>
      <c r="AS26" s="906">
        <v>7271.0874999999996</v>
      </c>
      <c r="AT26" s="906"/>
      <c r="AU26" s="906">
        <v>6527</v>
      </c>
      <c r="AV26" s="906">
        <v>6065</v>
      </c>
      <c r="AW26" s="906">
        <v>6516</v>
      </c>
      <c r="AX26" s="906">
        <v>6556</v>
      </c>
      <c r="AY26" s="906">
        <v>6730</v>
      </c>
      <c r="AZ26" s="906">
        <v>6982</v>
      </c>
      <c r="BA26" s="906">
        <v>7271.0874999999996</v>
      </c>
      <c r="BB26" s="906">
        <v>7536.22</v>
      </c>
      <c r="BC26" s="907"/>
      <c r="BD26" s="906">
        <v>2398</v>
      </c>
      <c r="BE26" s="906">
        <v>2368</v>
      </c>
      <c r="BF26" s="906">
        <v>2370</v>
      </c>
      <c r="BG26" s="906">
        <v>2351</v>
      </c>
      <c r="BH26" s="906">
        <v>2351</v>
      </c>
      <c r="BI26" s="906">
        <v>2913.2272733333298</v>
      </c>
      <c r="BJ26" s="906">
        <v>2816.6217900000001</v>
      </c>
      <c r="BK26" s="906">
        <v>3048.4749499999998</v>
      </c>
      <c r="BL26" s="906"/>
      <c r="BM26" s="906">
        <v>2410</v>
      </c>
      <c r="BN26" s="906">
        <v>2285</v>
      </c>
      <c r="BO26" s="906">
        <v>2370</v>
      </c>
      <c r="BP26" s="906">
        <v>2338</v>
      </c>
      <c r="BQ26" s="906">
        <v>2351</v>
      </c>
      <c r="BR26" s="906">
        <v>2748.8797199999999</v>
      </c>
      <c r="BS26" s="906">
        <v>3108.6653999999999</v>
      </c>
      <c r="BT26" s="906">
        <v>3353.7489999999998</v>
      </c>
      <c r="BU26" s="907"/>
      <c r="BV26" s="906">
        <v>1887</v>
      </c>
      <c r="BW26" s="906">
        <v>1859</v>
      </c>
      <c r="BX26" s="906">
        <v>1809</v>
      </c>
      <c r="BY26" s="906">
        <v>1797</v>
      </c>
      <c r="BZ26" s="906">
        <v>1797</v>
      </c>
      <c r="CA26" s="906">
        <v>2372.91827416667</v>
      </c>
      <c r="CB26" s="906">
        <v>2264.35347</v>
      </c>
      <c r="CC26" s="906">
        <v>2524.9090000000001</v>
      </c>
      <c r="CD26" s="906"/>
      <c r="CE26" s="906">
        <v>1899</v>
      </c>
      <c r="CF26" s="906">
        <v>1776</v>
      </c>
      <c r="CG26" s="906">
        <v>1809</v>
      </c>
      <c r="CH26" s="906">
        <v>1784</v>
      </c>
      <c r="CI26" s="906">
        <v>1797</v>
      </c>
      <c r="CJ26" s="906">
        <v>2330.63609</v>
      </c>
      <c r="CK26" s="906">
        <v>2646.8632499999999</v>
      </c>
      <c r="CL26" s="906">
        <v>2791.86</v>
      </c>
      <c r="CM26" s="904"/>
      <c r="CN26" s="905">
        <v>13.866669999999999</v>
      </c>
      <c r="CO26" s="905">
        <v>11.133330000000001</v>
      </c>
      <c r="CP26" s="905">
        <v>10.93333</v>
      </c>
      <c r="CQ26" s="905">
        <v>8.8000000000000007</v>
      </c>
      <c r="CR26" s="905">
        <v>9.4458333333333293</v>
      </c>
      <c r="CS26" s="908">
        <v>11.0375</v>
      </c>
      <c r="CT26" s="905">
        <v>10.35</v>
      </c>
      <c r="CU26" s="905">
        <v>12</v>
      </c>
      <c r="CV26" s="904"/>
      <c r="CW26" s="909">
        <v>2.3345428460000002</v>
      </c>
      <c r="CX26" s="909">
        <v>2.7532090400000002</v>
      </c>
      <c r="CY26" s="909">
        <v>2.7564461524000001</v>
      </c>
      <c r="CZ26" s="909">
        <v>2.0018805777000002</v>
      </c>
      <c r="DA26" s="909">
        <v>2.1714881327747699</v>
      </c>
      <c r="DB26" s="910">
        <v>2.0892566967414798</v>
      </c>
      <c r="DC26" s="909">
        <v>2.1216843869463902</v>
      </c>
      <c r="DD26" s="909">
        <v>2.04548833633172</v>
      </c>
      <c r="DE26" s="904"/>
      <c r="DF26" s="909">
        <v>2.3345428456556201</v>
      </c>
      <c r="DG26" s="909">
        <v>2.7532090400028899</v>
      </c>
      <c r="DH26" s="909">
        <v>2.7564461524342301</v>
      </c>
      <c r="DI26" s="909">
        <v>2.0018805777362298</v>
      </c>
      <c r="DJ26" s="909">
        <v>2.1714881327747699</v>
      </c>
      <c r="DK26" s="909">
        <v>2.1216843869463902</v>
      </c>
      <c r="DL26" s="909">
        <v>2.04548833633172</v>
      </c>
      <c r="DM26" s="909">
        <v>1.9737172794214799</v>
      </c>
      <c r="DO26" s="904">
        <v>5.4173411889535803</v>
      </c>
      <c r="DP26" s="904">
        <v>6.2531429747824703</v>
      </c>
      <c r="DQ26" s="904">
        <v>7.0632618961720297</v>
      </c>
      <c r="DR26" s="904">
        <v>5.35493195305349</v>
      </c>
      <c r="DS26" s="904">
        <v>5.1118073180572097</v>
      </c>
      <c r="DT26" s="904">
        <v>5.4386730962875003</v>
      </c>
      <c r="DU26" s="904">
        <v>5.5475614362489196</v>
      </c>
      <c r="DV26" s="904">
        <v>5.2932186093620901</v>
      </c>
      <c r="DW26" s="904"/>
      <c r="DX26" s="904">
        <v>5.4173411889535803</v>
      </c>
      <c r="DY26" s="904">
        <v>6.2799495233965397</v>
      </c>
      <c r="DZ26" s="904">
        <v>7.1077053795580101</v>
      </c>
      <c r="EA26" s="904">
        <v>5.3900542950274604</v>
      </c>
      <c r="EB26" s="904">
        <v>5.1118073180572097</v>
      </c>
      <c r="EC26" s="904">
        <v>5.5123826504296796</v>
      </c>
      <c r="ED26" s="904">
        <v>5.2932186093620901</v>
      </c>
      <c r="EE26" s="904">
        <v>5.1069973627760401</v>
      </c>
      <c r="EG26" s="904">
        <v>14.745198474</v>
      </c>
      <c r="EH26" s="904">
        <v>16.084414636599998</v>
      </c>
      <c r="EI26" s="904">
        <v>19.541691246100001</v>
      </c>
      <c r="EJ26" s="904">
        <v>15.0307086168</v>
      </c>
      <c r="EK26" s="904">
        <v>15.5128801553003</v>
      </c>
      <c r="EL26" s="911">
        <v>13.211278096151601</v>
      </c>
      <c r="EM26" s="911">
        <v>13.664403152011401</v>
      </c>
      <c r="EN26" s="904">
        <v>12.625150705371601</v>
      </c>
      <c r="EO26" s="904"/>
      <c r="EP26" s="904">
        <v>14.671778398464699</v>
      </c>
      <c r="EQ26" s="904">
        <v>16.668662520525199</v>
      </c>
      <c r="ER26" s="904">
        <v>19.541691246075899</v>
      </c>
      <c r="ES26" s="904">
        <v>15.114283985543199</v>
      </c>
      <c r="ET26" s="904">
        <v>15.5128801553003</v>
      </c>
      <c r="EU26" s="904">
        <v>13.664403152011401</v>
      </c>
      <c r="EV26" s="904">
        <v>12.625150705371601</v>
      </c>
      <c r="EW26" s="904">
        <v>11.800760204176999</v>
      </c>
      <c r="EY26" s="904">
        <v>18.738201346</v>
      </c>
      <c r="EZ26" s="904">
        <v>20.488377546700001</v>
      </c>
      <c r="FA26" s="904">
        <v>25.601884053700001</v>
      </c>
      <c r="FB26" s="904">
        <v>19.664549782000002</v>
      </c>
      <c r="FC26" s="904">
        <v>19.849126181175901</v>
      </c>
      <c r="FD26" s="904">
        <v>16.219461110103399</v>
      </c>
      <c r="FE26" s="904">
        <v>16.997105873801601</v>
      </c>
      <c r="FF26" s="904">
        <v>15.243106054634101</v>
      </c>
      <c r="FG26" s="904"/>
      <c r="FH26" s="904">
        <v>18.619792490942601</v>
      </c>
      <c r="FI26" s="904">
        <v>21.445886182094601</v>
      </c>
      <c r="FJ26" s="904">
        <v>25.6018840537313</v>
      </c>
      <c r="FK26" s="904">
        <v>19.807845268049299</v>
      </c>
      <c r="FL26" s="904">
        <v>19.849126181175901</v>
      </c>
      <c r="FM26" s="904">
        <v>16.997105873801601</v>
      </c>
      <c r="FN26" s="904">
        <v>15.243106054634101</v>
      </c>
      <c r="FO26" s="904">
        <v>14.274522414467899</v>
      </c>
      <c r="FQ26" s="904">
        <v>25.581127953999999</v>
      </c>
      <c r="FR26" s="904">
        <v>32.490470483300001</v>
      </c>
      <c r="FS26" s="904">
        <v>29.0719042401</v>
      </c>
      <c r="FT26" s="904">
        <v>29.025385093000001</v>
      </c>
      <c r="FU26" s="904">
        <v>25.738201153884098</v>
      </c>
      <c r="FV26" s="904">
        <v>18.107487848934099</v>
      </c>
      <c r="FW26" s="904">
        <v>19.088356433731001</v>
      </c>
      <c r="FX26" s="904">
        <v>16.892259037431799</v>
      </c>
      <c r="FY26" s="904"/>
      <c r="FZ26" s="904">
        <v>26.517155453325699</v>
      </c>
      <c r="GA26" s="904">
        <v>31.176265113186901</v>
      </c>
      <c r="GB26" s="904">
        <v>23.3282856728509</v>
      </c>
      <c r="GC26" s="904">
        <v>31.904466486933998</v>
      </c>
      <c r="GD26" s="904">
        <v>25.738201153884098</v>
      </c>
      <c r="GE26" s="904">
        <v>19.163425202522198</v>
      </c>
      <c r="GF26" s="904">
        <v>16.6031377217912</v>
      </c>
      <c r="GG26" s="904">
        <v>14.794661772899699</v>
      </c>
      <c r="GH26" s="904"/>
      <c r="GI26" s="904"/>
      <c r="GJ26" s="912">
        <v>0.43093890000000001</v>
      </c>
      <c r="GK26" s="912">
        <v>0.44029200000000002</v>
      </c>
      <c r="GL26" s="912">
        <v>0.39025120000000002</v>
      </c>
      <c r="GM26" s="912">
        <v>0.37383870000000002</v>
      </c>
      <c r="GN26" s="912">
        <v>0.37986212499999999</v>
      </c>
      <c r="GO26" s="912">
        <v>0.38830832500000001</v>
      </c>
      <c r="GP26" s="912">
        <v>0.38580769999999998</v>
      </c>
      <c r="GQ26" s="912">
        <v>0.39180920000000002</v>
      </c>
      <c r="GR26" s="904"/>
      <c r="GS26" s="912">
        <v>0.43093886174567497</v>
      </c>
      <c r="GT26" s="912">
        <v>0.438412606621368</v>
      </c>
      <c r="GU26" s="912">
        <v>0.38781097488394201</v>
      </c>
      <c r="GV26" s="912">
        <v>0.37140267391796999</v>
      </c>
      <c r="GW26" s="912">
        <v>0.37986212499999999</v>
      </c>
      <c r="GX26" s="912">
        <v>0.384691143756414</v>
      </c>
      <c r="GY26" s="912">
        <v>0.38489489293040302</v>
      </c>
      <c r="GZ26" s="912">
        <v>0.381932862916534</v>
      </c>
      <c r="HB26" s="912">
        <v>0.15832563053000001</v>
      </c>
      <c r="HC26" s="912">
        <v>0.17117247361599999</v>
      </c>
      <c r="HD26" s="912">
        <v>0.141054636353</v>
      </c>
      <c r="HE26" s="912">
        <v>0.13318604124200001</v>
      </c>
      <c r="HF26" s="912">
        <v>0.13987425602600001</v>
      </c>
      <c r="HG26" s="912">
        <v>0.15814190584255999</v>
      </c>
      <c r="HH26" s="912">
        <v>0.15527091548335001</v>
      </c>
      <c r="HI26" s="912">
        <v>0.16201694411944201</v>
      </c>
      <c r="HJ26" s="904"/>
      <c r="HK26" s="912">
        <v>0.159117918922488</v>
      </c>
      <c r="HL26" s="912">
        <v>0.16517276275842099</v>
      </c>
      <c r="HM26" s="912">
        <v>0.14105463635281501</v>
      </c>
      <c r="HN26" s="912">
        <v>0.13244958078404701</v>
      </c>
      <c r="HO26" s="912">
        <v>0.13987425602600001</v>
      </c>
      <c r="HP26" s="912">
        <v>0.15145655736688801</v>
      </c>
      <c r="HQ26" s="912">
        <v>0.16455714998470999</v>
      </c>
      <c r="HR26" s="912">
        <v>0.16996676809772901</v>
      </c>
      <c r="HT26" s="912">
        <v>0.1245873498</v>
      </c>
      <c r="HU26" s="912">
        <v>0.13437906606899999</v>
      </c>
      <c r="HV26" s="912">
        <v>0.10766575407700001</v>
      </c>
      <c r="HW26" s="912">
        <v>0.101801495581</v>
      </c>
      <c r="HX26" s="912">
        <v>0.1092697854445</v>
      </c>
      <c r="HY26" s="912">
        <v>0.12881172084318099</v>
      </c>
      <c r="HZ26" s="912">
        <v>0.124826214692034</v>
      </c>
      <c r="IA26" s="912">
        <v>0.13419104538145399</v>
      </c>
      <c r="IB26" s="904"/>
      <c r="IC26" s="912">
        <v>0.124587349795326</v>
      </c>
      <c r="ID26" s="912">
        <v>0.13437906606910499</v>
      </c>
      <c r="IE26" s="912">
        <v>0.10766575407689601</v>
      </c>
      <c r="IF26" s="912">
        <v>0.10180149558123699</v>
      </c>
      <c r="IG26" s="912">
        <v>0.1092697854445</v>
      </c>
      <c r="IH26" s="912">
        <v>0.12476034463522</v>
      </c>
      <c r="II26" s="912">
        <v>0.133656014896535</v>
      </c>
      <c r="IJ26" s="912">
        <v>0.13664415992616999</v>
      </c>
      <c r="IL26" s="912">
        <v>8.5208800000000001E-2</v>
      </c>
      <c r="IM26" s="912">
        <v>8.2067899999999999E-2</v>
      </c>
      <c r="IN26" s="912">
        <v>7.6333700000000004E-2</v>
      </c>
      <c r="IO26" s="912">
        <v>8.4513699999999997E-2</v>
      </c>
      <c r="IP26" s="912">
        <v>7.1303674999999997E-2</v>
      </c>
      <c r="IQ26" s="912">
        <v>9.6890652075899003E-2</v>
      </c>
      <c r="IR26" s="912">
        <v>7.9335662254839998E-2</v>
      </c>
      <c r="IS26" s="912">
        <v>9.3419792055616999E-2</v>
      </c>
      <c r="IT26" s="904"/>
      <c r="IU26" s="912">
        <v>8.3784497557110996E-2</v>
      </c>
      <c r="IV26" s="912">
        <v>7.7417955761168E-2</v>
      </c>
      <c r="IW26" s="912">
        <v>8.5763599571479998E-2</v>
      </c>
      <c r="IX26" s="912">
        <v>5.9823249490142998E-2</v>
      </c>
      <c r="IY26" s="912">
        <v>7.1303674999999997E-2</v>
      </c>
      <c r="IZ26" s="912">
        <v>9.4170399663905002E-2</v>
      </c>
      <c r="JA26" s="912">
        <v>0.10348630417129499</v>
      </c>
      <c r="JB26" s="912">
        <v>0.108330249266507</v>
      </c>
      <c r="JD26" s="912">
        <v>1.7246402806020002E-2</v>
      </c>
      <c r="JE26" s="912">
        <v>3.5881788936627003E-2</v>
      </c>
      <c r="JF26" s="912">
        <v>3.8862752212546002E-2</v>
      </c>
      <c r="JG26" s="912">
        <v>5.9582736249036997E-2</v>
      </c>
      <c r="JH26" s="912">
        <v>5.0589215569574998E-2</v>
      </c>
      <c r="JI26" s="912">
        <v>2.8730628591329001E-2</v>
      </c>
      <c r="JJ26" s="912"/>
      <c r="JK26" s="912"/>
      <c r="JM26" s="912">
        <v>1.394584734375E-2</v>
      </c>
      <c r="JN26" s="912">
        <v>4.0946998768709997E-3</v>
      </c>
      <c r="JO26" s="912">
        <v>1.5316383221672E-2</v>
      </c>
      <c r="JP26" s="912">
        <v>1.4580499538385E-2</v>
      </c>
      <c r="JQ26" s="912">
        <v>6.4053683086779997E-3</v>
      </c>
      <c r="JR26" s="912">
        <v>3.9061293808862002E-2</v>
      </c>
      <c r="JS26" s="912"/>
      <c r="JT26" s="912"/>
      <c r="JU26" s="912"/>
      <c r="JV26" s="912">
        <v>1.2080837785781E-2</v>
      </c>
      <c r="JW26" s="912">
        <v>-1.2960918869486001E-2</v>
      </c>
      <c r="JX26" s="912">
        <v>1.4518494097569E-2</v>
      </c>
      <c r="JY26" s="912">
        <v>2.0859730591619999E-2</v>
      </c>
      <c r="JZ26" s="912">
        <v>-8.0168776371309994E-3</v>
      </c>
      <c r="KA26" s="912">
        <v>0.12262443438914</v>
      </c>
      <c r="KB26" s="912"/>
      <c r="KC26" s="912"/>
      <c r="KE26" s="912">
        <v>1.1168854295168999E-2</v>
      </c>
      <c r="KF26" s="912">
        <v>-2.3908868736331999E-2</v>
      </c>
      <c r="KG26" s="912">
        <v>1.1815947527268E-2</v>
      </c>
      <c r="KH26" s="912">
        <v>2.3213853244722998E-2</v>
      </c>
      <c r="KI26" s="912">
        <v>5.0589215569574998E-2</v>
      </c>
      <c r="KJ26" s="912">
        <v>-1.2152350123827E-2</v>
      </c>
      <c r="KK26" s="912"/>
      <c r="KL26" s="912"/>
      <c r="KM26" s="912"/>
      <c r="KN26" s="912">
        <v>6.9411943960457995E-2</v>
      </c>
      <c r="KO26" s="912">
        <v>0.171688250823577</v>
      </c>
      <c r="KP26" s="912">
        <v>1.539894863528E-3</v>
      </c>
      <c r="KQ26" s="912">
        <v>2.9331187023503999E-2</v>
      </c>
      <c r="KR26" s="912">
        <v>-0.26965017280620401</v>
      </c>
      <c r="KS26" s="912">
        <v>0.21490601520754399</v>
      </c>
      <c r="KT26" s="912"/>
      <c r="KU26" s="912"/>
      <c r="KX26" s="897" t="s">
        <v>1525</v>
      </c>
    </row>
    <row r="27" spans="2:310" s="897" customFormat="1">
      <c r="B27" s="897" t="s">
        <v>1514</v>
      </c>
      <c r="C27" s="897">
        <f t="shared" si="4"/>
        <v>16</v>
      </c>
      <c r="D27" s="897" t="s">
        <v>1520</v>
      </c>
      <c r="E27" s="899">
        <v>119.10554719985799</v>
      </c>
      <c r="F27" s="900">
        <v>12542.087841877799</v>
      </c>
      <c r="G27" s="900">
        <v>14918.484034327201</v>
      </c>
      <c r="H27" s="900">
        <v>2168.23630136986</v>
      </c>
      <c r="I27" s="900">
        <v>11347.3886986301</v>
      </c>
      <c r="J27" s="901">
        <v>1.34378166488004</v>
      </c>
      <c r="K27" s="901">
        <v>7.1321322447342599</v>
      </c>
      <c r="L27" s="902">
        <v>18.071650000000002</v>
      </c>
      <c r="M27" s="899">
        <f t="shared" si="5"/>
        <v>107.76012393463438</v>
      </c>
      <c r="N27" s="1129">
        <f t="shared" si="3"/>
        <v>1.1052840591767097</v>
      </c>
      <c r="O27" s="901"/>
      <c r="Q27" s="903">
        <v>44926</v>
      </c>
      <c r="R27" s="903">
        <v>44926</v>
      </c>
      <c r="S27" s="904"/>
      <c r="T27" s="902">
        <v>12585.4763132525</v>
      </c>
      <c r="U27" s="905">
        <v>11863.7029799707</v>
      </c>
      <c r="V27" s="905">
        <v>12998.203851488101</v>
      </c>
      <c r="W27" s="905">
        <v>17199.272260274</v>
      </c>
      <c r="X27" s="905">
        <v>16846.7409633069</v>
      </c>
      <c r="Y27" s="905">
        <v>14948.0152981881</v>
      </c>
      <c r="Z27" s="905">
        <v>14852.996022944601</v>
      </c>
      <c r="AA27" s="905">
        <v>15081.042283529099</v>
      </c>
      <c r="AB27" s="906"/>
      <c r="AC27" s="907">
        <v>12545.2321906123</v>
      </c>
      <c r="AD27" s="906">
        <v>11203.5144577294</v>
      </c>
      <c r="AE27" s="906">
        <v>13285.065921706</v>
      </c>
      <c r="AF27" s="906">
        <v>16846.7409633069</v>
      </c>
      <c r="AG27" s="906">
        <v>16846.7409633069</v>
      </c>
      <c r="AH27" s="906">
        <v>14353.646983274601</v>
      </c>
      <c r="AI27" s="906">
        <v>15081.042283529099</v>
      </c>
      <c r="AJ27" s="906">
        <v>15660.570029501099</v>
      </c>
      <c r="AL27" s="906">
        <v>3343.9454745196499</v>
      </c>
      <c r="AM27" s="906">
        <v>3061.79775280899</v>
      </c>
      <c r="AN27" s="906">
        <v>3326.2851556283099</v>
      </c>
      <c r="AO27" s="906">
        <v>4311.8578767123299</v>
      </c>
      <c r="AP27" s="906">
        <v>4219.9080949346298</v>
      </c>
      <c r="AQ27" s="906">
        <v>4206.5901848310996</v>
      </c>
      <c r="AR27" s="906">
        <v>4185.6760447964998</v>
      </c>
      <c r="AS27" s="906">
        <v>4235.86998087954</v>
      </c>
      <c r="AT27" s="906"/>
      <c r="AU27" s="906">
        <v>3332.4487606715002</v>
      </c>
      <c r="AV27" s="906">
        <v>2890.46803410245</v>
      </c>
      <c r="AW27" s="906">
        <v>3406.2836148858501</v>
      </c>
      <c r="AX27" s="906">
        <v>4219.9080949346298</v>
      </c>
      <c r="AY27" s="906">
        <v>4219.9080949346298</v>
      </c>
      <c r="AZ27" s="906">
        <v>4185.6760447964998</v>
      </c>
      <c r="BA27" s="906">
        <v>4235.86998087954</v>
      </c>
      <c r="BB27" s="906">
        <v>4613.7394154602598</v>
      </c>
      <c r="BC27" s="907"/>
      <c r="BD27" s="906">
        <v>2503.19485236419</v>
      </c>
      <c r="BE27" s="906">
        <v>2291.15779189057</v>
      </c>
      <c r="BF27" s="906">
        <v>2491.8718595821101</v>
      </c>
      <c r="BG27" s="906">
        <v>3303.7243150684899</v>
      </c>
      <c r="BH27" s="906">
        <v>3303.7243150684899</v>
      </c>
      <c r="BI27" s="906">
        <v>3052.6743397770501</v>
      </c>
      <c r="BJ27" s="906">
        <v>3083.73122179952</v>
      </c>
      <c r="BK27" s="906">
        <v>3009.1947049455898</v>
      </c>
      <c r="BL27" s="906"/>
      <c r="BM27" s="906">
        <v>3447.0226142699298</v>
      </c>
      <c r="BN27" s="906">
        <v>3712.48749933814</v>
      </c>
      <c r="BO27" s="906">
        <v>2488.9124059701298</v>
      </c>
      <c r="BP27" s="906">
        <v>3544.8646412002199</v>
      </c>
      <c r="BQ27" s="906">
        <v>3303.7243150684899</v>
      </c>
      <c r="BR27" s="906">
        <v>3122.2771727811801</v>
      </c>
      <c r="BS27" s="906">
        <v>3009.1947049455898</v>
      </c>
      <c r="BT27" s="906">
        <v>3366.43808795411</v>
      </c>
      <c r="BU27" s="907"/>
      <c r="BV27" s="906">
        <v>1345.2009954487401</v>
      </c>
      <c r="BW27" s="906">
        <v>1046.6536394724001</v>
      </c>
      <c r="BX27" s="906">
        <v>1461.92847236432</v>
      </c>
      <c r="BY27" s="906">
        <v>2284.88869863014</v>
      </c>
      <c r="BZ27" s="906">
        <v>2284.88869863014</v>
      </c>
      <c r="CA27" s="906">
        <v>2091.0051610327801</v>
      </c>
      <c r="CB27" s="906">
        <v>2059.83652913691</v>
      </c>
      <c r="CC27" s="906">
        <v>2134.6412456869898</v>
      </c>
      <c r="CD27" s="906"/>
      <c r="CE27" s="906">
        <v>1339.97943404852</v>
      </c>
      <c r="CF27" s="906">
        <v>974.69683476668104</v>
      </c>
      <c r="CG27" s="906">
        <v>1499.8441062847401</v>
      </c>
      <c r="CH27" s="906">
        <v>2546.3967492599299</v>
      </c>
      <c r="CI27" s="906">
        <v>2284.88869863014</v>
      </c>
      <c r="CJ27" s="906">
        <v>2433.8756395165301</v>
      </c>
      <c r="CK27" s="906">
        <v>2134.6412456869898</v>
      </c>
      <c r="CL27" s="906">
        <v>2332.9174002477198</v>
      </c>
      <c r="CM27" s="904"/>
      <c r="CN27" s="905">
        <v>9.9499999999999993</v>
      </c>
      <c r="CO27" s="905">
        <v>8.4499999999999993</v>
      </c>
      <c r="CP27" s="905">
        <v>10.65</v>
      </c>
      <c r="CQ27" s="905">
        <v>15.8</v>
      </c>
      <c r="CR27" s="905">
        <v>14.445833333333301</v>
      </c>
      <c r="CS27" s="908">
        <v>12.966666666666701</v>
      </c>
      <c r="CT27" s="905">
        <v>12.55</v>
      </c>
      <c r="CU27" s="905">
        <v>13.55</v>
      </c>
      <c r="CV27" s="904"/>
      <c r="CW27" s="909">
        <v>1.291290652</v>
      </c>
      <c r="CX27" s="909">
        <v>1.2979179674000001</v>
      </c>
      <c r="CY27" s="909">
        <v>1.1464907553000001</v>
      </c>
      <c r="CZ27" s="909">
        <v>0.73977895739999999</v>
      </c>
      <c r="DA27" s="909">
        <v>0.83934109029367998</v>
      </c>
      <c r="DB27" s="910">
        <v>0.99802440235229894</v>
      </c>
      <c r="DC27" s="909">
        <v>1.00440907755456</v>
      </c>
      <c r="DD27" s="909">
        <v>0.98922102026201297</v>
      </c>
      <c r="DE27" s="904"/>
      <c r="DF27" s="909">
        <v>1.2914056783360099</v>
      </c>
      <c r="DG27" s="909">
        <v>1.29791796738728</v>
      </c>
      <c r="DH27" s="909">
        <v>1.14639049374727</v>
      </c>
      <c r="DI27" s="909">
        <v>0.73973292829766102</v>
      </c>
      <c r="DJ27" s="909">
        <v>0.83934109029367998</v>
      </c>
      <c r="DK27" s="909">
        <v>1.00440907755456</v>
      </c>
      <c r="DL27" s="909">
        <v>0.98922102026201297</v>
      </c>
      <c r="DM27" s="909">
        <v>0.95261436883995998</v>
      </c>
      <c r="DO27" s="904">
        <v>4.8599799346295702</v>
      </c>
      <c r="DP27" s="904">
        <v>5.0291085501396102</v>
      </c>
      <c r="DQ27" s="904">
        <v>4.4801692740943304</v>
      </c>
      <c r="DR27" s="904">
        <v>2.9508532200545998</v>
      </c>
      <c r="DS27" s="904">
        <v>2.8233075100207099</v>
      </c>
      <c r="DT27" s="904">
        <v>3.5464552948663801</v>
      </c>
      <c r="DU27" s="904">
        <v>3.5641755058596498</v>
      </c>
      <c r="DV27" s="904">
        <v>3.5219409711979699</v>
      </c>
      <c r="DW27" s="904"/>
      <c r="DX27" s="904">
        <v>4.8767465235943002</v>
      </c>
      <c r="DY27" s="904">
        <v>5.3272041329567497</v>
      </c>
      <c r="DZ27" s="904">
        <v>4.3749500147307696</v>
      </c>
      <c r="EA27" s="904">
        <v>3.01515090226426</v>
      </c>
      <c r="EB27" s="904">
        <v>2.8233075100207099</v>
      </c>
      <c r="EC27" s="904">
        <v>3.5641755058596498</v>
      </c>
      <c r="ED27" s="904">
        <v>3.5219409711979699</v>
      </c>
      <c r="EE27" s="904">
        <v>3.2334908175213801</v>
      </c>
      <c r="EG27" s="904">
        <v>6.4923063790000004</v>
      </c>
      <c r="EH27" s="904">
        <v>6.7206690485999996</v>
      </c>
      <c r="EI27" s="904">
        <v>5.9803719415999996</v>
      </c>
      <c r="EJ27" s="904">
        <v>3.8513079442000002</v>
      </c>
      <c r="EK27" s="904">
        <v>3.98166765147581</v>
      </c>
      <c r="EL27" s="911">
        <v>4.8870211407538404</v>
      </c>
      <c r="EM27" s="911">
        <v>4.8378029605386503</v>
      </c>
      <c r="EN27" s="904">
        <v>4.9576333528065799</v>
      </c>
      <c r="EO27" s="904"/>
      <c r="EP27" s="904">
        <v>4.71465079497393</v>
      </c>
      <c r="EQ27" s="904">
        <v>4.14765390057073</v>
      </c>
      <c r="ER27" s="904">
        <v>5.9874829324551504</v>
      </c>
      <c r="ES27" s="904">
        <v>3.58932173376482</v>
      </c>
      <c r="ET27" s="904">
        <v>3.98166765147581</v>
      </c>
      <c r="EU27" s="904">
        <v>4.8378029605386503</v>
      </c>
      <c r="EV27" s="904">
        <v>4.9576333528065799</v>
      </c>
      <c r="EW27" s="904">
        <v>4.4315337589926198</v>
      </c>
      <c r="EY27" s="904">
        <v>12.081100121</v>
      </c>
      <c r="EZ27" s="904">
        <v>14.7117562838</v>
      </c>
      <c r="FA27" s="904">
        <v>10.193604429200001</v>
      </c>
      <c r="FB27" s="904">
        <v>5.5686124700999997</v>
      </c>
      <c r="FC27" s="904">
        <v>5.5354493242511396</v>
      </c>
      <c r="FD27" s="904">
        <v>7.1345993364065903</v>
      </c>
      <c r="FE27" s="904">
        <v>7.2425572725318004</v>
      </c>
      <c r="FF27" s="904">
        <v>6.9887546979942403</v>
      </c>
      <c r="FG27" s="904"/>
      <c r="FH27" s="904">
        <v>12.1281771165396</v>
      </c>
      <c r="FI27" s="904">
        <v>15.797848836901</v>
      </c>
      <c r="FJ27" s="904">
        <v>9.9359129983425305</v>
      </c>
      <c r="FK27" s="904">
        <v>4.9967310489272103</v>
      </c>
      <c r="FL27" s="904">
        <v>5.5354493242511396</v>
      </c>
      <c r="FM27" s="904">
        <v>7.2425572725318004</v>
      </c>
      <c r="FN27" s="904">
        <v>6.9887546979942403</v>
      </c>
      <c r="FO27" s="904">
        <v>6.39477592851898</v>
      </c>
      <c r="FQ27" s="904"/>
      <c r="FR27" s="904"/>
      <c r="FS27" s="904">
        <v>12.2202027932</v>
      </c>
      <c r="FT27" s="904">
        <v>5.3962403412000004</v>
      </c>
      <c r="FU27" s="904">
        <v>6.1475585288098999</v>
      </c>
      <c r="FV27" s="904">
        <v>8.4279378706297194</v>
      </c>
      <c r="FW27" s="904">
        <v>8.4184624620211697</v>
      </c>
      <c r="FX27" s="904">
        <v>8.4412393338239795</v>
      </c>
      <c r="FY27" s="904"/>
      <c r="FZ27" s="904">
        <v>-49.7444099671796</v>
      </c>
      <c r="GA27" s="904">
        <v>-8.8518793107313591</v>
      </c>
      <c r="GB27" s="904">
        <v>12.302780298213801</v>
      </c>
      <c r="GC27" s="904">
        <v>6.5003191084372096</v>
      </c>
      <c r="GD27" s="904">
        <v>6.1475585288098999</v>
      </c>
      <c r="GE27" s="904">
        <v>9.5294824064747701</v>
      </c>
      <c r="GF27" s="904">
        <v>8.4412393338239795</v>
      </c>
      <c r="GG27" s="904">
        <v>7.7027284504513203</v>
      </c>
      <c r="GH27" s="904"/>
      <c r="GI27" s="904"/>
      <c r="GJ27" s="912">
        <v>0.26569880000000001</v>
      </c>
      <c r="GK27" s="912">
        <v>0.25808110000000001</v>
      </c>
      <c r="GL27" s="912">
        <v>0.2559034</v>
      </c>
      <c r="GM27" s="912">
        <v>0.25069999999999998</v>
      </c>
      <c r="GN27" s="912">
        <v>0.25035502500000001</v>
      </c>
      <c r="GO27" s="912">
        <v>0.274318333333333</v>
      </c>
      <c r="GP27" s="912">
        <v>0.27406000000000003</v>
      </c>
      <c r="GQ27" s="912">
        <v>0.27467999999999998</v>
      </c>
      <c r="GR27" s="904"/>
      <c r="GS27" s="912">
        <v>0.26563468176900001</v>
      </c>
      <c r="GT27" s="912">
        <v>0.25799654608454398</v>
      </c>
      <c r="GU27" s="912">
        <v>0.25639945145627402</v>
      </c>
      <c r="GV27" s="912">
        <v>0.25048809761637703</v>
      </c>
      <c r="GW27" s="912">
        <v>0.25035502500000001</v>
      </c>
      <c r="GX27" s="912">
        <v>0.29249398740217603</v>
      </c>
      <c r="GY27" s="912">
        <v>0.28087382166587999</v>
      </c>
      <c r="GZ27" s="912">
        <v>0.29571363974684101</v>
      </c>
      <c r="HB27" s="912">
        <v>0.19889551973</v>
      </c>
      <c r="HC27" s="912">
        <v>0.19312332715700001</v>
      </c>
      <c r="HD27" s="912">
        <v>0.19170893825400001</v>
      </c>
      <c r="HE27" s="912">
        <v>0.19208512226999999</v>
      </c>
      <c r="HF27" s="912">
        <v>0.20999161078375</v>
      </c>
      <c r="HG27" s="912">
        <v>0.20421937487226599</v>
      </c>
      <c r="HH27" s="912">
        <v>0.207616780953543</v>
      </c>
      <c r="HI27" s="912">
        <v>0.19953492924239799</v>
      </c>
      <c r="HJ27" s="904"/>
      <c r="HK27" s="912">
        <v>0.27659005879208998</v>
      </c>
      <c r="HL27" s="912">
        <v>0.33570105003088302</v>
      </c>
      <c r="HM27" s="912">
        <v>0.186882378662003</v>
      </c>
      <c r="HN27" s="912">
        <v>0.21080139372822301</v>
      </c>
      <c r="HO27" s="912">
        <v>0.20999161078375</v>
      </c>
      <c r="HP27" s="912">
        <v>0.21747152739072301</v>
      </c>
      <c r="HQ27" s="912">
        <v>0.19713462378382501</v>
      </c>
      <c r="HR27" s="912">
        <v>0.21576893931968999</v>
      </c>
      <c r="HT27" s="912">
        <v>0.10688518749000001</v>
      </c>
      <c r="HU27" s="912">
        <v>8.8223183035E-2</v>
      </c>
      <c r="HV27" s="912">
        <v>0.112471576001</v>
      </c>
      <c r="HW27" s="912">
        <v>0.13284798705699999</v>
      </c>
      <c r="HX27" s="912">
        <v>0.15067668405500001</v>
      </c>
      <c r="HY27" s="912">
        <v>0.139885136542925</v>
      </c>
      <c r="HZ27" s="912">
        <v>0.13868155124763601</v>
      </c>
      <c r="IA27" s="912">
        <v>0.14154467612748201</v>
      </c>
      <c r="IB27" s="904"/>
      <c r="IC27" s="912">
        <v>0.106894708711919</v>
      </c>
      <c r="ID27" s="912">
        <v>8.8223183034794997E-2</v>
      </c>
      <c r="IE27" s="912">
        <v>0.112461740271098</v>
      </c>
      <c r="IF27" s="912">
        <v>0.132839721254355</v>
      </c>
      <c r="IG27" s="912">
        <v>0.15067668405500001</v>
      </c>
      <c r="IH27" s="912">
        <v>0.14271258331742701</v>
      </c>
      <c r="II27" s="912">
        <v>0.13984196442667499</v>
      </c>
      <c r="IJ27" s="912">
        <v>0.147727597272371</v>
      </c>
      <c r="IL27" s="912">
        <v>5.0004399999999997E-2</v>
      </c>
      <c r="IM27" s="912">
        <v>-2.0753500000000001E-2</v>
      </c>
      <c r="IN27" s="912">
        <v>-0.1280626</v>
      </c>
      <c r="IO27" s="912">
        <v>7.5913900000000006E-2</v>
      </c>
      <c r="IP27" s="912">
        <v>0.112930775</v>
      </c>
      <c r="IQ27" s="912">
        <v>9.5544472083135004E-2</v>
      </c>
      <c r="IR27" s="912">
        <v>0.125149964639485</v>
      </c>
      <c r="IS27" s="912">
        <v>9.5228774109204994E-2</v>
      </c>
      <c r="IT27" s="904"/>
      <c r="IU27" s="912">
        <v>-7.1263139141280003E-3</v>
      </c>
      <c r="IV27" s="912">
        <v>-0.11231212682725999</v>
      </c>
      <c r="IW27" s="912">
        <v>8.6139046786183004E-2</v>
      </c>
      <c r="IX27" s="912">
        <v>0.120271279243405</v>
      </c>
      <c r="IY27" s="912">
        <v>0.112930775</v>
      </c>
      <c r="IZ27" s="912">
        <v>9.7273321626264994E-2</v>
      </c>
      <c r="JA27" s="912">
        <v>9.5979765939375003E-2</v>
      </c>
      <c r="JB27" s="912">
        <v>0.105057531368817</v>
      </c>
      <c r="JD27" s="912">
        <v>4.1472760247027E-2</v>
      </c>
      <c r="JE27" s="912">
        <v>6.3180979993265995E-2</v>
      </c>
      <c r="JF27" s="912">
        <v>6.0920598306046E-2</v>
      </c>
      <c r="JG27" s="912">
        <v>0.103263028607421</v>
      </c>
      <c r="JH27" s="912">
        <v>0.40554486618856</v>
      </c>
      <c r="JI27" s="912">
        <v>0.40550940096195898</v>
      </c>
      <c r="JJ27" s="912"/>
      <c r="JK27" s="912"/>
      <c r="JM27" s="912">
        <v>5.6177265024892002E-2</v>
      </c>
      <c r="JN27" s="912">
        <v>4.2506235501983999E-2</v>
      </c>
      <c r="JO27" s="912">
        <v>4.2517649167621997E-2</v>
      </c>
      <c r="JP27" s="912">
        <v>8.1881855937233003E-2</v>
      </c>
      <c r="JQ27" s="912">
        <v>0.376965140123035</v>
      </c>
      <c r="JR27" s="912">
        <v>0.37649470447557198</v>
      </c>
      <c r="JS27" s="912"/>
      <c r="JT27" s="912"/>
      <c r="JU27" s="912"/>
      <c r="JV27" s="912">
        <v>0.100687515126168</v>
      </c>
      <c r="JW27" s="912">
        <v>9.2910852043954995E-2</v>
      </c>
      <c r="JX27" s="912">
        <v>9.7381613745137999E-2</v>
      </c>
      <c r="JY27" s="912">
        <v>1.3711432574282E-2</v>
      </c>
      <c r="JZ27" s="912">
        <v>0.40830291970802901</v>
      </c>
      <c r="KA27" s="912">
        <v>0.58540009358914402</v>
      </c>
      <c r="KB27" s="912"/>
      <c r="KC27" s="912"/>
      <c r="KE27" s="912">
        <v>0.131030585766262</v>
      </c>
      <c r="KF27" s="912">
        <v>0.146567287215707</v>
      </c>
      <c r="KG27" s="912">
        <v>0.16464942621603201</v>
      </c>
      <c r="KH27" s="912">
        <v>0.24728546320525299</v>
      </c>
      <c r="KI27" s="912">
        <v>0.40554486618856</v>
      </c>
      <c r="KJ27" s="912">
        <v>0.60525450266482295</v>
      </c>
      <c r="KK27" s="912"/>
      <c r="KL27" s="912"/>
      <c r="KM27" s="912"/>
      <c r="KN27" s="912">
        <v>0.12900013929443799</v>
      </c>
      <c r="KO27" s="912">
        <v>0.14925599192958</v>
      </c>
      <c r="KP27" s="912">
        <v>0.30423203855358699</v>
      </c>
      <c r="KQ27" s="912"/>
      <c r="KR27" s="912">
        <v>1.09307202984503</v>
      </c>
      <c r="KS27" s="912">
        <v>1.0943219841555401</v>
      </c>
      <c r="KT27" s="912"/>
      <c r="KU27" s="912"/>
      <c r="KX27" s="897" t="s">
        <v>1526</v>
      </c>
    </row>
    <row r="29" spans="2:310">
      <c r="E29" s="897" t="s">
        <v>1359</v>
      </c>
      <c r="F29" s="866">
        <f t="shared" ref="F29:F44" si="10">F12/SUM($F$12:$F$27)</f>
        <v>2.883535969569432E-2</v>
      </c>
      <c r="DA29" s="866"/>
      <c r="DB29" s="911"/>
      <c r="EG29" s="1130">
        <f>AVERAGE(EG13:EG27)</f>
        <v>11.120377337060001</v>
      </c>
      <c r="EH29" s="1130">
        <f t="shared" ref="EH29:EK29" si="11">AVERAGE(EH13:EH27)</f>
        <v>14.022695822453331</v>
      </c>
      <c r="EI29" s="1130">
        <f t="shared" si="11"/>
        <v>12.472103001913332</v>
      </c>
      <c r="EJ29" s="1130">
        <f t="shared" si="11"/>
        <v>8.4416075463600002</v>
      </c>
      <c r="EK29" s="1130">
        <f t="shared" si="11"/>
        <v>8.5943296707060668</v>
      </c>
    </row>
    <row r="30" spans="2:310">
      <c r="E30" s="861" t="s">
        <v>1360</v>
      </c>
      <c r="F30" s="866">
        <f t="shared" si="10"/>
        <v>3.3938113449747752E-2</v>
      </c>
      <c r="G30" s="889"/>
      <c r="DA30" s="866">
        <v>0.11699999999999999</v>
      </c>
      <c r="DB30" s="895">
        <v>8.7408668620064098</v>
      </c>
      <c r="EG30" s="866">
        <f>EG29/EG12-1</f>
        <v>0.35333789911816238</v>
      </c>
      <c r="EH30" s="866">
        <f t="shared" ref="EH30:EK30" si="12">EH29/EH12-1</f>
        <v>0.32690630545733401</v>
      </c>
      <c r="EI30" s="866">
        <f t="shared" si="12"/>
        <v>0.31324837902893221</v>
      </c>
      <c r="EJ30" s="866">
        <f t="shared" si="12"/>
        <v>3.3844588596098735E-2</v>
      </c>
      <c r="EK30" s="866">
        <f t="shared" si="12"/>
        <v>1.2856239767037092E-2</v>
      </c>
    </row>
    <row r="31" spans="2:310">
      <c r="E31" s="861" t="s">
        <v>1361</v>
      </c>
      <c r="F31" s="866">
        <f t="shared" si="10"/>
        <v>0.13860732860489086</v>
      </c>
      <c r="G31" s="889"/>
      <c r="DA31" s="866">
        <v>8.0812500000000009E-2</v>
      </c>
      <c r="DB31" s="895">
        <v>6.4905852462473002</v>
      </c>
    </row>
    <row r="32" spans="2:310">
      <c r="E32" s="861" t="s">
        <v>1358</v>
      </c>
      <c r="F32" s="866">
        <f t="shared" si="10"/>
        <v>0.11400120527835196</v>
      </c>
      <c r="DA32" s="866">
        <v>0.13699999999999998</v>
      </c>
      <c r="DB32" s="895">
        <v>7.1318524626655702</v>
      </c>
      <c r="FW32" s="866">
        <f>+FW12/EM12-1</f>
        <v>0.26769941061820157</v>
      </c>
    </row>
    <row r="33" spans="5:179">
      <c r="E33" s="861" t="s">
        <v>1355</v>
      </c>
      <c r="F33" s="866">
        <f t="shared" si="10"/>
        <v>8.8510814581265626E-2</v>
      </c>
      <c r="DA33" s="866">
        <v>0.126</v>
      </c>
      <c r="DB33" s="1013">
        <v>6.8273652104812701</v>
      </c>
      <c r="FW33" s="866">
        <f t="shared" ref="FW33:FW47" si="13">+FW13/EM13-1</f>
        <v>-4.4191613226056914E-2</v>
      </c>
    </row>
    <row r="34" spans="5:179">
      <c r="E34" s="861" t="s">
        <v>1354</v>
      </c>
      <c r="F34" s="866">
        <f t="shared" si="10"/>
        <v>2.1185741941386404E-2</v>
      </c>
      <c r="DA34" s="917"/>
      <c r="DB34" s="895"/>
      <c r="FW34" s="866">
        <f t="shared" si="13"/>
        <v>0.51928915078520488</v>
      </c>
    </row>
    <row r="35" spans="5:179">
      <c r="E35" s="861" t="s">
        <v>1377</v>
      </c>
      <c r="F35" s="866">
        <f t="shared" si="10"/>
        <v>3.0270370608500841E-2</v>
      </c>
      <c r="DA35" s="917"/>
      <c r="DB35" s="895"/>
      <c r="FW35" s="866">
        <f t="shared" si="13"/>
        <v>1.1217154641305935</v>
      </c>
    </row>
    <row r="36" spans="5:179">
      <c r="E36" s="861" t="s">
        <v>1378</v>
      </c>
      <c r="F36" s="866">
        <f t="shared" si="10"/>
        <v>1.4656501018258017E-2</v>
      </c>
      <c r="DA36" s="917"/>
      <c r="DB36" s="895"/>
      <c r="FW36" s="866">
        <f t="shared" si="13"/>
        <v>0.38339393401029698</v>
      </c>
    </row>
    <row r="37" spans="5:179">
      <c r="E37" s="1131" t="s">
        <v>1515</v>
      </c>
      <c r="F37" s="866">
        <f t="shared" si="10"/>
        <v>0.1725129779961512</v>
      </c>
      <c r="DA37" s="917"/>
      <c r="DB37" s="895"/>
      <c r="FW37" s="866">
        <f t="shared" si="13"/>
        <v>0.67816520005953018</v>
      </c>
    </row>
    <row r="38" spans="5:179">
      <c r="E38" s="897" t="s">
        <v>1516</v>
      </c>
      <c r="F38" s="866">
        <f t="shared" si="10"/>
        <v>6.1678910744389401E-2</v>
      </c>
      <c r="DA38" s="917"/>
      <c r="DB38" s="895"/>
      <c r="FW38" s="866">
        <f t="shared" si="13"/>
        <v>1.1022783924171646</v>
      </c>
    </row>
    <row r="39" spans="5:179">
      <c r="E39" s="897" t="s">
        <v>1517</v>
      </c>
      <c r="F39" s="866">
        <f t="shared" si="10"/>
        <v>1.4898302475976182E-2</v>
      </c>
      <c r="DA39" s="917"/>
      <c r="DB39" s="895"/>
      <c r="FW39" s="866">
        <f t="shared" si="13"/>
        <v>0.87743093469545586</v>
      </c>
    </row>
    <row r="40" spans="5:179">
      <c r="E40" s="897" t="s">
        <v>1376</v>
      </c>
      <c r="F40" s="866">
        <f t="shared" si="10"/>
        <v>1.0485422977535484E-2</v>
      </c>
      <c r="FW40" s="866">
        <f t="shared" si="13"/>
        <v>0.35498873484620863</v>
      </c>
    </row>
    <row r="41" spans="5:179">
      <c r="E41" s="897" t="s">
        <v>1375</v>
      </c>
      <c r="F41" s="866">
        <f t="shared" si="10"/>
        <v>8.9894964380978479E-2</v>
      </c>
      <c r="FW41" s="866">
        <f t="shared" si="13"/>
        <v>0.26721051015305841</v>
      </c>
    </row>
    <row r="42" spans="5:179">
      <c r="E42" s="897" t="s">
        <v>1518</v>
      </c>
      <c r="F42" s="866">
        <f t="shared" si="10"/>
        <v>4.3344473540537401E-2</v>
      </c>
      <c r="FW42" s="866">
        <f t="shared" si="13"/>
        <v>0.48779738994962685</v>
      </c>
    </row>
    <row r="43" spans="5:179">
      <c r="E43" s="897" t="s">
        <v>1519</v>
      </c>
      <c r="F43" s="866">
        <f t="shared" si="10"/>
        <v>9.9038636858299986E-2</v>
      </c>
      <c r="FW43" s="866">
        <f t="shared" si="13"/>
        <v>0.66327716540890491</v>
      </c>
    </row>
    <row r="44" spans="5:179">
      <c r="E44" s="897" t="s">
        <v>1520</v>
      </c>
      <c r="F44" s="866">
        <f t="shared" si="10"/>
        <v>3.8140875848036333E-2</v>
      </c>
      <c r="FW44" s="866">
        <f t="shared" si="13"/>
        <v>0.62734704583878886</v>
      </c>
    </row>
    <row r="45" spans="5:179">
      <c r="F45" s="866"/>
      <c r="FW45" s="866">
        <f t="shared" si="13"/>
        <v>0.25274751351403979</v>
      </c>
    </row>
    <row r="46" spans="5:179">
      <c r="F46" s="866"/>
      <c r="FW46" s="866">
        <f t="shared" si="13"/>
        <v>0.39694037283444716</v>
      </c>
    </row>
    <row r="47" spans="5:179">
      <c r="F47" s="866"/>
      <c r="FW47" s="866">
        <f t="shared" si="13"/>
        <v>0.74014165741959892</v>
      </c>
    </row>
    <row r="48" spans="5:179">
      <c r="F48" s="866"/>
    </row>
    <row r="49" spans="6:6">
      <c r="F49" s="866"/>
    </row>
  </sheetData>
  <sortState xmlns:xlrd2="http://schemas.microsoft.com/office/spreadsheetml/2017/richdata2" ref="F29:F44">
    <sortCondition descending="1" ref="F29:F44"/>
  </sortState>
  <conditionalFormatting sqref="F29:F44">
    <cfRule type="colorScale" priority="1">
      <colorScale>
        <cfvo type="min"/>
        <cfvo type="percentile" val="50"/>
        <cfvo type="max"/>
        <color rgb="FFF8696B"/>
        <color rgb="FFFCFCFF"/>
        <color rgb="FF63BE7B"/>
      </colorScale>
    </cfRule>
  </conditionalFormatting>
  <conditionalFormatting sqref="CS12:CS27">
    <cfRule type="colorScale" priority="225">
      <colorScale>
        <cfvo type="min"/>
        <cfvo type="percentile" val="50"/>
        <cfvo type="max"/>
        <color rgb="FFF8696B"/>
        <color rgb="FFFCFCFF"/>
        <color rgb="FF63BE7B"/>
      </colorScale>
    </cfRule>
  </conditionalFormatting>
  <conditionalFormatting sqref="DA34:DA39">
    <cfRule type="colorScale" priority="4">
      <colorScale>
        <cfvo type="min"/>
        <cfvo type="percentile" val="50"/>
        <cfvo type="max"/>
        <color rgb="FFF8696B"/>
        <color rgb="FFFCFCFF"/>
        <color rgb="FF63BE7B"/>
      </colorScale>
    </cfRule>
  </conditionalFormatting>
  <conditionalFormatting sqref="DB12:DB27">
    <cfRule type="colorScale" priority="227">
      <colorScale>
        <cfvo type="min"/>
        <cfvo type="percentile" val="50"/>
        <cfvo type="max"/>
        <color rgb="FF63BE7B"/>
        <color rgb="FFFFEB84"/>
        <color rgb="FFF8696B"/>
      </colorScale>
    </cfRule>
  </conditionalFormatting>
  <conditionalFormatting sqref="DB29:DB39">
    <cfRule type="colorScale" priority="3">
      <colorScale>
        <cfvo type="min"/>
        <cfvo type="percentile" val="50"/>
        <cfvo type="max"/>
        <color rgb="FF63BE7B"/>
        <color rgb="FFFFEB84"/>
        <color rgb="FFF8696B"/>
      </colorScale>
    </cfRule>
  </conditionalFormatting>
  <conditionalFormatting sqref="EL12:EL27">
    <cfRule type="colorScale" priority="229">
      <colorScale>
        <cfvo type="min"/>
        <cfvo type="percentile" val="50"/>
        <cfvo type="max"/>
        <color rgb="FF63BE7B"/>
        <color rgb="FFFFEB84"/>
        <color rgb="FFF8696B"/>
      </colorScale>
    </cfRule>
  </conditionalFormatting>
  <conditionalFormatting sqref="EM12:EM27">
    <cfRule type="colorScale" priority="247">
      <colorScale>
        <cfvo type="min"/>
        <cfvo type="percentile" val="50"/>
        <cfvo type="max"/>
        <color rgb="FF63BE7B"/>
        <color rgb="FFFFEB84"/>
        <color rgb="FFF8696B"/>
      </colorScale>
    </cfRule>
  </conditionalFormatting>
  <conditionalFormatting sqref="FV12:FV27">
    <cfRule type="colorScale" priority="231">
      <colorScale>
        <cfvo type="min"/>
        <cfvo type="percentile" val="50"/>
        <cfvo type="max"/>
        <color rgb="FF63BE7B"/>
        <color rgb="FFFFEB84"/>
        <color rgb="FFF8696B"/>
      </colorScale>
    </cfRule>
  </conditionalFormatting>
  <conditionalFormatting sqref="GJ12:GJ27">
    <cfRule type="colorScale" priority="233">
      <colorScale>
        <cfvo type="min"/>
        <cfvo type="percentile" val="50"/>
        <cfvo type="max"/>
        <color rgb="FFF8696B"/>
        <color rgb="FFFCFCFF"/>
        <color rgb="FF63BE7B"/>
      </colorScale>
    </cfRule>
  </conditionalFormatting>
  <conditionalFormatting sqref="GK12:GK27">
    <cfRule type="colorScale" priority="235">
      <colorScale>
        <cfvo type="min"/>
        <cfvo type="percentile" val="50"/>
        <cfvo type="max"/>
        <color rgb="FFF8696B"/>
        <color rgb="FFFCFCFF"/>
        <color rgb="FF63BE7B"/>
      </colorScale>
    </cfRule>
  </conditionalFormatting>
  <conditionalFormatting sqref="GL12:GL27">
    <cfRule type="colorScale" priority="237">
      <colorScale>
        <cfvo type="min"/>
        <cfvo type="percentile" val="50"/>
        <cfvo type="max"/>
        <color rgb="FFF8696B"/>
        <color rgb="FFFCFCFF"/>
        <color rgb="FF63BE7B"/>
      </colorScale>
    </cfRule>
  </conditionalFormatting>
  <conditionalFormatting sqref="GM12:GM27">
    <cfRule type="colorScale" priority="239">
      <colorScale>
        <cfvo type="min"/>
        <cfvo type="percentile" val="50"/>
        <cfvo type="max"/>
        <color rgb="FFF8696B"/>
        <color rgb="FFFCFCFF"/>
        <color rgb="FF63BE7B"/>
      </colorScale>
    </cfRule>
  </conditionalFormatting>
  <conditionalFormatting sqref="GN12:GN27">
    <cfRule type="colorScale" priority="241">
      <colorScale>
        <cfvo type="min"/>
        <cfvo type="percentile" val="50"/>
        <cfvo type="max"/>
        <color rgb="FFF8696B"/>
        <color rgb="FFFCFCFF"/>
        <color rgb="FF63BE7B"/>
      </colorScale>
    </cfRule>
  </conditionalFormatting>
  <conditionalFormatting sqref="JE12:JE27">
    <cfRule type="colorScale" priority="243">
      <colorScale>
        <cfvo type="min"/>
        <cfvo type="percentile" val="50"/>
        <cfvo type="max"/>
        <color rgb="FFF8696B"/>
        <color rgb="FFFCFCFF"/>
        <color rgb="FF63BE7B"/>
      </colorScale>
    </cfRule>
  </conditionalFormatting>
  <conditionalFormatting sqref="JI12:JI27">
    <cfRule type="colorScale" priority="245">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2CCD7-E2DD-48AB-B5C0-7F25032EFD18}">
  <sheetPr codeName="Sheet4">
    <pageSetUpPr fitToPage="1"/>
  </sheetPr>
  <dimension ref="A1:BI122"/>
  <sheetViews>
    <sheetView showGridLines="0" zoomScaleNormal="100" zoomScaleSheetLayoutView="100" workbookViewId="0">
      <pane xSplit="5" ySplit="6" topLeftCell="Y7" activePane="bottomRight" state="frozen"/>
      <selection pane="topRight" activeCell="E1" sqref="E1"/>
      <selection pane="bottomLeft" activeCell="A7" sqref="A7"/>
      <selection pane="bottomRight" activeCell="AM2" sqref="AM2"/>
    </sheetView>
  </sheetViews>
  <sheetFormatPr defaultColWidth="12.53125" defaultRowHeight="11.25" customHeight="1" outlineLevelRow="1" outlineLevelCol="1"/>
  <cols>
    <col min="1" max="2" width="1.796875" style="154" customWidth="1"/>
    <col min="3" max="3" width="35.796875" style="154" customWidth="1"/>
    <col min="4" max="5" width="9.19921875" style="154" customWidth="1"/>
    <col min="6" max="9" width="9.19921875" style="154" customWidth="1" outlineLevel="1"/>
    <col min="10" max="18" width="11.53125" style="154" customWidth="1" outlineLevel="1"/>
    <col min="19" max="24" width="10.19921875" style="154" customWidth="1" outlineLevel="1"/>
    <col min="25" max="30" width="10.19921875" style="154" customWidth="1"/>
    <col min="31" max="35" width="10.19921875" style="154" hidden="1" customWidth="1" outlineLevel="1"/>
    <col min="36" max="36" width="10.19921875" style="154" hidden="1" customWidth="1" outlineLevel="1" collapsed="1"/>
    <col min="37" max="37" width="10.19921875" style="154" customWidth="1" collapsed="1"/>
    <col min="38" max="42" width="10.19921875" style="154" customWidth="1"/>
    <col min="43" max="16384" width="12.53125" style="154"/>
  </cols>
  <sheetData>
    <row r="1" spans="1:61" s="150" customFormat="1" ht="11.25" customHeight="1">
      <c r="A1" s="150" t="str">
        <f>Financials!A1</f>
        <v>Eastman Chemical Co.</v>
      </c>
      <c r="R1" s="151"/>
      <c r="U1" s="152"/>
      <c r="V1" s="152"/>
      <c r="W1" s="152"/>
      <c r="X1" s="152"/>
      <c r="Y1" s="152"/>
      <c r="Z1" s="152"/>
      <c r="AA1" s="152"/>
      <c r="AB1" s="152"/>
      <c r="AC1" s="152"/>
      <c r="AD1" s="152"/>
      <c r="AI1" s="152"/>
      <c r="AJ1" s="152"/>
      <c r="AK1" s="152"/>
      <c r="AL1" s="152"/>
      <c r="AM1" s="152"/>
    </row>
    <row r="2" spans="1:61" ht="11.25" customHeight="1">
      <c r="A2" s="153" t="str">
        <f>Financials!A2</f>
        <v>(All Values in USD mn unless stated otherwise)</v>
      </c>
      <c r="B2" s="153"/>
      <c r="J2" s="155"/>
      <c r="K2" s="155"/>
      <c r="L2" s="155"/>
      <c r="M2" s="155"/>
      <c r="N2" s="155"/>
      <c r="O2" s="155"/>
      <c r="P2" s="155"/>
      <c r="Q2" s="155"/>
      <c r="R2" s="155"/>
      <c r="Z2" s="152"/>
      <c r="AA2" s="152"/>
      <c r="AB2" s="152"/>
      <c r="AC2" s="152"/>
      <c r="AH2" s="160"/>
      <c r="AI2" s="155"/>
      <c r="AJ2" s="155"/>
      <c r="AK2" s="161"/>
      <c r="AL2" s="156" t="s">
        <v>420</v>
      </c>
      <c r="AM2" s="157">
        <v>0</v>
      </c>
      <c r="AN2" s="158">
        <v>0</v>
      </c>
      <c r="AO2" s="159" t="s">
        <v>421</v>
      </c>
      <c r="AP2" s="162"/>
    </row>
    <row r="3" spans="1:61" ht="11.25" customHeight="1">
      <c r="A3" s="153"/>
      <c r="B3" s="153"/>
      <c r="J3" s="163"/>
      <c r="K3" s="163"/>
      <c r="L3" s="163"/>
      <c r="M3" s="163"/>
      <c r="N3" s="163"/>
      <c r="O3" s="163"/>
      <c r="P3" s="163"/>
      <c r="Q3" s="163"/>
      <c r="R3" s="163"/>
      <c r="U3" s="164"/>
      <c r="V3" s="161"/>
      <c r="Z3" s="152"/>
      <c r="AA3" s="152"/>
      <c r="AB3" s="152"/>
      <c r="AC3" s="152"/>
      <c r="AE3" s="161"/>
      <c r="AF3" s="161"/>
      <c r="AG3" s="161"/>
      <c r="AH3" s="161"/>
      <c r="AI3" s="161"/>
      <c r="AJ3" s="161"/>
      <c r="AK3" s="161"/>
      <c r="AN3" s="165">
        <v>1</v>
      </c>
      <c r="AO3" s="166" t="s">
        <v>422</v>
      </c>
      <c r="AP3" s="162"/>
      <c r="AQ3" s="162"/>
    </row>
    <row r="4" spans="1:61" ht="11.25" customHeight="1">
      <c r="J4" s="168"/>
      <c r="K4" s="168"/>
      <c r="L4" s="168"/>
      <c r="M4" s="168"/>
      <c r="N4" s="168"/>
      <c r="O4" s="168"/>
      <c r="P4" s="168"/>
      <c r="Q4" s="168"/>
      <c r="R4" s="168"/>
      <c r="T4" s="168"/>
      <c r="U4" s="161"/>
      <c r="V4" s="155"/>
      <c r="W4" s="155"/>
      <c r="X4" s="155"/>
      <c r="Y4" s="155"/>
      <c r="Z4" s="155"/>
      <c r="AA4" s="155"/>
      <c r="AB4" s="155"/>
      <c r="AC4" s="155"/>
      <c r="AD4" s="155"/>
      <c r="AH4" s="160"/>
      <c r="AI4" s="155"/>
      <c r="AJ4" s="155"/>
      <c r="AK4" s="161"/>
      <c r="AL4" s="161"/>
      <c r="AM4" s="168"/>
    </row>
    <row r="5" spans="1:61" ht="11.25" customHeight="1">
      <c r="B5" s="169"/>
      <c r="C5" s="169"/>
      <c r="D5" s="170"/>
      <c r="E5" s="170"/>
      <c r="F5" s="171">
        <f>YEAR($I$6)</f>
        <v>2018</v>
      </c>
      <c r="G5" s="172">
        <f>YEAR($I$6)</f>
        <v>2018</v>
      </c>
      <c r="H5" s="173">
        <f>YEAR($I$6)</f>
        <v>2018</v>
      </c>
      <c r="I5" s="174">
        <f>YEAR($I$6)</f>
        <v>2018</v>
      </c>
      <c r="J5" s="171">
        <f>+YEAR($M$6)</f>
        <v>2019</v>
      </c>
      <c r="K5" s="172">
        <f>+YEAR($M$6)</f>
        <v>2019</v>
      </c>
      <c r="L5" s="173">
        <f>+YEAR($M$6)</f>
        <v>2019</v>
      </c>
      <c r="M5" s="174">
        <f>+YEAR($M$6)</f>
        <v>2019</v>
      </c>
      <c r="N5" s="171">
        <f>+YEAR($Q$6)</f>
        <v>2020</v>
      </c>
      <c r="O5" s="172">
        <f>+YEAR($Q$6)</f>
        <v>2020</v>
      </c>
      <c r="P5" s="173">
        <f>+YEAR($Q$6)</f>
        <v>2020</v>
      </c>
      <c r="Q5" s="174">
        <f>+YEAR($Q$6)</f>
        <v>2020</v>
      </c>
      <c r="R5" s="171">
        <f>+YEAR($U$6)</f>
        <v>2021</v>
      </c>
      <c r="S5" s="172">
        <f>+YEAR($U$6)</f>
        <v>2021</v>
      </c>
      <c r="T5" s="173">
        <f>+YEAR($U$6)</f>
        <v>2021</v>
      </c>
      <c r="U5" s="174">
        <f>+YEAR($U$6)</f>
        <v>2021</v>
      </c>
      <c r="V5" s="171">
        <f>+YEAR($Y$6)</f>
        <v>2022</v>
      </c>
      <c r="W5" s="172">
        <f>YEAR($Y$6)</f>
        <v>2022</v>
      </c>
      <c r="X5" s="173">
        <f>YEAR($Y$6)</f>
        <v>2022</v>
      </c>
      <c r="Y5" s="175">
        <f>YEAR($Y$6)</f>
        <v>2022</v>
      </c>
      <c r="Z5" s="171">
        <f>YEAR(Z6)</f>
        <v>2023</v>
      </c>
      <c r="AA5" s="172">
        <f t="shared" ref="AA5:AC5" si="0">YEAR(AA6)</f>
        <v>2023</v>
      </c>
      <c r="AB5" s="173">
        <f t="shared" si="0"/>
        <v>2023</v>
      </c>
      <c r="AC5" s="175">
        <f t="shared" si="0"/>
        <v>2023</v>
      </c>
      <c r="AD5" s="176"/>
      <c r="AE5" s="177">
        <f t="shared" ref="AE5:AO5" si="1">YEAR(AE6)</f>
        <v>2016</v>
      </c>
      <c r="AF5" s="177">
        <f t="shared" si="1"/>
        <v>2017</v>
      </c>
      <c r="AG5" s="177">
        <f t="shared" si="1"/>
        <v>2018</v>
      </c>
      <c r="AH5" s="177">
        <f t="shared" si="1"/>
        <v>2019</v>
      </c>
      <c r="AI5" s="177">
        <f t="shared" si="1"/>
        <v>2020</v>
      </c>
      <c r="AJ5" s="714">
        <f t="shared" si="1"/>
        <v>2021</v>
      </c>
      <c r="AK5" s="714">
        <f t="shared" si="1"/>
        <v>2022</v>
      </c>
      <c r="AL5" s="709">
        <f t="shared" si="1"/>
        <v>2023</v>
      </c>
      <c r="AM5" s="709">
        <f t="shared" si="1"/>
        <v>2024</v>
      </c>
      <c r="AN5" s="709">
        <f t="shared" si="1"/>
        <v>2025</v>
      </c>
      <c r="AO5" s="709">
        <f t="shared" si="1"/>
        <v>2026</v>
      </c>
      <c r="AP5" s="168"/>
      <c r="AQ5" s="168"/>
      <c r="AR5" s="168"/>
      <c r="AS5" s="168"/>
      <c r="AT5" s="168"/>
      <c r="AU5" s="168"/>
      <c r="AV5" s="168"/>
      <c r="AW5" s="168"/>
      <c r="AX5" s="168"/>
      <c r="AY5" s="168"/>
      <c r="AZ5" s="168"/>
      <c r="BA5" s="168"/>
      <c r="BB5" s="168"/>
      <c r="BC5" s="168"/>
      <c r="BD5" s="168"/>
      <c r="BE5" s="168"/>
      <c r="BF5" s="168"/>
      <c r="BG5" s="168"/>
      <c r="BH5" s="168"/>
      <c r="BI5" s="168"/>
    </row>
    <row r="6" spans="1:61" ht="11.25" customHeight="1">
      <c r="B6" s="178"/>
      <c r="C6" s="178" t="s">
        <v>13</v>
      </c>
      <c r="D6" s="179"/>
      <c r="E6" s="179"/>
      <c r="F6" s="179">
        <v>43190</v>
      </c>
      <c r="G6" s="179">
        <f>EOMONTH(F6,3)</f>
        <v>43281</v>
      </c>
      <c r="H6" s="179">
        <f t="shared" ref="H6:Z6" si="2">EOMONTH(G6,3)</f>
        <v>43373</v>
      </c>
      <c r="I6" s="179">
        <f t="shared" si="2"/>
        <v>43465</v>
      </c>
      <c r="J6" s="179">
        <f t="shared" si="2"/>
        <v>43555</v>
      </c>
      <c r="K6" s="179">
        <f t="shared" si="2"/>
        <v>43646</v>
      </c>
      <c r="L6" s="179">
        <f t="shared" si="2"/>
        <v>43738</v>
      </c>
      <c r="M6" s="179">
        <f t="shared" si="2"/>
        <v>43830</v>
      </c>
      <c r="N6" s="179">
        <f t="shared" si="2"/>
        <v>43921</v>
      </c>
      <c r="O6" s="179">
        <f t="shared" si="2"/>
        <v>44012</v>
      </c>
      <c r="P6" s="179">
        <f t="shared" si="2"/>
        <v>44104</v>
      </c>
      <c r="Q6" s="179">
        <f t="shared" si="2"/>
        <v>44196</v>
      </c>
      <c r="R6" s="179">
        <f t="shared" si="2"/>
        <v>44286</v>
      </c>
      <c r="S6" s="179">
        <f t="shared" si="2"/>
        <v>44377</v>
      </c>
      <c r="T6" s="179">
        <f t="shared" si="2"/>
        <v>44469</v>
      </c>
      <c r="U6" s="179">
        <f t="shared" si="2"/>
        <v>44561</v>
      </c>
      <c r="V6" s="179">
        <f t="shared" si="2"/>
        <v>44651</v>
      </c>
      <c r="W6" s="179">
        <f t="shared" si="2"/>
        <v>44742</v>
      </c>
      <c r="X6" s="179">
        <f t="shared" si="2"/>
        <v>44834</v>
      </c>
      <c r="Y6" s="179">
        <f t="shared" si="2"/>
        <v>44926</v>
      </c>
      <c r="Z6" s="179">
        <f t="shared" si="2"/>
        <v>45016</v>
      </c>
      <c r="AA6" s="179">
        <f t="shared" ref="AA6" si="3">EOMONTH(Z6,3)</f>
        <v>45107</v>
      </c>
      <c r="AB6" s="179">
        <f t="shared" ref="AB6" si="4">EOMONTH(AA6,3)</f>
        <v>45199</v>
      </c>
      <c r="AC6" s="179">
        <f t="shared" ref="AC6" si="5">EOMONTH(AB6,3)</f>
        <v>45291</v>
      </c>
      <c r="AD6" s="180"/>
      <c r="AE6" s="181">
        <v>42705</v>
      </c>
      <c r="AF6" s="181">
        <f t="shared" ref="AF6:AO6" si="6">EOMONTH(AE6,12)</f>
        <v>43100</v>
      </c>
      <c r="AG6" s="181">
        <f t="shared" si="6"/>
        <v>43465</v>
      </c>
      <c r="AH6" s="181">
        <f t="shared" si="6"/>
        <v>43830</v>
      </c>
      <c r="AI6" s="181">
        <f t="shared" si="6"/>
        <v>44196</v>
      </c>
      <c r="AJ6" s="181">
        <f>EOMONTH(AI6,12)</f>
        <v>44561</v>
      </c>
      <c r="AK6" s="181">
        <f t="shared" si="6"/>
        <v>44926</v>
      </c>
      <c r="AL6" s="181">
        <f t="shared" si="6"/>
        <v>45291</v>
      </c>
      <c r="AM6" s="181">
        <f t="shared" si="6"/>
        <v>45657</v>
      </c>
      <c r="AN6" s="181">
        <f t="shared" si="6"/>
        <v>46022</v>
      </c>
      <c r="AO6" s="181">
        <f t="shared" si="6"/>
        <v>46387</v>
      </c>
      <c r="AP6" s="180"/>
      <c r="AQ6" s="180"/>
      <c r="AR6" s="180"/>
      <c r="AS6" s="180"/>
      <c r="AT6" s="180"/>
      <c r="AU6" s="180"/>
      <c r="AV6" s="180"/>
      <c r="AW6" s="180"/>
      <c r="AX6" s="180"/>
      <c r="AY6" s="180"/>
      <c r="AZ6" s="180"/>
      <c r="BA6" s="180"/>
      <c r="BB6" s="180"/>
      <c r="BC6" s="180"/>
      <c r="BD6" s="180"/>
      <c r="BE6" s="180"/>
      <c r="BF6" s="180"/>
      <c r="BG6" s="180"/>
      <c r="BH6" s="180"/>
      <c r="BI6" s="180"/>
    </row>
    <row r="8" spans="1:61" s="182" customFormat="1" ht="11.25" customHeight="1">
      <c r="B8" s="183" t="s">
        <v>14</v>
      </c>
      <c r="C8" s="184" t="s">
        <v>423</v>
      </c>
      <c r="D8" s="184"/>
      <c r="E8" s="184"/>
      <c r="F8" s="184"/>
      <c r="G8" s="184"/>
      <c r="H8" s="184"/>
      <c r="I8" s="184"/>
      <c r="J8" s="185"/>
      <c r="K8" s="185"/>
      <c r="L8" s="185"/>
      <c r="M8" s="185"/>
      <c r="N8" s="185"/>
      <c r="O8" s="185"/>
      <c r="P8" s="185"/>
      <c r="Q8" s="185"/>
      <c r="R8" s="185"/>
      <c r="S8" s="185"/>
      <c r="T8" s="185"/>
      <c r="U8" s="185"/>
      <c r="V8" s="185"/>
      <c r="W8" s="185"/>
      <c r="X8" s="185"/>
      <c r="Y8" s="185"/>
      <c r="Z8" s="185"/>
      <c r="AA8" s="185"/>
      <c r="AB8" s="185"/>
      <c r="AC8" s="185"/>
      <c r="AD8" s="186"/>
      <c r="AE8" s="187"/>
      <c r="AF8" s="187"/>
      <c r="AG8" s="187"/>
      <c r="AH8" s="187"/>
      <c r="AI8" s="187"/>
      <c r="AJ8" s="187"/>
      <c r="AK8" s="187"/>
      <c r="AL8" s="187"/>
      <c r="AM8" s="187"/>
      <c r="AN8" s="187"/>
      <c r="AO8" s="187"/>
      <c r="AP8" s="162"/>
      <c r="AQ8" s="162"/>
      <c r="AR8" s="162"/>
      <c r="AS8" s="162"/>
      <c r="AT8" s="162"/>
      <c r="AU8" s="162"/>
      <c r="AV8" s="162"/>
      <c r="AW8" s="162"/>
      <c r="AX8" s="162"/>
      <c r="AY8" s="162"/>
      <c r="AZ8" s="162"/>
      <c r="BA8" s="162"/>
      <c r="BB8" s="162"/>
    </row>
    <row r="9" spans="1:61" s="182" customFormat="1" ht="11.25" customHeight="1">
      <c r="B9" s="151"/>
      <c r="C9" s="188"/>
      <c r="D9" s="188"/>
      <c r="E9" s="189"/>
      <c r="F9" s="189"/>
      <c r="G9" s="189"/>
      <c r="H9" s="189"/>
      <c r="I9" s="189"/>
      <c r="J9" s="186"/>
      <c r="K9" s="186"/>
      <c r="L9" s="186"/>
      <c r="M9" s="186"/>
      <c r="N9" s="186"/>
      <c r="O9" s="186"/>
      <c r="P9" s="186"/>
      <c r="Q9" s="186"/>
      <c r="R9" s="186"/>
      <c r="S9" s="186"/>
      <c r="T9" s="186"/>
      <c r="U9" s="186"/>
      <c r="V9" s="186"/>
      <c r="W9" s="747"/>
      <c r="X9" s="186"/>
      <c r="Y9" s="186"/>
      <c r="Z9" s="186"/>
      <c r="AA9" s="186"/>
      <c r="AB9" s="186"/>
      <c r="AC9" s="186"/>
      <c r="AD9" s="186"/>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row>
    <row r="10" spans="1:61" ht="11.25" customHeight="1">
      <c r="C10" s="197" t="s">
        <v>1132</v>
      </c>
      <c r="D10" s="190"/>
      <c r="E10" s="191">
        <v>3.5999999999999997E-2</v>
      </c>
      <c r="F10" s="191"/>
      <c r="G10" s="191"/>
      <c r="H10" s="191"/>
      <c r="I10" s="191"/>
      <c r="V10" s="189">
        <v>748</v>
      </c>
      <c r="W10" s="189">
        <v>200</v>
      </c>
      <c r="X10" s="189">
        <v>0</v>
      </c>
      <c r="Y10" s="189">
        <v>0</v>
      </c>
      <c r="Z10" s="1451">
        <v>0</v>
      </c>
      <c r="AA10" s="182">
        <f t="shared" ref="AA10:AC17" si="7">Z10-AA33</f>
        <v>0</v>
      </c>
      <c r="AB10" s="182">
        <f t="shared" si="7"/>
        <v>0</v>
      </c>
      <c r="AC10" s="182">
        <f t="shared" si="7"/>
        <v>0</v>
      </c>
      <c r="AD10" s="182"/>
      <c r="AE10" s="182"/>
      <c r="AF10" s="182"/>
      <c r="AG10" s="182"/>
      <c r="AH10" s="182"/>
      <c r="AI10" s="182"/>
      <c r="AJ10" s="156"/>
      <c r="AK10" s="156">
        <f>SUMIF($J$6:$AC$6,AK$6,$J10:$AC10)</f>
        <v>0</v>
      </c>
      <c r="AL10" s="156">
        <f>SUMIF($J$6:$AC$6,AL$6,$J10:$AC10)</f>
        <v>0</v>
      </c>
      <c r="AM10" s="156">
        <f t="shared" ref="AM10:AO17" si="8">AL10-AM33</f>
        <v>0</v>
      </c>
      <c r="AN10" s="156">
        <f t="shared" si="8"/>
        <v>0</v>
      </c>
      <c r="AO10" s="156">
        <f t="shared" si="8"/>
        <v>0</v>
      </c>
      <c r="AP10" s="210">
        <v>44774</v>
      </c>
    </row>
    <row r="11" spans="1:61" ht="11.25" customHeight="1">
      <c r="C11" s="197" t="s">
        <v>1133</v>
      </c>
      <c r="D11" s="190"/>
      <c r="E11" s="191">
        <v>1.4999999999999999E-2</v>
      </c>
      <c r="F11" s="191"/>
      <c r="G11" s="191"/>
      <c r="H11" s="191"/>
      <c r="I11" s="191"/>
      <c r="V11" s="189">
        <v>833</v>
      </c>
      <c r="W11" s="189">
        <v>779</v>
      </c>
      <c r="X11" s="189">
        <v>731</v>
      </c>
      <c r="Y11" s="189">
        <v>800</v>
      </c>
      <c r="Z11" s="1451">
        <v>816</v>
      </c>
      <c r="AA11" s="182">
        <f t="shared" si="7"/>
        <v>0</v>
      </c>
      <c r="AB11" s="182">
        <f t="shared" si="7"/>
        <v>0</v>
      </c>
      <c r="AC11" s="182">
        <f t="shared" si="7"/>
        <v>0</v>
      </c>
      <c r="AD11" s="182"/>
      <c r="AE11" s="182"/>
      <c r="AF11" s="182"/>
      <c r="AG11" s="182"/>
      <c r="AH11" s="182"/>
      <c r="AI11" s="182"/>
      <c r="AJ11" s="156"/>
      <c r="AK11" s="156">
        <f t="shared" ref="AK11:AL25" si="9">SUMIF($J$6:$AC$6,AK$6,$J11:$AC11)</f>
        <v>800</v>
      </c>
      <c r="AL11" s="156">
        <f t="shared" si="9"/>
        <v>0</v>
      </c>
      <c r="AM11" s="156">
        <f t="shared" si="8"/>
        <v>0</v>
      </c>
      <c r="AN11" s="156">
        <f t="shared" si="8"/>
        <v>0</v>
      </c>
      <c r="AO11" s="156">
        <f t="shared" si="8"/>
        <v>0</v>
      </c>
      <c r="AP11" s="210">
        <v>45047</v>
      </c>
    </row>
    <row r="12" spans="1:61" ht="11.25" customHeight="1">
      <c r="C12" s="197" t="s">
        <v>1134</v>
      </c>
      <c r="D12" s="190"/>
      <c r="E12" s="191">
        <v>7.2499999999999995E-2</v>
      </c>
      <c r="F12" s="191"/>
      <c r="G12" s="191"/>
      <c r="H12" s="191"/>
      <c r="I12" s="191"/>
      <c r="V12" s="189">
        <v>198</v>
      </c>
      <c r="W12" s="189">
        <v>198</v>
      </c>
      <c r="X12" s="189">
        <v>198</v>
      </c>
      <c r="Y12" s="189">
        <v>198</v>
      </c>
      <c r="Z12" s="1451">
        <v>198</v>
      </c>
      <c r="AA12" s="182">
        <f t="shared" si="7"/>
        <v>198</v>
      </c>
      <c r="AB12" s="182">
        <f t="shared" si="7"/>
        <v>198</v>
      </c>
      <c r="AC12" s="182">
        <f t="shared" si="7"/>
        <v>198</v>
      </c>
      <c r="AD12" s="182"/>
      <c r="AE12" s="182"/>
      <c r="AF12" s="182"/>
      <c r="AG12" s="182"/>
      <c r="AH12" s="182"/>
      <c r="AI12" s="182"/>
      <c r="AJ12" s="156"/>
      <c r="AK12" s="156">
        <f t="shared" si="9"/>
        <v>198</v>
      </c>
      <c r="AL12" s="156">
        <f t="shared" si="9"/>
        <v>198</v>
      </c>
      <c r="AM12" s="156">
        <f t="shared" si="8"/>
        <v>0</v>
      </c>
      <c r="AN12" s="156">
        <f t="shared" si="8"/>
        <v>0</v>
      </c>
      <c r="AO12" s="156">
        <f t="shared" si="8"/>
        <v>0</v>
      </c>
      <c r="AP12" s="210">
        <v>45292</v>
      </c>
    </row>
    <row r="13" spans="1:61" ht="11.25" customHeight="1">
      <c r="C13" s="197" t="s">
        <v>1135</v>
      </c>
      <c r="D13" s="190"/>
      <c r="E13" s="191">
        <v>7.6249999999999998E-2</v>
      </c>
      <c r="F13" s="193"/>
      <c r="G13" s="193"/>
      <c r="H13" s="193"/>
      <c r="I13" s="193"/>
      <c r="V13" s="189">
        <v>43</v>
      </c>
      <c r="W13" s="189">
        <v>43</v>
      </c>
      <c r="X13" s="189">
        <v>43</v>
      </c>
      <c r="Y13" s="189">
        <v>43</v>
      </c>
      <c r="Z13" s="1451">
        <v>43</v>
      </c>
      <c r="AA13" s="182">
        <f t="shared" si="7"/>
        <v>43</v>
      </c>
      <c r="AB13" s="182">
        <f t="shared" si="7"/>
        <v>43</v>
      </c>
      <c r="AC13" s="182">
        <f t="shared" si="7"/>
        <v>43</v>
      </c>
      <c r="AD13" s="182"/>
      <c r="AE13" s="182"/>
      <c r="AF13" s="182"/>
      <c r="AG13" s="182"/>
      <c r="AH13" s="182"/>
      <c r="AI13" s="182"/>
      <c r="AJ13" s="156"/>
      <c r="AK13" s="156">
        <f t="shared" si="9"/>
        <v>43</v>
      </c>
      <c r="AL13" s="156">
        <f t="shared" si="9"/>
        <v>43</v>
      </c>
      <c r="AM13" s="156">
        <f t="shared" si="8"/>
        <v>0</v>
      </c>
      <c r="AN13" s="156">
        <f t="shared" si="8"/>
        <v>0</v>
      </c>
      <c r="AO13" s="156">
        <f t="shared" si="8"/>
        <v>0</v>
      </c>
      <c r="AP13" s="210">
        <v>45444</v>
      </c>
    </row>
    <row r="14" spans="1:61" ht="11.25" customHeight="1">
      <c r="C14" s="197" t="s">
        <v>1136</v>
      </c>
      <c r="D14" s="190"/>
      <c r="E14" s="191">
        <v>3.7999999999999999E-2</v>
      </c>
      <c r="F14" s="194"/>
      <c r="G14" s="194"/>
      <c r="H14" s="194"/>
      <c r="I14" s="194"/>
      <c r="V14" s="189">
        <v>695</v>
      </c>
      <c r="W14" s="189">
        <v>695</v>
      </c>
      <c r="X14" s="189">
        <v>694</v>
      </c>
      <c r="Y14" s="189">
        <v>693</v>
      </c>
      <c r="Z14" s="1451">
        <v>694</v>
      </c>
      <c r="AA14" s="182">
        <f t="shared" si="7"/>
        <v>694</v>
      </c>
      <c r="AB14" s="182">
        <f t="shared" si="7"/>
        <v>694</v>
      </c>
      <c r="AC14" s="182">
        <f t="shared" si="7"/>
        <v>694</v>
      </c>
      <c r="AD14" s="182"/>
      <c r="AE14" s="182"/>
      <c r="AF14" s="182"/>
      <c r="AG14" s="182"/>
      <c r="AH14" s="182"/>
      <c r="AI14" s="182"/>
      <c r="AJ14" s="156"/>
      <c r="AK14" s="156">
        <f t="shared" si="9"/>
        <v>693</v>
      </c>
      <c r="AL14" s="156">
        <f t="shared" si="9"/>
        <v>694</v>
      </c>
      <c r="AM14" s="156">
        <f t="shared" si="8"/>
        <v>694</v>
      </c>
      <c r="AN14" s="156">
        <f t="shared" si="8"/>
        <v>0</v>
      </c>
      <c r="AO14" s="156">
        <f t="shared" si="8"/>
        <v>0</v>
      </c>
      <c r="AP14" s="210">
        <v>45717</v>
      </c>
    </row>
    <row r="15" spans="1:61" ht="11.25" customHeight="1">
      <c r="C15" s="197" t="s">
        <v>1137</v>
      </c>
      <c r="D15" s="190"/>
      <c r="E15" s="191">
        <v>1.8749999999999999E-2</v>
      </c>
      <c r="F15" s="209"/>
      <c r="G15" s="194"/>
      <c r="H15" s="194"/>
      <c r="I15" s="194"/>
      <c r="V15" s="189">
        <v>552</v>
      </c>
      <c r="W15" s="189">
        <v>517</v>
      </c>
      <c r="X15" s="189">
        <v>485</v>
      </c>
      <c r="Y15" s="189">
        <v>530</v>
      </c>
      <c r="Z15" s="1451">
        <v>542</v>
      </c>
      <c r="AA15" s="182">
        <f t="shared" si="7"/>
        <v>542</v>
      </c>
      <c r="AB15" s="182">
        <f t="shared" si="7"/>
        <v>542</v>
      </c>
      <c r="AC15" s="182">
        <f t="shared" si="7"/>
        <v>542</v>
      </c>
      <c r="AD15" s="182"/>
      <c r="AE15" s="182"/>
      <c r="AF15" s="182"/>
      <c r="AG15" s="182"/>
      <c r="AH15" s="182"/>
      <c r="AI15" s="182"/>
      <c r="AJ15" s="156"/>
      <c r="AK15" s="156">
        <f t="shared" si="9"/>
        <v>530</v>
      </c>
      <c r="AL15" s="156">
        <f t="shared" si="9"/>
        <v>542</v>
      </c>
      <c r="AM15" s="156">
        <f t="shared" si="8"/>
        <v>542</v>
      </c>
      <c r="AN15" s="156">
        <f t="shared" si="8"/>
        <v>542</v>
      </c>
      <c r="AO15" s="156">
        <f t="shared" si="8"/>
        <v>0</v>
      </c>
      <c r="AP15" s="210">
        <v>46327</v>
      </c>
      <c r="AQ15" s="210">
        <v>45292</v>
      </c>
    </row>
    <row r="16" spans="1:61" ht="11.25" customHeight="1">
      <c r="C16" s="197" t="s">
        <v>1138</v>
      </c>
      <c r="D16" s="190"/>
      <c r="E16" s="191">
        <v>9.6000000000000002E-2</v>
      </c>
      <c r="F16" s="194"/>
      <c r="G16" s="194"/>
      <c r="H16" s="194"/>
      <c r="I16" s="194"/>
      <c r="V16" s="189">
        <v>195</v>
      </c>
      <c r="W16" s="189">
        <v>195</v>
      </c>
      <c r="X16" s="189">
        <v>195</v>
      </c>
      <c r="Y16" s="189">
        <v>196</v>
      </c>
      <c r="Z16" s="1451">
        <v>196</v>
      </c>
      <c r="AA16" s="182">
        <f t="shared" si="7"/>
        <v>196</v>
      </c>
      <c r="AB16" s="182">
        <f t="shared" si="7"/>
        <v>196</v>
      </c>
      <c r="AC16" s="182">
        <f t="shared" si="7"/>
        <v>196</v>
      </c>
      <c r="AD16" s="182"/>
      <c r="AE16" s="182"/>
      <c r="AF16" s="182"/>
      <c r="AG16" s="182"/>
      <c r="AH16" s="182"/>
      <c r="AI16" s="182"/>
      <c r="AJ16" s="156"/>
      <c r="AK16" s="156">
        <f t="shared" si="9"/>
        <v>196</v>
      </c>
      <c r="AL16" s="156">
        <f t="shared" si="9"/>
        <v>196</v>
      </c>
      <c r="AM16" s="156">
        <f t="shared" si="8"/>
        <v>196</v>
      </c>
      <c r="AN16" s="156">
        <f t="shared" si="8"/>
        <v>196</v>
      </c>
      <c r="AO16" s="156">
        <f t="shared" si="8"/>
        <v>196</v>
      </c>
      <c r="AP16" s="210">
        <v>46419</v>
      </c>
      <c r="AQ16" s="210"/>
    </row>
    <row r="17" spans="1:54" ht="11.25" customHeight="1">
      <c r="C17" s="197" t="s">
        <v>1786</v>
      </c>
      <c r="D17" s="190"/>
      <c r="E17" s="191">
        <v>5.7500000000000002E-2</v>
      </c>
      <c r="F17" s="194"/>
      <c r="G17" s="194"/>
      <c r="H17" s="194"/>
      <c r="I17" s="194"/>
      <c r="V17" s="189">
        <v>0</v>
      </c>
      <c r="W17" s="189">
        <v>0</v>
      </c>
      <c r="X17" s="189">
        <v>0</v>
      </c>
      <c r="Y17" s="189">
        <v>0</v>
      </c>
      <c r="Z17" s="189">
        <v>495</v>
      </c>
      <c r="AA17" s="182">
        <f t="shared" si="7"/>
        <v>495</v>
      </c>
      <c r="AB17" s="182">
        <f t="shared" si="7"/>
        <v>495</v>
      </c>
      <c r="AC17" s="182">
        <f t="shared" si="7"/>
        <v>495</v>
      </c>
      <c r="AD17" s="182"/>
      <c r="AE17" s="182"/>
      <c r="AF17" s="182"/>
      <c r="AG17" s="182"/>
      <c r="AH17" s="182"/>
      <c r="AI17" s="182"/>
      <c r="AJ17" s="156"/>
      <c r="AK17" s="156">
        <f t="shared" si="9"/>
        <v>0</v>
      </c>
      <c r="AL17" s="156">
        <f t="shared" si="9"/>
        <v>495</v>
      </c>
      <c r="AM17" s="156">
        <f t="shared" si="8"/>
        <v>495</v>
      </c>
      <c r="AN17" s="156">
        <f t="shared" si="8"/>
        <v>495</v>
      </c>
      <c r="AO17" s="156">
        <f t="shared" si="8"/>
        <v>495</v>
      </c>
      <c r="AP17" s="210">
        <v>48639</v>
      </c>
      <c r="AQ17" s="210"/>
    </row>
    <row r="18" spans="1:54" ht="11.25" customHeight="1">
      <c r="C18" s="197" t="s">
        <v>1139</v>
      </c>
      <c r="D18" s="190"/>
      <c r="E18" s="191">
        <v>4.4999999999999998E-2</v>
      </c>
      <c r="F18" s="194"/>
      <c r="G18" s="194"/>
      <c r="H18" s="194"/>
      <c r="I18" s="194"/>
      <c r="V18" s="189">
        <v>494</v>
      </c>
      <c r="W18" s="189">
        <v>495</v>
      </c>
      <c r="X18" s="189">
        <v>495</v>
      </c>
      <c r="Y18" s="189">
        <v>495</v>
      </c>
      <c r="Z18" s="1451">
        <v>496</v>
      </c>
      <c r="AA18" s="182">
        <f t="shared" ref="AA18:AC23" si="10">Z18-AA40</f>
        <v>496</v>
      </c>
      <c r="AB18" s="182">
        <f t="shared" si="10"/>
        <v>496</v>
      </c>
      <c r="AC18" s="182">
        <f t="shared" si="10"/>
        <v>496</v>
      </c>
      <c r="AD18" s="182"/>
      <c r="AE18" s="182"/>
      <c r="AF18" s="182"/>
      <c r="AG18" s="182"/>
      <c r="AH18" s="182"/>
      <c r="AI18" s="182"/>
      <c r="AJ18" s="156"/>
      <c r="AK18" s="156">
        <f t="shared" si="9"/>
        <v>495</v>
      </c>
      <c r="AL18" s="156">
        <f t="shared" si="9"/>
        <v>496</v>
      </c>
      <c r="AM18" s="156">
        <f t="shared" ref="AM18:AO23" si="11">AL18-AM40</f>
        <v>496</v>
      </c>
      <c r="AN18" s="156">
        <f t="shared" si="11"/>
        <v>496</v>
      </c>
      <c r="AO18" s="156">
        <f t="shared" si="11"/>
        <v>496</v>
      </c>
      <c r="AP18" s="210">
        <v>47088</v>
      </c>
    </row>
    <row r="19" spans="1:54" ht="11.25" customHeight="1">
      <c r="C19" s="197" t="s">
        <v>1140</v>
      </c>
      <c r="D19" s="190"/>
      <c r="E19" s="191">
        <v>4.8000000000000001E-2</v>
      </c>
      <c r="F19" s="194"/>
      <c r="G19" s="194"/>
      <c r="H19" s="194"/>
      <c r="I19" s="194"/>
      <c r="V19" s="189">
        <v>494</v>
      </c>
      <c r="W19" s="189">
        <v>494</v>
      </c>
      <c r="X19" s="189">
        <v>494</v>
      </c>
      <c r="Y19" s="189">
        <v>494</v>
      </c>
      <c r="Z19" s="1451">
        <v>494</v>
      </c>
      <c r="AA19" s="182">
        <f t="shared" si="10"/>
        <v>494</v>
      </c>
      <c r="AB19" s="182">
        <f t="shared" si="10"/>
        <v>494</v>
      </c>
      <c r="AC19" s="182">
        <f t="shared" si="10"/>
        <v>494</v>
      </c>
      <c r="AD19" s="182"/>
      <c r="AE19" s="182"/>
      <c r="AF19" s="182"/>
      <c r="AG19" s="182"/>
      <c r="AH19" s="182"/>
      <c r="AI19" s="182"/>
      <c r="AJ19" s="156"/>
      <c r="AK19" s="156">
        <f t="shared" si="9"/>
        <v>494</v>
      </c>
      <c r="AL19" s="156">
        <f t="shared" si="9"/>
        <v>494</v>
      </c>
      <c r="AM19" s="156">
        <f t="shared" si="11"/>
        <v>494</v>
      </c>
      <c r="AN19" s="156">
        <f t="shared" si="11"/>
        <v>494</v>
      </c>
      <c r="AO19" s="156">
        <f t="shared" si="11"/>
        <v>494</v>
      </c>
      <c r="AP19" s="210">
        <v>52110</v>
      </c>
    </row>
    <row r="20" spans="1:54" ht="11.25" customHeight="1">
      <c r="C20" s="197" t="s">
        <v>1141</v>
      </c>
      <c r="D20" s="190"/>
      <c r="E20" s="191">
        <v>4.65E-2</v>
      </c>
      <c r="F20" s="194"/>
      <c r="G20" s="194"/>
      <c r="H20" s="194"/>
      <c r="I20" s="194"/>
      <c r="V20" s="189">
        <v>875</v>
      </c>
      <c r="W20" s="189">
        <v>876</v>
      </c>
      <c r="X20" s="189">
        <v>876</v>
      </c>
      <c r="Y20" s="189">
        <v>877</v>
      </c>
      <c r="Z20" s="1451">
        <v>877</v>
      </c>
      <c r="AA20" s="182">
        <f t="shared" si="10"/>
        <v>877</v>
      </c>
      <c r="AB20" s="182">
        <f t="shared" si="10"/>
        <v>877</v>
      </c>
      <c r="AC20" s="182">
        <f t="shared" si="10"/>
        <v>877</v>
      </c>
      <c r="AD20" s="182"/>
      <c r="AE20" s="182"/>
      <c r="AF20" s="182"/>
      <c r="AG20" s="182"/>
      <c r="AH20" s="182"/>
      <c r="AI20" s="182"/>
      <c r="AJ20" s="156"/>
      <c r="AK20" s="156">
        <f t="shared" si="9"/>
        <v>877</v>
      </c>
      <c r="AL20" s="156">
        <f t="shared" si="9"/>
        <v>877</v>
      </c>
      <c r="AM20" s="156">
        <f t="shared" si="11"/>
        <v>877</v>
      </c>
      <c r="AN20" s="156">
        <f t="shared" si="11"/>
        <v>877</v>
      </c>
      <c r="AO20" s="156">
        <f t="shared" si="11"/>
        <v>877</v>
      </c>
      <c r="AP20" s="210">
        <v>52810</v>
      </c>
    </row>
    <row r="21" spans="1:54" ht="11.25" customHeight="1">
      <c r="C21" s="197" t="s">
        <v>1203</v>
      </c>
      <c r="D21" s="190"/>
      <c r="E21" s="191">
        <v>5.5500000000000001E-2</v>
      </c>
      <c r="F21" s="194"/>
      <c r="G21" s="194"/>
      <c r="H21" s="194"/>
      <c r="I21" s="194"/>
      <c r="V21" s="189">
        <v>0</v>
      </c>
      <c r="W21" s="189">
        <v>499</v>
      </c>
      <c r="X21" s="189">
        <v>499</v>
      </c>
      <c r="Y21" s="189">
        <v>499</v>
      </c>
      <c r="Z21" s="1451">
        <v>300</v>
      </c>
      <c r="AA21" s="182">
        <f t="shared" si="10"/>
        <v>300</v>
      </c>
      <c r="AB21" s="182">
        <f t="shared" si="10"/>
        <v>300</v>
      </c>
      <c r="AC21" s="182">
        <f t="shared" si="10"/>
        <v>300</v>
      </c>
      <c r="AD21" s="182"/>
      <c r="AE21" s="182"/>
      <c r="AF21" s="182"/>
      <c r="AG21" s="182"/>
      <c r="AH21" s="182"/>
      <c r="AI21" s="182"/>
      <c r="AJ21" s="156"/>
      <c r="AK21" s="156">
        <f t="shared" si="9"/>
        <v>499</v>
      </c>
      <c r="AL21" s="156">
        <f t="shared" si="9"/>
        <v>300</v>
      </c>
      <c r="AM21" s="156">
        <f t="shared" si="11"/>
        <v>300</v>
      </c>
      <c r="AN21" s="156">
        <f t="shared" si="11"/>
        <v>300</v>
      </c>
      <c r="AO21" s="156">
        <f t="shared" si="11"/>
        <v>300</v>
      </c>
      <c r="AP21" s="210">
        <v>46600</v>
      </c>
    </row>
    <row r="22" spans="1:54" ht="11.25" customHeight="1">
      <c r="C22" s="197" t="s">
        <v>1538</v>
      </c>
      <c r="D22" s="190"/>
      <c r="E22" s="191">
        <v>5.7500000000000002E-2</v>
      </c>
      <c r="F22" s="194"/>
      <c r="G22" s="194"/>
      <c r="H22" s="194"/>
      <c r="I22" s="194"/>
      <c r="V22" s="189">
        <v>0</v>
      </c>
      <c r="W22" s="189">
        <v>499</v>
      </c>
      <c r="X22" s="189">
        <v>499</v>
      </c>
      <c r="Y22" s="189">
        <v>0</v>
      </c>
      <c r="Z22" s="1451">
        <v>499</v>
      </c>
      <c r="AA22" s="182">
        <f t="shared" si="10"/>
        <v>499</v>
      </c>
      <c r="AB22" s="182">
        <f t="shared" si="10"/>
        <v>499</v>
      </c>
      <c r="AC22" s="182">
        <f t="shared" si="10"/>
        <v>499</v>
      </c>
      <c r="AD22" s="182"/>
      <c r="AE22" s="182"/>
      <c r="AF22" s="182"/>
      <c r="AG22" s="182"/>
      <c r="AH22" s="182"/>
      <c r="AI22" s="182"/>
      <c r="AJ22" s="156"/>
      <c r="AK22" s="156">
        <f t="shared" si="9"/>
        <v>0</v>
      </c>
      <c r="AL22" s="156">
        <f t="shared" si="9"/>
        <v>499</v>
      </c>
      <c r="AM22" s="156">
        <f t="shared" si="11"/>
        <v>499</v>
      </c>
      <c r="AN22" s="156">
        <f t="shared" si="11"/>
        <v>499</v>
      </c>
      <c r="AO22" s="156">
        <f t="shared" si="11"/>
        <v>499</v>
      </c>
      <c r="AP22" s="210">
        <v>48792</v>
      </c>
    </row>
    <row r="23" spans="1:54" ht="11.25" customHeight="1">
      <c r="C23" s="197" t="s">
        <v>448</v>
      </c>
      <c r="D23" s="190"/>
      <c r="E23" s="191">
        <v>4.8500000000000001E-2</v>
      </c>
      <c r="F23" s="194"/>
      <c r="G23" s="194"/>
      <c r="H23" s="194"/>
      <c r="I23" s="194"/>
      <c r="V23" s="189">
        <v>236</v>
      </c>
      <c r="W23" s="189">
        <v>0</v>
      </c>
      <c r="X23" s="189">
        <v>355</v>
      </c>
      <c r="Y23" s="189">
        <v>326</v>
      </c>
      <c r="Z23" s="1451">
        <v>0</v>
      </c>
      <c r="AA23" s="182">
        <f t="shared" si="10"/>
        <v>0</v>
      </c>
      <c r="AB23" s="182">
        <f t="shared" si="10"/>
        <v>0</v>
      </c>
      <c r="AC23" s="182">
        <f t="shared" si="10"/>
        <v>0</v>
      </c>
      <c r="AD23" s="182"/>
      <c r="AE23" s="182"/>
      <c r="AF23" s="182"/>
      <c r="AG23" s="182"/>
      <c r="AH23" s="182"/>
      <c r="AI23" s="182"/>
      <c r="AJ23" s="156"/>
      <c r="AK23" s="156">
        <f t="shared" si="9"/>
        <v>326</v>
      </c>
      <c r="AL23" s="156">
        <f t="shared" si="9"/>
        <v>0</v>
      </c>
      <c r="AM23" s="156">
        <f t="shared" si="11"/>
        <v>0</v>
      </c>
      <c r="AN23" s="156">
        <f t="shared" si="11"/>
        <v>0</v>
      </c>
      <c r="AO23" s="156">
        <f t="shared" si="11"/>
        <v>0</v>
      </c>
      <c r="AP23" s="210">
        <v>46387</v>
      </c>
    </row>
    <row r="24" spans="1:54" ht="11.25" customHeight="1">
      <c r="C24" s="197" t="s">
        <v>449</v>
      </c>
      <c r="D24" s="190"/>
      <c r="E24" s="193">
        <f>SUMPRODUCT(E10:E23,Y10:Y23)/SUM(Y10:Y23)</f>
        <v>4.1738351776354106E-2</v>
      </c>
      <c r="F24" s="194"/>
      <c r="G24" s="194"/>
      <c r="H24" s="194"/>
      <c r="I24" s="194"/>
      <c r="V24" s="182">
        <f>V106</f>
        <v>0</v>
      </c>
      <c r="W24" s="182">
        <f t="shared" ref="W24:Y24" si="12">W106</f>
        <v>0</v>
      </c>
      <c r="X24" s="182">
        <f t="shared" si="12"/>
        <v>0</v>
      </c>
      <c r="Y24" s="182">
        <f t="shared" ca="1" si="12"/>
        <v>0</v>
      </c>
      <c r="Z24" s="182">
        <f t="shared" ref="Z24" ca="1" si="13">Z106</f>
        <v>0</v>
      </c>
      <c r="AA24" s="182">
        <f t="shared" ref="AA24:AC24" ca="1" si="14">AA106</f>
        <v>0</v>
      </c>
      <c r="AB24" s="182">
        <f t="shared" ca="1" si="14"/>
        <v>0</v>
      </c>
      <c r="AC24" s="182">
        <f t="shared" ca="1" si="14"/>
        <v>0</v>
      </c>
      <c r="AD24" s="182"/>
      <c r="AE24" s="182"/>
      <c r="AF24" s="182"/>
      <c r="AG24" s="182"/>
      <c r="AH24" s="182"/>
      <c r="AI24" s="182"/>
      <c r="AJ24" s="182"/>
      <c r="AK24" s="156">
        <f t="shared" ca="1" si="9"/>
        <v>0</v>
      </c>
      <c r="AL24" s="156">
        <f t="shared" ca="1" si="9"/>
        <v>0</v>
      </c>
      <c r="AM24" s="182">
        <f ca="1">AM106</f>
        <v>0</v>
      </c>
      <c r="AN24" s="182">
        <f ca="1">AN106</f>
        <v>0</v>
      </c>
      <c r="AO24" s="182">
        <f ca="1">AO106</f>
        <v>0</v>
      </c>
      <c r="AP24" s="192"/>
    </row>
    <row r="25" spans="1:54" ht="11.25" customHeight="1">
      <c r="C25" s="197" t="s">
        <v>450</v>
      </c>
      <c r="D25" s="190"/>
      <c r="E25" s="193">
        <f>E24+0.25%</f>
        <v>4.4238351776354108E-2</v>
      </c>
      <c r="F25" s="194"/>
      <c r="G25" s="194"/>
      <c r="H25" s="194"/>
      <c r="I25" s="194"/>
      <c r="V25" s="182">
        <f>V111</f>
        <v>0</v>
      </c>
      <c r="W25" s="182">
        <f t="shared" ref="W25:Y25" si="15">W111</f>
        <v>0</v>
      </c>
      <c r="X25" s="182">
        <f t="shared" si="15"/>
        <v>0</v>
      </c>
      <c r="Y25" s="182">
        <f t="shared" si="15"/>
        <v>0</v>
      </c>
      <c r="Z25" s="182">
        <f t="shared" ref="Z25" si="16">Z111</f>
        <v>0</v>
      </c>
      <c r="AA25" s="182">
        <f t="shared" ref="AA25:AC25" ca="1" si="17">AA111</f>
        <v>0</v>
      </c>
      <c r="AB25" s="182">
        <f t="shared" ca="1" si="17"/>
        <v>0</v>
      </c>
      <c r="AC25" s="182">
        <f t="shared" ca="1" si="17"/>
        <v>0</v>
      </c>
      <c r="AD25" s="182"/>
      <c r="AE25" s="182"/>
      <c r="AF25" s="182"/>
      <c r="AG25" s="182"/>
      <c r="AH25" s="182"/>
      <c r="AI25" s="182"/>
      <c r="AJ25" s="182"/>
      <c r="AK25" s="156">
        <f t="shared" si="9"/>
        <v>0</v>
      </c>
      <c r="AL25" s="156">
        <f t="shared" ca="1" si="9"/>
        <v>0</v>
      </c>
      <c r="AM25" s="182">
        <f ca="1">AM111</f>
        <v>0</v>
      </c>
      <c r="AN25" s="182">
        <f ca="1">AN111</f>
        <v>0</v>
      </c>
      <c r="AO25" s="182">
        <f ca="1">AO111</f>
        <v>0</v>
      </c>
      <c r="AP25" s="192"/>
    </row>
    <row r="26" spans="1:54" ht="11.25" customHeight="1">
      <c r="C26" s="200" t="s">
        <v>424</v>
      </c>
      <c r="D26" s="190"/>
      <c r="E26" s="195"/>
      <c r="F26" s="195"/>
      <c r="G26" s="195"/>
      <c r="H26" s="195"/>
      <c r="I26" s="195"/>
      <c r="V26" s="196">
        <f t="shared" ref="V26:AC26" si="18">SUM(V10:V25)</f>
        <v>5363</v>
      </c>
      <c r="W26" s="196">
        <f t="shared" si="18"/>
        <v>5490</v>
      </c>
      <c r="X26" s="196">
        <f t="shared" si="18"/>
        <v>5564</v>
      </c>
      <c r="Y26" s="196">
        <f t="shared" ca="1" si="18"/>
        <v>5151</v>
      </c>
      <c r="Z26" s="196">
        <f t="shared" ref="Z26" ca="1" si="19">SUM(Z10:Z25)</f>
        <v>5650</v>
      </c>
      <c r="AA26" s="196">
        <f t="shared" ca="1" si="18"/>
        <v>4834</v>
      </c>
      <c r="AB26" s="196">
        <f t="shared" ca="1" si="18"/>
        <v>4834</v>
      </c>
      <c r="AC26" s="196">
        <f t="shared" ca="1" si="18"/>
        <v>4834</v>
      </c>
      <c r="AD26" s="182"/>
      <c r="AE26" s="182"/>
      <c r="AF26" s="182"/>
      <c r="AG26" s="182"/>
      <c r="AH26" s="182"/>
      <c r="AI26" s="182"/>
      <c r="AJ26" s="196"/>
      <c r="AK26" s="196">
        <f ca="1">SUM(AK10:AK25)</f>
        <v>5151</v>
      </c>
      <c r="AL26" s="196">
        <f ca="1">SUM(AL10:AL25)</f>
        <v>4834</v>
      </c>
      <c r="AM26" s="196">
        <f ca="1">SUM(AM10:AM25)</f>
        <v>4593</v>
      </c>
      <c r="AN26" s="196">
        <f ca="1">SUM(AN10:AN25)</f>
        <v>3899</v>
      </c>
      <c r="AO26" s="196">
        <f ca="1">SUM(AO10:AO25)</f>
        <v>3357</v>
      </c>
      <c r="AP26" s="192"/>
    </row>
    <row r="27" spans="1:54" s="150" customFormat="1" ht="11.25" customHeight="1">
      <c r="A27" s="154"/>
      <c r="B27" s="154"/>
      <c r="C27" s="200"/>
      <c r="D27" s="190"/>
      <c r="E27" s="198"/>
      <c r="F27" s="198"/>
      <c r="G27" s="198"/>
      <c r="H27" s="198"/>
      <c r="I27" s="198"/>
      <c r="J27" s="154"/>
      <c r="K27" s="154"/>
      <c r="L27" s="154"/>
      <c r="M27" s="154"/>
      <c r="N27" s="154"/>
      <c r="O27" s="154"/>
      <c r="P27" s="154"/>
      <c r="Q27" s="154"/>
      <c r="R27" s="154"/>
      <c r="S27" s="154"/>
      <c r="T27" s="154"/>
      <c r="U27" s="154"/>
      <c r="V27" s="199"/>
      <c r="W27" s="199"/>
      <c r="X27" s="199"/>
      <c r="Y27" s="199"/>
      <c r="Z27" s="199"/>
      <c r="AA27" s="199"/>
      <c r="AB27" s="199"/>
      <c r="AC27" s="199"/>
      <c r="AD27" s="199"/>
      <c r="AI27" s="199"/>
      <c r="AJ27" s="199"/>
      <c r="AK27" s="199"/>
      <c r="AL27" s="199"/>
      <c r="AM27" s="199"/>
      <c r="AN27" s="199"/>
      <c r="AO27" s="199"/>
    </row>
    <row r="28" spans="1:54" ht="11.25" customHeight="1">
      <c r="C28" s="415" t="s">
        <v>52</v>
      </c>
      <c r="D28" s="190"/>
      <c r="E28" s="198"/>
      <c r="F28" s="198"/>
      <c r="G28" s="198"/>
      <c r="H28" s="198"/>
      <c r="I28" s="198"/>
      <c r="V28" s="202">
        <f>Financials!AC765</f>
        <v>984</v>
      </c>
      <c r="W28" s="202">
        <f>Financials!AD765</f>
        <v>979</v>
      </c>
      <c r="X28" s="202">
        <f>Financials!AE765</f>
        <v>1086</v>
      </c>
      <c r="Y28" s="202">
        <f>Financials!AF765</f>
        <v>1126</v>
      </c>
      <c r="Z28" s="202">
        <f>Financials!AG765</f>
        <v>1014</v>
      </c>
      <c r="AA28" s="156">
        <f t="shared" ref="AA28:AC28" si="20">AA46</f>
        <v>816</v>
      </c>
      <c r="AB28" s="156">
        <f t="shared" si="20"/>
        <v>0</v>
      </c>
      <c r="AC28" s="156">
        <f t="shared" si="20"/>
        <v>0</v>
      </c>
      <c r="AD28" s="156"/>
      <c r="AI28" s="156"/>
      <c r="AJ28" s="156"/>
      <c r="AK28" s="156">
        <f t="shared" ref="AK28:AL28" si="21">SUMIF($J$6:$AC$6,AK$6,$J28:$AC28)</f>
        <v>1126</v>
      </c>
      <c r="AL28" s="156">
        <f t="shared" si="21"/>
        <v>0</v>
      </c>
      <c r="AM28" s="156">
        <f>AM46</f>
        <v>241</v>
      </c>
      <c r="AN28" s="156">
        <f>AN46</f>
        <v>694</v>
      </c>
      <c r="AO28" s="156">
        <f>AO46</f>
        <v>542</v>
      </c>
    </row>
    <row r="29" spans="1:54" s="150" customFormat="1" ht="11.25" customHeight="1">
      <c r="A29" s="154"/>
      <c r="B29" s="154"/>
      <c r="C29" s="416" t="s">
        <v>425</v>
      </c>
      <c r="D29" s="190"/>
      <c r="E29" s="198"/>
      <c r="F29" s="198"/>
      <c r="G29" s="198"/>
      <c r="H29" s="198"/>
      <c r="I29" s="198"/>
      <c r="J29" s="154"/>
      <c r="K29" s="154"/>
      <c r="L29" s="154"/>
      <c r="M29" s="154"/>
      <c r="N29" s="154"/>
      <c r="O29" s="154"/>
      <c r="P29" s="154"/>
      <c r="Q29" s="154"/>
      <c r="R29" s="154"/>
      <c r="S29" s="154"/>
      <c r="T29" s="154"/>
      <c r="U29" s="154"/>
      <c r="V29" s="201">
        <f t="shared" ref="V29" si="22">+V26-V28</f>
        <v>4379</v>
      </c>
      <c r="W29" s="201">
        <f t="shared" ref="W29:Y29" si="23">+W26-W28</f>
        <v>4511</v>
      </c>
      <c r="X29" s="201">
        <f t="shared" si="23"/>
        <v>4478</v>
      </c>
      <c r="Y29" s="201">
        <f t="shared" ca="1" si="23"/>
        <v>4025</v>
      </c>
      <c r="Z29" s="201">
        <f t="shared" ref="Z29" ca="1" si="24">+Z26-Z28</f>
        <v>4636</v>
      </c>
      <c r="AA29" s="201">
        <f t="shared" ref="AA29:AC29" ca="1" si="25">+AA26-AA28</f>
        <v>4018</v>
      </c>
      <c r="AB29" s="201">
        <f t="shared" ca="1" si="25"/>
        <v>4834</v>
      </c>
      <c r="AC29" s="201">
        <f t="shared" ca="1" si="25"/>
        <v>4834</v>
      </c>
      <c r="AD29" s="199"/>
      <c r="AI29" s="199"/>
      <c r="AJ29" s="201"/>
      <c r="AK29" s="201">
        <f ca="1">+AK26-AK28</f>
        <v>4025</v>
      </c>
      <c r="AL29" s="201">
        <f ca="1">+AL26-AL28</f>
        <v>4834</v>
      </c>
      <c r="AM29" s="201">
        <f ca="1">+AM26-AM28</f>
        <v>4352</v>
      </c>
      <c r="AN29" s="201">
        <f ca="1">+AN26-AN28</f>
        <v>3205</v>
      </c>
      <c r="AO29" s="201">
        <f ca="1">+AO26-AO28</f>
        <v>2815</v>
      </c>
    </row>
    <row r="30" spans="1:54" ht="11.25" customHeight="1">
      <c r="C30" s="190"/>
      <c r="D30" s="190"/>
    </row>
    <row r="31" spans="1:54" s="182" customFormat="1" ht="11.25" customHeight="1">
      <c r="B31" s="183" t="s">
        <v>14</v>
      </c>
      <c r="C31" s="184" t="s">
        <v>426</v>
      </c>
      <c r="D31" s="184"/>
      <c r="E31" s="184"/>
      <c r="F31" s="184"/>
      <c r="G31" s="184"/>
      <c r="H31" s="184"/>
      <c r="I31" s="184"/>
      <c r="J31" s="185"/>
      <c r="K31" s="185"/>
      <c r="L31" s="185"/>
      <c r="M31" s="185"/>
      <c r="N31" s="185"/>
      <c r="O31" s="185"/>
      <c r="P31" s="185"/>
      <c r="Q31" s="185"/>
      <c r="R31" s="185"/>
      <c r="S31" s="185"/>
      <c r="T31" s="185"/>
      <c r="U31" s="185"/>
      <c r="V31" s="185"/>
      <c r="W31" s="185"/>
      <c r="X31" s="185"/>
      <c r="Y31" s="185"/>
      <c r="Z31" s="185"/>
      <c r="AA31" s="185"/>
      <c r="AB31" s="185"/>
      <c r="AC31" s="185"/>
      <c r="AD31" s="186"/>
      <c r="AE31" s="187"/>
      <c r="AF31" s="187"/>
      <c r="AG31" s="187"/>
      <c r="AH31" s="187"/>
      <c r="AI31" s="187"/>
      <c r="AJ31" s="187"/>
      <c r="AK31" s="187"/>
      <c r="AL31" s="187"/>
      <c r="AM31" s="187"/>
      <c r="AN31" s="187"/>
      <c r="AO31" s="187"/>
      <c r="AP31" s="162"/>
      <c r="AQ31" s="162"/>
      <c r="AR31" s="162"/>
      <c r="AS31" s="162"/>
      <c r="AT31" s="162"/>
      <c r="AU31" s="162"/>
      <c r="AV31" s="162"/>
      <c r="AW31" s="162"/>
      <c r="AX31" s="162"/>
      <c r="AY31" s="162"/>
      <c r="AZ31" s="162"/>
      <c r="BA31" s="162"/>
      <c r="BB31" s="162"/>
    </row>
    <row r="33" spans="3:41" ht="11.25" customHeight="1">
      <c r="C33" s="197" t="str">
        <f t="shared" ref="C33:C39" si="26">C10</f>
        <v>3.6% notes due August 2022</v>
      </c>
      <c r="T33" s="182"/>
      <c r="U33" s="182"/>
      <c r="V33" s="182"/>
      <c r="W33" s="182"/>
      <c r="X33" s="182"/>
      <c r="Y33" s="182"/>
      <c r="Z33" s="182"/>
      <c r="AA33" s="182">
        <f t="shared" ref="AA33:AC39" si="27">IF(IF(AND($AP10&gt;Z$6,$AP10&lt;=AA$6),1,0)=1,Z10,0)</f>
        <v>0</v>
      </c>
      <c r="AB33" s="182">
        <f t="shared" si="27"/>
        <v>0</v>
      </c>
      <c r="AC33" s="182">
        <f t="shared" si="27"/>
        <v>0</v>
      </c>
      <c r="AD33" s="182"/>
      <c r="AE33" s="182"/>
      <c r="AF33" s="182"/>
      <c r="AG33" s="182"/>
      <c r="AH33" s="182"/>
      <c r="AI33" s="182"/>
      <c r="AJ33" s="156"/>
      <c r="AK33" s="156">
        <f t="shared" ref="AK33:AK36" si="28">SUMIF($J$5:$AC$5,AK$5,$J33:$AC33)</f>
        <v>0</v>
      </c>
      <c r="AL33" s="156">
        <f t="shared" ref="AL33:AL45" si="29">SUMIF($J$5:$AC$5,AL$5,$J33:$AC33)</f>
        <v>0</v>
      </c>
      <c r="AM33" s="182">
        <f t="shared" ref="AM33:AO39" si="30">IF(IF(AND($AP10&gt;AL$6,$AP10&lt;=AM$6),1,0)=1,AL10,0)</f>
        <v>0</v>
      </c>
      <c r="AN33" s="182">
        <f t="shared" si="30"/>
        <v>0</v>
      </c>
      <c r="AO33" s="182">
        <f t="shared" si="30"/>
        <v>0</v>
      </c>
    </row>
    <row r="34" spans="3:41" ht="11.25" customHeight="1">
      <c r="C34" s="197" t="str">
        <f t="shared" si="26"/>
        <v>1.50% notes due May 2023</v>
      </c>
      <c r="T34" s="182"/>
      <c r="U34" s="182"/>
      <c r="V34" s="182"/>
      <c r="W34" s="182"/>
      <c r="X34" s="182"/>
      <c r="Y34" s="182"/>
      <c r="Z34" s="182"/>
      <c r="AA34" s="182">
        <f t="shared" si="27"/>
        <v>816</v>
      </c>
      <c r="AB34" s="182">
        <f t="shared" si="27"/>
        <v>0</v>
      </c>
      <c r="AC34" s="182">
        <f t="shared" si="27"/>
        <v>0</v>
      </c>
      <c r="AD34" s="182"/>
      <c r="AE34" s="182"/>
      <c r="AF34" s="182"/>
      <c r="AG34" s="182"/>
      <c r="AH34" s="182"/>
      <c r="AI34" s="182"/>
      <c r="AJ34" s="156"/>
      <c r="AK34" s="156">
        <f t="shared" si="28"/>
        <v>0</v>
      </c>
      <c r="AL34" s="156">
        <f t="shared" si="29"/>
        <v>816</v>
      </c>
      <c r="AM34" s="182">
        <f t="shared" si="30"/>
        <v>0</v>
      </c>
      <c r="AN34" s="182">
        <f t="shared" si="30"/>
        <v>0</v>
      </c>
      <c r="AO34" s="182">
        <f t="shared" si="30"/>
        <v>0</v>
      </c>
    </row>
    <row r="35" spans="3:41" ht="11.25" customHeight="1">
      <c r="C35" s="197" t="str">
        <f t="shared" si="26"/>
        <v>7 1/4% debentures due January 2024</v>
      </c>
      <c r="T35" s="182"/>
      <c r="U35" s="182"/>
      <c r="V35" s="182"/>
      <c r="W35" s="182"/>
      <c r="X35" s="182"/>
      <c r="Y35" s="182"/>
      <c r="Z35" s="182"/>
      <c r="AA35" s="182">
        <f t="shared" si="27"/>
        <v>0</v>
      </c>
      <c r="AB35" s="182">
        <f t="shared" si="27"/>
        <v>0</v>
      </c>
      <c r="AC35" s="182">
        <f t="shared" si="27"/>
        <v>0</v>
      </c>
      <c r="AD35" s="182"/>
      <c r="AE35" s="182"/>
      <c r="AF35" s="182"/>
      <c r="AG35" s="182"/>
      <c r="AH35" s="182"/>
      <c r="AI35" s="182"/>
      <c r="AJ35" s="156"/>
      <c r="AK35" s="156">
        <f t="shared" si="28"/>
        <v>0</v>
      </c>
      <c r="AL35" s="156">
        <f t="shared" si="29"/>
        <v>0</v>
      </c>
      <c r="AM35" s="182">
        <f t="shared" si="30"/>
        <v>198</v>
      </c>
      <c r="AN35" s="182">
        <f t="shared" si="30"/>
        <v>0</v>
      </c>
      <c r="AO35" s="182">
        <f t="shared" si="30"/>
        <v>0</v>
      </c>
    </row>
    <row r="36" spans="3:41" ht="11.25" customHeight="1">
      <c r="C36" s="197" t="str">
        <f t="shared" si="26"/>
        <v>7 5/8% debentures due June 2024</v>
      </c>
      <c r="T36" s="182"/>
      <c r="U36" s="182"/>
      <c r="V36" s="182"/>
      <c r="W36" s="182"/>
      <c r="X36" s="182"/>
      <c r="Y36" s="182"/>
      <c r="Z36" s="182"/>
      <c r="AA36" s="182">
        <f t="shared" si="27"/>
        <v>0</v>
      </c>
      <c r="AB36" s="182">
        <f t="shared" si="27"/>
        <v>0</v>
      </c>
      <c r="AC36" s="182">
        <f t="shared" si="27"/>
        <v>0</v>
      </c>
      <c r="AD36" s="182"/>
      <c r="AE36" s="182"/>
      <c r="AF36" s="182"/>
      <c r="AG36" s="182"/>
      <c r="AH36" s="182"/>
      <c r="AI36" s="182"/>
      <c r="AJ36" s="156"/>
      <c r="AK36" s="156">
        <f t="shared" si="28"/>
        <v>0</v>
      </c>
      <c r="AL36" s="156">
        <f t="shared" si="29"/>
        <v>0</v>
      </c>
      <c r="AM36" s="182">
        <f t="shared" si="30"/>
        <v>43</v>
      </c>
      <c r="AN36" s="182">
        <f t="shared" si="30"/>
        <v>0</v>
      </c>
      <c r="AO36" s="182">
        <f t="shared" si="30"/>
        <v>0</v>
      </c>
    </row>
    <row r="37" spans="3:41" ht="11.25" customHeight="1">
      <c r="C37" s="197" t="str">
        <f t="shared" si="26"/>
        <v>3.8% notes due March 2025</v>
      </c>
      <c r="T37" s="182"/>
      <c r="U37" s="182"/>
      <c r="V37" s="182"/>
      <c r="W37" s="182"/>
      <c r="X37" s="182"/>
      <c r="Y37" s="182"/>
      <c r="Z37" s="182"/>
      <c r="AA37" s="182">
        <f t="shared" si="27"/>
        <v>0</v>
      </c>
      <c r="AB37" s="182">
        <f t="shared" si="27"/>
        <v>0</v>
      </c>
      <c r="AC37" s="182">
        <f t="shared" si="27"/>
        <v>0</v>
      </c>
      <c r="AD37" s="182"/>
      <c r="AE37" s="182"/>
      <c r="AF37" s="182"/>
      <c r="AG37" s="182"/>
      <c r="AH37" s="182"/>
      <c r="AI37" s="182"/>
      <c r="AJ37" s="156"/>
      <c r="AK37" s="156">
        <f>SUMIF($J$5:$AC$5,AK$5,$J37:$AC37)</f>
        <v>0</v>
      </c>
      <c r="AL37" s="156">
        <f t="shared" si="29"/>
        <v>0</v>
      </c>
      <c r="AM37" s="182">
        <f t="shared" si="30"/>
        <v>0</v>
      </c>
      <c r="AN37" s="182">
        <f t="shared" si="30"/>
        <v>694</v>
      </c>
      <c r="AO37" s="182">
        <f t="shared" si="30"/>
        <v>0</v>
      </c>
    </row>
    <row r="38" spans="3:41" ht="11.25" customHeight="1">
      <c r="C38" s="197" t="str">
        <f t="shared" si="26"/>
        <v>1.875% notes due November 2026</v>
      </c>
      <c r="T38" s="182"/>
      <c r="U38" s="182"/>
      <c r="V38" s="182"/>
      <c r="W38" s="182"/>
      <c r="X38" s="182"/>
      <c r="Y38" s="182"/>
      <c r="Z38" s="182"/>
      <c r="AA38" s="182">
        <f t="shared" si="27"/>
        <v>0</v>
      </c>
      <c r="AB38" s="182">
        <f t="shared" si="27"/>
        <v>0</v>
      </c>
      <c r="AC38" s="182">
        <f t="shared" si="27"/>
        <v>0</v>
      </c>
      <c r="AD38" s="182"/>
      <c r="AE38" s="182"/>
      <c r="AF38" s="182"/>
      <c r="AG38" s="182"/>
      <c r="AH38" s="182"/>
      <c r="AI38" s="182"/>
      <c r="AJ38" s="156"/>
      <c r="AK38" s="156">
        <f t="shared" ref="AK38:AK45" si="31">SUMIF($J$5:$AC$5,AK$5,$J38:$AC38)</f>
        <v>0</v>
      </c>
      <c r="AL38" s="156">
        <f t="shared" si="29"/>
        <v>0</v>
      </c>
      <c r="AM38" s="182">
        <f t="shared" si="30"/>
        <v>0</v>
      </c>
      <c r="AN38" s="182">
        <f t="shared" si="30"/>
        <v>0</v>
      </c>
      <c r="AO38" s="182">
        <f t="shared" si="30"/>
        <v>542</v>
      </c>
    </row>
    <row r="39" spans="3:41" ht="11.25" customHeight="1">
      <c r="C39" s="197" t="str">
        <f t="shared" si="26"/>
        <v>7.60% debentures due February 2027</v>
      </c>
      <c r="T39" s="182"/>
      <c r="U39" s="182"/>
      <c r="V39" s="182"/>
      <c r="W39" s="182"/>
      <c r="X39" s="182"/>
      <c r="Y39" s="182"/>
      <c r="Z39" s="182"/>
      <c r="AA39" s="182">
        <f t="shared" si="27"/>
        <v>0</v>
      </c>
      <c r="AB39" s="182">
        <f t="shared" si="27"/>
        <v>0</v>
      </c>
      <c r="AC39" s="182">
        <f t="shared" si="27"/>
        <v>0</v>
      </c>
      <c r="AD39" s="182"/>
      <c r="AE39" s="182"/>
      <c r="AF39" s="182"/>
      <c r="AG39" s="182"/>
      <c r="AH39" s="182"/>
      <c r="AI39" s="182"/>
      <c r="AJ39" s="156"/>
      <c r="AK39" s="156">
        <f t="shared" si="31"/>
        <v>0</v>
      </c>
      <c r="AL39" s="156">
        <f t="shared" si="29"/>
        <v>0</v>
      </c>
      <c r="AM39" s="182">
        <f t="shared" si="30"/>
        <v>0</v>
      </c>
      <c r="AN39" s="182">
        <f t="shared" si="30"/>
        <v>0</v>
      </c>
      <c r="AO39" s="182">
        <f t="shared" si="30"/>
        <v>0</v>
      </c>
    </row>
    <row r="40" spans="3:41" s="1455" customFormat="1" ht="11.25" customHeight="1">
      <c r="C40" s="1454" t="str">
        <f t="shared" ref="C40:C45" si="32">C18</f>
        <v>4.5% notes due December 2028</v>
      </c>
      <c r="T40" s="1456"/>
      <c r="U40" s="1456"/>
      <c r="V40" s="1456"/>
      <c r="W40" s="1456"/>
      <c r="X40" s="1456"/>
      <c r="Y40" s="1456"/>
      <c r="Z40" s="1456"/>
      <c r="AA40" s="1456">
        <f t="shared" ref="AA40:AC43" si="33">IF(IF(AND($AP18&gt;Z$6,$AP18&lt;=AA$6),1,0)=1,Z18,0)</f>
        <v>0</v>
      </c>
      <c r="AB40" s="1456">
        <f t="shared" si="33"/>
        <v>0</v>
      </c>
      <c r="AC40" s="1456">
        <f t="shared" si="33"/>
        <v>0</v>
      </c>
      <c r="AD40" s="1456"/>
      <c r="AE40" s="1456"/>
      <c r="AF40" s="1456"/>
      <c r="AG40" s="1456"/>
      <c r="AH40" s="1456"/>
      <c r="AI40" s="1456"/>
      <c r="AJ40" s="1457"/>
      <c r="AK40" s="1457">
        <f t="shared" si="31"/>
        <v>0</v>
      </c>
      <c r="AL40" s="1457">
        <f t="shared" si="29"/>
        <v>0</v>
      </c>
      <c r="AM40" s="1456">
        <f t="shared" ref="AM40:AO45" si="34">IF(IF(AND($AP18&gt;AL$6,$AP18&lt;=AM$6),1,0)=1,AL18,0)</f>
        <v>0</v>
      </c>
      <c r="AN40" s="1456">
        <f t="shared" si="34"/>
        <v>0</v>
      </c>
      <c r="AO40" s="1456">
        <f t="shared" si="34"/>
        <v>0</v>
      </c>
    </row>
    <row r="41" spans="3:41" ht="11.25" customHeight="1">
      <c r="C41" s="197" t="str">
        <f t="shared" si="32"/>
        <v>4.8% notes due September 2042</v>
      </c>
      <c r="T41" s="182"/>
      <c r="U41" s="182"/>
      <c r="V41" s="182"/>
      <c r="W41" s="182"/>
      <c r="X41" s="182"/>
      <c r="Y41" s="182"/>
      <c r="Z41" s="182"/>
      <c r="AA41" s="182">
        <f t="shared" si="33"/>
        <v>0</v>
      </c>
      <c r="AB41" s="182">
        <f t="shared" si="33"/>
        <v>0</v>
      </c>
      <c r="AC41" s="182">
        <f t="shared" si="33"/>
        <v>0</v>
      </c>
      <c r="AD41" s="182"/>
      <c r="AE41" s="182"/>
      <c r="AF41" s="182"/>
      <c r="AG41" s="182"/>
      <c r="AH41" s="182"/>
      <c r="AI41" s="182"/>
      <c r="AJ41" s="156"/>
      <c r="AK41" s="156">
        <f t="shared" si="31"/>
        <v>0</v>
      </c>
      <c r="AL41" s="156">
        <f t="shared" si="29"/>
        <v>0</v>
      </c>
      <c r="AM41" s="182">
        <f t="shared" si="34"/>
        <v>0</v>
      </c>
      <c r="AN41" s="182">
        <f t="shared" si="34"/>
        <v>0</v>
      </c>
      <c r="AO41" s="182">
        <f t="shared" si="34"/>
        <v>0</v>
      </c>
    </row>
    <row r="42" spans="3:41" ht="11.25" customHeight="1">
      <c r="C42" s="197" t="str">
        <f t="shared" si="32"/>
        <v>4.65% notes due October 2044</v>
      </c>
      <c r="T42" s="182"/>
      <c r="U42" s="182"/>
      <c r="V42" s="182"/>
      <c r="W42" s="182"/>
      <c r="X42" s="182"/>
      <c r="Y42" s="182"/>
      <c r="Z42" s="182"/>
      <c r="AA42" s="182">
        <f t="shared" si="33"/>
        <v>0</v>
      </c>
      <c r="AB42" s="182">
        <f t="shared" si="33"/>
        <v>0</v>
      </c>
      <c r="AC42" s="182">
        <f t="shared" si="33"/>
        <v>0</v>
      </c>
      <c r="AD42" s="182"/>
      <c r="AE42" s="182"/>
      <c r="AF42" s="182"/>
      <c r="AG42" s="182"/>
      <c r="AH42" s="182"/>
      <c r="AI42" s="182"/>
      <c r="AJ42" s="156"/>
      <c r="AK42" s="156">
        <f t="shared" si="31"/>
        <v>0</v>
      </c>
      <c r="AL42" s="156">
        <f t="shared" si="29"/>
        <v>0</v>
      </c>
      <c r="AM42" s="182">
        <f t="shared" si="34"/>
        <v>0</v>
      </c>
      <c r="AN42" s="182">
        <f t="shared" si="34"/>
        <v>0</v>
      </c>
      <c r="AO42" s="182">
        <f t="shared" si="34"/>
        <v>0</v>
      </c>
    </row>
    <row r="43" spans="3:41" ht="11.25" customHeight="1">
      <c r="C43" s="197" t="str">
        <f t="shared" si="32"/>
        <v>Term Loan</v>
      </c>
      <c r="T43" s="182"/>
      <c r="U43" s="182"/>
      <c r="V43" s="182"/>
      <c r="W43" s="182"/>
      <c r="X43" s="182"/>
      <c r="Y43" s="182"/>
      <c r="Z43" s="182"/>
      <c r="AA43" s="182">
        <f t="shared" si="33"/>
        <v>0</v>
      </c>
      <c r="AB43" s="182">
        <f t="shared" si="33"/>
        <v>0</v>
      </c>
      <c r="AC43" s="182">
        <f t="shared" si="33"/>
        <v>0</v>
      </c>
      <c r="AD43" s="182"/>
      <c r="AE43" s="182"/>
      <c r="AF43" s="182"/>
      <c r="AG43" s="182"/>
      <c r="AH43" s="182"/>
      <c r="AI43" s="182"/>
      <c r="AJ43" s="156"/>
      <c r="AK43" s="156">
        <f t="shared" si="31"/>
        <v>0</v>
      </c>
      <c r="AL43" s="156">
        <f t="shared" si="29"/>
        <v>0</v>
      </c>
      <c r="AM43" s="182">
        <f t="shared" si="34"/>
        <v>0</v>
      </c>
      <c r="AN43" s="182">
        <f t="shared" si="34"/>
        <v>0</v>
      </c>
      <c r="AO43" s="182">
        <f t="shared" si="34"/>
        <v>0</v>
      </c>
    </row>
    <row r="44" spans="3:41" ht="11.25" customHeight="1">
      <c r="C44" s="197" t="str">
        <f t="shared" si="32"/>
        <v>Green Bond</v>
      </c>
      <c r="T44" s="182"/>
      <c r="U44" s="182"/>
      <c r="V44" s="182"/>
      <c r="W44" s="182"/>
      <c r="X44" s="182"/>
      <c r="Y44" s="182"/>
      <c r="Z44" s="182"/>
      <c r="AA44" s="182">
        <f t="shared" ref="AA44:AC45" si="35">IF(IF(AND($AP22&gt;Z$6,$AP22&lt;=AA$6),1,0)=1,Z22,0)</f>
        <v>0</v>
      </c>
      <c r="AB44" s="182">
        <f t="shared" si="35"/>
        <v>0</v>
      </c>
      <c r="AC44" s="182">
        <f t="shared" si="35"/>
        <v>0</v>
      </c>
      <c r="AD44" s="182"/>
      <c r="AE44" s="182"/>
      <c r="AF44" s="182"/>
      <c r="AG44" s="182"/>
      <c r="AH44" s="182"/>
      <c r="AI44" s="182"/>
      <c r="AJ44" s="156"/>
      <c r="AK44" s="156">
        <f t="shared" si="31"/>
        <v>0</v>
      </c>
      <c r="AL44" s="156">
        <f t="shared" si="29"/>
        <v>0</v>
      </c>
      <c r="AM44" s="182">
        <f t="shared" si="34"/>
        <v>0</v>
      </c>
      <c r="AN44" s="182">
        <f t="shared" si="34"/>
        <v>0</v>
      </c>
      <c r="AO44" s="182">
        <f t="shared" si="34"/>
        <v>0</v>
      </c>
    </row>
    <row r="45" spans="3:41" ht="11.25" customHeight="1">
      <c r="C45" s="197" t="str">
        <f t="shared" si="32"/>
        <v>Commercial paper and short-term borrowings</v>
      </c>
      <c r="T45" s="182"/>
      <c r="U45" s="182"/>
      <c r="V45" s="182"/>
      <c r="W45" s="182"/>
      <c r="X45" s="182"/>
      <c r="Y45" s="182"/>
      <c r="Z45" s="182"/>
      <c r="AA45" s="182">
        <f t="shared" si="35"/>
        <v>0</v>
      </c>
      <c r="AB45" s="182">
        <f t="shared" si="35"/>
        <v>0</v>
      </c>
      <c r="AC45" s="182">
        <f t="shared" si="35"/>
        <v>0</v>
      </c>
      <c r="AD45" s="182"/>
      <c r="AE45" s="182"/>
      <c r="AF45" s="182"/>
      <c r="AG45" s="182"/>
      <c r="AH45" s="182"/>
      <c r="AI45" s="182"/>
      <c r="AJ45" s="156"/>
      <c r="AK45" s="156">
        <f t="shared" si="31"/>
        <v>0</v>
      </c>
      <c r="AL45" s="156">
        <f t="shared" si="29"/>
        <v>0</v>
      </c>
      <c r="AM45" s="182">
        <f t="shared" si="34"/>
        <v>0</v>
      </c>
      <c r="AN45" s="182">
        <f t="shared" si="34"/>
        <v>0</v>
      </c>
      <c r="AO45" s="182">
        <f t="shared" si="34"/>
        <v>0</v>
      </c>
    </row>
    <row r="46" spans="3:41" s="182" customFormat="1" ht="11.25" customHeight="1">
      <c r="C46" s="206" t="s">
        <v>427</v>
      </c>
      <c r="D46" s="151"/>
      <c r="E46" s="151"/>
      <c r="F46" s="151"/>
      <c r="G46" s="151"/>
      <c r="H46" s="151"/>
      <c r="I46" s="151"/>
      <c r="J46" s="151"/>
      <c r="K46" s="151"/>
      <c r="L46" s="151"/>
      <c r="M46" s="151"/>
      <c r="N46" s="151"/>
      <c r="O46" s="151"/>
      <c r="P46" s="151"/>
      <c r="Q46" s="151"/>
      <c r="R46" s="151"/>
      <c r="S46" s="151"/>
      <c r="T46" s="151"/>
      <c r="AA46" s="204">
        <f>SUM(AA33:AA45)</f>
        <v>816</v>
      </c>
      <c r="AB46" s="204">
        <f>SUM(AB33:AB45)</f>
        <v>0</v>
      </c>
      <c r="AC46" s="204">
        <f>SUM(AC33:AC45)</f>
        <v>0</v>
      </c>
      <c r="AD46" s="151"/>
      <c r="AE46" s="151"/>
      <c r="AF46" s="151"/>
      <c r="AG46" s="151"/>
      <c r="AH46" s="151"/>
      <c r="AI46" s="151"/>
      <c r="AJ46" s="204"/>
      <c r="AK46" s="204">
        <f>SUM(AK33:AK45)</f>
        <v>0</v>
      </c>
      <c r="AL46" s="204">
        <f>SUM(AL33:AL45)</f>
        <v>816</v>
      </c>
      <c r="AM46" s="204">
        <f>SUM(AM33:AM45)</f>
        <v>241</v>
      </c>
      <c r="AN46" s="204">
        <f>SUM(AN33:AN45)</f>
        <v>694</v>
      </c>
      <c r="AO46" s="204">
        <f>SUM(AO33:AO45)</f>
        <v>542</v>
      </c>
    </row>
    <row r="47" spans="3:41" s="182" customFormat="1" ht="11.25" customHeight="1">
      <c r="C47" s="206"/>
      <c r="D47" s="151"/>
      <c r="E47" s="151"/>
      <c r="F47" s="151"/>
      <c r="G47" s="151"/>
      <c r="H47" s="151"/>
      <c r="I47" s="151"/>
      <c r="J47" s="151"/>
      <c r="K47" s="151"/>
      <c r="L47" s="151"/>
      <c r="M47" s="151"/>
      <c r="N47" s="151"/>
      <c r="O47" s="151"/>
      <c r="P47" s="151"/>
      <c r="Q47" s="151"/>
      <c r="R47" s="151"/>
      <c r="S47" s="151" t="s">
        <v>428</v>
      </c>
      <c r="T47" s="151"/>
      <c r="AA47" s="151"/>
      <c r="AB47" s="151"/>
      <c r="AC47" s="151"/>
      <c r="AD47" s="151"/>
      <c r="AE47" s="151"/>
      <c r="AF47" s="151"/>
      <c r="AG47" s="151"/>
      <c r="AH47" s="151"/>
      <c r="AI47" s="151"/>
      <c r="AJ47" s="151"/>
      <c r="AK47" s="151"/>
      <c r="AL47" s="151"/>
      <c r="AM47" s="151"/>
      <c r="AN47" s="151"/>
      <c r="AO47" s="151"/>
    </row>
    <row r="48" spans="3:41" s="182" customFormat="1" ht="11.25" customHeight="1">
      <c r="C48" s="417" t="s">
        <v>429</v>
      </c>
      <c r="D48" s="151"/>
      <c r="E48" s="151"/>
      <c r="F48" s="151"/>
      <c r="G48" s="151"/>
      <c r="H48" s="151"/>
      <c r="I48" s="151"/>
      <c r="J48" s="151"/>
      <c r="K48" s="151"/>
      <c r="L48" s="151"/>
      <c r="M48" s="151"/>
      <c r="N48" s="151"/>
      <c r="O48" s="151"/>
      <c r="P48" s="151"/>
      <c r="Q48" s="151"/>
      <c r="R48" s="151"/>
      <c r="S48" s="151"/>
      <c r="AA48" s="182">
        <f t="shared" ref="AA48:AC48" ca="1" si="36">-AA105</f>
        <v>0</v>
      </c>
      <c r="AB48" s="182">
        <f t="shared" ca="1" si="36"/>
        <v>0</v>
      </c>
      <c r="AC48" s="182">
        <f t="shared" ca="1" si="36"/>
        <v>0</v>
      </c>
      <c r="AD48" s="151"/>
      <c r="AE48" s="151"/>
      <c r="AF48" s="151"/>
      <c r="AG48" s="151"/>
      <c r="AH48" s="151"/>
      <c r="AI48" s="151"/>
      <c r="AJ48" s="156"/>
      <c r="AK48" s="156">
        <f>SUMIF($J$5:$Y$5,AK$5,$J48:$Y48)</f>
        <v>0</v>
      </c>
      <c r="AL48" s="156">
        <f t="shared" ref="AL48:AL49" ca="1" si="37">SUMIF($J$5:$AC$5,AL$5,$J48:$AC48)</f>
        <v>0</v>
      </c>
      <c r="AM48" s="182">
        <f ca="1">-AM105</f>
        <v>0</v>
      </c>
      <c r="AN48" s="182">
        <f ca="1">-AN105</f>
        <v>0</v>
      </c>
      <c r="AO48" s="182">
        <f ca="1">-AO105</f>
        <v>0</v>
      </c>
    </row>
    <row r="49" spans="2:54" s="182" customFormat="1" ht="11.25" customHeight="1">
      <c r="C49" s="417" t="s">
        <v>430</v>
      </c>
      <c r="D49" s="151"/>
      <c r="E49" s="151"/>
      <c r="F49" s="151"/>
      <c r="G49" s="151"/>
      <c r="H49" s="151"/>
      <c r="I49" s="151"/>
      <c r="J49" s="151"/>
      <c r="K49" s="151"/>
      <c r="L49" s="151"/>
      <c r="M49" s="151"/>
      <c r="N49" s="151"/>
      <c r="O49" s="151"/>
      <c r="P49" s="151"/>
      <c r="Q49" s="151"/>
      <c r="R49" s="151"/>
      <c r="S49" s="151"/>
      <c r="AA49" s="182">
        <f t="shared" ref="AA49:AC49" ca="1" si="38">-AA110</f>
        <v>0</v>
      </c>
      <c r="AB49" s="182">
        <f t="shared" ca="1" si="38"/>
        <v>0</v>
      </c>
      <c r="AC49" s="182">
        <f t="shared" ca="1" si="38"/>
        <v>0</v>
      </c>
      <c r="AD49" s="151"/>
      <c r="AE49" s="151"/>
      <c r="AF49" s="151"/>
      <c r="AG49" s="151"/>
      <c r="AH49" s="151"/>
      <c r="AI49" s="151"/>
      <c r="AJ49" s="156"/>
      <c r="AK49" s="156">
        <f>SUMIF($J$5:$Y$5,AK$5,$J49:$Y49)</f>
        <v>0</v>
      </c>
      <c r="AL49" s="156">
        <f t="shared" ca="1" si="37"/>
        <v>0</v>
      </c>
      <c r="AM49" s="182">
        <f ca="1">-AM110</f>
        <v>0</v>
      </c>
      <c r="AN49" s="182">
        <f ca="1">-AN110</f>
        <v>0</v>
      </c>
      <c r="AO49" s="182">
        <f ca="1">-AO110</f>
        <v>0</v>
      </c>
    </row>
    <row r="50" spans="2:54" s="182" customFormat="1" ht="11.25" customHeight="1">
      <c r="C50" s="418" t="s">
        <v>431</v>
      </c>
      <c r="D50" s="151"/>
      <c r="E50" s="151"/>
      <c r="F50" s="151"/>
      <c r="G50" s="151"/>
      <c r="H50" s="151"/>
      <c r="I50" s="151"/>
      <c r="J50" s="151"/>
      <c r="K50" s="151"/>
      <c r="L50" s="151"/>
      <c r="M50" s="151"/>
      <c r="N50" s="151"/>
      <c r="O50" s="151"/>
      <c r="P50" s="151"/>
      <c r="Q50" s="151"/>
      <c r="R50" s="151"/>
      <c r="S50" s="151"/>
      <c r="T50" s="151"/>
      <c r="AA50" s="204">
        <f t="shared" ref="AA50:AC50" ca="1" si="39">+AA46+AA48+AA49</f>
        <v>816</v>
      </c>
      <c r="AB50" s="204">
        <f t="shared" ca="1" si="39"/>
        <v>0</v>
      </c>
      <c r="AC50" s="204">
        <f t="shared" ca="1" si="39"/>
        <v>0</v>
      </c>
      <c r="AD50" s="151"/>
      <c r="AE50" s="151"/>
      <c r="AF50" s="151"/>
      <c r="AG50" s="151"/>
      <c r="AH50" s="151"/>
      <c r="AI50" s="151"/>
      <c r="AJ50" s="204"/>
      <c r="AK50" s="204">
        <f>+AK46+AK48+AK49</f>
        <v>0</v>
      </c>
      <c r="AL50" s="204">
        <f ca="1">+AL46+AL48+AL49</f>
        <v>816</v>
      </c>
      <c r="AM50" s="204">
        <f ca="1">+AM46+AM48+AM49</f>
        <v>241</v>
      </c>
      <c r="AN50" s="204">
        <f ca="1">+AN46+AN48+AN49</f>
        <v>694</v>
      </c>
      <c r="AO50" s="204">
        <f ca="1">+AO46+AO48+AO49</f>
        <v>542</v>
      </c>
    </row>
    <row r="51" spans="2:54" s="182" customFormat="1" ht="5.2" customHeight="1">
      <c r="C51" s="206"/>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row>
    <row r="52" spans="2:54" s="182" customFormat="1" ht="11.25" customHeight="1" outlineLevel="1">
      <c r="C52" s="439" t="s">
        <v>68</v>
      </c>
      <c r="D52" s="151"/>
      <c r="E52" s="151"/>
      <c r="F52" s="151"/>
      <c r="G52" s="151"/>
      <c r="H52" s="151"/>
      <c r="I52" s="151"/>
      <c r="J52" s="151"/>
      <c r="K52" s="151"/>
      <c r="L52" s="151"/>
      <c r="M52" s="151"/>
      <c r="N52" s="151"/>
      <c r="O52" s="151"/>
      <c r="P52" s="151"/>
      <c r="Q52" s="151"/>
      <c r="R52" s="151"/>
      <c r="S52" s="151"/>
      <c r="T52" s="211"/>
      <c r="U52" s="211"/>
      <c r="V52" s="211"/>
      <c r="W52" s="211"/>
      <c r="X52" s="211"/>
      <c r="Y52" s="211"/>
      <c r="Z52" s="211"/>
      <c r="AA52" s="211">
        <f ca="1">ROUND(AA50+(Financials!AH765+Financials!AH764-Financials!AG765-Financials!AG764),1)</f>
        <v>0</v>
      </c>
      <c r="AB52" s="211">
        <f ca="1">ROUND(AB50+(Financials!AI765+Financials!AI764-Financials!AH765-Financials!AH764),1)</f>
        <v>0</v>
      </c>
      <c r="AC52" s="211">
        <f ca="1">ROUND(AC50+(Financials!AJ765+Financials!AJ764-Financials!AI765-Financials!AI764),1)</f>
        <v>0</v>
      </c>
      <c r="AD52" s="211"/>
      <c r="AE52" s="211">
        <v>0</v>
      </c>
      <c r="AF52" s="211">
        <v>0</v>
      </c>
      <c r="AG52" s="211">
        <v>0</v>
      </c>
      <c r="AH52" s="211">
        <v>0</v>
      </c>
      <c r="AI52" s="211">
        <v>0</v>
      </c>
      <c r="AJ52" s="211"/>
      <c r="AK52" s="211"/>
      <c r="AL52" s="211"/>
      <c r="AM52" s="211"/>
      <c r="AN52" s="211"/>
      <c r="AO52" s="211"/>
    </row>
    <row r="53" spans="2:54" ht="5.2" customHeight="1" outlineLevel="1"/>
    <row r="54" spans="2:54" s="182" customFormat="1" ht="11.25" customHeight="1">
      <c r="B54" s="183" t="s">
        <v>14</v>
      </c>
      <c r="C54" s="184" t="s">
        <v>432</v>
      </c>
      <c r="D54" s="184"/>
      <c r="E54" s="184"/>
      <c r="F54" s="184"/>
      <c r="G54" s="184"/>
      <c r="H54" s="184"/>
      <c r="I54" s="184"/>
      <c r="J54" s="185"/>
      <c r="K54" s="185"/>
      <c r="L54" s="185"/>
      <c r="M54" s="185"/>
      <c r="N54" s="185"/>
      <c r="O54" s="185"/>
      <c r="P54" s="185"/>
      <c r="Q54" s="185"/>
      <c r="R54" s="185"/>
      <c r="S54" s="185"/>
      <c r="T54" s="185"/>
      <c r="U54" s="185"/>
      <c r="V54" s="185"/>
      <c r="W54" s="185"/>
      <c r="X54" s="185"/>
      <c r="Y54" s="185"/>
      <c r="Z54" s="185"/>
      <c r="AA54" s="185"/>
      <c r="AB54" s="185"/>
      <c r="AC54" s="185"/>
      <c r="AD54" s="186"/>
      <c r="AE54" s="187"/>
      <c r="AF54" s="187"/>
      <c r="AG54" s="187"/>
      <c r="AH54" s="187"/>
      <c r="AI54" s="187"/>
      <c r="AJ54" s="187"/>
      <c r="AK54" s="187"/>
      <c r="AL54" s="187"/>
      <c r="AM54" s="187"/>
      <c r="AN54" s="187"/>
      <c r="AO54" s="187"/>
      <c r="AP54" s="162"/>
      <c r="AQ54" s="162"/>
      <c r="AR54" s="162"/>
      <c r="AS54" s="162"/>
      <c r="AT54" s="162"/>
      <c r="AU54" s="162"/>
      <c r="AV54" s="162"/>
      <c r="AW54" s="162"/>
      <c r="AX54" s="162"/>
      <c r="AY54" s="162"/>
      <c r="AZ54" s="162"/>
      <c r="BA54" s="162"/>
      <c r="BB54" s="162"/>
    </row>
    <row r="56" spans="2:54" ht="11.25" customHeight="1">
      <c r="C56" s="197" t="str">
        <f t="shared" ref="C56:C62" si="40">C10</f>
        <v>3.6% notes due August 2022</v>
      </c>
      <c r="T56" s="182"/>
      <c r="U56" s="182"/>
      <c r="V56" s="182"/>
      <c r="W56" s="182"/>
      <c r="X56" s="182"/>
      <c r="Y56" s="182"/>
      <c r="Z56" s="182"/>
      <c r="AA56" s="182">
        <f t="shared" ref="AA56:AC62" si="41">AVERAGE(Z10:AA10)</f>
        <v>0</v>
      </c>
      <c r="AB56" s="182">
        <f t="shared" si="41"/>
        <v>0</v>
      </c>
      <c r="AC56" s="182">
        <f t="shared" si="41"/>
        <v>0</v>
      </c>
      <c r="AD56" s="182"/>
      <c r="AI56" s="182"/>
      <c r="AJ56" s="182"/>
      <c r="AK56" s="182">
        <f>Y56</f>
        <v>0</v>
      </c>
      <c r="AL56" s="156">
        <f t="shared" ref="AL56:AL70" si="42">SUMIF($J$6:$AC$6,AL$6,$J56:$AC56)</f>
        <v>0</v>
      </c>
      <c r="AM56" s="182">
        <f t="shared" ref="AM56:AO62" si="43">AVERAGE(AL10:AM10)</f>
        <v>0</v>
      </c>
      <c r="AN56" s="182">
        <f t="shared" si="43"/>
        <v>0</v>
      </c>
      <c r="AO56" s="182">
        <f t="shared" si="43"/>
        <v>0</v>
      </c>
    </row>
    <row r="57" spans="2:54" ht="11.25" customHeight="1">
      <c r="C57" s="197" t="str">
        <f t="shared" si="40"/>
        <v>1.50% notes due May 2023</v>
      </c>
      <c r="T57" s="182"/>
      <c r="U57" s="182"/>
      <c r="V57" s="182"/>
      <c r="W57" s="182"/>
      <c r="X57" s="182"/>
      <c r="Y57" s="182"/>
      <c r="Z57" s="182"/>
      <c r="AA57" s="182">
        <f t="shared" si="41"/>
        <v>408</v>
      </c>
      <c r="AB57" s="182">
        <f t="shared" si="41"/>
        <v>0</v>
      </c>
      <c r="AC57" s="182">
        <f t="shared" si="41"/>
        <v>0</v>
      </c>
      <c r="AD57" s="182"/>
      <c r="AI57" s="182"/>
      <c r="AJ57" s="182"/>
      <c r="AK57" s="182">
        <f t="shared" ref="AK57:AK70" si="44">Y57</f>
        <v>0</v>
      </c>
      <c r="AL57" s="156">
        <f t="shared" si="42"/>
        <v>0</v>
      </c>
      <c r="AM57" s="182">
        <f t="shared" si="43"/>
        <v>0</v>
      </c>
      <c r="AN57" s="182">
        <f t="shared" si="43"/>
        <v>0</v>
      </c>
      <c r="AO57" s="182">
        <f t="shared" si="43"/>
        <v>0</v>
      </c>
    </row>
    <row r="58" spans="2:54" ht="11.25" customHeight="1">
      <c r="C58" s="197" t="str">
        <f t="shared" si="40"/>
        <v>7 1/4% debentures due January 2024</v>
      </c>
      <c r="T58" s="182"/>
      <c r="U58" s="182"/>
      <c r="V58" s="182"/>
      <c r="W58" s="182"/>
      <c r="X58" s="182"/>
      <c r="Y58" s="182"/>
      <c r="Z58" s="182"/>
      <c r="AA58" s="182">
        <f t="shared" si="41"/>
        <v>198</v>
      </c>
      <c r="AB58" s="182">
        <f t="shared" si="41"/>
        <v>198</v>
      </c>
      <c r="AC58" s="182">
        <f t="shared" si="41"/>
        <v>198</v>
      </c>
      <c r="AD58" s="182"/>
      <c r="AI58" s="182"/>
      <c r="AJ58" s="182"/>
      <c r="AK58" s="182">
        <f t="shared" si="44"/>
        <v>0</v>
      </c>
      <c r="AL58" s="156">
        <f t="shared" si="42"/>
        <v>198</v>
      </c>
      <c r="AM58" s="182">
        <f t="shared" si="43"/>
        <v>99</v>
      </c>
      <c r="AN58" s="182">
        <f t="shared" si="43"/>
        <v>0</v>
      </c>
      <c r="AO58" s="182">
        <f t="shared" si="43"/>
        <v>0</v>
      </c>
    </row>
    <row r="59" spans="2:54" ht="11.25" customHeight="1">
      <c r="C59" s="197" t="str">
        <f t="shared" si="40"/>
        <v>7 5/8% debentures due June 2024</v>
      </c>
      <c r="T59" s="182"/>
      <c r="U59" s="182"/>
      <c r="V59" s="182"/>
      <c r="W59" s="182"/>
      <c r="X59" s="182"/>
      <c r="Y59" s="182"/>
      <c r="Z59" s="182"/>
      <c r="AA59" s="182">
        <f t="shared" si="41"/>
        <v>43</v>
      </c>
      <c r="AB59" s="182">
        <f t="shared" si="41"/>
        <v>43</v>
      </c>
      <c r="AC59" s="182">
        <f t="shared" si="41"/>
        <v>43</v>
      </c>
      <c r="AD59" s="182"/>
      <c r="AI59" s="182"/>
      <c r="AJ59" s="182"/>
      <c r="AK59" s="182">
        <f t="shared" si="44"/>
        <v>0</v>
      </c>
      <c r="AL59" s="156">
        <f t="shared" si="42"/>
        <v>43</v>
      </c>
      <c r="AM59" s="182">
        <f t="shared" si="43"/>
        <v>21.5</v>
      </c>
      <c r="AN59" s="182">
        <f t="shared" si="43"/>
        <v>0</v>
      </c>
      <c r="AO59" s="182">
        <f t="shared" si="43"/>
        <v>0</v>
      </c>
    </row>
    <row r="60" spans="2:54" ht="11.25" customHeight="1">
      <c r="C60" s="197" t="str">
        <f t="shared" si="40"/>
        <v>3.8% notes due March 2025</v>
      </c>
      <c r="T60" s="182"/>
      <c r="U60" s="182"/>
      <c r="V60" s="182"/>
      <c r="W60" s="182"/>
      <c r="X60" s="182"/>
      <c r="Y60" s="182"/>
      <c r="Z60" s="182"/>
      <c r="AA60" s="182">
        <f t="shared" si="41"/>
        <v>694</v>
      </c>
      <c r="AB60" s="182">
        <f t="shared" si="41"/>
        <v>694</v>
      </c>
      <c r="AC60" s="182">
        <f t="shared" si="41"/>
        <v>694</v>
      </c>
      <c r="AD60" s="182"/>
      <c r="AI60" s="182"/>
      <c r="AJ60" s="182"/>
      <c r="AK60" s="182">
        <f t="shared" si="44"/>
        <v>0</v>
      </c>
      <c r="AL60" s="156">
        <f t="shared" si="42"/>
        <v>694</v>
      </c>
      <c r="AM60" s="182">
        <f t="shared" si="43"/>
        <v>694</v>
      </c>
      <c r="AN60" s="182">
        <f t="shared" si="43"/>
        <v>347</v>
      </c>
      <c r="AO60" s="182">
        <f t="shared" si="43"/>
        <v>0</v>
      </c>
    </row>
    <row r="61" spans="2:54" ht="11.25" customHeight="1">
      <c r="C61" s="197" t="str">
        <f t="shared" si="40"/>
        <v>1.875% notes due November 2026</v>
      </c>
      <c r="T61" s="182"/>
      <c r="U61" s="182"/>
      <c r="V61" s="182"/>
      <c r="W61" s="182"/>
      <c r="X61" s="182"/>
      <c r="Y61" s="182"/>
      <c r="Z61" s="182"/>
      <c r="AA61" s="182">
        <f t="shared" si="41"/>
        <v>542</v>
      </c>
      <c r="AB61" s="182">
        <f t="shared" si="41"/>
        <v>542</v>
      </c>
      <c r="AC61" s="182">
        <f t="shared" si="41"/>
        <v>542</v>
      </c>
      <c r="AD61" s="182"/>
      <c r="AI61" s="182"/>
      <c r="AJ61" s="182"/>
      <c r="AK61" s="182">
        <f t="shared" si="44"/>
        <v>0</v>
      </c>
      <c r="AL61" s="156">
        <f t="shared" si="42"/>
        <v>542</v>
      </c>
      <c r="AM61" s="182">
        <f t="shared" si="43"/>
        <v>542</v>
      </c>
      <c r="AN61" s="182">
        <f t="shared" si="43"/>
        <v>542</v>
      </c>
      <c r="AO61" s="182">
        <f t="shared" si="43"/>
        <v>271</v>
      </c>
    </row>
    <row r="62" spans="2:54" ht="11.25" customHeight="1">
      <c r="C62" s="197" t="str">
        <f t="shared" si="40"/>
        <v>7.60% debentures due February 2027</v>
      </c>
      <c r="T62" s="182"/>
      <c r="U62" s="182"/>
      <c r="V62" s="182"/>
      <c r="W62" s="182"/>
      <c r="X62" s="182"/>
      <c r="Y62" s="182"/>
      <c r="Z62" s="182"/>
      <c r="AA62" s="182">
        <f t="shared" si="41"/>
        <v>196</v>
      </c>
      <c r="AB62" s="182">
        <f t="shared" si="41"/>
        <v>196</v>
      </c>
      <c r="AC62" s="182">
        <f t="shared" si="41"/>
        <v>196</v>
      </c>
      <c r="AD62" s="182"/>
      <c r="AI62" s="182"/>
      <c r="AJ62" s="182"/>
      <c r="AK62" s="182">
        <f t="shared" si="44"/>
        <v>0</v>
      </c>
      <c r="AL62" s="156">
        <f t="shared" si="42"/>
        <v>196</v>
      </c>
      <c r="AM62" s="182">
        <f t="shared" si="43"/>
        <v>196</v>
      </c>
      <c r="AN62" s="182">
        <f t="shared" si="43"/>
        <v>196</v>
      </c>
      <c r="AO62" s="182">
        <f t="shared" si="43"/>
        <v>196</v>
      </c>
    </row>
    <row r="63" spans="2:54" ht="11.25" customHeight="1">
      <c r="C63" s="197" t="str">
        <f t="shared" ref="C63:C70" si="45">C18</f>
        <v>4.5% notes due December 2028</v>
      </c>
      <c r="T63" s="182"/>
      <c r="U63" s="182"/>
      <c r="V63" s="182"/>
      <c r="W63" s="182"/>
      <c r="X63" s="182"/>
      <c r="Y63" s="182"/>
      <c r="Z63" s="182"/>
      <c r="AA63" s="182">
        <f t="shared" ref="AA63:AC70" si="46">AVERAGE(Z18:AA18)</f>
        <v>496</v>
      </c>
      <c r="AB63" s="182">
        <f t="shared" si="46"/>
        <v>496</v>
      </c>
      <c r="AC63" s="182">
        <f t="shared" si="46"/>
        <v>496</v>
      </c>
      <c r="AD63" s="182"/>
      <c r="AI63" s="182"/>
      <c r="AJ63" s="182"/>
      <c r="AK63" s="182">
        <f t="shared" si="44"/>
        <v>0</v>
      </c>
      <c r="AL63" s="156">
        <f t="shared" si="42"/>
        <v>496</v>
      </c>
      <c r="AM63" s="182">
        <f t="shared" ref="AM63:AO70" si="47">AVERAGE(AL18:AM18)</f>
        <v>496</v>
      </c>
      <c r="AN63" s="182">
        <f t="shared" si="47"/>
        <v>496</v>
      </c>
      <c r="AO63" s="182">
        <f t="shared" si="47"/>
        <v>496</v>
      </c>
    </row>
    <row r="64" spans="2:54" ht="11.25" customHeight="1">
      <c r="C64" s="197" t="str">
        <f t="shared" si="45"/>
        <v>4.8% notes due September 2042</v>
      </c>
      <c r="T64" s="182"/>
      <c r="U64" s="182"/>
      <c r="V64" s="182"/>
      <c r="W64" s="182"/>
      <c r="X64" s="182"/>
      <c r="Y64" s="182"/>
      <c r="Z64" s="182"/>
      <c r="AA64" s="182">
        <f t="shared" si="46"/>
        <v>494</v>
      </c>
      <c r="AB64" s="182">
        <f t="shared" si="46"/>
        <v>494</v>
      </c>
      <c r="AC64" s="182">
        <f t="shared" si="46"/>
        <v>494</v>
      </c>
      <c r="AD64" s="182"/>
      <c r="AI64" s="182"/>
      <c r="AJ64" s="182"/>
      <c r="AK64" s="182">
        <f t="shared" si="44"/>
        <v>0</v>
      </c>
      <c r="AL64" s="156">
        <f t="shared" si="42"/>
        <v>494</v>
      </c>
      <c r="AM64" s="182">
        <f t="shared" si="47"/>
        <v>494</v>
      </c>
      <c r="AN64" s="182">
        <f t="shared" si="47"/>
        <v>494</v>
      </c>
      <c r="AO64" s="182">
        <f t="shared" si="47"/>
        <v>494</v>
      </c>
    </row>
    <row r="65" spans="2:54" ht="11.25" customHeight="1">
      <c r="C65" s="197" t="str">
        <f t="shared" si="45"/>
        <v>4.65% notes due October 2044</v>
      </c>
      <c r="T65" s="182"/>
      <c r="U65" s="182"/>
      <c r="V65" s="182"/>
      <c r="W65" s="182"/>
      <c r="X65" s="182"/>
      <c r="Y65" s="182"/>
      <c r="Z65" s="182"/>
      <c r="AA65" s="182">
        <f t="shared" si="46"/>
        <v>877</v>
      </c>
      <c r="AB65" s="182">
        <f t="shared" si="46"/>
        <v>877</v>
      </c>
      <c r="AC65" s="182">
        <f t="shared" si="46"/>
        <v>877</v>
      </c>
      <c r="AD65" s="182"/>
      <c r="AI65" s="182"/>
      <c r="AJ65" s="182"/>
      <c r="AK65" s="182">
        <f t="shared" si="44"/>
        <v>0</v>
      </c>
      <c r="AL65" s="156">
        <f t="shared" si="42"/>
        <v>877</v>
      </c>
      <c r="AM65" s="182">
        <f t="shared" si="47"/>
        <v>877</v>
      </c>
      <c r="AN65" s="182">
        <f t="shared" si="47"/>
        <v>877</v>
      </c>
      <c r="AO65" s="182">
        <f t="shared" si="47"/>
        <v>877</v>
      </c>
    </row>
    <row r="66" spans="2:54" ht="11.25" customHeight="1">
      <c r="C66" s="197" t="str">
        <f t="shared" si="45"/>
        <v>Term Loan</v>
      </c>
      <c r="T66" s="182"/>
      <c r="U66" s="182"/>
      <c r="V66" s="182"/>
      <c r="W66" s="182"/>
      <c r="X66" s="182"/>
      <c r="Y66" s="182"/>
      <c r="Z66" s="182"/>
      <c r="AA66" s="182">
        <f t="shared" si="46"/>
        <v>300</v>
      </c>
      <c r="AB66" s="182">
        <f t="shared" si="46"/>
        <v>300</v>
      </c>
      <c r="AC66" s="182">
        <f t="shared" si="46"/>
        <v>300</v>
      </c>
      <c r="AD66" s="182"/>
      <c r="AI66" s="182"/>
      <c r="AJ66" s="182"/>
      <c r="AK66" s="182">
        <f t="shared" ref="AK66" si="48">Y66</f>
        <v>0</v>
      </c>
      <c r="AL66" s="156">
        <f t="shared" si="42"/>
        <v>300</v>
      </c>
      <c r="AM66" s="182">
        <f t="shared" si="47"/>
        <v>300</v>
      </c>
      <c r="AN66" s="182">
        <f t="shared" si="47"/>
        <v>300</v>
      </c>
      <c r="AO66" s="182">
        <f t="shared" si="47"/>
        <v>300</v>
      </c>
    </row>
    <row r="67" spans="2:54" ht="11.25" customHeight="1">
      <c r="C67" s="197" t="str">
        <f t="shared" si="45"/>
        <v>Green Bond</v>
      </c>
      <c r="T67" s="182"/>
      <c r="U67" s="182"/>
      <c r="V67" s="182"/>
      <c r="W67" s="182"/>
      <c r="X67" s="182"/>
      <c r="Y67" s="182"/>
      <c r="Z67" s="182"/>
      <c r="AA67" s="182">
        <f t="shared" si="46"/>
        <v>499</v>
      </c>
      <c r="AB67" s="182">
        <f t="shared" si="46"/>
        <v>499</v>
      </c>
      <c r="AC67" s="182">
        <f t="shared" si="46"/>
        <v>499</v>
      </c>
      <c r="AD67" s="182"/>
      <c r="AI67" s="182"/>
      <c r="AJ67" s="182"/>
      <c r="AK67" s="182">
        <f t="shared" ref="AK67" si="49">Y67</f>
        <v>0</v>
      </c>
      <c r="AL67" s="156">
        <f t="shared" si="42"/>
        <v>499</v>
      </c>
      <c r="AM67" s="182">
        <f t="shared" si="47"/>
        <v>499</v>
      </c>
      <c r="AN67" s="182">
        <f t="shared" si="47"/>
        <v>499</v>
      </c>
      <c r="AO67" s="182">
        <f t="shared" si="47"/>
        <v>499</v>
      </c>
    </row>
    <row r="68" spans="2:54" ht="11.25" customHeight="1">
      <c r="C68" s="197" t="str">
        <f t="shared" si="45"/>
        <v>Commercial paper and short-term borrowings</v>
      </c>
      <c r="T68" s="182"/>
      <c r="U68" s="182"/>
      <c r="V68" s="182"/>
      <c r="W68" s="182"/>
      <c r="X68" s="182"/>
      <c r="Y68" s="182"/>
      <c r="Z68" s="182"/>
      <c r="AA68" s="182">
        <f t="shared" si="46"/>
        <v>0</v>
      </c>
      <c r="AB68" s="182">
        <f t="shared" si="46"/>
        <v>0</v>
      </c>
      <c r="AC68" s="182">
        <f t="shared" si="46"/>
        <v>0</v>
      </c>
      <c r="AD68" s="182"/>
      <c r="AI68" s="182"/>
      <c r="AJ68" s="182"/>
      <c r="AK68" s="182">
        <f t="shared" si="44"/>
        <v>0</v>
      </c>
      <c r="AL68" s="156">
        <f t="shared" si="42"/>
        <v>0</v>
      </c>
      <c r="AM68" s="182">
        <f t="shared" si="47"/>
        <v>0</v>
      </c>
      <c r="AN68" s="182">
        <f t="shared" si="47"/>
        <v>0</v>
      </c>
      <c r="AO68" s="182">
        <f t="shared" si="47"/>
        <v>0</v>
      </c>
    </row>
    <row r="69" spans="2:54" ht="11.25" customHeight="1">
      <c r="C69" s="197" t="str">
        <f t="shared" si="45"/>
        <v>Credit facilities borrowings</v>
      </c>
      <c r="T69" s="182"/>
      <c r="U69" s="182"/>
      <c r="V69" s="182"/>
      <c r="W69" s="182"/>
      <c r="X69" s="182"/>
      <c r="Y69" s="182"/>
      <c r="Z69" s="182"/>
      <c r="AA69" s="182">
        <f t="shared" ca="1" si="46"/>
        <v>0</v>
      </c>
      <c r="AB69" s="182">
        <f t="shared" ca="1" si="46"/>
        <v>0</v>
      </c>
      <c r="AC69" s="182">
        <f t="shared" ca="1" si="46"/>
        <v>0</v>
      </c>
      <c r="AD69" s="182"/>
      <c r="AI69" s="182"/>
      <c r="AJ69" s="182"/>
      <c r="AK69" s="182">
        <f t="shared" si="44"/>
        <v>0</v>
      </c>
      <c r="AL69" s="156">
        <f t="shared" ca="1" si="42"/>
        <v>0</v>
      </c>
      <c r="AM69" s="182">
        <f t="shared" ca="1" si="47"/>
        <v>0</v>
      </c>
      <c r="AN69" s="182">
        <f t="shared" ca="1" si="47"/>
        <v>0</v>
      </c>
      <c r="AO69" s="182">
        <f t="shared" ca="1" si="47"/>
        <v>0</v>
      </c>
    </row>
    <row r="70" spans="2:54" ht="11.25" customHeight="1">
      <c r="C70" s="197" t="str">
        <f t="shared" si="45"/>
        <v>Additional Borrowing</v>
      </c>
      <c r="T70" s="182"/>
      <c r="U70" s="182"/>
      <c r="V70" s="182"/>
      <c r="W70" s="182"/>
      <c r="X70" s="182"/>
      <c r="Y70" s="182"/>
      <c r="Z70" s="182"/>
      <c r="AA70" s="182">
        <f t="shared" ca="1" si="46"/>
        <v>0</v>
      </c>
      <c r="AB70" s="182">
        <f t="shared" ca="1" si="46"/>
        <v>0</v>
      </c>
      <c r="AC70" s="182">
        <f t="shared" ca="1" si="46"/>
        <v>0</v>
      </c>
      <c r="AD70" s="182"/>
      <c r="AI70" s="182"/>
      <c r="AJ70" s="182"/>
      <c r="AK70" s="182">
        <f t="shared" si="44"/>
        <v>0</v>
      </c>
      <c r="AL70" s="156">
        <f t="shared" ca="1" si="42"/>
        <v>0</v>
      </c>
      <c r="AM70" s="182">
        <f t="shared" ca="1" si="47"/>
        <v>0</v>
      </c>
      <c r="AN70" s="182">
        <f t="shared" ca="1" si="47"/>
        <v>0</v>
      </c>
      <c r="AO70" s="182">
        <f t="shared" ca="1" si="47"/>
        <v>0</v>
      </c>
    </row>
    <row r="71" spans="2:54" ht="11.25" customHeight="1">
      <c r="C71" s="200" t="s">
        <v>433</v>
      </c>
      <c r="T71" s="182"/>
      <c r="U71" s="182"/>
      <c r="V71" s="182"/>
      <c r="W71" s="182"/>
      <c r="X71" s="182"/>
      <c r="Y71" s="182"/>
      <c r="Z71" s="182"/>
      <c r="AA71" s="204">
        <f t="shared" ref="AA71:AC71" ca="1" si="50">SUM(AA56:AA70)</f>
        <v>4747</v>
      </c>
      <c r="AB71" s="204">
        <f t="shared" ca="1" si="50"/>
        <v>4339</v>
      </c>
      <c r="AC71" s="204">
        <f t="shared" ca="1" si="50"/>
        <v>4339</v>
      </c>
      <c r="AD71" s="151"/>
      <c r="AE71" s="150"/>
      <c r="AF71" s="150"/>
      <c r="AG71" s="150"/>
      <c r="AH71" s="150"/>
      <c r="AI71" s="151"/>
      <c r="AJ71" s="204"/>
      <c r="AK71" s="204">
        <f>SUM(AK56:AK70)</f>
        <v>0</v>
      </c>
      <c r="AL71" s="204">
        <f ca="1">SUM(AL56:AL70)</f>
        <v>4339</v>
      </c>
      <c r="AM71" s="204">
        <f ca="1">SUM(AM56:AM70)</f>
        <v>4218.5</v>
      </c>
      <c r="AN71" s="204">
        <f ca="1">SUM(AN56:AN70)</f>
        <v>3751</v>
      </c>
      <c r="AO71" s="204">
        <f ca="1">SUM(AO56:AO70)</f>
        <v>3133</v>
      </c>
    </row>
    <row r="73" spans="2:54" s="182" customFormat="1" ht="11.25" customHeight="1">
      <c r="B73" s="183" t="s">
        <v>14</v>
      </c>
      <c r="C73" s="184" t="s">
        <v>434</v>
      </c>
      <c r="D73" s="184"/>
      <c r="E73" s="184"/>
      <c r="F73" s="184"/>
      <c r="G73" s="184"/>
      <c r="H73" s="184"/>
      <c r="I73" s="184"/>
      <c r="J73" s="185"/>
      <c r="K73" s="185"/>
      <c r="L73" s="185"/>
      <c r="M73" s="185"/>
      <c r="N73" s="185"/>
      <c r="O73" s="185"/>
      <c r="P73" s="185"/>
      <c r="Q73" s="185"/>
      <c r="R73" s="185"/>
      <c r="S73" s="185"/>
      <c r="T73" s="185"/>
      <c r="U73" s="185"/>
      <c r="V73" s="185"/>
      <c r="W73" s="185"/>
      <c r="X73" s="185"/>
      <c r="Y73" s="185"/>
      <c r="Z73" s="185"/>
      <c r="AA73" s="185"/>
      <c r="AB73" s="185"/>
      <c r="AC73" s="185"/>
      <c r="AD73" s="186"/>
      <c r="AE73" s="187"/>
      <c r="AF73" s="187"/>
      <c r="AG73" s="187"/>
      <c r="AH73" s="187"/>
      <c r="AI73" s="187"/>
      <c r="AJ73" s="187"/>
      <c r="AK73" s="187"/>
      <c r="AL73" s="187"/>
      <c r="AM73" s="187"/>
      <c r="AN73" s="187"/>
      <c r="AO73" s="187"/>
      <c r="AP73" s="162"/>
      <c r="AQ73" s="162"/>
      <c r="AR73" s="162"/>
      <c r="AS73" s="162"/>
      <c r="AT73" s="162"/>
      <c r="AU73" s="162"/>
      <c r="AV73" s="162"/>
      <c r="AW73" s="162"/>
      <c r="AX73" s="162"/>
      <c r="AY73" s="162"/>
      <c r="AZ73" s="162"/>
      <c r="BA73" s="162"/>
      <c r="BB73" s="162"/>
    </row>
    <row r="75" spans="2:54" ht="11.25" customHeight="1">
      <c r="C75" s="197" t="str">
        <f t="shared" ref="C75:C81" si="51">C10</f>
        <v>3.6% notes due August 2022</v>
      </c>
      <c r="T75" s="182"/>
      <c r="U75" s="182"/>
      <c r="V75" s="182"/>
      <c r="W75" s="182"/>
      <c r="X75" s="182"/>
      <c r="Y75" s="182"/>
      <c r="Z75" s="182"/>
      <c r="AA75" s="182">
        <f t="shared" ref="AA75:AC81" si="52">AA56*$E10/4</f>
        <v>0</v>
      </c>
      <c r="AB75" s="182">
        <f t="shared" si="52"/>
        <v>0</v>
      </c>
      <c r="AC75" s="182">
        <f t="shared" si="52"/>
        <v>0</v>
      </c>
      <c r="AD75" s="182"/>
      <c r="AJ75" s="182"/>
      <c r="AK75" s="182">
        <f>SUMIF($S$5:$Y$5,AK$5,$S75:$Y75)</f>
        <v>0</v>
      </c>
      <c r="AL75" s="156">
        <f t="shared" ref="AL75:AL89" si="53">SUMIF($J$5:$AC$5,AL$5,$J75:$AC75)</f>
        <v>0</v>
      </c>
      <c r="AM75" s="182">
        <f t="shared" ref="AM75:AO81" si="54">AM56*$E10</f>
        <v>0</v>
      </c>
      <c r="AN75" s="182">
        <f t="shared" si="54"/>
        <v>0</v>
      </c>
      <c r="AO75" s="182">
        <f t="shared" si="54"/>
        <v>0</v>
      </c>
    </row>
    <row r="76" spans="2:54" ht="11.25" customHeight="1">
      <c r="C76" s="197" t="str">
        <f t="shared" si="51"/>
        <v>1.50% notes due May 2023</v>
      </c>
      <c r="T76" s="182"/>
      <c r="U76" s="182"/>
      <c r="V76" s="182"/>
      <c r="W76" s="182"/>
      <c r="X76" s="182"/>
      <c r="Y76" s="182"/>
      <c r="Z76" s="182"/>
      <c r="AA76" s="182">
        <f t="shared" si="52"/>
        <v>1.53</v>
      </c>
      <c r="AB76" s="182">
        <f t="shared" si="52"/>
        <v>0</v>
      </c>
      <c r="AC76" s="182">
        <f t="shared" si="52"/>
        <v>0</v>
      </c>
      <c r="AD76" s="182"/>
      <c r="AJ76" s="182"/>
      <c r="AK76" s="182">
        <f t="shared" ref="AK76:AK89" si="55">SUMIF($S$5:$Y$5,AK$5,$S76:$Y76)</f>
        <v>0</v>
      </c>
      <c r="AL76" s="156">
        <f t="shared" si="53"/>
        <v>1.53</v>
      </c>
      <c r="AM76" s="182">
        <f t="shared" si="54"/>
        <v>0</v>
      </c>
      <c r="AN76" s="182">
        <f t="shared" si="54"/>
        <v>0</v>
      </c>
      <c r="AO76" s="182">
        <f t="shared" si="54"/>
        <v>0</v>
      </c>
    </row>
    <row r="77" spans="2:54" ht="11.25" customHeight="1">
      <c r="C77" s="197" t="str">
        <f t="shared" si="51"/>
        <v>7 1/4% debentures due January 2024</v>
      </c>
      <c r="T77" s="182"/>
      <c r="U77" s="182"/>
      <c r="V77" s="182"/>
      <c r="W77" s="182"/>
      <c r="X77" s="182"/>
      <c r="Y77" s="182"/>
      <c r="Z77" s="182"/>
      <c r="AA77" s="182">
        <f t="shared" si="52"/>
        <v>3.5887499999999997</v>
      </c>
      <c r="AB77" s="182">
        <f t="shared" si="52"/>
        <v>3.5887499999999997</v>
      </c>
      <c r="AC77" s="182">
        <f t="shared" si="52"/>
        <v>3.5887499999999997</v>
      </c>
      <c r="AD77" s="182"/>
      <c r="AJ77" s="182"/>
      <c r="AK77" s="182">
        <f t="shared" si="55"/>
        <v>0</v>
      </c>
      <c r="AL77" s="156">
        <f t="shared" si="53"/>
        <v>10.766249999999999</v>
      </c>
      <c r="AM77" s="182">
        <f t="shared" si="54"/>
        <v>7.1774999999999993</v>
      </c>
      <c r="AN77" s="182">
        <f t="shared" si="54"/>
        <v>0</v>
      </c>
      <c r="AO77" s="182">
        <f t="shared" si="54"/>
        <v>0</v>
      </c>
    </row>
    <row r="78" spans="2:54" ht="11.25" customHeight="1">
      <c r="C78" s="197" t="str">
        <f t="shared" si="51"/>
        <v>7 5/8% debentures due June 2024</v>
      </c>
      <c r="T78" s="182"/>
      <c r="U78" s="182"/>
      <c r="V78" s="182"/>
      <c r="W78" s="182"/>
      <c r="X78" s="182"/>
      <c r="Y78" s="182"/>
      <c r="Z78" s="182"/>
      <c r="AA78" s="182">
        <f t="shared" si="52"/>
        <v>0.81968750000000001</v>
      </c>
      <c r="AB78" s="182">
        <f t="shared" si="52"/>
        <v>0.81968750000000001</v>
      </c>
      <c r="AC78" s="182">
        <f t="shared" si="52"/>
        <v>0.81968750000000001</v>
      </c>
      <c r="AD78" s="182"/>
      <c r="AJ78" s="182"/>
      <c r="AK78" s="182">
        <f t="shared" si="55"/>
        <v>0</v>
      </c>
      <c r="AL78" s="156">
        <f t="shared" si="53"/>
        <v>2.4590624999999999</v>
      </c>
      <c r="AM78" s="182">
        <f t="shared" si="54"/>
        <v>1.639375</v>
      </c>
      <c r="AN78" s="182">
        <f t="shared" si="54"/>
        <v>0</v>
      </c>
      <c r="AO78" s="182">
        <f t="shared" si="54"/>
        <v>0</v>
      </c>
    </row>
    <row r="79" spans="2:54" ht="11.25" customHeight="1">
      <c r="C79" s="197" t="str">
        <f t="shared" si="51"/>
        <v>3.8% notes due March 2025</v>
      </c>
      <c r="T79" s="182"/>
      <c r="U79" s="182"/>
      <c r="V79" s="182"/>
      <c r="W79" s="182"/>
      <c r="X79" s="182"/>
      <c r="Y79" s="182"/>
      <c r="Z79" s="182"/>
      <c r="AA79" s="182">
        <f t="shared" si="52"/>
        <v>6.593</v>
      </c>
      <c r="AB79" s="182">
        <f t="shared" si="52"/>
        <v>6.593</v>
      </c>
      <c r="AC79" s="182">
        <f t="shared" si="52"/>
        <v>6.593</v>
      </c>
      <c r="AD79" s="182"/>
      <c r="AJ79" s="182"/>
      <c r="AK79" s="182">
        <f t="shared" si="55"/>
        <v>0</v>
      </c>
      <c r="AL79" s="156">
        <f t="shared" si="53"/>
        <v>19.779</v>
      </c>
      <c r="AM79" s="182">
        <f t="shared" si="54"/>
        <v>26.372</v>
      </c>
      <c r="AN79" s="182">
        <f t="shared" si="54"/>
        <v>13.186</v>
      </c>
      <c r="AO79" s="182">
        <f t="shared" si="54"/>
        <v>0</v>
      </c>
    </row>
    <row r="80" spans="2:54" ht="11.25" customHeight="1">
      <c r="C80" s="197" t="str">
        <f t="shared" si="51"/>
        <v>1.875% notes due November 2026</v>
      </c>
      <c r="T80" s="182"/>
      <c r="U80" s="182"/>
      <c r="V80" s="182"/>
      <c r="W80" s="182"/>
      <c r="X80" s="182"/>
      <c r="Y80" s="182"/>
      <c r="Z80" s="182"/>
      <c r="AA80" s="182">
        <f t="shared" si="52"/>
        <v>2.5406249999999999</v>
      </c>
      <c r="AB80" s="182">
        <f t="shared" si="52"/>
        <v>2.5406249999999999</v>
      </c>
      <c r="AC80" s="182">
        <f t="shared" si="52"/>
        <v>2.5406249999999999</v>
      </c>
      <c r="AD80" s="182"/>
      <c r="AJ80" s="182"/>
      <c r="AK80" s="182">
        <f t="shared" si="55"/>
        <v>0</v>
      </c>
      <c r="AL80" s="156">
        <f t="shared" si="53"/>
        <v>7.6218749999999993</v>
      </c>
      <c r="AM80" s="182">
        <f t="shared" si="54"/>
        <v>10.1625</v>
      </c>
      <c r="AN80" s="182">
        <f t="shared" si="54"/>
        <v>10.1625</v>
      </c>
      <c r="AO80" s="182">
        <f t="shared" si="54"/>
        <v>5.0812499999999998</v>
      </c>
    </row>
    <row r="81" spans="2:54" ht="11.25" customHeight="1">
      <c r="C81" s="197" t="str">
        <f t="shared" si="51"/>
        <v>7.60% debentures due February 2027</v>
      </c>
      <c r="T81" s="182"/>
      <c r="U81" s="182"/>
      <c r="V81" s="182"/>
      <c r="W81" s="182"/>
      <c r="X81" s="182"/>
      <c r="Y81" s="182"/>
      <c r="Z81" s="182"/>
      <c r="AA81" s="182">
        <f t="shared" si="52"/>
        <v>4.7039999999999997</v>
      </c>
      <c r="AB81" s="182">
        <f t="shared" si="52"/>
        <v>4.7039999999999997</v>
      </c>
      <c r="AC81" s="182">
        <f t="shared" si="52"/>
        <v>4.7039999999999997</v>
      </c>
      <c r="AD81" s="182"/>
      <c r="AJ81" s="182"/>
      <c r="AK81" s="182">
        <f t="shared" si="55"/>
        <v>0</v>
      </c>
      <c r="AL81" s="156">
        <f t="shared" si="53"/>
        <v>14.111999999999998</v>
      </c>
      <c r="AM81" s="182">
        <f t="shared" si="54"/>
        <v>18.815999999999999</v>
      </c>
      <c r="AN81" s="182">
        <f t="shared" si="54"/>
        <v>18.815999999999999</v>
      </c>
      <c r="AO81" s="182">
        <f t="shared" si="54"/>
        <v>18.815999999999999</v>
      </c>
    </row>
    <row r="82" spans="2:54" ht="11.25" customHeight="1">
      <c r="C82" s="197" t="str">
        <f t="shared" ref="C82:C89" si="56">C18</f>
        <v>4.5% notes due December 2028</v>
      </c>
      <c r="T82" s="182"/>
      <c r="U82" s="182"/>
      <c r="V82" s="182"/>
      <c r="W82" s="182"/>
      <c r="X82" s="182"/>
      <c r="Y82" s="182"/>
      <c r="Z82" s="182"/>
      <c r="AA82" s="182">
        <f t="shared" ref="AA82:AC89" si="57">AA63*$E18/4</f>
        <v>5.58</v>
      </c>
      <c r="AB82" s="182">
        <f t="shared" si="57"/>
        <v>5.58</v>
      </c>
      <c r="AC82" s="182">
        <f t="shared" si="57"/>
        <v>5.58</v>
      </c>
      <c r="AD82" s="182"/>
      <c r="AJ82" s="182"/>
      <c r="AK82" s="182">
        <f t="shared" si="55"/>
        <v>0</v>
      </c>
      <c r="AL82" s="156">
        <f t="shared" si="53"/>
        <v>16.740000000000002</v>
      </c>
      <c r="AM82" s="182">
        <f t="shared" ref="AM82:AO89" si="58">AM63*$E18</f>
        <v>22.32</v>
      </c>
      <c r="AN82" s="182">
        <f t="shared" si="58"/>
        <v>22.32</v>
      </c>
      <c r="AO82" s="182">
        <f t="shared" si="58"/>
        <v>22.32</v>
      </c>
    </row>
    <row r="83" spans="2:54" ht="11.25" customHeight="1">
      <c r="C83" s="197" t="str">
        <f t="shared" si="56"/>
        <v>4.8% notes due September 2042</v>
      </c>
      <c r="T83" s="182"/>
      <c r="U83" s="182"/>
      <c r="V83" s="182"/>
      <c r="W83" s="182"/>
      <c r="X83" s="182"/>
      <c r="Y83" s="182"/>
      <c r="Z83" s="182"/>
      <c r="AA83" s="182">
        <f t="shared" si="57"/>
        <v>5.9279999999999999</v>
      </c>
      <c r="AB83" s="182">
        <f t="shared" si="57"/>
        <v>5.9279999999999999</v>
      </c>
      <c r="AC83" s="182">
        <f t="shared" si="57"/>
        <v>5.9279999999999999</v>
      </c>
      <c r="AD83" s="182"/>
      <c r="AJ83" s="182"/>
      <c r="AK83" s="182">
        <f t="shared" si="55"/>
        <v>0</v>
      </c>
      <c r="AL83" s="156">
        <f t="shared" si="53"/>
        <v>17.783999999999999</v>
      </c>
      <c r="AM83" s="182">
        <f t="shared" si="58"/>
        <v>23.712</v>
      </c>
      <c r="AN83" s="182">
        <f t="shared" si="58"/>
        <v>23.712</v>
      </c>
      <c r="AO83" s="182">
        <f t="shared" si="58"/>
        <v>23.712</v>
      </c>
    </row>
    <row r="84" spans="2:54" ht="11.25" customHeight="1">
      <c r="C84" s="197" t="str">
        <f t="shared" si="56"/>
        <v>4.65% notes due October 2044</v>
      </c>
      <c r="T84" s="182"/>
      <c r="U84" s="182"/>
      <c r="V84" s="182"/>
      <c r="W84" s="182"/>
      <c r="X84" s="182"/>
      <c r="Y84" s="182"/>
      <c r="Z84" s="182"/>
      <c r="AA84" s="182">
        <f t="shared" si="57"/>
        <v>10.195124999999999</v>
      </c>
      <c r="AB84" s="182">
        <f t="shared" si="57"/>
        <v>10.195124999999999</v>
      </c>
      <c r="AC84" s="182">
        <f t="shared" si="57"/>
        <v>10.195124999999999</v>
      </c>
      <c r="AD84" s="182"/>
      <c r="AJ84" s="182"/>
      <c r="AK84" s="182">
        <f t="shared" si="55"/>
        <v>0</v>
      </c>
      <c r="AL84" s="156">
        <f t="shared" si="53"/>
        <v>30.585374999999999</v>
      </c>
      <c r="AM84" s="182">
        <f t="shared" si="58"/>
        <v>40.780499999999996</v>
      </c>
      <c r="AN84" s="182">
        <f t="shared" si="58"/>
        <v>40.780499999999996</v>
      </c>
      <c r="AO84" s="182">
        <f t="shared" si="58"/>
        <v>40.780499999999996</v>
      </c>
    </row>
    <row r="85" spans="2:54" ht="11.25" customHeight="1">
      <c r="C85" s="197" t="str">
        <f t="shared" si="56"/>
        <v>Term Loan</v>
      </c>
      <c r="T85" s="182"/>
      <c r="U85" s="182"/>
      <c r="V85" s="182"/>
      <c r="W85" s="182"/>
      <c r="X85" s="182"/>
      <c r="Y85" s="182"/>
      <c r="Z85" s="182"/>
      <c r="AA85" s="182">
        <f t="shared" si="57"/>
        <v>4.1624999999999996</v>
      </c>
      <c r="AB85" s="182">
        <f t="shared" si="57"/>
        <v>4.1624999999999996</v>
      </c>
      <c r="AC85" s="182">
        <f t="shared" si="57"/>
        <v>4.1624999999999996</v>
      </c>
      <c r="AD85" s="182"/>
      <c r="AJ85" s="182"/>
      <c r="AK85" s="182">
        <f t="shared" si="55"/>
        <v>0</v>
      </c>
      <c r="AL85" s="156">
        <f t="shared" si="53"/>
        <v>12.487499999999999</v>
      </c>
      <c r="AM85" s="182">
        <f t="shared" si="58"/>
        <v>16.649999999999999</v>
      </c>
      <c r="AN85" s="182">
        <f t="shared" si="58"/>
        <v>16.649999999999999</v>
      </c>
      <c r="AO85" s="182">
        <f t="shared" si="58"/>
        <v>16.649999999999999</v>
      </c>
    </row>
    <row r="86" spans="2:54" ht="11.25" customHeight="1">
      <c r="C86" s="197" t="str">
        <f t="shared" si="56"/>
        <v>Green Bond</v>
      </c>
      <c r="T86" s="182"/>
      <c r="U86" s="182"/>
      <c r="V86" s="182"/>
      <c r="W86" s="182"/>
      <c r="X86" s="182"/>
      <c r="Y86" s="182"/>
      <c r="Z86" s="182"/>
      <c r="AA86" s="182">
        <f t="shared" si="57"/>
        <v>7.1731250000000006</v>
      </c>
      <c r="AB86" s="182">
        <f t="shared" si="57"/>
        <v>7.1731250000000006</v>
      </c>
      <c r="AC86" s="182">
        <f t="shared" si="57"/>
        <v>7.1731250000000006</v>
      </c>
      <c r="AD86" s="182"/>
      <c r="AJ86" s="182"/>
      <c r="AK86" s="182">
        <f t="shared" si="55"/>
        <v>0</v>
      </c>
      <c r="AL86" s="156">
        <f t="shared" si="53"/>
        <v>21.519375000000004</v>
      </c>
      <c r="AM86" s="182">
        <f t="shared" si="58"/>
        <v>28.692500000000003</v>
      </c>
      <c r="AN86" s="182">
        <f t="shared" si="58"/>
        <v>28.692500000000003</v>
      </c>
      <c r="AO86" s="182">
        <f t="shared" si="58"/>
        <v>28.692500000000003</v>
      </c>
    </row>
    <row r="87" spans="2:54" ht="11.25" customHeight="1">
      <c r="C87" s="197" t="str">
        <f t="shared" si="56"/>
        <v>Commercial paper and short-term borrowings</v>
      </c>
      <c r="T87" s="182"/>
      <c r="U87" s="182"/>
      <c r="V87" s="182"/>
      <c r="W87" s="182"/>
      <c r="X87" s="182"/>
      <c r="Y87" s="182"/>
      <c r="Z87" s="182"/>
      <c r="AA87" s="182">
        <f t="shared" si="57"/>
        <v>0</v>
      </c>
      <c r="AB87" s="182">
        <f t="shared" si="57"/>
        <v>0</v>
      </c>
      <c r="AC87" s="182">
        <f t="shared" si="57"/>
        <v>0</v>
      </c>
      <c r="AD87" s="182"/>
      <c r="AJ87" s="182"/>
      <c r="AK87" s="182">
        <f t="shared" si="55"/>
        <v>0</v>
      </c>
      <c r="AL87" s="156">
        <f t="shared" si="53"/>
        <v>0</v>
      </c>
      <c r="AM87" s="182">
        <f t="shared" si="58"/>
        <v>0</v>
      </c>
      <c r="AN87" s="182">
        <f t="shared" si="58"/>
        <v>0</v>
      </c>
      <c r="AO87" s="182">
        <f t="shared" si="58"/>
        <v>0</v>
      </c>
    </row>
    <row r="88" spans="2:54" ht="11.25" customHeight="1">
      <c r="C88" s="197" t="str">
        <f t="shared" si="56"/>
        <v>Credit facilities borrowings</v>
      </c>
      <c r="T88" s="182"/>
      <c r="U88" s="182"/>
      <c r="V88" s="182"/>
      <c r="W88" s="182"/>
      <c r="X88" s="182"/>
      <c r="Y88" s="182"/>
      <c r="Z88" s="182"/>
      <c r="AA88" s="182">
        <f t="shared" ca="1" si="57"/>
        <v>0</v>
      </c>
      <c r="AB88" s="182">
        <f t="shared" ca="1" si="57"/>
        <v>0</v>
      </c>
      <c r="AC88" s="182">
        <f t="shared" ca="1" si="57"/>
        <v>0</v>
      </c>
      <c r="AD88" s="182"/>
      <c r="AJ88" s="182"/>
      <c r="AK88" s="182">
        <f t="shared" si="55"/>
        <v>0</v>
      </c>
      <c r="AL88" s="156">
        <f t="shared" ca="1" si="53"/>
        <v>0</v>
      </c>
      <c r="AM88" s="182">
        <f t="shared" ca="1" si="58"/>
        <v>0</v>
      </c>
      <c r="AN88" s="182">
        <f t="shared" ca="1" si="58"/>
        <v>0</v>
      </c>
      <c r="AO88" s="182">
        <f t="shared" ca="1" si="58"/>
        <v>0</v>
      </c>
    </row>
    <row r="89" spans="2:54" ht="11.25" customHeight="1">
      <c r="C89" s="197" t="str">
        <f t="shared" si="56"/>
        <v>Additional Borrowing</v>
      </c>
      <c r="T89" s="182"/>
      <c r="U89" s="182"/>
      <c r="V89" s="182"/>
      <c r="W89" s="182"/>
      <c r="X89" s="182"/>
      <c r="Y89" s="182"/>
      <c r="Z89" s="182"/>
      <c r="AA89" s="182">
        <f t="shared" ca="1" si="57"/>
        <v>0</v>
      </c>
      <c r="AB89" s="182">
        <f t="shared" ca="1" si="57"/>
        <v>0</v>
      </c>
      <c r="AC89" s="182">
        <f t="shared" ca="1" si="57"/>
        <v>0</v>
      </c>
      <c r="AD89" s="182"/>
      <c r="AJ89" s="182"/>
      <c r="AK89" s="182">
        <f t="shared" si="55"/>
        <v>0</v>
      </c>
      <c r="AL89" s="156">
        <f t="shared" ca="1" si="53"/>
        <v>0</v>
      </c>
      <c r="AM89" s="182">
        <f t="shared" ca="1" si="58"/>
        <v>0</v>
      </c>
      <c r="AN89" s="182">
        <f t="shared" ca="1" si="58"/>
        <v>0</v>
      </c>
      <c r="AO89" s="182">
        <f t="shared" ca="1" si="58"/>
        <v>0</v>
      </c>
    </row>
    <row r="90" spans="2:54" ht="11.25" customHeight="1">
      <c r="C90" s="200" t="s">
        <v>435</v>
      </c>
      <c r="T90" s="182"/>
      <c r="U90" s="182"/>
      <c r="V90" s="182"/>
      <c r="W90" s="182"/>
      <c r="X90" s="182"/>
      <c r="Y90" s="182"/>
      <c r="Z90" s="182"/>
      <c r="AA90" s="204">
        <f t="shared" ref="AA90:AC90" ca="1" si="59">IF(Circ=0,SUM(AA75:AA89),0)</f>
        <v>52.814812500000002</v>
      </c>
      <c r="AB90" s="204">
        <f t="shared" ca="1" si="59"/>
        <v>51.284812500000001</v>
      </c>
      <c r="AC90" s="204">
        <f t="shared" ca="1" si="59"/>
        <v>51.284812500000001</v>
      </c>
      <c r="AD90" s="151"/>
      <c r="AE90" s="150"/>
      <c r="AF90" s="150"/>
      <c r="AG90" s="150"/>
      <c r="AH90" s="150"/>
      <c r="AI90" s="151"/>
      <c r="AJ90" s="207"/>
      <c r="AK90" s="204">
        <f>IF(Circ=0,SUM(AK75:AK89),0)</f>
        <v>0</v>
      </c>
      <c r="AL90" s="204">
        <f ca="1">IF(Circ=0,SUM(AL75:AL89),0)</f>
        <v>155.38443749999999</v>
      </c>
      <c r="AM90" s="204">
        <f ca="1">IF(Circ=0,SUM(AM75:AM89),0)</f>
        <v>196.32237499999999</v>
      </c>
      <c r="AN90" s="204">
        <f ca="1">IF(Circ=0,SUM(AN75:AN89),0)</f>
        <v>174.31950000000001</v>
      </c>
      <c r="AO90" s="204">
        <f ca="1">IF(Circ=0,SUM(AO75:AO89),0)</f>
        <v>156.05224999999999</v>
      </c>
    </row>
    <row r="91" spans="2:54" ht="11.25" customHeight="1">
      <c r="T91" s="182"/>
      <c r="U91" s="182"/>
      <c r="V91" s="182"/>
      <c r="W91" s="182"/>
      <c r="X91" s="182"/>
      <c r="Y91" s="182"/>
      <c r="Z91" s="182"/>
    </row>
    <row r="92" spans="2:54" s="182" customFormat="1" ht="11.25" customHeight="1">
      <c r="B92" s="183" t="s">
        <v>14</v>
      </c>
      <c r="C92" s="184" t="s">
        <v>436</v>
      </c>
      <c r="D92" s="184"/>
      <c r="E92" s="184"/>
      <c r="F92" s="184"/>
      <c r="G92" s="184"/>
      <c r="H92" s="184"/>
      <c r="I92" s="184"/>
      <c r="J92" s="185"/>
      <c r="K92" s="185"/>
      <c r="L92" s="185"/>
      <c r="M92" s="185"/>
      <c r="N92" s="185"/>
      <c r="O92" s="185"/>
      <c r="P92" s="185"/>
      <c r="Q92" s="185"/>
      <c r="R92" s="185"/>
      <c r="S92" s="185"/>
      <c r="T92" s="185"/>
      <c r="U92" s="185"/>
      <c r="V92" s="185"/>
      <c r="W92" s="185"/>
      <c r="X92" s="185"/>
      <c r="Y92" s="185"/>
      <c r="Z92" s="185"/>
      <c r="AA92" s="185"/>
      <c r="AB92" s="185"/>
      <c r="AC92" s="185"/>
      <c r="AD92" s="186"/>
      <c r="AE92" s="187"/>
      <c r="AF92" s="187"/>
      <c r="AG92" s="187"/>
      <c r="AH92" s="187"/>
      <c r="AI92" s="187"/>
      <c r="AJ92" s="187"/>
      <c r="AK92" s="187"/>
      <c r="AL92" s="187"/>
      <c r="AM92" s="187"/>
      <c r="AN92" s="187"/>
      <c r="AO92" s="187"/>
      <c r="AP92" s="162"/>
      <c r="AQ92" s="162"/>
      <c r="AR92" s="162"/>
      <c r="AS92" s="162"/>
      <c r="AT92" s="162"/>
      <c r="AU92" s="162"/>
      <c r="AV92" s="162"/>
      <c r="AW92" s="162"/>
      <c r="AX92" s="162"/>
      <c r="AY92" s="162"/>
      <c r="AZ92" s="162"/>
      <c r="BA92" s="162"/>
      <c r="BB92" s="162"/>
    </row>
    <row r="94" spans="2:54" ht="11.25" customHeight="1">
      <c r="C94" s="205" t="s">
        <v>437</v>
      </c>
      <c r="T94" s="202"/>
      <c r="U94" s="202"/>
      <c r="V94" s="202"/>
      <c r="W94" s="202"/>
      <c r="X94" s="202"/>
      <c r="Y94" s="202"/>
      <c r="Z94" s="202"/>
      <c r="AA94" s="202">
        <f ca="1">Financials!AH124</f>
        <v>511.09773181773767</v>
      </c>
      <c r="AB94" s="202">
        <f ca="1">Financials!AI124</f>
        <v>206.56913256371757</v>
      </c>
      <c r="AC94" s="202">
        <f ca="1">Financials!AJ124</f>
        <v>144.12274629599938</v>
      </c>
      <c r="AD94" s="202"/>
      <c r="AJ94" s="182"/>
      <c r="AK94" s="182"/>
      <c r="AL94" s="182"/>
      <c r="AM94" s="202">
        <f ca="1">Financials!AV124</f>
        <v>803.12688585150659</v>
      </c>
      <c r="AN94" s="202">
        <f ca="1">Financials!AW124</f>
        <v>837.70310427997697</v>
      </c>
      <c r="AO94" s="202">
        <f ca="1">Financials!AX124</f>
        <v>1163.2725227583019</v>
      </c>
    </row>
    <row r="95" spans="2:54" ht="11.25" customHeight="1">
      <c r="C95" s="205" t="s">
        <v>438</v>
      </c>
      <c r="T95" s="202"/>
      <c r="U95" s="202"/>
      <c r="V95" s="202"/>
      <c r="W95" s="202"/>
      <c r="X95" s="202"/>
      <c r="Y95" s="202"/>
      <c r="Z95" s="202"/>
      <c r="AA95" s="202">
        <f>Financials!AH954</f>
        <v>599</v>
      </c>
      <c r="AB95" s="202">
        <f ca="1">Financials!AI954</f>
        <v>191.82573181773762</v>
      </c>
      <c r="AC95" s="202">
        <f ca="1">Financials!AJ954</f>
        <v>296.1228643814552</v>
      </c>
      <c r="AD95" s="202"/>
      <c r="AJ95" s="182"/>
      <c r="AK95" s="182"/>
      <c r="AL95" s="182"/>
      <c r="AM95" s="202">
        <f ca="1">Financials!AV954</f>
        <v>337.97361067745464</v>
      </c>
      <c r="AN95" s="202">
        <f ca="1">Financials!AW954</f>
        <v>448.60049652896123</v>
      </c>
      <c r="AO95" s="202">
        <f ca="1">Financials!AX954</f>
        <v>110.70360080893829</v>
      </c>
    </row>
    <row r="96" spans="2:54" ht="11.25" customHeight="1">
      <c r="C96" s="205" t="s">
        <v>451</v>
      </c>
      <c r="T96" s="202"/>
      <c r="U96" s="202"/>
      <c r="V96" s="202"/>
      <c r="W96" s="202"/>
      <c r="X96" s="202"/>
      <c r="Y96" s="202"/>
      <c r="Z96" s="202"/>
      <c r="AA96" s="202">
        <f>Financials!AH945</f>
        <v>0</v>
      </c>
      <c r="AB96" s="202">
        <f>Financials!AI945</f>
        <v>0</v>
      </c>
      <c r="AC96" s="202">
        <f>Financials!AJ945</f>
        <v>0</v>
      </c>
      <c r="AD96" s="202"/>
      <c r="AJ96" s="182"/>
      <c r="AK96" s="182"/>
      <c r="AL96" s="182"/>
      <c r="AM96" s="202">
        <f>Financials!AV945</f>
        <v>0</v>
      </c>
      <c r="AN96" s="202">
        <f>Financials!AW945</f>
        <v>0</v>
      </c>
      <c r="AO96" s="202">
        <f>Financials!AX945</f>
        <v>0</v>
      </c>
    </row>
    <row r="97" spans="2:41" ht="11.25" customHeight="1">
      <c r="C97" s="205" t="s">
        <v>439</v>
      </c>
      <c r="T97" s="202"/>
      <c r="U97" s="202"/>
      <c r="V97" s="202"/>
      <c r="W97" s="202"/>
      <c r="X97" s="202"/>
      <c r="Y97" s="202"/>
      <c r="Z97" s="202"/>
      <c r="AA97" s="202">
        <f>Financials!AH944+Financials!AH947</f>
        <v>-102.27200000000001</v>
      </c>
      <c r="AB97" s="202">
        <f>Financials!AI944+Financials!AI947</f>
        <v>-102.27200000000001</v>
      </c>
      <c r="AC97" s="202">
        <f>Financials!AJ944+Financials!AJ947</f>
        <v>-102.27200000000001</v>
      </c>
      <c r="AD97" s="202"/>
      <c r="AJ97" s="182"/>
      <c r="AK97" s="182"/>
      <c r="AL97" s="182"/>
      <c r="AM97" s="202">
        <f>Financials!AV944+Financials!AV947</f>
        <v>-451.49999999999994</v>
      </c>
      <c r="AN97" s="202">
        <f>Financials!AW944+Financials!AW947</f>
        <v>-481.59999999999997</v>
      </c>
      <c r="AO97" s="202">
        <f>Financials!AX944+Financials!AX947</f>
        <v>-541.79999999999995</v>
      </c>
    </row>
    <row r="98" spans="2:41" ht="11.25" customHeight="1">
      <c r="C98" s="205" t="s">
        <v>440</v>
      </c>
      <c r="E98" s="748">
        <v>200</v>
      </c>
      <c r="F98" s="189"/>
      <c r="G98" s="189"/>
      <c r="H98" s="189"/>
      <c r="I98" s="189"/>
      <c r="T98" s="182"/>
      <c r="U98" s="202"/>
      <c r="V98" s="202"/>
      <c r="W98" s="202"/>
      <c r="X98" s="202"/>
      <c r="Y98" s="202"/>
      <c r="Z98" s="202"/>
      <c r="AA98" s="208">
        <f t="shared" ref="AA98:AC98" si="60">Z98</f>
        <v>0</v>
      </c>
      <c r="AB98" s="208">
        <f t="shared" si="60"/>
        <v>0</v>
      </c>
      <c r="AC98" s="208">
        <f t="shared" si="60"/>
        <v>0</v>
      </c>
      <c r="AD98" s="208"/>
      <c r="AJ98" s="182"/>
      <c r="AK98" s="208"/>
      <c r="AL98" s="208"/>
      <c r="AM98" s="208">
        <f>AC98</f>
        <v>0</v>
      </c>
      <c r="AN98" s="208">
        <f>AM98</f>
        <v>0</v>
      </c>
      <c r="AO98" s="208">
        <f>AN98</f>
        <v>0</v>
      </c>
    </row>
    <row r="99" spans="2:41" ht="11.25" customHeight="1">
      <c r="C99" s="206" t="s">
        <v>441</v>
      </c>
      <c r="T99" s="151"/>
      <c r="U99" s="202"/>
      <c r="V99" s="202"/>
      <c r="W99" s="202"/>
      <c r="X99" s="202"/>
      <c r="Y99" s="202"/>
      <c r="Z99" s="202"/>
      <c r="AA99" s="204">
        <f t="shared" ref="AA99:AC99" ca="1" si="61">SUM(AA94:AA98)</f>
        <v>1007.8257318177376</v>
      </c>
      <c r="AB99" s="204">
        <f t="shared" ca="1" si="61"/>
        <v>296.1228643814552</v>
      </c>
      <c r="AC99" s="204">
        <f t="shared" ca="1" si="61"/>
        <v>337.97361067745459</v>
      </c>
      <c r="AD99" s="151"/>
      <c r="AE99" s="150"/>
      <c r="AF99" s="150"/>
      <c r="AG99" s="150"/>
      <c r="AH99" s="150"/>
      <c r="AI99" s="150"/>
      <c r="AJ99" s="151"/>
      <c r="AK99" s="151"/>
      <c r="AL99" s="151"/>
      <c r="AM99" s="204">
        <f ca="1">SUM(AM94:AM98)</f>
        <v>689.60049652896123</v>
      </c>
      <c r="AN99" s="204">
        <f ca="1">SUM(AN94:AN98)</f>
        <v>804.70360080893829</v>
      </c>
      <c r="AO99" s="204">
        <f ca="1">SUM(AO94:AO98)</f>
        <v>732.17612356724021</v>
      </c>
    </row>
    <row r="100" spans="2:41" ht="11.25" customHeight="1">
      <c r="C100" s="205" t="s">
        <v>442</v>
      </c>
      <c r="T100" s="182"/>
      <c r="U100" s="202"/>
      <c r="V100" s="202"/>
      <c r="W100" s="202"/>
      <c r="X100" s="202"/>
      <c r="Y100" s="202"/>
      <c r="Z100" s="202"/>
      <c r="AA100" s="182">
        <f t="shared" ref="AA100:AC100" si="62">-AA46</f>
        <v>-816</v>
      </c>
      <c r="AB100" s="182">
        <f t="shared" si="62"/>
        <v>0</v>
      </c>
      <c r="AC100" s="182">
        <f t="shared" si="62"/>
        <v>0</v>
      </c>
      <c r="AD100" s="182"/>
      <c r="AJ100" s="182"/>
      <c r="AK100" s="182"/>
      <c r="AL100" s="182"/>
      <c r="AM100" s="182">
        <f>-AM46</f>
        <v>-241</v>
      </c>
      <c r="AN100" s="182">
        <f>-AN46</f>
        <v>-694</v>
      </c>
      <c r="AO100" s="182">
        <f>-AO46</f>
        <v>-542</v>
      </c>
    </row>
    <row r="101" spans="2:41" ht="11.25" customHeight="1">
      <c r="B101" s="150"/>
      <c r="C101" s="206" t="s">
        <v>443</v>
      </c>
      <c r="T101" s="151"/>
      <c r="U101" s="202"/>
      <c r="V101" s="202"/>
      <c r="W101" s="202"/>
      <c r="X101" s="202"/>
      <c r="Y101" s="202"/>
      <c r="Z101" s="202"/>
      <c r="AA101" s="204">
        <f t="shared" ref="AA101:AC101" ca="1" si="63">SUM(AA99:AA100)</f>
        <v>191.82573181773762</v>
      </c>
      <c r="AB101" s="204">
        <f t="shared" ca="1" si="63"/>
        <v>296.1228643814552</v>
      </c>
      <c r="AC101" s="204">
        <f t="shared" ca="1" si="63"/>
        <v>337.97361067745459</v>
      </c>
      <c r="AD101" s="151"/>
      <c r="AE101" s="150"/>
      <c r="AF101" s="150"/>
      <c r="AG101" s="150"/>
      <c r="AH101" s="150"/>
      <c r="AI101" s="150"/>
      <c r="AJ101" s="151"/>
      <c r="AK101" s="204">
        <f>Y101</f>
        <v>0</v>
      </c>
      <c r="AL101" s="204">
        <f ca="1">AC101</f>
        <v>337.97361067745459</v>
      </c>
      <c r="AM101" s="204">
        <f ca="1">SUM(AM99:AM100)</f>
        <v>448.60049652896123</v>
      </c>
      <c r="AN101" s="204">
        <f ca="1">SUM(AN99:AN100)</f>
        <v>110.70360080893829</v>
      </c>
      <c r="AO101" s="204">
        <f ca="1">SUM(AO99:AO100)</f>
        <v>190.17612356724021</v>
      </c>
    </row>
    <row r="102" spans="2:41" ht="11.25" customHeight="1">
      <c r="C102" s="182"/>
      <c r="U102" s="202"/>
      <c r="V102" s="202"/>
      <c r="W102" s="202"/>
      <c r="X102" s="202"/>
      <c r="Y102" s="202"/>
      <c r="Z102" s="202"/>
    </row>
    <row r="103" spans="2:41" ht="11.25" customHeight="1">
      <c r="C103" s="203" t="s">
        <v>429</v>
      </c>
      <c r="E103" s="748">
        <v>1500</v>
      </c>
      <c r="F103" s="189"/>
      <c r="G103" s="189"/>
      <c r="H103" s="189"/>
      <c r="I103" s="189"/>
      <c r="U103" s="202"/>
      <c r="V103" s="202"/>
      <c r="W103" s="202"/>
      <c r="X103" s="202"/>
      <c r="Y103" s="202"/>
      <c r="Z103" s="202"/>
    </row>
    <row r="104" spans="2:41" ht="11.25" customHeight="1">
      <c r="C104" s="417" t="s">
        <v>444</v>
      </c>
      <c r="U104" s="202"/>
      <c r="V104" s="182"/>
      <c r="W104" s="182"/>
      <c r="X104" s="182"/>
      <c r="Y104" s="182"/>
      <c r="Z104" s="182"/>
      <c r="AA104" s="182">
        <f t="shared" ref="AA104:AC104" ca="1" si="64">Z106</f>
        <v>0</v>
      </c>
      <c r="AB104" s="182">
        <f t="shared" ca="1" si="64"/>
        <v>0</v>
      </c>
      <c r="AC104" s="182">
        <f t="shared" ca="1" si="64"/>
        <v>0</v>
      </c>
      <c r="AD104" s="182"/>
      <c r="AJ104" s="182"/>
      <c r="AK104" s="182"/>
      <c r="AL104" s="182"/>
      <c r="AM104" s="182">
        <f ca="1">AL106</f>
        <v>0</v>
      </c>
      <c r="AN104" s="182">
        <f ca="1">AM106</f>
        <v>0</v>
      </c>
      <c r="AO104" s="182">
        <f ca="1">AN106</f>
        <v>0</v>
      </c>
    </row>
    <row r="105" spans="2:41" ht="11.25" customHeight="1">
      <c r="C105" s="417" t="s">
        <v>445</v>
      </c>
      <c r="U105" s="202"/>
      <c r="V105" s="182"/>
      <c r="W105" s="182"/>
      <c r="X105" s="182"/>
      <c r="Y105" s="182"/>
      <c r="Z105" s="182"/>
      <c r="AA105" s="182">
        <f t="shared" ref="AA105:AC105" ca="1" si="65">IF(AND(AA101&lt;0,ABS(AA101)&lt;($E$103-Z106)),-AA101,IF(AA101&gt;0,-MIN(AA104,AA101),($E$103-Z106)))</f>
        <v>0</v>
      </c>
      <c r="AB105" s="182">
        <f t="shared" ca="1" si="65"/>
        <v>0</v>
      </c>
      <c r="AC105" s="182">
        <f t="shared" ca="1" si="65"/>
        <v>0</v>
      </c>
      <c r="AD105" s="182"/>
      <c r="AJ105" s="182"/>
      <c r="AK105" s="182"/>
      <c r="AL105" s="182"/>
      <c r="AM105" s="182">
        <f ca="1">IF(AND(AM101&lt;0,ABS(AM101)&lt;($E$103-AL106)),-AM101,IF(AM101&gt;0,-MIN(AM104,AM101),$E$103-AL106))</f>
        <v>0</v>
      </c>
      <c r="AN105" s="182">
        <f ca="1">IF(AND(AN101&lt;0,ABS(AN101)&lt;($E$103-AM106)),-AN101,IF(AN101&gt;0,-MIN(AN104,AN101),$E$103-AM106))</f>
        <v>0</v>
      </c>
      <c r="AO105" s="182">
        <f ca="1">IF(AND(AO101&lt;0,ABS(AO101)&lt;($E$103-AN106)),-AO101,IF(AO101&gt;0,-MIN(AO104,AO101),$E$103-AN106))</f>
        <v>0</v>
      </c>
    </row>
    <row r="106" spans="2:41" ht="11.25" customHeight="1">
      <c r="C106" s="418" t="s">
        <v>446</v>
      </c>
      <c r="U106" s="202"/>
      <c r="V106" s="182"/>
      <c r="W106" s="182"/>
      <c r="X106" s="182"/>
      <c r="Y106" s="204">
        <f ca="1">Y24</f>
        <v>0</v>
      </c>
      <c r="Z106" s="204">
        <f ca="1">Z24</f>
        <v>0</v>
      </c>
      <c r="AA106" s="204">
        <f t="shared" ref="AA106:AC106" ca="1" si="66">SUM(AA104:AA105)</f>
        <v>0</v>
      </c>
      <c r="AB106" s="204">
        <f t="shared" ca="1" si="66"/>
        <v>0</v>
      </c>
      <c r="AC106" s="204">
        <f t="shared" ca="1" si="66"/>
        <v>0</v>
      </c>
      <c r="AD106" s="151"/>
      <c r="AE106" s="150"/>
      <c r="AF106" s="150"/>
      <c r="AG106" s="150"/>
      <c r="AH106" s="150"/>
      <c r="AI106" s="151"/>
      <c r="AJ106" s="182"/>
      <c r="AK106" s="204">
        <f ca="1">Y106</f>
        <v>0</v>
      </c>
      <c r="AL106" s="204">
        <f ca="1">AC106</f>
        <v>0</v>
      </c>
      <c r="AM106" s="204">
        <f ca="1">SUM(AM104:AM105)</f>
        <v>0</v>
      </c>
      <c r="AN106" s="204">
        <f ca="1">SUM(AN104:AN105)</f>
        <v>0</v>
      </c>
      <c r="AO106" s="204">
        <f ca="1">SUM(AO104:AO105)</f>
        <v>0</v>
      </c>
    </row>
    <row r="107" spans="2:41" ht="11.25" customHeight="1">
      <c r="C107" s="182"/>
      <c r="U107" s="202"/>
      <c r="V107" s="182"/>
      <c r="W107" s="182"/>
      <c r="X107" s="182"/>
    </row>
    <row r="108" spans="2:41" ht="11.25" customHeight="1">
      <c r="C108" s="203" t="s">
        <v>430</v>
      </c>
      <c r="U108" s="202"/>
      <c r="V108" s="182"/>
      <c r="W108" s="182"/>
      <c r="X108" s="182"/>
    </row>
    <row r="109" spans="2:41" ht="11.25" customHeight="1">
      <c r="C109" s="417" t="s">
        <v>444</v>
      </c>
      <c r="U109" s="202"/>
      <c r="V109" s="182"/>
      <c r="W109" s="182"/>
      <c r="X109" s="182"/>
      <c r="Y109" s="182"/>
      <c r="Z109" s="182"/>
      <c r="AA109" s="182">
        <f t="shared" ref="AA109:AC109" si="67">Z111</f>
        <v>0</v>
      </c>
      <c r="AB109" s="182">
        <f t="shared" ca="1" si="67"/>
        <v>0</v>
      </c>
      <c r="AC109" s="182">
        <f t="shared" ca="1" si="67"/>
        <v>0</v>
      </c>
      <c r="AD109" s="182"/>
      <c r="AJ109" s="182"/>
      <c r="AK109" s="182"/>
      <c r="AL109" s="182"/>
      <c r="AM109" s="182">
        <f ca="1">AL111</f>
        <v>0</v>
      </c>
      <c r="AN109" s="182">
        <f ca="1">AM111</f>
        <v>0</v>
      </c>
      <c r="AO109" s="182">
        <f ca="1">AN111</f>
        <v>0</v>
      </c>
    </row>
    <row r="110" spans="2:41" ht="11.25" customHeight="1">
      <c r="C110" s="417" t="s">
        <v>445</v>
      </c>
      <c r="U110" s="202"/>
      <c r="V110" s="182"/>
      <c r="W110" s="182"/>
      <c r="X110" s="182"/>
      <c r="Y110" s="182"/>
      <c r="Z110" s="182"/>
      <c r="AA110" s="182">
        <f t="shared" ref="AA110:AC110" ca="1" si="68">IF(AND(AA101&lt;0,ABS(AA101)&gt;(AA105)),-MIN(AA101+AA105),IF(AA101&gt;0,-MIN((AA101+AA105),AA109),0))</f>
        <v>0</v>
      </c>
      <c r="AB110" s="182">
        <f t="shared" ca="1" si="68"/>
        <v>0</v>
      </c>
      <c r="AC110" s="182">
        <f t="shared" ca="1" si="68"/>
        <v>0</v>
      </c>
      <c r="AD110" s="182"/>
      <c r="AJ110" s="182"/>
      <c r="AK110" s="182"/>
      <c r="AL110" s="182"/>
      <c r="AM110" s="182">
        <f ca="1">IF(AND(AM101&lt;0,ABS(AM101)&gt;(AM105)),-MIN(AM101+AM105),IF(AM101&gt;0,-MIN((AM101+AM105),AM109),0))</f>
        <v>0</v>
      </c>
      <c r="AN110" s="182">
        <f ca="1">IF(AND(AN101&lt;0,ABS(AN101)&gt;(AN105)),-MIN(AN101+AN105),IF(AN101&gt;0,-MIN((AN101+AN105),AN109),0))</f>
        <v>0</v>
      </c>
      <c r="AO110" s="182">
        <f ca="1">IF(AND(AO101&lt;0,ABS(AO101)&gt;(AO105)),-MIN(AO101+AO105),IF(AO101&gt;0,-MIN((AO101+AO105),AO109),0))</f>
        <v>0</v>
      </c>
    </row>
    <row r="111" spans="2:41" ht="11.25" customHeight="1">
      <c r="C111" s="418" t="s">
        <v>446</v>
      </c>
      <c r="U111" s="202"/>
      <c r="V111" s="182"/>
      <c r="W111" s="182"/>
      <c r="X111" s="182"/>
      <c r="Y111" s="204">
        <v>0</v>
      </c>
      <c r="Z111" s="1452">
        <v>0</v>
      </c>
      <c r="AA111" s="204">
        <f t="shared" ref="AA111:AC111" ca="1" si="69">SUM(AA109:AA110)</f>
        <v>0</v>
      </c>
      <c r="AB111" s="204">
        <f t="shared" ca="1" si="69"/>
        <v>0</v>
      </c>
      <c r="AC111" s="204">
        <f t="shared" ca="1" si="69"/>
        <v>0</v>
      </c>
      <c r="AD111" s="151"/>
      <c r="AE111" s="150"/>
      <c r="AF111" s="150"/>
      <c r="AG111" s="150"/>
      <c r="AH111" s="150"/>
      <c r="AI111" s="151"/>
      <c r="AJ111" s="182"/>
      <c r="AK111" s="204">
        <f>Y111</f>
        <v>0</v>
      </c>
      <c r="AL111" s="204">
        <f ca="1">AC111</f>
        <v>0</v>
      </c>
      <c r="AM111" s="204">
        <f ca="1">SUM(AM109:AM110)</f>
        <v>0</v>
      </c>
      <c r="AN111" s="204">
        <f ca="1">SUM(AN109:AN110)</f>
        <v>0</v>
      </c>
      <c r="AO111" s="204">
        <f ca="1">SUM(AO109:AO110)</f>
        <v>0</v>
      </c>
    </row>
    <row r="112" spans="2:41" ht="11.25" customHeight="1">
      <c r="U112" s="202"/>
      <c r="V112" s="182"/>
      <c r="W112" s="182"/>
      <c r="X112" s="182"/>
      <c r="AJ112" s="182"/>
    </row>
    <row r="113" spans="2:24" ht="11.25" customHeight="1">
      <c r="U113" s="202"/>
      <c r="V113" s="182"/>
      <c r="W113" s="182"/>
      <c r="X113" s="182"/>
    </row>
    <row r="114" spans="2:24" ht="11.25" customHeight="1">
      <c r="U114" s="202"/>
    </row>
    <row r="115" spans="2:24" ht="11.25" customHeight="1">
      <c r="B115" s="150" t="s">
        <v>14</v>
      </c>
      <c r="U115" s="202"/>
    </row>
    <row r="116" spans="2:24" ht="11.25" customHeight="1">
      <c r="U116" s="202"/>
    </row>
    <row r="117" spans="2:24" ht="11.25" customHeight="1">
      <c r="U117" s="202"/>
    </row>
    <row r="118" spans="2:24" ht="11.25" customHeight="1">
      <c r="U118" s="202"/>
    </row>
    <row r="119" spans="2:24" ht="11.25" customHeight="1">
      <c r="U119" s="202"/>
    </row>
    <row r="120" spans="2:24" ht="11.25" customHeight="1">
      <c r="U120" s="202"/>
    </row>
    <row r="121" spans="2:24" ht="11.25" customHeight="1">
      <c r="U121" s="202"/>
    </row>
    <row r="122" spans="2:24" ht="11.25" customHeight="1">
      <c r="U122" s="202"/>
    </row>
  </sheetData>
  <dataValidations count="1">
    <dataValidation type="list" allowBlank="1" showInputMessage="1" showErrorMessage="1" sqref="AM2" xr:uid="{BA448811-0794-4E1B-9A2B-CC10E0EE9BCB}">
      <formula1>$AN$2:$AN$3</formula1>
    </dataValidation>
  </dataValidations>
  <pageMargins left="0.7" right="0.7" top="0.75" bottom="0.75" header="0.3" footer="0.3"/>
  <pageSetup scale="52" orientation="portrait" r:id="rId1"/>
  <ignoredErrors>
    <ignoredError sqref="AI92:AK93 AI94:AJ95" formula="1"/>
    <ignoredError sqref="D9:E9 AM68:AN68 D24 E25:F25 D23 F24 D20 D10 D11 D12 D13 D14 D15 D16 D18 D19"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5A01CEA539CE468B27D674398C76F1" ma:contentTypeVersion="14" ma:contentTypeDescription="Create a new document." ma:contentTypeScope="" ma:versionID="671c0ce0874060641e60dd7da28e9418">
  <xsd:schema xmlns:xsd="http://www.w3.org/2001/XMLSchema" xmlns:xs="http://www.w3.org/2001/XMLSchema" xmlns:p="http://schemas.microsoft.com/office/2006/metadata/properties" xmlns:ns3="6d016385-9102-46b5-94b3-2ad0e154c3a4" xmlns:ns4="6e8f7391-b700-4602-9bfa-c4a031c00986" targetNamespace="http://schemas.microsoft.com/office/2006/metadata/properties" ma:root="true" ma:fieldsID="828bae4a672dc2876e32c7f62bb4781d" ns3:_="" ns4:_="">
    <xsd:import namespace="6d016385-9102-46b5-94b3-2ad0e154c3a4"/>
    <xsd:import namespace="6e8f7391-b700-4602-9bfa-c4a031c0098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16385-9102-46b5-94b3-2ad0e154c3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8f7391-b700-4602-9bfa-c4a031c0098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d016385-9102-46b5-94b3-2ad0e154c3a4" xsi:nil="true"/>
  </documentManagement>
</p:properties>
</file>

<file path=customXml/itemProps1.xml><?xml version="1.0" encoding="utf-8"?>
<ds:datastoreItem xmlns:ds="http://schemas.openxmlformats.org/officeDocument/2006/customXml" ds:itemID="{229AB102-2011-4726-A376-77ED5F86C1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16385-9102-46b5-94b3-2ad0e154c3a4"/>
    <ds:schemaRef ds:uri="6e8f7391-b700-4602-9bfa-c4a031c009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594A76-539A-4AAC-8459-C977A21FA67B}">
  <ds:schemaRefs>
    <ds:schemaRef ds:uri="http://schemas.microsoft.com/sharepoint/v3/contenttype/forms"/>
  </ds:schemaRefs>
</ds:datastoreItem>
</file>

<file path=customXml/itemProps3.xml><?xml version="1.0" encoding="utf-8"?>
<ds:datastoreItem xmlns:ds="http://schemas.openxmlformats.org/officeDocument/2006/customXml" ds:itemID="{B66405D1-3AA1-46BE-B37F-A5ACE66842F9}">
  <ds:schemaRefs>
    <ds:schemaRef ds:uri="6d016385-9102-46b5-94b3-2ad0e154c3a4"/>
    <ds:schemaRef ds:uri="http://www.w3.org/XML/1998/namespace"/>
    <ds:schemaRef ds:uri="6e8f7391-b700-4602-9bfa-c4a031c00986"/>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17</vt:i4>
      </vt:variant>
    </vt:vector>
  </HeadingPairs>
  <TitlesOfParts>
    <vt:vector size="56" baseType="lpstr">
      <vt:lpstr>Assumptions</vt:lpstr>
      <vt:lpstr>DCF</vt:lpstr>
      <vt:lpstr>Financials</vt:lpstr>
      <vt:lpstr>Variance Q1'23</vt:lpstr>
      <vt:lpstr>Segment Snapshot</vt:lpstr>
      <vt:lpstr>Comp</vt:lpstr>
      <vt:lpstr>Historicals (Peers- A) </vt:lpstr>
      <vt:lpstr>Peer Analysiss</vt:lpstr>
      <vt:lpstr>Debt</vt:lpstr>
      <vt:lpstr>TSR List</vt:lpstr>
      <vt:lpstr>Historical Consolidated</vt:lpstr>
      <vt:lpstr>TSR decomposition</vt:lpstr>
      <vt:lpstr>ahihih</vt:lpstr>
      <vt:lpstr>New Peers</vt:lpstr>
      <vt:lpstr>Other Pulls</vt:lpstr>
      <vt:lpstr>Chart EV-EBITDA</vt:lpstr>
      <vt:lpstr>Forward EV-EBITDA</vt:lpstr>
      <vt:lpstr>Peer Analysis</vt:lpstr>
      <vt:lpstr>SOTP</vt:lpstr>
      <vt:lpstr>Consensus Summary TR</vt:lpstr>
      <vt:lpstr>Construction Spending</vt:lpstr>
      <vt:lpstr>WACC Calculation</vt:lpstr>
      <vt:lpstr>Chart EV-EBITDA (2)</vt:lpstr>
      <vt:lpstr>Forward EV Revenue</vt:lpstr>
      <vt:lpstr>Chart EV Revenue</vt:lpstr>
      <vt:lpstr>Forward PE</vt:lpstr>
      <vt:lpstr>Chart Forward PE</vt:lpstr>
      <vt:lpstr>Consensus Summary</vt:lpstr>
      <vt:lpstr>Pension</vt:lpstr>
      <vt:lpstr>Segment Research &gt;&gt;</vt:lpstr>
      <vt:lpstr>Business Overview</vt:lpstr>
      <vt:lpstr>AFP</vt:lpstr>
      <vt:lpstr>AM</vt:lpstr>
      <vt:lpstr>CI</vt:lpstr>
      <vt:lpstr>Fibers</vt:lpstr>
      <vt:lpstr>By Segment</vt:lpstr>
      <vt:lpstr>Historical Segment</vt:lpstr>
      <vt:lpstr>AFP (Factset Multiple)</vt:lpstr>
      <vt:lpstr>AM (Factset Multiple)</vt:lpstr>
      <vt:lpstr>BB_Switch</vt:lpstr>
      <vt:lpstr>'Consensus Summary'!BBswitch</vt:lpstr>
      <vt:lpstr>Case</vt:lpstr>
      <vt:lpstr>Debt!Circ</vt:lpstr>
      <vt:lpstr>EVSwitch</vt:lpstr>
      <vt:lpstr>Model_Switch</vt:lpstr>
      <vt:lpstr>NPSwitch</vt:lpstr>
      <vt:lpstr>DCF!Print_Area</vt:lpstr>
      <vt:lpstr>Debt!Print_Area</vt:lpstr>
      <vt:lpstr>'Historical Segment'!Print_Area</vt:lpstr>
      <vt:lpstr>'Segment Snapshot'!Print_Area</vt:lpstr>
      <vt:lpstr>SOTP!Print_Area</vt:lpstr>
      <vt:lpstr>Reuters</vt:lpstr>
      <vt:lpstr>SwitchPA</vt:lpstr>
      <vt:lpstr>Thomson</vt:lpstr>
      <vt:lpstr>'TSR List'!TSRSwitch</vt:lpstr>
      <vt:lpstr>TSRSwitch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Gaurang Grover</dc:creator>
  <cp:lastModifiedBy>Vedang Poddar</cp:lastModifiedBy>
  <cp:lastPrinted>2023-04-06T06:21:35Z</cp:lastPrinted>
  <dcterms:created xsi:type="dcterms:W3CDTF">2019-03-04T06:37:52Z</dcterms:created>
  <dcterms:modified xsi:type="dcterms:W3CDTF">2025-12-19T09:48:56Z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0x010100395A01CEA539CE468B27D674398C76F1</vt:lpwstr>
  </property>
</Properties>
</file>